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52 нед\"/>
    </mc:Choice>
  </mc:AlternateContent>
  <xr:revisionPtr revIDLastSave="0" documentId="13_ncr:1_{F5455509-EA2F-4D6E-8635-EEF712E39CD6}" xr6:coauthVersionLast="45" xr6:coauthVersionMax="45" xr10:uidLastSave="{00000000-0000-0000-0000-000000000000}"/>
  <bookViews>
    <workbookView xWindow="-110" yWindow="-110" windowWidth="19420" windowHeight="10420" tabRatio="840" activeTab="49" xr2:uid="{00000000-000D-0000-FFFF-FFFF00000000}"/>
  </bookViews>
  <sheets>
    <sheet name="Динамика показатели" sheetId="1" r:id="rId1"/>
    <sheet name="Динамика финансы" sheetId="2" r:id="rId2"/>
    <sheet name="Дашборд 22-31.12" sheetId="73" r:id="rId3"/>
    <sheet name="Дашборд 15-21.12" sheetId="70" state="hidden" r:id="rId4"/>
    <sheet name="Дашборд 08-14.12" sheetId="69" state="hidden" r:id="rId5"/>
    <sheet name="Дашборд 01-07.12" sheetId="68" state="hidden" r:id="rId6"/>
    <sheet name="Дашборд 24-30.11" sheetId="63" state="hidden" r:id="rId7"/>
    <sheet name="Дашборд 17-23.11" sheetId="49" state="hidden" r:id="rId8"/>
    <sheet name="Дашборд 10-16.11" sheetId="43" state="hidden" r:id="rId9"/>
    <sheet name="Дашборд 03-09.11" sheetId="38" state="hidden" r:id="rId10"/>
    <sheet name="Дашборд 27.10-02.11" sheetId="32" state="hidden" r:id="rId11"/>
    <sheet name="Дашборд 20-26.10" sheetId="28" state="hidden" r:id="rId12"/>
    <sheet name="Дашборд 13-19.10" sheetId="26" state="hidden" r:id="rId13"/>
    <sheet name="Дашборд 06-12.10" sheetId="4" state="hidden" r:id="rId14"/>
    <sheet name="Дашборд 01-05.10" sheetId="24" state="hidden" r:id="rId15"/>
    <sheet name="АВС 2025" sheetId="75" r:id="rId16"/>
    <sheet name="АВС ДЕКАБРЬ" sheetId="72" r:id="rId17"/>
    <sheet name="АВС 22-31.12" sheetId="71" r:id="rId18"/>
    <sheet name="АВС 15-21.12" sheetId="67" state="hidden" r:id="rId19"/>
    <sheet name="АВС 08-14.12" sheetId="66" state="hidden" r:id="rId20"/>
    <sheet name="АВС 01-07.12" sheetId="64" state="hidden" r:id="rId21"/>
    <sheet name="АВС НОЯБРЬ" sheetId="65" state="hidden" r:id="rId22"/>
    <sheet name="АВС 24-30.11" sheetId="45" state="hidden" r:id="rId23"/>
    <sheet name="АВС 17-23.11" sheetId="42" state="hidden" r:id="rId24"/>
    <sheet name="АВС 10-16.11" sheetId="39" state="hidden" r:id="rId25"/>
    <sheet name="АВС 03-09.11" sheetId="31" state="hidden" r:id="rId26"/>
    <sheet name="АВС 27.10-02.11" sheetId="27" state="hidden" r:id="rId27"/>
    <sheet name="АВС 20-26.10" sheetId="25" state="hidden" r:id="rId28"/>
    <sheet name="АВС 13-19.10" sheetId="19" state="hidden" r:id="rId29"/>
    <sheet name="АВС 06-12.10" sheetId="3" state="hidden" r:id="rId30"/>
    <sheet name="АВС 01-05.10" sheetId="18" state="hidden" r:id="rId31"/>
    <sheet name="АВС СЕНТЯБРЬ" sheetId="23" state="hidden" r:id="rId32"/>
    <sheet name="АВС АВГУСТ" sheetId="22" state="hidden" r:id="rId33"/>
    <sheet name="Отчет 22-31.12" sheetId="60" state="hidden" r:id="rId34"/>
    <sheet name="Отчет 15-21.12" sheetId="59" state="hidden" r:id="rId35"/>
    <sheet name="Отчет 08-14.12" sheetId="58" state="hidden" r:id="rId36"/>
    <sheet name="Отчет 01-07.12" sheetId="57" state="hidden" r:id="rId37"/>
    <sheet name="Отчет 24-30.11" sheetId="47" state="hidden" r:id="rId38"/>
    <sheet name="Отчет 17-23.11" sheetId="41" state="hidden" r:id="rId39"/>
    <sheet name="Отчет 10-16.11" sheetId="35" state="hidden" r:id="rId40"/>
    <sheet name="Отчет 03-09.11" sheetId="34" state="hidden" r:id="rId41"/>
    <sheet name="Отчет 01-02.11" sheetId="33" state="hidden" r:id="rId42"/>
    <sheet name="Отчет 27-31.10" sheetId="7" state="hidden" r:id="rId43"/>
    <sheet name="Отчет 20-26.10" sheetId="8" state="hidden" r:id="rId44"/>
    <sheet name="Отчет 13-19.10" sheetId="9" state="hidden" r:id="rId45"/>
    <sheet name="Отчет 06-12.10" sheetId="5" state="hidden" r:id="rId46"/>
    <sheet name="Отчет 01-05.10" sheetId="10" state="hidden" r:id="rId47"/>
    <sheet name="Отчет сентябрь" sheetId="11" state="hidden" r:id="rId48"/>
    <sheet name="Отчет август" sheetId="12" state="hidden" r:id="rId49"/>
    <sheet name="2025" sheetId="74" r:id="rId50"/>
    <sheet name="ДЕКАБРЬ" sheetId="62" r:id="rId51"/>
    <sheet name="Юнит 22-31.12" sheetId="54" r:id="rId52"/>
    <sheet name="Юнит 15-21.12" sheetId="53" state="hidden" r:id="rId53"/>
    <sheet name="Юнит 08-14.12" sheetId="52" state="hidden" r:id="rId54"/>
    <sheet name="Юнит 01-07.12" sheetId="51" state="hidden" r:id="rId55"/>
    <sheet name="НОЯБРЬ" sheetId="50" r:id="rId56"/>
    <sheet name="Юнит 24-30.11" sheetId="46" r:id="rId57"/>
    <sheet name="Юнит 17-23.11" sheetId="40" r:id="rId58"/>
    <sheet name="Юнит 10-16.11" sheetId="37" r:id="rId59"/>
    <sheet name="Юнит 03-09.11" sheetId="36" r:id="rId60"/>
    <sheet name="Юнит 27.10-02.11" sheetId="30" state="hidden" r:id="rId61"/>
    <sheet name="Юнит 01-02.11" sheetId="29" r:id="rId62"/>
    <sheet name="ОКТЯБРЬ" sheetId="16" r:id="rId63"/>
    <sheet name="Юнит 27-31.10" sheetId="15" state="hidden" r:id="rId64"/>
    <sheet name="Юнит 20-26.10" sheetId="14" state="hidden" r:id="rId65"/>
    <sheet name="Юнит 13-19.10" sheetId="13" state="hidden" r:id="rId66"/>
    <sheet name="Юнит 06-12.10" sheetId="6" state="hidden" r:id="rId67"/>
    <sheet name="Юнит 01-05.10" sheetId="17" state="hidden" r:id="rId68"/>
    <sheet name="СЕНТЯБРЬ" sheetId="20" r:id="rId69"/>
    <sheet name="АВГУСТ" sheetId="21" r:id="rId7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4" i="2" l="1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AD47" i="62"/>
  <c r="AD46" i="62"/>
  <c r="AD45" i="62"/>
  <c r="AD44" i="62"/>
  <c r="AD43" i="62"/>
  <c r="AD42" i="62"/>
  <c r="AD41" i="62"/>
  <c r="AD40" i="62"/>
  <c r="AD39" i="62"/>
  <c r="AD38" i="62"/>
  <c r="AD37" i="62"/>
  <c r="AD36" i="62"/>
  <c r="AD35" i="62"/>
  <c r="AD34" i="62"/>
  <c r="AD33" i="62"/>
  <c r="AD32" i="62"/>
  <c r="AD31" i="62"/>
  <c r="AD30" i="62"/>
  <c r="AD29" i="62"/>
  <c r="AD28" i="62"/>
  <c r="AD24" i="62"/>
  <c r="AD23" i="62"/>
  <c r="AD22" i="62"/>
  <c r="AD21" i="62"/>
  <c r="AD20" i="62"/>
  <c r="AD19" i="62"/>
  <c r="AD18" i="62"/>
  <c r="AD17" i="62"/>
  <c r="AD16" i="62"/>
  <c r="AD15" i="62"/>
  <c r="AD14" i="62"/>
  <c r="AD13" i="62"/>
  <c r="AD12" i="62"/>
  <c r="AD11" i="62"/>
  <c r="AD10" i="62"/>
  <c r="AD9" i="62"/>
  <c r="AD8" i="62"/>
  <c r="AD7" i="62"/>
  <c r="AD6" i="62"/>
  <c r="AD5" i="62"/>
  <c r="AD4" i="62"/>
  <c r="AD3" i="62"/>
  <c r="AD47" i="50"/>
  <c r="AD46" i="50"/>
  <c r="AD45" i="50"/>
  <c r="AD44" i="50"/>
  <c r="AD43" i="50"/>
  <c r="AD42" i="50"/>
  <c r="AD41" i="50"/>
  <c r="AD40" i="50"/>
  <c r="AD39" i="50"/>
  <c r="AD38" i="50"/>
  <c r="AD37" i="50"/>
  <c r="AD36" i="50"/>
  <c r="AD35" i="50"/>
  <c r="AD34" i="50"/>
  <c r="AD33" i="50"/>
  <c r="AD32" i="50"/>
  <c r="AD31" i="50"/>
  <c r="AD30" i="50"/>
  <c r="AD29" i="50"/>
  <c r="AD28" i="50"/>
  <c r="AD24" i="50"/>
  <c r="AD23" i="50"/>
  <c r="AD22" i="50"/>
  <c r="AD21" i="50"/>
  <c r="AD20" i="50"/>
  <c r="AD19" i="50"/>
  <c r="AD18" i="50"/>
  <c r="AD17" i="50"/>
  <c r="AD16" i="50"/>
  <c r="AD15" i="50"/>
  <c r="AD14" i="50"/>
  <c r="AD13" i="50"/>
  <c r="AD12" i="50"/>
  <c r="AD11" i="50"/>
  <c r="AD10" i="50"/>
  <c r="AD9" i="50"/>
  <c r="AD8" i="50"/>
  <c r="AD7" i="50"/>
  <c r="AD6" i="50"/>
  <c r="AD5" i="50"/>
  <c r="AD4" i="50"/>
  <c r="AD3" i="50"/>
  <c r="AD45" i="16"/>
  <c r="AD44" i="16"/>
  <c r="AD43" i="16"/>
  <c r="AD42" i="16"/>
  <c r="AD41" i="16"/>
  <c r="AD40" i="16"/>
  <c r="AD39" i="16"/>
  <c r="AD38" i="16"/>
  <c r="AD37" i="16"/>
  <c r="AD36" i="16"/>
  <c r="AD35" i="16"/>
  <c r="AD34" i="16"/>
  <c r="AD33" i="16"/>
  <c r="AD32" i="16"/>
  <c r="AD31" i="16"/>
  <c r="AD30" i="16"/>
  <c r="AD29" i="16"/>
  <c r="AD28" i="16"/>
  <c r="AD27" i="16"/>
  <c r="AD26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AD5" i="16"/>
  <c r="AD4" i="16"/>
  <c r="AD3" i="16"/>
  <c r="AD45" i="20"/>
  <c r="AD44" i="20"/>
  <c r="AD43" i="20"/>
  <c r="AD42" i="20"/>
  <c r="AD41" i="20"/>
  <c r="AD40" i="20"/>
  <c r="AD39" i="20"/>
  <c r="AD38" i="20"/>
  <c r="AD37" i="20"/>
  <c r="AD36" i="20"/>
  <c r="AD35" i="20"/>
  <c r="AD34" i="20"/>
  <c r="AD33" i="20"/>
  <c r="AD32" i="20"/>
  <c r="AD31" i="20"/>
  <c r="AD30" i="20"/>
  <c r="AD29" i="20"/>
  <c r="AD28" i="20"/>
  <c r="AD27" i="20"/>
  <c r="AD26" i="20"/>
  <c r="AD22" i="20"/>
  <c r="AD21" i="20"/>
  <c r="AD20" i="20"/>
  <c r="AD19" i="20"/>
  <c r="AD18" i="20"/>
  <c r="AD17" i="20"/>
  <c r="AD16" i="20"/>
  <c r="AD15" i="20"/>
  <c r="AD14" i="20"/>
  <c r="AD13" i="20"/>
  <c r="AD12" i="20"/>
  <c r="AD11" i="20"/>
  <c r="AD10" i="20"/>
  <c r="AD9" i="20"/>
  <c r="AD8" i="20"/>
  <c r="AD7" i="20"/>
  <c r="AD6" i="20"/>
  <c r="AD5" i="20"/>
  <c r="AD4" i="20"/>
  <c r="AD3" i="20"/>
  <c r="AD45" i="21"/>
  <c r="AD44" i="21"/>
  <c r="AD43" i="21"/>
  <c r="AD42" i="21"/>
  <c r="AD41" i="21"/>
  <c r="AD40" i="21"/>
  <c r="AD39" i="21"/>
  <c r="AD38" i="21"/>
  <c r="AD37" i="21"/>
  <c r="AD36" i="21"/>
  <c r="AD35" i="21"/>
  <c r="AD34" i="21"/>
  <c r="AD33" i="21"/>
  <c r="AD32" i="21"/>
  <c r="AD31" i="21"/>
  <c r="AD30" i="21"/>
  <c r="AD29" i="21"/>
  <c r="AD28" i="21"/>
  <c r="AD27" i="21"/>
  <c r="AD26" i="21"/>
  <c r="AD22" i="21"/>
  <c r="AD21" i="21"/>
  <c r="AD20" i="21"/>
  <c r="AD19" i="21"/>
  <c r="AD18" i="21"/>
  <c r="AD17" i="21"/>
  <c r="AD16" i="21"/>
  <c r="AD15" i="21"/>
  <c r="AD14" i="21"/>
  <c r="AD13" i="21"/>
  <c r="AD12" i="21"/>
  <c r="AD11" i="21"/>
  <c r="AD10" i="21"/>
  <c r="AD9" i="21"/>
  <c r="AD8" i="21"/>
  <c r="AD7" i="21"/>
  <c r="AD6" i="21"/>
  <c r="AD5" i="21"/>
  <c r="AD4" i="21"/>
  <c r="AD3" i="21"/>
  <c r="J34" i="75" l="1"/>
  <c r="J36" i="75"/>
  <c r="J43" i="75"/>
  <c r="J46" i="75"/>
  <c r="J37" i="75"/>
  <c r="J44" i="75"/>
  <c r="J41" i="75"/>
  <c r="J45" i="75"/>
  <c r="J38" i="75"/>
  <c r="J33" i="75"/>
  <c r="J39" i="75"/>
  <c r="J47" i="75"/>
  <c r="J40" i="75"/>
  <c r="J48" i="75"/>
  <c r="J49" i="75"/>
  <c r="J31" i="75"/>
  <c r="J30" i="75"/>
  <c r="J32" i="75"/>
  <c r="J42" i="75"/>
  <c r="J35" i="75"/>
  <c r="J7" i="75"/>
  <c r="J12" i="75"/>
  <c r="J5" i="75"/>
  <c r="J6" i="75"/>
  <c r="J26" i="75" s="1"/>
  <c r="J15" i="75"/>
  <c r="J14" i="75"/>
  <c r="J10" i="75"/>
  <c r="J16" i="75"/>
  <c r="J17" i="75"/>
  <c r="J8" i="75"/>
  <c r="J13" i="75"/>
  <c r="J11" i="75"/>
  <c r="J9" i="75"/>
  <c r="J20" i="75"/>
  <c r="J23" i="75"/>
  <c r="J21" i="75"/>
  <c r="J18" i="75"/>
  <c r="J22" i="75"/>
  <c r="J19" i="75"/>
  <c r="J24" i="75"/>
  <c r="J25" i="75"/>
  <c r="J4" i="75"/>
  <c r="Y30" i="2"/>
  <c r="AA52" i="74"/>
  <c r="AA51" i="74"/>
  <c r="AA51" i="62"/>
  <c r="AA51" i="50"/>
  <c r="AA49" i="50"/>
  <c r="AA52" i="50" s="1"/>
  <c r="AA26" i="50"/>
  <c r="AA47" i="50"/>
  <c r="AA46" i="50"/>
  <c r="AA45" i="50"/>
  <c r="AA44" i="50"/>
  <c r="AA43" i="50"/>
  <c r="AA43" i="74" s="1"/>
  <c r="AA42" i="50"/>
  <c r="AA41" i="50"/>
  <c r="AA40" i="50"/>
  <c r="AA39" i="50"/>
  <c r="AA38" i="50"/>
  <c r="AA37" i="50"/>
  <c r="AA36" i="50"/>
  <c r="AA35" i="50"/>
  <c r="AA35" i="74" s="1"/>
  <c r="AA34" i="50"/>
  <c r="AA33" i="50"/>
  <c r="AA32" i="50"/>
  <c r="AA31" i="50"/>
  <c r="AA30" i="50"/>
  <c r="AA29" i="50"/>
  <c r="AA28" i="50"/>
  <c r="AA24" i="50"/>
  <c r="AA23" i="50"/>
  <c r="AA22" i="50"/>
  <c r="AA21" i="50"/>
  <c r="AA20" i="50"/>
  <c r="AA19" i="50"/>
  <c r="AA19" i="74" s="1"/>
  <c r="AA18" i="50"/>
  <c r="AA17" i="50"/>
  <c r="AA16" i="50"/>
  <c r="AA15" i="50"/>
  <c r="AA14" i="50"/>
  <c r="AA13" i="50"/>
  <c r="AA12" i="50"/>
  <c r="AA11" i="50"/>
  <c r="AA11" i="74" s="1"/>
  <c r="AA10" i="50"/>
  <c r="AA9" i="50"/>
  <c r="AA8" i="50"/>
  <c r="AA7" i="50"/>
  <c r="AA6" i="50"/>
  <c r="AA5" i="50"/>
  <c r="AA4" i="50"/>
  <c r="AA3" i="50"/>
  <c r="AA3" i="74" s="1"/>
  <c r="Z47" i="50"/>
  <c r="Z46" i="50"/>
  <c r="Z45" i="50"/>
  <c r="Z44" i="50"/>
  <c r="Z43" i="50"/>
  <c r="Z43" i="74" s="1"/>
  <c r="Z42" i="50"/>
  <c r="Z42" i="74" s="1"/>
  <c r="Z41" i="50"/>
  <c r="Z40" i="50"/>
  <c r="Z39" i="50"/>
  <c r="Z38" i="50"/>
  <c r="Z37" i="50"/>
  <c r="Z36" i="50"/>
  <c r="Z35" i="50"/>
  <c r="Z35" i="74" s="1"/>
  <c r="Z34" i="50"/>
  <c r="Z34" i="74" s="1"/>
  <c r="Z33" i="50"/>
  <c r="Z32" i="50"/>
  <c r="Z31" i="50"/>
  <c r="Z30" i="50"/>
  <c r="Z29" i="50"/>
  <c r="Z28" i="50"/>
  <c r="Z49" i="50" s="1"/>
  <c r="Z24" i="50"/>
  <c r="Z24" i="74" s="1"/>
  <c r="AJ24" i="74" s="1"/>
  <c r="Z23" i="50"/>
  <c r="Z22" i="50"/>
  <c r="Z21" i="50"/>
  <c r="Z20" i="50"/>
  <c r="Z19" i="50"/>
  <c r="Z18" i="50"/>
  <c r="Z17" i="50"/>
  <c r="Z17" i="74" s="1"/>
  <c r="Z16" i="50"/>
  <c r="Z16" i="74" s="1"/>
  <c r="Z15" i="50"/>
  <c r="Z14" i="50"/>
  <c r="Z13" i="50"/>
  <c r="Z12" i="50"/>
  <c r="Z11" i="50"/>
  <c r="Z10" i="50"/>
  <c r="Z9" i="50"/>
  <c r="Z9" i="74" s="1"/>
  <c r="Z8" i="50"/>
  <c r="Z26" i="50" s="1"/>
  <c r="Z51" i="50" s="1"/>
  <c r="Z7" i="50"/>
  <c r="Z6" i="50"/>
  <c r="Z5" i="50"/>
  <c r="Z4" i="50"/>
  <c r="Z3" i="50"/>
  <c r="R35" i="2"/>
  <c r="W29" i="50"/>
  <c r="W30" i="50"/>
  <c r="W31" i="50"/>
  <c r="W32" i="50"/>
  <c r="W33" i="50"/>
  <c r="W49" i="50" s="1"/>
  <c r="W34" i="50"/>
  <c r="W35" i="50"/>
  <c r="W36" i="50"/>
  <c r="W37" i="50"/>
  <c r="W38" i="50"/>
  <c r="W39" i="50"/>
  <c r="W40" i="50"/>
  <c r="W41" i="50"/>
  <c r="W42" i="50"/>
  <c r="W43" i="50"/>
  <c r="W44" i="50"/>
  <c r="W45" i="50"/>
  <c r="W46" i="50"/>
  <c r="W47" i="50"/>
  <c r="W28" i="50"/>
  <c r="W24" i="50"/>
  <c r="W4" i="50"/>
  <c r="W5" i="50"/>
  <c r="W6" i="50"/>
  <c r="W7" i="50"/>
  <c r="W8" i="50"/>
  <c r="W9" i="50"/>
  <c r="W10" i="50"/>
  <c r="W11" i="50"/>
  <c r="W12" i="50"/>
  <c r="W13" i="50"/>
  <c r="W14" i="50"/>
  <c r="W15" i="50"/>
  <c r="W16" i="50"/>
  <c r="W17" i="50"/>
  <c r="W18" i="50"/>
  <c r="W19" i="50"/>
  <c r="W20" i="50"/>
  <c r="W21" i="50"/>
  <c r="W22" i="50"/>
  <c r="W23" i="50"/>
  <c r="W3" i="50"/>
  <c r="R4" i="37"/>
  <c r="R5" i="37"/>
  <c r="W5" i="37" s="1"/>
  <c r="R6" i="37"/>
  <c r="R7" i="37"/>
  <c r="R8" i="37"/>
  <c r="R9" i="37"/>
  <c r="R10" i="37"/>
  <c r="R11" i="37"/>
  <c r="W11" i="37" s="1"/>
  <c r="R12" i="37"/>
  <c r="R13" i="37"/>
  <c r="R14" i="37"/>
  <c r="W14" i="37" s="1"/>
  <c r="R15" i="37"/>
  <c r="R16" i="37"/>
  <c r="R17" i="37"/>
  <c r="R18" i="37"/>
  <c r="R19" i="37"/>
  <c r="W19" i="37" s="1"/>
  <c r="R20" i="37"/>
  <c r="R21" i="37"/>
  <c r="R22" i="37"/>
  <c r="W22" i="37" s="1"/>
  <c r="R23" i="37"/>
  <c r="R24" i="37"/>
  <c r="R3" i="37"/>
  <c r="X47" i="50"/>
  <c r="X46" i="50"/>
  <c r="X45" i="50"/>
  <c r="X45" i="74" s="1"/>
  <c r="X44" i="50"/>
  <c r="X43" i="50"/>
  <c r="X42" i="50"/>
  <c r="X41" i="50"/>
  <c r="X40" i="50"/>
  <c r="X39" i="50"/>
  <c r="X38" i="50"/>
  <c r="X37" i="50"/>
  <c r="X37" i="74" s="1"/>
  <c r="X36" i="50"/>
  <c r="X35" i="50"/>
  <c r="X34" i="50"/>
  <c r="X34" i="74" s="1"/>
  <c r="X33" i="50"/>
  <c r="X32" i="50"/>
  <c r="X31" i="50"/>
  <c r="X30" i="50"/>
  <c r="X29" i="50"/>
  <c r="X29" i="74" s="1"/>
  <c r="X28" i="50"/>
  <c r="X49" i="50" s="1"/>
  <c r="X24" i="50"/>
  <c r="X24" i="74" s="1"/>
  <c r="X23" i="50"/>
  <c r="X22" i="50"/>
  <c r="X21" i="50"/>
  <c r="X20" i="50"/>
  <c r="X19" i="50"/>
  <c r="X19" i="74" s="1"/>
  <c r="X18" i="50"/>
  <c r="X17" i="50"/>
  <c r="X16" i="50"/>
  <c r="X15" i="50"/>
  <c r="X14" i="50"/>
  <c r="X13" i="50"/>
  <c r="X12" i="50"/>
  <c r="X11" i="50"/>
  <c r="X11" i="74" s="1"/>
  <c r="X10" i="50"/>
  <c r="X9" i="50"/>
  <c r="X8" i="50"/>
  <c r="X8" i="74" s="1"/>
  <c r="X7" i="50"/>
  <c r="X6" i="50"/>
  <c r="X5" i="50"/>
  <c r="X4" i="50"/>
  <c r="X3" i="50"/>
  <c r="X3" i="74" s="1"/>
  <c r="X5" i="74"/>
  <c r="X6" i="74"/>
  <c r="X7" i="74"/>
  <c r="X13" i="74"/>
  <c r="X15" i="74"/>
  <c r="R29" i="36"/>
  <c r="R30" i="36"/>
  <c r="R31" i="36"/>
  <c r="R32" i="36"/>
  <c r="R33" i="36"/>
  <c r="R34" i="36"/>
  <c r="R35" i="36"/>
  <c r="R36" i="36"/>
  <c r="R37" i="36"/>
  <c r="R38" i="36"/>
  <c r="R39" i="36"/>
  <c r="R40" i="36"/>
  <c r="R41" i="36"/>
  <c r="R42" i="36"/>
  <c r="R43" i="36"/>
  <c r="R44" i="36"/>
  <c r="R45" i="36"/>
  <c r="R46" i="36"/>
  <c r="R47" i="36"/>
  <c r="R28" i="36"/>
  <c r="R4" i="36"/>
  <c r="R5" i="36"/>
  <c r="R6" i="36"/>
  <c r="W6" i="36" s="1"/>
  <c r="R7" i="36"/>
  <c r="R8" i="36"/>
  <c r="R9" i="36"/>
  <c r="R10" i="36"/>
  <c r="R11" i="36"/>
  <c r="R12" i="36"/>
  <c r="R13" i="36"/>
  <c r="R14" i="36"/>
  <c r="R15" i="36"/>
  <c r="R16" i="36"/>
  <c r="R17" i="36"/>
  <c r="R18" i="36"/>
  <c r="R19" i="36"/>
  <c r="W19" i="36" s="1"/>
  <c r="R20" i="36"/>
  <c r="R21" i="36"/>
  <c r="R22" i="36"/>
  <c r="R23" i="36"/>
  <c r="R24" i="36"/>
  <c r="R3" i="36"/>
  <c r="R29" i="37"/>
  <c r="R30" i="37"/>
  <c r="R31" i="37"/>
  <c r="R32" i="37"/>
  <c r="R33" i="37"/>
  <c r="R34" i="37"/>
  <c r="R35" i="37"/>
  <c r="R36" i="37"/>
  <c r="R37" i="37"/>
  <c r="R38" i="37"/>
  <c r="R39" i="37"/>
  <c r="R40" i="37"/>
  <c r="R41" i="37"/>
  <c r="R42" i="37"/>
  <c r="R43" i="37"/>
  <c r="R44" i="37"/>
  <c r="R45" i="37"/>
  <c r="R46" i="37"/>
  <c r="R47" i="37"/>
  <c r="R28" i="37"/>
  <c r="R9" i="46"/>
  <c r="R29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43" i="40"/>
  <c r="R44" i="40"/>
  <c r="R45" i="40"/>
  <c r="R46" i="40"/>
  <c r="R47" i="40"/>
  <c r="R28" i="40"/>
  <c r="R4" i="40"/>
  <c r="R5" i="40"/>
  <c r="R6" i="40"/>
  <c r="W6" i="40" s="1"/>
  <c r="R7" i="40"/>
  <c r="W7" i="40" s="1"/>
  <c r="R8" i="40"/>
  <c r="W8" i="40" s="1"/>
  <c r="R9" i="40"/>
  <c r="W9" i="40" s="1"/>
  <c r="R10" i="40"/>
  <c r="R11" i="40"/>
  <c r="W11" i="40" s="1"/>
  <c r="R12" i="40"/>
  <c r="R13" i="40"/>
  <c r="R14" i="40"/>
  <c r="R15" i="40"/>
  <c r="R16" i="40"/>
  <c r="W16" i="40" s="1"/>
  <c r="R17" i="40"/>
  <c r="W17" i="40" s="1"/>
  <c r="R18" i="40"/>
  <c r="R19" i="40"/>
  <c r="W19" i="40" s="1"/>
  <c r="R20" i="40"/>
  <c r="R21" i="40"/>
  <c r="R22" i="40"/>
  <c r="R23" i="40"/>
  <c r="R24" i="40"/>
  <c r="W24" i="40" s="1"/>
  <c r="R3" i="40"/>
  <c r="R14" i="50"/>
  <c r="W6" i="46"/>
  <c r="W6" i="37"/>
  <c r="W4" i="29"/>
  <c r="W5" i="29"/>
  <c r="W6" i="29"/>
  <c r="W7" i="29"/>
  <c r="W8" i="29"/>
  <c r="W9" i="29"/>
  <c r="W10" i="29"/>
  <c r="W11" i="29"/>
  <c r="W12" i="29"/>
  <c r="W13" i="29"/>
  <c r="W14" i="29"/>
  <c r="W15" i="29"/>
  <c r="W16" i="29"/>
  <c r="W17" i="29"/>
  <c r="W18" i="29"/>
  <c r="W19" i="29"/>
  <c r="W20" i="29"/>
  <c r="W21" i="29"/>
  <c r="W22" i="29"/>
  <c r="W4" i="46"/>
  <c r="W5" i="46"/>
  <c r="W7" i="46"/>
  <c r="W8" i="46"/>
  <c r="W9" i="46"/>
  <c r="W10" i="46"/>
  <c r="W11" i="46"/>
  <c r="W12" i="46"/>
  <c r="W13" i="46"/>
  <c r="W14" i="46"/>
  <c r="W15" i="46"/>
  <c r="W16" i="46"/>
  <c r="W17" i="46"/>
  <c r="W18" i="46"/>
  <c r="W19" i="46"/>
  <c r="W20" i="46"/>
  <c r="W21" i="46"/>
  <c r="W22" i="46"/>
  <c r="W23" i="46"/>
  <c r="W24" i="46"/>
  <c r="W4" i="40"/>
  <c r="W5" i="40"/>
  <c r="W10" i="40"/>
  <c r="W12" i="40"/>
  <c r="W13" i="40"/>
  <c r="W14" i="40"/>
  <c r="W15" i="40"/>
  <c r="W18" i="40"/>
  <c r="W20" i="40"/>
  <c r="W21" i="40"/>
  <c r="W22" i="40"/>
  <c r="W23" i="40"/>
  <c r="W4" i="37"/>
  <c r="W4" i="74" s="1"/>
  <c r="W7" i="37"/>
  <c r="W8" i="37"/>
  <c r="W9" i="37"/>
  <c r="W10" i="37"/>
  <c r="W12" i="37"/>
  <c r="W13" i="37"/>
  <c r="W15" i="37"/>
  <c r="W16" i="37"/>
  <c r="W17" i="37"/>
  <c r="W18" i="37"/>
  <c r="W20" i="37"/>
  <c r="W21" i="37"/>
  <c r="W23" i="37"/>
  <c r="W24" i="37"/>
  <c r="W4" i="36"/>
  <c r="W5" i="36"/>
  <c r="W7" i="36"/>
  <c r="W8" i="36"/>
  <c r="W9" i="36"/>
  <c r="W10" i="36"/>
  <c r="W11" i="36"/>
  <c r="W12" i="36"/>
  <c r="W13" i="36"/>
  <c r="W14" i="36"/>
  <c r="W15" i="36"/>
  <c r="W16" i="36"/>
  <c r="W17" i="36"/>
  <c r="W18" i="36"/>
  <c r="W20" i="36"/>
  <c r="W21" i="36"/>
  <c r="W22" i="36"/>
  <c r="W23" i="36"/>
  <c r="W24" i="36"/>
  <c r="W3" i="36"/>
  <c r="W28" i="36"/>
  <c r="AA47" i="74"/>
  <c r="AA42" i="74"/>
  <c r="AA39" i="74"/>
  <c r="AA34" i="74"/>
  <c r="AA31" i="74"/>
  <c r="AA24" i="74"/>
  <c r="AA16" i="74"/>
  <c r="AA9" i="74"/>
  <c r="X42" i="74"/>
  <c r="X31" i="74"/>
  <c r="X21" i="74"/>
  <c r="X18" i="74"/>
  <c r="X16" i="74"/>
  <c r="X10" i="74"/>
  <c r="T47" i="50"/>
  <c r="T46" i="50"/>
  <c r="T45" i="50"/>
  <c r="T44" i="50"/>
  <c r="T43" i="50"/>
  <c r="T43" i="74" s="1"/>
  <c r="T42" i="50"/>
  <c r="T41" i="50"/>
  <c r="T40" i="50"/>
  <c r="T39" i="50"/>
  <c r="T38" i="50"/>
  <c r="T37" i="50"/>
  <c r="T36" i="50"/>
  <c r="T35" i="50"/>
  <c r="T35" i="74" s="1"/>
  <c r="T34" i="50"/>
  <c r="T33" i="50"/>
  <c r="T32" i="50"/>
  <c r="T31" i="50"/>
  <c r="T30" i="50"/>
  <c r="T29" i="50"/>
  <c r="T28" i="50"/>
  <c r="T49" i="50" s="1"/>
  <c r="T24" i="50"/>
  <c r="T23" i="50"/>
  <c r="T22" i="50"/>
  <c r="T21" i="50"/>
  <c r="T20" i="50"/>
  <c r="T19" i="50"/>
  <c r="T18" i="50"/>
  <c r="T17" i="50"/>
  <c r="T16" i="50"/>
  <c r="T15" i="50"/>
  <c r="T14" i="50"/>
  <c r="T13" i="50"/>
  <c r="T12" i="50"/>
  <c r="T11" i="50"/>
  <c r="T10" i="50"/>
  <c r="T9" i="50"/>
  <c r="T26" i="50" s="1"/>
  <c r="T51" i="50" s="1"/>
  <c r="T8" i="50"/>
  <c r="T7" i="50"/>
  <c r="T6" i="50"/>
  <c r="T5" i="50"/>
  <c r="T4" i="50"/>
  <c r="T3" i="50"/>
  <c r="S47" i="50"/>
  <c r="S46" i="50"/>
  <c r="S46" i="74" s="1"/>
  <c r="S45" i="50"/>
  <c r="S44" i="50"/>
  <c r="S43" i="50"/>
  <c r="S42" i="50"/>
  <c r="S42" i="74" s="1"/>
  <c r="S41" i="50"/>
  <c r="S40" i="50"/>
  <c r="S39" i="50"/>
  <c r="S38" i="50"/>
  <c r="S38" i="74" s="1"/>
  <c r="S37" i="50"/>
  <c r="S36" i="50"/>
  <c r="S35" i="50"/>
  <c r="S34" i="50"/>
  <c r="S34" i="74" s="1"/>
  <c r="S33" i="50"/>
  <c r="S32" i="50"/>
  <c r="S31" i="50"/>
  <c r="S30" i="50"/>
  <c r="S30" i="74" s="1"/>
  <c r="S29" i="50"/>
  <c r="S28" i="50"/>
  <c r="S49" i="50" s="1"/>
  <c r="S24" i="50"/>
  <c r="S24" i="74" s="1"/>
  <c r="S23" i="50"/>
  <c r="S22" i="50"/>
  <c r="S21" i="50"/>
  <c r="S20" i="50"/>
  <c r="S20" i="74" s="1"/>
  <c r="S19" i="50"/>
  <c r="S19" i="74" s="1"/>
  <c r="S18" i="50"/>
  <c r="S17" i="50"/>
  <c r="S16" i="50"/>
  <c r="S16" i="74" s="1"/>
  <c r="S15" i="50"/>
  <c r="S14" i="50"/>
  <c r="S13" i="50"/>
  <c r="S12" i="50"/>
  <c r="S12" i="74" s="1"/>
  <c r="S11" i="50"/>
  <c r="S11" i="74" s="1"/>
  <c r="S10" i="50"/>
  <c r="S9" i="50"/>
  <c r="S8" i="50"/>
  <c r="S8" i="74" s="1"/>
  <c r="S7" i="50"/>
  <c r="S6" i="50"/>
  <c r="S5" i="50"/>
  <c r="S4" i="50"/>
  <c r="S4" i="74" s="1"/>
  <c r="S3" i="50"/>
  <c r="S3" i="74" s="1"/>
  <c r="Q47" i="50"/>
  <c r="Q46" i="50"/>
  <c r="Q45" i="50"/>
  <c r="Q44" i="50"/>
  <c r="Q43" i="50"/>
  <c r="Q42" i="50"/>
  <c r="Q41" i="50"/>
  <c r="Q40" i="50"/>
  <c r="Q39" i="50"/>
  <c r="Q38" i="50"/>
  <c r="Q37" i="50"/>
  <c r="Q36" i="50"/>
  <c r="Q35" i="50"/>
  <c r="Q34" i="50"/>
  <c r="Q33" i="50"/>
  <c r="Q32" i="50"/>
  <c r="Q31" i="50"/>
  <c r="Q30" i="50"/>
  <c r="Q29" i="50"/>
  <c r="R29" i="50" s="1"/>
  <c r="Q28" i="50"/>
  <c r="Q49" i="50" s="1"/>
  <c r="Q24" i="50"/>
  <c r="Q23" i="50"/>
  <c r="Q22" i="50"/>
  <c r="Q21" i="50"/>
  <c r="Q20" i="50"/>
  <c r="Q19" i="50"/>
  <c r="Q19" i="74" s="1"/>
  <c r="Q18" i="50"/>
  <c r="Q17" i="50"/>
  <c r="Q16" i="50"/>
  <c r="Q15" i="50"/>
  <c r="Q14" i="50"/>
  <c r="Q13" i="50"/>
  <c r="Q12" i="50"/>
  <c r="Q11" i="50"/>
  <c r="Q11" i="74" s="1"/>
  <c r="Q10" i="50"/>
  <c r="Q9" i="50"/>
  <c r="Q8" i="50"/>
  <c r="Q7" i="50"/>
  <c r="Q6" i="50"/>
  <c r="Q5" i="50"/>
  <c r="Q4" i="50"/>
  <c r="Q3" i="50"/>
  <c r="Q3" i="74" s="1"/>
  <c r="P3" i="50"/>
  <c r="P9" i="50"/>
  <c r="P8" i="50"/>
  <c r="P8" i="74" s="1"/>
  <c r="P29" i="50"/>
  <c r="P30" i="50"/>
  <c r="P31" i="50"/>
  <c r="P32" i="50"/>
  <c r="P33" i="50"/>
  <c r="P34" i="50"/>
  <c r="P34" i="74" s="1"/>
  <c r="P35" i="50"/>
  <c r="P35" i="74" s="1"/>
  <c r="P36" i="50"/>
  <c r="P37" i="50"/>
  <c r="P38" i="50"/>
  <c r="P39" i="50"/>
  <c r="P40" i="50"/>
  <c r="P41" i="50"/>
  <c r="P42" i="50"/>
  <c r="P42" i="74" s="1"/>
  <c r="AK42" i="74" s="1"/>
  <c r="P43" i="50"/>
  <c r="P43" i="74" s="1"/>
  <c r="P44" i="50"/>
  <c r="P44" i="74" s="1"/>
  <c r="P45" i="50"/>
  <c r="P46" i="50"/>
  <c r="P47" i="50"/>
  <c r="P28" i="50"/>
  <c r="P11" i="50"/>
  <c r="P12" i="50"/>
  <c r="P13" i="50"/>
  <c r="P14" i="50"/>
  <c r="P15" i="50"/>
  <c r="P15" i="74" s="1"/>
  <c r="P16" i="50"/>
  <c r="P17" i="50"/>
  <c r="P17" i="74" s="1"/>
  <c r="P18" i="50"/>
  <c r="P18" i="74" s="1"/>
  <c r="P19" i="50"/>
  <c r="P20" i="50"/>
  <c r="P21" i="50"/>
  <c r="P22" i="50"/>
  <c r="P23" i="50"/>
  <c r="P23" i="74" s="1"/>
  <c r="AK23" i="74" s="1"/>
  <c r="P24" i="50"/>
  <c r="P10" i="50"/>
  <c r="P10" i="74" s="1"/>
  <c r="W47" i="29"/>
  <c r="W26" i="29"/>
  <c r="W24" i="29"/>
  <c r="L17" i="2" s="1"/>
  <c r="W3" i="29"/>
  <c r="P41" i="74"/>
  <c r="R29" i="62"/>
  <c r="R30" i="62"/>
  <c r="R31" i="62"/>
  <c r="R32" i="62"/>
  <c r="J38" i="72" s="1"/>
  <c r="R33" i="62"/>
  <c r="J30" i="72" s="1"/>
  <c r="R34" i="62"/>
  <c r="R35" i="62"/>
  <c r="R36" i="62"/>
  <c r="R37" i="62"/>
  <c r="R38" i="62"/>
  <c r="R39" i="62"/>
  <c r="R40" i="62"/>
  <c r="O40" i="62" s="1"/>
  <c r="R41" i="62"/>
  <c r="R42" i="62"/>
  <c r="J45" i="72" s="1"/>
  <c r="R43" i="62"/>
  <c r="R44" i="62"/>
  <c r="J47" i="72" s="1"/>
  <c r="R45" i="62"/>
  <c r="R46" i="62"/>
  <c r="R47" i="62"/>
  <c r="J39" i="72"/>
  <c r="O35" i="62"/>
  <c r="J41" i="72"/>
  <c r="O43" i="62"/>
  <c r="R28" i="62"/>
  <c r="R4" i="62"/>
  <c r="R5" i="62"/>
  <c r="R6" i="62"/>
  <c r="R7" i="62"/>
  <c r="R8" i="62"/>
  <c r="R9" i="62"/>
  <c r="R10" i="62"/>
  <c r="J13" i="72" s="1"/>
  <c r="R11" i="62"/>
  <c r="J15" i="72" s="1"/>
  <c r="R12" i="62"/>
  <c r="R13" i="62"/>
  <c r="R14" i="62"/>
  <c r="R15" i="62"/>
  <c r="R16" i="62"/>
  <c r="R17" i="62"/>
  <c r="R18" i="62"/>
  <c r="J19" i="72" s="1"/>
  <c r="R19" i="62"/>
  <c r="J20" i="72" s="1"/>
  <c r="R20" i="62"/>
  <c r="R21" i="62"/>
  <c r="R22" i="62"/>
  <c r="R23" i="62"/>
  <c r="R24" i="62"/>
  <c r="R3" i="62"/>
  <c r="W28" i="62"/>
  <c r="W29" i="62"/>
  <c r="W30" i="62"/>
  <c r="W31" i="62"/>
  <c r="W32" i="62"/>
  <c r="W33" i="62"/>
  <c r="W34" i="62"/>
  <c r="W35" i="62"/>
  <c r="W36" i="62"/>
  <c r="W37" i="62"/>
  <c r="W38" i="62"/>
  <c r="W39" i="62"/>
  <c r="W40" i="62"/>
  <c r="W41" i="62"/>
  <c r="W42" i="62"/>
  <c r="W43" i="62"/>
  <c r="W44" i="62"/>
  <c r="W45" i="62"/>
  <c r="W46" i="62"/>
  <c r="W47" i="62"/>
  <c r="W4" i="62"/>
  <c r="W5" i="62"/>
  <c r="W6" i="62"/>
  <c r="W7" i="62"/>
  <c r="W8" i="62"/>
  <c r="W9" i="62"/>
  <c r="W10" i="62"/>
  <c r="W11" i="62"/>
  <c r="W12" i="62"/>
  <c r="W13" i="62"/>
  <c r="W14" i="62"/>
  <c r="W15" i="62"/>
  <c r="W16" i="62"/>
  <c r="W17" i="62"/>
  <c r="W18" i="62"/>
  <c r="W19" i="62"/>
  <c r="W20" i="62"/>
  <c r="W21" i="62"/>
  <c r="W22" i="62"/>
  <c r="W23" i="62"/>
  <c r="W24" i="62"/>
  <c r="W3" i="62"/>
  <c r="K31" i="2"/>
  <c r="Y3" i="2"/>
  <c r="W35" i="2"/>
  <c r="U35" i="2"/>
  <c r="AB54" i="74"/>
  <c r="AC54" i="74"/>
  <c r="AA53" i="74"/>
  <c r="Z53" i="74"/>
  <c r="X53" i="74"/>
  <c r="U53" i="74"/>
  <c r="T53" i="74"/>
  <c r="X35" i="2"/>
  <c r="AD53" i="74" s="1"/>
  <c r="V35" i="2"/>
  <c r="T35" i="2"/>
  <c r="S35" i="2"/>
  <c r="Q35" i="2"/>
  <c r="P35" i="2"/>
  <c r="O35" i="2"/>
  <c r="N35" i="2"/>
  <c r="M35" i="2"/>
  <c r="K35" i="2"/>
  <c r="J35" i="2"/>
  <c r="I35" i="2"/>
  <c r="H35" i="2"/>
  <c r="G35" i="2"/>
  <c r="F35" i="2"/>
  <c r="K53" i="74" s="1"/>
  <c r="E35" i="2"/>
  <c r="Q53" i="74"/>
  <c r="P53" i="74"/>
  <c r="S53" i="74"/>
  <c r="AA46" i="74"/>
  <c r="AA45" i="74"/>
  <c r="AA44" i="74"/>
  <c r="AA41" i="74"/>
  <c r="AA40" i="74"/>
  <c r="AA38" i="74"/>
  <c r="AA37" i="74"/>
  <c r="AA36" i="74"/>
  <c r="AA33" i="74"/>
  <c r="AK33" i="74" s="1"/>
  <c r="AA32" i="74"/>
  <c r="AA30" i="74"/>
  <c r="AA29" i="74"/>
  <c r="AA28" i="74"/>
  <c r="AA23" i="74"/>
  <c r="AA22" i="74"/>
  <c r="AA21" i="74"/>
  <c r="AA20" i="74"/>
  <c r="AA18" i="74"/>
  <c r="AA15" i="74"/>
  <c r="AA14" i="74"/>
  <c r="AA13" i="74"/>
  <c r="AA12" i="74"/>
  <c r="AA10" i="74"/>
  <c r="AA7" i="74"/>
  <c r="AA6" i="74"/>
  <c r="AA5" i="74"/>
  <c r="AA4" i="74"/>
  <c r="Z47" i="74"/>
  <c r="Z46" i="74"/>
  <c r="Z45" i="74"/>
  <c r="Z44" i="74"/>
  <c r="Z41" i="74"/>
  <c r="Z40" i="74"/>
  <c r="AJ40" i="74" s="1"/>
  <c r="Z39" i="74"/>
  <c r="Z38" i="74"/>
  <c r="Z37" i="74"/>
  <c r="Z36" i="74"/>
  <c r="Z33" i="74"/>
  <c r="AJ33" i="74" s="1"/>
  <c r="Z32" i="74"/>
  <c r="Z31" i="74"/>
  <c r="Z30" i="74"/>
  <c r="Z29" i="74"/>
  <c r="Z28" i="74"/>
  <c r="Z23" i="74"/>
  <c r="Z22" i="74"/>
  <c r="Z21" i="74"/>
  <c r="Z20" i="74"/>
  <c r="Z19" i="74"/>
  <c r="Z18" i="74"/>
  <c r="Z15" i="74"/>
  <c r="Z14" i="74"/>
  <c r="AJ14" i="74" s="1"/>
  <c r="Z13" i="74"/>
  <c r="Z12" i="74"/>
  <c r="Z11" i="74"/>
  <c r="Z10" i="74"/>
  <c r="Z7" i="74"/>
  <c r="Z6" i="74"/>
  <c r="Z5" i="74"/>
  <c r="AJ5" i="74" s="1"/>
  <c r="Z4" i="74"/>
  <c r="Z3" i="74"/>
  <c r="X47" i="74"/>
  <c r="X46" i="74"/>
  <c r="X44" i="74"/>
  <c r="X43" i="74"/>
  <c r="X41" i="74"/>
  <c r="X40" i="74"/>
  <c r="X39" i="74"/>
  <c r="X38" i="74"/>
  <c r="X36" i="74"/>
  <c r="X35" i="74"/>
  <c r="X33" i="74"/>
  <c r="X32" i="74"/>
  <c r="X30" i="74"/>
  <c r="X28" i="74"/>
  <c r="X23" i="74"/>
  <c r="X22" i="74"/>
  <c r="X20" i="74"/>
  <c r="X17" i="74"/>
  <c r="X14" i="74"/>
  <c r="X12" i="74"/>
  <c r="X9" i="74"/>
  <c r="X4" i="74"/>
  <c r="T47" i="74"/>
  <c r="T46" i="74"/>
  <c r="T45" i="74"/>
  <c r="T44" i="74"/>
  <c r="T42" i="74"/>
  <c r="T41" i="74"/>
  <c r="T40" i="74"/>
  <c r="T39" i="74"/>
  <c r="T38" i="74"/>
  <c r="T37" i="74"/>
  <c r="T36" i="74"/>
  <c r="T34" i="74"/>
  <c r="T33" i="74"/>
  <c r="T32" i="74"/>
  <c r="T31" i="74"/>
  <c r="T30" i="74"/>
  <c r="T29" i="74"/>
  <c r="T28" i="74"/>
  <c r="T24" i="74"/>
  <c r="T23" i="74"/>
  <c r="T22" i="74"/>
  <c r="T21" i="74"/>
  <c r="T20" i="74"/>
  <c r="T19" i="74"/>
  <c r="T18" i="74"/>
  <c r="T17" i="74"/>
  <c r="T16" i="74"/>
  <c r="T15" i="74"/>
  <c r="T14" i="74"/>
  <c r="T13" i="74"/>
  <c r="T12" i="74"/>
  <c r="T11" i="74"/>
  <c r="T10" i="74"/>
  <c r="T9" i="74"/>
  <c r="T8" i="74"/>
  <c r="T7" i="74"/>
  <c r="T6" i="74"/>
  <c r="T5" i="74"/>
  <c r="T4" i="74"/>
  <c r="T3" i="74"/>
  <c r="S47" i="74"/>
  <c r="S45" i="74"/>
  <c r="S44" i="74"/>
  <c r="S43" i="74"/>
  <c r="S41" i="74"/>
  <c r="U41" i="74" s="1"/>
  <c r="S40" i="74"/>
  <c r="S39" i="74"/>
  <c r="S37" i="74"/>
  <c r="S36" i="74"/>
  <c r="S35" i="74"/>
  <c r="S33" i="74"/>
  <c r="S32" i="74"/>
  <c r="S31" i="74"/>
  <c r="S29" i="74"/>
  <c r="S28" i="74"/>
  <c r="S23" i="74"/>
  <c r="S22" i="74"/>
  <c r="S21" i="74"/>
  <c r="S18" i="74"/>
  <c r="S17" i="74"/>
  <c r="S15" i="74"/>
  <c r="S14" i="74"/>
  <c r="U14" i="74" s="1"/>
  <c r="S13" i="74"/>
  <c r="S10" i="74"/>
  <c r="U10" i="74" s="1"/>
  <c r="S9" i="74"/>
  <c r="S7" i="74"/>
  <c r="S6" i="74"/>
  <c r="S5" i="74"/>
  <c r="Q47" i="74"/>
  <c r="Q46" i="74"/>
  <c r="Q45" i="74"/>
  <c r="Q44" i="74"/>
  <c r="Q43" i="74"/>
  <c r="Q42" i="74"/>
  <c r="Q41" i="74"/>
  <c r="Q40" i="74"/>
  <c r="Q39" i="74"/>
  <c r="Q38" i="74"/>
  <c r="Q37" i="74"/>
  <c r="Q36" i="74"/>
  <c r="Q35" i="74"/>
  <c r="Q34" i="74"/>
  <c r="Q33" i="74"/>
  <c r="Q32" i="74"/>
  <c r="Q31" i="74"/>
  <c r="Q30" i="74"/>
  <c r="Q29" i="74"/>
  <c r="Q28" i="74"/>
  <c r="Q24" i="74"/>
  <c r="Q23" i="74"/>
  <c r="Q22" i="74"/>
  <c r="Q21" i="74"/>
  <c r="Q20" i="74"/>
  <c r="Q18" i="74"/>
  <c r="Q17" i="74"/>
  <c r="Q16" i="74"/>
  <c r="Q15" i="74"/>
  <c r="Q14" i="74"/>
  <c r="Q13" i="74"/>
  <c r="Q12" i="74"/>
  <c r="Q10" i="74"/>
  <c r="Q9" i="74"/>
  <c r="Q8" i="74"/>
  <c r="Q7" i="74"/>
  <c r="Q6" i="74"/>
  <c r="Q5" i="74"/>
  <c r="Q4" i="74"/>
  <c r="P47" i="74"/>
  <c r="P46" i="74"/>
  <c r="AK46" i="74" s="1"/>
  <c r="P45" i="74"/>
  <c r="P40" i="74"/>
  <c r="P39" i="74"/>
  <c r="P38" i="74"/>
  <c r="AJ38" i="74" s="1"/>
  <c r="P37" i="74"/>
  <c r="P36" i="74"/>
  <c r="P33" i="74"/>
  <c r="P32" i="74"/>
  <c r="P31" i="74"/>
  <c r="P30" i="74"/>
  <c r="R30" i="74" s="1"/>
  <c r="P29" i="74"/>
  <c r="P28" i="74"/>
  <c r="P24" i="74"/>
  <c r="AK24" i="74" s="1"/>
  <c r="P22" i="74"/>
  <c r="P21" i="74"/>
  <c r="P20" i="74"/>
  <c r="P19" i="74"/>
  <c r="P16" i="74"/>
  <c r="P14" i="74"/>
  <c r="P13" i="74"/>
  <c r="P12" i="74"/>
  <c r="P11" i="74"/>
  <c r="P9" i="74"/>
  <c r="P7" i="74"/>
  <c r="P6" i="74"/>
  <c r="P5" i="74"/>
  <c r="P4" i="74"/>
  <c r="P3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1" i="74"/>
  <c r="K42" i="74"/>
  <c r="K43" i="74"/>
  <c r="K44" i="74"/>
  <c r="K45" i="74"/>
  <c r="K46" i="74"/>
  <c r="K47" i="74"/>
  <c r="K9" i="74"/>
  <c r="K8" i="74"/>
  <c r="N27" i="16"/>
  <c r="O27" i="16"/>
  <c r="N28" i="16"/>
  <c r="O28" i="16"/>
  <c r="N29" i="16"/>
  <c r="O29" i="16"/>
  <c r="N30" i="16"/>
  <c r="O30" i="16"/>
  <c r="N31" i="16"/>
  <c r="O31" i="16"/>
  <c r="N32" i="16"/>
  <c r="O32" i="16"/>
  <c r="N33" i="16"/>
  <c r="O33" i="16"/>
  <c r="N34" i="16"/>
  <c r="O34" i="16"/>
  <c r="N35" i="16"/>
  <c r="O35" i="16"/>
  <c r="N36" i="16"/>
  <c r="O36" i="16"/>
  <c r="N37" i="16"/>
  <c r="O37" i="16"/>
  <c r="N38" i="16"/>
  <c r="O38" i="16"/>
  <c r="N39" i="16"/>
  <c r="O39" i="16"/>
  <c r="N40" i="16"/>
  <c r="O40" i="16"/>
  <c r="N41" i="16"/>
  <c r="O41" i="16"/>
  <c r="N42" i="16"/>
  <c r="O42" i="16"/>
  <c r="N43" i="16"/>
  <c r="O43" i="16"/>
  <c r="N44" i="16"/>
  <c r="O44" i="16"/>
  <c r="N45" i="16"/>
  <c r="O45" i="16"/>
  <c r="O26" i="16"/>
  <c r="N26" i="16"/>
  <c r="N4" i="16"/>
  <c r="O4" i="16"/>
  <c r="N5" i="16"/>
  <c r="O5" i="16"/>
  <c r="N6" i="16"/>
  <c r="O6" i="16"/>
  <c r="N7" i="16"/>
  <c r="O7" i="16"/>
  <c r="N8" i="16"/>
  <c r="O8" i="16"/>
  <c r="N9" i="16"/>
  <c r="O9" i="16"/>
  <c r="N10" i="16"/>
  <c r="O10" i="16"/>
  <c r="N11" i="16"/>
  <c r="O11" i="16"/>
  <c r="N12" i="16"/>
  <c r="O12" i="16"/>
  <c r="N13" i="16"/>
  <c r="O13" i="16"/>
  <c r="N14" i="16"/>
  <c r="O14" i="16"/>
  <c r="N15" i="16"/>
  <c r="O15" i="16"/>
  <c r="N16" i="16"/>
  <c r="O16" i="16"/>
  <c r="N17" i="16"/>
  <c r="O17" i="16"/>
  <c r="N18" i="16"/>
  <c r="O18" i="16"/>
  <c r="N19" i="16"/>
  <c r="O19" i="16"/>
  <c r="N20" i="16"/>
  <c r="O20" i="16"/>
  <c r="N21" i="16"/>
  <c r="O21" i="16"/>
  <c r="N22" i="16"/>
  <c r="O22" i="16"/>
  <c r="O3" i="16"/>
  <c r="N3" i="16"/>
  <c r="N27" i="20"/>
  <c r="O27" i="20"/>
  <c r="N28" i="20"/>
  <c r="O28" i="20"/>
  <c r="N29" i="20"/>
  <c r="O29" i="20"/>
  <c r="N30" i="20"/>
  <c r="O30" i="20"/>
  <c r="N31" i="20"/>
  <c r="O31" i="20"/>
  <c r="N32" i="20"/>
  <c r="O32" i="20"/>
  <c r="N33" i="20"/>
  <c r="O33" i="20"/>
  <c r="N34" i="20"/>
  <c r="O34" i="20"/>
  <c r="N35" i="20"/>
  <c r="O35" i="20"/>
  <c r="N36" i="20"/>
  <c r="O36" i="20"/>
  <c r="N37" i="20"/>
  <c r="O37" i="20"/>
  <c r="N38" i="20"/>
  <c r="O38" i="20"/>
  <c r="N39" i="20"/>
  <c r="O39" i="20"/>
  <c r="N40" i="20"/>
  <c r="O40" i="20"/>
  <c r="N41" i="20"/>
  <c r="O41" i="20"/>
  <c r="N42" i="20"/>
  <c r="O42" i="20"/>
  <c r="N43" i="20"/>
  <c r="O43" i="20"/>
  <c r="N44" i="20"/>
  <c r="O44" i="20"/>
  <c r="N45" i="20"/>
  <c r="O45" i="20"/>
  <c r="O26" i="20"/>
  <c r="N26" i="20"/>
  <c r="N4" i="20"/>
  <c r="O4" i="20"/>
  <c r="N5" i="20"/>
  <c r="O5" i="20"/>
  <c r="N6" i="20"/>
  <c r="O6" i="20"/>
  <c r="N7" i="20"/>
  <c r="O7" i="20"/>
  <c r="N8" i="20"/>
  <c r="O8" i="20"/>
  <c r="N9" i="20"/>
  <c r="O9" i="20"/>
  <c r="N10" i="20"/>
  <c r="O10" i="20"/>
  <c r="N11" i="20"/>
  <c r="O11" i="20"/>
  <c r="N12" i="20"/>
  <c r="O12" i="20"/>
  <c r="N13" i="20"/>
  <c r="O13" i="20"/>
  <c r="N14" i="20"/>
  <c r="O14" i="20"/>
  <c r="N15" i="20"/>
  <c r="O15" i="20"/>
  <c r="N16" i="20"/>
  <c r="O16" i="20"/>
  <c r="N17" i="20"/>
  <c r="O17" i="20"/>
  <c r="N18" i="20"/>
  <c r="O18" i="20"/>
  <c r="N19" i="20"/>
  <c r="O19" i="20"/>
  <c r="N20" i="20"/>
  <c r="O20" i="20"/>
  <c r="N21" i="20"/>
  <c r="O21" i="20"/>
  <c r="N22" i="20"/>
  <c r="O22" i="20"/>
  <c r="O3" i="20"/>
  <c r="N3" i="20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10" i="74"/>
  <c r="K4" i="74"/>
  <c r="K5" i="74"/>
  <c r="K6" i="74"/>
  <c r="K7" i="74"/>
  <c r="K3" i="74"/>
  <c r="K60" i="74"/>
  <c r="L60" i="74" s="1"/>
  <c r="I60" i="74"/>
  <c r="K58" i="74"/>
  <c r="L58" i="74" s="1"/>
  <c r="I58" i="74"/>
  <c r="J51" i="74"/>
  <c r="G51" i="74"/>
  <c r="F51" i="74"/>
  <c r="E51" i="74"/>
  <c r="D51" i="74"/>
  <c r="AC49" i="74"/>
  <c r="AB49" i="74"/>
  <c r="C49" i="74"/>
  <c r="AH47" i="74"/>
  <c r="U47" i="74"/>
  <c r="M47" i="74"/>
  <c r="L47" i="74"/>
  <c r="I47" i="74"/>
  <c r="AH46" i="74"/>
  <c r="R46" i="74"/>
  <c r="M46" i="74"/>
  <c r="L46" i="74"/>
  <c r="I46" i="74"/>
  <c r="AH45" i="74"/>
  <c r="M45" i="74"/>
  <c r="L45" i="74"/>
  <c r="I45" i="74"/>
  <c r="AH44" i="74"/>
  <c r="M44" i="74"/>
  <c r="L44" i="74"/>
  <c r="I44" i="74"/>
  <c r="AH43" i="74"/>
  <c r="M43" i="74"/>
  <c r="L43" i="74"/>
  <c r="I43" i="74"/>
  <c r="AH42" i="74"/>
  <c r="M42" i="74"/>
  <c r="L42" i="74"/>
  <c r="I42" i="74"/>
  <c r="AH41" i="74"/>
  <c r="M41" i="74"/>
  <c r="L41" i="74"/>
  <c r="I41" i="74"/>
  <c r="AH40" i="74"/>
  <c r="U40" i="74"/>
  <c r="R40" i="74"/>
  <c r="AG40" i="74" s="1"/>
  <c r="AM40" i="74" s="1"/>
  <c r="M40" i="74"/>
  <c r="L40" i="74"/>
  <c r="I40" i="74"/>
  <c r="AH39" i="74"/>
  <c r="U39" i="74"/>
  <c r="M39" i="74"/>
  <c r="L39" i="74"/>
  <c r="I39" i="74"/>
  <c r="AK38" i="74"/>
  <c r="AH38" i="74"/>
  <c r="M38" i="74"/>
  <c r="L38" i="74"/>
  <c r="I38" i="74"/>
  <c r="AK37" i="74"/>
  <c r="AH37" i="74"/>
  <c r="M37" i="74"/>
  <c r="L37" i="74"/>
  <c r="I37" i="74"/>
  <c r="AH36" i="74"/>
  <c r="M36" i="74"/>
  <c r="L36" i="74"/>
  <c r="I36" i="74"/>
  <c r="AH35" i="74"/>
  <c r="M35" i="74"/>
  <c r="L35" i="74"/>
  <c r="I35" i="74"/>
  <c r="AH34" i="74"/>
  <c r="M34" i="74"/>
  <c r="L34" i="74"/>
  <c r="I34" i="74"/>
  <c r="AH33" i="74"/>
  <c r="U33" i="74"/>
  <c r="R33" i="74"/>
  <c r="AI33" i="74" s="1"/>
  <c r="M33" i="74"/>
  <c r="L33" i="74"/>
  <c r="I33" i="74"/>
  <c r="AK32" i="74"/>
  <c r="AJ32" i="74"/>
  <c r="AH32" i="74"/>
  <c r="U32" i="74"/>
  <c r="R32" i="74"/>
  <c r="M32" i="74"/>
  <c r="L32" i="74"/>
  <c r="I32" i="74"/>
  <c r="AH31" i="74"/>
  <c r="U31" i="74"/>
  <c r="M31" i="74"/>
  <c r="L31" i="74"/>
  <c r="I31" i="74"/>
  <c r="AK30" i="74"/>
  <c r="AJ30" i="74"/>
  <c r="AH30" i="74"/>
  <c r="M30" i="74"/>
  <c r="L30" i="74"/>
  <c r="I30" i="74"/>
  <c r="AH29" i="74"/>
  <c r="M29" i="74"/>
  <c r="L29" i="74"/>
  <c r="I29" i="74"/>
  <c r="AH28" i="74"/>
  <c r="AH48" i="74" s="1"/>
  <c r="M28" i="74"/>
  <c r="L28" i="74"/>
  <c r="I28" i="74"/>
  <c r="I49" i="74" s="1"/>
  <c r="AC26" i="74"/>
  <c r="AC51" i="74" s="1"/>
  <c r="AB26" i="74"/>
  <c r="C26" i="74"/>
  <c r="C51" i="74" s="1"/>
  <c r="AH24" i="74"/>
  <c r="M24" i="74"/>
  <c r="L24" i="74"/>
  <c r="I24" i="74"/>
  <c r="AH23" i="74"/>
  <c r="U23" i="74"/>
  <c r="Y23" i="74" s="1"/>
  <c r="M23" i="74"/>
  <c r="L23" i="74"/>
  <c r="I23" i="74"/>
  <c r="AH22" i="74"/>
  <c r="U22" i="74"/>
  <c r="M22" i="74"/>
  <c r="L22" i="74"/>
  <c r="I22" i="74"/>
  <c r="AH21" i="74"/>
  <c r="U21" i="74"/>
  <c r="R21" i="74"/>
  <c r="M21" i="74"/>
  <c r="L21" i="74"/>
  <c r="I21" i="74"/>
  <c r="AH20" i="74"/>
  <c r="AK20" i="74"/>
  <c r="M20" i="74"/>
  <c r="L20" i="74"/>
  <c r="I20" i="74"/>
  <c r="AH19" i="74"/>
  <c r="M19" i="74"/>
  <c r="L19" i="74"/>
  <c r="I19" i="74"/>
  <c r="AH18" i="74"/>
  <c r="M18" i="74"/>
  <c r="L18" i="74"/>
  <c r="I18" i="74"/>
  <c r="AH17" i="74"/>
  <c r="M17" i="74"/>
  <c r="L17" i="74"/>
  <c r="I17" i="74"/>
  <c r="AH16" i="74"/>
  <c r="M16" i="74"/>
  <c r="L16" i="74"/>
  <c r="I16" i="74"/>
  <c r="AH15" i="74"/>
  <c r="U15" i="74"/>
  <c r="M15" i="74"/>
  <c r="L15" i="74"/>
  <c r="I15" i="74"/>
  <c r="AH14" i="74"/>
  <c r="M14" i="74"/>
  <c r="L14" i="74"/>
  <c r="I14" i="74"/>
  <c r="AH13" i="74"/>
  <c r="U13" i="74"/>
  <c r="M13" i="74"/>
  <c r="L13" i="74"/>
  <c r="I13" i="74"/>
  <c r="AJ12" i="74"/>
  <c r="AH12" i="74"/>
  <c r="AK12" i="74"/>
  <c r="M12" i="74"/>
  <c r="L12" i="74"/>
  <c r="I12" i="74"/>
  <c r="AH11" i="74"/>
  <c r="M11" i="74"/>
  <c r="L11" i="74"/>
  <c r="I11" i="74"/>
  <c r="AH10" i="74"/>
  <c r="M10" i="74"/>
  <c r="L10" i="74"/>
  <c r="I10" i="74"/>
  <c r="AH9" i="74"/>
  <c r="M9" i="74"/>
  <c r="L9" i="74"/>
  <c r="I9" i="74"/>
  <c r="AH8" i="74"/>
  <c r="M8" i="74"/>
  <c r="L8" i="74"/>
  <c r="I8" i="74"/>
  <c r="AH7" i="74"/>
  <c r="U7" i="74"/>
  <c r="M7" i="74"/>
  <c r="L7" i="74"/>
  <c r="I7" i="74"/>
  <c r="AJ6" i="74"/>
  <c r="AH6" i="74"/>
  <c r="U6" i="74"/>
  <c r="M6" i="74"/>
  <c r="L6" i="74"/>
  <c r="I6" i="74"/>
  <c r="AH5" i="74"/>
  <c r="R5" i="74"/>
  <c r="M5" i="74"/>
  <c r="L5" i="74"/>
  <c r="I5" i="74"/>
  <c r="AK4" i="74"/>
  <c r="AJ4" i="74"/>
  <c r="AH4" i="74"/>
  <c r="M4" i="74"/>
  <c r="L4" i="74"/>
  <c r="I4" i="74"/>
  <c r="AH3" i="74"/>
  <c r="AH25" i="74" s="1"/>
  <c r="M3" i="74"/>
  <c r="L3" i="74"/>
  <c r="I3" i="74"/>
  <c r="I26" i="74" s="1"/>
  <c r="I51" i="74" s="1"/>
  <c r="AI17" i="2"/>
  <c r="AH17" i="2"/>
  <c r="AG17" i="2"/>
  <c r="C14" i="1"/>
  <c r="C13" i="1"/>
  <c r="C12" i="1"/>
  <c r="C11" i="1"/>
  <c r="C6" i="1"/>
  <c r="C5" i="1"/>
  <c r="C4" i="1"/>
  <c r="C3" i="1"/>
  <c r="M23" i="73"/>
  <c r="M22" i="73"/>
  <c r="M20" i="73"/>
  <c r="M19" i="73"/>
  <c r="M17" i="73"/>
  <c r="M15" i="73"/>
  <c r="G23" i="73"/>
  <c r="G22" i="73"/>
  <c r="G20" i="73"/>
  <c r="G19" i="73"/>
  <c r="G17" i="73"/>
  <c r="G15" i="73"/>
  <c r="AB5" i="73"/>
  <c r="Y5" i="73"/>
  <c r="V5" i="73"/>
  <c r="U5" i="73"/>
  <c r="T5" i="73"/>
  <c r="S5" i="73"/>
  <c r="R5" i="73"/>
  <c r="R8" i="73" s="1"/>
  <c r="Q5" i="73"/>
  <c r="P5" i="73"/>
  <c r="O5" i="73"/>
  <c r="N5" i="73"/>
  <c r="M5" i="73"/>
  <c r="L5" i="73"/>
  <c r="K5" i="73"/>
  <c r="J5" i="73"/>
  <c r="I5" i="73"/>
  <c r="H5" i="73"/>
  <c r="G5" i="73"/>
  <c r="F5" i="73"/>
  <c r="E5" i="73"/>
  <c r="D5" i="73"/>
  <c r="C5" i="73"/>
  <c r="AB4" i="73"/>
  <c r="Y4" i="73"/>
  <c r="V4" i="73"/>
  <c r="U4" i="73"/>
  <c r="T4" i="73"/>
  <c r="S4" i="73"/>
  <c r="R4" i="73"/>
  <c r="Q4" i="73"/>
  <c r="Q8" i="73" s="1"/>
  <c r="P4" i="73"/>
  <c r="O4" i="73"/>
  <c r="N4" i="73"/>
  <c r="M4" i="73"/>
  <c r="L4" i="73"/>
  <c r="K4" i="73"/>
  <c r="J4" i="73"/>
  <c r="I4" i="73"/>
  <c r="H4" i="73"/>
  <c r="G4" i="73"/>
  <c r="F4" i="73"/>
  <c r="E4" i="73"/>
  <c r="D4" i="73"/>
  <c r="C4" i="73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K45" i="2"/>
  <c r="K44" i="2"/>
  <c r="J45" i="2"/>
  <c r="J44" i="2"/>
  <c r="M41" i="2"/>
  <c r="N41" i="2"/>
  <c r="O41" i="2"/>
  <c r="P41" i="2"/>
  <c r="Q41" i="2"/>
  <c r="R41" i="2"/>
  <c r="S41" i="2"/>
  <c r="T41" i="2"/>
  <c r="U41" i="2"/>
  <c r="V41" i="2"/>
  <c r="W41" i="2"/>
  <c r="X41" i="2"/>
  <c r="M42" i="2"/>
  <c r="N42" i="2"/>
  <c r="O42" i="2"/>
  <c r="P42" i="2"/>
  <c r="Q42" i="2"/>
  <c r="R42" i="2"/>
  <c r="S42" i="2"/>
  <c r="T42" i="2"/>
  <c r="U42" i="2"/>
  <c r="V42" i="2"/>
  <c r="W42" i="2"/>
  <c r="X42" i="2"/>
  <c r="L42" i="2"/>
  <c r="L41" i="2"/>
  <c r="J42" i="2"/>
  <c r="J41" i="2"/>
  <c r="J35" i="72"/>
  <c r="J36" i="72"/>
  <c r="J37" i="72"/>
  <c r="J42" i="72"/>
  <c r="J43" i="72"/>
  <c r="J32" i="72"/>
  <c r="J44" i="72"/>
  <c r="J33" i="72"/>
  <c r="J34" i="72"/>
  <c r="J48" i="72"/>
  <c r="J49" i="72"/>
  <c r="J31" i="72"/>
  <c r="J6" i="72"/>
  <c r="J9" i="72"/>
  <c r="J5" i="72"/>
  <c r="J7" i="72"/>
  <c r="J12" i="72"/>
  <c r="J10" i="72"/>
  <c r="J16" i="72"/>
  <c r="J11" i="72"/>
  <c r="J14" i="72"/>
  <c r="J8" i="72"/>
  <c r="J17" i="72"/>
  <c r="J18" i="72"/>
  <c r="J21" i="72"/>
  <c r="J22" i="72"/>
  <c r="J23" i="72"/>
  <c r="J24" i="72"/>
  <c r="J25" i="72"/>
  <c r="J4" i="72"/>
  <c r="V29" i="62"/>
  <c r="V30" i="62"/>
  <c r="V31" i="62"/>
  <c r="V32" i="62"/>
  <c r="V33" i="62"/>
  <c r="V34" i="62"/>
  <c r="V35" i="62"/>
  <c r="V36" i="62"/>
  <c r="V37" i="62"/>
  <c r="V38" i="62"/>
  <c r="V39" i="62"/>
  <c r="V40" i="62"/>
  <c r="V41" i="62"/>
  <c r="V42" i="62"/>
  <c r="V43" i="62"/>
  <c r="V44" i="62"/>
  <c r="V45" i="62"/>
  <c r="V46" i="62"/>
  <c r="V47" i="62"/>
  <c r="V28" i="62"/>
  <c r="K29" i="62"/>
  <c r="N29" i="62" s="1"/>
  <c r="L29" i="62"/>
  <c r="M29" i="62"/>
  <c r="P29" i="62"/>
  <c r="Q29" i="62"/>
  <c r="S29" i="62"/>
  <c r="U29" i="62" s="1"/>
  <c r="T29" i="62"/>
  <c r="X29" i="62"/>
  <c r="Z29" i="62"/>
  <c r="AA29" i="62"/>
  <c r="K30" i="62"/>
  <c r="L30" i="62"/>
  <c r="M30" i="62"/>
  <c r="N30" i="62"/>
  <c r="P30" i="62"/>
  <c r="Q30" i="62"/>
  <c r="S30" i="62"/>
  <c r="U30" i="62" s="1"/>
  <c r="T30" i="62"/>
  <c r="X30" i="62"/>
  <c r="Y30" i="62" s="1"/>
  <c r="Z30" i="62"/>
  <c r="AA30" i="62"/>
  <c r="K31" i="62"/>
  <c r="L31" i="62"/>
  <c r="M31" i="62"/>
  <c r="N31" i="62"/>
  <c r="P31" i="62"/>
  <c r="Q31" i="62"/>
  <c r="S31" i="62"/>
  <c r="T31" i="62"/>
  <c r="U31" i="62"/>
  <c r="X31" i="62"/>
  <c r="Y31" i="62" s="1"/>
  <c r="Z31" i="62"/>
  <c r="AA31" i="62"/>
  <c r="K32" i="62"/>
  <c r="L32" i="62"/>
  <c r="M32" i="62"/>
  <c r="N32" i="62"/>
  <c r="P32" i="62"/>
  <c r="Q32" i="62"/>
  <c r="S32" i="62"/>
  <c r="T32" i="62"/>
  <c r="U32" i="62"/>
  <c r="X32" i="62"/>
  <c r="Y32" i="62" s="1"/>
  <c r="Z32" i="62"/>
  <c r="AA32" i="62"/>
  <c r="K33" i="62"/>
  <c r="N33" i="62" s="1"/>
  <c r="L33" i="62"/>
  <c r="M33" i="62"/>
  <c r="P33" i="62"/>
  <c r="Q33" i="62"/>
  <c r="S33" i="62"/>
  <c r="T33" i="62"/>
  <c r="U33" i="62"/>
  <c r="X33" i="62"/>
  <c r="Y33" i="62" s="1"/>
  <c r="Z33" i="62"/>
  <c r="AA33" i="62"/>
  <c r="K34" i="62"/>
  <c r="N34" i="62" s="1"/>
  <c r="L34" i="62"/>
  <c r="M34" i="62"/>
  <c r="P34" i="62"/>
  <c r="Q34" i="62"/>
  <c r="O34" i="62"/>
  <c r="S34" i="62"/>
  <c r="U34" i="62" s="1"/>
  <c r="T34" i="62"/>
  <c r="X34" i="62"/>
  <c r="Y34" i="62" s="1"/>
  <c r="Z34" i="62"/>
  <c r="AA34" i="62"/>
  <c r="K35" i="62"/>
  <c r="N35" i="62" s="1"/>
  <c r="L35" i="62"/>
  <c r="M35" i="62"/>
  <c r="P35" i="62"/>
  <c r="Q35" i="62"/>
  <c r="S35" i="62"/>
  <c r="U35" i="62" s="1"/>
  <c r="T35" i="62"/>
  <c r="X35" i="62"/>
  <c r="Z35" i="62"/>
  <c r="AA35" i="62"/>
  <c r="K36" i="62"/>
  <c r="N36" i="62" s="1"/>
  <c r="L36" i="62"/>
  <c r="M36" i="62"/>
  <c r="P36" i="62"/>
  <c r="Q36" i="62"/>
  <c r="S36" i="62"/>
  <c r="U36" i="62" s="1"/>
  <c r="T36" i="62"/>
  <c r="X36" i="62"/>
  <c r="Z36" i="62"/>
  <c r="AA36" i="62"/>
  <c r="K37" i="62"/>
  <c r="N37" i="62" s="1"/>
  <c r="L37" i="62"/>
  <c r="M37" i="62"/>
  <c r="P37" i="62"/>
  <c r="Q37" i="62"/>
  <c r="S37" i="62"/>
  <c r="U37" i="62" s="1"/>
  <c r="T37" i="62"/>
  <c r="X37" i="62"/>
  <c r="Z37" i="62"/>
  <c r="AA37" i="62"/>
  <c r="K38" i="62"/>
  <c r="L38" i="62"/>
  <c r="M38" i="62"/>
  <c r="N38" i="62"/>
  <c r="P38" i="62"/>
  <c r="Q38" i="62"/>
  <c r="S38" i="62"/>
  <c r="U38" i="62" s="1"/>
  <c r="T38" i="62"/>
  <c r="X38" i="62"/>
  <c r="Y38" i="62" s="1"/>
  <c r="Z38" i="62"/>
  <c r="AA38" i="62"/>
  <c r="K39" i="62"/>
  <c r="L39" i="62"/>
  <c r="M39" i="62"/>
  <c r="N39" i="62"/>
  <c r="P39" i="62"/>
  <c r="Q39" i="62"/>
  <c r="S39" i="62"/>
  <c r="T39" i="62"/>
  <c r="U39" i="62"/>
  <c r="X39" i="62"/>
  <c r="Y39" i="62" s="1"/>
  <c r="Z39" i="62"/>
  <c r="AA39" i="62"/>
  <c r="K40" i="62"/>
  <c r="L40" i="62"/>
  <c r="M40" i="62"/>
  <c r="N40" i="62"/>
  <c r="P40" i="62"/>
  <c r="Q40" i="62"/>
  <c r="S40" i="62"/>
  <c r="T40" i="62"/>
  <c r="U40" i="62"/>
  <c r="X40" i="62"/>
  <c r="Y40" i="62" s="1"/>
  <c r="Z40" i="62"/>
  <c r="AA40" i="62"/>
  <c r="K41" i="62"/>
  <c r="N41" i="62" s="1"/>
  <c r="L41" i="62"/>
  <c r="M41" i="62"/>
  <c r="P41" i="62"/>
  <c r="Q41" i="62"/>
  <c r="S41" i="62"/>
  <c r="T41" i="62"/>
  <c r="U41" i="62"/>
  <c r="X41" i="62"/>
  <c r="Y41" i="62" s="1"/>
  <c r="Z41" i="62"/>
  <c r="AA41" i="62"/>
  <c r="K42" i="62"/>
  <c r="N42" i="62" s="1"/>
  <c r="L42" i="62"/>
  <c r="M42" i="62"/>
  <c r="P42" i="62"/>
  <c r="Q42" i="62"/>
  <c r="O42" i="62"/>
  <c r="S42" i="62"/>
  <c r="U42" i="62" s="1"/>
  <c r="T42" i="62"/>
  <c r="X42" i="62"/>
  <c r="Z42" i="62"/>
  <c r="AA42" i="62"/>
  <c r="K43" i="62"/>
  <c r="N43" i="62" s="1"/>
  <c r="L43" i="62"/>
  <c r="M43" i="62"/>
  <c r="P43" i="62"/>
  <c r="Q43" i="62"/>
  <c r="S43" i="62"/>
  <c r="U43" i="62" s="1"/>
  <c r="T43" i="62"/>
  <c r="X43" i="62"/>
  <c r="Z43" i="62"/>
  <c r="AA43" i="62"/>
  <c r="K44" i="62"/>
  <c r="N44" i="62" s="1"/>
  <c r="L44" i="62"/>
  <c r="M44" i="62"/>
  <c r="P44" i="62"/>
  <c r="Q44" i="62"/>
  <c r="S44" i="62"/>
  <c r="U44" i="62" s="1"/>
  <c r="T44" i="62"/>
  <c r="X44" i="62"/>
  <c r="Z44" i="62"/>
  <c r="AA44" i="62"/>
  <c r="K45" i="62"/>
  <c r="N45" i="62" s="1"/>
  <c r="L45" i="62"/>
  <c r="M45" i="62"/>
  <c r="P45" i="62"/>
  <c r="Q45" i="62"/>
  <c r="S45" i="62"/>
  <c r="U45" i="62" s="1"/>
  <c r="T45" i="62"/>
  <c r="X45" i="62"/>
  <c r="Z45" i="62"/>
  <c r="AA45" i="62"/>
  <c r="K46" i="62"/>
  <c r="L46" i="62"/>
  <c r="M46" i="62"/>
  <c r="N46" i="62"/>
  <c r="P46" i="62"/>
  <c r="Q46" i="62"/>
  <c r="S46" i="62"/>
  <c r="U46" i="62" s="1"/>
  <c r="T46" i="62"/>
  <c r="X46" i="62"/>
  <c r="Y46" i="62" s="1"/>
  <c r="Z46" i="62"/>
  <c r="AA46" i="62"/>
  <c r="K47" i="62"/>
  <c r="L47" i="62"/>
  <c r="M47" i="62"/>
  <c r="N47" i="62"/>
  <c r="P47" i="62"/>
  <c r="Q47" i="62"/>
  <c r="S47" i="62"/>
  <c r="T47" i="62"/>
  <c r="U47" i="62"/>
  <c r="X47" i="62"/>
  <c r="Y47" i="62" s="1"/>
  <c r="Z47" i="62"/>
  <c r="AA47" i="62"/>
  <c r="AA28" i="62"/>
  <c r="Z28" i="62"/>
  <c r="X28" i="62"/>
  <c r="Y28" i="62" s="1"/>
  <c r="U28" i="62"/>
  <c r="T28" i="62"/>
  <c r="S28" i="62"/>
  <c r="Q28" i="62"/>
  <c r="P28" i="62"/>
  <c r="M28" i="62"/>
  <c r="L28" i="62"/>
  <c r="K28" i="62"/>
  <c r="N28" i="62" s="1"/>
  <c r="Y17" i="62"/>
  <c r="K4" i="62"/>
  <c r="L4" i="62"/>
  <c r="M4" i="62"/>
  <c r="N4" i="62"/>
  <c r="P4" i="62"/>
  <c r="Q4" i="62"/>
  <c r="S4" i="62"/>
  <c r="T4" i="62"/>
  <c r="U4" i="62"/>
  <c r="X4" i="62"/>
  <c r="Y4" i="62" s="1"/>
  <c r="Z4" i="62"/>
  <c r="AA4" i="62"/>
  <c r="K5" i="62"/>
  <c r="L5" i="62"/>
  <c r="M5" i="62"/>
  <c r="N5" i="62"/>
  <c r="P5" i="62"/>
  <c r="Q5" i="62"/>
  <c r="S5" i="62"/>
  <c r="T5" i="62"/>
  <c r="U5" i="62"/>
  <c r="X5" i="62"/>
  <c r="Z5" i="62"/>
  <c r="AA5" i="62"/>
  <c r="K6" i="62"/>
  <c r="L6" i="62"/>
  <c r="M6" i="62"/>
  <c r="N6" i="62"/>
  <c r="P6" i="62"/>
  <c r="Q6" i="62"/>
  <c r="S6" i="62"/>
  <c r="T6" i="62"/>
  <c r="U6" i="62" s="1"/>
  <c r="X6" i="62"/>
  <c r="Z6" i="62"/>
  <c r="AA6" i="62"/>
  <c r="K7" i="62"/>
  <c r="N7" i="62" s="1"/>
  <c r="L7" i="62"/>
  <c r="M7" i="62"/>
  <c r="O7" i="62"/>
  <c r="P7" i="62"/>
  <c r="Q7" i="62"/>
  <c r="S7" i="62"/>
  <c r="U7" i="62" s="1"/>
  <c r="T7" i="62"/>
  <c r="X7" i="62"/>
  <c r="Y7" i="62" s="1"/>
  <c r="Z7" i="62"/>
  <c r="AA7" i="62"/>
  <c r="K8" i="62"/>
  <c r="N8" i="62" s="1"/>
  <c r="L8" i="62"/>
  <c r="M8" i="62"/>
  <c r="P8" i="62"/>
  <c r="Q8" i="62"/>
  <c r="O8" i="62"/>
  <c r="S8" i="62"/>
  <c r="U8" i="62" s="1"/>
  <c r="T8" i="62"/>
  <c r="X8" i="62"/>
  <c r="Z8" i="62"/>
  <c r="AA8" i="62"/>
  <c r="K9" i="62"/>
  <c r="N9" i="62" s="1"/>
  <c r="L9" i="62"/>
  <c r="M9" i="62"/>
  <c r="P9" i="62"/>
  <c r="Q9" i="62"/>
  <c r="O9" i="62"/>
  <c r="S9" i="62"/>
  <c r="U9" i="62" s="1"/>
  <c r="T9" i="62"/>
  <c r="X9" i="62"/>
  <c r="Z9" i="62"/>
  <c r="AA9" i="62"/>
  <c r="K10" i="62"/>
  <c r="N10" i="62" s="1"/>
  <c r="L10" i="62"/>
  <c r="M10" i="62"/>
  <c r="P10" i="62"/>
  <c r="Q10" i="62"/>
  <c r="S10" i="62"/>
  <c r="U10" i="62" s="1"/>
  <c r="T10" i="62"/>
  <c r="X10" i="62"/>
  <c r="Z10" i="62"/>
  <c r="AA10" i="62"/>
  <c r="K11" i="62"/>
  <c r="N11" i="62" s="1"/>
  <c r="L11" i="62"/>
  <c r="M11" i="62"/>
  <c r="P11" i="62"/>
  <c r="Q11" i="62"/>
  <c r="S11" i="62"/>
  <c r="U11" i="62" s="1"/>
  <c r="T11" i="62"/>
  <c r="X11" i="62"/>
  <c r="Z11" i="62"/>
  <c r="AA11" i="62"/>
  <c r="K12" i="62"/>
  <c r="L12" i="62"/>
  <c r="M12" i="62"/>
  <c r="N12" i="62"/>
  <c r="P12" i="62"/>
  <c r="Q12" i="62"/>
  <c r="S12" i="62"/>
  <c r="T12" i="62"/>
  <c r="U12" i="62"/>
  <c r="X12" i="62"/>
  <c r="Y12" i="62" s="1"/>
  <c r="Z12" i="62"/>
  <c r="AA12" i="62"/>
  <c r="K13" i="62"/>
  <c r="L13" i="62"/>
  <c r="M13" i="62"/>
  <c r="N13" i="62"/>
  <c r="P13" i="62"/>
  <c r="Q13" i="62"/>
  <c r="S13" i="62"/>
  <c r="T13" i="62"/>
  <c r="U13" i="62"/>
  <c r="Y13" i="62" s="1"/>
  <c r="X13" i="62"/>
  <c r="Z13" i="62"/>
  <c r="AA13" i="62"/>
  <c r="K14" i="62"/>
  <c r="L14" i="62"/>
  <c r="M14" i="62"/>
  <c r="N14" i="62"/>
  <c r="P14" i="62"/>
  <c r="Q14" i="62"/>
  <c r="S14" i="62"/>
  <c r="T14" i="62"/>
  <c r="U14" i="62"/>
  <c r="X14" i="62"/>
  <c r="Y14" i="62" s="1"/>
  <c r="Z14" i="62"/>
  <c r="AA14" i="62"/>
  <c r="K15" i="62"/>
  <c r="N15" i="62" s="1"/>
  <c r="L15" i="62"/>
  <c r="M15" i="62"/>
  <c r="O15" i="62"/>
  <c r="P15" i="62"/>
  <c r="Q15" i="62"/>
  <c r="S15" i="62"/>
  <c r="T15" i="62"/>
  <c r="U15" i="62"/>
  <c r="X15" i="62"/>
  <c r="Y15" i="62" s="1"/>
  <c r="Z15" i="62"/>
  <c r="AA15" i="62"/>
  <c r="K16" i="62"/>
  <c r="N16" i="62" s="1"/>
  <c r="L16" i="62"/>
  <c r="M16" i="62"/>
  <c r="P16" i="62"/>
  <c r="Q16" i="62"/>
  <c r="O16" i="62"/>
  <c r="S16" i="62"/>
  <c r="U16" i="62" s="1"/>
  <c r="T16" i="62"/>
  <c r="X16" i="62"/>
  <c r="Z16" i="62"/>
  <c r="AA16" i="62"/>
  <c r="K17" i="62"/>
  <c r="N17" i="62" s="1"/>
  <c r="L17" i="62"/>
  <c r="M17" i="62"/>
  <c r="P17" i="62"/>
  <c r="Q17" i="62"/>
  <c r="O17" i="62"/>
  <c r="S17" i="62"/>
  <c r="U17" i="62" s="1"/>
  <c r="T17" i="62"/>
  <c r="X17" i="62"/>
  <c r="Z17" i="62"/>
  <c r="AA17" i="62"/>
  <c r="K18" i="62"/>
  <c r="N18" i="62" s="1"/>
  <c r="L18" i="62"/>
  <c r="M18" i="62"/>
  <c r="P18" i="62"/>
  <c r="Q18" i="62"/>
  <c r="S18" i="62"/>
  <c r="U18" i="62" s="1"/>
  <c r="T18" i="62"/>
  <c r="X18" i="62"/>
  <c r="Z18" i="62"/>
  <c r="AA18" i="62"/>
  <c r="K19" i="62"/>
  <c r="N19" i="62" s="1"/>
  <c r="L19" i="62"/>
  <c r="M19" i="62"/>
  <c r="P19" i="62"/>
  <c r="Q19" i="62"/>
  <c r="S19" i="62"/>
  <c r="U19" i="62" s="1"/>
  <c r="T19" i="62"/>
  <c r="X19" i="62"/>
  <c r="Z19" i="62"/>
  <c r="AA19" i="62"/>
  <c r="K20" i="62"/>
  <c r="L20" i="62"/>
  <c r="M20" i="62"/>
  <c r="N20" i="62"/>
  <c r="P20" i="62"/>
  <c r="Q20" i="62"/>
  <c r="S20" i="62"/>
  <c r="T20" i="62"/>
  <c r="U20" i="62"/>
  <c r="X20" i="62"/>
  <c r="Y20" i="62" s="1"/>
  <c r="Z20" i="62"/>
  <c r="AA20" i="62"/>
  <c r="K21" i="62"/>
  <c r="L21" i="62"/>
  <c r="M21" i="62"/>
  <c r="N21" i="62"/>
  <c r="P21" i="62"/>
  <c r="Q21" i="62"/>
  <c r="S21" i="62"/>
  <c r="T21" i="62"/>
  <c r="U21" i="62"/>
  <c r="Y21" i="62" s="1"/>
  <c r="X21" i="62"/>
  <c r="Z21" i="62"/>
  <c r="AA21" i="62"/>
  <c r="K22" i="62"/>
  <c r="L22" i="62"/>
  <c r="M22" i="62"/>
  <c r="N22" i="62"/>
  <c r="P22" i="62"/>
  <c r="Q22" i="62"/>
  <c r="S22" i="62"/>
  <c r="T22" i="62"/>
  <c r="U22" i="62"/>
  <c r="X22" i="62"/>
  <c r="Y22" i="62" s="1"/>
  <c r="Z22" i="62"/>
  <c r="AA22" i="62"/>
  <c r="K23" i="62"/>
  <c r="N23" i="62" s="1"/>
  <c r="L23" i="62"/>
  <c r="M23" i="62"/>
  <c r="O23" i="62"/>
  <c r="P23" i="62"/>
  <c r="Q23" i="62"/>
  <c r="S23" i="62"/>
  <c r="T23" i="62"/>
  <c r="U23" i="62"/>
  <c r="X23" i="62"/>
  <c r="Y23" i="62" s="1"/>
  <c r="Z23" i="62"/>
  <c r="AA23" i="62"/>
  <c r="K24" i="62"/>
  <c r="N24" i="62" s="1"/>
  <c r="L24" i="62"/>
  <c r="M24" i="62"/>
  <c r="P24" i="62"/>
  <c r="Q24" i="62"/>
  <c r="O24" i="62"/>
  <c r="S24" i="62"/>
  <c r="U24" i="62" s="1"/>
  <c r="T24" i="62"/>
  <c r="X24" i="62"/>
  <c r="Z24" i="62"/>
  <c r="AA24" i="62"/>
  <c r="AA3" i="62"/>
  <c r="Z3" i="62"/>
  <c r="Y3" i="62"/>
  <c r="X3" i="62"/>
  <c r="U3" i="62"/>
  <c r="T3" i="62"/>
  <c r="S3" i="62"/>
  <c r="Q3" i="62"/>
  <c r="P3" i="62"/>
  <c r="O3" i="62"/>
  <c r="N3" i="62"/>
  <c r="K3" i="62"/>
  <c r="J31" i="71"/>
  <c r="J32" i="71"/>
  <c r="J33" i="71"/>
  <c r="J34" i="71"/>
  <c r="J35" i="71"/>
  <c r="J36" i="71"/>
  <c r="J37" i="71"/>
  <c r="J38" i="71"/>
  <c r="J39" i="71"/>
  <c r="J40" i="71"/>
  <c r="J41" i="71"/>
  <c r="J42" i="71"/>
  <c r="J43" i="71"/>
  <c r="J44" i="71"/>
  <c r="J45" i="71"/>
  <c r="J46" i="71"/>
  <c r="J47" i="71"/>
  <c r="J48" i="71"/>
  <c r="J49" i="71"/>
  <c r="J30" i="71"/>
  <c r="J6" i="71"/>
  <c r="J9" i="71"/>
  <c r="J5" i="71"/>
  <c r="J14" i="71"/>
  <c r="J15" i="71"/>
  <c r="J16" i="71"/>
  <c r="J7" i="71"/>
  <c r="J10" i="71"/>
  <c r="J13" i="71"/>
  <c r="J8" i="71"/>
  <c r="J11" i="71"/>
  <c r="J12" i="71"/>
  <c r="J17" i="71"/>
  <c r="J18" i="71"/>
  <c r="J19" i="71"/>
  <c r="J20" i="71"/>
  <c r="J21" i="71"/>
  <c r="J22" i="71"/>
  <c r="J23" i="71"/>
  <c r="J24" i="71"/>
  <c r="J25" i="71"/>
  <c r="J4" i="71"/>
  <c r="C31" i="71"/>
  <c r="C32" i="71"/>
  <c r="C44" i="71"/>
  <c r="C33" i="71"/>
  <c r="C43" i="71"/>
  <c r="C34" i="71"/>
  <c r="C35" i="71"/>
  <c r="C36" i="71"/>
  <c r="C37" i="71"/>
  <c r="C45" i="71"/>
  <c r="C38" i="71"/>
  <c r="C39" i="71"/>
  <c r="C40" i="71"/>
  <c r="C49" i="71"/>
  <c r="C41" i="71"/>
  <c r="C47" i="71"/>
  <c r="C48" i="71"/>
  <c r="C46" i="71"/>
  <c r="C42" i="71"/>
  <c r="C30" i="71"/>
  <c r="C7" i="71"/>
  <c r="C9" i="71"/>
  <c r="C25" i="71"/>
  <c r="C12" i="71"/>
  <c r="C20" i="71"/>
  <c r="C24" i="71"/>
  <c r="C6" i="71"/>
  <c r="C8" i="71"/>
  <c r="C11" i="71"/>
  <c r="C5" i="71"/>
  <c r="C10" i="71"/>
  <c r="C22" i="71"/>
  <c r="C23" i="71"/>
  <c r="C13" i="71"/>
  <c r="C14" i="71"/>
  <c r="C15" i="71"/>
  <c r="C21" i="71"/>
  <c r="C16" i="71"/>
  <c r="C17" i="71"/>
  <c r="C18" i="71"/>
  <c r="C19" i="71"/>
  <c r="C4" i="71"/>
  <c r="V47" i="53"/>
  <c r="V46" i="53"/>
  <c r="V45" i="53"/>
  <c r="V44" i="53"/>
  <c r="V43" i="53"/>
  <c r="V42" i="53"/>
  <c r="V41" i="53"/>
  <c r="V40" i="53"/>
  <c r="V39" i="53"/>
  <c r="V38" i="53"/>
  <c r="V37" i="53"/>
  <c r="V36" i="53"/>
  <c r="V35" i="53"/>
  <c r="V34" i="53"/>
  <c r="V33" i="53"/>
  <c r="V32" i="53"/>
  <c r="V31" i="53"/>
  <c r="V30" i="53"/>
  <c r="V29" i="53"/>
  <c r="V49" i="53" s="1"/>
  <c r="V28" i="53"/>
  <c r="V24" i="53"/>
  <c r="V23" i="53"/>
  <c r="V22" i="53"/>
  <c r="V21" i="53"/>
  <c r="V20" i="53"/>
  <c r="V19" i="53"/>
  <c r="V18" i="53"/>
  <c r="V17" i="53"/>
  <c r="V16" i="53"/>
  <c r="V15" i="53"/>
  <c r="V14" i="53"/>
  <c r="V13" i="53"/>
  <c r="V12" i="53"/>
  <c r="V11" i="53"/>
  <c r="V10" i="53"/>
  <c r="V9" i="53"/>
  <c r="V8" i="53"/>
  <c r="V7" i="53"/>
  <c r="V6" i="53"/>
  <c r="V5" i="53"/>
  <c r="V4" i="53"/>
  <c r="V3" i="53"/>
  <c r="V26" i="53" s="1"/>
  <c r="V51" i="53" s="1"/>
  <c r="V47" i="54"/>
  <c r="V29" i="54"/>
  <c r="V30" i="54"/>
  <c r="V31" i="54"/>
  <c r="V32" i="54"/>
  <c r="V33" i="54"/>
  <c r="V34" i="54"/>
  <c r="V35" i="54"/>
  <c r="V36" i="54"/>
  <c r="V37" i="54"/>
  <c r="V38" i="54"/>
  <c r="V39" i="54"/>
  <c r="V40" i="54"/>
  <c r="V41" i="54"/>
  <c r="V42" i="54"/>
  <c r="V43" i="54"/>
  <c r="V44" i="54"/>
  <c r="V45" i="54"/>
  <c r="V46" i="54"/>
  <c r="V28" i="54"/>
  <c r="V26" i="54"/>
  <c r="V5" i="54"/>
  <c r="V6" i="54"/>
  <c r="V7" i="54"/>
  <c r="V8" i="54"/>
  <c r="V9" i="54"/>
  <c r="V10" i="54"/>
  <c r="V11" i="54"/>
  <c r="V12" i="54"/>
  <c r="V13" i="54"/>
  <c r="V14" i="54"/>
  <c r="V15" i="54"/>
  <c r="V16" i="54"/>
  <c r="V17" i="54"/>
  <c r="V18" i="54"/>
  <c r="V19" i="54"/>
  <c r="V20" i="54"/>
  <c r="V21" i="54"/>
  <c r="V22" i="54"/>
  <c r="V23" i="54"/>
  <c r="V24" i="54"/>
  <c r="V3" i="54"/>
  <c r="V4" i="54"/>
  <c r="U26" i="54"/>
  <c r="N29" i="54"/>
  <c r="O29" i="54"/>
  <c r="N30" i="54"/>
  <c r="O30" i="54"/>
  <c r="N31" i="54"/>
  <c r="O31" i="54"/>
  <c r="N32" i="54"/>
  <c r="O32" i="54"/>
  <c r="N33" i="54"/>
  <c r="O33" i="54"/>
  <c r="N34" i="54"/>
  <c r="O34" i="54"/>
  <c r="N35" i="54"/>
  <c r="O35" i="54"/>
  <c r="N36" i="54"/>
  <c r="O36" i="54"/>
  <c r="N37" i="54"/>
  <c r="O37" i="54"/>
  <c r="N38" i="54"/>
  <c r="O38" i="54"/>
  <c r="N39" i="54"/>
  <c r="O39" i="54"/>
  <c r="N40" i="54"/>
  <c r="O40" i="54"/>
  <c r="N41" i="54"/>
  <c r="O41" i="54"/>
  <c r="N42" i="54"/>
  <c r="O42" i="54"/>
  <c r="N43" i="54"/>
  <c r="O43" i="54"/>
  <c r="N44" i="54"/>
  <c r="O44" i="54"/>
  <c r="N45" i="54"/>
  <c r="O45" i="54"/>
  <c r="N46" i="54"/>
  <c r="O46" i="54"/>
  <c r="N47" i="54"/>
  <c r="O47" i="54"/>
  <c r="O28" i="54"/>
  <c r="N28" i="54"/>
  <c r="N4" i="54"/>
  <c r="O4" i="54"/>
  <c r="N5" i="54"/>
  <c r="O5" i="54"/>
  <c r="N6" i="54"/>
  <c r="O6" i="54"/>
  <c r="N7" i="54"/>
  <c r="O7" i="54"/>
  <c r="N8" i="54"/>
  <c r="O8" i="54"/>
  <c r="N9" i="54"/>
  <c r="O9" i="54"/>
  <c r="N10" i="54"/>
  <c r="O10" i="54"/>
  <c r="N11" i="54"/>
  <c r="O11" i="54"/>
  <c r="N12" i="54"/>
  <c r="O12" i="54"/>
  <c r="N13" i="54"/>
  <c r="O13" i="54"/>
  <c r="N14" i="54"/>
  <c r="O14" i="54"/>
  <c r="N15" i="54"/>
  <c r="O15" i="54"/>
  <c r="N16" i="54"/>
  <c r="O16" i="54"/>
  <c r="N17" i="54"/>
  <c r="O17" i="54"/>
  <c r="N18" i="54"/>
  <c r="O18" i="54"/>
  <c r="N19" i="54"/>
  <c r="O19" i="54"/>
  <c r="N20" i="54"/>
  <c r="O20" i="54"/>
  <c r="N21" i="54"/>
  <c r="O21" i="54"/>
  <c r="N22" i="54"/>
  <c r="O22" i="54"/>
  <c r="N23" i="54"/>
  <c r="O23" i="54"/>
  <c r="N24" i="54"/>
  <c r="O24" i="54"/>
  <c r="N3" i="54"/>
  <c r="O3" i="54"/>
  <c r="S8" i="73"/>
  <c r="N8" i="73"/>
  <c r="J50" i="75" l="1"/>
  <c r="K35" i="75" s="1"/>
  <c r="K11" i="75"/>
  <c r="K10" i="75"/>
  <c r="K6" i="75"/>
  <c r="K14" i="75"/>
  <c r="K18" i="75"/>
  <c r="K22" i="75"/>
  <c r="K33" i="75"/>
  <c r="K41" i="75"/>
  <c r="K43" i="75"/>
  <c r="K49" i="75"/>
  <c r="K34" i="75"/>
  <c r="K23" i="75"/>
  <c r="K15" i="75"/>
  <c r="K7" i="75"/>
  <c r="K25" i="75"/>
  <c r="K9" i="75"/>
  <c r="K17" i="75"/>
  <c r="K19" i="75"/>
  <c r="K8" i="75"/>
  <c r="K12" i="75"/>
  <c r="K16" i="75"/>
  <c r="K20" i="75"/>
  <c r="K24" i="75"/>
  <c r="K32" i="75"/>
  <c r="K36" i="75"/>
  <c r="K40" i="75"/>
  <c r="K44" i="75"/>
  <c r="K48" i="75"/>
  <c r="K5" i="75"/>
  <c r="K13" i="75"/>
  <c r="K21" i="75"/>
  <c r="K37" i="75"/>
  <c r="K45" i="75"/>
  <c r="K4" i="75"/>
  <c r="K28" i="74"/>
  <c r="AA17" i="74"/>
  <c r="Z8" i="74"/>
  <c r="Z26" i="74" s="1"/>
  <c r="Z51" i="74" s="1"/>
  <c r="Z54" i="74" s="1"/>
  <c r="Z49" i="74"/>
  <c r="W5" i="74"/>
  <c r="X26" i="50"/>
  <c r="X51" i="50" s="1"/>
  <c r="W7" i="74"/>
  <c r="W8" i="74"/>
  <c r="W49" i="29"/>
  <c r="AK29" i="74"/>
  <c r="AA8" i="74"/>
  <c r="AA26" i="74" s="1"/>
  <c r="AA49" i="74"/>
  <c r="AK13" i="74"/>
  <c r="AK21" i="74"/>
  <c r="AJ16" i="74"/>
  <c r="AJ10" i="74"/>
  <c r="X26" i="74"/>
  <c r="Y22" i="74"/>
  <c r="Y10" i="74"/>
  <c r="AI21" i="74"/>
  <c r="Y14" i="74"/>
  <c r="X49" i="74"/>
  <c r="W6" i="74"/>
  <c r="U35" i="74"/>
  <c r="U44" i="74"/>
  <c r="U9" i="74"/>
  <c r="Y9" i="74" s="1"/>
  <c r="U36" i="74"/>
  <c r="U4" i="74"/>
  <c r="Y4" i="74" s="1"/>
  <c r="U12" i="74"/>
  <c r="Y12" i="74" s="1"/>
  <c r="U20" i="74"/>
  <c r="Y20" i="74" s="1"/>
  <c r="T26" i="74"/>
  <c r="T51" i="74" s="1"/>
  <c r="T54" i="74" s="1"/>
  <c r="U8" i="74"/>
  <c r="U16" i="74"/>
  <c r="U24" i="74"/>
  <c r="Y24" i="74" s="1"/>
  <c r="T49" i="74"/>
  <c r="U43" i="74"/>
  <c r="S26" i="50"/>
  <c r="S51" i="50" s="1"/>
  <c r="U34" i="74"/>
  <c r="Y34" i="74" s="1"/>
  <c r="U42" i="74"/>
  <c r="Y42" i="74" s="1"/>
  <c r="S49" i="74"/>
  <c r="U28" i="74"/>
  <c r="U45" i="74"/>
  <c r="U30" i="74"/>
  <c r="Y30" i="74" s="1"/>
  <c r="U46" i="74"/>
  <c r="AG46" i="74" s="1"/>
  <c r="R45" i="74"/>
  <c r="Q26" i="50"/>
  <c r="Q51" i="50" s="1"/>
  <c r="Q49" i="74"/>
  <c r="R3" i="50"/>
  <c r="R9" i="74"/>
  <c r="R37" i="74"/>
  <c r="R28" i="74"/>
  <c r="AJ9" i="74"/>
  <c r="AJ44" i="74"/>
  <c r="AK44" i="74"/>
  <c r="AJ46" i="74"/>
  <c r="AJ45" i="74"/>
  <c r="R38" i="74"/>
  <c r="R29" i="74"/>
  <c r="R15" i="74"/>
  <c r="AI15" i="74" s="1"/>
  <c r="AJ15" i="74"/>
  <c r="AK15" i="74"/>
  <c r="AJ17" i="74"/>
  <c r="R17" i="74"/>
  <c r="AI17" i="74" s="1"/>
  <c r="AJ21" i="74"/>
  <c r="AJ13" i="74"/>
  <c r="AK16" i="74"/>
  <c r="R13" i="74"/>
  <c r="AG13" i="74" s="1"/>
  <c r="AK17" i="74"/>
  <c r="P26" i="74"/>
  <c r="Q26" i="74"/>
  <c r="AK9" i="74"/>
  <c r="AK41" i="74"/>
  <c r="AJ41" i="74"/>
  <c r="R41" i="74"/>
  <c r="AI41" i="74" s="1"/>
  <c r="P49" i="74"/>
  <c r="O32" i="62"/>
  <c r="O44" i="62"/>
  <c r="O36" i="62"/>
  <c r="J46" i="72"/>
  <c r="J40" i="72"/>
  <c r="J50" i="72" s="1"/>
  <c r="K42" i="72" s="1"/>
  <c r="O18" i="62"/>
  <c r="AK34" i="74"/>
  <c r="AK8" i="74"/>
  <c r="U11" i="74"/>
  <c r="U19" i="74"/>
  <c r="Y19" i="74" s="1"/>
  <c r="Y40" i="74"/>
  <c r="Y44" i="74"/>
  <c r="Y15" i="74"/>
  <c r="Y31" i="74"/>
  <c r="Y43" i="74"/>
  <c r="S26" i="74"/>
  <c r="S51" i="74" s="1"/>
  <c r="S54" i="74" s="1"/>
  <c r="Y32" i="74"/>
  <c r="U17" i="74"/>
  <c r="Y17" i="74" s="1"/>
  <c r="Y47" i="74"/>
  <c r="U18" i="74"/>
  <c r="Y8" i="74"/>
  <c r="Y36" i="74"/>
  <c r="Y39" i="74"/>
  <c r="R19" i="74"/>
  <c r="AG19" i="74" s="1"/>
  <c r="R24" i="74"/>
  <c r="AG24" i="74" s="1"/>
  <c r="AM24" i="74" s="1"/>
  <c r="R3" i="74"/>
  <c r="AK3" i="74"/>
  <c r="R8" i="74"/>
  <c r="R44" i="74"/>
  <c r="AI44" i="74" s="1"/>
  <c r="AK28" i="74"/>
  <c r="AJ29" i="74"/>
  <c r="AJ37" i="74"/>
  <c r="AJ28" i="74"/>
  <c r="AJ8" i="74"/>
  <c r="R16" i="74"/>
  <c r="AI16" i="74" s="1"/>
  <c r="R34" i="74"/>
  <c r="AI34" i="74" s="1"/>
  <c r="AJ34" i="74"/>
  <c r="AJ42" i="74"/>
  <c r="AK45" i="74"/>
  <c r="R42" i="74"/>
  <c r="AI42" i="74" s="1"/>
  <c r="J60" i="74"/>
  <c r="J58" i="74"/>
  <c r="I59" i="74"/>
  <c r="J59" i="74" s="1"/>
  <c r="AG8" i="74"/>
  <c r="AG28" i="74"/>
  <c r="AI28" i="74"/>
  <c r="AI5" i="74"/>
  <c r="Y6" i="74"/>
  <c r="Y16" i="74"/>
  <c r="AK5" i="74"/>
  <c r="AK19" i="74"/>
  <c r="U3" i="74"/>
  <c r="AK6" i="74"/>
  <c r="Y7" i="74"/>
  <c r="Y13" i="74"/>
  <c r="AK7" i="74"/>
  <c r="R7" i="74"/>
  <c r="AJ7" i="74"/>
  <c r="AG9" i="74"/>
  <c r="AI9" i="74"/>
  <c r="K26" i="74"/>
  <c r="AI38" i="74"/>
  <c r="AI40" i="74"/>
  <c r="AK14" i="74"/>
  <c r="R14" i="74"/>
  <c r="AI29" i="74"/>
  <c r="AG33" i="74"/>
  <c r="AJ36" i="74"/>
  <c r="R36" i="74"/>
  <c r="AK36" i="74"/>
  <c r="AI30" i="74"/>
  <c r="AG30" i="74"/>
  <c r="Y33" i="74"/>
  <c r="R23" i="74"/>
  <c r="R4" i="74"/>
  <c r="U5" i="74"/>
  <c r="AK10" i="74"/>
  <c r="Y11" i="74"/>
  <c r="R20" i="74"/>
  <c r="AJ20" i="74"/>
  <c r="Y21" i="74"/>
  <c r="AJ23" i="74"/>
  <c r="Y28" i="74"/>
  <c r="AJ3" i="74"/>
  <c r="AK11" i="74"/>
  <c r="R11" i="74"/>
  <c r="AJ11" i="74"/>
  <c r="AJ19" i="74"/>
  <c r="AG32" i="74"/>
  <c r="AM32" i="74" s="1"/>
  <c r="AI32" i="74"/>
  <c r="K49" i="74"/>
  <c r="AK35" i="74"/>
  <c r="R35" i="74"/>
  <c r="AJ35" i="74"/>
  <c r="AI37" i="74"/>
  <c r="AK47" i="74"/>
  <c r="R47" i="74"/>
  <c r="AJ47" i="74"/>
  <c r="R6" i="74"/>
  <c r="R10" i="74"/>
  <c r="R12" i="74"/>
  <c r="AK18" i="74"/>
  <c r="R18" i="74"/>
  <c r="AJ18" i="74"/>
  <c r="AG21" i="74"/>
  <c r="U37" i="74"/>
  <c r="AG37" i="74" s="1"/>
  <c r="AK43" i="74"/>
  <c r="R43" i="74"/>
  <c r="AJ43" i="74"/>
  <c r="U38" i="74"/>
  <c r="AG38" i="74" s="1"/>
  <c r="AG45" i="74"/>
  <c r="AI45" i="74"/>
  <c r="Y45" i="74"/>
  <c r="AK40" i="74"/>
  <c r="AI46" i="74"/>
  <c r="AK31" i="74"/>
  <c r="R31" i="74"/>
  <c r="AJ31" i="74"/>
  <c r="Y41" i="74"/>
  <c r="Y46" i="74"/>
  <c r="Y35" i="74"/>
  <c r="AK39" i="74"/>
  <c r="R39" i="74"/>
  <c r="AJ39" i="74"/>
  <c r="AG41" i="74"/>
  <c r="AK22" i="74"/>
  <c r="R22" i="74"/>
  <c r="AJ22" i="74"/>
  <c r="U29" i="74"/>
  <c r="AG29" i="74" s="1"/>
  <c r="O8" i="73"/>
  <c r="M8" i="73"/>
  <c r="U8" i="73"/>
  <c r="T8" i="73"/>
  <c r="J26" i="72"/>
  <c r="K21" i="72" s="1"/>
  <c r="K14" i="72"/>
  <c r="Y29" i="62"/>
  <c r="Y35" i="62"/>
  <c r="Y42" i="62"/>
  <c r="O41" i="62"/>
  <c r="O37" i="62"/>
  <c r="Y36" i="62"/>
  <c r="O45" i="62"/>
  <c r="Y44" i="62"/>
  <c r="O33" i="62"/>
  <c r="O29" i="62"/>
  <c r="O38" i="62"/>
  <c r="O46" i="62"/>
  <c r="Y45" i="62"/>
  <c r="O47" i="62"/>
  <c r="Y37" i="62"/>
  <c r="O31" i="62"/>
  <c r="O30" i="62"/>
  <c r="O39" i="62"/>
  <c r="Y43" i="62"/>
  <c r="O28" i="62"/>
  <c r="Y10" i="62"/>
  <c r="O6" i="62"/>
  <c r="O14" i="62"/>
  <c r="O12" i="62"/>
  <c r="Y11" i="62"/>
  <c r="Y8" i="62"/>
  <c r="O22" i="62"/>
  <c r="O20" i="62"/>
  <c r="O13" i="62"/>
  <c r="O11" i="62"/>
  <c r="O4" i="62"/>
  <c r="Y19" i="62"/>
  <c r="Y16" i="62"/>
  <c r="O19" i="62"/>
  <c r="Y18" i="62"/>
  <c r="Y9" i="62"/>
  <c r="Y24" i="62"/>
  <c r="O21" i="62"/>
  <c r="Y6" i="62"/>
  <c r="O5" i="62"/>
  <c r="Y5" i="62"/>
  <c r="O10" i="62"/>
  <c r="V49" i="54"/>
  <c r="J31" i="67"/>
  <c r="J32" i="67"/>
  <c r="J33" i="67"/>
  <c r="J34" i="67"/>
  <c r="J35" i="67"/>
  <c r="J36" i="67"/>
  <c r="J37" i="67"/>
  <c r="J38" i="67"/>
  <c r="J39" i="67"/>
  <c r="J40" i="67"/>
  <c r="J41" i="67"/>
  <c r="J42" i="67"/>
  <c r="J43" i="67"/>
  <c r="J44" i="67"/>
  <c r="J45" i="67"/>
  <c r="J46" i="67"/>
  <c r="J47" i="67"/>
  <c r="J48" i="67"/>
  <c r="J49" i="67"/>
  <c r="J30" i="67"/>
  <c r="J8" i="67"/>
  <c r="J6" i="67"/>
  <c r="J5" i="67"/>
  <c r="J9" i="67"/>
  <c r="J10" i="67"/>
  <c r="J13" i="67"/>
  <c r="J14" i="67"/>
  <c r="J15" i="67"/>
  <c r="J11" i="67"/>
  <c r="J16" i="67"/>
  <c r="J12" i="67"/>
  <c r="J7" i="67"/>
  <c r="J17" i="67"/>
  <c r="J18" i="67"/>
  <c r="J19" i="67"/>
  <c r="J20" i="67"/>
  <c r="J21" i="67"/>
  <c r="J22" i="67"/>
  <c r="J23" i="67"/>
  <c r="J24" i="67"/>
  <c r="J25" i="67"/>
  <c r="J4" i="67"/>
  <c r="C31" i="67"/>
  <c r="C32" i="67"/>
  <c r="C33" i="67"/>
  <c r="C34" i="67"/>
  <c r="C35" i="67"/>
  <c r="C36" i="67"/>
  <c r="C37" i="67"/>
  <c r="C38" i="67"/>
  <c r="C39" i="67"/>
  <c r="C40" i="67"/>
  <c r="C41" i="67"/>
  <c r="C42" i="67"/>
  <c r="C43" i="67"/>
  <c r="C44" i="67"/>
  <c r="C45" i="67"/>
  <c r="C46" i="67"/>
  <c r="C47" i="67"/>
  <c r="C48" i="67"/>
  <c r="C49" i="67"/>
  <c r="C30" i="67"/>
  <c r="C11" i="67"/>
  <c r="C6" i="67"/>
  <c r="C5" i="67"/>
  <c r="C4" i="67"/>
  <c r="C8" i="67"/>
  <c r="C24" i="67"/>
  <c r="C12" i="67"/>
  <c r="C13" i="67"/>
  <c r="C10" i="67"/>
  <c r="C14" i="67"/>
  <c r="C7" i="67"/>
  <c r="C9" i="67"/>
  <c r="C15" i="67"/>
  <c r="C16" i="67"/>
  <c r="C17" i="67"/>
  <c r="C18" i="67"/>
  <c r="C19" i="67"/>
  <c r="C20" i="67"/>
  <c r="C21" i="67"/>
  <c r="C22" i="67"/>
  <c r="C23" i="67"/>
  <c r="C25" i="67"/>
  <c r="H29" i="70"/>
  <c r="U5" i="70"/>
  <c r="T5" i="70"/>
  <c r="S5" i="70"/>
  <c r="R5" i="70"/>
  <c r="Q5" i="70"/>
  <c r="O5" i="70"/>
  <c r="N5" i="70"/>
  <c r="M5" i="70"/>
  <c r="E5" i="70"/>
  <c r="D5" i="70"/>
  <c r="C5" i="70"/>
  <c r="U4" i="70"/>
  <c r="T4" i="70"/>
  <c r="S4" i="70"/>
  <c r="R4" i="70"/>
  <c r="Q4" i="70"/>
  <c r="O4" i="70"/>
  <c r="N4" i="70"/>
  <c r="M4" i="70"/>
  <c r="E4" i="70"/>
  <c r="D4" i="70"/>
  <c r="C4" i="70"/>
  <c r="O51" i="2"/>
  <c r="P51" i="2"/>
  <c r="Q51" i="2"/>
  <c r="S51" i="2"/>
  <c r="T51" i="2"/>
  <c r="U51" i="2"/>
  <c r="V51" i="2"/>
  <c r="W51" i="2"/>
  <c r="O52" i="2"/>
  <c r="P52" i="2"/>
  <c r="Q52" i="2"/>
  <c r="S52" i="2"/>
  <c r="T52" i="2"/>
  <c r="U52" i="2"/>
  <c r="V52" i="2"/>
  <c r="W52" i="2"/>
  <c r="R32" i="2"/>
  <c r="K20" i="73" s="1"/>
  <c r="N32" i="2"/>
  <c r="M32" i="2"/>
  <c r="L32" i="2"/>
  <c r="K17" i="73" s="1"/>
  <c r="J32" i="2"/>
  <c r="I32" i="2"/>
  <c r="H32" i="2"/>
  <c r="G32" i="2"/>
  <c r="F32" i="2"/>
  <c r="R31" i="2"/>
  <c r="E20" i="73" s="1"/>
  <c r="N31" i="2"/>
  <c r="M31" i="2"/>
  <c r="L31" i="2"/>
  <c r="J31" i="2"/>
  <c r="E22" i="73" s="1"/>
  <c r="I31" i="2"/>
  <c r="H31" i="2"/>
  <c r="G31" i="2"/>
  <c r="F31" i="2"/>
  <c r="J50" i="71"/>
  <c r="K46" i="71" s="1"/>
  <c r="C50" i="71"/>
  <c r="D46" i="71" s="1"/>
  <c r="K48" i="71"/>
  <c r="K43" i="71"/>
  <c r="K42" i="71"/>
  <c r="K40" i="71"/>
  <c r="K37" i="71"/>
  <c r="K36" i="71"/>
  <c r="K32" i="71"/>
  <c r="K31" i="71"/>
  <c r="J26" i="71"/>
  <c r="K22" i="71" s="1"/>
  <c r="C26" i="71"/>
  <c r="D25" i="71" s="1"/>
  <c r="K30" i="75" l="1"/>
  <c r="K46" i="75"/>
  <c r="K31" i="75"/>
  <c r="K50" i="75" s="1"/>
  <c r="K42" i="75"/>
  <c r="K39" i="75"/>
  <c r="K38" i="75"/>
  <c r="K47" i="75"/>
  <c r="L30" i="75"/>
  <c r="M30" i="75" s="1"/>
  <c r="K26" i="75"/>
  <c r="L4" i="75"/>
  <c r="M4" i="75" s="1"/>
  <c r="G4" i="75" s="1"/>
  <c r="K51" i="74"/>
  <c r="K54" i="74" s="1"/>
  <c r="AA54" i="74"/>
  <c r="X51" i="74"/>
  <c r="X54" i="74" s="1"/>
  <c r="Q51" i="74"/>
  <c r="Q54" i="74" s="1"/>
  <c r="AG17" i="74"/>
  <c r="P51" i="74"/>
  <c r="P54" i="74" s="1"/>
  <c r="AI24" i="74"/>
  <c r="AI13" i="74"/>
  <c r="AG16" i="74"/>
  <c r="AI19" i="74"/>
  <c r="AG15" i="74"/>
  <c r="K47" i="72"/>
  <c r="K30" i="72"/>
  <c r="L30" i="72" s="1"/>
  <c r="M30" i="72" s="1"/>
  <c r="K41" i="72"/>
  <c r="K31" i="72"/>
  <c r="K34" i="72"/>
  <c r="K37" i="72"/>
  <c r="K49" i="72"/>
  <c r="K46" i="72"/>
  <c r="K35" i="72"/>
  <c r="K33" i="72"/>
  <c r="K39" i="72"/>
  <c r="K48" i="72"/>
  <c r="K44" i="72"/>
  <c r="K36" i="72"/>
  <c r="K32" i="72"/>
  <c r="K43" i="72"/>
  <c r="K40" i="72"/>
  <c r="K4" i="72"/>
  <c r="K17" i="72"/>
  <c r="Y18" i="74"/>
  <c r="AG34" i="74"/>
  <c r="AI3" i="74"/>
  <c r="AI8" i="74"/>
  <c r="AK48" i="74"/>
  <c r="AJ48" i="74"/>
  <c r="AG42" i="74"/>
  <c r="AM42" i="74" s="1"/>
  <c r="AK25" i="74"/>
  <c r="R26" i="74"/>
  <c r="AG44" i="74"/>
  <c r="AG18" i="74"/>
  <c r="AM18" i="74" s="1"/>
  <c r="AI18" i="74"/>
  <c r="AG35" i="74"/>
  <c r="AI35" i="74"/>
  <c r="AJ25" i="74"/>
  <c r="AI43" i="74"/>
  <c r="AG43" i="74"/>
  <c r="AM43" i="74" s="1"/>
  <c r="AI47" i="74"/>
  <c r="AG47" i="74"/>
  <c r="AM47" i="74" s="1"/>
  <c r="AI11" i="74"/>
  <c r="AG11" i="74"/>
  <c r="AI14" i="74"/>
  <c r="AG14" i="74"/>
  <c r="Y37" i="74"/>
  <c r="AI7" i="74"/>
  <c r="AG7" i="74"/>
  <c r="AI23" i="74"/>
  <c r="AG23" i="74"/>
  <c r="AM23" i="74" s="1"/>
  <c r="R49" i="74"/>
  <c r="AG39" i="74"/>
  <c r="AI39" i="74"/>
  <c r="AG12" i="74"/>
  <c r="AI12" i="74"/>
  <c r="AI22" i="74"/>
  <c r="AG22" i="74"/>
  <c r="Y5" i="74"/>
  <c r="Y38" i="74"/>
  <c r="AI6" i="74"/>
  <c r="AG6" i="74"/>
  <c r="AI10" i="74"/>
  <c r="AG10" i="74"/>
  <c r="AG4" i="74"/>
  <c r="AI4" i="74"/>
  <c r="U49" i="74"/>
  <c r="V29" i="74" s="1"/>
  <c r="Y29" i="74"/>
  <c r="AG31" i="74"/>
  <c r="AI31" i="74"/>
  <c r="AG20" i="74"/>
  <c r="AI20" i="74"/>
  <c r="AI36" i="74"/>
  <c r="AG36" i="74"/>
  <c r="Y3" i="74"/>
  <c r="U26" i="74"/>
  <c r="V5" i="74" s="1"/>
  <c r="AG3" i="74"/>
  <c r="AG5" i="74"/>
  <c r="J4" i="70"/>
  <c r="J49" i="2"/>
  <c r="K22" i="73"/>
  <c r="H4" i="70"/>
  <c r="K4" i="70"/>
  <c r="P5" i="70"/>
  <c r="L5" i="70"/>
  <c r="H8" i="73"/>
  <c r="L4" i="70"/>
  <c r="E23" i="73"/>
  <c r="K5" i="70"/>
  <c r="K19" i="73"/>
  <c r="P4" i="70"/>
  <c r="G5" i="70"/>
  <c r="G8" i="73"/>
  <c r="P8" i="73"/>
  <c r="K23" i="72"/>
  <c r="K24" i="72"/>
  <c r="K19" i="72"/>
  <c r="K16" i="72"/>
  <c r="K10" i="72"/>
  <c r="K20" i="72"/>
  <c r="K9" i="72"/>
  <c r="K18" i="72"/>
  <c r="K6" i="72"/>
  <c r="K11" i="72"/>
  <c r="K5" i="72"/>
  <c r="K25" i="72"/>
  <c r="K22" i="72"/>
  <c r="K15" i="72"/>
  <c r="K13" i="72"/>
  <c r="K12" i="72"/>
  <c r="K7" i="72"/>
  <c r="K8" i="72"/>
  <c r="K45" i="72"/>
  <c r="K38" i="72"/>
  <c r="L4" i="72"/>
  <c r="M4" i="72" s="1"/>
  <c r="G4" i="72" s="1"/>
  <c r="D15" i="71"/>
  <c r="D23" i="71"/>
  <c r="D18" i="71"/>
  <c r="D7" i="71"/>
  <c r="K39" i="71"/>
  <c r="K34" i="71"/>
  <c r="K44" i="71"/>
  <c r="K35" i="71"/>
  <c r="K45" i="71"/>
  <c r="K8" i="71"/>
  <c r="K20" i="71"/>
  <c r="K11" i="71"/>
  <c r="K21" i="71"/>
  <c r="K4" i="71"/>
  <c r="L4" i="71" s="1"/>
  <c r="M4" i="71" s="1"/>
  <c r="G4" i="71" s="1"/>
  <c r="K16" i="71"/>
  <c r="K5" i="71"/>
  <c r="K19" i="71"/>
  <c r="K12" i="71"/>
  <c r="K13" i="71"/>
  <c r="K24" i="71"/>
  <c r="D33" i="71"/>
  <c r="D47" i="71"/>
  <c r="D34" i="71"/>
  <c r="D38" i="71"/>
  <c r="D43" i="71"/>
  <c r="D48" i="71"/>
  <c r="D39" i="71"/>
  <c r="D30" i="71"/>
  <c r="D35" i="71"/>
  <c r="D44" i="71"/>
  <c r="D49" i="71"/>
  <c r="D32" i="71"/>
  <c r="D41" i="71"/>
  <c r="D31" i="71"/>
  <c r="D40" i="71"/>
  <c r="D36" i="71"/>
  <c r="D45" i="71"/>
  <c r="D37" i="71"/>
  <c r="D42" i="71"/>
  <c r="D10" i="71"/>
  <c r="D5" i="71"/>
  <c r="D11" i="71"/>
  <c r="D16" i="71"/>
  <c r="D21" i="71"/>
  <c r="D6" i="71"/>
  <c r="D12" i="71"/>
  <c r="D17" i="71"/>
  <c r="D22" i="71"/>
  <c r="D8" i="71"/>
  <c r="D13" i="71"/>
  <c r="D19" i="71"/>
  <c r="D24" i="71"/>
  <c r="D4" i="71"/>
  <c r="D9" i="71"/>
  <c r="D14" i="71"/>
  <c r="D20" i="71"/>
  <c r="J48" i="2"/>
  <c r="G4" i="70"/>
  <c r="N48" i="2"/>
  <c r="H5" i="70"/>
  <c r="U48" i="2"/>
  <c r="J5" i="70"/>
  <c r="W48" i="2"/>
  <c r="O48" i="2"/>
  <c r="I4" i="70"/>
  <c r="K32" i="2"/>
  <c r="E31" i="2"/>
  <c r="K10" i="71"/>
  <c r="K18" i="71"/>
  <c r="K9" i="71"/>
  <c r="K17" i="71"/>
  <c r="K25" i="71"/>
  <c r="K33" i="71"/>
  <c r="K41" i="71"/>
  <c r="K49" i="71"/>
  <c r="K47" i="71"/>
  <c r="K7" i="71"/>
  <c r="K15" i="71"/>
  <c r="K23" i="71"/>
  <c r="K6" i="71"/>
  <c r="K14" i="71"/>
  <c r="K30" i="71"/>
  <c r="K38" i="71"/>
  <c r="O8" i="70"/>
  <c r="N8" i="70"/>
  <c r="L31" i="75" l="1"/>
  <c r="L5" i="75"/>
  <c r="L31" i="72"/>
  <c r="M31" i="72" s="1"/>
  <c r="K50" i="72"/>
  <c r="K26" i="72"/>
  <c r="V3" i="74"/>
  <c r="V37" i="74"/>
  <c r="AI25" i="74"/>
  <c r="AK51" i="74"/>
  <c r="AG48" i="74"/>
  <c r="R51" i="74"/>
  <c r="AI48" i="74"/>
  <c r="AG25" i="74"/>
  <c r="V43" i="74"/>
  <c r="Y49" i="74"/>
  <c r="V40" i="74"/>
  <c r="V47" i="74"/>
  <c r="V44" i="74"/>
  <c r="V42" i="74"/>
  <c r="V36" i="74"/>
  <c r="V46" i="74"/>
  <c r="V34" i="74"/>
  <c r="V28" i="74"/>
  <c r="V32" i="74"/>
  <c r="V31" i="74"/>
  <c r="V33" i="74"/>
  <c r="V35" i="74"/>
  <c r="V45" i="74"/>
  <c r="V39" i="74"/>
  <c r="V41" i="74"/>
  <c r="V30" i="74"/>
  <c r="V38" i="74"/>
  <c r="U51" i="74"/>
  <c r="V21" i="74"/>
  <c r="Y26" i="74"/>
  <c r="V15" i="74"/>
  <c r="V22" i="74"/>
  <c r="V14" i="74"/>
  <c r="V17" i="74"/>
  <c r="V13" i="74"/>
  <c r="V20" i="74"/>
  <c r="V9" i="74"/>
  <c r="V12" i="74"/>
  <c r="V24" i="74"/>
  <c r="V4" i="74"/>
  <c r="V10" i="74"/>
  <c r="V6" i="74"/>
  <c r="V11" i="74"/>
  <c r="V7" i="74"/>
  <c r="V16" i="74"/>
  <c r="V8" i="74"/>
  <c r="V23" i="74"/>
  <c r="V18" i="74"/>
  <c r="V19" i="74"/>
  <c r="F4" i="70"/>
  <c r="AD31" i="2"/>
  <c r="E19" i="73"/>
  <c r="K8" i="73"/>
  <c r="G23" i="70"/>
  <c r="D6" i="1" s="1"/>
  <c r="AH16" i="2"/>
  <c r="R48" i="2"/>
  <c r="G22" i="70"/>
  <c r="D5" i="1" s="1"/>
  <c r="V8" i="73"/>
  <c r="K15" i="73"/>
  <c r="P48" i="2"/>
  <c r="V48" i="2"/>
  <c r="S48" i="2"/>
  <c r="M48" i="2"/>
  <c r="Q48" i="2"/>
  <c r="AA31" i="2"/>
  <c r="E17" i="73"/>
  <c r="J8" i="73"/>
  <c r="E15" i="73"/>
  <c r="I8" i="73"/>
  <c r="L8" i="73"/>
  <c r="K23" i="73"/>
  <c r="M22" i="70"/>
  <c r="D13" i="1" s="1"/>
  <c r="L48" i="2"/>
  <c r="AG16" i="2"/>
  <c r="T48" i="2"/>
  <c r="L5" i="72"/>
  <c r="L5" i="71"/>
  <c r="M5" i="71" s="1"/>
  <c r="K26" i="71"/>
  <c r="L6" i="71"/>
  <c r="M6" i="71" s="1"/>
  <c r="E30" i="71"/>
  <c r="D50" i="71"/>
  <c r="E4" i="71"/>
  <c r="F4" i="71" s="1"/>
  <c r="D26" i="71"/>
  <c r="L32" i="72"/>
  <c r="Y31" i="2"/>
  <c r="X48" i="2"/>
  <c r="V4" i="70"/>
  <c r="N49" i="2"/>
  <c r="L49" i="2"/>
  <c r="V49" i="2"/>
  <c r="R49" i="2"/>
  <c r="O49" i="2"/>
  <c r="W49" i="2"/>
  <c r="P49" i="2"/>
  <c r="I5" i="70"/>
  <c r="Q49" i="2"/>
  <c r="S49" i="2"/>
  <c r="T49" i="2"/>
  <c r="M49" i="2"/>
  <c r="U49" i="2"/>
  <c r="E32" i="2"/>
  <c r="AI16" i="2"/>
  <c r="AA32" i="2"/>
  <c r="AD32" i="2"/>
  <c r="M8" i="70"/>
  <c r="S8" i="70"/>
  <c r="T8" i="70"/>
  <c r="R8" i="70"/>
  <c r="U8" i="70"/>
  <c r="Q8" i="70"/>
  <c r="L30" i="71"/>
  <c r="K50" i="71"/>
  <c r="L7" i="71"/>
  <c r="J33" i="66"/>
  <c r="J34" i="66"/>
  <c r="J35" i="66"/>
  <c r="J36" i="66"/>
  <c r="J30" i="66"/>
  <c r="J37" i="66"/>
  <c r="J38" i="66"/>
  <c r="J39" i="66"/>
  <c r="J40" i="66"/>
  <c r="J41" i="66"/>
  <c r="J42" i="66"/>
  <c r="J43" i="66"/>
  <c r="J31" i="66"/>
  <c r="J44" i="66"/>
  <c r="J45" i="66"/>
  <c r="J46" i="66"/>
  <c r="J47" i="66"/>
  <c r="J48" i="66"/>
  <c r="J49" i="66"/>
  <c r="J32" i="66"/>
  <c r="J7" i="66"/>
  <c r="J8" i="66"/>
  <c r="J5" i="66"/>
  <c r="J9" i="66"/>
  <c r="J6" i="66"/>
  <c r="J10" i="66"/>
  <c r="J11" i="66"/>
  <c r="J15" i="66"/>
  <c r="J16" i="66"/>
  <c r="J12" i="66"/>
  <c r="J13" i="66"/>
  <c r="J17" i="66"/>
  <c r="J14" i="66"/>
  <c r="J18" i="66"/>
  <c r="J19" i="66"/>
  <c r="J20" i="66"/>
  <c r="J21" i="66"/>
  <c r="J22" i="66"/>
  <c r="J23" i="66"/>
  <c r="J24" i="66"/>
  <c r="J25" i="66"/>
  <c r="J4" i="66"/>
  <c r="C33" i="66"/>
  <c r="C34" i="66"/>
  <c r="C35" i="66"/>
  <c r="C36" i="66"/>
  <c r="C30" i="66"/>
  <c r="C37" i="66"/>
  <c r="C38" i="66"/>
  <c r="C39" i="66"/>
  <c r="C40" i="66"/>
  <c r="C41" i="66"/>
  <c r="C47" i="66"/>
  <c r="C42" i="66"/>
  <c r="C31" i="66"/>
  <c r="C49" i="66"/>
  <c r="C43" i="66"/>
  <c r="C44" i="66"/>
  <c r="C48" i="66"/>
  <c r="C45" i="66"/>
  <c r="C46" i="66"/>
  <c r="C32" i="66"/>
  <c r="C11" i="66"/>
  <c r="C12" i="66"/>
  <c r="C5" i="66"/>
  <c r="C6" i="66"/>
  <c r="C25" i="66"/>
  <c r="C24" i="66"/>
  <c r="C8" i="66"/>
  <c r="C13" i="66"/>
  <c r="C14" i="66"/>
  <c r="C7" i="66"/>
  <c r="C10" i="66"/>
  <c r="C23" i="66"/>
  <c r="C9" i="66"/>
  <c r="C15" i="66"/>
  <c r="C16" i="66"/>
  <c r="C17" i="66"/>
  <c r="C18" i="66"/>
  <c r="C19" i="66"/>
  <c r="C20" i="66"/>
  <c r="C21" i="66"/>
  <c r="C22" i="66"/>
  <c r="C4" i="66"/>
  <c r="J31" i="64"/>
  <c r="J32" i="64"/>
  <c r="J33" i="64"/>
  <c r="J34" i="64"/>
  <c r="J35" i="64"/>
  <c r="J36" i="64"/>
  <c r="J37" i="64"/>
  <c r="J38" i="64"/>
  <c r="J39" i="64"/>
  <c r="J40" i="64"/>
  <c r="J49" i="64"/>
  <c r="J41" i="64"/>
  <c r="J42" i="64"/>
  <c r="J43" i="64"/>
  <c r="J44" i="64"/>
  <c r="J45" i="64"/>
  <c r="J46" i="64"/>
  <c r="J47" i="64"/>
  <c r="J48" i="64"/>
  <c r="J30" i="64"/>
  <c r="J9" i="64"/>
  <c r="J12" i="64"/>
  <c r="J5" i="64"/>
  <c r="J6" i="64"/>
  <c r="J10" i="64"/>
  <c r="J7" i="64"/>
  <c r="J13" i="64"/>
  <c r="J14" i="64"/>
  <c r="J15" i="64"/>
  <c r="J11" i="64"/>
  <c r="J16" i="64"/>
  <c r="J8" i="64"/>
  <c r="J17" i="64"/>
  <c r="J18" i="64"/>
  <c r="J19" i="64"/>
  <c r="J20" i="64"/>
  <c r="J21" i="64"/>
  <c r="J22" i="64"/>
  <c r="J23" i="64"/>
  <c r="J24" i="64"/>
  <c r="J25" i="64"/>
  <c r="J4" i="64"/>
  <c r="AE39" i="51"/>
  <c r="C30" i="64"/>
  <c r="C31" i="64"/>
  <c r="C32" i="64"/>
  <c r="C33" i="64"/>
  <c r="C34" i="64"/>
  <c r="C35" i="64"/>
  <c r="C36" i="64"/>
  <c r="C37" i="64"/>
  <c r="C38" i="64"/>
  <c r="C39" i="64"/>
  <c r="C49" i="64"/>
  <c r="C40" i="64"/>
  <c r="C41" i="64"/>
  <c r="C45" i="64"/>
  <c r="C42" i="64"/>
  <c r="C46" i="64"/>
  <c r="C48" i="64"/>
  <c r="C43" i="64"/>
  <c r="C44" i="64"/>
  <c r="C47" i="64"/>
  <c r="C10" i="64"/>
  <c r="C11" i="64"/>
  <c r="C4" i="64"/>
  <c r="C5" i="64"/>
  <c r="C25" i="64"/>
  <c r="C7" i="64"/>
  <c r="C12" i="64"/>
  <c r="C13" i="64"/>
  <c r="C14" i="64"/>
  <c r="C8" i="64"/>
  <c r="C15" i="64"/>
  <c r="C9" i="64"/>
  <c r="C16" i="64"/>
  <c r="C17" i="64"/>
  <c r="C18" i="64"/>
  <c r="C19" i="64"/>
  <c r="C20" i="64"/>
  <c r="C21" i="64"/>
  <c r="C22" i="64"/>
  <c r="C23" i="64"/>
  <c r="C24" i="64"/>
  <c r="C6" i="64"/>
  <c r="M4" i="69"/>
  <c r="N4" i="69"/>
  <c r="O4" i="69"/>
  <c r="Q4" i="69"/>
  <c r="R4" i="69"/>
  <c r="S4" i="69"/>
  <c r="T4" i="69"/>
  <c r="U4" i="69"/>
  <c r="M5" i="69"/>
  <c r="N5" i="69"/>
  <c r="O5" i="69"/>
  <c r="Q5" i="69"/>
  <c r="R5" i="69"/>
  <c r="S5" i="69"/>
  <c r="T5" i="69"/>
  <c r="U5" i="69"/>
  <c r="D4" i="69"/>
  <c r="E4" i="69"/>
  <c r="D5" i="69"/>
  <c r="E5" i="69"/>
  <c r="C5" i="69"/>
  <c r="C4" i="69"/>
  <c r="M4" i="68"/>
  <c r="N4" i="68"/>
  <c r="O4" i="68"/>
  <c r="Q4" i="68"/>
  <c r="R4" i="68"/>
  <c r="S4" i="68"/>
  <c r="T4" i="68"/>
  <c r="U4" i="68"/>
  <c r="M5" i="68"/>
  <c r="N5" i="68"/>
  <c r="O5" i="68"/>
  <c r="Q5" i="68"/>
  <c r="R5" i="68"/>
  <c r="S5" i="68"/>
  <c r="T5" i="68"/>
  <c r="U5" i="68"/>
  <c r="D4" i="68"/>
  <c r="E4" i="68"/>
  <c r="D5" i="68"/>
  <c r="E5" i="68"/>
  <c r="C5" i="68"/>
  <c r="C4" i="68"/>
  <c r="O58" i="2"/>
  <c r="P58" i="2"/>
  <c r="Q58" i="2"/>
  <c r="S58" i="2"/>
  <c r="T58" i="2"/>
  <c r="U58" i="2"/>
  <c r="V58" i="2"/>
  <c r="W58" i="2"/>
  <c r="O59" i="2"/>
  <c r="P59" i="2"/>
  <c r="Q59" i="2"/>
  <c r="S59" i="2"/>
  <c r="T59" i="2"/>
  <c r="U59" i="2"/>
  <c r="V59" i="2"/>
  <c r="W59" i="2"/>
  <c r="O65" i="2"/>
  <c r="P65" i="2"/>
  <c r="Q65" i="2"/>
  <c r="S65" i="2"/>
  <c r="T65" i="2"/>
  <c r="U65" i="2"/>
  <c r="V65" i="2"/>
  <c r="W65" i="2"/>
  <c r="O66" i="2"/>
  <c r="P66" i="2"/>
  <c r="Q66" i="2"/>
  <c r="S66" i="2"/>
  <c r="T66" i="2"/>
  <c r="U66" i="2"/>
  <c r="V66" i="2"/>
  <c r="W66" i="2"/>
  <c r="R30" i="2"/>
  <c r="N30" i="2"/>
  <c r="M30" i="2"/>
  <c r="L30" i="2"/>
  <c r="J30" i="2"/>
  <c r="I30" i="2"/>
  <c r="G5" i="69" s="1"/>
  <c r="H30" i="2"/>
  <c r="G30" i="2"/>
  <c r="R29" i="2"/>
  <c r="N29" i="2"/>
  <c r="M29" i="2"/>
  <c r="L29" i="2"/>
  <c r="J29" i="2"/>
  <c r="I29" i="2"/>
  <c r="H29" i="2"/>
  <c r="G29" i="2"/>
  <c r="R28" i="2"/>
  <c r="P5" i="68" s="1"/>
  <c r="N28" i="2"/>
  <c r="M28" i="2"/>
  <c r="K5" i="68" s="1"/>
  <c r="L28" i="2"/>
  <c r="J28" i="2"/>
  <c r="I28" i="2"/>
  <c r="H28" i="2"/>
  <c r="G28" i="2"/>
  <c r="F28" i="2"/>
  <c r="R27" i="2"/>
  <c r="N27" i="2"/>
  <c r="L4" i="68" s="1"/>
  <c r="M27" i="2"/>
  <c r="K4" i="68" s="1"/>
  <c r="L27" i="2"/>
  <c r="J4" i="68" s="1"/>
  <c r="J27" i="2"/>
  <c r="H4" i="68" s="1"/>
  <c r="I27" i="2"/>
  <c r="G4" i="68" s="1"/>
  <c r="H27" i="2"/>
  <c r="G27" i="2"/>
  <c r="F27" i="2"/>
  <c r="M5" i="75" l="1"/>
  <c r="L6" i="75"/>
  <c r="M31" i="75"/>
  <c r="L32" i="75"/>
  <c r="V49" i="74"/>
  <c r="Y51" i="74"/>
  <c r="U54" i="74"/>
  <c r="V26" i="74"/>
  <c r="Y32" i="2"/>
  <c r="AB5" i="70"/>
  <c r="Y5" i="70"/>
  <c r="M27" i="73"/>
  <c r="M23" i="70"/>
  <c r="D14" i="1" s="1"/>
  <c r="F5" i="70"/>
  <c r="F8" i="73"/>
  <c r="Y4" i="70"/>
  <c r="G27" i="73"/>
  <c r="V5" i="70"/>
  <c r="G19" i="70"/>
  <c r="D3" i="1" s="1"/>
  <c r="AB4" i="70"/>
  <c r="M19" i="70"/>
  <c r="D11" i="1" s="1"/>
  <c r="M20" i="70"/>
  <c r="D12" i="1" s="1"/>
  <c r="X49" i="2"/>
  <c r="G20" i="70"/>
  <c r="D4" i="1" s="1"/>
  <c r="M5" i="72"/>
  <c r="L6" i="72"/>
  <c r="F30" i="71"/>
  <c r="E31" i="71"/>
  <c r="E5" i="71"/>
  <c r="M32" i="72"/>
  <c r="L33" i="72"/>
  <c r="E20" i="70"/>
  <c r="R51" i="2"/>
  <c r="K20" i="70"/>
  <c r="R52" i="2"/>
  <c r="W4" i="70"/>
  <c r="J51" i="2"/>
  <c r="K22" i="70"/>
  <c r="J52" i="2"/>
  <c r="AB31" i="2"/>
  <c r="J8" i="70"/>
  <c r="L51" i="2"/>
  <c r="K17" i="70"/>
  <c r="L52" i="2"/>
  <c r="E19" i="70"/>
  <c r="M51" i="2"/>
  <c r="K19" i="70"/>
  <c r="M52" i="2"/>
  <c r="AC31" i="2"/>
  <c r="R58" i="2"/>
  <c r="E23" i="70"/>
  <c r="N51" i="2"/>
  <c r="K23" i="70"/>
  <c r="N52" i="2"/>
  <c r="P4" i="69"/>
  <c r="J63" i="2"/>
  <c r="M22" i="68" s="1"/>
  <c r="F13" i="1" s="1"/>
  <c r="J58" i="2"/>
  <c r="G4" i="69"/>
  <c r="K5" i="69"/>
  <c r="H5" i="69"/>
  <c r="L59" i="2"/>
  <c r="H4" i="69"/>
  <c r="J56" i="2"/>
  <c r="M59" i="2"/>
  <c r="K28" i="2"/>
  <c r="I5" i="68" s="1"/>
  <c r="J59" i="2"/>
  <c r="K8" i="70"/>
  <c r="J62" i="2"/>
  <c r="G22" i="68" s="1"/>
  <c r="F5" i="1" s="1"/>
  <c r="R59" i="2"/>
  <c r="J5" i="68"/>
  <c r="E17" i="70"/>
  <c r="L5" i="68"/>
  <c r="K30" i="2"/>
  <c r="G8" i="70"/>
  <c r="N58" i="2"/>
  <c r="P4" i="68"/>
  <c r="L4" i="69"/>
  <c r="K29" i="2"/>
  <c r="AD29" i="2" s="1"/>
  <c r="J55" i="2"/>
  <c r="M58" i="2"/>
  <c r="G5" i="68"/>
  <c r="H5" i="68"/>
  <c r="L5" i="69"/>
  <c r="K4" i="69"/>
  <c r="P8" i="70"/>
  <c r="P5" i="69"/>
  <c r="L58" i="2"/>
  <c r="J4" i="69"/>
  <c r="N59" i="2"/>
  <c r="J5" i="69"/>
  <c r="M17" i="69"/>
  <c r="L8" i="70"/>
  <c r="M7" i="71"/>
  <c r="G7" i="71" s="1"/>
  <c r="L8" i="71"/>
  <c r="M30" i="71"/>
  <c r="G30" i="71" s="1"/>
  <c r="L31" i="71"/>
  <c r="K27" i="2"/>
  <c r="H29" i="69"/>
  <c r="S8" i="69"/>
  <c r="H29" i="68"/>
  <c r="J50" i="67"/>
  <c r="K35" i="67" s="1"/>
  <c r="C50" i="67"/>
  <c r="J26" i="67"/>
  <c r="K15" i="67" s="1"/>
  <c r="J50" i="66"/>
  <c r="C50" i="66"/>
  <c r="J26" i="66"/>
  <c r="M32" i="75" l="1"/>
  <c r="L33" i="75"/>
  <c r="M6" i="75"/>
  <c r="L7" i="75"/>
  <c r="V51" i="74"/>
  <c r="AC32" i="2"/>
  <c r="AB32" i="2"/>
  <c r="G17" i="70"/>
  <c r="M17" i="70"/>
  <c r="AA4" i="70"/>
  <c r="Z4" i="70"/>
  <c r="W5" i="70"/>
  <c r="M6" i="72"/>
  <c r="L7" i="72"/>
  <c r="G6" i="71"/>
  <c r="E32" i="71"/>
  <c r="F31" i="71"/>
  <c r="F5" i="71"/>
  <c r="E6" i="71"/>
  <c r="L34" i="72"/>
  <c r="M33" i="72"/>
  <c r="G30" i="72" s="1"/>
  <c r="X52" i="2"/>
  <c r="K52" i="2"/>
  <c r="AA29" i="2"/>
  <c r="K51" i="2"/>
  <c r="N55" i="2"/>
  <c r="R55" i="2"/>
  <c r="E29" i="2"/>
  <c r="AA30" i="2"/>
  <c r="O63" i="2"/>
  <c r="U63" i="2"/>
  <c r="AI14" i="2"/>
  <c r="V63" i="2"/>
  <c r="P63" i="2"/>
  <c r="M63" i="2"/>
  <c r="M19" i="68" s="1"/>
  <c r="F11" i="1" s="1"/>
  <c r="R63" i="2"/>
  <c r="M20" i="68" s="1"/>
  <c r="F12" i="1" s="1"/>
  <c r="L63" i="2"/>
  <c r="Y28" i="2"/>
  <c r="AC28" i="2" s="1"/>
  <c r="AA5" i="68" s="1"/>
  <c r="M22" i="69"/>
  <c r="E13" i="1" s="1"/>
  <c r="AA28" i="2"/>
  <c r="Y5" i="68" s="1"/>
  <c r="E28" i="2"/>
  <c r="F5" i="68" s="1"/>
  <c r="N63" i="2"/>
  <c r="M23" i="68" s="1"/>
  <c r="F14" i="1" s="1"/>
  <c r="Q63" i="2"/>
  <c r="S63" i="2"/>
  <c r="R56" i="2"/>
  <c r="T63" i="2"/>
  <c r="AD28" i="2"/>
  <c r="AB5" i="68" s="1"/>
  <c r="L55" i="2"/>
  <c r="W63" i="2"/>
  <c r="AA27" i="2"/>
  <c r="Y4" i="68" s="1"/>
  <c r="AG14" i="2"/>
  <c r="S62" i="2"/>
  <c r="T62" i="2"/>
  <c r="U62" i="2"/>
  <c r="N62" i="2"/>
  <c r="G23" i="68" s="1"/>
  <c r="F6" i="1" s="1"/>
  <c r="V62" i="2"/>
  <c r="L62" i="2"/>
  <c r="Q62" i="2"/>
  <c r="I4" i="68"/>
  <c r="O62" i="2"/>
  <c r="W62" i="2"/>
  <c r="P62" i="2"/>
  <c r="AH14" i="2"/>
  <c r="G22" i="69"/>
  <c r="E5" i="1" s="1"/>
  <c r="M27" i="70"/>
  <c r="Y5" i="69"/>
  <c r="G20" i="69"/>
  <c r="E4" i="1" s="1"/>
  <c r="F4" i="69"/>
  <c r="AB4" i="69"/>
  <c r="H8" i="70"/>
  <c r="E22" i="70"/>
  <c r="AD30" i="2"/>
  <c r="K15" i="70"/>
  <c r="S56" i="2"/>
  <c r="L56" i="2"/>
  <c r="I5" i="69"/>
  <c r="Q56" i="2"/>
  <c r="T56" i="2"/>
  <c r="AI15" i="2"/>
  <c r="K59" i="2"/>
  <c r="M56" i="2"/>
  <c r="U56" i="2"/>
  <c r="V56" i="2"/>
  <c r="O56" i="2"/>
  <c r="W56" i="2"/>
  <c r="P56" i="2"/>
  <c r="N56" i="2"/>
  <c r="E30" i="2"/>
  <c r="I4" i="69"/>
  <c r="V55" i="2"/>
  <c r="O55" i="2"/>
  <c r="W55" i="2"/>
  <c r="M55" i="2"/>
  <c r="P55" i="2"/>
  <c r="Q55" i="2"/>
  <c r="U55" i="2"/>
  <c r="AH15" i="2"/>
  <c r="K58" i="2"/>
  <c r="AG15" i="2"/>
  <c r="S55" i="2"/>
  <c r="T55" i="2"/>
  <c r="G17" i="69"/>
  <c r="X56" i="2"/>
  <c r="V5" i="69"/>
  <c r="G27" i="70"/>
  <c r="Y4" i="69"/>
  <c r="M62" i="2"/>
  <c r="G19" i="68" s="1"/>
  <c r="F3" i="1" s="1"/>
  <c r="V8" i="70"/>
  <c r="X55" i="2"/>
  <c r="R62" i="2"/>
  <c r="G20" i="68" s="1"/>
  <c r="F4" i="1" s="1"/>
  <c r="M31" i="71"/>
  <c r="G31" i="71" s="1"/>
  <c r="L32" i="71"/>
  <c r="M8" i="71"/>
  <c r="L11" i="71"/>
  <c r="L9" i="71"/>
  <c r="K19" i="67"/>
  <c r="K11" i="67"/>
  <c r="K7" i="67"/>
  <c r="K39" i="66"/>
  <c r="K31" i="66"/>
  <c r="K35" i="66"/>
  <c r="K11" i="66"/>
  <c r="K15" i="66"/>
  <c r="K7" i="66"/>
  <c r="E27" i="2"/>
  <c r="F4" i="68" s="1"/>
  <c r="U8" i="69"/>
  <c r="Q8" i="68"/>
  <c r="R8" i="69"/>
  <c r="M8" i="68"/>
  <c r="N8" i="69"/>
  <c r="AD27" i="2"/>
  <c r="AB4" i="68" s="1"/>
  <c r="Q8" i="69"/>
  <c r="M8" i="69"/>
  <c r="R8" i="68"/>
  <c r="N8" i="68"/>
  <c r="S8" i="68"/>
  <c r="T8" i="68"/>
  <c r="T8" i="69"/>
  <c r="U8" i="68"/>
  <c r="O8" i="69"/>
  <c r="O8" i="68"/>
  <c r="D44" i="67"/>
  <c r="D36" i="67"/>
  <c r="D43" i="67"/>
  <c r="D35" i="67"/>
  <c r="D33" i="67"/>
  <c r="D48" i="67"/>
  <c r="D37" i="67"/>
  <c r="D47" i="67"/>
  <c r="D39" i="67"/>
  <c r="D31" i="67"/>
  <c r="D45" i="67"/>
  <c r="D38" i="67"/>
  <c r="D42" i="67"/>
  <c r="K47" i="67"/>
  <c r="K39" i="67"/>
  <c r="K31" i="67"/>
  <c r="K46" i="67"/>
  <c r="K38" i="67"/>
  <c r="K30" i="67"/>
  <c r="K40" i="67"/>
  <c r="K48" i="67"/>
  <c r="K36" i="67"/>
  <c r="K42" i="67"/>
  <c r="K34" i="67"/>
  <c r="K32" i="67"/>
  <c r="D34" i="67"/>
  <c r="D46" i="67"/>
  <c r="K43" i="67"/>
  <c r="D32" i="67"/>
  <c r="D40" i="67"/>
  <c r="K23" i="67"/>
  <c r="K22" i="67"/>
  <c r="K14" i="67"/>
  <c r="K6" i="67"/>
  <c r="K5" i="67"/>
  <c r="K16" i="67"/>
  <c r="K24" i="67"/>
  <c r="K18" i="67"/>
  <c r="K10" i="67"/>
  <c r="K8" i="67"/>
  <c r="K12" i="67"/>
  <c r="K20" i="67"/>
  <c r="K44" i="67"/>
  <c r="D41" i="67"/>
  <c r="D49" i="67"/>
  <c r="K9" i="67"/>
  <c r="K13" i="67"/>
  <c r="K17" i="67"/>
  <c r="K21" i="67"/>
  <c r="K25" i="67"/>
  <c r="K33" i="67"/>
  <c r="K37" i="67"/>
  <c r="K41" i="67"/>
  <c r="K45" i="67"/>
  <c r="K49" i="67"/>
  <c r="D30" i="67"/>
  <c r="K4" i="67"/>
  <c r="C26" i="67"/>
  <c r="D14" i="67" s="1"/>
  <c r="D43" i="66"/>
  <c r="D42" i="66"/>
  <c r="D34" i="66"/>
  <c r="D41" i="66"/>
  <c r="D48" i="66"/>
  <c r="D47" i="66"/>
  <c r="D39" i="66"/>
  <c r="D31" i="66"/>
  <c r="D35" i="66"/>
  <c r="D37" i="66"/>
  <c r="D38" i="66"/>
  <c r="D46" i="66"/>
  <c r="K21" i="66"/>
  <c r="K13" i="66"/>
  <c r="K24" i="66"/>
  <c r="K8" i="66"/>
  <c r="K22" i="66"/>
  <c r="K10" i="66"/>
  <c r="K18" i="66"/>
  <c r="K5" i="66"/>
  <c r="K16" i="66"/>
  <c r="K14" i="66"/>
  <c r="K46" i="66"/>
  <c r="K38" i="66"/>
  <c r="K30" i="66"/>
  <c r="K45" i="66"/>
  <c r="K37" i="66"/>
  <c r="K36" i="66"/>
  <c r="K42" i="66"/>
  <c r="K34" i="66"/>
  <c r="K32" i="66"/>
  <c r="K40" i="66"/>
  <c r="K43" i="66"/>
  <c r="K47" i="66"/>
  <c r="K19" i="66"/>
  <c r="D32" i="66"/>
  <c r="D36" i="66"/>
  <c r="D40" i="66"/>
  <c r="D44" i="66"/>
  <c r="K4" i="66"/>
  <c r="K12" i="66"/>
  <c r="K20" i="66"/>
  <c r="K44" i="66"/>
  <c r="K48" i="66"/>
  <c r="D33" i="66"/>
  <c r="D45" i="66"/>
  <c r="D49" i="66"/>
  <c r="K23" i="66"/>
  <c r="K9" i="66"/>
  <c r="K17" i="66"/>
  <c r="K25" i="66"/>
  <c r="K33" i="66"/>
  <c r="K41" i="66"/>
  <c r="K49" i="66"/>
  <c r="D30" i="66"/>
  <c r="K6" i="66"/>
  <c r="C26" i="66"/>
  <c r="D6" i="66" s="1"/>
  <c r="H29" i="63"/>
  <c r="M4" i="63"/>
  <c r="N4" i="63"/>
  <c r="O4" i="63"/>
  <c r="Q4" i="63"/>
  <c r="R4" i="63"/>
  <c r="S4" i="63"/>
  <c r="T4" i="63"/>
  <c r="U4" i="63"/>
  <c r="M5" i="63"/>
  <c r="N5" i="63"/>
  <c r="O5" i="63"/>
  <c r="Q5" i="63"/>
  <c r="R5" i="63"/>
  <c r="S5" i="63"/>
  <c r="T5" i="63"/>
  <c r="U5" i="63"/>
  <c r="D4" i="63"/>
  <c r="E4" i="63"/>
  <c r="D5" i="63"/>
  <c r="E5" i="63"/>
  <c r="C5" i="63"/>
  <c r="C4" i="63"/>
  <c r="J38" i="65"/>
  <c r="J40" i="65"/>
  <c r="J5" i="65"/>
  <c r="R47" i="51"/>
  <c r="R30" i="50"/>
  <c r="J34" i="65" s="1"/>
  <c r="R31" i="50"/>
  <c r="J39" i="65" s="1"/>
  <c r="R32" i="50"/>
  <c r="R33" i="50"/>
  <c r="J32" i="65" s="1"/>
  <c r="R34" i="50"/>
  <c r="J35" i="65" s="1"/>
  <c r="R35" i="50"/>
  <c r="J41" i="65" s="1"/>
  <c r="R36" i="50"/>
  <c r="J42" i="65" s="1"/>
  <c r="R37" i="50"/>
  <c r="J43" i="65" s="1"/>
  <c r="R38" i="50"/>
  <c r="J30" i="65" s="1"/>
  <c r="R39" i="50"/>
  <c r="J31" i="65" s="1"/>
  <c r="R40" i="50"/>
  <c r="J44" i="65" s="1"/>
  <c r="R41" i="50"/>
  <c r="J45" i="65" s="1"/>
  <c r="R42" i="50"/>
  <c r="J46" i="65" s="1"/>
  <c r="R43" i="50"/>
  <c r="J47" i="65" s="1"/>
  <c r="R44" i="50"/>
  <c r="J36" i="65" s="1"/>
  <c r="R45" i="50"/>
  <c r="J33" i="65" s="1"/>
  <c r="R46" i="50"/>
  <c r="J48" i="65" s="1"/>
  <c r="R47" i="50"/>
  <c r="J49" i="65" s="1"/>
  <c r="R28" i="50"/>
  <c r="J37" i="65" s="1"/>
  <c r="R4" i="50"/>
  <c r="J16" i="65" s="1"/>
  <c r="R5" i="50"/>
  <c r="J11" i="65" s="1"/>
  <c r="R6" i="50"/>
  <c r="J4" i="65" s="1"/>
  <c r="R7" i="50"/>
  <c r="J12" i="65" s="1"/>
  <c r="R8" i="50"/>
  <c r="O8" i="50" s="1"/>
  <c r="R9" i="50"/>
  <c r="R10" i="50"/>
  <c r="J8" i="65" s="1"/>
  <c r="R11" i="50"/>
  <c r="O11" i="50" s="1"/>
  <c r="R12" i="50"/>
  <c r="J18" i="65" s="1"/>
  <c r="R13" i="50"/>
  <c r="J6" i="65" s="1"/>
  <c r="J10" i="65"/>
  <c r="R15" i="50"/>
  <c r="J7" i="65" s="1"/>
  <c r="R16" i="50"/>
  <c r="J14" i="65" s="1"/>
  <c r="R17" i="50"/>
  <c r="J19" i="65" s="1"/>
  <c r="R18" i="50"/>
  <c r="J20" i="65" s="1"/>
  <c r="R19" i="50"/>
  <c r="J21" i="65" s="1"/>
  <c r="R20" i="50"/>
  <c r="J22" i="65" s="1"/>
  <c r="R21" i="50"/>
  <c r="J23" i="65" s="1"/>
  <c r="R22" i="50"/>
  <c r="J15" i="65" s="1"/>
  <c r="R23" i="50"/>
  <c r="J24" i="65" s="1"/>
  <c r="R24" i="50"/>
  <c r="W24" i="74" s="1"/>
  <c r="R51" i="46"/>
  <c r="R29" i="46"/>
  <c r="R30" i="46"/>
  <c r="R31" i="46"/>
  <c r="R32" i="46"/>
  <c r="R33" i="46"/>
  <c r="R34" i="46"/>
  <c r="R35" i="46"/>
  <c r="R36" i="46"/>
  <c r="J38" i="45" s="1"/>
  <c r="R37" i="46"/>
  <c r="R38" i="46"/>
  <c r="R39" i="46"/>
  <c r="R40" i="46"/>
  <c r="R41" i="46"/>
  <c r="R42" i="46"/>
  <c r="R43" i="46"/>
  <c r="R44" i="46"/>
  <c r="J46" i="45" s="1"/>
  <c r="R45" i="46"/>
  <c r="R46" i="46"/>
  <c r="R47" i="46"/>
  <c r="R28" i="46"/>
  <c r="R4" i="46"/>
  <c r="J12" i="45" s="1"/>
  <c r="R5" i="46"/>
  <c r="J8" i="45" s="1"/>
  <c r="R6" i="46"/>
  <c r="R7" i="46"/>
  <c r="R8" i="46"/>
  <c r="J6" i="45"/>
  <c r="R10" i="46"/>
  <c r="R11" i="46"/>
  <c r="J15" i="45" s="1"/>
  <c r="R12" i="46"/>
  <c r="J16" i="45" s="1"/>
  <c r="R13" i="46"/>
  <c r="J9" i="45" s="1"/>
  <c r="R14" i="46"/>
  <c r="R15" i="46"/>
  <c r="R16" i="46"/>
  <c r="R17" i="46"/>
  <c r="J18" i="45" s="1"/>
  <c r="R18" i="46"/>
  <c r="R19" i="46"/>
  <c r="J20" i="45" s="1"/>
  <c r="R20" i="46"/>
  <c r="J21" i="45" s="1"/>
  <c r="R21" i="46"/>
  <c r="J22" i="45" s="1"/>
  <c r="R22" i="46"/>
  <c r="R23" i="46"/>
  <c r="R24" i="46"/>
  <c r="R3" i="46"/>
  <c r="J31" i="45"/>
  <c r="J30" i="45"/>
  <c r="J33" i="45"/>
  <c r="J34" i="45"/>
  <c r="J35" i="45"/>
  <c r="J36" i="45"/>
  <c r="J37" i="45"/>
  <c r="J39" i="45"/>
  <c r="J40" i="45"/>
  <c r="J41" i="45"/>
  <c r="J42" i="45"/>
  <c r="J43" i="45"/>
  <c r="J44" i="45"/>
  <c r="J45" i="45"/>
  <c r="J47" i="45"/>
  <c r="J48" i="45"/>
  <c r="J49" i="45"/>
  <c r="J32" i="45"/>
  <c r="J5" i="45"/>
  <c r="J13" i="45"/>
  <c r="J10" i="45"/>
  <c r="J14" i="45"/>
  <c r="J17" i="45"/>
  <c r="J11" i="45"/>
  <c r="J7" i="45"/>
  <c r="J19" i="45"/>
  <c r="J23" i="45"/>
  <c r="J24" i="45"/>
  <c r="J25" i="45"/>
  <c r="J4" i="45"/>
  <c r="AK33" i="50"/>
  <c r="AK15" i="50"/>
  <c r="AK7" i="50"/>
  <c r="P49" i="50"/>
  <c r="P7" i="50"/>
  <c r="P6" i="50"/>
  <c r="P5" i="50"/>
  <c r="P4" i="50"/>
  <c r="P26" i="50"/>
  <c r="K29" i="50"/>
  <c r="K30" i="50"/>
  <c r="K31" i="50"/>
  <c r="K32" i="50"/>
  <c r="K33" i="50"/>
  <c r="K34" i="50"/>
  <c r="K35" i="50"/>
  <c r="K36" i="50"/>
  <c r="N36" i="50" s="1"/>
  <c r="K37" i="50"/>
  <c r="K38" i="50"/>
  <c r="K39" i="50"/>
  <c r="K40" i="50"/>
  <c r="K41" i="50"/>
  <c r="K42" i="50"/>
  <c r="K43" i="50"/>
  <c r="K44" i="50"/>
  <c r="K45" i="50"/>
  <c r="K46" i="50"/>
  <c r="K47" i="50"/>
  <c r="K28" i="50"/>
  <c r="K11" i="50"/>
  <c r="N11" i="50" s="1"/>
  <c r="K12" i="50"/>
  <c r="K13" i="50"/>
  <c r="K14" i="50"/>
  <c r="K15" i="50"/>
  <c r="K16" i="50"/>
  <c r="K17" i="50"/>
  <c r="K18" i="50"/>
  <c r="N18" i="50" s="1"/>
  <c r="K19" i="50"/>
  <c r="N19" i="50" s="1"/>
  <c r="K20" i="50"/>
  <c r="K21" i="50"/>
  <c r="K22" i="50"/>
  <c r="K23" i="50"/>
  <c r="N23" i="50" s="1"/>
  <c r="K24" i="50"/>
  <c r="K10" i="50"/>
  <c r="K9" i="50"/>
  <c r="N9" i="50" s="1"/>
  <c r="K8" i="50"/>
  <c r="N8" i="50" s="1"/>
  <c r="N42" i="50"/>
  <c r="N44" i="50"/>
  <c r="N12" i="50"/>
  <c r="N15" i="50"/>
  <c r="N20" i="50"/>
  <c r="N16" i="50"/>
  <c r="N24" i="50"/>
  <c r="C29" i="50"/>
  <c r="C30" i="50"/>
  <c r="C31" i="50"/>
  <c r="C32" i="50"/>
  <c r="C33" i="50"/>
  <c r="C34" i="50"/>
  <c r="C35" i="50"/>
  <c r="C36" i="50"/>
  <c r="C37" i="50"/>
  <c r="C38" i="50"/>
  <c r="C39" i="50"/>
  <c r="C40" i="50"/>
  <c r="C41" i="50"/>
  <c r="C42" i="50"/>
  <c r="C43" i="50"/>
  <c r="C44" i="50"/>
  <c r="C45" i="50"/>
  <c r="C46" i="50"/>
  <c r="C47" i="50"/>
  <c r="C28" i="50"/>
  <c r="C4" i="50"/>
  <c r="C5" i="50"/>
  <c r="C6" i="50"/>
  <c r="C7" i="50"/>
  <c r="C8" i="50"/>
  <c r="C9" i="50"/>
  <c r="C10" i="50"/>
  <c r="C11" i="50"/>
  <c r="C12" i="50"/>
  <c r="C13" i="50"/>
  <c r="C14" i="50"/>
  <c r="C15" i="50"/>
  <c r="C16" i="50"/>
  <c r="C17" i="50"/>
  <c r="C18" i="50"/>
  <c r="C19" i="50"/>
  <c r="C20" i="50"/>
  <c r="C21" i="50"/>
  <c r="C22" i="50"/>
  <c r="C23" i="50"/>
  <c r="C24" i="50"/>
  <c r="C3" i="50"/>
  <c r="K4" i="50"/>
  <c r="K5" i="50"/>
  <c r="K6" i="50"/>
  <c r="K7" i="50"/>
  <c r="K3" i="50"/>
  <c r="J50" i="64"/>
  <c r="C50" i="64"/>
  <c r="J26" i="64"/>
  <c r="C26" i="64"/>
  <c r="Q8" i="63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18" i="2"/>
  <c r="G18" i="2"/>
  <c r="F18" i="2"/>
  <c r="H17" i="2"/>
  <c r="G17" i="2"/>
  <c r="F17" i="2"/>
  <c r="O72" i="2"/>
  <c r="P72" i="2"/>
  <c r="Q72" i="2"/>
  <c r="S72" i="2"/>
  <c r="T72" i="2"/>
  <c r="U72" i="2"/>
  <c r="V72" i="2"/>
  <c r="W72" i="2"/>
  <c r="O73" i="2"/>
  <c r="P73" i="2"/>
  <c r="Q73" i="2"/>
  <c r="S73" i="2"/>
  <c r="T73" i="2"/>
  <c r="U73" i="2"/>
  <c r="V73" i="2"/>
  <c r="W73" i="2"/>
  <c r="N26" i="2"/>
  <c r="N66" i="2" s="1"/>
  <c r="M26" i="2"/>
  <c r="M66" i="2" s="1"/>
  <c r="J26" i="2"/>
  <c r="I26" i="2"/>
  <c r="H26" i="2"/>
  <c r="G26" i="2"/>
  <c r="F26" i="2"/>
  <c r="N25" i="2"/>
  <c r="N65" i="2" s="1"/>
  <c r="M25" i="2"/>
  <c r="M65" i="2" s="1"/>
  <c r="J25" i="2"/>
  <c r="I25" i="2"/>
  <c r="G4" i="63" s="1"/>
  <c r="H25" i="2"/>
  <c r="G25" i="2"/>
  <c r="F25" i="2"/>
  <c r="AA53" i="46"/>
  <c r="AA50" i="46"/>
  <c r="AK34" i="50"/>
  <c r="AK11" i="50"/>
  <c r="Z47" i="46"/>
  <c r="X47" i="46"/>
  <c r="T47" i="46"/>
  <c r="S47" i="46"/>
  <c r="Q47" i="46"/>
  <c r="P47" i="46"/>
  <c r="Z46" i="46"/>
  <c r="X46" i="46"/>
  <c r="T46" i="46"/>
  <c r="S46" i="46"/>
  <c r="Q46" i="46"/>
  <c r="P46" i="46"/>
  <c r="Z45" i="46"/>
  <c r="X45" i="46"/>
  <c r="T45" i="46"/>
  <c r="S45" i="46"/>
  <c r="Q45" i="46"/>
  <c r="P45" i="46"/>
  <c r="Z44" i="46"/>
  <c r="X44" i="46"/>
  <c r="T44" i="46"/>
  <c r="S44" i="46"/>
  <c r="Q44" i="46"/>
  <c r="P44" i="46"/>
  <c r="AJ44" i="50" s="1"/>
  <c r="Z43" i="46"/>
  <c r="X43" i="46"/>
  <c r="T43" i="46"/>
  <c r="S43" i="46"/>
  <c r="Q43" i="46"/>
  <c r="P43" i="46"/>
  <c r="Z42" i="46"/>
  <c r="X42" i="46"/>
  <c r="T42" i="46"/>
  <c r="S42" i="46"/>
  <c r="Q42" i="46"/>
  <c r="P42" i="46"/>
  <c r="Z41" i="46"/>
  <c r="X41" i="46"/>
  <c r="T41" i="46"/>
  <c r="S41" i="46"/>
  <c r="Q41" i="46"/>
  <c r="P41" i="46"/>
  <c r="Z40" i="46"/>
  <c r="X40" i="46"/>
  <c r="T40" i="46"/>
  <c r="S40" i="46"/>
  <c r="Q40" i="46"/>
  <c r="P40" i="46"/>
  <c r="AJ40" i="50" s="1"/>
  <c r="Z39" i="46"/>
  <c r="X39" i="46"/>
  <c r="T39" i="46"/>
  <c r="S39" i="46"/>
  <c r="Q39" i="46"/>
  <c r="P39" i="46"/>
  <c r="Z38" i="46"/>
  <c r="X38" i="46"/>
  <c r="T38" i="46"/>
  <c r="S38" i="46"/>
  <c r="Q38" i="46"/>
  <c r="P38" i="46"/>
  <c r="Z37" i="46"/>
  <c r="X37" i="46"/>
  <c r="T37" i="46"/>
  <c r="S37" i="46"/>
  <c r="U37" i="50" s="1"/>
  <c r="Q37" i="46"/>
  <c r="P37" i="46"/>
  <c r="Z36" i="46"/>
  <c r="X36" i="46"/>
  <c r="T36" i="46"/>
  <c r="S36" i="46"/>
  <c r="Q36" i="46"/>
  <c r="P36" i="46"/>
  <c r="AJ36" i="50" s="1"/>
  <c r="Z35" i="46"/>
  <c r="X35" i="46"/>
  <c r="T35" i="46"/>
  <c r="S35" i="46"/>
  <c r="Q35" i="46"/>
  <c r="P35" i="46"/>
  <c r="Z34" i="46"/>
  <c r="X34" i="46"/>
  <c r="T34" i="46"/>
  <c r="S34" i="46"/>
  <c r="Q34" i="46"/>
  <c r="P34" i="46"/>
  <c r="Z33" i="46"/>
  <c r="X33" i="46"/>
  <c r="T33" i="46"/>
  <c r="S33" i="46"/>
  <c r="Q33" i="46"/>
  <c r="P33" i="46"/>
  <c r="Z32" i="46"/>
  <c r="X32" i="46"/>
  <c r="T32" i="46"/>
  <c r="S32" i="46"/>
  <c r="Q32" i="46"/>
  <c r="P32" i="46"/>
  <c r="Z31" i="46"/>
  <c r="X31" i="46"/>
  <c r="T31" i="46"/>
  <c r="S31" i="46"/>
  <c r="Q31" i="46"/>
  <c r="P31" i="46"/>
  <c r="Z30" i="46"/>
  <c r="X30" i="46"/>
  <c r="T30" i="46"/>
  <c r="S30" i="46"/>
  <c r="Q30" i="46"/>
  <c r="P30" i="46"/>
  <c r="Z29" i="46"/>
  <c r="X29" i="46"/>
  <c r="T29" i="46"/>
  <c r="S29" i="46"/>
  <c r="U29" i="50" s="1"/>
  <c r="Q29" i="46"/>
  <c r="P29" i="46"/>
  <c r="Z28" i="46"/>
  <c r="X28" i="46"/>
  <c r="T28" i="46"/>
  <c r="S28" i="46"/>
  <c r="Q28" i="46"/>
  <c r="P28" i="46"/>
  <c r="Z24" i="46"/>
  <c r="X24" i="46"/>
  <c r="T24" i="46"/>
  <c r="S24" i="46"/>
  <c r="Q24" i="46"/>
  <c r="P24" i="46"/>
  <c r="Z23" i="46"/>
  <c r="X23" i="46"/>
  <c r="T23" i="46"/>
  <c r="S23" i="46"/>
  <c r="Q23" i="46"/>
  <c r="P23" i="46"/>
  <c r="Z22" i="46"/>
  <c r="X22" i="46"/>
  <c r="T22" i="46"/>
  <c r="S22" i="46"/>
  <c r="Q22" i="46"/>
  <c r="P22" i="46"/>
  <c r="Z21" i="46"/>
  <c r="X21" i="46"/>
  <c r="T21" i="46"/>
  <c r="S21" i="46"/>
  <c r="Q21" i="46"/>
  <c r="P21" i="46"/>
  <c r="Z20" i="46"/>
  <c r="X20" i="46"/>
  <c r="T20" i="46"/>
  <c r="S20" i="46"/>
  <c r="Q20" i="46"/>
  <c r="P20" i="46"/>
  <c r="Z19" i="46"/>
  <c r="X19" i="46"/>
  <c r="T19" i="46"/>
  <c r="S19" i="46"/>
  <c r="Q19" i="46"/>
  <c r="P19" i="46"/>
  <c r="Z18" i="46"/>
  <c r="X18" i="46"/>
  <c r="T18" i="46"/>
  <c r="S18" i="46"/>
  <c r="U18" i="50" s="1"/>
  <c r="Y18" i="50" s="1"/>
  <c r="Q18" i="46"/>
  <c r="P18" i="46"/>
  <c r="Z17" i="46"/>
  <c r="X17" i="46"/>
  <c r="T17" i="46"/>
  <c r="S17" i="46"/>
  <c r="Q17" i="46"/>
  <c r="P17" i="46"/>
  <c r="Z16" i="46"/>
  <c r="X16" i="46"/>
  <c r="T16" i="46"/>
  <c r="S16" i="46"/>
  <c r="Q16" i="46"/>
  <c r="P16" i="46"/>
  <c r="Z15" i="46"/>
  <c r="X15" i="46"/>
  <c r="T15" i="46"/>
  <c r="S15" i="46"/>
  <c r="Q15" i="46"/>
  <c r="P15" i="46"/>
  <c r="Z14" i="46"/>
  <c r="X14" i="46"/>
  <c r="T14" i="46"/>
  <c r="S14" i="46"/>
  <c r="U14" i="50" s="1"/>
  <c r="Y14" i="50" s="1"/>
  <c r="Q14" i="46"/>
  <c r="P14" i="46"/>
  <c r="Z13" i="46"/>
  <c r="X13" i="46"/>
  <c r="T13" i="46"/>
  <c r="S13" i="46"/>
  <c r="Q13" i="46"/>
  <c r="P13" i="46"/>
  <c r="Z12" i="46"/>
  <c r="X12" i="46"/>
  <c r="T12" i="46"/>
  <c r="S12" i="46"/>
  <c r="Q12" i="46"/>
  <c r="P12" i="46"/>
  <c r="Z11" i="46"/>
  <c r="X11" i="46"/>
  <c r="T11" i="46"/>
  <c r="S11" i="46"/>
  <c r="Q11" i="46"/>
  <c r="P11" i="46"/>
  <c r="Z10" i="46"/>
  <c r="X10" i="46"/>
  <c r="T10" i="46"/>
  <c r="S10" i="46"/>
  <c r="U10" i="50" s="1"/>
  <c r="Q10" i="46"/>
  <c r="P10" i="46"/>
  <c r="Z9" i="46"/>
  <c r="X9" i="46"/>
  <c r="T9" i="46"/>
  <c r="S9" i="46"/>
  <c r="Q9" i="46"/>
  <c r="P9" i="46"/>
  <c r="Z8" i="46"/>
  <c r="X8" i="46"/>
  <c r="T8" i="46"/>
  <c r="S8" i="46"/>
  <c r="Q8" i="46"/>
  <c r="P8" i="46"/>
  <c r="Z7" i="46"/>
  <c r="X7" i="46"/>
  <c r="T7" i="46"/>
  <c r="S7" i="46"/>
  <c r="Q7" i="46"/>
  <c r="P7" i="46"/>
  <c r="Z6" i="46"/>
  <c r="X6" i="46"/>
  <c r="T6" i="46"/>
  <c r="S6" i="46"/>
  <c r="Q6" i="46"/>
  <c r="P6" i="46"/>
  <c r="Z5" i="46"/>
  <c r="X5" i="46"/>
  <c r="T5" i="46"/>
  <c r="S5" i="46"/>
  <c r="Q5" i="46"/>
  <c r="P5" i="46"/>
  <c r="Z4" i="46"/>
  <c r="X4" i="46"/>
  <c r="T4" i="46"/>
  <c r="S4" i="46"/>
  <c r="Q4" i="46"/>
  <c r="P4" i="46"/>
  <c r="Z3" i="46"/>
  <c r="X3" i="46"/>
  <c r="T3" i="46"/>
  <c r="S3" i="46"/>
  <c r="Q3" i="46"/>
  <c r="P3" i="46"/>
  <c r="L3" i="62"/>
  <c r="M3" i="62"/>
  <c r="K60" i="62"/>
  <c r="L60" i="62" s="1"/>
  <c r="I60" i="62"/>
  <c r="K58" i="62"/>
  <c r="L58" i="62" s="1"/>
  <c r="I58" i="62"/>
  <c r="J51" i="62"/>
  <c r="G51" i="62"/>
  <c r="F51" i="62"/>
  <c r="E51" i="62"/>
  <c r="D51" i="62"/>
  <c r="AC49" i="62"/>
  <c r="AB49" i="62"/>
  <c r="C49" i="62"/>
  <c r="AH47" i="62"/>
  <c r="I47" i="62"/>
  <c r="AH46" i="62"/>
  <c r="I46" i="62"/>
  <c r="AH45" i="62"/>
  <c r="I45" i="62"/>
  <c r="AH44" i="62"/>
  <c r="I44" i="62"/>
  <c r="AH43" i="62"/>
  <c r="I43" i="62"/>
  <c r="AH42" i="62"/>
  <c r="I42" i="62"/>
  <c r="AH41" i="62"/>
  <c r="I41" i="62"/>
  <c r="AH40" i="62"/>
  <c r="I40" i="62"/>
  <c r="AH39" i="62"/>
  <c r="I39" i="62"/>
  <c r="AH38" i="62"/>
  <c r="I38" i="62"/>
  <c r="AH37" i="62"/>
  <c r="I37" i="62"/>
  <c r="AH36" i="62"/>
  <c r="I36" i="62"/>
  <c r="AH35" i="62"/>
  <c r="I35" i="62"/>
  <c r="AH34" i="62"/>
  <c r="I34" i="62"/>
  <c r="AH33" i="62"/>
  <c r="I33" i="62"/>
  <c r="AH32" i="62"/>
  <c r="I32" i="62"/>
  <c r="AH31" i="62"/>
  <c r="I31" i="62"/>
  <c r="AH30" i="62"/>
  <c r="I30" i="62"/>
  <c r="AH29" i="62"/>
  <c r="I29" i="62"/>
  <c r="AH28" i="62"/>
  <c r="AH48" i="62" s="1"/>
  <c r="I28" i="62"/>
  <c r="AC26" i="62"/>
  <c r="AC51" i="62" s="1"/>
  <c r="AB26" i="62"/>
  <c r="C26" i="62"/>
  <c r="C51" i="62" s="1"/>
  <c r="AH24" i="62"/>
  <c r="I24" i="62"/>
  <c r="AH23" i="62"/>
  <c r="I23" i="62"/>
  <c r="AH22" i="62"/>
  <c r="I22" i="62"/>
  <c r="AH21" i="62"/>
  <c r="I21" i="62"/>
  <c r="AH20" i="62"/>
  <c r="I20" i="62"/>
  <c r="AH19" i="62"/>
  <c r="I19" i="62"/>
  <c r="AH18" i="62"/>
  <c r="I18" i="62"/>
  <c r="AH17" i="62"/>
  <c r="I17" i="62"/>
  <c r="AH16" i="62"/>
  <c r="I16" i="62"/>
  <c r="AH15" i="62"/>
  <c r="I15" i="62"/>
  <c r="AH14" i="62"/>
  <c r="I14" i="62"/>
  <c r="AH13" i="62"/>
  <c r="I13" i="62"/>
  <c r="AH12" i="62"/>
  <c r="I12" i="62"/>
  <c r="AH11" i="62"/>
  <c r="I11" i="62"/>
  <c r="AH10" i="62"/>
  <c r="I10" i="62"/>
  <c r="AH9" i="62"/>
  <c r="I9" i="62"/>
  <c r="AH8" i="62"/>
  <c r="I8" i="62"/>
  <c r="AH7" i="62"/>
  <c r="I7" i="62"/>
  <c r="AH6" i="62"/>
  <c r="I6" i="62"/>
  <c r="AH5" i="62"/>
  <c r="I5" i="62"/>
  <c r="AH4" i="62"/>
  <c r="I4" i="62"/>
  <c r="AH3" i="62"/>
  <c r="I3" i="62"/>
  <c r="U40" i="50"/>
  <c r="U19" i="50"/>
  <c r="U24" i="50"/>
  <c r="O38" i="50"/>
  <c r="O47" i="50"/>
  <c r="AK16" i="50"/>
  <c r="AK18" i="50"/>
  <c r="O20" i="50"/>
  <c r="N29" i="50"/>
  <c r="N30" i="50"/>
  <c r="N31" i="50"/>
  <c r="N32" i="50"/>
  <c r="N33" i="50"/>
  <c r="N34" i="50"/>
  <c r="N35" i="50"/>
  <c r="N37" i="50"/>
  <c r="N38" i="50"/>
  <c r="N39" i="50"/>
  <c r="N40" i="50"/>
  <c r="N41" i="50"/>
  <c r="N43" i="50"/>
  <c r="N45" i="50"/>
  <c r="N46" i="50"/>
  <c r="N47" i="50"/>
  <c r="N28" i="50"/>
  <c r="N4" i="50"/>
  <c r="N5" i="50"/>
  <c r="N6" i="50"/>
  <c r="N7" i="50"/>
  <c r="N10" i="50"/>
  <c r="N13" i="50"/>
  <c r="N14" i="50"/>
  <c r="N17" i="50"/>
  <c r="N21" i="50"/>
  <c r="N22" i="50"/>
  <c r="N3" i="50"/>
  <c r="Z47" i="51"/>
  <c r="X47" i="51"/>
  <c r="T47" i="51"/>
  <c r="S47" i="51"/>
  <c r="Q47" i="51"/>
  <c r="P47" i="51"/>
  <c r="Z46" i="51"/>
  <c r="X46" i="51"/>
  <c r="T46" i="51"/>
  <c r="S46" i="51"/>
  <c r="Q46" i="51"/>
  <c r="P46" i="51"/>
  <c r="R46" i="51" s="1"/>
  <c r="AG46" i="51" s="1"/>
  <c r="AM46" i="51" s="1"/>
  <c r="Z45" i="51"/>
  <c r="X45" i="51"/>
  <c r="T45" i="51"/>
  <c r="S45" i="51"/>
  <c r="Q45" i="51"/>
  <c r="P45" i="51"/>
  <c r="R45" i="51" s="1"/>
  <c r="Z44" i="51"/>
  <c r="AJ44" i="51" s="1"/>
  <c r="X44" i="51"/>
  <c r="T44" i="51"/>
  <c r="S44" i="51"/>
  <c r="Q44" i="51"/>
  <c r="P44" i="51"/>
  <c r="R44" i="51" s="1"/>
  <c r="Z43" i="51"/>
  <c r="X43" i="51"/>
  <c r="T43" i="51"/>
  <c r="S43" i="51"/>
  <c r="Q43" i="51"/>
  <c r="P43" i="51"/>
  <c r="R43" i="51" s="1"/>
  <c r="Z42" i="51"/>
  <c r="X42" i="51"/>
  <c r="T42" i="51"/>
  <c r="S42" i="51"/>
  <c r="Q42" i="51"/>
  <c r="P42" i="51"/>
  <c r="R42" i="51" s="1"/>
  <c r="Z41" i="51"/>
  <c r="X41" i="51"/>
  <c r="T41" i="51"/>
  <c r="S41" i="51"/>
  <c r="Q41" i="51"/>
  <c r="P41" i="51"/>
  <c r="R41" i="51" s="1"/>
  <c r="AG41" i="51" s="1"/>
  <c r="AM41" i="51" s="1"/>
  <c r="Z40" i="51"/>
  <c r="X40" i="51"/>
  <c r="T40" i="51"/>
  <c r="S40" i="51"/>
  <c r="Q40" i="51"/>
  <c r="P40" i="51"/>
  <c r="R40" i="51" s="1"/>
  <c r="Z39" i="51"/>
  <c r="X39" i="51"/>
  <c r="T39" i="51"/>
  <c r="S39" i="51"/>
  <c r="Q39" i="51"/>
  <c r="P39" i="51"/>
  <c r="R39" i="51" s="1"/>
  <c r="Z38" i="51"/>
  <c r="X38" i="51"/>
  <c r="T38" i="51"/>
  <c r="S38" i="51"/>
  <c r="Q38" i="51"/>
  <c r="P38" i="51"/>
  <c r="R38" i="51" s="1"/>
  <c r="Z37" i="51"/>
  <c r="X37" i="51"/>
  <c r="T37" i="51"/>
  <c r="S37" i="51"/>
  <c r="Q37" i="51"/>
  <c r="P37" i="51"/>
  <c r="R37" i="51" s="1"/>
  <c r="AG37" i="51" s="1"/>
  <c r="Z36" i="51"/>
  <c r="X36" i="51"/>
  <c r="T36" i="51"/>
  <c r="S36" i="51"/>
  <c r="Q36" i="51"/>
  <c r="P36" i="51"/>
  <c r="R36" i="51" s="1"/>
  <c r="Z35" i="51"/>
  <c r="X35" i="51"/>
  <c r="T35" i="51"/>
  <c r="S35" i="51"/>
  <c r="Q35" i="51"/>
  <c r="P35" i="51"/>
  <c r="R35" i="51" s="1"/>
  <c r="Z34" i="51"/>
  <c r="X34" i="51"/>
  <c r="T34" i="51"/>
  <c r="S34" i="51"/>
  <c r="Q34" i="51"/>
  <c r="P34" i="51"/>
  <c r="R34" i="51" s="1"/>
  <c r="Z33" i="51"/>
  <c r="X33" i="51"/>
  <c r="T33" i="51"/>
  <c r="S33" i="51"/>
  <c r="Q33" i="51"/>
  <c r="P33" i="51"/>
  <c r="R33" i="51" s="1"/>
  <c r="Z32" i="51"/>
  <c r="X32" i="51"/>
  <c r="T32" i="51"/>
  <c r="S32" i="51"/>
  <c r="Q32" i="51"/>
  <c r="P32" i="51"/>
  <c r="R32" i="51" s="1"/>
  <c r="Z31" i="51"/>
  <c r="X31" i="51"/>
  <c r="T31" i="51"/>
  <c r="S31" i="51"/>
  <c r="Q31" i="51"/>
  <c r="P31" i="51"/>
  <c r="R31" i="51" s="1"/>
  <c r="Z30" i="51"/>
  <c r="X30" i="51"/>
  <c r="T30" i="51"/>
  <c r="S30" i="51"/>
  <c r="Q30" i="51"/>
  <c r="P30" i="51"/>
  <c r="R30" i="51" s="1"/>
  <c r="Z29" i="51"/>
  <c r="X29" i="51"/>
  <c r="T29" i="51"/>
  <c r="S29" i="51"/>
  <c r="Q29" i="51"/>
  <c r="P29" i="51"/>
  <c r="R29" i="51" s="1"/>
  <c r="AG29" i="51" s="1"/>
  <c r="AM29" i="51" s="1"/>
  <c r="Z28" i="51"/>
  <c r="X28" i="51"/>
  <c r="T28" i="51"/>
  <c r="S28" i="51"/>
  <c r="Q28" i="51"/>
  <c r="P28" i="51"/>
  <c r="R28" i="51" s="1"/>
  <c r="Z24" i="51"/>
  <c r="X24" i="51"/>
  <c r="T24" i="51"/>
  <c r="S24" i="51"/>
  <c r="Q24" i="51"/>
  <c r="P24" i="51"/>
  <c r="R24" i="51" s="1"/>
  <c r="Z23" i="51"/>
  <c r="AJ23" i="51" s="1"/>
  <c r="X23" i="51"/>
  <c r="T23" i="51"/>
  <c r="S23" i="51"/>
  <c r="Q23" i="51"/>
  <c r="P23" i="51"/>
  <c r="R23" i="51" s="1"/>
  <c r="Z22" i="51"/>
  <c r="X22" i="51"/>
  <c r="T22" i="51"/>
  <c r="S22" i="51"/>
  <c r="Q22" i="51"/>
  <c r="P22" i="51"/>
  <c r="R22" i="51" s="1"/>
  <c r="Z21" i="51"/>
  <c r="X21" i="51"/>
  <c r="T21" i="51"/>
  <c r="S21" i="51"/>
  <c r="Q21" i="51"/>
  <c r="P21" i="51"/>
  <c r="R21" i="51" s="1"/>
  <c r="Z20" i="51"/>
  <c r="X20" i="51"/>
  <c r="T20" i="51"/>
  <c r="S20" i="51"/>
  <c r="Q20" i="51"/>
  <c r="P20" i="51"/>
  <c r="R20" i="51" s="1"/>
  <c r="Z19" i="51"/>
  <c r="AJ19" i="51" s="1"/>
  <c r="X19" i="51"/>
  <c r="T19" i="51"/>
  <c r="S19" i="51"/>
  <c r="Q19" i="51"/>
  <c r="P19" i="51"/>
  <c r="R19" i="51" s="1"/>
  <c r="AG19" i="51" s="1"/>
  <c r="AM19" i="51" s="1"/>
  <c r="Z18" i="51"/>
  <c r="AJ18" i="51" s="1"/>
  <c r="X18" i="51"/>
  <c r="T18" i="51"/>
  <c r="S18" i="51"/>
  <c r="Q18" i="51"/>
  <c r="P18" i="51"/>
  <c r="R18" i="51" s="1"/>
  <c r="Z17" i="51"/>
  <c r="X17" i="51"/>
  <c r="T17" i="51"/>
  <c r="S17" i="51"/>
  <c r="Q17" i="51"/>
  <c r="P17" i="51"/>
  <c r="R17" i="51" s="1"/>
  <c r="Z16" i="51"/>
  <c r="X16" i="51"/>
  <c r="T16" i="51"/>
  <c r="S16" i="51"/>
  <c r="Q16" i="51"/>
  <c r="P16" i="51"/>
  <c r="R16" i="51" s="1"/>
  <c r="Z15" i="51"/>
  <c r="AJ15" i="51" s="1"/>
  <c r="X15" i="51"/>
  <c r="T15" i="51"/>
  <c r="S15" i="51"/>
  <c r="Q15" i="51"/>
  <c r="P15" i="51"/>
  <c r="R15" i="51" s="1"/>
  <c r="Z14" i="51"/>
  <c r="AJ14" i="51" s="1"/>
  <c r="X14" i="51"/>
  <c r="T14" i="51"/>
  <c r="S14" i="51"/>
  <c r="Q14" i="51"/>
  <c r="P14" i="51"/>
  <c r="R14" i="51" s="1"/>
  <c r="Z13" i="51"/>
  <c r="X13" i="51"/>
  <c r="T13" i="51"/>
  <c r="S13" i="51"/>
  <c r="Q13" i="51"/>
  <c r="P13" i="51"/>
  <c r="R13" i="51" s="1"/>
  <c r="Z12" i="51"/>
  <c r="X12" i="51"/>
  <c r="T12" i="51"/>
  <c r="S12" i="51"/>
  <c r="Q12" i="51"/>
  <c r="P12" i="51"/>
  <c r="R12" i="51" s="1"/>
  <c r="Z11" i="51"/>
  <c r="X11" i="51"/>
  <c r="T11" i="51"/>
  <c r="S11" i="51"/>
  <c r="Q11" i="51"/>
  <c r="P11" i="51"/>
  <c r="R11" i="51" s="1"/>
  <c r="Z10" i="51"/>
  <c r="X10" i="51"/>
  <c r="T10" i="51"/>
  <c r="S10" i="51"/>
  <c r="Q10" i="51"/>
  <c r="P10" i="51"/>
  <c r="R10" i="51" s="1"/>
  <c r="AI10" i="51" s="1"/>
  <c r="Z9" i="51"/>
  <c r="X9" i="51"/>
  <c r="T9" i="51"/>
  <c r="S9" i="51"/>
  <c r="Q9" i="51"/>
  <c r="P9" i="51"/>
  <c r="R9" i="51" s="1"/>
  <c r="AI9" i="51" s="1"/>
  <c r="Z8" i="51"/>
  <c r="X8" i="51"/>
  <c r="T8" i="51"/>
  <c r="S8" i="51"/>
  <c r="Q8" i="51"/>
  <c r="P8" i="51"/>
  <c r="R8" i="51" s="1"/>
  <c r="Z7" i="51"/>
  <c r="X7" i="51"/>
  <c r="T7" i="51"/>
  <c r="S7" i="51"/>
  <c r="Q7" i="51"/>
  <c r="P7" i="51"/>
  <c r="R7" i="51" s="1"/>
  <c r="Z6" i="51"/>
  <c r="X6" i="51"/>
  <c r="T6" i="51"/>
  <c r="S6" i="51"/>
  <c r="Q6" i="51"/>
  <c r="P6" i="51"/>
  <c r="R6" i="51" s="1"/>
  <c r="AI6" i="51" s="1"/>
  <c r="Z5" i="51"/>
  <c r="X5" i="51"/>
  <c r="T5" i="51"/>
  <c r="S5" i="51"/>
  <c r="Q5" i="51"/>
  <c r="P5" i="51"/>
  <c r="R5" i="51" s="1"/>
  <c r="AI5" i="51" s="1"/>
  <c r="Z4" i="51"/>
  <c r="X4" i="51"/>
  <c r="T4" i="51"/>
  <c r="S4" i="51"/>
  <c r="Q4" i="51"/>
  <c r="P4" i="51"/>
  <c r="R4" i="51" s="1"/>
  <c r="Z3" i="51"/>
  <c r="X3" i="51"/>
  <c r="T3" i="51"/>
  <c r="S3" i="51"/>
  <c r="Q3" i="51"/>
  <c r="P3" i="51"/>
  <c r="R3" i="51" s="1"/>
  <c r="Z47" i="52"/>
  <c r="X47" i="52"/>
  <c r="T47" i="52"/>
  <c r="S47" i="52"/>
  <c r="Q47" i="52"/>
  <c r="P47" i="52"/>
  <c r="R47" i="52" s="1"/>
  <c r="Z46" i="52"/>
  <c r="X46" i="52"/>
  <c r="T46" i="52"/>
  <c r="S46" i="52"/>
  <c r="Q46" i="52"/>
  <c r="P46" i="52"/>
  <c r="R46" i="52" s="1"/>
  <c r="Z45" i="52"/>
  <c r="X45" i="52"/>
  <c r="T45" i="52"/>
  <c r="S45" i="52"/>
  <c r="Q45" i="52"/>
  <c r="P45" i="52"/>
  <c r="Z44" i="52"/>
  <c r="X44" i="52"/>
  <c r="T44" i="52"/>
  <c r="S44" i="52"/>
  <c r="Q44" i="52"/>
  <c r="P44" i="52"/>
  <c r="Z43" i="52"/>
  <c r="X43" i="52"/>
  <c r="T43" i="52"/>
  <c r="S43" i="52"/>
  <c r="Q43" i="52"/>
  <c r="P43" i="52"/>
  <c r="Z42" i="52"/>
  <c r="X42" i="52"/>
  <c r="T42" i="52"/>
  <c r="S42" i="52"/>
  <c r="Q42" i="52"/>
  <c r="P42" i="52"/>
  <c r="Z41" i="52"/>
  <c r="X41" i="52"/>
  <c r="T41" i="52"/>
  <c r="S41" i="52"/>
  <c r="Q41" i="52"/>
  <c r="P41" i="52"/>
  <c r="Z40" i="52"/>
  <c r="X40" i="52"/>
  <c r="T40" i="52"/>
  <c r="S40" i="52"/>
  <c r="Q40" i="52"/>
  <c r="P40" i="52"/>
  <c r="Z39" i="52"/>
  <c r="X39" i="52"/>
  <c r="T39" i="52"/>
  <c r="S39" i="52"/>
  <c r="Q39" i="52"/>
  <c r="P39" i="52"/>
  <c r="Z38" i="52"/>
  <c r="X38" i="52"/>
  <c r="T38" i="52"/>
  <c r="S38" i="52"/>
  <c r="Q38" i="52"/>
  <c r="P38" i="52"/>
  <c r="R38" i="52" s="1"/>
  <c r="Z37" i="52"/>
  <c r="X37" i="52"/>
  <c r="T37" i="52"/>
  <c r="S37" i="52"/>
  <c r="Q37" i="52"/>
  <c r="P37" i="52"/>
  <c r="Z36" i="52"/>
  <c r="X36" i="52"/>
  <c r="T36" i="52"/>
  <c r="S36" i="52"/>
  <c r="Q36" i="52"/>
  <c r="P36" i="52"/>
  <c r="Z35" i="52"/>
  <c r="X35" i="52"/>
  <c r="T35" i="52"/>
  <c r="S35" i="52"/>
  <c r="Q35" i="52"/>
  <c r="P35" i="52"/>
  <c r="Z34" i="52"/>
  <c r="X34" i="52"/>
  <c r="T34" i="52"/>
  <c r="S34" i="52"/>
  <c r="Q34" i="52"/>
  <c r="P34" i="52"/>
  <c r="R34" i="52" s="1"/>
  <c r="Z33" i="52"/>
  <c r="X33" i="52"/>
  <c r="T33" i="52"/>
  <c r="S33" i="52"/>
  <c r="Q33" i="52"/>
  <c r="P33" i="52"/>
  <c r="Z32" i="52"/>
  <c r="X32" i="52"/>
  <c r="T32" i="52"/>
  <c r="S32" i="52"/>
  <c r="Q32" i="52"/>
  <c r="P32" i="52"/>
  <c r="Z31" i="52"/>
  <c r="X31" i="52"/>
  <c r="T31" i="52"/>
  <c r="S31" i="52"/>
  <c r="Q31" i="52"/>
  <c r="P31" i="52"/>
  <c r="Z30" i="52"/>
  <c r="X30" i="52"/>
  <c r="T30" i="52"/>
  <c r="S30" i="52"/>
  <c r="Q30" i="52"/>
  <c r="P30" i="52"/>
  <c r="R30" i="52" s="1"/>
  <c r="Z29" i="52"/>
  <c r="X29" i="52"/>
  <c r="T29" i="52"/>
  <c r="S29" i="52"/>
  <c r="Q29" i="52"/>
  <c r="P29" i="52"/>
  <c r="Z28" i="52"/>
  <c r="X28" i="52"/>
  <c r="T28" i="52"/>
  <c r="S28" i="52"/>
  <c r="Q28" i="52"/>
  <c r="P28" i="52"/>
  <c r="Z24" i="52"/>
  <c r="X24" i="52"/>
  <c r="T24" i="52"/>
  <c r="S24" i="52"/>
  <c r="Q24" i="52"/>
  <c r="P24" i="52"/>
  <c r="Z23" i="52"/>
  <c r="AJ23" i="52" s="1"/>
  <c r="X23" i="52"/>
  <c r="T23" i="52"/>
  <c r="S23" i="52"/>
  <c r="Q23" i="52"/>
  <c r="P23" i="52"/>
  <c r="Z22" i="52"/>
  <c r="X22" i="52"/>
  <c r="T22" i="52"/>
  <c r="S22" i="52"/>
  <c r="Q22" i="52"/>
  <c r="P22" i="52"/>
  <c r="Z21" i="52"/>
  <c r="X21" i="52"/>
  <c r="T21" i="52"/>
  <c r="S21" i="52"/>
  <c r="Q21" i="52"/>
  <c r="P21" i="52"/>
  <c r="Z20" i="52"/>
  <c r="X20" i="52"/>
  <c r="T20" i="52"/>
  <c r="S20" i="52"/>
  <c r="Q20" i="52"/>
  <c r="P20" i="52"/>
  <c r="Z19" i="52"/>
  <c r="AJ19" i="52" s="1"/>
  <c r="X19" i="52"/>
  <c r="T19" i="52"/>
  <c r="S19" i="52"/>
  <c r="Q19" i="52"/>
  <c r="P19" i="52"/>
  <c r="Z18" i="52"/>
  <c r="X18" i="52"/>
  <c r="T18" i="52"/>
  <c r="S18" i="52"/>
  <c r="Q18" i="52"/>
  <c r="P18" i="52"/>
  <c r="Z17" i="52"/>
  <c r="X17" i="52"/>
  <c r="T17" i="52"/>
  <c r="S17" i="52"/>
  <c r="Q17" i="52"/>
  <c r="P17" i="52"/>
  <c r="Z16" i="52"/>
  <c r="X16" i="52"/>
  <c r="T16" i="52"/>
  <c r="S16" i="52"/>
  <c r="Q16" i="52"/>
  <c r="P16" i="52"/>
  <c r="Z15" i="52"/>
  <c r="X15" i="52"/>
  <c r="T15" i="52"/>
  <c r="S15" i="52"/>
  <c r="Q15" i="52"/>
  <c r="P15" i="52"/>
  <c r="Z14" i="52"/>
  <c r="X14" i="52"/>
  <c r="T14" i="52"/>
  <c r="S14" i="52"/>
  <c r="Q14" i="52"/>
  <c r="P14" i="52"/>
  <c r="Z13" i="52"/>
  <c r="X13" i="52"/>
  <c r="T13" i="52"/>
  <c r="S13" i="52"/>
  <c r="Q13" i="52"/>
  <c r="P13" i="52"/>
  <c r="AK13" i="52" s="1"/>
  <c r="Z12" i="52"/>
  <c r="X12" i="52"/>
  <c r="T12" i="52"/>
  <c r="S12" i="52"/>
  <c r="Q12" i="52"/>
  <c r="P12" i="52"/>
  <c r="Z11" i="52"/>
  <c r="AJ11" i="52" s="1"/>
  <c r="X11" i="52"/>
  <c r="T11" i="52"/>
  <c r="S11" i="52"/>
  <c r="Q11" i="52"/>
  <c r="P11" i="52"/>
  <c r="Z10" i="52"/>
  <c r="X10" i="52"/>
  <c r="T10" i="52"/>
  <c r="S10" i="52"/>
  <c r="Q10" i="52"/>
  <c r="P10" i="52"/>
  <c r="Z9" i="52"/>
  <c r="X9" i="52"/>
  <c r="T9" i="52"/>
  <c r="S9" i="52"/>
  <c r="Q9" i="52"/>
  <c r="P9" i="52"/>
  <c r="AK9" i="52" s="1"/>
  <c r="Z8" i="52"/>
  <c r="X8" i="52"/>
  <c r="T8" i="52"/>
  <c r="S8" i="52"/>
  <c r="Q8" i="52"/>
  <c r="P8" i="52"/>
  <c r="Z7" i="52"/>
  <c r="AJ7" i="52" s="1"/>
  <c r="X7" i="52"/>
  <c r="T7" i="52"/>
  <c r="S7" i="52"/>
  <c r="Q7" i="52"/>
  <c r="P7" i="52"/>
  <c r="Z6" i="52"/>
  <c r="X6" i="52"/>
  <c r="T6" i="52"/>
  <c r="S6" i="52"/>
  <c r="Q6" i="52"/>
  <c r="P6" i="52"/>
  <c r="Z5" i="52"/>
  <c r="X5" i="52"/>
  <c r="T5" i="52"/>
  <c r="S5" i="52"/>
  <c r="Q5" i="52"/>
  <c r="P5" i="52"/>
  <c r="AK5" i="52" s="1"/>
  <c r="Z4" i="52"/>
  <c r="X4" i="52"/>
  <c r="T4" i="52"/>
  <c r="S4" i="52"/>
  <c r="Q4" i="52"/>
  <c r="P4" i="52"/>
  <c r="Z3" i="52"/>
  <c r="X3" i="52"/>
  <c r="T3" i="52"/>
  <c r="S3" i="52"/>
  <c r="Q3" i="52"/>
  <c r="P3" i="52"/>
  <c r="Z47" i="53"/>
  <c r="X47" i="53"/>
  <c r="T47" i="53"/>
  <c r="S47" i="53"/>
  <c r="Q47" i="53"/>
  <c r="P47" i="53"/>
  <c r="R47" i="53" s="1"/>
  <c r="Z46" i="53"/>
  <c r="X46" i="53"/>
  <c r="T46" i="53"/>
  <c r="S46" i="53"/>
  <c r="Q46" i="53"/>
  <c r="P46" i="53"/>
  <c r="R46" i="53" s="1"/>
  <c r="AG46" i="53" s="1"/>
  <c r="AM46" i="53" s="1"/>
  <c r="Z45" i="53"/>
  <c r="X45" i="53"/>
  <c r="T45" i="53"/>
  <c r="S45" i="53"/>
  <c r="Q45" i="53"/>
  <c r="P45" i="53"/>
  <c r="R45" i="53" s="1"/>
  <c r="Z44" i="53"/>
  <c r="X44" i="53"/>
  <c r="T44" i="53"/>
  <c r="S44" i="53"/>
  <c r="Q44" i="53"/>
  <c r="P44" i="53"/>
  <c r="R44" i="53" s="1"/>
  <c r="Z43" i="53"/>
  <c r="X43" i="53"/>
  <c r="T43" i="53"/>
  <c r="S43" i="53"/>
  <c r="Q43" i="53"/>
  <c r="P43" i="53"/>
  <c r="R43" i="53" s="1"/>
  <c r="Z42" i="53"/>
  <c r="X42" i="53"/>
  <c r="T42" i="53"/>
  <c r="S42" i="53"/>
  <c r="Q42" i="53"/>
  <c r="P42" i="53"/>
  <c r="R42" i="53" s="1"/>
  <c r="AG42" i="53" s="1"/>
  <c r="AM42" i="53" s="1"/>
  <c r="Z41" i="53"/>
  <c r="X41" i="53"/>
  <c r="T41" i="53"/>
  <c r="S41" i="53"/>
  <c r="Q41" i="53"/>
  <c r="P41" i="53"/>
  <c r="R41" i="53" s="1"/>
  <c r="Z40" i="53"/>
  <c r="X40" i="53"/>
  <c r="T40" i="53"/>
  <c r="S40" i="53"/>
  <c r="Q40" i="53"/>
  <c r="P40" i="53"/>
  <c r="AK40" i="53" s="1"/>
  <c r="Z39" i="53"/>
  <c r="X39" i="53"/>
  <c r="T39" i="53"/>
  <c r="S39" i="53"/>
  <c r="Q39" i="53"/>
  <c r="P39" i="53"/>
  <c r="R39" i="53" s="1"/>
  <c r="Z38" i="53"/>
  <c r="X38" i="53"/>
  <c r="T38" i="53"/>
  <c r="S38" i="53"/>
  <c r="Q38" i="53"/>
  <c r="P38" i="53"/>
  <c r="R38" i="53" s="1"/>
  <c r="AG38" i="53" s="1"/>
  <c r="AM38" i="53" s="1"/>
  <c r="Z37" i="53"/>
  <c r="X37" i="53"/>
  <c r="T37" i="53"/>
  <c r="S37" i="53"/>
  <c r="Q37" i="53"/>
  <c r="P37" i="53"/>
  <c r="R37" i="53" s="1"/>
  <c r="Z36" i="53"/>
  <c r="X36" i="53"/>
  <c r="T36" i="53"/>
  <c r="S36" i="53"/>
  <c r="Q36" i="53"/>
  <c r="P36" i="53"/>
  <c r="R36" i="53" s="1"/>
  <c r="Z35" i="53"/>
  <c r="X35" i="53"/>
  <c r="T35" i="53"/>
  <c r="S35" i="53"/>
  <c r="Q35" i="53"/>
  <c r="P35" i="53"/>
  <c r="R35" i="53" s="1"/>
  <c r="Z34" i="53"/>
  <c r="X34" i="53"/>
  <c r="T34" i="53"/>
  <c r="S34" i="53"/>
  <c r="Q34" i="53"/>
  <c r="P34" i="53"/>
  <c r="R34" i="53" s="1"/>
  <c r="AG34" i="53" s="1"/>
  <c r="AM34" i="53" s="1"/>
  <c r="Z33" i="53"/>
  <c r="X33" i="53"/>
  <c r="T33" i="53"/>
  <c r="S33" i="53"/>
  <c r="Q33" i="53"/>
  <c r="P33" i="53"/>
  <c r="R33" i="53" s="1"/>
  <c r="W33" i="53" s="1"/>
  <c r="Z32" i="53"/>
  <c r="X32" i="53"/>
  <c r="T32" i="53"/>
  <c r="S32" i="53"/>
  <c r="Q32" i="53"/>
  <c r="P32" i="53"/>
  <c r="AK32" i="53" s="1"/>
  <c r="Z31" i="53"/>
  <c r="X31" i="53"/>
  <c r="T31" i="53"/>
  <c r="S31" i="53"/>
  <c r="Q31" i="53"/>
  <c r="P31" i="53"/>
  <c r="R31" i="53" s="1"/>
  <c r="Z30" i="53"/>
  <c r="X30" i="53"/>
  <c r="T30" i="53"/>
  <c r="S30" i="53"/>
  <c r="Q30" i="53"/>
  <c r="P30" i="53"/>
  <c r="R30" i="53" s="1"/>
  <c r="AG30" i="53" s="1"/>
  <c r="AM30" i="53" s="1"/>
  <c r="Z29" i="53"/>
  <c r="X29" i="53"/>
  <c r="T29" i="53"/>
  <c r="S29" i="53"/>
  <c r="Q29" i="53"/>
  <c r="P29" i="53"/>
  <c r="R29" i="53" s="1"/>
  <c r="O29" i="53" s="1"/>
  <c r="Z28" i="53"/>
  <c r="X28" i="53"/>
  <c r="T28" i="53"/>
  <c r="S28" i="53"/>
  <c r="Q28" i="53"/>
  <c r="P28" i="53"/>
  <c r="P49" i="53" s="1"/>
  <c r="Z24" i="53"/>
  <c r="AJ24" i="53" s="1"/>
  <c r="X24" i="53"/>
  <c r="T24" i="53"/>
  <c r="S24" i="53"/>
  <c r="Q24" i="53"/>
  <c r="P24" i="53"/>
  <c r="R24" i="53" s="1"/>
  <c r="Z23" i="53"/>
  <c r="X23" i="53"/>
  <c r="T23" i="53"/>
  <c r="S23" i="53"/>
  <c r="Q23" i="53"/>
  <c r="P23" i="53"/>
  <c r="R23" i="53" s="1"/>
  <c r="Z22" i="53"/>
  <c r="X22" i="53"/>
  <c r="T22" i="53"/>
  <c r="S22" i="53"/>
  <c r="Q22" i="53"/>
  <c r="P22" i="53"/>
  <c r="R22" i="53" s="1"/>
  <c r="Z21" i="53"/>
  <c r="X21" i="53"/>
  <c r="T21" i="53"/>
  <c r="S21" i="53"/>
  <c r="Q21" i="53"/>
  <c r="P21" i="53"/>
  <c r="AK21" i="53" s="1"/>
  <c r="Z20" i="53"/>
  <c r="AJ20" i="53" s="1"/>
  <c r="X20" i="53"/>
  <c r="T20" i="53"/>
  <c r="S20" i="53"/>
  <c r="Q20" i="53"/>
  <c r="P20" i="53"/>
  <c r="R20" i="53" s="1"/>
  <c r="Z19" i="53"/>
  <c r="AJ19" i="53" s="1"/>
  <c r="X19" i="53"/>
  <c r="T19" i="53"/>
  <c r="S19" i="53"/>
  <c r="Q19" i="53"/>
  <c r="P19" i="53"/>
  <c r="R19" i="53" s="1"/>
  <c r="Z18" i="53"/>
  <c r="X18" i="53"/>
  <c r="T18" i="53"/>
  <c r="S18" i="53"/>
  <c r="Q18" i="53"/>
  <c r="P18" i="53"/>
  <c r="R18" i="53" s="1"/>
  <c r="Z17" i="53"/>
  <c r="X17" i="53"/>
  <c r="T17" i="53"/>
  <c r="S17" i="53"/>
  <c r="Q17" i="53"/>
  <c r="P17" i="53"/>
  <c r="R17" i="53" s="1"/>
  <c r="O17" i="53" s="1"/>
  <c r="Z16" i="53"/>
  <c r="AJ16" i="53" s="1"/>
  <c r="X16" i="53"/>
  <c r="T16" i="53"/>
  <c r="S16" i="53"/>
  <c r="Q16" i="53"/>
  <c r="P16" i="53"/>
  <c r="R16" i="53" s="1"/>
  <c r="Z15" i="53"/>
  <c r="X15" i="53"/>
  <c r="T15" i="53"/>
  <c r="S15" i="53"/>
  <c r="Q15" i="53"/>
  <c r="P15" i="53"/>
  <c r="R15" i="53" s="1"/>
  <c r="Z14" i="53"/>
  <c r="X14" i="53"/>
  <c r="T14" i="53"/>
  <c r="S14" i="53"/>
  <c r="Q14" i="53"/>
  <c r="P14" i="53"/>
  <c r="R14" i="53" s="1"/>
  <c r="Z13" i="53"/>
  <c r="X13" i="53"/>
  <c r="T13" i="53"/>
  <c r="S13" i="53"/>
  <c r="Q13" i="53"/>
  <c r="P13" i="53"/>
  <c r="AK13" i="53" s="1"/>
  <c r="Z12" i="53"/>
  <c r="AJ12" i="53" s="1"/>
  <c r="X12" i="53"/>
  <c r="T12" i="53"/>
  <c r="S12" i="53"/>
  <c r="Q12" i="53"/>
  <c r="P12" i="53"/>
  <c r="R12" i="53" s="1"/>
  <c r="Z11" i="53"/>
  <c r="AJ11" i="53" s="1"/>
  <c r="X11" i="53"/>
  <c r="T11" i="53"/>
  <c r="S11" i="53"/>
  <c r="Q11" i="53"/>
  <c r="P11" i="53"/>
  <c r="R11" i="53" s="1"/>
  <c r="Z10" i="53"/>
  <c r="AJ10" i="53" s="1"/>
  <c r="X10" i="53"/>
  <c r="T10" i="53"/>
  <c r="S10" i="53"/>
  <c r="Q10" i="53"/>
  <c r="P10" i="53"/>
  <c r="R10" i="53" s="1"/>
  <c r="Z9" i="53"/>
  <c r="X9" i="53"/>
  <c r="T9" i="53"/>
  <c r="S9" i="53"/>
  <c r="Q9" i="53"/>
  <c r="P9" i="53"/>
  <c r="R9" i="53" s="1"/>
  <c r="Z8" i="53"/>
  <c r="AJ8" i="53" s="1"/>
  <c r="X8" i="53"/>
  <c r="T8" i="53"/>
  <c r="S8" i="53"/>
  <c r="Q8" i="53"/>
  <c r="P8" i="53"/>
  <c r="R8" i="53" s="1"/>
  <c r="W8" i="53" s="1"/>
  <c r="Z7" i="53"/>
  <c r="AJ7" i="53" s="1"/>
  <c r="X7" i="53"/>
  <c r="T7" i="53"/>
  <c r="S7" i="53"/>
  <c r="Q7" i="53"/>
  <c r="P7" i="53"/>
  <c r="R7" i="53" s="1"/>
  <c r="Z6" i="53"/>
  <c r="AJ6" i="53" s="1"/>
  <c r="X6" i="53"/>
  <c r="T6" i="53"/>
  <c r="S6" i="53"/>
  <c r="Q6" i="53"/>
  <c r="P6" i="53"/>
  <c r="R6" i="53" s="1"/>
  <c r="Z5" i="53"/>
  <c r="X5" i="53"/>
  <c r="T5" i="53"/>
  <c r="S5" i="53"/>
  <c r="Q5" i="53"/>
  <c r="P5" i="53"/>
  <c r="AK5" i="53" s="1"/>
  <c r="Z4" i="53"/>
  <c r="X4" i="53"/>
  <c r="T4" i="53"/>
  <c r="S4" i="53"/>
  <c r="Q4" i="53"/>
  <c r="P4" i="53"/>
  <c r="R4" i="53" s="1"/>
  <c r="Z3" i="53"/>
  <c r="X3" i="53"/>
  <c r="T3" i="53"/>
  <c r="S3" i="53"/>
  <c r="Q3" i="53"/>
  <c r="P3" i="53"/>
  <c r="R3" i="53" s="1"/>
  <c r="Z47" i="54"/>
  <c r="X47" i="54"/>
  <c r="T47" i="54"/>
  <c r="S47" i="54"/>
  <c r="Q47" i="54"/>
  <c r="P47" i="54"/>
  <c r="R47" i="54" s="1"/>
  <c r="Z46" i="54"/>
  <c r="X46" i="54"/>
  <c r="T46" i="54"/>
  <c r="S46" i="54"/>
  <c r="Q46" i="54"/>
  <c r="P46" i="54"/>
  <c r="R46" i="54" s="1"/>
  <c r="Z45" i="54"/>
  <c r="X45" i="54"/>
  <c r="T45" i="54"/>
  <c r="S45" i="54"/>
  <c r="Q45" i="54"/>
  <c r="P45" i="54"/>
  <c r="R45" i="54" s="1"/>
  <c r="AG45" i="54" s="1"/>
  <c r="Z44" i="54"/>
  <c r="X44" i="54"/>
  <c r="T44" i="54"/>
  <c r="S44" i="54"/>
  <c r="Q44" i="54"/>
  <c r="P44" i="54"/>
  <c r="R44" i="54" s="1"/>
  <c r="Z43" i="54"/>
  <c r="X43" i="54"/>
  <c r="T43" i="54"/>
  <c r="S43" i="54"/>
  <c r="Q43" i="54"/>
  <c r="P43" i="54"/>
  <c r="R43" i="54" s="1"/>
  <c r="Z42" i="54"/>
  <c r="X42" i="54"/>
  <c r="T42" i="54"/>
  <c r="S42" i="54"/>
  <c r="Q42" i="54"/>
  <c r="P42" i="54"/>
  <c r="R42" i="54" s="1"/>
  <c r="Z41" i="54"/>
  <c r="X41" i="54"/>
  <c r="T41" i="54"/>
  <c r="S41" i="54"/>
  <c r="Q41" i="54"/>
  <c r="P41" i="54"/>
  <c r="R41" i="54" s="1"/>
  <c r="AG41" i="54" s="1"/>
  <c r="AM41" i="54" s="1"/>
  <c r="Z40" i="54"/>
  <c r="X40" i="54"/>
  <c r="T40" i="54"/>
  <c r="S40" i="54"/>
  <c r="Q40" i="54"/>
  <c r="P40" i="54"/>
  <c r="R40" i="54" s="1"/>
  <c r="Z39" i="54"/>
  <c r="X39" i="54"/>
  <c r="T39" i="54"/>
  <c r="S39" i="54"/>
  <c r="Q39" i="54"/>
  <c r="P39" i="54"/>
  <c r="R39" i="54" s="1"/>
  <c r="Z38" i="54"/>
  <c r="X38" i="54"/>
  <c r="T38" i="54"/>
  <c r="S38" i="54"/>
  <c r="Q38" i="54"/>
  <c r="P38" i="54"/>
  <c r="R38" i="54" s="1"/>
  <c r="Z37" i="54"/>
  <c r="X37" i="54"/>
  <c r="T37" i="54"/>
  <c r="S37" i="54"/>
  <c r="Q37" i="54"/>
  <c r="P37" i="54"/>
  <c r="R37" i="54" s="1"/>
  <c r="Z36" i="54"/>
  <c r="X36" i="54"/>
  <c r="T36" i="54"/>
  <c r="S36" i="54"/>
  <c r="Q36" i="54"/>
  <c r="P36" i="54"/>
  <c r="R36" i="54" s="1"/>
  <c r="Z35" i="54"/>
  <c r="X35" i="54"/>
  <c r="T35" i="54"/>
  <c r="S35" i="54"/>
  <c r="Q35" i="54"/>
  <c r="P35" i="54"/>
  <c r="R35" i="54" s="1"/>
  <c r="Z34" i="54"/>
  <c r="X34" i="54"/>
  <c r="T34" i="54"/>
  <c r="S34" i="54"/>
  <c r="Q34" i="54"/>
  <c r="P34" i="54"/>
  <c r="R34" i="54" s="1"/>
  <c r="Z33" i="54"/>
  <c r="X33" i="54"/>
  <c r="T33" i="54"/>
  <c r="S33" i="54"/>
  <c r="Q33" i="54"/>
  <c r="P33" i="54"/>
  <c r="R33" i="54" s="1"/>
  <c r="AG33" i="54" s="1"/>
  <c r="Z32" i="54"/>
  <c r="X32" i="54"/>
  <c r="T32" i="54"/>
  <c r="S32" i="54"/>
  <c r="Q32" i="54"/>
  <c r="P32" i="54"/>
  <c r="R32" i="54" s="1"/>
  <c r="Z31" i="54"/>
  <c r="X31" i="54"/>
  <c r="T31" i="54"/>
  <c r="S31" i="54"/>
  <c r="Q31" i="54"/>
  <c r="P31" i="54"/>
  <c r="R31" i="54" s="1"/>
  <c r="Z30" i="54"/>
  <c r="X30" i="54"/>
  <c r="T30" i="54"/>
  <c r="S30" i="54"/>
  <c r="Q30" i="54"/>
  <c r="P30" i="54"/>
  <c r="R30" i="54" s="1"/>
  <c r="Z29" i="54"/>
  <c r="X29" i="54"/>
  <c r="T29" i="54"/>
  <c r="S29" i="54"/>
  <c r="Q29" i="54"/>
  <c r="P29" i="54"/>
  <c r="R29" i="54" s="1"/>
  <c r="AG29" i="54" s="1"/>
  <c r="AM29" i="54" s="1"/>
  <c r="Z28" i="54"/>
  <c r="X28" i="54"/>
  <c r="T28" i="54"/>
  <c r="S28" i="54"/>
  <c r="Q28" i="54"/>
  <c r="Q49" i="54" s="1"/>
  <c r="H34" i="2" s="1"/>
  <c r="P28" i="54"/>
  <c r="Z24" i="54"/>
  <c r="X24" i="54"/>
  <c r="T24" i="54"/>
  <c r="S24" i="54"/>
  <c r="Q24" i="54"/>
  <c r="P24" i="54"/>
  <c r="R24" i="54" s="1"/>
  <c r="Z23" i="54"/>
  <c r="AJ23" i="54" s="1"/>
  <c r="X23" i="54"/>
  <c r="T23" i="54"/>
  <c r="S23" i="54"/>
  <c r="Q23" i="54"/>
  <c r="P23" i="54"/>
  <c r="R23" i="54" s="1"/>
  <c r="Z22" i="54"/>
  <c r="AJ22" i="54" s="1"/>
  <c r="X22" i="54"/>
  <c r="T22" i="54"/>
  <c r="S22" i="54"/>
  <c r="Q22" i="54"/>
  <c r="P22" i="54"/>
  <c r="R22" i="54" s="1"/>
  <c r="Z21" i="54"/>
  <c r="X21" i="54"/>
  <c r="T21" i="54"/>
  <c r="S21" i="54"/>
  <c r="Q21" i="54"/>
  <c r="P21" i="54"/>
  <c r="AK21" i="54" s="1"/>
  <c r="Z20" i="54"/>
  <c r="X20" i="54"/>
  <c r="T20" i="54"/>
  <c r="S20" i="54"/>
  <c r="Q20" i="54"/>
  <c r="P20" i="54"/>
  <c r="R20" i="54" s="1"/>
  <c r="Z19" i="54"/>
  <c r="AJ19" i="54" s="1"/>
  <c r="X19" i="54"/>
  <c r="T19" i="54"/>
  <c r="S19" i="54"/>
  <c r="Q19" i="54"/>
  <c r="P19" i="54"/>
  <c r="R19" i="54" s="1"/>
  <c r="AG19" i="54" s="1"/>
  <c r="AM19" i="54" s="1"/>
  <c r="Z18" i="54"/>
  <c r="AJ18" i="54" s="1"/>
  <c r="X18" i="54"/>
  <c r="T18" i="54"/>
  <c r="S18" i="54"/>
  <c r="Q18" i="54"/>
  <c r="P18" i="54"/>
  <c r="R18" i="54" s="1"/>
  <c r="Z17" i="54"/>
  <c r="X17" i="54"/>
  <c r="T17" i="54"/>
  <c r="S17" i="54"/>
  <c r="Q17" i="54"/>
  <c r="P17" i="54"/>
  <c r="AK17" i="54" s="1"/>
  <c r="Z16" i="54"/>
  <c r="X16" i="54"/>
  <c r="T16" i="54"/>
  <c r="S16" i="54"/>
  <c r="Q16" i="54"/>
  <c r="P16" i="54"/>
  <c r="R16" i="54" s="1"/>
  <c r="Z15" i="54"/>
  <c r="AJ15" i="54" s="1"/>
  <c r="X15" i="54"/>
  <c r="T15" i="54"/>
  <c r="S15" i="54"/>
  <c r="Q15" i="54"/>
  <c r="P15" i="54"/>
  <c r="R15" i="54" s="1"/>
  <c r="Z14" i="54"/>
  <c r="AJ14" i="54" s="1"/>
  <c r="X14" i="54"/>
  <c r="T14" i="54"/>
  <c r="S14" i="54"/>
  <c r="Q14" i="54"/>
  <c r="P14" i="54"/>
  <c r="R14" i="54" s="1"/>
  <c r="Z13" i="54"/>
  <c r="X13" i="54"/>
  <c r="T13" i="54"/>
  <c r="S13" i="54"/>
  <c r="Q13" i="54"/>
  <c r="P13" i="54"/>
  <c r="AK13" i="54" s="1"/>
  <c r="Z12" i="54"/>
  <c r="X12" i="54"/>
  <c r="T12" i="54"/>
  <c r="S12" i="54"/>
  <c r="Q12" i="54"/>
  <c r="P12" i="54"/>
  <c r="R12" i="54" s="1"/>
  <c r="AI12" i="54" s="1"/>
  <c r="Z11" i="54"/>
  <c r="AJ11" i="54" s="1"/>
  <c r="X11" i="54"/>
  <c r="T11" i="54"/>
  <c r="S11" i="54"/>
  <c r="Q11" i="54"/>
  <c r="P11" i="54"/>
  <c r="R11" i="54" s="1"/>
  <c r="Z10" i="54"/>
  <c r="X10" i="54"/>
  <c r="T10" i="54"/>
  <c r="S10" i="54"/>
  <c r="Q10" i="54"/>
  <c r="P10" i="54"/>
  <c r="R10" i="54" s="1"/>
  <c r="Z9" i="54"/>
  <c r="X9" i="54"/>
  <c r="T9" i="54"/>
  <c r="S9" i="54"/>
  <c r="Q9" i="54"/>
  <c r="P9" i="54"/>
  <c r="AK9" i="54" s="1"/>
  <c r="Z8" i="54"/>
  <c r="X8" i="54"/>
  <c r="T8" i="54"/>
  <c r="S8" i="54"/>
  <c r="Q8" i="54"/>
  <c r="P8" i="54"/>
  <c r="R8" i="54" s="1"/>
  <c r="Z7" i="54"/>
  <c r="X7" i="54"/>
  <c r="T7" i="54"/>
  <c r="S7" i="54"/>
  <c r="Q7" i="54"/>
  <c r="P7" i="54"/>
  <c r="R7" i="54" s="1"/>
  <c r="AG7" i="54" s="1"/>
  <c r="AM7" i="54" s="1"/>
  <c r="Z6" i="54"/>
  <c r="X6" i="54"/>
  <c r="T6" i="54"/>
  <c r="S6" i="54"/>
  <c r="Q6" i="54"/>
  <c r="P6" i="54"/>
  <c r="R6" i="54" s="1"/>
  <c r="Z5" i="54"/>
  <c r="X5" i="54"/>
  <c r="T5" i="54"/>
  <c r="S5" i="54"/>
  <c r="Q5" i="54"/>
  <c r="P5" i="54"/>
  <c r="AK5" i="54" s="1"/>
  <c r="Z4" i="54"/>
  <c r="X4" i="54"/>
  <c r="T4" i="54"/>
  <c r="S4" i="54"/>
  <c r="Q4" i="54"/>
  <c r="P4" i="54"/>
  <c r="R4" i="54" s="1"/>
  <c r="Z3" i="54"/>
  <c r="X3" i="54"/>
  <c r="T3" i="54"/>
  <c r="S3" i="54"/>
  <c r="Q3" i="54"/>
  <c r="P3" i="54"/>
  <c r="R3" i="54" s="1"/>
  <c r="K60" i="54"/>
  <c r="L60" i="54" s="1"/>
  <c r="I60" i="54"/>
  <c r="K58" i="54"/>
  <c r="I58" i="54"/>
  <c r="J51" i="54"/>
  <c r="G51" i="54"/>
  <c r="F51" i="54"/>
  <c r="E51" i="54"/>
  <c r="D51" i="54"/>
  <c r="AA50" i="54"/>
  <c r="AC49" i="54"/>
  <c r="AB49" i="54"/>
  <c r="K49" i="54"/>
  <c r="F34" i="2" s="1"/>
  <c r="C49" i="54"/>
  <c r="AH47" i="54"/>
  <c r="I47" i="54"/>
  <c r="AH46" i="54"/>
  <c r="AK46" i="54"/>
  <c r="I46" i="54"/>
  <c r="AH45" i="54"/>
  <c r="AK45" i="54"/>
  <c r="I45" i="54"/>
  <c r="AH44" i="54"/>
  <c r="I44" i="54"/>
  <c r="AH43" i="54"/>
  <c r="I43" i="54"/>
  <c r="AH42" i="54"/>
  <c r="AK42" i="54"/>
  <c r="I42" i="54"/>
  <c r="AH41" i="54"/>
  <c r="AK41" i="54"/>
  <c r="I41" i="54"/>
  <c r="AH40" i="54"/>
  <c r="I40" i="54"/>
  <c r="AH39" i="54"/>
  <c r="I39" i="54"/>
  <c r="AH38" i="54"/>
  <c r="AK38" i="54"/>
  <c r="I38" i="54"/>
  <c r="AH37" i="54"/>
  <c r="AK37" i="54"/>
  <c r="I37" i="54"/>
  <c r="AH36" i="54"/>
  <c r="I36" i="54"/>
  <c r="AH35" i="54"/>
  <c r="I35" i="54"/>
  <c r="AH34" i="54"/>
  <c r="AK34" i="54"/>
  <c r="I34" i="54"/>
  <c r="AH33" i="54"/>
  <c r="AK33" i="54"/>
  <c r="I33" i="54"/>
  <c r="AH32" i="54"/>
  <c r="I32" i="54"/>
  <c r="AH31" i="54"/>
  <c r="I31" i="54"/>
  <c r="AH30" i="54"/>
  <c r="AK30" i="54"/>
  <c r="I30" i="54"/>
  <c r="AH29" i="54"/>
  <c r="AK29" i="54"/>
  <c r="I29" i="54"/>
  <c r="AH28" i="54"/>
  <c r="AH48" i="54" s="1"/>
  <c r="I28" i="54"/>
  <c r="I49" i="54" s="1"/>
  <c r="AA27" i="54"/>
  <c r="AC26" i="54"/>
  <c r="AC51" i="54" s="1"/>
  <c r="AB26" i="54"/>
  <c r="K26" i="54"/>
  <c r="C26" i="54"/>
  <c r="C51" i="54" s="1"/>
  <c r="AH24" i="54"/>
  <c r="I24" i="54"/>
  <c r="AK23" i="54"/>
  <c r="AH23" i="54"/>
  <c r="I23" i="54"/>
  <c r="AK22" i="54"/>
  <c r="AH22" i="54"/>
  <c r="I22" i="54"/>
  <c r="AH21" i="54"/>
  <c r="I21" i="54"/>
  <c r="AK20" i="54"/>
  <c r="AH20" i="54"/>
  <c r="I20" i="54"/>
  <c r="AK19" i="54"/>
  <c r="AH19" i="54"/>
  <c r="I19" i="54"/>
  <c r="AK18" i="54"/>
  <c r="AH18" i="54"/>
  <c r="I18" i="54"/>
  <c r="AH17" i="54"/>
  <c r="I17" i="54"/>
  <c r="AH16" i="54"/>
  <c r="I16" i="54"/>
  <c r="AK15" i="54"/>
  <c r="AH15" i="54"/>
  <c r="I15" i="54"/>
  <c r="AK14" i="54"/>
  <c r="AH14" i="54"/>
  <c r="I14" i="54"/>
  <c r="AH13" i="54"/>
  <c r="I13" i="54"/>
  <c r="AH12" i="54"/>
  <c r="I12" i="54"/>
  <c r="AK11" i="54"/>
  <c r="AH11" i="54"/>
  <c r="I11" i="54"/>
  <c r="AH10" i="54"/>
  <c r="I10" i="54"/>
  <c r="AH9" i="54"/>
  <c r="I9" i="54"/>
  <c r="AH8" i="54"/>
  <c r="I8" i="54"/>
  <c r="AH7" i="54"/>
  <c r="AK7" i="54"/>
  <c r="I7" i="54"/>
  <c r="AH6" i="54"/>
  <c r="I6" i="54"/>
  <c r="AH5" i="54"/>
  <c r="I5" i="54"/>
  <c r="AH4" i="54"/>
  <c r="I4" i="54"/>
  <c r="AK3" i="54"/>
  <c r="AH3" i="54"/>
  <c r="I3" i="54"/>
  <c r="K60" i="53"/>
  <c r="I60" i="53"/>
  <c r="K58" i="53"/>
  <c r="I58" i="53"/>
  <c r="J51" i="53"/>
  <c r="G51" i="53"/>
  <c r="F51" i="53"/>
  <c r="E51" i="53"/>
  <c r="D51" i="53"/>
  <c r="AA50" i="53"/>
  <c r="AC49" i="53"/>
  <c r="AB49" i="53"/>
  <c r="K49" i="53"/>
  <c r="K51" i="53" s="1"/>
  <c r="C49" i="53"/>
  <c r="AH47" i="53"/>
  <c r="N47" i="53"/>
  <c r="I47" i="53"/>
  <c r="AH46" i="53"/>
  <c r="AK46" i="53"/>
  <c r="N46" i="53"/>
  <c r="I46" i="53"/>
  <c r="AH45" i="53"/>
  <c r="AK45" i="53"/>
  <c r="N45" i="53"/>
  <c r="I45" i="53"/>
  <c r="AH44" i="53"/>
  <c r="N44" i="53"/>
  <c r="I44" i="53"/>
  <c r="AH43" i="53"/>
  <c r="AK43" i="53"/>
  <c r="N43" i="53"/>
  <c r="I43" i="53"/>
  <c r="AH42" i="53"/>
  <c r="N42" i="53"/>
  <c r="I42" i="53"/>
  <c r="AH41" i="53"/>
  <c r="AK41" i="53"/>
  <c r="N41" i="53"/>
  <c r="I41" i="53"/>
  <c r="AH40" i="53"/>
  <c r="N40" i="53"/>
  <c r="I40" i="53"/>
  <c r="AH39" i="53"/>
  <c r="AK39" i="53"/>
  <c r="N39" i="53"/>
  <c r="I39" i="53"/>
  <c r="AH38" i="53"/>
  <c r="N38" i="53"/>
  <c r="I38" i="53"/>
  <c r="AH37" i="53"/>
  <c r="AK37" i="53"/>
  <c r="N37" i="53"/>
  <c r="I37" i="53"/>
  <c r="AH36" i="53"/>
  <c r="N36" i="53"/>
  <c r="I36" i="53"/>
  <c r="AH35" i="53"/>
  <c r="AK35" i="53"/>
  <c r="N35" i="53"/>
  <c r="I35" i="53"/>
  <c r="AH34" i="53"/>
  <c r="N34" i="53"/>
  <c r="I34" i="53"/>
  <c r="AH33" i="53"/>
  <c r="N33" i="53"/>
  <c r="I33" i="53"/>
  <c r="AH32" i="53"/>
  <c r="N32" i="53"/>
  <c r="I32" i="53"/>
  <c r="AH31" i="53"/>
  <c r="AK31" i="53"/>
  <c r="N31" i="53"/>
  <c r="I31" i="53"/>
  <c r="AH30" i="53"/>
  <c r="N30" i="53"/>
  <c r="I30" i="53"/>
  <c r="AH29" i="53"/>
  <c r="N29" i="53"/>
  <c r="I29" i="53"/>
  <c r="AH28" i="53"/>
  <c r="AH48" i="53" s="1"/>
  <c r="N28" i="53"/>
  <c r="I28" i="53"/>
  <c r="AA27" i="53"/>
  <c r="AC26" i="53"/>
  <c r="AC51" i="53" s="1"/>
  <c r="AB26" i="53"/>
  <c r="K26" i="53"/>
  <c r="C26" i="53"/>
  <c r="C51" i="53" s="1"/>
  <c r="AH24" i="53"/>
  <c r="N24" i="53"/>
  <c r="I24" i="53"/>
  <c r="AK23" i="53"/>
  <c r="AH23" i="53"/>
  <c r="N23" i="53"/>
  <c r="I23" i="53"/>
  <c r="AK22" i="53"/>
  <c r="AH22" i="53"/>
  <c r="N22" i="53"/>
  <c r="I22" i="53"/>
  <c r="AH21" i="53"/>
  <c r="N21" i="53"/>
  <c r="I21" i="53"/>
  <c r="AH20" i="53"/>
  <c r="N20" i="53"/>
  <c r="I20" i="53"/>
  <c r="AK19" i="53"/>
  <c r="AH19" i="53"/>
  <c r="N19" i="53"/>
  <c r="I19" i="53"/>
  <c r="AK18" i="53"/>
  <c r="AH18" i="53"/>
  <c r="N18" i="53"/>
  <c r="I18" i="53"/>
  <c r="AH17" i="53"/>
  <c r="N17" i="53"/>
  <c r="I17" i="53"/>
  <c r="AK16" i="53"/>
  <c r="AH16" i="53"/>
  <c r="N16" i="53"/>
  <c r="I16" i="53"/>
  <c r="AK15" i="53"/>
  <c r="AH15" i="53"/>
  <c r="N15" i="53"/>
  <c r="I15" i="53"/>
  <c r="AH14" i="53"/>
  <c r="N14" i="53"/>
  <c r="I14" i="53"/>
  <c r="AH13" i="53"/>
  <c r="N13" i="53"/>
  <c r="I13" i="53"/>
  <c r="AK12" i="53"/>
  <c r="AH12" i="53"/>
  <c r="N12" i="53"/>
  <c r="I12" i="53"/>
  <c r="AK11" i="53"/>
  <c r="AH11" i="53"/>
  <c r="N11" i="53"/>
  <c r="I11" i="53"/>
  <c r="AH10" i="53"/>
  <c r="AK10" i="53"/>
  <c r="N10" i="53"/>
  <c r="I10" i="53"/>
  <c r="AH9" i="53"/>
  <c r="N9" i="53"/>
  <c r="I9" i="53"/>
  <c r="AH8" i="53"/>
  <c r="N8" i="53"/>
  <c r="I8" i="53"/>
  <c r="AK7" i="53"/>
  <c r="AH7" i="53"/>
  <c r="N7" i="53"/>
  <c r="I7" i="53"/>
  <c r="AH6" i="53"/>
  <c r="N6" i="53"/>
  <c r="I6" i="53"/>
  <c r="AH5" i="53"/>
  <c r="N5" i="53"/>
  <c r="I5" i="53"/>
  <c r="AH4" i="53"/>
  <c r="N4" i="53"/>
  <c r="I4" i="53"/>
  <c r="AK3" i="53"/>
  <c r="AH3" i="53"/>
  <c r="N3" i="53"/>
  <c r="I3" i="53"/>
  <c r="K60" i="52"/>
  <c r="I60" i="52"/>
  <c r="K58" i="52"/>
  <c r="I58" i="52"/>
  <c r="J51" i="52"/>
  <c r="G51" i="52"/>
  <c r="F51" i="52"/>
  <c r="E51" i="52"/>
  <c r="D51" i="52"/>
  <c r="AA50" i="52"/>
  <c r="AC49" i="52"/>
  <c r="AB49" i="52"/>
  <c r="K49" i="52"/>
  <c r="F30" i="2" s="1"/>
  <c r="C49" i="52"/>
  <c r="AH47" i="52"/>
  <c r="N47" i="52"/>
  <c r="I47" i="52"/>
  <c r="AH46" i="52"/>
  <c r="AK46" i="52"/>
  <c r="N46" i="52"/>
  <c r="I46" i="52"/>
  <c r="AK45" i="52"/>
  <c r="AH45" i="52"/>
  <c r="N45" i="52"/>
  <c r="I45" i="52"/>
  <c r="AH44" i="52"/>
  <c r="N44" i="52"/>
  <c r="I44" i="52"/>
  <c r="AH43" i="52"/>
  <c r="N43" i="52"/>
  <c r="I43" i="52"/>
  <c r="AH42" i="52"/>
  <c r="AK42" i="52"/>
  <c r="N42" i="52"/>
  <c r="I42" i="52"/>
  <c r="AK41" i="52"/>
  <c r="AH41" i="52"/>
  <c r="N41" i="52"/>
  <c r="I41" i="52"/>
  <c r="AH40" i="52"/>
  <c r="N40" i="52"/>
  <c r="I40" i="52"/>
  <c r="AH39" i="52"/>
  <c r="N39" i="52"/>
  <c r="I39" i="52"/>
  <c r="AH38" i="52"/>
  <c r="AK38" i="52"/>
  <c r="N38" i="52"/>
  <c r="I38" i="52"/>
  <c r="AK37" i="52"/>
  <c r="AH37" i="52"/>
  <c r="N37" i="52"/>
  <c r="I37" i="52"/>
  <c r="AH36" i="52"/>
  <c r="N36" i="52"/>
  <c r="I36" i="52"/>
  <c r="AH35" i="52"/>
  <c r="N35" i="52"/>
  <c r="I35" i="52"/>
  <c r="AH34" i="52"/>
  <c r="AK34" i="52"/>
  <c r="N34" i="52"/>
  <c r="I34" i="52"/>
  <c r="AK33" i="52"/>
  <c r="AH33" i="52"/>
  <c r="N33" i="52"/>
  <c r="I33" i="52"/>
  <c r="AH32" i="52"/>
  <c r="N32" i="52"/>
  <c r="I32" i="52"/>
  <c r="AH31" i="52"/>
  <c r="N31" i="52"/>
  <c r="I31" i="52"/>
  <c r="AH30" i="52"/>
  <c r="AK30" i="52"/>
  <c r="N30" i="52"/>
  <c r="I30" i="52"/>
  <c r="AH29" i="52"/>
  <c r="N29" i="52"/>
  <c r="I29" i="52"/>
  <c r="AH28" i="52"/>
  <c r="N28" i="52"/>
  <c r="I28" i="52"/>
  <c r="AA27" i="52"/>
  <c r="AA53" i="52" s="1"/>
  <c r="AC26" i="52"/>
  <c r="AC51" i="52" s="1"/>
  <c r="AB26" i="52"/>
  <c r="K26" i="52"/>
  <c r="C26" i="52"/>
  <c r="AH24" i="52"/>
  <c r="N24" i="52"/>
  <c r="I24" i="52"/>
  <c r="AK23" i="52"/>
  <c r="AH23" i="52"/>
  <c r="N23" i="52"/>
  <c r="I23" i="52"/>
  <c r="AK22" i="52"/>
  <c r="AH22" i="52"/>
  <c r="N22" i="52"/>
  <c r="I22" i="52"/>
  <c r="AH21" i="52"/>
  <c r="N21" i="52"/>
  <c r="I21" i="52"/>
  <c r="AK20" i="52"/>
  <c r="AH20" i="52"/>
  <c r="N20" i="52"/>
  <c r="I20" i="52"/>
  <c r="AK19" i="52"/>
  <c r="AH19" i="52"/>
  <c r="N19" i="52"/>
  <c r="I19" i="52"/>
  <c r="AK18" i="52"/>
  <c r="AH18" i="52"/>
  <c r="N18" i="52"/>
  <c r="I18" i="52"/>
  <c r="AH17" i="52"/>
  <c r="N17" i="52"/>
  <c r="I17" i="52"/>
  <c r="AH16" i="52"/>
  <c r="N16" i="52"/>
  <c r="I16" i="52"/>
  <c r="AK15" i="52"/>
  <c r="AH15" i="52"/>
  <c r="N15" i="52"/>
  <c r="I15" i="52"/>
  <c r="AK14" i="52"/>
  <c r="AH14" i="52"/>
  <c r="N14" i="52"/>
  <c r="I14" i="52"/>
  <c r="AH13" i="52"/>
  <c r="N13" i="52"/>
  <c r="I13" i="52"/>
  <c r="AH12" i="52"/>
  <c r="N12" i="52"/>
  <c r="I12" i="52"/>
  <c r="AK11" i="52"/>
  <c r="AH11" i="52"/>
  <c r="N11" i="52"/>
  <c r="I11" i="52"/>
  <c r="AK10" i="52"/>
  <c r="AH10" i="52"/>
  <c r="N10" i="52"/>
  <c r="I10" i="52"/>
  <c r="AH9" i="52"/>
  <c r="N9" i="52"/>
  <c r="I9" i="52"/>
  <c r="AH8" i="52"/>
  <c r="N8" i="52"/>
  <c r="I8" i="52"/>
  <c r="AK7" i="52"/>
  <c r="AH7" i="52"/>
  <c r="N7" i="52"/>
  <c r="I7" i="52"/>
  <c r="AK6" i="52"/>
  <c r="AH6" i="52"/>
  <c r="N6" i="52"/>
  <c r="I6" i="52"/>
  <c r="AH5" i="52"/>
  <c r="N5" i="52"/>
  <c r="I5" i="52"/>
  <c r="AH4" i="52"/>
  <c r="N4" i="52"/>
  <c r="I4" i="52"/>
  <c r="AH3" i="52"/>
  <c r="AK3" i="52"/>
  <c r="N3" i="52"/>
  <c r="I3" i="52"/>
  <c r="K60" i="51"/>
  <c r="I60" i="51"/>
  <c r="K58" i="51"/>
  <c r="I58" i="51"/>
  <c r="J51" i="51"/>
  <c r="G51" i="51"/>
  <c r="F51" i="51"/>
  <c r="E51" i="51"/>
  <c r="D51" i="51"/>
  <c r="AA50" i="51"/>
  <c r="AC49" i="51"/>
  <c r="AB49" i="51"/>
  <c r="K49" i="51"/>
  <c r="C49" i="51"/>
  <c r="AH47" i="51"/>
  <c r="N47" i="51"/>
  <c r="I47" i="51"/>
  <c r="AH46" i="51"/>
  <c r="AK46" i="51"/>
  <c r="N46" i="51"/>
  <c r="I46" i="51"/>
  <c r="AH45" i="51"/>
  <c r="AK45" i="51"/>
  <c r="N45" i="51"/>
  <c r="I45" i="51"/>
  <c r="AH44" i="51"/>
  <c r="N44" i="51"/>
  <c r="I44" i="51"/>
  <c r="AH43" i="51"/>
  <c r="N43" i="51"/>
  <c r="I43" i="51"/>
  <c r="AH42" i="51"/>
  <c r="AK42" i="51"/>
  <c r="N42" i="51"/>
  <c r="I42" i="51"/>
  <c r="AH41" i="51"/>
  <c r="AK41" i="51"/>
  <c r="N41" i="51"/>
  <c r="I41" i="51"/>
  <c r="AH40" i="51"/>
  <c r="N40" i="51"/>
  <c r="I40" i="51"/>
  <c r="AH39" i="51"/>
  <c r="N39" i="51"/>
  <c r="I39" i="51"/>
  <c r="AH38" i="51"/>
  <c r="AK38" i="51"/>
  <c r="N38" i="51"/>
  <c r="I38" i="51"/>
  <c r="AH37" i="51"/>
  <c r="AK37" i="51"/>
  <c r="N37" i="51"/>
  <c r="I37" i="51"/>
  <c r="AH36" i="51"/>
  <c r="N36" i="51"/>
  <c r="I36" i="51"/>
  <c r="AH35" i="51"/>
  <c r="N35" i="51"/>
  <c r="I35" i="51"/>
  <c r="AH34" i="51"/>
  <c r="AK34" i="51"/>
  <c r="N34" i="51"/>
  <c r="I34" i="51"/>
  <c r="AH33" i="51"/>
  <c r="AK33" i="51"/>
  <c r="N33" i="51"/>
  <c r="I33" i="51"/>
  <c r="AH32" i="51"/>
  <c r="N32" i="51"/>
  <c r="I32" i="51"/>
  <c r="AH31" i="51"/>
  <c r="N31" i="51"/>
  <c r="I31" i="51"/>
  <c r="AH30" i="51"/>
  <c r="AK30" i="51"/>
  <c r="N30" i="51"/>
  <c r="I30" i="51"/>
  <c r="AH29" i="51"/>
  <c r="AK29" i="51"/>
  <c r="N29" i="51"/>
  <c r="I29" i="51"/>
  <c r="AH28" i="51"/>
  <c r="AH48" i="51" s="1"/>
  <c r="Q49" i="51"/>
  <c r="P49" i="51"/>
  <c r="N28" i="51"/>
  <c r="I28" i="51"/>
  <c r="AA27" i="51"/>
  <c r="AC26" i="51"/>
  <c r="AC51" i="51" s="1"/>
  <c r="AB26" i="51"/>
  <c r="K26" i="51"/>
  <c r="K51" i="51" s="1"/>
  <c r="C26" i="51"/>
  <c r="AK24" i="51"/>
  <c r="AH24" i="51"/>
  <c r="N24" i="51"/>
  <c r="I24" i="51"/>
  <c r="AK23" i="51"/>
  <c r="AH23" i="51"/>
  <c r="N23" i="51"/>
  <c r="I23" i="51"/>
  <c r="AK22" i="51"/>
  <c r="AH22" i="51"/>
  <c r="AJ22" i="51"/>
  <c r="N22" i="51"/>
  <c r="I22" i="51"/>
  <c r="AK21" i="51"/>
  <c r="AH21" i="51"/>
  <c r="N21" i="51"/>
  <c r="I21" i="51"/>
  <c r="AK20" i="51"/>
  <c r="AH20" i="51"/>
  <c r="N20" i="51"/>
  <c r="I20" i="51"/>
  <c r="AK19" i="51"/>
  <c r="AH19" i="51"/>
  <c r="N19" i="51"/>
  <c r="I19" i="51"/>
  <c r="AK18" i="51"/>
  <c r="AH18" i="51"/>
  <c r="N18" i="51"/>
  <c r="I18" i="51"/>
  <c r="AK17" i="51"/>
  <c r="AH17" i="51"/>
  <c r="N17" i="51"/>
  <c r="I17" i="51"/>
  <c r="AK16" i="51"/>
  <c r="AH16" i="51"/>
  <c r="N16" i="51"/>
  <c r="I16" i="51"/>
  <c r="AK15" i="51"/>
  <c r="AH15" i="51"/>
  <c r="N15" i="51"/>
  <c r="I15" i="51"/>
  <c r="AK14" i="51"/>
  <c r="AH14" i="51"/>
  <c r="N14" i="51"/>
  <c r="I14" i="51"/>
  <c r="AK13" i="51"/>
  <c r="AH13" i="51"/>
  <c r="N13" i="51"/>
  <c r="I13" i="51"/>
  <c r="AK12" i="51"/>
  <c r="AH12" i="51"/>
  <c r="N12" i="51"/>
  <c r="I12" i="51"/>
  <c r="AK11" i="51"/>
  <c r="AH11" i="51"/>
  <c r="N11" i="51"/>
  <c r="I11" i="51"/>
  <c r="AH10" i="51"/>
  <c r="N10" i="51"/>
  <c r="I10" i="51"/>
  <c r="AK9" i="51"/>
  <c r="AH9" i="51"/>
  <c r="N9" i="51"/>
  <c r="I9" i="51"/>
  <c r="AH8" i="51"/>
  <c r="N8" i="51"/>
  <c r="I8" i="51"/>
  <c r="AH7" i="51"/>
  <c r="N7" i="51"/>
  <c r="I7" i="51"/>
  <c r="AH6" i="51"/>
  <c r="AK6" i="51"/>
  <c r="N6" i="51"/>
  <c r="I6" i="51"/>
  <c r="AH5" i="51"/>
  <c r="AK5" i="51"/>
  <c r="N5" i="51"/>
  <c r="I5" i="51"/>
  <c r="AH4" i="51"/>
  <c r="N4" i="51"/>
  <c r="I4" i="51"/>
  <c r="AK3" i="51"/>
  <c r="AH3" i="51"/>
  <c r="N3" i="51"/>
  <c r="I3" i="51"/>
  <c r="K60" i="50"/>
  <c r="I60" i="50"/>
  <c r="K58" i="50"/>
  <c r="I58" i="50"/>
  <c r="J51" i="50"/>
  <c r="G51" i="50"/>
  <c r="F51" i="50"/>
  <c r="E51" i="50"/>
  <c r="D51" i="50"/>
  <c r="AC49" i="50"/>
  <c r="AB49" i="50"/>
  <c r="K49" i="50"/>
  <c r="C49" i="50"/>
  <c r="AH47" i="50"/>
  <c r="I47" i="50"/>
  <c r="AH46" i="50"/>
  <c r="O46" i="50"/>
  <c r="AK46" i="50"/>
  <c r="I46" i="50"/>
  <c r="AH45" i="50"/>
  <c r="O45" i="50"/>
  <c r="AK45" i="50"/>
  <c r="I45" i="50"/>
  <c r="AH44" i="50"/>
  <c r="I44" i="50"/>
  <c r="AH43" i="50"/>
  <c r="I43" i="50"/>
  <c r="AH42" i="50"/>
  <c r="AK42" i="50"/>
  <c r="I42" i="50"/>
  <c r="AH41" i="50"/>
  <c r="I41" i="50"/>
  <c r="AH40" i="50"/>
  <c r="I40" i="50"/>
  <c r="AH39" i="50"/>
  <c r="I39" i="50"/>
  <c r="AH38" i="50"/>
  <c r="AK38" i="50"/>
  <c r="I38" i="50"/>
  <c r="AH37" i="50"/>
  <c r="AK37" i="50"/>
  <c r="I37" i="50"/>
  <c r="AH36" i="50"/>
  <c r="I36" i="50"/>
  <c r="AH35" i="50"/>
  <c r="I35" i="50"/>
  <c r="AH34" i="50"/>
  <c r="O34" i="50"/>
  <c r="I34" i="50"/>
  <c r="AH33" i="50"/>
  <c r="I33" i="50"/>
  <c r="AH32" i="50"/>
  <c r="I32" i="50"/>
  <c r="AH31" i="50"/>
  <c r="I31" i="50"/>
  <c r="AH30" i="50"/>
  <c r="O30" i="50"/>
  <c r="AK30" i="50"/>
  <c r="I30" i="50"/>
  <c r="AH29" i="50"/>
  <c r="I29" i="50"/>
  <c r="AH28" i="50"/>
  <c r="AH48" i="50" s="1"/>
  <c r="I28" i="50"/>
  <c r="AC26" i="50"/>
  <c r="AC51" i="50" s="1"/>
  <c r="AB26" i="50"/>
  <c r="K26" i="50"/>
  <c r="K51" i="50" s="1"/>
  <c r="C26" i="50"/>
  <c r="C51" i="50" s="1"/>
  <c r="AK24" i="50"/>
  <c r="AH24" i="50"/>
  <c r="AJ24" i="50"/>
  <c r="I24" i="50"/>
  <c r="AH23" i="50"/>
  <c r="I23" i="50"/>
  <c r="AK22" i="50"/>
  <c r="AH22" i="50"/>
  <c r="I22" i="50"/>
  <c r="AH21" i="50"/>
  <c r="I21" i="50"/>
  <c r="AK20" i="50"/>
  <c r="AH20" i="50"/>
  <c r="AJ20" i="50"/>
  <c r="I20" i="50"/>
  <c r="AK19" i="50"/>
  <c r="AH19" i="50"/>
  <c r="O19" i="50"/>
  <c r="AJ19" i="50"/>
  <c r="I19" i="50"/>
  <c r="AH18" i="50"/>
  <c r="I18" i="50"/>
  <c r="AH17" i="50"/>
  <c r="I17" i="50"/>
  <c r="AH16" i="50"/>
  <c r="I16" i="50"/>
  <c r="AH15" i="50"/>
  <c r="I15" i="50"/>
  <c r="AK14" i="50"/>
  <c r="AH14" i="50"/>
  <c r="I14" i="50"/>
  <c r="AH13" i="50"/>
  <c r="I13" i="50"/>
  <c r="AK12" i="50"/>
  <c r="AH12" i="50"/>
  <c r="AI12" i="50"/>
  <c r="AJ12" i="50"/>
  <c r="I12" i="50"/>
  <c r="AH11" i="50"/>
  <c r="I11" i="50"/>
  <c r="AH10" i="50"/>
  <c r="I10" i="50"/>
  <c r="AH9" i="50"/>
  <c r="I9" i="50"/>
  <c r="AH8" i="50"/>
  <c r="I8" i="50"/>
  <c r="AH7" i="50"/>
  <c r="I7" i="50"/>
  <c r="AH6" i="50"/>
  <c r="I6" i="50"/>
  <c r="AH5" i="50"/>
  <c r="I5" i="50"/>
  <c r="AH4" i="50"/>
  <c r="AK4" i="50"/>
  <c r="I4" i="50"/>
  <c r="AH3" i="50"/>
  <c r="I3" i="50"/>
  <c r="M7" i="75" l="1"/>
  <c r="G5" i="75" s="1"/>
  <c r="L8" i="75"/>
  <c r="M33" i="75"/>
  <c r="G30" i="75" s="1"/>
  <c r="L34" i="75"/>
  <c r="J25" i="65"/>
  <c r="O24" i="50"/>
  <c r="J13" i="65"/>
  <c r="W9" i="74"/>
  <c r="J9" i="65"/>
  <c r="J17" i="65"/>
  <c r="X59" i="2"/>
  <c r="G15" i="70"/>
  <c r="M15" i="70"/>
  <c r="X63" i="2"/>
  <c r="Z5" i="70"/>
  <c r="M25" i="70" s="1"/>
  <c r="D15" i="1" s="1"/>
  <c r="AA5" i="70"/>
  <c r="M7" i="72"/>
  <c r="L8" i="72"/>
  <c r="G5" i="71"/>
  <c r="E33" i="71"/>
  <c r="F32" i="71"/>
  <c r="E7" i="71"/>
  <c r="F6" i="71"/>
  <c r="AA53" i="54"/>
  <c r="K51" i="54"/>
  <c r="F33" i="2"/>
  <c r="L58" i="54"/>
  <c r="AI15" i="54"/>
  <c r="R5" i="54"/>
  <c r="R13" i="54"/>
  <c r="R21" i="54"/>
  <c r="P49" i="54"/>
  <c r="G34" i="2" s="1"/>
  <c r="AK16" i="54"/>
  <c r="AK24" i="54"/>
  <c r="AJ9" i="54"/>
  <c r="R9" i="54"/>
  <c r="R17" i="54"/>
  <c r="R28" i="54"/>
  <c r="AJ5" i="54"/>
  <c r="M34" i="72"/>
  <c r="L35" i="72"/>
  <c r="V4" i="69"/>
  <c r="X51" i="2"/>
  <c r="AB30" i="2"/>
  <c r="Z5" i="69" s="1"/>
  <c r="Y52" i="2"/>
  <c r="Y29" i="2"/>
  <c r="AC30" i="2"/>
  <c r="AA5" i="69" s="1"/>
  <c r="G23" i="69"/>
  <c r="E6" i="1" s="1"/>
  <c r="J66" i="2"/>
  <c r="V5" i="68"/>
  <c r="M8" i="63"/>
  <c r="M20" i="69"/>
  <c r="E12" i="1" s="1"/>
  <c r="S8" i="63"/>
  <c r="Y27" i="2"/>
  <c r="V4" i="68"/>
  <c r="X62" i="2"/>
  <c r="K16" i="70"/>
  <c r="D17" i="1" s="1"/>
  <c r="Y59" i="2"/>
  <c r="W5" i="69"/>
  <c r="G15" i="69"/>
  <c r="W5" i="68"/>
  <c r="H4" i="63"/>
  <c r="E22" i="63" s="1"/>
  <c r="J65" i="2"/>
  <c r="M26" i="70"/>
  <c r="D16" i="1" s="1"/>
  <c r="AB28" i="2"/>
  <c r="Z5" i="68" s="1"/>
  <c r="AC29" i="2"/>
  <c r="I8" i="70"/>
  <c r="E15" i="70"/>
  <c r="M19" i="69"/>
  <c r="E11" i="1" s="1"/>
  <c r="G25" i="70"/>
  <c r="D7" i="1" s="1"/>
  <c r="F8" i="70"/>
  <c r="F5" i="69"/>
  <c r="M15" i="69"/>
  <c r="AB5" i="69"/>
  <c r="G19" i="69"/>
  <c r="E3" i="1" s="1"/>
  <c r="X58" i="2"/>
  <c r="M23" i="69"/>
  <c r="E14" i="1" s="1"/>
  <c r="AA53" i="53"/>
  <c r="W37" i="53"/>
  <c r="AG37" i="53"/>
  <c r="O41" i="53"/>
  <c r="W41" i="53"/>
  <c r="AG41" i="53"/>
  <c r="AM41" i="53" s="1"/>
  <c r="AI41" i="53"/>
  <c r="AK28" i="62"/>
  <c r="AK44" i="62"/>
  <c r="Q49" i="62"/>
  <c r="AG47" i="62"/>
  <c r="R5" i="53"/>
  <c r="R13" i="53"/>
  <c r="R21" i="53"/>
  <c r="R32" i="53"/>
  <c r="R40" i="53"/>
  <c r="AK7" i="62"/>
  <c r="AK22" i="62"/>
  <c r="AK29" i="62"/>
  <c r="AK33" i="62"/>
  <c r="AK37" i="62"/>
  <c r="AK41" i="62"/>
  <c r="AK45" i="62"/>
  <c r="R28" i="53"/>
  <c r="L58" i="53"/>
  <c r="I26" i="53"/>
  <c r="L60" i="53"/>
  <c r="M9" i="71"/>
  <c r="G9" i="71" s="1"/>
  <c r="L10" i="71"/>
  <c r="M10" i="71" s="1"/>
  <c r="G10" i="71" s="1"/>
  <c r="M11" i="71"/>
  <c r="L12" i="71"/>
  <c r="M32" i="71"/>
  <c r="G32" i="71" s="1"/>
  <c r="L33" i="71"/>
  <c r="D4" i="67"/>
  <c r="E4" i="67" s="1"/>
  <c r="F4" i="67" s="1"/>
  <c r="D16" i="67"/>
  <c r="D12" i="67"/>
  <c r="D10" i="67"/>
  <c r="D17" i="67"/>
  <c r="D18" i="67"/>
  <c r="K49" i="62"/>
  <c r="K51" i="52"/>
  <c r="F29" i="2"/>
  <c r="I49" i="52"/>
  <c r="C51" i="52"/>
  <c r="D8" i="66"/>
  <c r="D12" i="66"/>
  <c r="D20" i="66"/>
  <c r="D16" i="66"/>
  <c r="D22" i="66"/>
  <c r="D43" i="64"/>
  <c r="D33" i="64"/>
  <c r="D41" i="64"/>
  <c r="D49" i="64"/>
  <c r="D9" i="64"/>
  <c r="D17" i="64"/>
  <c r="D25" i="64"/>
  <c r="D6" i="64"/>
  <c r="U8" i="63"/>
  <c r="T8" i="63"/>
  <c r="N8" i="63"/>
  <c r="R8" i="63"/>
  <c r="K26" i="2"/>
  <c r="X66" i="2" s="1"/>
  <c r="K25" i="2"/>
  <c r="K22" i="69"/>
  <c r="K22" i="68"/>
  <c r="G5" i="63"/>
  <c r="G8" i="63" s="1"/>
  <c r="H5" i="63"/>
  <c r="K22" i="63" s="1"/>
  <c r="K19" i="68"/>
  <c r="K19" i="69"/>
  <c r="O8" i="63"/>
  <c r="K23" i="68"/>
  <c r="K23" i="69"/>
  <c r="J69" i="2"/>
  <c r="J70" i="2"/>
  <c r="L5" i="63"/>
  <c r="K23" i="63" s="1"/>
  <c r="L4" i="63"/>
  <c r="E23" i="63" s="1"/>
  <c r="K5" i="63"/>
  <c r="K19" i="63" s="1"/>
  <c r="K4" i="63"/>
  <c r="AA50" i="62"/>
  <c r="AA53" i="51"/>
  <c r="L58" i="51"/>
  <c r="R21" i="52"/>
  <c r="R32" i="52"/>
  <c r="R36" i="52"/>
  <c r="R4" i="52"/>
  <c r="R12" i="52"/>
  <c r="R20" i="52"/>
  <c r="R24" i="52"/>
  <c r="R31" i="52"/>
  <c r="R39" i="52"/>
  <c r="R43" i="52"/>
  <c r="R6" i="52"/>
  <c r="R10" i="52"/>
  <c r="R14" i="52"/>
  <c r="R18" i="52"/>
  <c r="O15" i="51"/>
  <c r="W15" i="51"/>
  <c r="AI18" i="51"/>
  <c r="O18" i="51"/>
  <c r="O45" i="51"/>
  <c r="AG45" i="51"/>
  <c r="AK17" i="62"/>
  <c r="AJ9" i="51"/>
  <c r="AJ32" i="51"/>
  <c r="AJ36" i="51"/>
  <c r="AJ40" i="51"/>
  <c r="AK8" i="62"/>
  <c r="AK16" i="62"/>
  <c r="AK35" i="62"/>
  <c r="AJ12" i="51"/>
  <c r="AK24" i="52"/>
  <c r="L60" i="52"/>
  <c r="AK12" i="52"/>
  <c r="AK16" i="52"/>
  <c r="R3" i="52"/>
  <c r="R11" i="52"/>
  <c r="R19" i="52"/>
  <c r="O19" i="52" s="1"/>
  <c r="R23" i="52"/>
  <c r="O23" i="52" s="1"/>
  <c r="R42" i="52"/>
  <c r="AK8" i="52"/>
  <c r="AK4" i="52"/>
  <c r="L58" i="52"/>
  <c r="AJ4" i="52"/>
  <c r="AJ8" i="52"/>
  <c r="AJ20" i="52"/>
  <c r="O20" i="52"/>
  <c r="O24" i="52"/>
  <c r="AI31" i="62"/>
  <c r="AG31" i="52"/>
  <c r="AM31" i="52" s="1"/>
  <c r="AG43" i="52"/>
  <c r="AM43" i="52" s="1"/>
  <c r="W19" i="52"/>
  <c r="AI19" i="52"/>
  <c r="AI30" i="52"/>
  <c r="AG30" i="52"/>
  <c r="AM30" i="52" s="1"/>
  <c r="O30" i="52"/>
  <c r="W30" i="52"/>
  <c r="W34" i="52"/>
  <c r="O34" i="52"/>
  <c r="AI34" i="62"/>
  <c r="O38" i="52"/>
  <c r="AG38" i="62"/>
  <c r="W42" i="52"/>
  <c r="AI42" i="62"/>
  <c r="AI42" i="52"/>
  <c r="O42" i="52"/>
  <c r="AI46" i="52"/>
  <c r="AG46" i="62"/>
  <c r="AM46" i="62" s="1"/>
  <c r="W46" i="52"/>
  <c r="O46" i="52"/>
  <c r="Q26" i="52"/>
  <c r="AK23" i="62"/>
  <c r="AK18" i="62"/>
  <c r="AK14" i="62"/>
  <c r="AK10" i="62"/>
  <c r="AK6" i="62"/>
  <c r="AK46" i="62"/>
  <c r="AK42" i="62"/>
  <c r="R22" i="52"/>
  <c r="R33" i="52"/>
  <c r="R41" i="52"/>
  <c r="AK19" i="62"/>
  <c r="AK47" i="62"/>
  <c r="AK38" i="62"/>
  <c r="AK34" i="62"/>
  <c r="AK30" i="62"/>
  <c r="R7" i="52"/>
  <c r="R15" i="52"/>
  <c r="Q49" i="52"/>
  <c r="AK24" i="62"/>
  <c r="AK11" i="62"/>
  <c r="AK39" i="62"/>
  <c r="R8" i="52"/>
  <c r="R16" i="52"/>
  <c r="R35" i="52"/>
  <c r="AK20" i="62"/>
  <c r="AK31" i="62"/>
  <c r="R9" i="52"/>
  <c r="R17" i="52"/>
  <c r="R28" i="52"/>
  <c r="R44" i="52"/>
  <c r="AI36" i="52"/>
  <c r="AK21" i="62"/>
  <c r="AK12" i="62"/>
  <c r="AK4" i="62"/>
  <c r="AK40" i="62"/>
  <c r="R29" i="52"/>
  <c r="AG29" i="62" s="1"/>
  <c r="R37" i="52"/>
  <c r="AI37" i="62" s="1"/>
  <c r="R45" i="52"/>
  <c r="AK3" i="62"/>
  <c r="AK36" i="62"/>
  <c r="AK32" i="62"/>
  <c r="AK13" i="62"/>
  <c r="AK9" i="62"/>
  <c r="AK5" i="62"/>
  <c r="AJ10" i="52"/>
  <c r="AJ14" i="52"/>
  <c r="R5" i="52"/>
  <c r="R13" i="52"/>
  <c r="R40" i="52"/>
  <c r="I49" i="51"/>
  <c r="C51" i="51"/>
  <c r="K26" i="62"/>
  <c r="I26" i="51"/>
  <c r="I51" i="51" s="1"/>
  <c r="I59" i="51" s="1"/>
  <c r="J59" i="51" s="1"/>
  <c r="L60" i="51"/>
  <c r="D8" i="67"/>
  <c r="D22" i="67"/>
  <c r="K50" i="67"/>
  <c r="L30" i="67"/>
  <c r="M30" i="67" s="1"/>
  <c r="D20" i="67"/>
  <c r="D19" i="67"/>
  <c r="D11" i="67"/>
  <c r="D13" i="67"/>
  <c r="D21" i="67"/>
  <c r="D5" i="67"/>
  <c r="D25" i="67"/>
  <c r="D23" i="67"/>
  <c r="D15" i="67"/>
  <c r="D7" i="67"/>
  <c r="D9" i="67"/>
  <c r="K26" i="67"/>
  <c r="L4" i="67"/>
  <c r="M4" i="67" s="1"/>
  <c r="D50" i="67"/>
  <c r="E30" i="67"/>
  <c r="F30" i="67" s="1"/>
  <c r="D24" i="67"/>
  <c r="D6" i="67"/>
  <c r="D50" i="66"/>
  <c r="E30" i="66"/>
  <c r="F30" i="66" s="1"/>
  <c r="D4" i="66"/>
  <c r="D18" i="66"/>
  <c r="D10" i="66"/>
  <c r="D25" i="66"/>
  <c r="D7" i="66"/>
  <c r="D21" i="66"/>
  <c r="D23" i="66"/>
  <c r="D15" i="66"/>
  <c r="D19" i="66"/>
  <c r="D13" i="66"/>
  <c r="D5" i="66"/>
  <c r="D11" i="66"/>
  <c r="D17" i="66"/>
  <c r="K50" i="66"/>
  <c r="L30" i="66"/>
  <c r="D24" i="66"/>
  <c r="D9" i="66"/>
  <c r="K26" i="66"/>
  <c r="L4" i="66"/>
  <c r="M4" i="66" s="1"/>
  <c r="E31" i="66"/>
  <c r="F31" i="66" s="1"/>
  <c r="D14" i="66"/>
  <c r="J50" i="65"/>
  <c r="K43" i="65" s="1"/>
  <c r="O33" i="53"/>
  <c r="U23" i="50"/>
  <c r="U33" i="50"/>
  <c r="Y33" i="50" s="1"/>
  <c r="U41" i="50"/>
  <c r="Y41" i="50" s="1"/>
  <c r="O15" i="50"/>
  <c r="O23" i="50"/>
  <c r="AK23" i="50"/>
  <c r="AK41" i="50"/>
  <c r="AJ15" i="50"/>
  <c r="AJ23" i="50"/>
  <c r="I49" i="50"/>
  <c r="K9" i="64"/>
  <c r="K13" i="64"/>
  <c r="K17" i="64"/>
  <c r="K21" i="64"/>
  <c r="K25" i="64"/>
  <c r="K33" i="64"/>
  <c r="K41" i="64"/>
  <c r="K49" i="64"/>
  <c r="D14" i="64"/>
  <c r="D18" i="64"/>
  <c r="D22" i="64"/>
  <c r="D44" i="64"/>
  <c r="D36" i="64"/>
  <c r="D35" i="64"/>
  <c r="D42" i="64"/>
  <c r="D34" i="64"/>
  <c r="D47" i="64"/>
  <c r="D39" i="64"/>
  <c r="D31" i="64"/>
  <c r="D45" i="64"/>
  <c r="D37" i="64"/>
  <c r="D38" i="64"/>
  <c r="D46" i="64"/>
  <c r="K47" i="64"/>
  <c r="K39" i="64"/>
  <c r="K31" i="64"/>
  <c r="K46" i="64"/>
  <c r="K38" i="64"/>
  <c r="K45" i="64"/>
  <c r="K37" i="64"/>
  <c r="K44" i="64"/>
  <c r="K42" i="64"/>
  <c r="K34" i="64"/>
  <c r="K48" i="64"/>
  <c r="K40" i="64"/>
  <c r="K32" i="64"/>
  <c r="K11" i="64"/>
  <c r="K19" i="64"/>
  <c r="K35" i="64"/>
  <c r="K43" i="64"/>
  <c r="D20" i="64"/>
  <c r="D12" i="64"/>
  <c r="D4" i="64"/>
  <c r="D19" i="64"/>
  <c r="D11" i="64"/>
  <c r="D10" i="64"/>
  <c r="D23" i="64"/>
  <c r="D15" i="64"/>
  <c r="D7" i="64"/>
  <c r="D21" i="64"/>
  <c r="D13" i="64"/>
  <c r="D5" i="64"/>
  <c r="D8" i="64"/>
  <c r="D16" i="64"/>
  <c r="D24" i="64"/>
  <c r="D32" i="64"/>
  <c r="D40" i="64"/>
  <c r="D48" i="64"/>
  <c r="K23" i="64"/>
  <c r="K15" i="64"/>
  <c r="K7" i="64"/>
  <c r="K22" i="64"/>
  <c r="K14" i="64"/>
  <c r="K6" i="64"/>
  <c r="K5" i="64"/>
  <c r="K18" i="64"/>
  <c r="K10" i="64"/>
  <c r="K24" i="64"/>
  <c r="K16" i="64"/>
  <c r="K8" i="64"/>
  <c r="K12" i="64"/>
  <c r="K20" i="64"/>
  <c r="K36" i="64"/>
  <c r="D30" i="64"/>
  <c r="K4" i="64"/>
  <c r="K30" i="64"/>
  <c r="AA53" i="50"/>
  <c r="AK10" i="50"/>
  <c r="AK3" i="50"/>
  <c r="AK6" i="50"/>
  <c r="AJ16" i="50"/>
  <c r="U15" i="50"/>
  <c r="AJ11" i="50"/>
  <c r="U47" i="50"/>
  <c r="Y47" i="50" s="1"/>
  <c r="U38" i="50"/>
  <c r="AD38" i="74" s="1"/>
  <c r="U31" i="50"/>
  <c r="Y31" i="50" s="1"/>
  <c r="U7" i="50"/>
  <c r="AG7" i="50" s="1"/>
  <c r="O16" i="50"/>
  <c r="U43" i="50"/>
  <c r="U34" i="50"/>
  <c r="AK29" i="50"/>
  <c r="U22" i="50"/>
  <c r="Y22" i="50" s="1"/>
  <c r="U21" i="50"/>
  <c r="Y21" i="50" s="1"/>
  <c r="U46" i="50"/>
  <c r="AD46" i="74" s="1"/>
  <c r="U30" i="50"/>
  <c r="W15" i="74"/>
  <c r="U45" i="50"/>
  <c r="AD45" i="74" s="1"/>
  <c r="AJ9" i="50"/>
  <c r="U13" i="50"/>
  <c r="AD13" i="74" s="1"/>
  <c r="U36" i="50"/>
  <c r="Y36" i="50" s="1"/>
  <c r="AJ5" i="50"/>
  <c r="U39" i="50"/>
  <c r="Y39" i="50" s="1"/>
  <c r="U9" i="50"/>
  <c r="Y9" i="50" s="1"/>
  <c r="U17" i="50"/>
  <c r="Y17" i="50" s="1"/>
  <c r="U8" i="50"/>
  <c r="AG8" i="50" s="1"/>
  <c r="U42" i="50"/>
  <c r="Y42" i="50" s="1"/>
  <c r="U28" i="50"/>
  <c r="U6" i="50"/>
  <c r="Y6" i="50" s="1"/>
  <c r="AK13" i="50"/>
  <c r="W13" i="74"/>
  <c r="AK17" i="50"/>
  <c r="AG17" i="50"/>
  <c r="AM17" i="50" s="1"/>
  <c r="AJ32" i="50"/>
  <c r="O14" i="50"/>
  <c r="W14" i="74"/>
  <c r="O31" i="50"/>
  <c r="O35" i="50"/>
  <c r="O22" i="50"/>
  <c r="W22" i="74"/>
  <c r="O39" i="50"/>
  <c r="AK21" i="50"/>
  <c r="O43" i="50"/>
  <c r="AJ18" i="50"/>
  <c r="O42" i="50"/>
  <c r="U20" i="50"/>
  <c r="AG20" i="50" s="1"/>
  <c r="U44" i="50"/>
  <c r="Y44" i="50" s="1"/>
  <c r="U35" i="50"/>
  <c r="Y35" i="50" s="1"/>
  <c r="W16" i="74"/>
  <c r="W11" i="74"/>
  <c r="U4" i="50"/>
  <c r="Y4" i="50" s="1"/>
  <c r="W23" i="74"/>
  <c r="AJ22" i="50"/>
  <c r="U16" i="50"/>
  <c r="Y16" i="50" s="1"/>
  <c r="W12" i="74"/>
  <c r="U11" i="50"/>
  <c r="AG11" i="50" s="1"/>
  <c r="U5" i="50"/>
  <c r="Y5" i="50" s="1"/>
  <c r="U32" i="50"/>
  <c r="AI15" i="50"/>
  <c r="W19" i="74"/>
  <c r="AJ10" i="50"/>
  <c r="AJ14" i="50"/>
  <c r="AG33" i="50"/>
  <c r="U12" i="50"/>
  <c r="Y12" i="50" s="1"/>
  <c r="W20" i="74"/>
  <c r="U46" i="54"/>
  <c r="Y46" i="54" s="1"/>
  <c r="U9" i="52"/>
  <c r="Y9" i="52" s="1"/>
  <c r="U44" i="52"/>
  <c r="AD44" i="52" s="1"/>
  <c r="U3" i="51"/>
  <c r="Y3" i="51" s="1"/>
  <c r="U11" i="51"/>
  <c r="AD11" i="51" s="1"/>
  <c r="U30" i="51"/>
  <c r="AD30" i="51" s="1"/>
  <c r="U42" i="51"/>
  <c r="Y42" i="51" s="1"/>
  <c r="U46" i="53"/>
  <c r="AD46" i="53" s="1"/>
  <c r="AJ45" i="62"/>
  <c r="AJ33" i="62"/>
  <c r="AJ35" i="62"/>
  <c r="AJ12" i="62"/>
  <c r="AJ17" i="62"/>
  <c r="AJ16" i="62"/>
  <c r="AA27" i="62"/>
  <c r="U9" i="51"/>
  <c r="AD9" i="51" s="1"/>
  <c r="AJ15" i="62"/>
  <c r="U17" i="52"/>
  <c r="Y17" i="52" s="1"/>
  <c r="U28" i="52"/>
  <c r="AD28" i="52" s="1"/>
  <c r="U33" i="51"/>
  <c r="AK15" i="62"/>
  <c r="AK43" i="62"/>
  <c r="I26" i="62"/>
  <c r="AG37" i="62"/>
  <c r="AH25" i="62"/>
  <c r="I49" i="62"/>
  <c r="AG34" i="62"/>
  <c r="AI29" i="62"/>
  <c r="AI46" i="62"/>
  <c r="AI47" i="62"/>
  <c r="U45" i="51"/>
  <c r="U47" i="51"/>
  <c r="U13" i="51"/>
  <c r="U17" i="51"/>
  <c r="AD17" i="51" s="1"/>
  <c r="U44" i="51"/>
  <c r="Y40" i="50"/>
  <c r="Y45" i="50"/>
  <c r="Y30" i="50"/>
  <c r="Y32" i="50"/>
  <c r="Y37" i="50"/>
  <c r="Y43" i="50"/>
  <c r="Y29" i="50"/>
  <c r="U8" i="51"/>
  <c r="AD8" i="51" s="1"/>
  <c r="U31" i="51"/>
  <c r="AG37" i="50"/>
  <c r="Y34" i="50"/>
  <c r="AG29" i="50"/>
  <c r="Y24" i="50"/>
  <c r="Y19" i="50"/>
  <c r="Y23" i="50"/>
  <c r="Y15" i="50"/>
  <c r="Y10" i="50"/>
  <c r="U4" i="51"/>
  <c r="AD4" i="51" s="1"/>
  <c r="U43" i="51"/>
  <c r="Z49" i="53"/>
  <c r="U12" i="51"/>
  <c r="U20" i="51"/>
  <c r="U24" i="51"/>
  <c r="U35" i="51"/>
  <c r="U39" i="51"/>
  <c r="U44" i="54"/>
  <c r="Y44" i="54" s="1"/>
  <c r="U11" i="53"/>
  <c r="Y11" i="53" s="1"/>
  <c r="U46" i="51"/>
  <c r="U34" i="52"/>
  <c r="AD34" i="52" s="1"/>
  <c r="AE34" i="52" s="1"/>
  <c r="AL34" i="52" s="1" a="1"/>
  <c r="AL34" i="52" s="1"/>
  <c r="U40" i="51"/>
  <c r="U16" i="51"/>
  <c r="U9" i="53"/>
  <c r="AD9" i="53" s="1"/>
  <c r="U28" i="53"/>
  <c r="AD28" i="53" s="1"/>
  <c r="U36" i="53"/>
  <c r="Y36" i="53" s="1"/>
  <c r="AI40" i="50"/>
  <c r="O41" i="50"/>
  <c r="O37" i="50"/>
  <c r="O33" i="50"/>
  <c r="O29" i="50"/>
  <c r="T26" i="52"/>
  <c r="O32" i="50"/>
  <c r="U5" i="52"/>
  <c r="Y5" i="52" s="1"/>
  <c r="U13" i="52"/>
  <c r="Y13" i="52" s="1"/>
  <c r="U21" i="52"/>
  <c r="Y21" i="52" s="1"/>
  <c r="U32" i="52"/>
  <c r="AD32" i="52" s="1"/>
  <c r="U36" i="52"/>
  <c r="AD36" i="52" s="1"/>
  <c r="U7" i="51"/>
  <c r="AG7" i="51" s="1"/>
  <c r="U15" i="51"/>
  <c r="U19" i="51"/>
  <c r="U23" i="51"/>
  <c r="U34" i="51"/>
  <c r="U38" i="51"/>
  <c r="T49" i="53"/>
  <c r="T49" i="54"/>
  <c r="J34" i="2" s="1"/>
  <c r="Z49" i="54"/>
  <c r="M34" i="2" s="1"/>
  <c r="U34" i="53"/>
  <c r="Y34" i="53" s="1"/>
  <c r="Z26" i="52"/>
  <c r="T49" i="52"/>
  <c r="U40" i="52"/>
  <c r="AD40" i="52" s="1"/>
  <c r="T49" i="51"/>
  <c r="Z49" i="51"/>
  <c r="O28" i="50"/>
  <c r="O13" i="50"/>
  <c r="U6" i="51"/>
  <c r="O12" i="50"/>
  <c r="AG18" i="50"/>
  <c r="AM18" i="50" s="1"/>
  <c r="U17" i="54"/>
  <c r="AD17" i="54" s="1"/>
  <c r="U21" i="54"/>
  <c r="AD21" i="54" s="1"/>
  <c r="U28" i="54"/>
  <c r="AD28" i="54" s="1"/>
  <c r="U32" i="54"/>
  <c r="AD32" i="54" s="1"/>
  <c r="U36" i="54"/>
  <c r="AD36" i="54" s="1"/>
  <c r="U40" i="54"/>
  <c r="AD40" i="54" s="1"/>
  <c r="U3" i="53"/>
  <c r="Y3" i="53" s="1"/>
  <c r="U15" i="53"/>
  <c r="AD15" i="53" s="1"/>
  <c r="U19" i="53"/>
  <c r="AD19" i="53" s="1"/>
  <c r="U23" i="53"/>
  <c r="AD23" i="53" s="1"/>
  <c r="U30" i="53"/>
  <c r="AD30" i="53" s="1"/>
  <c r="U38" i="53"/>
  <c r="Y38" i="53" s="1"/>
  <c r="U42" i="53"/>
  <c r="AD42" i="53" s="1"/>
  <c r="U7" i="53"/>
  <c r="Y7" i="53" s="1"/>
  <c r="U9" i="54"/>
  <c r="Y9" i="54" s="1"/>
  <c r="U37" i="53"/>
  <c r="Y37" i="53" s="1"/>
  <c r="U8" i="52"/>
  <c r="Y8" i="52" s="1"/>
  <c r="U12" i="52"/>
  <c r="AD12" i="52" s="1"/>
  <c r="U16" i="52"/>
  <c r="AD16" i="52" s="1"/>
  <c r="U20" i="52"/>
  <c r="AD20" i="52" s="1"/>
  <c r="U24" i="52"/>
  <c r="Y24" i="52" s="1"/>
  <c r="U31" i="52"/>
  <c r="Y31" i="52" s="1"/>
  <c r="U35" i="52"/>
  <c r="Y35" i="52" s="1"/>
  <c r="U39" i="52"/>
  <c r="Y39" i="52" s="1"/>
  <c r="U43" i="52"/>
  <c r="Y43" i="52" s="1"/>
  <c r="U47" i="52"/>
  <c r="Y47" i="52" s="1"/>
  <c r="U10" i="51"/>
  <c r="U14" i="51"/>
  <c r="U18" i="51"/>
  <c r="U22" i="51"/>
  <c r="U29" i="51"/>
  <c r="U37" i="51"/>
  <c r="U41" i="51"/>
  <c r="U7" i="54"/>
  <c r="Y7" i="54" s="1"/>
  <c r="U11" i="54"/>
  <c r="Y11" i="54" s="1"/>
  <c r="U15" i="54"/>
  <c r="AD15" i="54" s="1"/>
  <c r="U19" i="54"/>
  <c r="AD19" i="54" s="1"/>
  <c r="U23" i="54"/>
  <c r="Y23" i="54" s="1"/>
  <c r="U30" i="54"/>
  <c r="AD30" i="54" s="1"/>
  <c r="U34" i="54"/>
  <c r="AD34" i="54" s="1"/>
  <c r="U38" i="54"/>
  <c r="AD38" i="54" s="1"/>
  <c r="U42" i="54"/>
  <c r="Y42" i="54" s="1"/>
  <c r="U5" i="53"/>
  <c r="Y5" i="53" s="1"/>
  <c r="U13" i="53"/>
  <c r="AD13" i="53" s="1"/>
  <c r="U17" i="53"/>
  <c r="AD17" i="53" s="1"/>
  <c r="U32" i="53"/>
  <c r="Y32" i="53" s="1"/>
  <c r="U40" i="53"/>
  <c r="Y40" i="53" s="1"/>
  <c r="U44" i="53"/>
  <c r="Y44" i="53" s="1"/>
  <c r="U7" i="52"/>
  <c r="Y7" i="52" s="1"/>
  <c r="U11" i="52"/>
  <c r="Y11" i="52" s="1"/>
  <c r="U30" i="52"/>
  <c r="AD30" i="52" s="1"/>
  <c r="AE30" i="52" s="1"/>
  <c r="AL30" i="52" s="1" a="1"/>
  <c r="AL30" i="52" s="1"/>
  <c r="U38" i="52"/>
  <c r="AD38" i="52" s="1"/>
  <c r="U42" i="52"/>
  <c r="U46" i="52"/>
  <c r="Y46" i="52" s="1"/>
  <c r="U21" i="51"/>
  <c r="U5" i="54"/>
  <c r="Y5" i="54" s="1"/>
  <c r="U13" i="54"/>
  <c r="AD13" i="54" s="1"/>
  <c r="S26" i="52"/>
  <c r="U36" i="51"/>
  <c r="U4" i="52"/>
  <c r="AD4" i="52" s="1"/>
  <c r="U21" i="53"/>
  <c r="AD21" i="53" s="1"/>
  <c r="U28" i="51"/>
  <c r="U32" i="51"/>
  <c r="S26" i="51"/>
  <c r="X49" i="51"/>
  <c r="I26" i="50"/>
  <c r="I51" i="50" s="1"/>
  <c r="I59" i="50" s="1"/>
  <c r="J59" i="50" s="1"/>
  <c r="L58" i="50"/>
  <c r="L60" i="50"/>
  <c r="U5" i="51"/>
  <c r="U47" i="53"/>
  <c r="AD47" i="53" s="1"/>
  <c r="AJ32" i="52"/>
  <c r="AJ44" i="52"/>
  <c r="AG18" i="51"/>
  <c r="AM18" i="51" s="1"/>
  <c r="W45" i="51"/>
  <c r="U6" i="54"/>
  <c r="AD6" i="54" s="1"/>
  <c r="U37" i="54"/>
  <c r="AD37" i="54" s="1"/>
  <c r="U4" i="53"/>
  <c r="Y4" i="53" s="1"/>
  <c r="U8" i="53"/>
  <c r="AD8" i="53" s="1"/>
  <c r="U16" i="53"/>
  <c r="AD16" i="53" s="1"/>
  <c r="U20" i="53"/>
  <c r="AD20" i="53" s="1"/>
  <c r="U24" i="53"/>
  <c r="Y24" i="53" s="1"/>
  <c r="U31" i="53"/>
  <c r="AD31" i="53" s="1"/>
  <c r="U35" i="53"/>
  <c r="AD35" i="53" s="1"/>
  <c r="U39" i="53"/>
  <c r="Y39" i="53" s="1"/>
  <c r="U43" i="53"/>
  <c r="Y43" i="53" s="1"/>
  <c r="X26" i="52"/>
  <c r="U6" i="52"/>
  <c r="AD6" i="52" s="1"/>
  <c r="U10" i="52"/>
  <c r="Y10" i="52" s="1"/>
  <c r="U14" i="52"/>
  <c r="AD14" i="52" s="1"/>
  <c r="U18" i="52"/>
  <c r="AD18" i="52" s="1"/>
  <c r="U22" i="52"/>
  <c r="AD22" i="52" s="1"/>
  <c r="X49" i="52"/>
  <c r="U33" i="52"/>
  <c r="Y33" i="52" s="1"/>
  <c r="U37" i="52"/>
  <c r="AD37" i="52" s="1"/>
  <c r="U41" i="52"/>
  <c r="Y41" i="52" s="1"/>
  <c r="U45" i="52"/>
  <c r="Y45" i="52" s="1"/>
  <c r="AI45" i="51"/>
  <c r="AI32" i="52"/>
  <c r="W38" i="52"/>
  <c r="AI34" i="52"/>
  <c r="AJ36" i="52"/>
  <c r="AI15" i="52"/>
  <c r="AI38" i="52"/>
  <c r="U4" i="54"/>
  <c r="AD4" i="54" s="1"/>
  <c r="U8" i="54"/>
  <c r="Y8" i="54" s="1"/>
  <c r="U12" i="54"/>
  <c r="AD12" i="54" s="1"/>
  <c r="U16" i="54"/>
  <c r="Y16" i="54" s="1"/>
  <c r="U20" i="54"/>
  <c r="AD20" i="54" s="1"/>
  <c r="U24" i="54"/>
  <c r="AD24" i="54" s="1"/>
  <c r="U31" i="54"/>
  <c r="Y31" i="54" s="1"/>
  <c r="U35" i="54"/>
  <c r="Y35" i="54" s="1"/>
  <c r="U39" i="54"/>
  <c r="Y39" i="54" s="1"/>
  <c r="U43" i="54"/>
  <c r="Y43" i="54" s="1"/>
  <c r="U47" i="54"/>
  <c r="Y47" i="54" s="1"/>
  <c r="U6" i="53"/>
  <c r="Y6" i="53" s="1"/>
  <c r="U10" i="53"/>
  <c r="Y10" i="53" s="1"/>
  <c r="U14" i="53"/>
  <c r="Y14" i="53" s="1"/>
  <c r="AJ17" i="53"/>
  <c r="U18" i="53"/>
  <c r="Y18" i="53" s="1"/>
  <c r="U22" i="53"/>
  <c r="AD22" i="53" s="1"/>
  <c r="U29" i="53"/>
  <c r="AD29" i="53" s="1"/>
  <c r="X49" i="53"/>
  <c r="U33" i="53"/>
  <c r="AD33" i="53" s="1"/>
  <c r="AE33" i="53" s="1"/>
  <c r="AL33" i="53" s="1" a="1"/>
  <c r="AL33" i="53" s="1"/>
  <c r="U41" i="53"/>
  <c r="Y41" i="53" s="1"/>
  <c r="AJ44" i="53"/>
  <c r="U45" i="53"/>
  <c r="Y45" i="53" s="1"/>
  <c r="AK17" i="52"/>
  <c r="AJ40" i="52"/>
  <c r="T26" i="54"/>
  <c r="J33" i="2" s="1"/>
  <c r="Q51" i="52"/>
  <c r="AJ32" i="53"/>
  <c r="AK36" i="53"/>
  <c r="AJ40" i="53"/>
  <c r="W17" i="53"/>
  <c r="AJ21" i="53"/>
  <c r="AI37" i="53"/>
  <c r="W45" i="53"/>
  <c r="AI17" i="53"/>
  <c r="AK44" i="53"/>
  <c r="U10" i="54"/>
  <c r="Y10" i="54" s="1"/>
  <c r="U14" i="54"/>
  <c r="AD14" i="54" s="1"/>
  <c r="U18" i="54"/>
  <c r="Y18" i="54" s="1"/>
  <c r="U22" i="54"/>
  <c r="AD22" i="54" s="1"/>
  <c r="U29" i="54"/>
  <c r="AD29" i="54" s="1"/>
  <c r="X49" i="54"/>
  <c r="N34" i="2" s="1"/>
  <c r="AJ32" i="54"/>
  <c r="U33" i="54"/>
  <c r="AD33" i="54" s="1"/>
  <c r="AJ36" i="54"/>
  <c r="AJ40" i="54"/>
  <c r="U41" i="54"/>
  <c r="Y41" i="54" s="1"/>
  <c r="AJ44" i="54"/>
  <c r="U45" i="54"/>
  <c r="AD45" i="54" s="1"/>
  <c r="AK17" i="53"/>
  <c r="AJ36" i="53"/>
  <c r="O37" i="53"/>
  <c r="AI45" i="53"/>
  <c r="AK9" i="53"/>
  <c r="AK28" i="53"/>
  <c r="O45" i="53"/>
  <c r="AI18" i="54"/>
  <c r="W10" i="54"/>
  <c r="AI10" i="54"/>
  <c r="W15" i="54"/>
  <c r="W18" i="54"/>
  <c r="AI5" i="54"/>
  <c r="W5" i="54"/>
  <c r="AI9" i="54"/>
  <c r="W9" i="54"/>
  <c r="AG9" i="54"/>
  <c r="AM9" i="54" s="1"/>
  <c r="AI11" i="54"/>
  <c r="AG11" i="54"/>
  <c r="W11" i="54"/>
  <c r="AG6" i="54"/>
  <c r="AI6" i="54"/>
  <c r="W6" i="54"/>
  <c r="AI4" i="54"/>
  <c r="W4" i="54"/>
  <c r="AI8" i="54"/>
  <c r="W8" i="54"/>
  <c r="AG8" i="54"/>
  <c r="AM8" i="54" s="1"/>
  <c r="I26" i="54"/>
  <c r="I51" i="54" s="1"/>
  <c r="I59" i="54" s="1"/>
  <c r="J59" i="54" s="1"/>
  <c r="U3" i="54"/>
  <c r="AJ6" i="54"/>
  <c r="AJ10" i="54"/>
  <c r="AK10" i="54"/>
  <c r="AG37" i="54"/>
  <c r="AI43" i="54"/>
  <c r="W43" i="54"/>
  <c r="AG43" i="54"/>
  <c r="AM43" i="54" s="1"/>
  <c r="AH25" i="54"/>
  <c r="AK6" i="54"/>
  <c r="W7" i="54"/>
  <c r="AI7" i="54"/>
  <c r="AG12" i="54"/>
  <c r="AI23" i="54"/>
  <c r="W23" i="54"/>
  <c r="AG23" i="54"/>
  <c r="AM23" i="54" s="1"/>
  <c r="J58" i="54"/>
  <c r="AJ7" i="54"/>
  <c r="AG14" i="54"/>
  <c r="AI20" i="54"/>
  <c r="W20" i="54"/>
  <c r="AG20" i="54"/>
  <c r="AM20" i="54" s="1"/>
  <c r="AI24" i="54"/>
  <c r="W24" i="54"/>
  <c r="AG24" i="54"/>
  <c r="AM24" i="54" s="1"/>
  <c r="AI39" i="54"/>
  <c r="W39" i="54"/>
  <c r="AG39" i="54"/>
  <c r="AM39" i="54" s="1"/>
  <c r="P26" i="54"/>
  <c r="G33" i="2" s="1"/>
  <c r="X26" i="54"/>
  <c r="N33" i="2" s="1"/>
  <c r="AJ3" i="54"/>
  <c r="AI47" i="54"/>
  <c r="W47" i="54"/>
  <c r="AG47" i="54"/>
  <c r="AM47" i="54" s="1"/>
  <c r="Q26" i="54"/>
  <c r="AJ4" i="54"/>
  <c r="AJ8" i="54"/>
  <c r="W12" i="54"/>
  <c r="AJ12" i="54"/>
  <c r="AI14" i="54"/>
  <c r="AG21" i="54"/>
  <c r="AM21" i="54" s="1"/>
  <c r="AI21" i="54"/>
  <c r="W21" i="54"/>
  <c r="AI35" i="54"/>
  <c r="W35" i="54"/>
  <c r="AG35" i="54"/>
  <c r="AM35" i="54" s="1"/>
  <c r="Z26" i="54"/>
  <c r="M33" i="2" s="1"/>
  <c r="AK4" i="54"/>
  <c r="AK8" i="54"/>
  <c r="AK12" i="54"/>
  <c r="W14" i="54"/>
  <c r="AG18" i="54"/>
  <c r="AM18" i="54" s="1"/>
  <c r="AI22" i="54"/>
  <c r="W22" i="54"/>
  <c r="AG22" i="54"/>
  <c r="AM22" i="54" s="1"/>
  <c r="S26" i="54"/>
  <c r="I33" i="2" s="1"/>
  <c r="AI19" i="54"/>
  <c r="W19" i="54"/>
  <c r="AI31" i="54"/>
  <c r="W31" i="54"/>
  <c r="AG31" i="54"/>
  <c r="AM31" i="54" s="1"/>
  <c r="AJ16" i="54"/>
  <c r="AJ20" i="54"/>
  <c r="AJ24" i="54"/>
  <c r="AK28" i="54"/>
  <c r="W29" i="54"/>
  <c r="AI29" i="54"/>
  <c r="AG30" i="54"/>
  <c r="AM30" i="54" s="1"/>
  <c r="AK32" i="54"/>
  <c r="W33" i="54"/>
  <c r="AI33" i="54"/>
  <c r="AG34" i="54"/>
  <c r="AM34" i="54" s="1"/>
  <c r="AK36" i="54"/>
  <c r="W37" i="54"/>
  <c r="AI37" i="54"/>
  <c r="AG38" i="54"/>
  <c r="AM38" i="54" s="1"/>
  <c r="AK40" i="54"/>
  <c r="W41" i="54"/>
  <c r="AI41" i="54"/>
  <c r="AG42" i="54"/>
  <c r="AM42" i="54" s="1"/>
  <c r="AK44" i="54"/>
  <c r="W45" i="54"/>
  <c r="AI45" i="54"/>
  <c r="AG46" i="54"/>
  <c r="AM46" i="54" s="1"/>
  <c r="AJ29" i="54"/>
  <c r="AJ33" i="54"/>
  <c r="AJ37" i="54"/>
  <c r="AJ41" i="54"/>
  <c r="AJ45" i="54"/>
  <c r="AJ13" i="54"/>
  <c r="AJ17" i="54"/>
  <c r="AJ21" i="54"/>
  <c r="W30" i="54"/>
  <c r="AI30" i="54"/>
  <c r="W34" i="54"/>
  <c r="AI34" i="54"/>
  <c r="W38" i="54"/>
  <c r="AI38" i="54"/>
  <c r="W42" i="54"/>
  <c r="AI42" i="54"/>
  <c r="W46" i="54"/>
  <c r="AI46" i="54"/>
  <c r="S49" i="54"/>
  <c r="I34" i="2" s="1"/>
  <c r="AJ30" i="54"/>
  <c r="AJ34" i="54"/>
  <c r="AJ38" i="54"/>
  <c r="AJ42" i="54"/>
  <c r="AJ46" i="54"/>
  <c r="AJ31" i="54"/>
  <c r="AJ35" i="54"/>
  <c r="AJ39" i="54"/>
  <c r="AJ43" i="54"/>
  <c r="AJ47" i="54"/>
  <c r="AK31" i="54"/>
  <c r="AK35" i="54"/>
  <c r="AK39" i="54"/>
  <c r="AK43" i="54"/>
  <c r="AK47" i="54"/>
  <c r="AJ28" i="54"/>
  <c r="AI4" i="53"/>
  <c r="W4" i="53"/>
  <c r="O4" i="53"/>
  <c r="AG14" i="53"/>
  <c r="AI15" i="53"/>
  <c r="W15" i="53"/>
  <c r="O15" i="53"/>
  <c r="AG15" i="53"/>
  <c r="AK6" i="53"/>
  <c r="AK8" i="53"/>
  <c r="U12" i="53"/>
  <c r="AG12" i="53" s="1"/>
  <c r="AI12" i="53"/>
  <c r="AI14" i="53"/>
  <c r="W14" i="53"/>
  <c r="O14" i="53"/>
  <c r="AJ15" i="53"/>
  <c r="AG17" i="53"/>
  <c r="AM17" i="53" s="1"/>
  <c r="AI18" i="53"/>
  <c r="W18" i="53"/>
  <c r="O18" i="53"/>
  <c r="AG18" i="53"/>
  <c r="AM18" i="53" s="1"/>
  <c r="AI23" i="53"/>
  <c r="W23" i="53"/>
  <c r="O23" i="53"/>
  <c r="AG23" i="53"/>
  <c r="AM23" i="53" s="1"/>
  <c r="AG33" i="53"/>
  <c r="AI33" i="53"/>
  <c r="AI47" i="53"/>
  <c r="W47" i="53"/>
  <c r="O47" i="53"/>
  <c r="AG47" i="53"/>
  <c r="AM47" i="53" s="1"/>
  <c r="AG13" i="53"/>
  <c r="AI19" i="53"/>
  <c r="W19" i="53"/>
  <c r="O19" i="53"/>
  <c r="AG19" i="53"/>
  <c r="AM19" i="53" s="1"/>
  <c r="AG29" i="53"/>
  <c r="AM29" i="53" s="1"/>
  <c r="AI29" i="53"/>
  <c r="P26" i="53"/>
  <c r="X26" i="53"/>
  <c r="AJ3" i="53"/>
  <c r="AG9" i="53"/>
  <c r="AM9" i="53" s="1"/>
  <c r="W12" i="53"/>
  <c r="AI22" i="53"/>
  <c r="W22" i="53"/>
  <c r="O22" i="53"/>
  <c r="AG22" i="53"/>
  <c r="AM22" i="53" s="1"/>
  <c r="AK24" i="53"/>
  <c r="AH25" i="53"/>
  <c r="Q26" i="53"/>
  <c r="AG8" i="53"/>
  <c r="AI11" i="53"/>
  <c r="W11" i="53"/>
  <c r="O11" i="53"/>
  <c r="AG11" i="53"/>
  <c r="AI13" i="53"/>
  <c r="AK20" i="53"/>
  <c r="I49" i="53"/>
  <c r="I51" i="53" s="1"/>
  <c r="I59" i="53" s="1"/>
  <c r="J59" i="53" s="1"/>
  <c r="AI34" i="53"/>
  <c r="W34" i="53"/>
  <c r="O34" i="53"/>
  <c r="AI38" i="53"/>
  <c r="W38" i="53"/>
  <c r="O38" i="53"/>
  <c r="AI42" i="53"/>
  <c r="W42" i="53"/>
  <c r="O42" i="53"/>
  <c r="AI9" i="53"/>
  <c r="O12" i="53"/>
  <c r="AI30" i="53"/>
  <c r="W30" i="53"/>
  <c r="O30" i="53"/>
  <c r="AI36" i="53"/>
  <c r="W36" i="53"/>
  <c r="O36" i="53"/>
  <c r="AG36" i="53"/>
  <c r="AM36" i="53" s="1"/>
  <c r="AI40" i="53"/>
  <c r="W40" i="53"/>
  <c r="O40" i="53"/>
  <c r="AG40" i="53"/>
  <c r="AM40" i="53" s="1"/>
  <c r="AI44" i="53"/>
  <c r="W44" i="53"/>
  <c r="O44" i="53"/>
  <c r="AG44" i="53"/>
  <c r="Q49" i="53"/>
  <c r="AJ4" i="53"/>
  <c r="AK4" i="53"/>
  <c r="O5" i="53"/>
  <c r="W5" i="53"/>
  <c r="AI5" i="53"/>
  <c r="AJ5" i="53"/>
  <c r="AI8" i="53"/>
  <c r="AJ9" i="53"/>
  <c r="W29" i="53"/>
  <c r="AI32" i="53"/>
  <c r="W32" i="53"/>
  <c r="O32" i="53"/>
  <c r="AG32" i="53"/>
  <c r="AM32" i="53" s="1"/>
  <c r="Z26" i="53"/>
  <c r="S26" i="53"/>
  <c r="T26" i="53"/>
  <c r="O8" i="53"/>
  <c r="O9" i="53"/>
  <c r="W9" i="53"/>
  <c r="O13" i="53"/>
  <c r="W13" i="53"/>
  <c r="AG21" i="53"/>
  <c r="AM21" i="53" s="1"/>
  <c r="AI21" i="53"/>
  <c r="W21" i="53"/>
  <c r="O21" i="53"/>
  <c r="AJ23" i="53"/>
  <c r="AI28" i="53"/>
  <c r="W28" i="53"/>
  <c r="O28" i="53"/>
  <c r="AG28" i="53"/>
  <c r="R49" i="53"/>
  <c r="AJ29" i="53"/>
  <c r="AJ33" i="53"/>
  <c r="AJ37" i="53"/>
  <c r="AJ41" i="53"/>
  <c r="AJ45" i="53"/>
  <c r="AJ13" i="53"/>
  <c r="AK29" i="53"/>
  <c r="AG31" i="53"/>
  <c r="AM31" i="53" s="1"/>
  <c r="AK33" i="53"/>
  <c r="AG35" i="53"/>
  <c r="AM35" i="53" s="1"/>
  <c r="AG39" i="53"/>
  <c r="AG43" i="53"/>
  <c r="AM43" i="53" s="1"/>
  <c r="O46" i="53"/>
  <c r="W46" i="53"/>
  <c r="AI46" i="53"/>
  <c r="S49" i="53"/>
  <c r="AJ30" i="53"/>
  <c r="AJ34" i="53"/>
  <c r="AJ38" i="53"/>
  <c r="AJ42" i="53"/>
  <c r="AJ46" i="53"/>
  <c r="AJ14" i="53"/>
  <c r="AJ18" i="53"/>
  <c r="AJ22" i="53"/>
  <c r="AK30" i="53"/>
  <c r="O31" i="53"/>
  <c r="W31" i="53"/>
  <c r="AI31" i="53"/>
  <c r="AK34" i="53"/>
  <c r="O35" i="53"/>
  <c r="W35" i="53"/>
  <c r="AI35" i="53"/>
  <c r="AK38" i="53"/>
  <c r="O39" i="53"/>
  <c r="W39" i="53"/>
  <c r="AI39" i="53"/>
  <c r="AK42" i="53"/>
  <c r="O43" i="53"/>
  <c r="W43" i="53"/>
  <c r="AI43" i="53"/>
  <c r="AK14" i="53"/>
  <c r="AJ31" i="53"/>
  <c r="AJ35" i="53"/>
  <c r="AJ39" i="53"/>
  <c r="AJ43" i="53"/>
  <c r="AJ47" i="53"/>
  <c r="AK47" i="53"/>
  <c r="AJ28" i="53"/>
  <c r="AI14" i="52"/>
  <c r="W14" i="52"/>
  <c r="O14" i="52"/>
  <c r="AG14" i="52"/>
  <c r="AG6" i="52"/>
  <c r="AI6" i="52"/>
  <c r="W6" i="52"/>
  <c r="O6" i="52"/>
  <c r="AG11" i="52"/>
  <c r="O11" i="52"/>
  <c r="W11" i="52"/>
  <c r="AI11" i="52"/>
  <c r="AI7" i="52"/>
  <c r="W7" i="52"/>
  <c r="O7" i="52"/>
  <c r="AG7" i="52"/>
  <c r="AI8" i="52"/>
  <c r="W8" i="52"/>
  <c r="O8" i="52"/>
  <c r="AG8" i="52"/>
  <c r="U15" i="52"/>
  <c r="U23" i="52"/>
  <c r="AJ24" i="52"/>
  <c r="AI31" i="52"/>
  <c r="W31" i="52"/>
  <c r="O31" i="52"/>
  <c r="AI35" i="52"/>
  <c r="W35" i="52"/>
  <c r="O35" i="52"/>
  <c r="AI39" i="52"/>
  <c r="W39" i="52"/>
  <c r="O39" i="52"/>
  <c r="AI43" i="52"/>
  <c r="W43" i="52"/>
  <c r="O43" i="52"/>
  <c r="AI47" i="52"/>
  <c r="W47" i="52"/>
  <c r="O47" i="52"/>
  <c r="AJ5" i="52"/>
  <c r="AG20" i="52"/>
  <c r="AM20" i="52" s="1"/>
  <c r="AK21" i="52"/>
  <c r="AK25" i="52" s="1"/>
  <c r="AG24" i="52"/>
  <c r="AM24" i="52" s="1"/>
  <c r="AJ6" i="52"/>
  <c r="AJ16" i="52"/>
  <c r="AI20" i="52"/>
  <c r="P49" i="52"/>
  <c r="AK28" i="52"/>
  <c r="AJ29" i="52"/>
  <c r="AG17" i="52"/>
  <c r="AM17" i="52" s="1"/>
  <c r="AI18" i="52"/>
  <c r="W18" i="52"/>
  <c r="O18" i="52"/>
  <c r="Z49" i="52"/>
  <c r="AI17" i="52"/>
  <c r="AI24" i="52"/>
  <c r="AH48" i="52"/>
  <c r="I26" i="52"/>
  <c r="I51" i="52" s="1"/>
  <c r="I59" i="52" s="1"/>
  <c r="J59" i="52" s="1"/>
  <c r="U3" i="52"/>
  <c r="AH25" i="52"/>
  <c r="AG18" i="52"/>
  <c r="AM18" i="52" s="1"/>
  <c r="AJ12" i="52"/>
  <c r="AJ13" i="52"/>
  <c r="AJ15" i="52"/>
  <c r="AJ17" i="52"/>
  <c r="W20" i="52"/>
  <c r="AJ28" i="52"/>
  <c r="U29" i="52"/>
  <c r="AK29" i="52"/>
  <c r="S49" i="52"/>
  <c r="AJ3" i="52"/>
  <c r="W17" i="52"/>
  <c r="AG19" i="52"/>
  <c r="AM19" i="52" s="1"/>
  <c r="AJ21" i="52"/>
  <c r="W24" i="52"/>
  <c r="P26" i="52"/>
  <c r="AJ9" i="52"/>
  <c r="AG15" i="52"/>
  <c r="O17" i="52"/>
  <c r="U19" i="52"/>
  <c r="AG47" i="52"/>
  <c r="AM47" i="52" s="1"/>
  <c r="AK32" i="52"/>
  <c r="AG34" i="52"/>
  <c r="AM34" i="52" s="1"/>
  <c r="AK36" i="52"/>
  <c r="AG38" i="52"/>
  <c r="AM38" i="52" s="1"/>
  <c r="AK40" i="52"/>
  <c r="AG42" i="52"/>
  <c r="AM42" i="52" s="1"/>
  <c r="AK44" i="52"/>
  <c r="AG46" i="52"/>
  <c r="AM46" i="52" s="1"/>
  <c r="AJ33" i="52"/>
  <c r="AJ37" i="52"/>
  <c r="AJ41" i="52"/>
  <c r="AJ45" i="52"/>
  <c r="AJ30" i="52"/>
  <c r="AJ34" i="52"/>
  <c r="AJ38" i="52"/>
  <c r="AJ42" i="52"/>
  <c r="AJ46" i="52"/>
  <c r="AJ18" i="52"/>
  <c r="AJ22" i="52"/>
  <c r="AG32" i="52"/>
  <c r="AM32" i="52" s="1"/>
  <c r="AG36" i="52"/>
  <c r="AM36" i="52" s="1"/>
  <c r="AG40" i="52"/>
  <c r="AM40" i="52" s="1"/>
  <c r="AG44" i="52"/>
  <c r="AJ31" i="52"/>
  <c r="AJ35" i="52"/>
  <c r="AJ39" i="52"/>
  <c r="AJ43" i="52"/>
  <c r="AJ47" i="52"/>
  <c r="AK31" i="52"/>
  <c r="O32" i="52"/>
  <c r="W32" i="52"/>
  <c r="AK35" i="52"/>
  <c r="O36" i="52"/>
  <c r="W36" i="52"/>
  <c r="AK39" i="52"/>
  <c r="O40" i="52"/>
  <c r="W40" i="52"/>
  <c r="AK43" i="52"/>
  <c r="O44" i="52"/>
  <c r="W44" i="52"/>
  <c r="AK47" i="52"/>
  <c r="AI8" i="51"/>
  <c r="W8" i="51"/>
  <c r="O8" i="51"/>
  <c r="AG8" i="51"/>
  <c r="AI7" i="51"/>
  <c r="W7" i="51"/>
  <c r="O7" i="51"/>
  <c r="AI11" i="51"/>
  <c r="W11" i="51"/>
  <c r="AG11" i="51"/>
  <c r="O11" i="51"/>
  <c r="AG14" i="51"/>
  <c r="AI4" i="51"/>
  <c r="W4" i="51"/>
  <c r="O4" i="51"/>
  <c r="AG4" i="51"/>
  <c r="AG3" i="51"/>
  <c r="AI3" i="51"/>
  <c r="W3" i="51"/>
  <c r="O3" i="51"/>
  <c r="AJ10" i="51"/>
  <c r="AK10" i="51"/>
  <c r="AG21" i="51"/>
  <c r="AM21" i="51" s="1"/>
  <c r="AI21" i="51"/>
  <c r="W21" i="51"/>
  <c r="O21" i="51"/>
  <c r="AI47" i="51"/>
  <c r="W47" i="51"/>
  <c r="O47" i="51"/>
  <c r="AG47" i="51"/>
  <c r="AM47" i="51" s="1"/>
  <c r="AJ6" i="51"/>
  <c r="AH25" i="51"/>
  <c r="AJ11" i="51"/>
  <c r="AI35" i="51"/>
  <c r="W35" i="51"/>
  <c r="O35" i="51"/>
  <c r="AG35" i="51"/>
  <c r="AM35" i="51" s="1"/>
  <c r="AI19" i="51"/>
  <c r="W19" i="51"/>
  <c r="O19" i="51"/>
  <c r="J58" i="51"/>
  <c r="P26" i="51"/>
  <c r="X26" i="51"/>
  <c r="AJ3" i="51"/>
  <c r="AG5" i="51"/>
  <c r="AM5" i="51" s="1"/>
  <c r="AK7" i="51"/>
  <c r="AG9" i="51"/>
  <c r="AI31" i="51"/>
  <c r="W31" i="51"/>
  <c r="O31" i="51"/>
  <c r="AG31" i="51"/>
  <c r="AM31" i="51" s="1"/>
  <c r="AJ7" i="51"/>
  <c r="AJ4" i="51"/>
  <c r="AJ8" i="51"/>
  <c r="AI14" i="51"/>
  <c r="AI22" i="51"/>
  <c r="W22" i="51"/>
  <c r="O22" i="51"/>
  <c r="AG22" i="51"/>
  <c r="AM22" i="51" s="1"/>
  <c r="Z26" i="51"/>
  <c r="AK4" i="51"/>
  <c r="O5" i="51"/>
  <c r="W5" i="51"/>
  <c r="AG6" i="51"/>
  <c r="AK8" i="51"/>
  <c r="O9" i="51"/>
  <c r="W9" i="51"/>
  <c r="AG10" i="51"/>
  <c r="W14" i="51"/>
  <c r="AG15" i="51"/>
  <c r="AI43" i="51"/>
  <c r="W43" i="51"/>
  <c r="O43" i="51"/>
  <c r="AG43" i="51"/>
  <c r="AM43" i="51" s="1"/>
  <c r="J60" i="51"/>
  <c r="AJ5" i="51"/>
  <c r="AI20" i="51"/>
  <c r="W20" i="51"/>
  <c r="O20" i="51"/>
  <c r="AG20" i="51"/>
  <c r="AM20" i="51" s="1"/>
  <c r="AI23" i="51"/>
  <c r="W23" i="51"/>
  <c r="O23" i="51"/>
  <c r="AG23" i="51"/>
  <c r="AM23" i="51" s="1"/>
  <c r="Q26" i="51"/>
  <c r="Q51" i="51" s="1"/>
  <c r="T26" i="51"/>
  <c r="O6" i="51"/>
  <c r="W6" i="51"/>
  <c r="O10" i="51"/>
  <c r="W10" i="51"/>
  <c r="O14" i="51"/>
  <c r="AI15" i="51"/>
  <c r="W18" i="51"/>
  <c r="AI24" i="51"/>
  <c r="W24" i="51"/>
  <c r="O24" i="51"/>
  <c r="AG24" i="51"/>
  <c r="AM24" i="51" s="1"/>
  <c r="AG33" i="51"/>
  <c r="AI39" i="51"/>
  <c r="W39" i="51"/>
  <c r="O39" i="51"/>
  <c r="AG39" i="51"/>
  <c r="AJ16" i="51"/>
  <c r="AJ20" i="51"/>
  <c r="AJ24" i="51"/>
  <c r="AK28" i="51"/>
  <c r="O29" i="51"/>
  <c r="W29" i="51"/>
  <c r="AI29" i="51"/>
  <c r="AG30" i="51"/>
  <c r="AM30" i="51" s="1"/>
  <c r="AK32" i="51"/>
  <c r="O33" i="51"/>
  <c r="W33" i="51"/>
  <c r="AI33" i="51"/>
  <c r="AG34" i="51"/>
  <c r="AM34" i="51" s="1"/>
  <c r="AK36" i="51"/>
  <c r="O37" i="51"/>
  <c r="W37" i="51"/>
  <c r="AI37" i="51"/>
  <c r="AG38" i="51"/>
  <c r="AM38" i="51" s="1"/>
  <c r="AK40" i="51"/>
  <c r="O41" i="51"/>
  <c r="W41" i="51"/>
  <c r="AI41" i="51"/>
  <c r="AG42" i="51"/>
  <c r="AM42" i="51" s="1"/>
  <c r="AK44" i="51"/>
  <c r="AJ29" i="51"/>
  <c r="AJ33" i="51"/>
  <c r="AJ37" i="51"/>
  <c r="AJ41" i="51"/>
  <c r="AJ45" i="51"/>
  <c r="AJ13" i="51"/>
  <c r="AJ17" i="51"/>
  <c r="AJ21" i="51"/>
  <c r="O30" i="51"/>
  <c r="W30" i="51"/>
  <c r="AI30" i="51"/>
  <c r="O34" i="51"/>
  <c r="W34" i="51"/>
  <c r="AI34" i="51"/>
  <c r="O38" i="51"/>
  <c r="W38" i="51"/>
  <c r="AI38" i="51"/>
  <c r="O42" i="51"/>
  <c r="W42" i="51"/>
  <c r="AI42" i="51"/>
  <c r="O46" i="51"/>
  <c r="W46" i="51"/>
  <c r="AI46" i="51"/>
  <c r="S49" i="51"/>
  <c r="AJ30" i="51"/>
  <c r="AJ34" i="51"/>
  <c r="AJ38" i="51"/>
  <c r="AJ42" i="51"/>
  <c r="AJ46" i="51"/>
  <c r="AJ31" i="51"/>
  <c r="AJ35" i="51"/>
  <c r="AJ39" i="51"/>
  <c r="AJ43" i="51"/>
  <c r="AJ47" i="51"/>
  <c r="AK31" i="51"/>
  <c r="AK35" i="51"/>
  <c r="AK39" i="51"/>
  <c r="AK43" i="51"/>
  <c r="AK47" i="51"/>
  <c r="AJ28" i="51"/>
  <c r="AD7" i="74"/>
  <c r="AE7" i="74" s="1"/>
  <c r="AD14" i="74"/>
  <c r="AI8" i="50"/>
  <c r="AG10" i="50"/>
  <c r="AI10" i="50"/>
  <c r="AD4" i="74"/>
  <c r="AE4" i="74" s="1"/>
  <c r="AD10" i="74"/>
  <c r="AK5" i="50"/>
  <c r="AK9" i="50"/>
  <c r="AG12" i="50"/>
  <c r="AM12" i="50" s="1"/>
  <c r="AI14" i="50"/>
  <c r="AI20" i="50"/>
  <c r="AI23" i="50"/>
  <c r="AG23" i="50"/>
  <c r="AM23" i="50" s="1"/>
  <c r="AD40" i="74"/>
  <c r="AG45" i="50"/>
  <c r="AJ6" i="50"/>
  <c r="AG15" i="50"/>
  <c r="AI18" i="50"/>
  <c r="AG21" i="50"/>
  <c r="AM21" i="50" s="1"/>
  <c r="AI21" i="50"/>
  <c r="AD23" i="74"/>
  <c r="AH25" i="50"/>
  <c r="AI7" i="50"/>
  <c r="AI24" i="50"/>
  <c r="AG24" i="50"/>
  <c r="AD32" i="74"/>
  <c r="AD41" i="74"/>
  <c r="AI47" i="50"/>
  <c r="AJ7" i="50"/>
  <c r="AD24" i="74"/>
  <c r="AE24" i="74" s="1"/>
  <c r="AI43" i="50"/>
  <c r="AG43" i="50"/>
  <c r="AM43" i="50" s="1"/>
  <c r="U3" i="50"/>
  <c r="AJ3" i="50"/>
  <c r="AD18" i="74"/>
  <c r="AI39" i="50"/>
  <c r="AJ4" i="50"/>
  <c r="AJ8" i="50"/>
  <c r="AI13" i="50"/>
  <c r="AI22" i="50"/>
  <c r="AI35" i="50"/>
  <c r="AG35" i="50"/>
  <c r="AM35" i="50" s="1"/>
  <c r="O3" i="50"/>
  <c r="AK8" i="50"/>
  <c r="AG14" i="50"/>
  <c r="AI19" i="50"/>
  <c r="AG19" i="50"/>
  <c r="AM19" i="50" s="1"/>
  <c r="AI31" i="50"/>
  <c r="AG31" i="50"/>
  <c r="AM31" i="50" s="1"/>
  <c r="AD34" i="74"/>
  <c r="AD39" i="74"/>
  <c r="J60" i="50"/>
  <c r="AI11" i="50"/>
  <c r="AK28" i="50"/>
  <c r="AI29" i="50"/>
  <c r="AG30" i="50"/>
  <c r="AK32" i="50"/>
  <c r="AI33" i="50"/>
  <c r="AG34" i="50"/>
  <c r="AK36" i="50"/>
  <c r="AI37" i="50"/>
  <c r="AK40" i="50"/>
  <c r="AI41" i="50"/>
  <c r="AG42" i="50"/>
  <c r="AM42" i="50" s="1"/>
  <c r="AK44" i="50"/>
  <c r="AI45" i="50"/>
  <c r="AG46" i="50"/>
  <c r="AM46" i="50" s="1"/>
  <c r="AJ29" i="50"/>
  <c r="AJ33" i="50"/>
  <c r="AJ37" i="50"/>
  <c r="AJ41" i="50"/>
  <c r="AJ45" i="50"/>
  <c r="AJ13" i="50"/>
  <c r="AJ17" i="50"/>
  <c r="AJ21" i="50"/>
  <c r="AI30" i="50"/>
  <c r="AI34" i="50"/>
  <c r="AI38" i="50"/>
  <c r="AI42" i="50"/>
  <c r="AI46" i="50"/>
  <c r="AJ30" i="50"/>
  <c r="AJ34" i="50"/>
  <c r="AJ38" i="50"/>
  <c r="AJ42" i="50"/>
  <c r="AJ46" i="50"/>
  <c r="AG28" i="50"/>
  <c r="AG32" i="50"/>
  <c r="AM32" i="50" s="1"/>
  <c r="AG36" i="50"/>
  <c r="AJ31" i="50"/>
  <c r="AJ35" i="50"/>
  <c r="AJ39" i="50"/>
  <c r="AJ43" i="50"/>
  <c r="AJ47" i="50"/>
  <c r="AK31" i="50"/>
  <c r="AK35" i="50"/>
  <c r="AK39" i="50"/>
  <c r="AK43" i="50"/>
  <c r="AK47" i="50"/>
  <c r="AJ28" i="50"/>
  <c r="T29" i="40"/>
  <c r="U29" i="40" s="1"/>
  <c r="X29" i="40"/>
  <c r="X49" i="40" s="1"/>
  <c r="Y3" i="40"/>
  <c r="X6" i="40"/>
  <c r="X26" i="40" s="1"/>
  <c r="J30" i="42"/>
  <c r="J35" i="42"/>
  <c r="J36" i="42"/>
  <c r="J37" i="42"/>
  <c r="J31" i="42"/>
  <c r="J32" i="42"/>
  <c r="J38" i="42"/>
  <c r="J39" i="42"/>
  <c r="J40" i="42"/>
  <c r="J41" i="42"/>
  <c r="J33" i="42"/>
  <c r="J42" i="42"/>
  <c r="J43" i="42"/>
  <c r="J44" i="42"/>
  <c r="J45" i="42"/>
  <c r="J46" i="42"/>
  <c r="J47" i="42"/>
  <c r="J48" i="42"/>
  <c r="J49" i="42"/>
  <c r="J34" i="42"/>
  <c r="J11" i="42"/>
  <c r="J12" i="42"/>
  <c r="J4" i="42"/>
  <c r="J8" i="42"/>
  <c r="J9" i="42"/>
  <c r="J13" i="42"/>
  <c r="J10" i="42"/>
  <c r="J14" i="42"/>
  <c r="J15" i="42"/>
  <c r="J7" i="42"/>
  <c r="J16" i="42"/>
  <c r="J6" i="42"/>
  <c r="J17" i="42"/>
  <c r="J18" i="42"/>
  <c r="J19" i="42"/>
  <c r="J20" i="42"/>
  <c r="J21" i="42"/>
  <c r="J22" i="42"/>
  <c r="J23" i="42"/>
  <c r="J24" i="42"/>
  <c r="J25" i="42"/>
  <c r="J5" i="42"/>
  <c r="J36" i="39"/>
  <c r="J37" i="39"/>
  <c r="J38" i="39"/>
  <c r="J39" i="39"/>
  <c r="J31" i="39"/>
  <c r="J40" i="39"/>
  <c r="J41" i="39"/>
  <c r="J42" i="39"/>
  <c r="J32" i="39"/>
  <c r="J43" i="39"/>
  <c r="J30" i="39"/>
  <c r="J44" i="39"/>
  <c r="J45" i="39"/>
  <c r="J46" i="39"/>
  <c r="J47" i="39"/>
  <c r="J33" i="39"/>
  <c r="J34" i="39"/>
  <c r="J48" i="39"/>
  <c r="J49" i="39"/>
  <c r="J35" i="39"/>
  <c r="J11" i="39"/>
  <c r="J12" i="39"/>
  <c r="J4" i="39"/>
  <c r="J13" i="39"/>
  <c r="J14" i="39"/>
  <c r="J15" i="39"/>
  <c r="J6" i="39"/>
  <c r="J8" i="39"/>
  <c r="J16" i="39"/>
  <c r="J7" i="39"/>
  <c r="J9" i="39"/>
  <c r="J10" i="39"/>
  <c r="J17" i="39"/>
  <c r="J18" i="39"/>
  <c r="J19" i="39"/>
  <c r="J20" i="39"/>
  <c r="J21" i="39"/>
  <c r="J22" i="39"/>
  <c r="J23" i="39"/>
  <c r="J24" i="39"/>
  <c r="J25" i="39"/>
  <c r="J5" i="39"/>
  <c r="AL4" i="74" l="1" a="1"/>
  <c r="AL4" i="74" s="1"/>
  <c r="AM4" i="74" s="1"/>
  <c r="C8" i="75"/>
  <c r="AL7" i="74" a="1"/>
  <c r="AL7" i="74" s="1"/>
  <c r="AP7" i="74" s="1"/>
  <c r="C5" i="75"/>
  <c r="AL24" i="74" a="1"/>
  <c r="AL24" i="74" s="1"/>
  <c r="AP24" i="74" s="1"/>
  <c r="C13" i="75"/>
  <c r="M34" i="75"/>
  <c r="L35" i="75"/>
  <c r="M8" i="75"/>
  <c r="L11" i="75"/>
  <c r="L9" i="75"/>
  <c r="AD16" i="74"/>
  <c r="AE16" i="74" s="1"/>
  <c r="AG22" i="50"/>
  <c r="AD6" i="74"/>
  <c r="AE6" i="74" s="1"/>
  <c r="AD21" i="74"/>
  <c r="AD30" i="74"/>
  <c r="AD31" i="74"/>
  <c r="AE23" i="74"/>
  <c r="U49" i="50"/>
  <c r="V31" i="50" s="1"/>
  <c r="AG44" i="50"/>
  <c r="AD33" i="74"/>
  <c r="AD37" i="74"/>
  <c r="AE19" i="50"/>
  <c r="C22" i="65" s="1"/>
  <c r="AD19" i="74"/>
  <c r="AE19" i="74" s="1"/>
  <c r="AD29" i="74"/>
  <c r="AE14" i="74"/>
  <c r="AD9" i="74"/>
  <c r="AE9" i="74" s="1"/>
  <c r="C21" i="75" s="1"/>
  <c r="Y46" i="50"/>
  <c r="AD42" i="74"/>
  <c r="Y7" i="50"/>
  <c r="AD43" i="74"/>
  <c r="AE13" i="74"/>
  <c r="AD44" i="74"/>
  <c r="AG39" i="50"/>
  <c r="AE15" i="50"/>
  <c r="AL15" i="50" s="1" a="1"/>
  <c r="AL15" i="50" s="1"/>
  <c r="AP15" i="50" s="1"/>
  <c r="AD15" i="74"/>
  <c r="AE15" i="74" s="1"/>
  <c r="AD36" i="74"/>
  <c r="AE14" i="50"/>
  <c r="C7" i="65" s="1"/>
  <c r="J26" i="65"/>
  <c r="K16" i="65" s="1"/>
  <c r="K49" i="65"/>
  <c r="M16" i="70"/>
  <c r="G7" i="72"/>
  <c r="G5" i="72"/>
  <c r="L11" i="72"/>
  <c r="M8" i="72"/>
  <c r="L9" i="72"/>
  <c r="G8" i="71"/>
  <c r="F33" i="71"/>
  <c r="E34" i="71"/>
  <c r="E8" i="71"/>
  <c r="F7" i="71"/>
  <c r="Q51" i="54"/>
  <c r="H33" i="2"/>
  <c r="AG15" i="54"/>
  <c r="AJ19" i="62"/>
  <c r="AI17" i="62"/>
  <c r="AK25" i="54"/>
  <c r="AG4" i="54"/>
  <c r="AG5" i="54"/>
  <c r="AJ8" i="62"/>
  <c r="AG10" i="54"/>
  <c r="AJ43" i="62"/>
  <c r="M35" i="72"/>
  <c r="L36" i="72"/>
  <c r="K34" i="2"/>
  <c r="AD11" i="54"/>
  <c r="AE11" i="54" s="1"/>
  <c r="AL11" i="54" s="1" a="1"/>
  <c r="AL11" i="54" s="1"/>
  <c r="AP11" i="54" s="1"/>
  <c r="AG31" i="62"/>
  <c r="AM31" i="62" s="1"/>
  <c r="AJ44" i="62"/>
  <c r="AJ41" i="62"/>
  <c r="AA53" i="62"/>
  <c r="AI45" i="62"/>
  <c r="AJ29" i="62"/>
  <c r="AG42" i="62"/>
  <c r="AM42" i="62" s="1"/>
  <c r="AJ21" i="62"/>
  <c r="AI39" i="62"/>
  <c r="AJ34" i="62"/>
  <c r="AB29" i="2"/>
  <c r="Z4" i="69" s="1"/>
  <c r="Y51" i="2"/>
  <c r="W4" i="69"/>
  <c r="L31" i="67"/>
  <c r="M31" i="67" s="1"/>
  <c r="G31" i="67" s="1"/>
  <c r="K33" i="2"/>
  <c r="Y58" i="2"/>
  <c r="G16" i="69" s="1"/>
  <c r="W4" i="68"/>
  <c r="E16" i="70"/>
  <c r="D9" i="1" s="1"/>
  <c r="W8" i="70"/>
  <c r="AA4" i="69"/>
  <c r="G26" i="70"/>
  <c r="D8" i="1" s="1"/>
  <c r="N69" i="2"/>
  <c r="G23" i="63" s="1"/>
  <c r="G6" i="1" s="1"/>
  <c r="K65" i="2"/>
  <c r="G15" i="68" s="1"/>
  <c r="AB27" i="2"/>
  <c r="Z4" i="68" s="1"/>
  <c r="AC27" i="2"/>
  <c r="AA4" i="68" s="1"/>
  <c r="N70" i="2"/>
  <c r="M23" i="63" s="1"/>
  <c r="G14" i="1" s="1"/>
  <c r="K66" i="2"/>
  <c r="M15" i="68" s="1"/>
  <c r="M16" i="69"/>
  <c r="AJ3" i="62"/>
  <c r="AJ31" i="62"/>
  <c r="AJ37" i="62"/>
  <c r="AG45" i="53"/>
  <c r="AJ22" i="62"/>
  <c r="Q51" i="53"/>
  <c r="AG5" i="53"/>
  <c r="AM5" i="53" s="1"/>
  <c r="AG4" i="53"/>
  <c r="AJ23" i="62"/>
  <c r="AJ24" i="62"/>
  <c r="AJ4" i="62"/>
  <c r="AJ36" i="62"/>
  <c r="AJ9" i="62"/>
  <c r="AJ14" i="62"/>
  <c r="AJ7" i="62"/>
  <c r="AJ28" i="62"/>
  <c r="AJ13" i="62"/>
  <c r="K51" i="62"/>
  <c r="M33" i="71"/>
  <c r="G33" i="71" s="1"/>
  <c r="L34" i="71"/>
  <c r="M12" i="71"/>
  <c r="L13" i="71"/>
  <c r="X65" i="2"/>
  <c r="L8" i="63"/>
  <c r="M70" i="2"/>
  <c r="M19" i="63" s="1"/>
  <c r="G11" i="1" s="1"/>
  <c r="G8" i="68"/>
  <c r="G22" i="63"/>
  <c r="G5" i="1" s="1"/>
  <c r="E23" i="69"/>
  <c r="L8" i="69"/>
  <c r="M22" i="63"/>
  <c r="G13" i="1" s="1"/>
  <c r="L8" i="68"/>
  <c r="E23" i="68"/>
  <c r="H8" i="69"/>
  <c r="E22" i="69"/>
  <c r="T69" i="2"/>
  <c r="U69" i="2"/>
  <c r="V69" i="2"/>
  <c r="AH13" i="2"/>
  <c r="O69" i="2"/>
  <c r="W69" i="2"/>
  <c r="AG13" i="2"/>
  <c r="P69" i="2"/>
  <c r="S69" i="2"/>
  <c r="Q69" i="2"/>
  <c r="I4" i="63"/>
  <c r="X70" i="2"/>
  <c r="V5" i="63"/>
  <c r="E22" i="68"/>
  <c r="H8" i="68"/>
  <c r="G8" i="69"/>
  <c r="H8" i="63"/>
  <c r="E19" i="69"/>
  <c r="K8" i="69"/>
  <c r="K8" i="63"/>
  <c r="E19" i="63"/>
  <c r="M69" i="2"/>
  <c r="E19" i="68"/>
  <c r="K8" i="68"/>
  <c r="K15" i="68"/>
  <c r="K15" i="69"/>
  <c r="P70" i="2"/>
  <c r="Q70" i="2"/>
  <c r="AI13" i="2"/>
  <c r="S70" i="2"/>
  <c r="T70" i="2"/>
  <c r="O70" i="2"/>
  <c r="W70" i="2"/>
  <c r="U70" i="2"/>
  <c r="I5" i="63"/>
  <c r="K15" i="63" s="1"/>
  <c r="V70" i="2"/>
  <c r="AI19" i="62"/>
  <c r="AI41" i="62"/>
  <c r="Q26" i="62"/>
  <c r="Q51" i="62" s="1"/>
  <c r="AI38" i="62"/>
  <c r="AI6" i="62"/>
  <c r="AJ46" i="62"/>
  <c r="AJ30" i="62"/>
  <c r="AJ39" i="62"/>
  <c r="AI9" i="62"/>
  <c r="AG17" i="62"/>
  <c r="AM17" i="62" s="1"/>
  <c r="AK25" i="62"/>
  <c r="AJ42" i="62"/>
  <c r="AI3" i="62"/>
  <c r="AJ6" i="62"/>
  <c r="AJ5" i="62"/>
  <c r="AJ38" i="62"/>
  <c r="AJ20" i="62"/>
  <c r="W23" i="52"/>
  <c r="AJ10" i="62"/>
  <c r="AI23" i="52"/>
  <c r="AG23" i="52"/>
  <c r="AM23" i="52" s="1"/>
  <c r="AJ47" i="62"/>
  <c r="AJ32" i="62"/>
  <c r="AJ18" i="62"/>
  <c r="AJ40" i="62"/>
  <c r="P26" i="62"/>
  <c r="AJ11" i="62"/>
  <c r="AI40" i="52"/>
  <c r="AG35" i="62"/>
  <c r="AM35" i="62" s="1"/>
  <c r="AG35" i="52"/>
  <c r="AM35" i="52" s="1"/>
  <c r="O15" i="52"/>
  <c r="W15" i="52"/>
  <c r="AI15" i="62"/>
  <c r="AG44" i="62"/>
  <c r="AI44" i="52"/>
  <c r="AG39" i="52"/>
  <c r="P49" i="62"/>
  <c r="L5" i="67"/>
  <c r="L32" i="67"/>
  <c r="E31" i="67"/>
  <c r="D26" i="67"/>
  <c r="E5" i="67"/>
  <c r="F5" i="67" s="1"/>
  <c r="L5" i="66"/>
  <c r="D26" i="66"/>
  <c r="E4" i="66"/>
  <c r="F4" i="66" s="1"/>
  <c r="E32" i="66"/>
  <c r="M30" i="66"/>
  <c r="L31" i="66"/>
  <c r="K11" i="65"/>
  <c r="K23" i="65"/>
  <c r="K38" i="65"/>
  <c r="K31" i="65"/>
  <c r="K39" i="65"/>
  <c r="K42" i="65"/>
  <c r="K35" i="65"/>
  <c r="K44" i="65"/>
  <c r="K45" i="65"/>
  <c r="K32" i="65"/>
  <c r="K36" i="65"/>
  <c r="K40" i="65"/>
  <c r="K47" i="65"/>
  <c r="K33" i="65"/>
  <c r="K37" i="65"/>
  <c r="K46" i="65"/>
  <c r="K41" i="65"/>
  <c r="K48" i="65"/>
  <c r="K30" i="65"/>
  <c r="K34" i="65"/>
  <c r="K24" i="65"/>
  <c r="K17" i="65"/>
  <c r="K14" i="65"/>
  <c r="K9" i="65"/>
  <c r="K19" i="65"/>
  <c r="K21" i="65"/>
  <c r="K10" i="65"/>
  <c r="K13" i="65"/>
  <c r="AE4" i="54"/>
  <c r="AL4" i="54" s="1" a="1"/>
  <c r="AL4" i="54" s="1"/>
  <c r="AP4" i="54" s="1"/>
  <c r="AE45" i="54"/>
  <c r="AL45" i="54" s="1" a="1"/>
  <c r="AL45" i="54" s="1"/>
  <c r="AP45" i="54" s="1"/>
  <c r="AE17" i="53"/>
  <c r="AL17" i="53" s="1" a="1"/>
  <c r="AL17" i="53" s="1"/>
  <c r="AN17" i="53" s="1"/>
  <c r="AE23" i="53"/>
  <c r="AL23" i="53" s="1" a="1"/>
  <c r="AL23" i="53" s="1"/>
  <c r="AP23" i="53" s="1"/>
  <c r="AE47" i="53"/>
  <c r="AL47" i="53" s="1" a="1"/>
  <c r="AL47" i="53" s="1"/>
  <c r="AN47" i="53" s="1"/>
  <c r="AE38" i="52"/>
  <c r="AL38" i="52" s="1" a="1"/>
  <c r="AL38" i="52" s="1"/>
  <c r="AP38" i="52" s="1"/>
  <c r="AE8" i="51"/>
  <c r="AL8" i="51" s="1" a="1"/>
  <c r="AL8" i="51" s="1"/>
  <c r="AN8" i="51" s="1"/>
  <c r="AE13" i="50"/>
  <c r="Y13" i="50"/>
  <c r="AD12" i="74"/>
  <c r="AE12" i="74" s="1"/>
  <c r="Y28" i="50"/>
  <c r="Y38" i="50"/>
  <c r="AG38" i="50"/>
  <c r="AG13" i="50"/>
  <c r="AG41" i="50"/>
  <c r="AM41" i="50" s="1"/>
  <c r="AI6" i="50"/>
  <c r="AI16" i="50"/>
  <c r="AG40" i="50"/>
  <c r="AM40" i="50" s="1"/>
  <c r="O6" i="50"/>
  <c r="O40" i="50"/>
  <c r="O44" i="50"/>
  <c r="AI44" i="50"/>
  <c r="AE16" i="50"/>
  <c r="AG16" i="50"/>
  <c r="J58" i="50"/>
  <c r="D26" i="64"/>
  <c r="E4" i="64"/>
  <c r="F4" i="64" s="1"/>
  <c r="K50" i="64"/>
  <c r="L30" i="64"/>
  <c r="M30" i="64" s="1"/>
  <c r="K26" i="64"/>
  <c r="L4" i="64"/>
  <c r="M4" i="64" s="1"/>
  <c r="D50" i="64"/>
  <c r="E30" i="64"/>
  <c r="F30" i="64" s="1"/>
  <c r="AD46" i="54"/>
  <c r="AE46" i="54" s="1"/>
  <c r="AL46" i="54" s="1" a="1"/>
  <c r="AL46" i="54" s="1"/>
  <c r="AP46" i="54" s="1"/>
  <c r="AE44" i="52"/>
  <c r="AL44" i="52" s="1" a="1"/>
  <c r="AL44" i="52" s="1"/>
  <c r="AP44" i="52" s="1"/>
  <c r="Y44" i="52"/>
  <c r="AD9" i="52"/>
  <c r="Y9" i="51"/>
  <c r="AD5" i="74"/>
  <c r="AE5" i="74" s="1"/>
  <c r="R49" i="50"/>
  <c r="Y11" i="51"/>
  <c r="O36" i="50"/>
  <c r="AI17" i="50"/>
  <c r="Y8" i="50"/>
  <c r="AD47" i="74"/>
  <c r="AG47" i="50"/>
  <c r="AD17" i="74"/>
  <c r="Y11" i="50"/>
  <c r="AM36" i="50"/>
  <c r="Y20" i="50"/>
  <c r="AD3" i="51"/>
  <c r="AE3" i="51" s="1"/>
  <c r="AL3" i="51" s="1"/>
  <c r="AN3" i="51" s="1"/>
  <c r="O5" i="50"/>
  <c r="O21" i="50"/>
  <c r="AI28" i="50"/>
  <c r="O17" i="50"/>
  <c r="W17" i="74"/>
  <c r="O4" i="50"/>
  <c r="AE4" i="50"/>
  <c r="O9" i="50"/>
  <c r="AK25" i="50"/>
  <c r="O18" i="50"/>
  <c r="O7" i="50"/>
  <c r="AE7" i="50"/>
  <c r="AI36" i="50"/>
  <c r="AG6" i="50"/>
  <c r="O10" i="50"/>
  <c r="AI32" i="50"/>
  <c r="AD42" i="51"/>
  <c r="AE42" i="51" s="1"/>
  <c r="AL42" i="51" s="1" a="1"/>
  <c r="AL42" i="51" s="1"/>
  <c r="AP42" i="51" s="1"/>
  <c r="Y30" i="51"/>
  <c r="Y46" i="53"/>
  <c r="Y19" i="53"/>
  <c r="AD36" i="53"/>
  <c r="AE36" i="53" s="1"/>
  <c r="AL36" i="53" s="1" a="1"/>
  <c r="AL36" i="53" s="1"/>
  <c r="AP36" i="53" s="1"/>
  <c r="Y8" i="51"/>
  <c r="AD44" i="54"/>
  <c r="AD17" i="52"/>
  <c r="AE17" i="52" s="1"/>
  <c r="AL17" i="52" s="1" a="1"/>
  <c r="AL17" i="52" s="1"/>
  <c r="AN17" i="52" s="1"/>
  <c r="T49" i="62"/>
  <c r="X49" i="62"/>
  <c r="S49" i="62"/>
  <c r="Y31" i="51"/>
  <c r="AE31" i="62"/>
  <c r="AD36" i="51"/>
  <c r="Z49" i="62"/>
  <c r="Y33" i="51"/>
  <c r="AD38" i="51"/>
  <c r="AE38" i="51" s="1"/>
  <c r="AL38" i="51" s="1" a="1"/>
  <c r="AL38" i="51" s="1"/>
  <c r="AP38" i="51" s="1"/>
  <c r="Y39" i="51"/>
  <c r="AD44" i="51"/>
  <c r="AD34" i="51"/>
  <c r="AE34" i="51" s="1"/>
  <c r="AL34" i="51" s="1" a="1"/>
  <c r="AL34" i="51" s="1"/>
  <c r="AP34" i="51" s="1"/>
  <c r="Y35" i="51"/>
  <c r="Y47" i="51"/>
  <c r="AD29" i="51"/>
  <c r="AE29" i="51" s="1"/>
  <c r="AL29" i="51" s="1" a="1"/>
  <c r="AL29" i="51" s="1"/>
  <c r="AN29" i="51" s="1"/>
  <c r="Y43" i="51"/>
  <c r="Y45" i="51"/>
  <c r="AG45" i="62"/>
  <c r="AD40" i="51"/>
  <c r="AD42" i="52"/>
  <c r="AE42" i="52" s="1"/>
  <c r="AL42" i="52" s="1" a="1"/>
  <c r="AL42" i="52" s="1"/>
  <c r="AP42" i="52" s="1"/>
  <c r="AD37" i="53"/>
  <c r="AE37" i="53" s="1"/>
  <c r="AL37" i="53" s="1" a="1"/>
  <c r="AL37" i="53" s="1"/>
  <c r="AP37" i="53" s="1"/>
  <c r="AD41" i="51"/>
  <c r="AE41" i="51" s="1"/>
  <c r="AL41" i="51" s="1" a="1"/>
  <c r="AL41" i="51" s="1"/>
  <c r="AN41" i="51" s="1"/>
  <c r="AG41" i="62"/>
  <c r="AD37" i="51"/>
  <c r="AE37" i="51" s="1"/>
  <c r="AL37" i="51" s="1" a="1"/>
  <c r="AL37" i="51" s="1"/>
  <c r="AP37" i="51" s="1"/>
  <c r="Y46" i="51"/>
  <c r="T26" i="62"/>
  <c r="AD28" i="51"/>
  <c r="S26" i="62"/>
  <c r="X26" i="62"/>
  <c r="Y21" i="51"/>
  <c r="Y14" i="51"/>
  <c r="AD10" i="51"/>
  <c r="AE10" i="51" s="1"/>
  <c r="AL10" i="51" s="1" a="1"/>
  <c r="AL10" i="51" s="1"/>
  <c r="AP10" i="51" s="1"/>
  <c r="Y23" i="51"/>
  <c r="AD16" i="51"/>
  <c r="Y24" i="51"/>
  <c r="Y5" i="51"/>
  <c r="AD6" i="51"/>
  <c r="AE6" i="51" s="1"/>
  <c r="AL6" i="51" s="1" a="1"/>
  <c r="AL6" i="51" s="1"/>
  <c r="AP6" i="51" s="1"/>
  <c r="AG6" i="62"/>
  <c r="Y19" i="51"/>
  <c r="AD20" i="51"/>
  <c r="AE20" i="51" s="1"/>
  <c r="AL20" i="51" s="1" a="1"/>
  <c r="AL20" i="51" s="1"/>
  <c r="AP20" i="51" s="1"/>
  <c r="AD15" i="51"/>
  <c r="AE15" i="51" s="1"/>
  <c r="AL15" i="51" s="1" a="1"/>
  <c r="AL15" i="51" s="1"/>
  <c r="AP15" i="51" s="1"/>
  <c r="AD12" i="51"/>
  <c r="Z26" i="62"/>
  <c r="AG9" i="62"/>
  <c r="Y7" i="51"/>
  <c r="Y22" i="51"/>
  <c r="Y4" i="51"/>
  <c r="Y17" i="51"/>
  <c r="AD18" i="51"/>
  <c r="AE18" i="51" s="1"/>
  <c r="AL18" i="51" s="1" a="1"/>
  <c r="AL18" i="51" s="1"/>
  <c r="AP18" i="51" s="1"/>
  <c r="Y13" i="51"/>
  <c r="Y28" i="52"/>
  <c r="AD45" i="51"/>
  <c r="AE45" i="51" s="1"/>
  <c r="AL45" i="51" s="1" a="1"/>
  <c r="AL45" i="51" s="1"/>
  <c r="AP45" i="51" s="1"/>
  <c r="AD31" i="51"/>
  <c r="AE31" i="51" s="1"/>
  <c r="AL31" i="51" s="1" a="1"/>
  <c r="AL31" i="51" s="1"/>
  <c r="AN31" i="51" s="1"/>
  <c r="Y16" i="51"/>
  <c r="AD24" i="51"/>
  <c r="AE24" i="51" s="1"/>
  <c r="AL24" i="51" s="1" a="1"/>
  <c r="AL24" i="51" s="1"/>
  <c r="AP24" i="51" s="1"/>
  <c r="AD46" i="51"/>
  <c r="AE46" i="51" s="1"/>
  <c r="AL46" i="51" s="1" a="1"/>
  <c r="AL46" i="51" s="1"/>
  <c r="AN46" i="51" s="1"/>
  <c r="AD33" i="51"/>
  <c r="AE33" i="51" s="1"/>
  <c r="AL33" i="51" s="1" a="1"/>
  <c r="AL33" i="51" s="1"/>
  <c r="AP33" i="51" s="1"/>
  <c r="AD7" i="51"/>
  <c r="AE7" i="51" s="1"/>
  <c r="AL7" i="51" s="1" a="1"/>
  <c r="AL7" i="51" s="1"/>
  <c r="AN7" i="51" s="1"/>
  <c r="Z51" i="53"/>
  <c r="Y12" i="51"/>
  <c r="AD47" i="51"/>
  <c r="AE47" i="51" s="1"/>
  <c r="AL47" i="51" s="1" a="1"/>
  <c r="AL47" i="51" s="1"/>
  <c r="AP47" i="51" s="1"/>
  <c r="Y30" i="52"/>
  <c r="AD19" i="51"/>
  <c r="AE19" i="51" s="1"/>
  <c r="AL19" i="51" s="1" a="1"/>
  <c r="AL19" i="51" s="1"/>
  <c r="AN19" i="51" s="1"/>
  <c r="Y44" i="51"/>
  <c r="AM38" i="62"/>
  <c r="Y37" i="51"/>
  <c r="Y23" i="53"/>
  <c r="AD34" i="53"/>
  <c r="AE34" i="53" s="1"/>
  <c r="AL34" i="53" s="1" a="1"/>
  <c r="AL34" i="53" s="1"/>
  <c r="AN34" i="53" s="1"/>
  <c r="AI40" i="62"/>
  <c r="AG40" i="62"/>
  <c r="AM40" i="62" s="1"/>
  <c r="AI8" i="62"/>
  <c r="AD39" i="52"/>
  <c r="AE39" i="52" s="1"/>
  <c r="AL39" i="52" s="1" a="1"/>
  <c r="AL39" i="52" s="1"/>
  <c r="AP39" i="52" s="1"/>
  <c r="AK48" i="62"/>
  <c r="AI13" i="62"/>
  <c r="AI5" i="62"/>
  <c r="I51" i="62"/>
  <c r="AI14" i="62"/>
  <c r="AM37" i="62"/>
  <c r="AI28" i="62"/>
  <c r="AG28" i="62"/>
  <c r="AG30" i="62"/>
  <c r="AM30" i="62" s="1"/>
  <c r="AI30" i="62"/>
  <c r="AI32" i="62"/>
  <c r="AG32" i="62"/>
  <c r="AM32" i="62" s="1"/>
  <c r="AM29" i="62"/>
  <c r="AG43" i="62"/>
  <c r="AM43" i="62" s="1"/>
  <c r="AI43" i="62"/>
  <c r="Y40" i="51"/>
  <c r="Y15" i="51"/>
  <c r="Y34" i="52"/>
  <c r="Y17" i="54"/>
  <c r="AI24" i="62"/>
  <c r="AG24" i="62"/>
  <c r="AI33" i="62"/>
  <c r="AG23" i="62"/>
  <c r="AM23" i="62" s="1"/>
  <c r="AI23" i="62"/>
  <c r="AD5" i="53"/>
  <c r="AE5" i="53" s="1"/>
  <c r="AL5" i="53" s="1" a="1"/>
  <c r="AL5" i="53" s="1"/>
  <c r="AP5" i="53" s="1"/>
  <c r="T51" i="52"/>
  <c r="AG18" i="62"/>
  <c r="AM18" i="62" s="1"/>
  <c r="AI18" i="62"/>
  <c r="AI20" i="62"/>
  <c r="AG20" i="62"/>
  <c r="AM20" i="62" s="1"/>
  <c r="AI11" i="62"/>
  <c r="AG11" i="62"/>
  <c r="AI4" i="62"/>
  <c r="Y21" i="54"/>
  <c r="AI22" i="62"/>
  <c r="AG22" i="62"/>
  <c r="AM22" i="62" s="1"/>
  <c r="AI16" i="62"/>
  <c r="AI12" i="62"/>
  <c r="AI10" i="62"/>
  <c r="AI36" i="62"/>
  <c r="AG36" i="62"/>
  <c r="AI21" i="62"/>
  <c r="AG21" i="62"/>
  <c r="AM21" i="62" s="1"/>
  <c r="AM34" i="62"/>
  <c r="AI7" i="62"/>
  <c r="AD13" i="51"/>
  <c r="AD21" i="51"/>
  <c r="AE21" i="51" s="1"/>
  <c r="AL21" i="51" s="1" a="1"/>
  <c r="AL21" i="51" s="1"/>
  <c r="AP21" i="51" s="1"/>
  <c r="AD35" i="51"/>
  <c r="AE35" i="51" s="1"/>
  <c r="AL35" i="51" s="1" a="1"/>
  <c r="AL35" i="51" s="1"/>
  <c r="AP35" i="51" s="1"/>
  <c r="Y36" i="54"/>
  <c r="V44" i="50"/>
  <c r="Y20" i="51"/>
  <c r="AM29" i="50"/>
  <c r="V41" i="50"/>
  <c r="V18" i="50"/>
  <c r="V22" i="50"/>
  <c r="V15" i="50"/>
  <c r="AE36" i="52"/>
  <c r="AL36" i="52" s="1" a="1"/>
  <c r="AL36" i="52" s="1"/>
  <c r="AN36" i="52" s="1"/>
  <c r="AD11" i="53"/>
  <c r="AE11" i="53" s="1"/>
  <c r="AL11" i="53" s="1" a="1"/>
  <c r="AL11" i="53" s="1"/>
  <c r="AP11" i="53" s="1"/>
  <c r="AD43" i="51"/>
  <c r="AE43" i="51" s="1"/>
  <c r="AL43" i="51" s="1" a="1"/>
  <c r="AL43" i="51" s="1"/>
  <c r="AP43" i="51" s="1"/>
  <c r="Z51" i="54"/>
  <c r="Z51" i="52"/>
  <c r="Y22" i="53"/>
  <c r="Y9" i="53"/>
  <c r="AD45" i="53"/>
  <c r="AE45" i="53" s="1"/>
  <c r="AL45" i="53" s="1" a="1"/>
  <c r="AL45" i="53" s="1"/>
  <c r="AP45" i="53" s="1"/>
  <c r="Y28" i="53"/>
  <c r="AD39" i="51"/>
  <c r="AL39" i="51" s="1" a="1"/>
  <c r="AL39" i="51" s="1"/>
  <c r="AP39" i="51" s="1"/>
  <c r="Y42" i="53"/>
  <c r="Y38" i="51"/>
  <c r="T51" i="51"/>
  <c r="AD21" i="52"/>
  <c r="Y38" i="54"/>
  <c r="AD9" i="54"/>
  <c r="AE9" i="54" s="1"/>
  <c r="AL9" i="54" s="1" a="1"/>
  <c r="AL9" i="54" s="1"/>
  <c r="AP9" i="54" s="1"/>
  <c r="Y36" i="52"/>
  <c r="AD31" i="52"/>
  <c r="AE31" i="52" s="1"/>
  <c r="AL31" i="52" s="1" a="1"/>
  <c r="AL31" i="52" s="1"/>
  <c r="AN31" i="52" s="1"/>
  <c r="T51" i="54"/>
  <c r="AD22" i="51"/>
  <c r="AE22" i="51" s="1"/>
  <c r="AL22" i="51" s="1" a="1"/>
  <c r="AL22" i="51" s="1"/>
  <c r="AN22" i="51" s="1"/>
  <c r="AD5" i="52"/>
  <c r="Y35" i="53"/>
  <c r="AD47" i="54"/>
  <c r="AE47" i="54" s="1"/>
  <c r="AL47" i="54" s="1" a="1"/>
  <c r="AL47" i="54" s="1"/>
  <c r="AP47" i="54" s="1"/>
  <c r="Y12" i="52"/>
  <c r="Y30" i="53"/>
  <c r="Y28" i="54"/>
  <c r="AD23" i="51"/>
  <c r="AE23" i="51" s="1"/>
  <c r="AL23" i="51" s="1" a="1"/>
  <c r="AL23" i="51" s="1"/>
  <c r="S51" i="51"/>
  <c r="AD38" i="53"/>
  <c r="AE38" i="53" s="1"/>
  <c r="AL38" i="53" s="1" a="1"/>
  <c r="AL38" i="53" s="1"/>
  <c r="AP38" i="53" s="1"/>
  <c r="AD13" i="52"/>
  <c r="AE40" i="52"/>
  <c r="AL40" i="52" s="1" a="1"/>
  <c r="AL40" i="52" s="1"/>
  <c r="AP40" i="52" s="1"/>
  <c r="Y32" i="52"/>
  <c r="AD32" i="53"/>
  <c r="AE32" i="53" s="1"/>
  <c r="AL32" i="53" s="1" a="1"/>
  <c r="AL32" i="53" s="1"/>
  <c r="AN32" i="53" s="1"/>
  <c r="Y34" i="51"/>
  <c r="T51" i="53"/>
  <c r="Y32" i="54"/>
  <c r="AE32" i="52"/>
  <c r="AL32" i="52" s="1" a="1"/>
  <c r="AL32" i="52" s="1"/>
  <c r="AP32" i="52" s="1"/>
  <c r="Y40" i="52"/>
  <c r="AD24" i="52"/>
  <c r="AE24" i="52" s="1"/>
  <c r="AL24" i="52" s="1" a="1"/>
  <c r="AL24" i="52" s="1"/>
  <c r="AN24" i="52" s="1"/>
  <c r="Z51" i="51"/>
  <c r="AD44" i="53"/>
  <c r="AE44" i="53" s="1"/>
  <c r="AL44" i="53" s="1" a="1"/>
  <c r="AL44" i="53" s="1"/>
  <c r="AP44" i="53" s="1"/>
  <c r="AD7" i="53"/>
  <c r="AD14" i="53"/>
  <c r="AE14" i="53" s="1"/>
  <c r="AL14" i="53" s="1" a="1"/>
  <c r="AL14" i="53" s="1"/>
  <c r="AP14" i="53" s="1"/>
  <c r="AD11" i="52"/>
  <c r="AE11" i="52" s="1"/>
  <c r="AL11" i="52" s="1" a="1"/>
  <c r="AL11" i="52" s="1"/>
  <c r="AP11" i="52" s="1"/>
  <c r="Y4" i="52"/>
  <c r="Y18" i="51"/>
  <c r="AD8" i="52"/>
  <c r="AE8" i="52" s="1"/>
  <c r="AL8" i="52" s="1" a="1"/>
  <c r="AL8" i="52" s="1"/>
  <c r="AN8" i="52" s="1"/>
  <c r="AE24" i="50"/>
  <c r="Y41" i="51"/>
  <c r="Y6" i="51"/>
  <c r="Y40" i="54"/>
  <c r="Y37" i="52"/>
  <c r="AD43" i="52"/>
  <c r="AE43" i="52" s="1"/>
  <c r="AL43" i="52" s="1" a="1"/>
  <c r="AL43" i="52" s="1"/>
  <c r="AN43" i="52" s="1"/>
  <c r="AE23" i="50"/>
  <c r="Y36" i="51"/>
  <c r="AD7" i="52"/>
  <c r="AE7" i="52" s="1"/>
  <c r="AL7" i="52" s="1" a="1"/>
  <c r="AL7" i="52" s="1"/>
  <c r="AM7" i="52" s="1"/>
  <c r="Y15" i="53"/>
  <c r="AD3" i="53"/>
  <c r="Y15" i="54"/>
  <c r="X51" i="51"/>
  <c r="Y29" i="51"/>
  <c r="AD35" i="52"/>
  <c r="AE35" i="52" s="1"/>
  <c r="AL35" i="52" s="1" a="1"/>
  <c r="AL35" i="52" s="1"/>
  <c r="AP35" i="52" s="1"/>
  <c r="Y6" i="52"/>
  <c r="AE15" i="53"/>
  <c r="AL15" i="53" s="1" a="1"/>
  <c r="AL15" i="53" s="1"/>
  <c r="AP15" i="53" s="1"/>
  <c r="AD42" i="54"/>
  <c r="AE42" i="54" s="1"/>
  <c r="AL42" i="54" s="1" a="1"/>
  <c r="AL42" i="54" s="1"/>
  <c r="AP42" i="54" s="1"/>
  <c r="AD14" i="51"/>
  <c r="AE14" i="51" s="1"/>
  <c r="AL14" i="51" s="1" a="1"/>
  <c r="AL14" i="51" s="1"/>
  <c r="AN14" i="51" s="1"/>
  <c r="U49" i="51"/>
  <c r="Y49" i="51" s="1"/>
  <c r="Y13" i="54"/>
  <c r="AD5" i="51"/>
  <c r="AE5" i="51" s="1"/>
  <c r="AL5" i="51" s="1" a="1"/>
  <c r="AL5" i="51" s="1"/>
  <c r="AP5" i="51" s="1"/>
  <c r="Y17" i="53"/>
  <c r="Y28" i="51"/>
  <c r="Y42" i="52"/>
  <c r="Y20" i="52"/>
  <c r="AD47" i="52"/>
  <c r="AE47" i="52" s="1"/>
  <c r="AL47" i="52" s="1" a="1"/>
  <c r="AL47" i="52" s="1"/>
  <c r="AN47" i="52" s="1"/>
  <c r="Y19" i="54"/>
  <c r="AD40" i="53"/>
  <c r="AE40" i="53" s="1"/>
  <c r="AL40" i="53" s="1" a="1"/>
  <c r="AL40" i="53" s="1"/>
  <c r="AP40" i="53" s="1"/>
  <c r="Y30" i="54"/>
  <c r="AD32" i="51"/>
  <c r="AD5" i="54"/>
  <c r="AE5" i="54" s="1"/>
  <c r="AL5" i="54" s="1" a="1"/>
  <c r="AL5" i="54" s="1"/>
  <c r="AN5" i="54" s="1"/>
  <c r="Y10" i="51"/>
  <c r="U26" i="51"/>
  <c r="Y16" i="52"/>
  <c r="Y32" i="51"/>
  <c r="AD46" i="52"/>
  <c r="AE46" i="52" s="1"/>
  <c r="AL46" i="52" s="1" a="1"/>
  <c r="AL46" i="52" s="1"/>
  <c r="AP46" i="52" s="1"/>
  <c r="S51" i="52"/>
  <c r="AD7" i="54"/>
  <c r="AE7" i="54" s="1"/>
  <c r="AL7" i="54" s="1" a="1"/>
  <c r="AL7" i="54" s="1"/>
  <c r="AP7" i="54" s="1"/>
  <c r="Y38" i="52"/>
  <c r="Y34" i="54"/>
  <c r="AD23" i="54"/>
  <c r="AE23" i="54" s="1"/>
  <c r="AL23" i="54" s="1" a="1"/>
  <c r="AL23" i="54" s="1"/>
  <c r="AP23" i="54" s="1"/>
  <c r="AE15" i="54"/>
  <c r="AL15" i="54" s="1" a="1"/>
  <c r="AL15" i="54" s="1"/>
  <c r="AP15" i="54" s="1"/>
  <c r="Y21" i="53"/>
  <c r="Y13" i="53"/>
  <c r="Y4" i="54"/>
  <c r="AD41" i="54"/>
  <c r="AE41" i="54" s="1"/>
  <c r="AL41" i="54" s="1" a="1"/>
  <c r="AL41" i="54" s="1"/>
  <c r="AP41" i="54" s="1"/>
  <c r="AD24" i="53"/>
  <c r="AD39" i="54"/>
  <c r="AE39" i="54" s="1"/>
  <c r="AL39" i="54" s="1" a="1"/>
  <c r="AL39" i="54" s="1"/>
  <c r="AP39" i="54" s="1"/>
  <c r="AD45" i="52"/>
  <c r="AD10" i="52"/>
  <c r="Y20" i="53"/>
  <c r="Y29" i="54"/>
  <c r="AD18" i="54"/>
  <c r="AE18" i="54" s="1"/>
  <c r="AL18" i="54" s="1" a="1"/>
  <c r="AL18" i="54" s="1"/>
  <c r="AP18" i="54" s="1"/>
  <c r="Y12" i="54"/>
  <c r="AD18" i="53"/>
  <c r="AE18" i="53" s="1"/>
  <c r="AL18" i="53" s="1" a="1"/>
  <c r="AL18" i="53" s="1"/>
  <c r="Y14" i="54"/>
  <c r="AE31" i="53"/>
  <c r="AL31" i="53" s="1" a="1"/>
  <c r="AL31" i="53" s="1"/>
  <c r="AN31" i="53" s="1"/>
  <c r="Y33" i="54"/>
  <c r="Y18" i="52"/>
  <c r="Y47" i="53"/>
  <c r="Y24" i="54"/>
  <c r="Y22" i="54"/>
  <c r="AD33" i="52"/>
  <c r="Y16" i="53"/>
  <c r="AD10" i="53"/>
  <c r="X51" i="52"/>
  <c r="AD43" i="53"/>
  <c r="AD4" i="53"/>
  <c r="AE4" i="53" s="1"/>
  <c r="AL4" i="53" s="1" a="1"/>
  <c r="AL4" i="53" s="1"/>
  <c r="AP4" i="53" s="1"/>
  <c r="AD39" i="53"/>
  <c r="AE39" i="53" s="1"/>
  <c r="AL39" i="53" s="1" a="1"/>
  <c r="AL39" i="53" s="1"/>
  <c r="AP39" i="53" s="1"/>
  <c r="Y37" i="54"/>
  <c r="Y29" i="53"/>
  <c r="AE19" i="54"/>
  <c r="AL19" i="54" s="1" a="1"/>
  <c r="AL19" i="54" s="1"/>
  <c r="AP19" i="54" s="1"/>
  <c r="AD43" i="54"/>
  <c r="AD8" i="54"/>
  <c r="AE8" i="54" s="1"/>
  <c r="AL8" i="54" s="1" a="1"/>
  <c r="AL8" i="54" s="1"/>
  <c r="AP8" i="54" s="1"/>
  <c r="Y22" i="52"/>
  <c r="AE9" i="53"/>
  <c r="AL9" i="53" s="1" a="1"/>
  <c r="AL9" i="53" s="1"/>
  <c r="AN9" i="53" s="1"/>
  <c r="Y6" i="54"/>
  <c r="Y45" i="54"/>
  <c r="AD41" i="53"/>
  <c r="AE41" i="53" s="1"/>
  <c r="AL41" i="53" s="1" a="1"/>
  <c r="AL41" i="53" s="1"/>
  <c r="AN41" i="53" s="1"/>
  <c r="AE12" i="54"/>
  <c r="AL12" i="54" s="1" a="1"/>
  <c r="AL12" i="54" s="1"/>
  <c r="AP12" i="54" s="1"/>
  <c r="AE34" i="54"/>
  <c r="AL34" i="54" s="1" a="1"/>
  <c r="AL34" i="54" s="1"/>
  <c r="AN34" i="54" s="1"/>
  <c r="AE30" i="51"/>
  <c r="AL30" i="51" s="1" a="1"/>
  <c r="AL30" i="51" s="1"/>
  <c r="AP30" i="51" s="1"/>
  <c r="Y14" i="52"/>
  <c r="AD6" i="53"/>
  <c r="Y8" i="53"/>
  <c r="Y20" i="54"/>
  <c r="AE4" i="51"/>
  <c r="AL4" i="51" s="1" a="1"/>
  <c r="AL4" i="51" s="1"/>
  <c r="AP4" i="51" s="1"/>
  <c r="AE9" i="51"/>
  <c r="AL9" i="51" s="1" a="1"/>
  <c r="AL9" i="51" s="1"/>
  <c r="AN9" i="51" s="1"/>
  <c r="AD41" i="52"/>
  <c r="AE20" i="52"/>
  <c r="AL20" i="52" s="1" a="1"/>
  <c r="AL20" i="52" s="1"/>
  <c r="AP20" i="52" s="1"/>
  <c r="AE14" i="52"/>
  <c r="AL14" i="52" s="1" a="1"/>
  <c r="AL14" i="52" s="1"/>
  <c r="AP14" i="52" s="1"/>
  <c r="AE30" i="53"/>
  <c r="AL30" i="53" s="1" a="1"/>
  <c r="AL30" i="53" s="1"/>
  <c r="AP30" i="53" s="1"/>
  <c r="X51" i="53"/>
  <c r="AE19" i="53"/>
  <c r="AL19" i="53" s="1" a="1"/>
  <c r="AL19" i="53" s="1"/>
  <c r="AN19" i="53" s="1"/>
  <c r="AE37" i="54"/>
  <c r="AL37" i="54" s="1" a="1"/>
  <c r="AL37" i="54" s="1"/>
  <c r="AP37" i="54" s="1"/>
  <c r="AE22" i="54"/>
  <c r="AL22" i="54" s="1" a="1"/>
  <c r="AL22" i="54" s="1"/>
  <c r="AP22" i="54" s="1"/>
  <c r="AE29" i="53"/>
  <c r="AL29" i="53" s="1" a="1"/>
  <c r="AL29" i="53" s="1"/>
  <c r="AP29" i="53" s="1"/>
  <c r="Y33" i="53"/>
  <c r="U26" i="53"/>
  <c r="Y26" i="53" s="1"/>
  <c r="AE38" i="54"/>
  <c r="AL38" i="54" s="1" a="1"/>
  <c r="AL38" i="54" s="1"/>
  <c r="AN38" i="54" s="1"/>
  <c r="AD16" i="54"/>
  <c r="AK25" i="51"/>
  <c r="AD35" i="54"/>
  <c r="AE35" i="54" s="1"/>
  <c r="AL35" i="54" s="1" a="1"/>
  <c r="AL35" i="54" s="1"/>
  <c r="AP35" i="54" s="1"/>
  <c r="AE11" i="51"/>
  <c r="AL11" i="51" s="1" a="1"/>
  <c r="AL11" i="51" s="1"/>
  <c r="AP11" i="51" s="1"/>
  <c r="U49" i="52"/>
  <c r="V42" i="52" s="1"/>
  <c r="AE6" i="52"/>
  <c r="AL6" i="52" s="1" a="1"/>
  <c r="AL6" i="52" s="1"/>
  <c r="AN6" i="52" s="1"/>
  <c r="U49" i="53"/>
  <c r="AE8" i="53"/>
  <c r="AL8" i="53" s="1" a="1"/>
  <c r="AL8" i="53" s="1"/>
  <c r="AP8" i="53" s="1"/>
  <c r="Y31" i="53"/>
  <c r="AE30" i="54"/>
  <c r="AL30" i="54" s="1" a="1"/>
  <c r="AL30" i="54" s="1"/>
  <c r="AP30" i="54" s="1"/>
  <c r="AE14" i="54"/>
  <c r="AL14" i="54" s="1" a="1"/>
  <c r="AL14" i="54" s="1"/>
  <c r="AP14" i="54" s="1"/>
  <c r="X51" i="54"/>
  <c r="AE21" i="53"/>
  <c r="AL21" i="53" s="1" a="1"/>
  <c r="AL21" i="53" s="1"/>
  <c r="AP21" i="53" s="1"/>
  <c r="AE24" i="54"/>
  <c r="AL24" i="54" s="1" a="1"/>
  <c r="AL24" i="54" s="1"/>
  <c r="AP24" i="54" s="1"/>
  <c r="AE29" i="54"/>
  <c r="AL29" i="54" s="1" a="1"/>
  <c r="AL29" i="54" s="1"/>
  <c r="AP29" i="54" s="1"/>
  <c r="AD10" i="54"/>
  <c r="AE10" i="54" s="1"/>
  <c r="AL10" i="54" s="1" a="1"/>
  <c r="AL10" i="54" s="1"/>
  <c r="AE35" i="53"/>
  <c r="AL35" i="53" s="1" a="1"/>
  <c r="AL35" i="53" s="1"/>
  <c r="AP35" i="53" s="1"/>
  <c r="AE18" i="52"/>
  <c r="AL18" i="52" s="1" a="1"/>
  <c r="AL18" i="52" s="1"/>
  <c r="AN18" i="52" s="1"/>
  <c r="AE46" i="53"/>
  <c r="AL46" i="53" s="1" a="1"/>
  <c r="AL46" i="53" s="1"/>
  <c r="AN46" i="53" s="1"/>
  <c r="U49" i="54"/>
  <c r="AD31" i="54"/>
  <c r="AE31" i="54" s="1"/>
  <c r="AL31" i="54" s="1" a="1"/>
  <c r="AL31" i="54" s="1"/>
  <c r="AP31" i="54" s="1"/>
  <c r="AE20" i="54"/>
  <c r="AL20" i="54" s="1" a="1"/>
  <c r="AL20" i="54" s="1"/>
  <c r="AP20" i="54" s="1"/>
  <c r="AK25" i="53"/>
  <c r="AE22" i="53"/>
  <c r="AL22" i="53" s="1" a="1"/>
  <c r="AL22" i="53" s="1"/>
  <c r="AP22" i="53" s="1"/>
  <c r="W49" i="53"/>
  <c r="AE13" i="53"/>
  <c r="AL13" i="53" s="1" a="1"/>
  <c r="AL13" i="53" s="1"/>
  <c r="AN13" i="53" s="1"/>
  <c r="AE42" i="53"/>
  <c r="AL42" i="53" s="1" a="1"/>
  <c r="AL42" i="53" s="1"/>
  <c r="AP42" i="53" s="1"/>
  <c r="AE33" i="54"/>
  <c r="AL33" i="54" s="1" a="1"/>
  <c r="AL33" i="54" s="1"/>
  <c r="AP33" i="54" s="1"/>
  <c r="AE21" i="54"/>
  <c r="AL21" i="54" s="1" a="1"/>
  <c r="AL21" i="54" s="1"/>
  <c r="AP21" i="54" s="1"/>
  <c r="AE6" i="54"/>
  <c r="AL6" i="54" s="1" a="1"/>
  <c r="AL6" i="54" s="1"/>
  <c r="AP6" i="54" s="1"/>
  <c r="S51" i="54"/>
  <c r="AM33" i="54"/>
  <c r="AI32" i="54"/>
  <c r="W32" i="54"/>
  <c r="AE32" i="54" s="1"/>
  <c r="AL32" i="54" s="1" a="1"/>
  <c r="AL32" i="54" s="1"/>
  <c r="AG32" i="54"/>
  <c r="AM32" i="54" s="1"/>
  <c r="AI40" i="54"/>
  <c r="W40" i="54"/>
  <c r="AE40" i="54" s="1"/>
  <c r="AL40" i="54" s="1" a="1"/>
  <c r="AL40" i="54" s="1"/>
  <c r="AG40" i="54"/>
  <c r="AM40" i="54" s="1"/>
  <c r="AI36" i="54"/>
  <c r="W36" i="54"/>
  <c r="AE36" i="54" s="1"/>
  <c r="AL36" i="54" s="1" a="1"/>
  <c r="AL36" i="54" s="1"/>
  <c r="AG36" i="54"/>
  <c r="AM36" i="54" s="1"/>
  <c r="AM37" i="54"/>
  <c r="W16" i="54"/>
  <c r="AI16" i="54"/>
  <c r="AG16" i="54"/>
  <c r="AM16" i="54" s="1"/>
  <c r="P51" i="54"/>
  <c r="AA49" i="54" s="1"/>
  <c r="R34" i="2" s="1"/>
  <c r="AM14" i="54"/>
  <c r="R26" i="54"/>
  <c r="AI3" i="54"/>
  <c r="W3" i="54"/>
  <c r="AG3" i="54"/>
  <c r="AI44" i="54"/>
  <c r="W44" i="54"/>
  <c r="AG44" i="54"/>
  <c r="AI28" i="54"/>
  <c r="W28" i="54"/>
  <c r="AG28" i="54"/>
  <c r="R49" i="54"/>
  <c r="AG13" i="54"/>
  <c r="W13" i="54"/>
  <c r="AE13" i="54" s="1"/>
  <c r="AL13" i="54" s="1" a="1"/>
  <c r="AL13" i="54" s="1"/>
  <c r="AI13" i="54"/>
  <c r="AK48" i="54"/>
  <c r="J60" i="54"/>
  <c r="AD3" i="54"/>
  <c r="Y3" i="54"/>
  <c r="AM45" i="54"/>
  <c r="AJ48" i="54"/>
  <c r="AJ25" i="54"/>
  <c r="W17" i="54"/>
  <c r="AE17" i="54" s="1"/>
  <c r="AL17" i="54" s="1" a="1"/>
  <c r="AL17" i="54" s="1"/>
  <c r="AI17" i="54"/>
  <c r="AG17" i="54"/>
  <c r="AM17" i="54" s="1"/>
  <c r="AM37" i="53"/>
  <c r="AP33" i="53"/>
  <c r="AN33" i="53"/>
  <c r="AM39" i="53"/>
  <c r="AE28" i="53"/>
  <c r="AG7" i="53"/>
  <c r="W7" i="53"/>
  <c r="AI7" i="53"/>
  <c r="O7" i="53"/>
  <c r="AM15" i="53"/>
  <c r="S51" i="53"/>
  <c r="AM44" i="53"/>
  <c r="R26" i="53"/>
  <c r="R51" i="53" s="1"/>
  <c r="AI3" i="53"/>
  <c r="W3" i="53"/>
  <c r="O3" i="53"/>
  <c r="AG3" i="53"/>
  <c r="AJ25" i="53"/>
  <c r="AK48" i="53"/>
  <c r="AG48" i="53"/>
  <c r="AM28" i="53"/>
  <c r="AI10" i="53"/>
  <c r="W10" i="53"/>
  <c r="O10" i="53"/>
  <c r="AG10" i="53"/>
  <c r="AM33" i="53"/>
  <c r="AJ48" i="53"/>
  <c r="J60" i="53"/>
  <c r="AM11" i="53"/>
  <c r="P51" i="53"/>
  <c r="AA49" i="53" s="1"/>
  <c r="AD12" i="53"/>
  <c r="Y12" i="53"/>
  <c r="AI20" i="53"/>
  <c r="W20" i="53"/>
  <c r="AE20" i="53" s="1"/>
  <c r="AL20" i="53" s="1" a="1"/>
  <c r="AL20" i="53" s="1"/>
  <c r="O20" i="53"/>
  <c r="AG20" i="53"/>
  <c r="AM20" i="53" s="1"/>
  <c r="AI6" i="53"/>
  <c r="W6" i="53"/>
  <c r="O6" i="53"/>
  <c r="AG6" i="53"/>
  <c r="AG16" i="53"/>
  <c r="AM16" i="53" s="1"/>
  <c r="W16" i="53"/>
  <c r="AE16" i="53" s="1"/>
  <c r="AL16" i="53" s="1" a="1"/>
  <c r="AL16" i="53" s="1"/>
  <c r="AI16" i="53"/>
  <c r="O16" i="53"/>
  <c r="AI48" i="53"/>
  <c r="J58" i="53"/>
  <c r="AI24" i="53"/>
  <c r="W24" i="53"/>
  <c r="O24" i="53"/>
  <c r="AG24" i="53"/>
  <c r="AM24" i="53" s="1"/>
  <c r="AM13" i="53"/>
  <c r="AM14" i="53"/>
  <c r="AP34" i="52"/>
  <c r="AN34" i="52"/>
  <c r="AM39" i="52"/>
  <c r="AP30" i="52"/>
  <c r="AN30" i="52"/>
  <c r="AI22" i="52"/>
  <c r="W22" i="52"/>
  <c r="AE22" i="52" s="1"/>
  <c r="AL22" i="52" s="1" a="1"/>
  <c r="AL22" i="52" s="1"/>
  <c r="O22" i="52"/>
  <c r="AG22" i="52"/>
  <c r="AM22" i="52" s="1"/>
  <c r="W13" i="52"/>
  <c r="O13" i="52"/>
  <c r="AI13" i="52"/>
  <c r="AG13" i="52"/>
  <c r="AM6" i="52"/>
  <c r="W21" i="52"/>
  <c r="AI21" i="52"/>
  <c r="AG21" i="52"/>
  <c r="AM21" i="52" s="1"/>
  <c r="O21" i="52"/>
  <c r="AG37" i="52"/>
  <c r="AI37" i="52"/>
  <c r="W37" i="52"/>
  <c r="AE37" i="52" s="1"/>
  <c r="AL37" i="52" s="1" a="1"/>
  <c r="AL37" i="52" s="1"/>
  <c r="O37" i="52"/>
  <c r="W12" i="52"/>
  <c r="AE12" i="52" s="1"/>
  <c r="AL12" i="52" s="1" a="1"/>
  <c r="AL12" i="52" s="1"/>
  <c r="O12" i="52"/>
  <c r="AI12" i="52"/>
  <c r="AG12" i="52"/>
  <c r="AM12" i="52" s="1"/>
  <c r="Y3" i="52"/>
  <c r="AD3" i="52"/>
  <c r="U26" i="52"/>
  <c r="W9" i="52"/>
  <c r="O9" i="52"/>
  <c r="AI9" i="52"/>
  <c r="AG9" i="52"/>
  <c r="R26" i="52"/>
  <c r="AI3" i="52"/>
  <c r="W3" i="52"/>
  <c r="O3" i="52"/>
  <c r="AG3" i="52"/>
  <c r="AI4" i="52"/>
  <c r="W4" i="52"/>
  <c r="AE4" i="52" s="1"/>
  <c r="AL4" i="52" s="1" a="1"/>
  <c r="AL4" i="52" s="1"/>
  <c r="O4" i="52"/>
  <c r="AG4" i="52"/>
  <c r="AM44" i="52"/>
  <c r="AG41" i="52"/>
  <c r="AI41" i="52"/>
  <c r="W41" i="52"/>
  <c r="O41" i="52"/>
  <c r="J60" i="52"/>
  <c r="P51" i="52"/>
  <c r="AA26" i="52" s="1"/>
  <c r="AJ25" i="52"/>
  <c r="AD29" i="52"/>
  <c r="Y29" i="52"/>
  <c r="AG29" i="52"/>
  <c r="AM29" i="52" s="1"/>
  <c r="AI29" i="52"/>
  <c r="W29" i="52"/>
  <c r="O29" i="52"/>
  <c r="AD23" i="52"/>
  <c r="AE23" i="52" s="1"/>
  <c r="AL23" i="52" s="1" a="1"/>
  <c r="AL23" i="52" s="1"/>
  <c r="Y23" i="52"/>
  <c r="AM11" i="52"/>
  <c r="J58" i="52"/>
  <c r="AD19" i="52"/>
  <c r="AE19" i="52" s="1"/>
  <c r="AL19" i="52" s="1" a="1"/>
  <c r="AL19" i="52" s="1"/>
  <c r="Y19" i="52"/>
  <c r="AJ48" i="52"/>
  <c r="AG16" i="52"/>
  <c r="O16" i="52"/>
  <c r="W16" i="52"/>
  <c r="AE16" i="52" s="1"/>
  <c r="AL16" i="52" s="1" a="1"/>
  <c r="AL16" i="52" s="1"/>
  <c r="AI16" i="52"/>
  <c r="AK48" i="52"/>
  <c r="AG5" i="52"/>
  <c r="AI5" i="52"/>
  <c r="W5" i="52"/>
  <c r="O5" i="52"/>
  <c r="AG33" i="52"/>
  <c r="AI33" i="52"/>
  <c r="W33" i="52"/>
  <c r="O33" i="52"/>
  <c r="AD15" i="52"/>
  <c r="AE15" i="52" s="1"/>
  <c r="AL15" i="52" s="1" a="1"/>
  <c r="AL15" i="52" s="1"/>
  <c r="AM15" i="52" s="1"/>
  <c r="Y15" i="52"/>
  <c r="AM14" i="52"/>
  <c r="AI28" i="52"/>
  <c r="W28" i="52"/>
  <c r="O28" i="52"/>
  <c r="AG28" i="52"/>
  <c r="R49" i="52"/>
  <c r="AA49" i="52"/>
  <c r="AI10" i="52"/>
  <c r="W10" i="52"/>
  <c r="O10" i="52"/>
  <c r="AG10" i="52"/>
  <c r="AG45" i="52"/>
  <c r="AI45" i="52"/>
  <c r="W45" i="52"/>
  <c r="O45" i="52"/>
  <c r="AK48" i="51"/>
  <c r="AM33" i="51"/>
  <c r="AM10" i="51"/>
  <c r="AI40" i="51"/>
  <c r="W40" i="51"/>
  <c r="O40" i="51"/>
  <c r="AG40" i="51"/>
  <c r="AM40" i="51" s="1"/>
  <c r="AM14" i="51"/>
  <c r="AJ25" i="51"/>
  <c r="O12" i="51"/>
  <c r="W12" i="51"/>
  <c r="AI12" i="51"/>
  <c r="AG12" i="51"/>
  <c r="AM12" i="51" s="1"/>
  <c r="AI36" i="51"/>
  <c r="W36" i="51"/>
  <c r="O36" i="51"/>
  <c r="AG36" i="51"/>
  <c r="AM36" i="51" s="1"/>
  <c r="AI32" i="51"/>
  <c r="W32" i="51"/>
  <c r="O32" i="51"/>
  <c r="AG32" i="51"/>
  <c r="AM32" i="51" s="1"/>
  <c r="AM37" i="51"/>
  <c r="P51" i="51"/>
  <c r="AA49" i="51" s="1"/>
  <c r="AM45" i="51"/>
  <c r="AM3" i="51"/>
  <c r="AI44" i="51"/>
  <c r="W44" i="51"/>
  <c r="O44" i="51"/>
  <c r="AG44" i="51"/>
  <c r="AI28" i="51"/>
  <c r="W28" i="51"/>
  <c r="O28" i="51"/>
  <c r="AG28" i="51"/>
  <c r="R49" i="51"/>
  <c r="O16" i="51"/>
  <c r="W16" i="51"/>
  <c r="AI16" i="51"/>
  <c r="AG16" i="51"/>
  <c r="AM16" i="51" s="1"/>
  <c r="AG13" i="51"/>
  <c r="O13" i="51"/>
  <c r="W13" i="51"/>
  <c r="AI13" i="51"/>
  <c r="AM11" i="51"/>
  <c r="AJ48" i="51"/>
  <c r="AM6" i="51"/>
  <c r="W17" i="51"/>
  <c r="AI17" i="51"/>
  <c r="AG17" i="51"/>
  <c r="AM17" i="51" s="1"/>
  <c r="O17" i="51"/>
  <c r="R26" i="51"/>
  <c r="R51" i="51" s="1"/>
  <c r="AM37" i="50"/>
  <c r="R26" i="50"/>
  <c r="AI3" i="50"/>
  <c r="AG3" i="50"/>
  <c r="P51" i="50"/>
  <c r="U26" i="50"/>
  <c r="AD3" i="74"/>
  <c r="AE3" i="74" s="1"/>
  <c r="C4" i="75" s="1"/>
  <c r="Y3" i="50"/>
  <c r="AK48" i="50"/>
  <c r="AI4" i="50"/>
  <c r="AG4" i="50"/>
  <c r="AM4" i="50" s="1"/>
  <c r="AI9" i="50"/>
  <c r="AG9" i="50"/>
  <c r="AJ48" i="50"/>
  <c r="AI5" i="50"/>
  <c r="AG5" i="50"/>
  <c r="AJ25" i="50"/>
  <c r="J31" i="31"/>
  <c r="J36" i="31"/>
  <c r="J37" i="31"/>
  <c r="J38" i="31"/>
  <c r="J39" i="31"/>
  <c r="J40" i="31"/>
  <c r="J41" i="31"/>
  <c r="J42" i="31"/>
  <c r="J34" i="31"/>
  <c r="J32" i="31"/>
  <c r="J43" i="31"/>
  <c r="J44" i="31"/>
  <c r="J33" i="31"/>
  <c r="J45" i="31"/>
  <c r="J46" i="31"/>
  <c r="J47" i="31"/>
  <c r="J30" i="31"/>
  <c r="J48" i="31"/>
  <c r="J49" i="31"/>
  <c r="J35" i="31"/>
  <c r="J9" i="31"/>
  <c r="J10" i="31"/>
  <c r="J4" i="31"/>
  <c r="J11" i="31"/>
  <c r="J12" i="31"/>
  <c r="J13" i="31"/>
  <c r="J6" i="31"/>
  <c r="J14" i="31"/>
  <c r="J15" i="31"/>
  <c r="J7" i="31"/>
  <c r="J5" i="31"/>
  <c r="J16" i="31"/>
  <c r="J17" i="31"/>
  <c r="J18" i="31"/>
  <c r="J19" i="31"/>
  <c r="J20" i="31"/>
  <c r="J21" i="31"/>
  <c r="J22" i="31"/>
  <c r="J23" i="31"/>
  <c r="J24" i="31"/>
  <c r="J25" i="31"/>
  <c r="J8" i="31"/>
  <c r="AL14" i="74" l="1" a="1"/>
  <c r="AL14" i="74" s="1"/>
  <c r="AM14" i="74" s="1"/>
  <c r="C25" i="75"/>
  <c r="AL5" i="74" a="1"/>
  <c r="AL5" i="74" s="1"/>
  <c r="AN5" i="74" s="1"/>
  <c r="C11" i="75"/>
  <c r="AL12" i="74" a="1"/>
  <c r="AL12" i="74" s="1"/>
  <c r="AM12" i="74" s="1"/>
  <c r="C7" i="75"/>
  <c r="AN24" i="74"/>
  <c r="AN4" i="74"/>
  <c r="AL23" i="74" a="1"/>
  <c r="AL23" i="74" s="1"/>
  <c r="AP23" i="74" s="1"/>
  <c r="C14" i="75"/>
  <c r="AL13" i="74" a="1"/>
  <c r="AL13" i="74" s="1"/>
  <c r="AP13" i="74" s="1"/>
  <c r="C6" i="75"/>
  <c r="AP4" i="74"/>
  <c r="AN7" i="74"/>
  <c r="AL16" i="74" a="1"/>
  <c r="AL16" i="74" s="1"/>
  <c r="AP16" i="74" s="1"/>
  <c r="C23" i="75"/>
  <c r="AL19" i="74" a="1"/>
  <c r="AL19" i="74" s="1"/>
  <c r="AN19" i="74" s="1"/>
  <c r="C19" i="75"/>
  <c r="AM7" i="74"/>
  <c r="AL6" i="74" a="1"/>
  <c r="AL6" i="74" s="1"/>
  <c r="AN6" i="74" s="1"/>
  <c r="C18" i="75"/>
  <c r="AL15" i="74" a="1"/>
  <c r="AL15" i="74" s="1"/>
  <c r="AN15" i="74" s="1"/>
  <c r="C20" i="75"/>
  <c r="M9" i="75"/>
  <c r="L10" i="75"/>
  <c r="M10" i="75" s="1"/>
  <c r="M11" i="75"/>
  <c r="G6" i="75" s="1"/>
  <c r="L12" i="75"/>
  <c r="M35" i="75"/>
  <c r="G31" i="75" s="1"/>
  <c r="L36" i="75"/>
  <c r="AN14" i="74"/>
  <c r="C24" i="65"/>
  <c r="V14" i="50"/>
  <c r="V43" i="50"/>
  <c r="V17" i="50"/>
  <c r="V42" i="50"/>
  <c r="V12" i="50"/>
  <c r="Y49" i="50"/>
  <c r="V28" i="50"/>
  <c r="V23" i="50"/>
  <c r="V38" i="50"/>
  <c r="V3" i="50"/>
  <c r="V26" i="50" s="1"/>
  <c r="V10" i="50"/>
  <c r="V20" i="50"/>
  <c r="V21" i="50"/>
  <c r="V6" i="50"/>
  <c r="V16" i="50"/>
  <c r="V47" i="50"/>
  <c r="V34" i="50"/>
  <c r="AL14" i="50" a="1"/>
  <c r="AL14" i="50" s="1"/>
  <c r="V40" i="50"/>
  <c r="V36" i="50"/>
  <c r="V9" i="50"/>
  <c r="V33" i="50"/>
  <c r="V24" i="50"/>
  <c r="V29" i="50"/>
  <c r="V5" i="50"/>
  <c r="V11" i="50"/>
  <c r="V35" i="50"/>
  <c r="V49" i="50" s="1"/>
  <c r="V46" i="50"/>
  <c r="V4" i="50"/>
  <c r="V39" i="50"/>
  <c r="V30" i="50"/>
  <c r="V7" i="50"/>
  <c r="V8" i="50"/>
  <c r="V32" i="50"/>
  <c r="AL19" i="50" a="1"/>
  <c r="AL19" i="50" s="1"/>
  <c r="AM6" i="74"/>
  <c r="V13" i="50"/>
  <c r="V19" i="50"/>
  <c r="V37" i="50"/>
  <c r="V45" i="50"/>
  <c r="AE6" i="50"/>
  <c r="AL6" i="50" s="1" a="1"/>
  <c r="AL6" i="50" s="1"/>
  <c r="AP12" i="74"/>
  <c r="AN12" i="74"/>
  <c r="AM15" i="50"/>
  <c r="AE8" i="50"/>
  <c r="C23" i="65" s="1"/>
  <c r="AD8" i="74"/>
  <c r="AE8" i="74" s="1"/>
  <c r="AP14" i="74"/>
  <c r="AE22" i="50"/>
  <c r="C5" i="65" s="1"/>
  <c r="AD22" i="74"/>
  <c r="AE22" i="74" s="1"/>
  <c r="AD49" i="50"/>
  <c r="AD28" i="74"/>
  <c r="AE17" i="74"/>
  <c r="AE12" i="50"/>
  <c r="C9" i="65" s="1"/>
  <c r="AN15" i="50"/>
  <c r="AE9" i="50"/>
  <c r="AL9" i="50" s="1" a="1"/>
  <c r="AL9" i="50" s="1"/>
  <c r="AE11" i="50"/>
  <c r="AL11" i="50" s="1" a="1"/>
  <c r="AL11" i="50" s="1"/>
  <c r="AD11" i="74"/>
  <c r="AE11" i="74" s="1"/>
  <c r="AD35" i="74"/>
  <c r="AE20" i="50"/>
  <c r="AL20" i="50" s="1" a="1"/>
  <c r="AL20" i="50" s="1"/>
  <c r="AP20" i="50" s="1"/>
  <c r="AD20" i="74"/>
  <c r="AE20" i="74" s="1"/>
  <c r="K15" i="65"/>
  <c r="K20" i="65"/>
  <c r="K4" i="65"/>
  <c r="L4" i="65" s="1"/>
  <c r="M4" i="65" s="1"/>
  <c r="K22" i="65"/>
  <c r="K25" i="65"/>
  <c r="K12" i="65"/>
  <c r="K6" i="65"/>
  <c r="K8" i="65"/>
  <c r="K7" i="65"/>
  <c r="K18" i="65"/>
  <c r="K5" i="65"/>
  <c r="L5" i="65" s="1"/>
  <c r="M5" i="65" s="1"/>
  <c r="R51" i="50"/>
  <c r="AI48" i="50"/>
  <c r="AE18" i="50"/>
  <c r="W18" i="74"/>
  <c r="AE18" i="74" s="1"/>
  <c r="AL16" i="50" a="1"/>
  <c r="AL16" i="50" s="1"/>
  <c r="C15" i="65"/>
  <c r="AE21" i="50"/>
  <c r="W21" i="74"/>
  <c r="AE21" i="74" s="1"/>
  <c r="AL13" i="50" a="1"/>
  <c r="AL13" i="50" s="1"/>
  <c r="C4" i="65"/>
  <c r="AL24" i="50" a="1"/>
  <c r="AL24" i="50" s="1"/>
  <c r="AM24" i="50" s="1"/>
  <c r="C11" i="65"/>
  <c r="AL23" i="50" a="1"/>
  <c r="AL23" i="50" s="1"/>
  <c r="AN23" i="50" s="1"/>
  <c r="C16" i="65"/>
  <c r="AE10" i="50"/>
  <c r="W10" i="74"/>
  <c r="AL9" i="74" a="1"/>
  <c r="AL9" i="74" s="1"/>
  <c r="AL7" i="50" a="1"/>
  <c r="AL7" i="50" s="1"/>
  <c r="AP7" i="50" s="1"/>
  <c r="C12" i="65"/>
  <c r="AL4" i="50" a="1"/>
  <c r="AL4" i="50" s="1"/>
  <c r="AP4" i="50" s="1"/>
  <c r="C14" i="65"/>
  <c r="AL31" i="62" a="1"/>
  <c r="AL31" i="62" s="1"/>
  <c r="C41" i="72"/>
  <c r="AD34" i="2"/>
  <c r="G16" i="70"/>
  <c r="G31" i="72"/>
  <c r="L10" i="72"/>
  <c r="M10" i="72" s="1"/>
  <c r="M9" i="72"/>
  <c r="M11" i="72"/>
  <c r="L12" i="72"/>
  <c r="E35" i="71"/>
  <c r="F34" i="71"/>
  <c r="F8" i="71"/>
  <c r="E9" i="71"/>
  <c r="E11" i="71"/>
  <c r="AM6" i="54"/>
  <c r="AM15" i="54"/>
  <c r="AM11" i="54"/>
  <c r="R51" i="54"/>
  <c r="AG19" i="62"/>
  <c r="AM19" i="62" s="1"/>
  <c r="E34" i="2"/>
  <c r="AM10" i="54"/>
  <c r="AM5" i="54"/>
  <c r="AM12" i="54"/>
  <c r="AM4" i="54"/>
  <c r="M36" i="72"/>
  <c r="L37" i="72"/>
  <c r="P51" i="62"/>
  <c r="AI44" i="62"/>
  <c r="V4" i="63"/>
  <c r="AM45" i="53"/>
  <c r="AM4" i="53"/>
  <c r="AG12" i="62"/>
  <c r="AE16" i="62"/>
  <c r="AM8" i="53"/>
  <c r="M13" i="71"/>
  <c r="L14" i="71"/>
  <c r="M34" i="71"/>
  <c r="G34" i="71" s="1"/>
  <c r="L35" i="71"/>
  <c r="E6" i="67"/>
  <c r="F6" i="67" s="1"/>
  <c r="X69" i="2"/>
  <c r="V8" i="63"/>
  <c r="G19" i="63"/>
  <c r="G3" i="1" s="1"/>
  <c r="V8" i="68"/>
  <c r="V8" i="69"/>
  <c r="I8" i="63"/>
  <c r="E15" i="63"/>
  <c r="E15" i="69"/>
  <c r="I8" i="69"/>
  <c r="I8" i="68"/>
  <c r="E15" i="68"/>
  <c r="AG14" i="62"/>
  <c r="AG10" i="62"/>
  <c r="AG15" i="62"/>
  <c r="AM15" i="51"/>
  <c r="AG33" i="62"/>
  <c r="AG16" i="62"/>
  <c r="AM16" i="52"/>
  <c r="AG5" i="62"/>
  <c r="AJ25" i="62"/>
  <c r="AG7" i="62"/>
  <c r="AG8" i="62"/>
  <c r="AE19" i="62"/>
  <c r="AM39" i="51"/>
  <c r="AG4" i="62"/>
  <c r="AJ48" i="62"/>
  <c r="R26" i="62"/>
  <c r="R49" i="62"/>
  <c r="AI35" i="62"/>
  <c r="AI48" i="62" s="1"/>
  <c r="AM8" i="51"/>
  <c r="AM9" i="51"/>
  <c r="AG13" i="62"/>
  <c r="AM4" i="51"/>
  <c r="AM7" i="51"/>
  <c r="AE3" i="62"/>
  <c r="AG3" i="62"/>
  <c r="AM4" i="52"/>
  <c r="AM8" i="52"/>
  <c r="AE39" i="62"/>
  <c r="AG39" i="62"/>
  <c r="AP8" i="51"/>
  <c r="F31" i="67"/>
  <c r="E32" i="67"/>
  <c r="M32" i="67"/>
  <c r="G30" i="67" s="1"/>
  <c r="L33" i="67"/>
  <c r="E7" i="67"/>
  <c r="M5" i="67"/>
  <c r="L6" i="67"/>
  <c r="M31" i="66"/>
  <c r="L32" i="66"/>
  <c r="M5" i="66"/>
  <c r="L6" i="66"/>
  <c r="E5" i="66"/>
  <c r="F32" i="66"/>
  <c r="E33" i="66"/>
  <c r="K50" i="65"/>
  <c r="L30" i="65"/>
  <c r="AN23" i="53"/>
  <c r="AP17" i="53"/>
  <c r="AN38" i="52"/>
  <c r="AN4" i="54"/>
  <c r="AP47" i="53"/>
  <c r="AE38" i="62"/>
  <c r="AN45" i="54"/>
  <c r="AE44" i="62"/>
  <c r="AE32" i="62"/>
  <c r="AE42" i="62"/>
  <c r="AE13" i="62"/>
  <c r="AE20" i="62"/>
  <c r="AE47" i="62"/>
  <c r="R51" i="52"/>
  <c r="AE22" i="62"/>
  <c r="AE4" i="62"/>
  <c r="AE12" i="62"/>
  <c r="AI25" i="51"/>
  <c r="AG25" i="51"/>
  <c r="AE17" i="51"/>
  <c r="AL17" i="51" s="1" a="1"/>
  <c r="AL17" i="51" s="1"/>
  <c r="AP17" i="51" s="1"/>
  <c r="AN44" i="52"/>
  <c r="AE17" i="50"/>
  <c r="AG48" i="50"/>
  <c r="AM47" i="50"/>
  <c r="AE5" i="50"/>
  <c r="AE9" i="52"/>
  <c r="AL9" i="52" s="1" a="1"/>
  <c r="AL9" i="52" s="1"/>
  <c r="AP9" i="52" s="1"/>
  <c r="L31" i="64"/>
  <c r="E31" i="64"/>
  <c r="E5" i="64"/>
  <c r="L5" i="64"/>
  <c r="AE44" i="54"/>
  <c r="AL44" i="54" s="1" a="1"/>
  <c r="AL44" i="54" s="1"/>
  <c r="AP44" i="54" s="1"/>
  <c r="AP3" i="51"/>
  <c r="AM20" i="50"/>
  <c r="AD26" i="50"/>
  <c r="AD51" i="50" s="1"/>
  <c r="AE36" i="51"/>
  <c r="AL36" i="51" s="1" a="1"/>
  <c r="AL36" i="51" s="1"/>
  <c r="AP36" i="51" s="1"/>
  <c r="AP19" i="51"/>
  <c r="AE44" i="51"/>
  <c r="AL44" i="51" s="1" a="1"/>
  <c r="AL44" i="51" s="1"/>
  <c r="AP44" i="51" s="1"/>
  <c r="AN45" i="51"/>
  <c r="AE11" i="62"/>
  <c r="AN37" i="53"/>
  <c r="AE21" i="62"/>
  <c r="AN42" i="52"/>
  <c r="AN21" i="51"/>
  <c r="X51" i="62"/>
  <c r="T51" i="62"/>
  <c r="AE40" i="62"/>
  <c r="AE36" i="62"/>
  <c r="AE35" i="62"/>
  <c r="AE15" i="62"/>
  <c r="AE14" i="62"/>
  <c r="AE7" i="62"/>
  <c r="AE24" i="62"/>
  <c r="AE43" i="62"/>
  <c r="S51" i="62"/>
  <c r="AE33" i="62"/>
  <c r="AE40" i="51"/>
  <c r="AL40" i="51" s="1" a="1"/>
  <c r="AL40" i="51" s="1"/>
  <c r="AP40" i="51" s="1"/>
  <c r="AN15" i="51"/>
  <c r="U49" i="62"/>
  <c r="Y49" i="62" s="1"/>
  <c r="AE34" i="62"/>
  <c r="AE29" i="62"/>
  <c r="AE41" i="62"/>
  <c r="AE45" i="62"/>
  <c r="AE30" i="62"/>
  <c r="Z51" i="62"/>
  <c r="AE46" i="62"/>
  <c r="AE8" i="62"/>
  <c r="AE16" i="51"/>
  <c r="AL16" i="51" s="1" a="1"/>
  <c r="AL16" i="51" s="1"/>
  <c r="AP16" i="51" s="1"/>
  <c r="AE12" i="51"/>
  <c r="AL12" i="51" s="1" a="1"/>
  <c r="AL12" i="51" s="1"/>
  <c r="AE6" i="62"/>
  <c r="AP36" i="52"/>
  <c r="AE10" i="62"/>
  <c r="AE5" i="62"/>
  <c r="AE18" i="62"/>
  <c r="AE23" i="62"/>
  <c r="V8" i="51"/>
  <c r="U26" i="62"/>
  <c r="AP29" i="51"/>
  <c r="V21" i="51"/>
  <c r="AM47" i="62"/>
  <c r="J60" i="62"/>
  <c r="J58" i="62"/>
  <c r="I59" i="62"/>
  <c r="J59" i="62" s="1"/>
  <c r="AM24" i="62"/>
  <c r="AE32" i="51"/>
  <c r="AL32" i="51" s="1" a="1"/>
  <c r="AL32" i="51" s="1"/>
  <c r="AN32" i="51" s="1"/>
  <c r="AM36" i="62"/>
  <c r="AP31" i="62"/>
  <c r="AN31" i="62"/>
  <c r="AE28" i="62"/>
  <c r="C47" i="72" s="1"/>
  <c r="AM44" i="62"/>
  <c r="AI25" i="62"/>
  <c r="AD49" i="51"/>
  <c r="AE13" i="51"/>
  <c r="AL13" i="51" s="1" a="1"/>
  <c r="AL13" i="51" s="1"/>
  <c r="AP13" i="51" s="1"/>
  <c r="AN15" i="54"/>
  <c r="AN46" i="52"/>
  <c r="AE5" i="52"/>
  <c r="AL5" i="52" s="1" a="1"/>
  <c r="AL5" i="52" s="1"/>
  <c r="AN5" i="52" s="1"/>
  <c r="AE21" i="52"/>
  <c r="AL21" i="52" s="1" a="1"/>
  <c r="AL21" i="52" s="1"/>
  <c r="AP21" i="52" s="1"/>
  <c r="V7" i="51"/>
  <c r="AP7" i="51"/>
  <c r="AN37" i="51"/>
  <c r="AN39" i="54"/>
  <c r="AE10" i="52"/>
  <c r="AL10" i="52" s="1" a="1"/>
  <c r="AL10" i="52" s="1"/>
  <c r="AP10" i="52" s="1"/>
  <c r="AN40" i="52"/>
  <c r="AN7" i="52"/>
  <c r="AP7" i="52"/>
  <c r="AN32" i="52"/>
  <c r="AN35" i="52"/>
  <c r="AE13" i="52"/>
  <c r="AL13" i="52" s="1" a="1"/>
  <c r="AL13" i="52" s="1"/>
  <c r="AP13" i="52" s="1"/>
  <c r="AN9" i="54"/>
  <c r="AN42" i="51"/>
  <c r="AP23" i="51"/>
  <c r="AN23" i="51"/>
  <c r="AP43" i="52"/>
  <c r="AE7" i="53"/>
  <c r="AL7" i="53" s="1" a="1"/>
  <c r="AL7" i="53" s="1"/>
  <c r="AP7" i="53" s="1"/>
  <c r="AP41" i="53"/>
  <c r="V34" i="51"/>
  <c r="V19" i="51"/>
  <c r="V31" i="51"/>
  <c r="AN24" i="51"/>
  <c r="V12" i="51"/>
  <c r="V17" i="51"/>
  <c r="V33" i="51"/>
  <c r="V42" i="51"/>
  <c r="V10" i="51"/>
  <c r="V40" i="51"/>
  <c r="U51" i="51"/>
  <c r="Y51" i="51" s="1"/>
  <c r="AN11" i="52"/>
  <c r="V15" i="51"/>
  <c r="V43" i="51"/>
  <c r="V3" i="51"/>
  <c r="V36" i="51"/>
  <c r="V28" i="51"/>
  <c r="V16" i="51"/>
  <c r="V11" i="51"/>
  <c r="AP47" i="52"/>
  <c r="V18" i="51"/>
  <c r="AN15" i="53"/>
  <c r="AD26" i="51"/>
  <c r="V13" i="51"/>
  <c r="V32" i="51"/>
  <c r="V24" i="51"/>
  <c r="V6" i="51"/>
  <c r="V44" i="51"/>
  <c r="V29" i="51"/>
  <c r="V5" i="51"/>
  <c r="V38" i="51"/>
  <c r="V45" i="51"/>
  <c r="V39" i="51"/>
  <c r="V46" i="51"/>
  <c r="AE24" i="53"/>
  <c r="AL24" i="53" s="1" a="1"/>
  <c r="AL24" i="53" s="1"/>
  <c r="AP24" i="53" s="1"/>
  <c r="Y26" i="51"/>
  <c r="AN23" i="54"/>
  <c r="AP9" i="51"/>
  <c r="V23" i="51"/>
  <c r="V14" i="51"/>
  <c r="V20" i="51"/>
  <c r="V35" i="51"/>
  <c r="V47" i="51"/>
  <c r="V37" i="51"/>
  <c r="V4" i="51"/>
  <c r="V9" i="51"/>
  <c r="V22" i="51"/>
  <c r="V30" i="51"/>
  <c r="V41" i="51"/>
  <c r="AP24" i="52"/>
  <c r="Y49" i="53"/>
  <c r="AP31" i="52"/>
  <c r="AP41" i="51"/>
  <c r="AN47" i="51"/>
  <c r="AN5" i="51"/>
  <c r="AP14" i="51"/>
  <c r="V22" i="52"/>
  <c r="V7" i="52"/>
  <c r="AE10" i="53"/>
  <c r="AL10" i="53" s="1" a="1"/>
  <c r="AL10" i="53" s="1"/>
  <c r="AN10" i="53" s="1"/>
  <c r="AN21" i="53"/>
  <c r="AP31" i="53"/>
  <c r="AN43" i="51"/>
  <c r="AE33" i="52"/>
  <c r="AL33" i="52" s="1" a="1"/>
  <c r="AL33" i="52" s="1"/>
  <c r="AN33" i="52" s="1"/>
  <c r="V35" i="52"/>
  <c r="AN19" i="54"/>
  <c r="AN22" i="54"/>
  <c r="AD49" i="52"/>
  <c r="AN30" i="54"/>
  <c r="V8" i="52"/>
  <c r="AP9" i="53"/>
  <c r="AP19" i="53"/>
  <c r="AN12" i="54"/>
  <c r="AE45" i="52"/>
  <c r="AL45" i="52" s="1" a="1"/>
  <c r="AL45" i="52" s="1"/>
  <c r="AN45" i="52" s="1"/>
  <c r="AN33" i="51"/>
  <c r="AN29" i="54"/>
  <c r="V20" i="52"/>
  <c r="V19" i="52"/>
  <c r="AN44" i="53"/>
  <c r="AN11" i="51"/>
  <c r="AN38" i="51"/>
  <c r="AP31" i="51"/>
  <c r="AN40" i="53"/>
  <c r="AN18" i="54"/>
  <c r="AP6" i="52"/>
  <c r="AN14" i="52"/>
  <c r="AP8" i="52"/>
  <c r="AN30" i="53"/>
  <c r="AP46" i="53"/>
  <c r="AN20" i="51"/>
  <c r="AP38" i="54"/>
  <c r="AE41" i="52"/>
  <c r="AL41" i="52" s="1" a="1"/>
  <c r="AL41" i="52" s="1"/>
  <c r="AN41" i="52" s="1"/>
  <c r="AP5" i="54"/>
  <c r="AN35" i="54"/>
  <c r="AD49" i="53"/>
  <c r="AN45" i="53"/>
  <c r="AP18" i="52"/>
  <c r="AN37" i="54"/>
  <c r="V28" i="52"/>
  <c r="V9" i="52"/>
  <c r="AP34" i="53"/>
  <c r="AP32" i="53"/>
  <c r="AP13" i="53"/>
  <c r="V46" i="52"/>
  <c r="AE43" i="53"/>
  <c r="AL43" i="53" s="1" a="1"/>
  <c r="AL43" i="53" s="1"/>
  <c r="AD49" i="54"/>
  <c r="AN5" i="53"/>
  <c r="AP17" i="52"/>
  <c r="AN29" i="53"/>
  <c r="AN30" i="51"/>
  <c r="AN21" i="54"/>
  <c r="V44" i="52"/>
  <c r="AN35" i="51"/>
  <c r="AP46" i="51"/>
  <c r="V41" i="52"/>
  <c r="AP34" i="54"/>
  <c r="AE43" i="54"/>
  <c r="AL43" i="54" s="1" a="1"/>
  <c r="AL43" i="54" s="1"/>
  <c r="AP43" i="54" s="1"/>
  <c r="AN6" i="51"/>
  <c r="AN11" i="53"/>
  <c r="AN47" i="54"/>
  <c r="AN39" i="51"/>
  <c r="AN39" i="52"/>
  <c r="AN20" i="52"/>
  <c r="AN8" i="53"/>
  <c r="V43" i="52"/>
  <c r="AN22" i="53"/>
  <c r="AN7" i="54"/>
  <c r="AN18" i="51"/>
  <c r="AP22" i="51"/>
  <c r="AN39" i="53"/>
  <c r="AN10" i="54"/>
  <c r="AN46" i="54"/>
  <c r="AP10" i="54"/>
  <c r="U51" i="53"/>
  <c r="Y51" i="53" s="1"/>
  <c r="AN14" i="53"/>
  <c r="AN34" i="51"/>
  <c r="AN4" i="51"/>
  <c r="AN10" i="51"/>
  <c r="AD26" i="53"/>
  <c r="AN36" i="53"/>
  <c r="AD26" i="54"/>
  <c r="AE16" i="54"/>
  <c r="AL16" i="54" s="1" a="1"/>
  <c r="AL16" i="54" s="1"/>
  <c r="AP16" i="54" s="1"/>
  <c r="AE6" i="53"/>
  <c r="AL6" i="53" s="1" a="1"/>
  <c r="AL6" i="53" s="1"/>
  <c r="AP6" i="53" s="1"/>
  <c r="AN14" i="54"/>
  <c r="AI48" i="51"/>
  <c r="V39" i="52"/>
  <c r="V23" i="52"/>
  <c r="AN4" i="53"/>
  <c r="AN24" i="54"/>
  <c r="V11" i="52"/>
  <c r="V32" i="52"/>
  <c r="V34" i="52"/>
  <c r="V17" i="52"/>
  <c r="V45" i="52"/>
  <c r="V40" i="52"/>
  <c r="V33" i="52"/>
  <c r="V4" i="52"/>
  <c r="AE29" i="52"/>
  <c r="AL29" i="52" s="1" a="1"/>
  <c r="AL29" i="52" s="1"/>
  <c r="AP29" i="52" s="1"/>
  <c r="V5" i="52"/>
  <c r="V37" i="52"/>
  <c r="AN31" i="54"/>
  <c r="V38" i="52"/>
  <c r="V31" i="52"/>
  <c r="V36" i="52"/>
  <c r="V15" i="52"/>
  <c r="V13" i="52"/>
  <c r="V18" i="52"/>
  <c r="AN35" i="53"/>
  <c r="AN38" i="53"/>
  <c r="V47" i="52"/>
  <c r="V30" i="52"/>
  <c r="V21" i="52"/>
  <c r="V10" i="52"/>
  <c r="V14" i="52"/>
  <c r="V6" i="52"/>
  <c r="V12" i="52"/>
  <c r="Y49" i="52"/>
  <c r="V29" i="52"/>
  <c r="V3" i="52"/>
  <c r="AN6" i="54"/>
  <c r="V24" i="52"/>
  <c r="V16" i="52"/>
  <c r="Y49" i="54"/>
  <c r="AA52" i="52"/>
  <c r="AK51" i="52" s="1"/>
  <c r="AN42" i="54"/>
  <c r="AN41" i="54"/>
  <c r="AN8" i="54"/>
  <c r="V51" i="54"/>
  <c r="AN20" i="54"/>
  <c r="W26" i="52"/>
  <c r="AN42" i="53"/>
  <c r="AI25" i="52"/>
  <c r="AD26" i="52"/>
  <c r="AE12" i="53"/>
  <c r="AL12" i="53" s="1" a="1"/>
  <c r="AL12" i="53" s="1"/>
  <c r="AE3" i="54"/>
  <c r="AL3" i="54" s="1"/>
  <c r="AN33" i="54"/>
  <c r="AN11" i="54"/>
  <c r="AP36" i="54"/>
  <c r="AN36" i="54"/>
  <c r="AP40" i="54"/>
  <c r="AN40" i="54"/>
  <c r="AP13" i="54"/>
  <c r="AN13" i="54"/>
  <c r="AP17" i="54"/>
  <c r="AN17" i="54"/>
  <c r="AP32" i="54"/>
  <c r="AN32" i="54"/>
  <c r="AM13" i="54"/>
  <c r="W49" i="54"/>
  <c r="L34" i="2" s="1"/>
  <c r="AA34" i="2" s="1"/>
  <c r="AE28" i="54"/>
  <c r="AG48" i="54"/>
  <c r="AM28" i="54"/>
  <c r="AI48" i="54"/>
  <c r="AG25" i="54"/>
  <c r="W26" i="54"/>
  <c r="L33" i="2" s="1"/>
  <c r="AA33" i="2" s="1"/>
  <c r="AI25" i="54"/>
  <c r="AA26" i="54"/>
  <c r="U51" i="54"/>
  <c r="Y51" i="54" s="1"/>
  <c r="Y26" i="54"/>
  <c r="AM44" i="54"/>
  <c r="AP16" i="53"/>
  <c r="AN16" i="53"/>
  <c r="W26" i="53"/>
  <c r="W51" i="53" s="1"/>
  <c r="AE3" i="53"/>
  <c r="AG25" i="53"/>
  <c r="AP20" i="53"/>
  <c r="AN20" i="53"/>
  <c r="AM48" i="53"/>
  <c r="AI25" i="53"/>
  <c r="AA26" i="53"/>
  <c r="AA52" i="53" s="1"/>
  <c r="AK51" i="53" s="1"/>
  <c r="AL28" i="53" a="1"/>
  <c r="AL28" i="53" s="1"/>
  <c r="AM10" i="53"/>
  <c r="AM6" i="53"/>
  <c r="AP18" i="53"/>
  <c r="AN18" i="53"/>
  <c r="AP19" i="52"/>
  <c r="AN19" i="52"/>
  <c r="AP22" i="52"/>
  <c r="AN22" i="52"/>
  <c r="AP37" i="52"/>
  <c r="AN37" i="52"/>
  <c r="AP23" i="52"/>
  <c r="AN23" i="52"/>
  <c r="W49" i="52"/>
  <c r="W51" i="52" s="1"/>
  <c r="AE28" i="52"/>
  <c r="AM13" i="52"/>
  <c r="AM45" i="52"/>
  <c r="AI48" i="52"/>
  <c r="AG25" i="52"/>
  <c r="AM37" i="52"/>
  <c r="AP16" i="52"/>
  <c r="AN16" i="52"/>
  <c r="AP4" i="52"/>
  <c r="AN4" i="52"/>
  <c r="U51" i="52"/>
  <c r="Y51" i="52" s="1"/>
  <c r="Y26" i="52"/>
  <c r="AE3" i="52"/>
  <c r="AM10" i="52"/>
  <c r="AG48" i="52"/>
  <c r="AM28" i="52"/>
  <c r="AP15" i="52"/>
  <c r="AN15" i="52"/>
  <c r="AM33" i="52"/>
  <c r="AP12" i="52"/>
  <c r="AN12" i="52"/>
  <c r="AM44" i="51"/>
  <c r="W49" i="51"/>
  <c r="AE28" i="51"/>
  <c r="AM13" i="51"/>
  <c r="W26" i="51"/>
  <c r="AG48" i="51"/>
  <c r="AM28" i="51"/>
  <c r="AA26" i="51"/>
  <c r="AA52" i="51" s="1"/>
  <c r="AK51" i="51" s="1"/>
  <c r="U51" i="50"/>
  <c r="Y51" i="50" s="1"/>
  <c r="Y26" i="50"/>
  <c r="AI25" i="50"/>
  <c r="AG25" i="50"/>
  <c r="AL8" i="74" l="1" a="1"/>
  <c r="AL8" i="74" s="1"/>
  <c r="C17" i="75"/>
  <c r="AM13" i="74"/>
  <c r="AN23" i="74"/>
  <c r="AM5" i="74"/>
  <c r="AN13" i="74"/>
  <c r="AP5" i="74"/>
  <c r="AN16" i="74"/>
  <c r="AP6" i="74"/>
  <c r="AM16" i="74"/>
  <c r="AL21" i="74" a="1"/>
  <c r="AL21" i="74" s="1"/>
  <c r="AP21" i="74" s="1"/>
  <c r="C16" i="75"/>
  <c r="AL22" i="74" a="1"/>
  <c r="AL22" i="74" s="1"/>
  <c r="AP22" i="74" s="1"/>
  <c r="C12" i="75"/>
  <c r="AM19" i="74"/>
  <c r="AM15" i="74"/>
  <c r="AL20" i="74" a="1"/>
  <c r="AL20" i="74" s="1"/>
  <c r="AM20" i="74" s="1"/>
  <c r="C22" i="75"/>
  <c r="AP15" i="74"/>
  <c r="AL18" i="74" a="1"/>
  <c r="AL18" i="74" s="1"/>
  <c r="AN18" i="74" s="1"/>
  <c r="C15" i="75"/>
  <c r="AP19" i="74"/>
  <c r="AL11" i="74" a="1"/>
  <c r="AL11" i="74" s="1"/>
  <c r="AP11" i="74" s="1"/>
  <c r="C9" i="75"/>
  <c r="AL17" i="74" a="1"/>
  <c r="AL17" i="74" s="1"/>
  <c r="AP17" i="74" s="1"/>
  <c r="C24" i="75"/>
  <c r="G10" i="75"/>
  <c r="M36" i="75"/>
  <c r="L37" i="75"/>
  <c r="M12" i="75"/>
  <c r="L13" i="75"/>
  <c r="AL12" i="50" a="1"/>
  <c r="AL12" i="50" s="1"/>
  <c r="AP12" i="50" s="1"/>
  <c r="AL8" i="50" a="1"/>
  <c r="AL8" i="50" s="1"/>
  <c r="AM8" i="50" s="1"/>
  <c r="AL22" i="50" a="1"/>
  <c r="AL22" i="50" s="1"/>
  <c r="AP22" i="50" s="1"/>
  <c r="C13" i="65"/>
  <c r="AM14" i="50"/>
  <c r="AP14" i="50"/>
  <c r="AN14" i="50"/>
  <c r="C17" i="65"/>
  <c r="AN19" i="50"/>
  <c r="AP19" i="50"/>
  <c r="AN4" i="50"/>
  <c r="C6" i="65"/>
  <c r="AN9" i="50"/>
  <c r="AM9" i="50"/>
  <c r="AP9" i="50"/>
  <c r="AD26" i="74"/>
  <c r="AM8" i="74"/>
  <c r="AP8" i="74"/>
  <c r="AN8" i="74"/>
  <c r="C25" i="65"/>
  <c r="AP20" i="74"/>
  <c r="AN20" i="74"/>
  <c r="AM17" i="74"/>
  <c r="AD49" i="74"/>
  <c r="AP24" i="50"/>
  <c r="AN7" i="50"/>
  <c r="AN24" i="50"/>
  <c r="K26" i="65"/>
  <c r="AN20" i="50"/>
  <c r="AP13" i="50"/>
  <c r="AN13" i="50"/>
  <c r="AM11" i="50"/>
  <c r="AP11" i="50"/>
  <c r="AN11" i="50"/>
  <c r="AM13" i="50"/>
  <c r="AN16" i="50"/>
  <c r="AP16" i="50"/>
  <c r="AM16" i="50"/>
  <c r="AL18" i="50" a="1"/>
  <c r="AL18" i="50" s="1"/>
  <c r="C10" i="65"/>
  <c r="AL17" i="50" a="1"/>
  <c r="AL17" i="50" s="1"/>
  <c r="AN17" i="50" s="1"/>
  <c r="C19" i="65"/>
  <c r="AN21" i="74"/>
  <c r="AM21" i="74"/>
  <c r="AP23" i="50"/>
  <c r="AL21" i="50" a="1"/>
  <c r="AL21" i="50" s="1"/>
  <c r="C21" i="65"/>
  <c r="AE10" i="74"/>
  <c r="C10" i="75" s="1"/>
  <c r="L6" i="65"/>
  <c r="M6" i="65" s="1"/>
  <c r="G4" i="65" s="1"/>
  <c r="AL10" i="50" a="1"/>
  <c r="AL10" i="50" s="1"/>
  <c r="C20" i="65"/>
  <c r="AM9" i="74"/>
  <c r="AP9" i="74"/>
  <c r="AN9" i="74"/>
  <c r="AM7" i="50"/>
  <c r="AN6" i="50"/>
  <c r="AP6" i="50"/>
  <c r="AM6" i="50"/>
  <c r="AL5" i="50" a="1"/>
  <c r="AL5" i="50" s="1"/>
  <c r="AP5" i="50" s="1"/>
  <c r="C8" i="65"/>
  <c r="AL43" i="62" a="1"/>
  <c r="AL43" i="62" s="1"/>
  <c r="AN43" i="62" s="1"/>
  <c r="C38" i="72"/>
  <c r="AL34" i="62" a="1"/>
  <c r="AL34" i="62" s="1"/>
  <c r="AP34" i="62" s="1"/>
  <c r="C34" i="72"/>
  <c r="AL44" i="62" a="1"/>
  <c r="AL44" i="62" s="1"/>
  <c r="AN44" i="62" s="1"/>
  <c r="C46" i="72"/>
  <c r="AL32" i="62" a="1"/>
  <c r="AL32" i="62" s="1"/>
  <c r="AN32" i="62" s="1"/>
  <c r="C33" i="72"/>
  <c r="AL29" i="62" a="1"/>
  <c r="AL29" i="62" s="1"/>
  <c r="C31" i="72"/>
  <c r="AL46" i="62" a="1"/>
  <c r="AL46" i="62" s="1"/>
  <c r="AP46" i="62" s="1"/>
  <c r="C45" i="72"/>
  <c r="AL38" i="62" a="1"/>
  <c r="AL38" i="62" s="1"/>
  <c r="AP38" i="62" s="1"/>
  <c r="C42" i="72"/>
  <c r="AL47" i="62" a="1"/>
  <c r="AL47" i="62" s="1"/>
  <c r="AP47" i="62" s="1"/>
  <c r="C39" i="72"/>
  <c r="AL30" i="62" a="1"/>
  <c r="AL30" i="62" s="1"/>
  <c r="AP30" i="62" s="1"/>
  <c r="C32" i="72"/>
  <c r="AL35" i="62" a="1"/>
  <c r="AL35" i="62" s="1"/>
  <c r="AP35" i="62" s="1"/>
  <c r="C35" i="72"/>
  <c r="AL45" i="62" a="1"/>
  <c r="AL45" i="62" s="1"/>
  <c r="AM45" i="62" s="1"/>
  <c r="C44" i="72"/>
  <c r="AL33" i="62" a="1"/>
  <c r="AL33" i="62" s="1"/>
  <c r="AP33" i="62" s="1"/>
  <c r="C43" i="72"/>
  <c r="AL36" i="62" a="1"/>
  <c r="AL36" i="62" s="1"/>
  <c r="AP36" i="62" s="1"/>
  <c r="C40" i="72"/>
  <c r="AL41" i="62" a="1"/>
  <c r="AL41" i="62" s="1"/>
  <c r="AM41" i="62" s="1"/>
  <c r="C30" i="72"/>
  <c r="AL40" i="62" a="1"/>
  <c r="AL40" i="62" s="1"/>
  <c r="AP40" i="62" s="1"/>
  <c r="C37" i="72"/>
  <c r="AL42" i="62" a="1"/>
  <c r="AL42" i="62" s="1"/>
  <c r="AN42" i="62" s="1"/>
  <c r="C48" i="72"/>
  <c r="AL39" i="62" a="1"/>
  <c r="AL39" i="62" s="1"/>
  <c r="AP39" i="62" s="1"/>
  <c r="C49" i="72"/>
  <c r="AL12" i="62" a="1"/>
  <c r="AL12" i="62" s="1"/>
  <c r="AP12" i="62" s="1"/>
  <c r="C12" i="72"/>
  <c r="AL23" i="62" a="1"/>
  <c r="AL23" i="62" s="1"/>
  <c r="AP23" i="62" s="1"/>
  <c r="C18" i="72"/>
  <c r="AL24" i="62" a="1"/>
  <c r="AL24" i="62" s="1"/>
  <c r="AN24" i="62" s="1"/>
  <c r="C19" i="72"/>
  <c r="AL4" i="62" a="1"/>
  <c r="AL4" i="62" s="1"/>
  <c r="AP4" i="62" s="1"/>
  <c r="C7" i="72"/>
  <c r="AL19" i="62" a="1"/>
  <c r="AL19" i="62" s="1"/>
  <c r="AP19" i="62" s="1"/>
  <c r="C15" i="72"/>
  <c r="AL18" i="62" a="1"/>
  <c r="AL18" i="62" s="1"/>
  <c r="AP18" i="62" s="1"/>
  <c r="C14" i="72"/>
  <c r="AL8" i="62" a="1"/>
  <c r="AL8" i="62" s="1"/>
  <c r="AP8" i="62" s="1"/>
  <c r="C24" i="72"/>
  <c r="AL7" i="62" a="1"/>
  <c r="AL7" i="62" s="1"/>
  <c r="AP7" i="62" s="1"/>
  <c r="C5" i="72"/>
  <c r="AL22" i="62" a="1"/>
  <c r="AL22" i="62" s="1"/>
  <c r="AP22" i="62" s="1"/>
  <c r="C17" i="72"/>
  <c r="AL5" i="62" a="1"/>
  <c r="AL5" i="62" s="1"/>
  <c r="AP5" i="62" s="1"/>
  <c r="C10" i="72"/>
  <c r="AL14" i="62" a="1"/>
  <c r="AL14" i="62" s="1"/>
  <c r="AP14" i="62" s="1"/>
  <c r="C9" i="72"/>
  <c r="AL10" i="62" a="1"/>
  <c r="AL10" i="62" s="1"/>
  <c r="AP10" i="62" s="1"/>
  <c r="C8" i="72"/>
  <c r="AL15" i="62" a="1"/>
  <c r="AL15" i="62" s="1"/>
  <c r="AN15" i="62" s="1"/>
  <c r="C20" i="72"/>
  <c r="AL21" i="62" a="1"/>
  <c r="AL21" i="62" s="1"/>
  <c r="AP21" i="62" s="1"/>
  <c r="C16" i="72"/>
  <c r="AL20" i="62" a="1"/>
  <c r="AL20" i="62" s="1"/>
  <c r="AP20" i="62" s="1"/>
  <c r="C21" i="72"/>
  <c r="AL16" i="62" a="1"/>
  <c r="AL16" i="62" s="1"/>
  <c r="AP16" i="62" s="1"/>
  <c r="C23" i="72"/>
  <c r="AL11" i="62" a="1"/>
  <c r="AL11" i="62" s="1"/>
  <c r="AP11" i="62" s="1"/>
  <c r="C11" i="72"/>
  <c r="AL13" i="62" a="1"/>
  <c r="AL13" i="62" s="1"/>
  <c r="AP13" i="62" s="1"/>
  <c r="C6" i="72"/>
  <c r="AL6" i="62" a="1"/>
  <c r="AL6" i="62" s="1"/>
  <c r="AM6" i="62" s="1"/>
  <c r="C22" i="72"/>
  <c r="AL3" i="62"/>
  <c r="AN3" i="62" s="1"/>
  <c r="C4" i="72"/>
  <c r="G6" i="72"/>
  <c r="G10" i="72"/>
  <c r="G32" i="72"/>
  <c r="M12" i="72"/>
  <c r="L13" i="72"/>
  <c r="Y26" i="62"/>
  <c r="V3" i="62"/>
  <c r="V21" i="62"/>
  <c r="V20" i="62"/>
  <c r="V22" i="62"/>
  <c r="V4" i="62"/>
  <c r="V12" i="62"/>
  <c r="V13" i="62"/>
  <c r="V14" i="62"/>
  <c r="V10" i="62"/>
  <c r="V6" i="62"/>
  <c r="V17" i="62"/>
  <c r="V18" i="62"/>
  <c r="V19" i="62"/>
  <c r="V15" i="62"/>
  <c r="V11" i="62"/>
  <c r="V26" i="62" s="1"/>
  <c r="V9" i="62"/>
  <c r="V16" i="62"/>
  <c r="V5" i="62"/>
  <c r="V8" i="62"/>
  <c r="V7" i="62"/>
  <c r="V23" i="62"/>
  <c r="V24" i="62"/>
  <c r="AA49" i="62"/>
  <c r="G11" i="71"/>
  <c r="F35" i="71"/>
  <c r="E36" i="71"/>
  <c r="F11" i="71"/>
  <c r="E12" i="71"/>
  <c r="F9" i="71"/>
  <c r="E10" i="71"/>
  <c r="F10" i="71" s="1"/>
  <c r="AA26" i="62"/>
  <c r="AA52" i="62" s="1"/>
  <c r="AK51" i="62" s="1"/>
  <c r="AA52" i="54"/>
  <c r="AK51" i="54" s="1"/>
  <c r="R33" i="2"/>
  <c r="Y34" i="2"/>
  <c r="M37" i="72"/>
  <c r="L38" i="72"/>
  <c r="AM12" i="62"/>
  <c r="AM7" i="53"/>
  <c r="AP12" i="53"/>
  <c r="AM12" i="53"/>
  <c r="M35" i="71"/>
  <c r="G35" i="71" s="1"/>
  <c r="L36" i="71"/>
  <c r="M14" i="71"/>
  <c r="L15" i="71"/>
  <c r="AG48" i="62"/>
  <c r="AG25" i="62"/>
  <c r="AM39" i="62"/>
  <c r="AM5" i="52"/>
  <c r="AM41" i="52"/>
  <c r="R51" i="62"/>
  <c r="AM25" i="51"/>
  <c r="AE9" i="62"/>
  <c r="AN39" i="62"/>
  <c r="AM9" i="52"/>
  <c r="V26" i="52"/>
  <c r="M6" i="67"/>
  <c r="L7" i="67"/>
  <c r="M33" i="67"/>
  <c r="L34" i="67"/>
  <c r="F32" i="67"/>
  <c r="E33" i="67"/>
  <c r="F7" i="67"/>
  <c r="E8" i="67"/>
  <c r="F33" i="66"/>
  <c r="E34" i="66"/>
  <c r="F5" i="66"/>
  <c r="E6" i="66"/>
  <c r="M6" i="66"/>
  <c r="L7" i="66"/>
  <c r="M32" i="66"/>
  <c r="G30" i="66" s="1"/>
  <c r="L33" i="66"/>
  <c r="M30" i="65"/>
  <c r="L31" i="65"/>
  <c r="W49" i="62"/>
  <c r="AN17" i="51"/>
  <c r="W51" i="54"/>
  <c r="W26" i="62"/>
  <c r="AE37" i="62"/>
  <c r="AN9" i="52"/>
  <c r="M31" i="64"/>
  <c r="G31" i="64" s="1"/>
  <c r="L32" i="64"/>
  <c r="M5" i="64"/>
  <c r="L6" i="64"/>
  <c r="F5" i="64"/>
  <c r="E6" i="64"/>
  <c r="F31" i="64"/>
  <c r="E32" i="64"/>
  <c r="AN44" i="54"/>
  <c r="AN44" i="51"/>
  <c r="V51" i="50"/>
  <c r="AN36" i="51"/>
  <c r="AP32" i="62"/>
  <c r="AP15" i="62"/>
  <c r="AN13" i="51"/>
  <c r="AN21" i="62"/>
  <c r="AN40" i="51"/>
  <c r="AN30" i="62"/>
  <c r="AN16" i="51"/>
  <c r="AN4" i="62"/>
  <c r="AN5" i="62"/>
  <c r="AN36" i="62"/>
  <c r="AP43" i="62"/>
  <c r="AD49" i="62"/>
  <c r="AN12" i="62"/>
  <c r="AP29" i="62"/>
  <c r="AN29" i="62"/>
  <c r="AN22" i="62"/>
  <c r="AP41" i="62"/>
  <c r="AN41" i="62"/>
  <c r="V49" i="51"/>
  <c r="V49" i="62"/>
  <c r="AD26" i="62"/>
  <c r="U51" i="62"/>
  <c r="Y51" i="62" s="1"/>
  <c r="AE17" i="62"/>
  <c r="C13" i="72" s="1"/>
  <c r="AN23" i="62"/>
  <c r="V26" i="51"/>
  <c r="AN10" i="52"/>
  <c r="AN13" i="52"/>
  <c r="AN21" i="52"/>
  <c r="AE26" i="51"/>
  <c r="AD51" i="51"/>
  <c r="AP32" i="51"/>
  <c r="AP5" i="52"/>
  <c r="AP33" i="52"/>
  <c r="AN7" i="53"/>
  <c r="AN24" i="53"/>
  <c r="AL28" i="62" a="1"/>
  <c r="AL28" i="62" s="1"/>
  <c r="AP41" i="52"/>
  <c r="AP45" i="52"/>
  <c r="AD51" i="54"/>
  <c r="AP10" i="53"/>
  <c r="AD51" i="52"/>
  <c r="V49" i="52"/>
  <c r="V51" i="52" s="1"/>
  <c r="AD51" i="53"/>
  <c r="AE49" i="53"/>
  <c r="AN43" i="53"/>
  <c r="AP43" i="53"/>
  <c r="AN29" i="52"/>
  <c r="AN6" i="53"/>
  <c r="AN43" i="54"/>
  <c r="AN16" i="54"/>
  <c r="AE26" i="54"/>
  <c r="AM48" i="51"/>
  <c r="AN12" i="53"/>
  <c r="AM48" i="54"/>
  <c r="AL25" i="54"/>
  <c r="AN3" i="54"/>
  <c r="AP3" i="54"/>
  <c r="AE49" i="54"/>
  <c r="AL28" i="54" a="1"/>
  <c r="AL28" i="54" s="1"/>
  <c r="AM3" i="54"/>
  <c r="AM25" i="54" s="1"/>
  <c r="AE26" i="53"/>
  <c r="AL3" i="53"/>
  <c r="AP28" i="53"/>
  <c r="AL48" i="53"/>
  <c r="AN28" i="53"/>
  <c r="AM48" i="52"/>
  <c r="AE26" i="52"/>
  <c r="AL3" i="52"/>
  <c r="AE49" i="52"/>
  <c r="AL28" i="52" a="1"/>
  <c r="AL28" i="52" s="1"/>
  <c r="AE49" i="51"/>
  <c r="AL28" i="51" a="1"/>
  <c r="AL28" i="51" s="1"/>
  <c r="W51" i="51"/>
  <c r="AP12" i="51"/>
  <c r="AN12" i="51"/>
  <c r="AL25" i="51"/>
  <c r="N23" i="2"/>
  <c r="N72" i="2" s="1"/>
  <c r="H22" i="2"/>
  <c r="G22" i="2"/>
  <c r="F22" i="2"/>
  <c r="H21" i="2"/>
  <c r="G21" i="2"/>
  <c r="F21" i="2"/>
  <c r="H20" i="2"/>
  <c r="G20" i="2"/>
  <c r="F20" i="2"/>
  <c r="H19" i="2"/>
  <c r="G19" i="2"/>
  <c r="F19" i="2"/>
  <c r="H24" i="2"/>
  <c r="H23" i="2"/>
  <c r="G24" i="2"/>
  <c r="G23" i="2"/>
  <c r="F24" i="2"/>
  <c r="F23" i="2"/>
  <c r="H29" i="49"/>
  <c r="D4" i="49"/>
  <c r="E4" i="49"/>
  <c r="M4" i="49"/>
  <c r="N4" i="49"/>
  <c r="O4" i="49"/>
  <c r="Q4" i="49"/>
  <c r="R4" i="49"/>
  <c r="R8" i="49" s="1"/>
  <c r="S4" i="49"/>
  <c r="T4" i="49"/>
  <c r="U4" i="49"/>
  <c r="D5" i="49"/>
  <c r="E5" i="49"/>
  <c r="M5" i="49"/>
  <c r="N5" i="49"/>
  <c r="O5" i="49"/>
  <c r="Q5" i="49"/>
  <c r="R5" i="49"/>
  <c r="S5" i="49"/>
  <c r="T5" i="49"/>
  <c r="U5" i="49"/>
  <c r="C5" i="49"/>
  <c r="C4" i="49"/>
  <c r="O79" i="2"/>
  <c r="P79" i="2"/>
  <c r="Q79" i="2"/>
  <c r="S79" i="2"/>
  <c r="T79" i="2"/>
  <c r="U79" i="2"/>
  <c r="V79" i="2"/>
  <c r="W79" i="2"/>
  <c r="O80" i="2"/>
  <c r="P80" i="2"/>
  <c r="Q80" i="2"/>
  <c r="S80" i="2"/>
  <c r="T80" i="2"/>
  <c r="U80" i="2"/>
  <c r="V80" i="2"/>
  <c r="W80" i="2"/>
  <c r="N24" i="2"/>
  <c r="N73" i="2" s="1"/>
  <c r="M24" i="2"/>
  <c r="M73" i="2" s="1"/>
  <c r="I24" i="2"/>
  <c r="G5" i="49" s="1"/>
  <c r="M23" i="2"/>
  <c r="M72" i="2" s="1"/>
  <c r="J23" i="2"/>
  <c r="I23" i="2"/>
  <c r="G4" i="49" s="1"/>
  <c r="I24" i="40"/>
  <c r="Z47" i="40"/>
  <c r="X47" i="40"/>
  <c r="T47" i="40"/>
  <c r="S47" i="40"/>
  <c r="Q47" i="40"/>
  <c r="P47" i="40"/>
  <c r="Z46" i="40"/>
  <c r="X46" i="40"/>
  <c r="T46" i="40"/>
  <c r="S46" i="40"/>
  <c r="Q46" i="40"/>
  <c r="P46" i="40"/>
  <c r="Z45" i="40"/>
  <c r="X45" i="40"/>
  <c r="T45" i="40"/>
  <c r="S45" i="40"/>
  <c r="Q45" i="40"/>
  <c r="P45" i="40"/>
  <c r="Z44" i="40"/>
  <c r="X44" i="40"/>
  <c r="T44" i="40"/>
  <c r="S44" i="40"/>
  <c r="Q44" i="40"/>
  <c r="P44" i="40"/>
  <c r="Z43" i="40"/>
  <c r="X43" i="40"/>
  <c r="T43" i="40"/>
  <c r="S43" i="40"/>
  <c r="Q43" i="40"/>
  <c r="P43" i="40"/>
  <c r="Z42" i="40"/>
  <c r="X42" i="40"/>
  <c r="T42" i="40"/>
  <c r="S42" i="40"/>
  <c r="Q42" i="40"/>
  <c r="P42" i="40"/>
  <c r="Z41" i="40"/>
  <c r="X41" i="40"/>
  <c r="T41" i="40"/>
  <c r="S41" i="40"/>
  <c r="Q41" i="40"/>
  <c r="P41" i="40"/>
  <c r="Z40" i="40"/>
  <c r="X40" i="40"/>
  <c r="T40" i="40"/>
  <c r="S40" i="40"/>
  <c r="Q40" i="40"/>
  <c r="P40" i="40"/>
  <c r="Z39" i="40"/>
  <c r="X39" i="40"/>
  <c r="T39" i="40"/>
  <c r="S39" i="40"/>
  <c r="Q39" i="40"/>
  <c r="P39" i="40"/>
  <c r="Z38" i="40"/>
  <c r="X38" i="40"/>
  <c r="T38" i="40"/>
  <c r="S38" i="40"/>
  <c r="Q38" i="40"/>
  <c r="P38" i="40"/>
  <c r="Z37" i="40"/>
  <c r="X37" i="40"/>
  <c r="T37" i="40"/>
  <c r="S37" i="40"/>
  <c r="Q37" i="40"/>
  <c r="P37" i="40"/>
  <c r="Z36" i="40"/>
  <c r="X36" i="40"/>
  <c r="T36" i="40"/>
  <c r="S36" i="40"/>
  <c r="Q36" i="40"/>
  <c r="P36" i="40"/>
  <c r="Z35" i="40"/>
  <c r="X35" i="40"/>
  <c r="T35" i="40"/>
  <c r="S35" i="40"/>
  <c r="Q35" i="40"/>
  <c r="P35" i="40"/>
  <c r="Z34" i="40"/>
  <c r="X34" i="40"/>
  <c r="T34" i="40"/>
  <c r="S34" i="40"/>
  <c r="Q34" i="40"/>
  <c r="P34" i="40"/>
  <c r="Z33" i="40"/>
  <c r="X33" i="40"/>
  <c r="T33" i="40"/>
  <c r="S33" i="40"/>
  <c r="Q33" i="40"/>
  <c r="P33" i="40"/>
  <c r="Z32" i="40"/>
  <c r="X32" i="40"/>
  <c r="T32" i="40"/>
  <c r="S32" i="40"/>
  <c r="Q32" i="40"/>
  <c r="P32" i="40"/>
  <c r="Z31" i="40"/>
  <c r="X31" i="40"/>
  <c r="T31" i="40"/>
  <c r="S31" i="40"/>
  <c r="Q31" i="40"/>
  <c r="P31" i="40"/>
  <c r="Z30" i="40"/>
  <c r="X30" i="40"/>
  <c r="T30" i="40"/>
  <c r="S30" i="40"/>
  <c r="Q30" i="40"/>
  <c r="P30" i="40"/>
  <c r="Z29" i="40"/>
  <c r="S29" i="40"/>
  <c r="Q29" i="40"/>
  <c r="P29" i="40"/>
  <c r="Z28" i="40"/>
  <c r="X28" i="40"/>
  <c r="T28" i="40"/>
  <c r="S28" i="40"/>
  <c r="Q28" i="40"/>
  <c r="P28" i="40"/>
  <c r="Z24" i="40"/>
  <c r="X24" i="40"/>
  <c r="T24" i="40"/>
  <c r="S24" i="40"/>
  <c r="Q24" i="40"/>
  <c r="P24" i="40"/>
  <c r="Z23" i="40"/>
  <c r="X23" i="40"/>
  <c r="T23" i="40"/>
  <c r="S23" i="40"/>
  <c r="Q23" i="40"/>
  <c r="P23" i="40"/>
  <c r="Z22" i="40"/>
  <c r="X22" i="40"/>
  <c r="T22" i="40"/>
  <c r="S22" i="40"/>
  <c r="Q22" i="40"/>
  <c r="P22" i="40"/>
  <c r="Z21" i="40"/>
  <c r="X21" i="40"/>
  <c r="T21" i="40"/>
  <c r="S21" i="40"/>
  <c r="Q21" i="40"/>
  <c r="P21" i="40"/>
  <c r="Z20" i="40"/>
  <c r="X20" i="40"/>
  <c r="T20" i="40"/>
  <c r="S20" i="40"/>
  <c r="Q20" i="40"/>
  <c r="P20" i="40"/>
  <c r="Z19" i="40"/>
  <c r="X19" i="40"/>
  <c r="T19" i="40"/>
  <c r="S19" i="40"/>
  <c r="Q19" i="40"/>
  <c r="P19" i="40"/>
  <c r="Z18" i="40"/>
  <c r="X18" i="40"/>
  <c r="T18" i="40"/>
  <c r="S18" i="40"/>
  <c r="Q18" i="40"/>
  <c r="P18" i="40"/>
  <c r="Z17" i="40"/>
  <c r="X17" i="40"/>
  <c r="T17" i="40"/>
  <c r="S17" i="40"/>
  <c r="Q17" i="40"/>
  <c r="P17" i="40"/>
  <c r="Z16" i="40"/>
  <c r="X16" i="40"/>
  <c r="T16" i="40"/>
  <c r="S16" i="40"/>
  <c r="Q16" i="40"/>
  <c r="P16" i="40"/>
  <c r="Z15" i="40"/>
  <c r="X15" i="40"/>
  <c r="T15" i="40"/>
  <c r="S15" i="40"/>
  <c r="Q15" i="40"/>
  <c r="P15" i="40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Z6" i="40"/>
  <c r="T6" i="40"/>
  <c r="S6" i="40"/>
  <c r="Q6" i="40"/>
  <c r="P6" i="40"/>
  <c r="Z5" i="40"/>
  <c r="X5" i="40"/>
  <c r="T5" i="40"/>
  <c r="S5" i="40"/>
  <c r="Q5" i="40"/>
  <c r="P5" i="40"/>
  <c r="Z4" i="40"/>
  <c r="X4" i="40"/>
  <c r="T4" i="40"/>
  <c r="S4" i="40"/>
  <c r="Q4" i="40"/>
  <c r="P4" i="40"/>
  <c r="Z3" i="40"/>
  <c r="X3" i="40"/>
  <c r="T3" i="40"/>
  <c r="S3" i="40"/>
  <c r="Q3" i="40"/>
  <c r="P3" i="40"/>
  <c r="K60" i="46"/>
  <c r="I60" i="46"/>
  <c r="K58" i="46"/>
  <c r="I58" i="46"/>
  <c r="J51" i="46"/>
  <c r="G51" i="46"/>
  <c r="F51" i="46"/>
  <c r="E51" i="46"/>
  <c r="D51" i="46"/>
  <c r="AC49" i="46"/>
  <c r="AB49" i="46"/>
  <c r="K49" i="46"/>
  <c r="C49" i="46"/>
  <c r="AH47" i="46"/>
  <c r="U47" i="46"/>
  <c r="N47" i="46"/>
  <c r="I47" i="46"/>
  <c r="AH46" i="46"/>
  <c r="U46" i="46"/>
  <c r="AK46" i="46"/>
  <c r="N46" i="46"/>
  <c r="I46" i="46"/>
  <c r="AH45" i="46"/>
  <c r="U45" i="46"/>
  <c r="AG45" i="46"/>
  <c r="AK45" i="46"/>
  <c r="N45" i="46"/>
  <c r="I45" i="46"/>
  <c r="AH44" i="46"/>
  <c r="U44" i="46"/>
  <c r="AI44" i="46"/>
  <c r="AJ44" i="46"/>
  <c r="N44" i="46"/>
  <c r="I44" i="46"/>
  <c r="AH43" i="46"/>
  <c r="U43" i="46"/>
  <c r="N43" i="46"/>
  <c r="I43" i="46"/>
  <c r="AH42" i="46"/>
  <c r="U42" i="46"/>
  <c r="AK42" i="46"/>
  <c r="N42" i="46"/>
  <c r="I42" i="46"/>
  <c r="AH41" i="46"/>
  <c r="U41" i="46"/>
  <c r="AG41" i="46"/>
  <c r="AM41" i="46" s="1"/>
  <c r="AK41" i="46"/>
  <c r="N41" i="46"/>
  <c r="I41" i="46"/>
  <c r="AH40" i="46"/>
  <c r="U40" i="46"/>
  <c r="AI40" i="46"/>
  <c r="AJ40" i="46"/>
  <c r="N40" i="46"/>
  <c r="I40" i="46"/>
  <c r="AH39" i="46"/>
  <c r="U39" i="46"/>
  <c r="N39" i="46"/>
  <c r="I39" i="46"/>
  <c r="AH38" i="46"/>
  <c r="U38" i="46"/>
  <c r="AK38" i="46"/>
  <c r="N38" i="46"/>
  <c r="I38" i="46"/>
  <c r="AH37" i="46"/>
  <c r="U37" i="46"/>
  <c r="AG37" i="46"/>
  <c r="AK37" i="46"/>
  <c r="N37" i="46"/>
  <c r="I37" i="46"/>
  <c r="AH36" i="46"/>
  <c r="U36" i="46"/>
  <c r="AI36" i="46"/>
  <c r="AJ36" i="46"/>
  <c r="N36" i="46"/>
  <c r="I36" i="46"/>
  <c r="AH35" i="46"/>
  <c r="U35" i="46"/>
  <c r="N35" i="46"/>
  <c r="I35" i="46"/>
  <c r="AH34" i="46"/>
  <c r="U34" i="46"/>
  <c r="AK34" i="46"/>
  <c r="N34" i="46"/>
  <c r="I34" i="46"/>
  <c r="AH33" i="46"/>
  <c r="U33" i="46"/>
  <c r="AK33" i="46"/>
  <c r="N33" i="46"/>
  <c r="I33" i="46"/>
  <c r="AH32" i="46"/>
  <c r="U32" i="46"/>
  <c r="AI32" i="46"/>
  <c r="AJ32" i="46"/>
  <c r="N32" i="46"/>
  <c r="I32" i="46"/>
  <c r="AH31" i="46"/>
  <c r="U31" i="46"/>
  <c r="N31" i="46"/>
  <c r="I31" i="46"/>
  <c r="AH30" i="46"/>
  <c r="U30" i="46"/>
  <c r="AK30" i="46"/>
  <c r="N30" i="46"/>
  <c r="I30" i="46"/>
  <c r="AH29" i="46"/>
  <c r="U29" i="46"/>
  <c r="AG29" i="46"/>
  <c r="AK29" i="46"/>
  <c r="N29" i="46"/>
  <c r="I29" i="46"/>
  <c r="AH28" i="46"/>
  <c r="AH48" i="46" s="1"/>
  <c r="Z49" i="46"/>
  <c r="X49" i="46"/>
  <c r="U28" i="46"/>
  <c r="S49" i="46"/>
  <c r="AI28" i="46"/>
  <c r="Q49" i="46"/>
  <c r="P49" i="46"/>
  <c r="N28" i="46"/>
  <c r="I28" i="46"/>
  <c r="I49" i="46" s="1"/>
  <c r="AA27" i="46"/>
  <c r="AC26" i="46"/>
  <c r="AC51" i="46" s="1"/>
  <c r="AB26" i="46"/>
  <c r="K26" i="46"/>
  <c r="K51" i="46" s="1"/>
  <c r="C26" i="46"/>
  <c r="C51" i="46" s="1"/>
  <c r="AK24" i="46"/>
  <c r="AH24" i="46"/>
  <c r="U24" i="46"/>
  <c r="N24" i="46"/>
  <c r="I24" i="46"/>
  <c r="AK23" i="46"/>
  <c r="AH23" i="46"/>
  <c r="U23" i="46"/>
  <c r="AJ23" i="46"/>
  <c r="N23" i="46"/>
  <c r="I23" i="46"/>
  <c r="AK22" i="46"/>
  <c r="AH22" i="46"/>
  <c r="U22" i="46"/>
  <c r="AD22" i="46" s="1"/>
  <c r="AJ22" i="46"/>
  <c r="N22" i="46"/>
  <c r="I22" i="46"/>
  <c r="AK21" i="46"/>
  <c r="AH21" i="46"/>
  <c r="U21" i="46"/>
  <c r="AJ21" i="46"/>
  <c r="N21" i="46"/>
  <c r="I21" i="46"/>
  <c r="AK20" i="46"/>
  <c r="AH20" i="46"/>
  <c r="U20" i="46"/>
  <c r="N20" i="46"/>
  <c r="I20" i="46"/>
  <c r="AK19" i="46"/>
  <c r="AH19" i="46"/>
  <c r="U19" i="46"/>
  <c r="AJ19" i="46"/>
  <c r="N19" i="46"/>
  <c r="I19" i="46"/>
  <c r="AK18" i="46"/>
  <c r="AH18" i="46"/>
  <c r="U18" i="46"/>
  <c r="AG18" i="46"/>
  <c r="AM18" i="46" s="1"/>
  <c r="AJ18" i="46"/>
  <c r="N18" i="46"/>
  <c r="I18" i="46"/>
  <c r="AK17" i="46"/>
  <c r="AH17" i="46"/>
  <c r="U17" i="46"/>
  <c r="O17" i="46"/>
  <c r="AJ17" i="46"/>
  <c r="N17" i="46"/>
  <c r="I17" i="46"/>
  <c r="AK16" i="46"/>
  <c r="AH16" i="46"/>
  <c r="U16" i="46"/>
  <c r="N16" i="46"/>
  <c r="I16" i="46"/>
  <c r="AK15" i="46"/>
  <c r="AH15" i="46"/>
  <c r="U15" i="46"/>
  <c r="O15" i="46"/>
  <c r="AJ15" i="46"/>
  <c r="N15" i="46"/>
  <c r="I15" i="46"/>
  <c r="AK14" i="46"/>
  <c r="AH14" i="46"/>
  <c r="U14" i="46"/>
  <c r="O14" i="46"/>
  <c r="AJ14" i="46"/>
  <c r="N14" i="46"/>
  <c r="I14" i="46"/>
  <c r="AK13" i="46"/>
  <c r="AH13" i="46"/>
  <c r="U13" i="46"/>
  <c r="O13" i="46"/>
  <c r="AJ13" i="46"/>
  <c r="N13" i="46"/>
  <c r="I13" i="46"/>
  <c r="AK12" i="46"/>
  <c r="AH12" i="46"/>
  <c r="U12" i="46"/>
  <c r="N12" i="46"/>
  <c r="I12" i="46"/>
  <c r="AH11" i="46"/>
  <c r="U11" i="46"/>
  <c r="AJ11" i="46"/>
  <c r="N11" i="46"/>
  <c r="I11" i="46"/>
  <c r="AH10" i="46"/>
  <c r="U10" i="46"/>
  <c r="N10" i="46"/>
  <c r="I10" i="46"/>
  <c r="AK9" i="46"/>
  <c r="AH9" i="46"/>
  <c r="U9" i="46"/>
  <c r="AG9" i="46"/>
  <c r="AJ9" i="46"/>
  <c r="N9" i="46"/>
  <c r="I9" i="46"/>
  <c r="AH8" i="46"/>
  <c r="U8" i="46"/>
  <c r="Y8" i="46" s="1"/>
  <c r="N8" i="46"/>
  <c r="I8" i="46"/>
  <c r="AH7" i="46"/>
  <c r="U7" i="46"/>
  <c r="N7" i="46"/>
  <c r="I7" i="46"/>
  <c r="AH6" i="46"/>
  <c r="U6" i="46"/>
  <c r="AK6" i="46"/>
  <c r="N6" i="46"/>
  <c r="I6" i="46"/>
  <c r="AH5" i="46"/>
  <c r="U5" i="46"/>
  <c r="AI5" i="46"/>
  <c r="AJ5" i="46"/>
  <c r="N5" i="46"/>
  <c r="I5" i="46"/>
  <c r="AH4" i="46"/>
  <c r="U4" i="46"/>
  <c r="AK4" i="46"/>
  <c r="N4" i="46"/>
  <c r="I4" i="46"/>
  <c r="AK3" i="46"/>
  <c r="AH3" i="46"/>
  <c r="AH25" i="46" s="1"/>
  <c r="Z26" i="46"/>
  <c r="Z51" i="46" s="1"/>
  <c r="S26" i="46"/>
  <c r="S51" i="46" s="1"/>
  <c r="Q26" i="46"/>
  <c r="Q51" i="46" s="1"/>
  <c r="N3" i="46"/>
  <c r="I3" i="46"/>
  <c r="J50" i="45"/>
  <c r="K49" i="45" s="1"/>
  <c r="J26" i="45"/>
  <c r="K23" i="45" s="1"/>
  <c r="Y45" i="2" l="1"/>
  <c r="M16" i="73" s="1"/>
  <c r="W5" i="73"/>
  <c r="K16" i="73" s="1"/>
  <c r="C17" i="1" s="1"/>
  <c r="AN22" i="74"/>
  <c r="AM4" i="62"/>
  <c r="AM7" i="62"/>
  <c r="AN7" i="62"/>
  <c r="AM22" i="74"/>
  <c r="AM11" i="74"/>
  <c r="AN11" i="74"/>
  <c r="AP18" i="74"/>
  <c r="C26" i="75"/>
  <c r="D10" i="75" s="1"/>
  <c r="AN17" i="74"/>
  <c r="AD51" i="74"/>
  <c r="AD54" i="74" s="1"/>
  <c r="M37" i="75"/>
  <c r="L38" i="75"/>
  <c r="M13" i="75"/>
  <c r="G8" i="75" s="1"/>
  <c r="L14" i="75"/>
  <c r="AN12" i="50"/>
  <c r="AN5" i="50"/>
  <c r="AN22" i="50"/>
  <c r="AN8" i="50"/>
  <c r="AP8" i="50"/>
  <c r="AM22" i="50"/>
  <c r="AP17" i="50"/>
  <c r="AM5" i="50"/>
  <c r="L7" i="65"/>
  <c r="M7" i="65" s="1"/>
  <c r="AP21" i="50"/>
  <c r="AN21" i="50"/>
  <c r="AP18" i="50"/>
  <c r="AN18" i="50"/>
  <c r="AM10" i="50"/>
  <c r="AP10" i="50"/>
  <c r="AN10" i="50"/>
  <c r="AL10" i="74" a="1"/>
  <c r="AL10" i="74" s="1"/>
  <c r="AM28" i="50"/>
  <c r="AN35" i="62"/>
  <c r="AP44" i="62"/>
  <c r="AN34" i="62"/>
  <c r="AP42" i="62"/>
  <c r="AN45" i="62"/>
  <c r="AP45" i="62"/>
  <c r="AN46" i="62"/>
  <c r="AN47" i="62"/>
  <c r="AN40" i="62"/>
  <c r="AN38" i="62"/>
  <c r="AN10" i="62"/>
  <c r="AM5" i="62"/>
  <c r="AN19" i="62"/>
  <c r="AP3" i="62"/>
  <c r="AN33" i="62"/>
  <c r="AL37" i="62" a="1"/>
  <c r="AL37" i="62" s="1"/>
  <c r="AP37" i="62" s="1"/>
  <c r="C36" i="72"/>
  <c r="C50" i="72" s="1"/>
  <c r="AM33" i="62"/>
  <c r="AN6" i="62"/>
  <c r="AN14" i="62"/>
  <c r="AN13" i="62"/>
  <c r="AL9" i="62" a="1"/>
  <c r="AL9" i="62" s="1"/>
  <c r="AM9" i="62" s="1"/>
  <c r="C25" i="72"/>
  <c r="AM14" i="62"/>
  <c r="AP6" i="62"/>
  <c r="AN16" i="62"/>
  <c r="AN8" i="62"/>
  <c r="AM16" i="62"/>
  <c r="AP24" i="62"/>
  <c r="AM13" i="62"/>
  <c r="AM10" i="62"/>
  <c r="AM15" i="62"/>
  <c r="AM8" i="62"/>
  <c r="AN18" i="62"/>
  <c r="AN20" i="62"/>
  <c r="AN11" i="62"/>
  <c r="AM11" i="62"/>
  <c r="AM3" i="62"/>
  <c r="C26" i="72"/>
  <c r="D4" i="72" s="1"/>
  <c r="Q8" i="49"/>
  <c r="M13" i="72"/>
  <c r="L14" i="72"/>
  <c r="G12" i="71"/>
  <c r="F36" i="71"/>
  <c r="E37" i="71"/>
  <c r="E13" i="71"/>
  <c r="F12" i="71"/>
  <c r="AD33" i="2"/>
  <c r="E33" i="2"/>
  <c r="Y33" i="2"/>
  <c r="AB34" i="2"/>
  <c r="Z5" i="73" s="1"/>
  <c r="M25" i="73" s="1"/>
  <c r="C15" i="1" s="1"/>
  <c r="AC34" i="2"/>
  <c r="AA5" i="73" s="1"/>
  <c r="M26" i="73" s="1"/>
  <c r="C16" i="1" s="1"/>
  <c r="M38" i="72"/>
  <c r="G33" i="72" s="1"/>
  <c r="L39" i="72"/>
  <c r="M15" i="71"/>
  <c r="L16" i="71"/>
  <c r="M36" i="71"/>
  <c r="G36" i="71" s="1"/>
  <c r="L37" i="71"/>
  <c r="O8" i="49"/>
  <c r="S8" i="49"/>
  <c r="J72" i="2"/>
  <c r="U8" i="49"/>
  <c r="M8" i="49"/>
  <c r="F8" i="67"/>
  <c r="E9" i="67"/>
  <c r="E11" i="67"/>
  <c r="F33" i="67"/>
  <c r="E34" i="67"/>
  <c r="M34" i="67"/>
  <c r="G32" i="67" s="1"/>
  <c r="L35" i="67"/>
  <c r="M7" i="67"/>
  <c r="L8" i="67"/>
  <c r="M33" i="66"/>
  <c r="G31" i="66" s="1"/>
  <c r="L34" i="66"/>
  <c r="M7" i="66"/>
  <c r="G4" i="66" s="1"/>
  <c r="L8" i="66"/>
  <c r="F6" i="66"/>
  <c r="E7" i="66"/>
  <c r="F34" i="66"/>
  <c r="E35" i="66"/>
  <c r="M31" i="65"/>
  <c r="L32" i="65"/>
  <c r="W51" i="62"/>
  <c r="AE49" i="62"/>
  <c r="K30" i="45"/>
  <c r="K33" i="45"/>
  <c r="K31" i="45"/>
  <c r="K32" i="45"/>
  <c r="K34" i="45"/>
  <c r="K35" i="45"/>
  <c r="K36" i="45"/>
  <c r="K37" i="45"/>
  <c r="K38" i="45"/>
  <c r="K39" i="45"/>
  <c r="K40" i="45"/>
  <c r="K41" i="45"/>
  <c r="K42" i="45"/>
  <c r="K43" i="45"/>
  <c r="K46" i="45"/>
  <c r="K48" i="45"/>
  <c r="K44" i="45"/>
  <c r="K45" i="45"/>
  <c r="K47" i="45"/>
  <c r="K19" i="45"/>
  <c r="K7" i="45"/>
  <c r="K14" i="45"/>
  <c r="K25" i="45"/>
  <c r="K15" i="45"/>
  <c r="K20" i="45"/>
  <c r="K4" i="45"/>
  <c r="L4" i="45" s="1"/>
  <c r="M4" i="45" s="1"/>
  <c r="G4" i="45" s="1"/>
  <c r="K11" i="45"/>
  <c r="K16" i="45"/>
  <c r="K21" i="45"/>
  <c r="K5" i="45"/>
  <c r="K22" i="45"/>
  <c r="K8" i="45"/>
  <c r="K12" i="45"/>
  <c r="K17" i="45"/>
  <c r="K9" i="45"/>
  <c r="K10" i="45"/>
  <c r="K6" i="45"/>
  <c r="K13" i="45"/>
  <c r="K18" i="45"/>
  <c r="K24" i="45"/>
  <c r="F32" i="64"/>
  <c r="E33" i="64"/>
  <c r="F6" i="64"/>
  <c r="E7" i="64"/>
  <c r="M6" i="64"/>
  <c r="L7" i="64"/>
  <c r="M32" i="64"/>
  <c r="G30" i="64" s="1"/>
  <c r="L33" i="64"/>
  <c r="W45" i="46"/>
  <c r="AI15" i="46"/>
  <c r="AI9" i="46"/>
  <c r="AI45" i="46"/>
  <c r="O9" i="46"/>
  <c r="O45" i="46"/>
  <c r="I26" i="46"/>
  <c r="I51" i="46" s="1"/>
  <c r="J60" i="46" s="1"/>
  <c r="L58" i="46"/>
  <c r="L60" i="46"/>
  <c r="AN25" i="51"/>
  <c r="AD51" i="62"/>
  <c r="V51" i="51"/>
  <c r="AL17" i="62" a="1"/>
  <c r="AL17" i="62" s="1"/>
  <c r="AE26" i="62"/>
  <c r="AE51" i="51"/>
  <c r="AP28" i="62"/>
  <c r="AL48" i="62"/>
  <c r="AN28" i="62"/>
  <c r="AM28" i="62"/>
  <c r="AM48" i="62" s="1"/>
  <c r="V51" i="62"/>
  <c r="AE51" i="52"/>
  <c r="AN25" i="54"/>
  <c r="AP49" i="53"/>
  <c r="AE51" i="53"/>
  <c r="AN48" i="53"/>
  <c r="AE51" i="54"/>
  <c r="AP28" i="54"/>
  <c r="AP49" i="54" s="1"/>
  <c r="AL48" i="54"/>
  <c r="AN28" i="54"/>
  <c r="AN48" i="54" s="1"/>
  <c r="AP26" i="54"/>
  <c r="AL25" i="53"/>
  <c r="AP3" i="53"/>
  <c r="AN3" i="53"/>
  <c r="AN25" i="53" s="1"/>
  <c r="AM3" i="53"/>
  <c r="AM25" i="53" s="1"/>
  <c r="AL48" i="52"/>
  <c r="AP28" i="52"/>
  <c r="AP49" i="52" s="1"/>
  <c r="AN28" i="52"/>
  <c r="AN48" i="52" s="1"/>
  <c r="AL25" i="52"/>
  <c r="AP3" i="52"/>
  <c r="AN3" i="52"/>
  <c r="AN25" i="52" s="1"/>
  <c r="AM3" i="52"/>
  <c r="AM25" i="52" s="1"/>
  <c r="AP26" i="51"/>
  <c r="AP28" i="51"/>
  <c r="AP49" i="51" s="1"/>
  <c r="AL48" i="51"/>
  <c r="AN28" i="51"/>
  <c r="AN48" i="51" s="1"/>
  <c r="L4" i="49"/>
  <c r="K4" i="49"/>
  <c r="J76" i="2"/>
  <c r="G22" i="49" s="1"/>
  <c r="H5" i="1" s="1"/>
  <c r="L5" i="49"/>
  <c r="H4" i="49"/>
  <c r="K23" i="2"/>
  <c r="K72" i="2" s="1"/>
  <c r="K5" i="49"/>
  <c r="T8" i="49"/>
  <c r="N8" i="49"/>
  <c r="AD11" i="46"/>
  <c r="Y11" i="46"/>
  <c r="AG6" i="46"/>
  <c r="AI7" i="46"/>
  <c r="O7" i="46"/>
  <c r="AG7" i="46"/>
  <c r="AM7" i="46" s="1"/>
  <c r="AD13" i="46"/>
  <c r="AE13" i="46" s="1"/>
  <c r="Y13" i="46"/>
  <c r="AI8" i="46"/>
  <c r="O8" i="46"/>
  <c r="AG8" i="46"/>
  <c r="Y16" i="46"/>
  <c r="AD16" i="46"/>
  <c r="AD6" i="46"/>
  <c r="Y6" i="46"/>
  <c r="AD7" i="46"/>
  <c r="Y7" i="46"/>
  <c r="AG10" i="46"/>
  <c r="AI10" i="46"/>
  <c r="O10" i="46"/>
  <c r="AD14" i="46"/>
  <c r="Y14" i="46"/>
  <c r="Y17" i="46"/>
  <c r="AD17" i="46"/>
  <c r="Y4" i="46"/>
  <c r="AD4" i="46"/>
  <c r="Y12" i="46"/>
  <c r="AD12" i="46"/>
  <c r="AD15" i="46"/>
  <c r="AE15" i="46" s="1"/>
  <c r="Y15" i="46"/>
  <c r="AD5" i="46"/>
  <c r="Y5" i="46"/>
  <c r="AD9" i="46"/>
  <c r="AE9" i="46" s="1"/>
  <c r="Y9" i="46"/>
  <c r="T26" i="46"/>
  <c r="AK5" i="46"/>
  <c r="O6" i="46"/>
  <c r="AI6" i="46"/>
  <c r="AD8" i="46"/>
  <c r="AI22" i="46"/>
  <c r="O22" i="46"/>
  <c r="AG22" i="46"/>
  <c r="AM22" i="46" s="1"/>
  <c r="U49" i="46"/>
  <c r="Y49" i="46" s="1"/>
  <c r="AD28" i="46"/>
  <c r="Y28" i="46"/>
  <c r="AD37" i="46"/>
  <c r="Y37" i="46"/>
  <c r="AI39" i="46"/>
  <c r="W39" i="46"/>
  <c r="AE39" i="46" s="1"/>
  <c r="O39" i="46"/>
  <c r="AG39" i="46"/>
  <c r="AJ6" i="46"/>
  <c r="AJ10" i="46"/>
  <c r="AK10" i="46"/>
  <c r="AK11" i="46"/>
  <c r="AI13" i="46"/>
  <c r="AI19" i="46"/>
  <c r="O19" i="46"/>
  <c r="AG19" i="46"/>
  <c r="AM19" i="46" s="1"/>
  <c r="AD33" i="46"/>
  <c r="Y33" i="46"/>
  <c r="AI35" i="46"/>
  <c r="W35" i="46"/>
  <c r="O35" i="46"/>
  <c r="AG35" i="46"/>
  <c r="AM35" i="46" s="1"/>
  <c r="AD42" i="46"/>
  <c r="Y42" i="46"/>
  <c r="Y43" i="46"/>
  <c r="AD43" i="46"/>
  <c r="J58" i="46"/>
  <c r="I59" i="46"/>
  <c r="J59" i="46" s="1"/>
  <c r="U3" i="46"/>
  <c r="Y10" i="46"/>
  <c r="Y19" i="46"/>
  <c r="AD19" i="46"/>
  <c r="AI20" i="46"/>
  <c r="O20" i="46"/>
  <c r="AG20" i="46"/>
  <c r="AM20" i="46" s="1"/>
  <c r="AD29" i="46"/>
  <c r="Y29" i="46"/>
  <c r="AI31" i="46"/>
  <c r="W31" i="46"/>
  <c r="O31" i="46"/>
  <c r="AG31" i="46"/>
  <c r="AM31" i="46" s="1"/>
  <c r="AD38" i="46"/>
  <c r="Y38" i="46"/>
  <c r="V38" i="46"/>
  <c r="Y39" i="46"/>
  <c r="AD39" i="46"/>
  <c r="AI47" i="46"/>
  <c r="W47" i="46"/>
  <c r="O47" i="46"/>
  <c r="AG47" i="46"/>
  <c r="AM47" i="46" s="1"/>
  <c r="AJ7" i="46"/>
  <c r="AG14" i="46"/>
  <c r="AG17" i="46"/>
  <c r="AM17" i="46" s="1"/>
  <c r="AI23" i="46"/>
  <c r="O23" i="46"/>
  <c r="AG23" i="46"/>
  <c r="AM23" i="46" s="1"/>
  <c r="AD34" i="46"/>
  <c r="Y34" i="46"/>
  <c r="Y35" i="46"/>
  <c r="AD35" i="46"/>
  <c r="V44" i="46"/>
  <c r="AD44" i="46"/>
  <c r="Y44" i="46"/>
  <c r="P26" i="46"/>
  <c r="X26" i="46"/>
  <c r="X51" i="46" s="1"/>
  <c r="AJ3" i="46"/>
  <c r="AG5" i="46"/>
  <c r="AM5" i="46" s="1"/>
  <c r="AK7" i="46"/>
  <c r="AD10" i="46"/>
  <c r="AI18" i="46"/>
  <c r="O18" i="46"/>
  <c r="Y23" i="46"/>
  <c r="AD23" i="46"/>
  <c r="AI24" i="46"/>
  <c r="O24" i="46"/>
  <c r="AG24" i="46"/>
  <c r="AM24" i="46" s="1"/>
  <c r="AD30" i="46"/>
  <c r="Y30" i="46"/>
  <c r="Y31" i="46"/>
  <c r="V31" i="46"/>
  <c r="AD31" i="46"/>
  <c r="AD40" i="46"/>
  <c r="Y40" i="46"/>
  <c r="Y47" i="46"/>
  <c r="AD47" i="46"/>
  <c r="AJ8" i="46"/>
  <c r="AE10" i="46"/>
  <c r="AJ12" i="46"/>
  <c r="AI14" i="46"/>
  <c r="AI17" i="46"/>
  <c r="V36" i="46"/>
  <c r="AD36" i="46"/>
  <c r="Y36" i="46"/>
  <c r="AJ4" i="46"/>
  <c r="O5" i="46"/>
  <c r="AE5" i="46"/>
  <c r="AK8" i="46"/>
  <c r="AG15" i="46"/>
  <c r="V20" i="46"/>
  <c r="AG21" i="46"/>
  <c r="AM21" i="46" s="1"/>
  <c r="AI21" i="46"/>
  <c r="O21" i="46"/>
  <c r="AG13" i="46"/>
  <c r="AD18" i="46"/>
  <c r="AE18" i="46" s="1"/>
  <c r="Y18" i="46"/>
  <c r="V18" i="46"/>
  <c r="AD21" i="46"/>
  <c r="Y21" i="46"/>
  <c r="AD32" i="46"/>
  <c r="Y32" i="46"/>
  <c r="AG33" i="46"/>
  <c r="V41" i="46"/>
  <c r="AD41" i="46"/>
  <c r="Y41" i="46"/>
  <c r="AI43" i="46"/>
  <c r="W43" i="46"/>
  <c r="O43" i="46"/>
  <c r="AG43" i="46"/>
  <c r="AM43" i="46" s="1"/>
  <c r="AD45" i="46"/>
  <c r="AE45" i="46" s="1"/>
  <c r="Y45" i="46"/>
  <c r="AJ16" i="46"/>
  <c r="AJ20" i="46"/>
  <c r="AE22" i="46"/>
  <c r="AJ24" i="46"/>
  <c r="AK28" i="46"/>
  <c r="O29" i="46"/>
  <c r="W29" i="46"/>
  <c r="AI29" i="46"/>
  <c r="AG30" i="46"/>
  <c r="AM30" i="46" s="1"/>
  <c r="AK32" i="46"/>
  <c r="O33" i="46"/>
  <c r="W33" i="46"/>
  <c r="AI33" i="46"/>
  <c r="AG34" i="46"/>
  <c r="AM34" i="46" s="1"/>
  <c r="AK36" i="46"/>
  <c r="O37" i="46"/>
  <c r="W37" i="46"/>
  <c r="AE37" i="46" s="1"/>
  <c r="AI37" i="46"/>
  <c r="AG38" i="46"/>
  <c r="AM38" i="46" s="1"/>
  <c r="AK40" i="46"/>
  <c r="O41" i="46"/>
  <c r="W41" i="46"/>
  <c r="AI41" i="46"/>
  <c r="AG42" i="46"/>
  <c r="AM42" i="46" s="1"/>
  <c r="AK44" i="46"/>
  <c r="AG46" i="46"/>
  <c r="AM46" i="46" s="1"/>
  <c r="Y20" i="46"/>
  <c r="Y24" i="46"/>
  <c r="AJ29" i="46"/>
  <c r="AJ33" i="46"/>
  <c r="AJ37" i="46"/>
  <c r="AJ41" i="46"/>
  <c r="AJ45" i="46"/>
  <c r="R49" i="46"/>
  <c r="V22" i="46"/>
  <c r="O30" i="46"/>
  <c r="W30" i="46"/>
  <c r="AE30" i="46" s="1"/>
  <c r="AI30" i="46"/>
  <c r="O34" i="46"/>
  <c r="W34" i="46"/>
  <c r="AE34" i="46" s="1"/>
  <c r="AI34" i="46"/>
  <c r="O38" i="46"/>
  <c r="W38" i="46"/>
  <c r="AI38" i="46"/>
  <c r="O42" i="46"/>
  <c r="W42" i="46"/>
  <c r="AE42" i="46" s="1"/>
  <c r="AI42" i="46"/>
  <c r="O46" i="46"/>
  <c r="W46" i="46"/>
  <c r="AI46" i="46"/>
  <c r="AD20" i="46"/>
  <c r="AD24" i="46"/>
  <c r="AE24" i="46" s="1"/>
  <c r="AJ30" i="46"/>
  <c r="AJ34" i="46"/>
  <c r="AJ38" i="46"/>
  <c r="AJ42" i="46"/>
  <c r="AJ46" i="46"/>
  <c r="T49" i="46"/>
  <c r="AG28" i="46"/>
  <c r="AG32" i="46"/>
  <c r="AM32" i="46" s="1"/>
  <c r="AG36" i="46"/>
  <c r="AM36" i="46" s="1"/>
  <c r="AG40" i="46"/>
  <c r="AM40" i="46" s="1"/>
  <c r="AG44" i="46"/>
  <c r="Y46" i="46"/>
  <c r="Y22" i="46"/>
  <c r="AJ31" i="46"/>
  <c r="AJ35" i="46"/>
  <c r="AJ39" i="46"/>
  <c r="AJ43" i="46"/>
  <c r="AJ47" i="46"/>
  <c r="O28" i="46"/>
  <c r="W28" i="46"/>
  <c r="AK31" i="46"/>
  <c r="O32" i="46"/>
  <c r="W32" i="46"/>
  <c r="AE32" i="46" s="1"/>
  <c r="AK35" i="46"/>
  <c r="O36" i="46"/>
  <c r="W36" i="46"/>
  <c r="AK39" i="46"/>
  <c r="O40" i="46"/>
  <c r="W40" i="46"/>
  <c r="AE40" i="46" s="1"/>
  <c r="AK43" i="46"/>
  <c r="O44" i="46"/>
  <c r="W44" i="46"/>
  <c r="AD46" i="46"/>
  <c r="AK47" i="46"/>
  <c r="AJ28" i="46"/>
  <c r="L30" i="45"/>
  <c r="H29" i="43"/>
  <c r="D4" i="43"/>
  <c r="E4" i="43"/>
  <c r="M4" i="43"/>
  <c r="N4" i="43"/>
  <c r="O4" i="43"/>
  <c r="Q4" i="43"/>
  <c r="R4" i="43"/>
  <c r="S4" i="43"/>
  <c r="T4" i="43"/>
  <c r="U4" i="43"/>
  <c r="D5" i="43"/>
  <c r="E5" i="43"/>
  <c r="M5" i="43"/>
  <c r="N5" i="43"/>
  <c r="O5" i="43"/>
  <c r="Q5" i="43"/>
  <c r="R5" i="43"/>
  <c r="S5" i="43"/>
  <c r="T5" i="43"/>
  <c r="U5" i="43"/>
  <c r="C5" i="43"/>
  <c r="C4" i="43"/>
  <c r="O86" i="2"/>
  <c r="P86" i="2"/>
  <c r="Q86" i="2"/>
  <c r="S86" i="2"/>
  <c r="T86" i="2"/>
  <c r="U86" i="2"/>
  <c r="V86" i="2"/>
  <c r="W86" i="2"/>
  <c r="O87" i="2"/>
  <c r="P87" i="2"/>
  <c r="Q87" i="2"/>
  <c r="S87" i="2"/>
  <c r="T87" i="2"/>
  <c r="U87" i="2"/>
  <c r="V87" i="2"/>
  <c r="W87" i="2"/>
  <c r="R22" i="2"/>
  <c r="N22" i="2"/>
  <c r="M22" i="2"/>
  <c r="J22" i="2"/>
  <c r="H5" i="43" s="1"/>
  <c r="I22" i="2"/>
  <c r="R21" i="2"/>
  <c r="N21" i="2"/>
  <c r="N79" i="2" s="1"/>
  <c r="M21" i="2"/>
  <c r="M79" i="2" s="1"/>
  <c r="J21" i="2"/>
  <c r="I21" i="2"/>
  <c r="G8" i="49" s="1"/>
  <c r="W4" i="73" l="1"/>
  <c r="Y44" i="2"/>
  <c r="G16" i="73" s="1"/>
  <c r="Z27" i="2"/>
  <c r="D12" i="75"/>
  <c r="D8" i="75"/>
  <c r="D17" i="75"/>
  <c r="D21" i="75"/>
  <c r="D4" i="75"/>
  <c r="D13" i="75"/>
  <c r="D5" i="75"/>
  <c r="D20" i="75"/>
  <c r="D23" i="75"/>
  <c r="D19" i="75"/>
  <c r="D14" i="75"/>
  <c r="D6" i="75"/>
  <c r="D25" i="75"/>
  <c r="D11" i="75"/>
  <c r="D18" i="75"/>
  <c r="D7" i="75"/>
  <c r="D9" i="75"/>
  <c r="D16" i="75"/>
  <c r="D15" i="75"/>
  <c r="D22" i="75"/>
  <c r="D24" i="75"/>
  <c r="M14" i="75"/>
  <c r="L15" i="75"/>
  <c r="M38" i="75"/>
  <c r="G33" i="75" s="1"/>
  <c r="L39" i="75"/>
  <c r="L8" i="65"/>
  <c r="AM10" i="74"/>
  <c r="AN10" i="74"/>
  <c r="AP10" i="74"/>
  <c r="AN37" i="62"/>
  <c r="AP49" i="62"/>
  <c r="AM25" i="62"/>
  <c r="D35" i="72"/>
  <c r="D39" i="72"/>
  <c r="D47" i="72"/>
  <c r="D41" i="72"/>
  <c r="D38" i="72"/>
  <c r="D46" i="72"/>
  <c r="D32" i="72"/>
  <c r="D40" i="72"/>
  <c r="D42" i="72"/>
  <c r="D37" i="72"/>
  <c r="D43" i="72"/>
  <c r="D49" i="72"/>
  <c r="D31" i="72"/>
  <c r="D34" i="72"/>
  <c r="D30" i="72"/>
  <c r="E30" i="72" s="1"/>
  <c r="F30" i="72" s="1"/>
  <c r="D44" i="72"/>
  <c r="D48" i="72"/>
  <c r="D45" i="72"/>
  <c r="D33" i="72"/>
  <c r="D36" i="72"/>
  <c r="AP9" i="62"/>
  <c r="AN9" i="62"/>
  <c r="E4" i="72"/>
  <c r="F4" i="72" s="1"/>
  <c r="D10" i="72"/>
  <c r="D16" i="72"/>
  <c r="D23" i="72"/>
  <c r="D5" i="72"/>
  <c r="D18" i="72"/>
  <c r="D7" i="72"/>
  <c r="D25" i="72"/>
  <c r="D12" i="72"/>
  <c r="D8" i="72"/>
  <c r="D14" i="72"/>
  <c r="D21" i="72"/>
  <c r="D15" i="72"/>
  <c r="D9" i="72"/>
  <c r="D17" i="72"/>
  <c r="D13" i="72"/>
  <c r="D24" i="72"/>
  <c r="D19" i="72"/>
  <c r="D11" i="72"/>
  <c r="D6" i="72"/>
  <c r="D22" i="72"/>
  <c r="D20" i="72"/>
  <c r="G8" i="72"/>
  <c r="M14" i="72"/>
  <c r="L15" i="72"/>
  <c r="E38" i="71"/>
  <c r="F37" i="71"/>
  <c r="E14" i="71"/>
  <c r="F13" i="71"/>
  <c r="AB33" i="2"/>
  <c r="Z4" i="73" s="1"/>
  <c r="G25" i="73" s="1"/>
  <c r="C7" i="1" s="1"/>
  <c r="AC33" i="2"/>
  <c r="AA4" i="73" s="1"/>
  <c r="G26" i="73" s="1"/>
  <c r="C8" i="1" s="1"/>
  <c r="M39" i="72"/>
  <c r="G34" i="72" s="1"/>
  <c r="L40" i="72"/>
  <c r="K19" i="49"/>
  <c r="M37" i="71"/>
  <c r="G37" i="71" s="1"/>
  <c r="L38" i="71"/>
  <c r="M16" i="71"/>
  <c r="L17" i="71"/>
  <c r="K23" i="49"/>
  <c r="X72" i="2"/>
  <c r="N76" i="2"/>
  <c r="G23" i="49" s="1"/>
  <c r="H6" i="1" s="1"/>
  <c r="G15" i="63"/>
  <c r="M35" i="67"/>
  <c r="L36" i="67"/>
  <c r="F34" i="67"/>
  <c r="E35" i="67"/>
  <c r="F11" i="67"/>
  <c r="E12" i="67"/>
  <c r="F9" i="67"/>
  <c r="E10" i="67"/>
  <c r="F10" i="67" s="1"/>
  <c r="M8" i="67"/>
  <c r="G5" i="67" s="1"/>
  <c r="L11" i="67"/>
  <c r="L9" i="67"/>
  <c r="F35" i="66"/>
  <c r="E36" i="66"/>
  <c r="M8" i="66"/>
  <c r="G5" i="66" s="1"/>
  <c r="L11" i="66"/>
  <c r="L9" i="66"/>
  <c r="F7" i="66"/>
  <c r="E8" i="66"/>
  <c r="M34" i="66"/>
  <c r="G32" i="66" s="1"/>
  <c r="L35" i="66"/>
  <c r="L33" i="65"/>
  <c r="M32" i="65"/>
  <c r="L9" i="65"/>
  <c r="L11" i="65"/>
  <c r="M8" i="65"/>
  <c r="AN48" i="62"/>
  <c r="AE51" i="62"/>
  <c r="AL40" i="46" a="1"/>
  <c r="AL40" i="46" s="1"/>
  <c r="C41" i="45"/>
  <c r="AL37" i="46" a="1"/>
  <c r="AL37" i="46" s="1"/>
  <c r="C38" i="45"/>
  <c r="AL32" i="46" a="1"/>
  <c r="AL32" i="46" s="1"/>
  <c r="C33" i="45"/>
  <c r="AL34" i="46" a="1"/>
  <c r="AL34" i="46" s="1"/>
  <c r="C35" i="45"/>
  <c r="AL45" i="46" a="1"/>
  <c r="AL45" i="46" s="1"/>
  <c r="C47" i="45"/>
  <c r="AL42" i="46" a="1"/>
  <c r="AL42" i="46" s="1"/>
  <c r="C43" i="45"/>
  <c r="AL39" i="46" a="1"/>
  <c r="AL39" i="46" s="1"/>
  <c r="AP39" i="46" s="1"/>
  <c r="C40" i="45"/>
  <c r="AL30" i="46" a="1"/>
  <c r="AL30" i="46" s="1"/>
  <c r="C49" i="45"/>
  <c r="AL15" i="46" a="1"/>
  <c r="AL15" i="46" s="1"/>
  <c r="AP15" i="46" s="1"/>
  <c r="C19" i="45"/>
  <c r="AL13" i="46" a="1"/>
  <c r="AL13" i="46" s="1"/>
  <c r="AN13" i="46" s="1"/>
  <c r="C23" i="45"/>
  <c r="AL5" i="46" a="1"/>
  <c r="AL5" i="46" s="1"/>
  <c r="C21" i="45"/>
  <c r="AL18" i="46" a="1"/>
  <c r="AL18" i="46" s="1"/>
  <c r="AP18" i="46" s="1"/>
  <c r="C12" i="45"/>
  <c r="AL24" i="46" a="1"/>
  <c r="AL24" i="46" s="1"/>
  <c r="AP24" i="46" s="1"/>
  <c r="C18" i="45"/>
  <c r="AL10" i="46" a="1"/>
  <c r="AL10" i="46" s="1"/>
  <c r="AP10" i="46" s="1"/>
  <c r="C7" i="45"/>
  <c r="AL9" i="46" a="1"/>
  <c r="AL9" i="46" s="1"/>
  <c r="AM9" i="46" s="1"/>
  <c r="C25" i="45"/>
  <c r="AL22" i="46" a="1"/>
  <c r="AL22" i="46" s="1"/>
  <c r="AP22" i="46" s="1"/>
  <c r="C16" i="45"/>
  <c r="K50" i="45"/>
  <c r="K26" i="45"/>
  <c r="M33" i="64"/>
  <c r="L34" i="64"/>
  <c r="M7" i="64"/>
  <c r="G4" i="64" s="1"/>
  <c r="L8" i="64"/>
  <c r="F7" i="64"/>
  <c r="E8" i="64"/>
  <c r="F33" i="64"/>
  <c r="E34" i="64"/>
  <c r="M76" i="2"/>
  <c r="G19" i="49" s="1"/>
  <c r="H3" i="1" s="1"/>
  <c r="AH12" i="2"/>
  <c r="AE31" i="46"/>
  <c r="AK25" i="46"/>
  <c r="AE21" i="46"/>
  <c r="AE47" i="46"/>
  <c r="AE29" i="46"/>
  <c r="AE17" i="46"/>
  <c r="AE23" i="46"/>
  <c r="V47" i="46"/>
  <c r="V23" i="46"/>
  <c r="V43" i="46"/>
  <c r="AE14" i="46"/>
  <c r="V34" i="46"/>
  <c r="V39" i="46"/>
  <c r="V19" i="46"/>
  <c r="AE33" i="46"/>
  <c r="V32" i="46"/>
  <c r="V8" i="46"/>
  <c r="AE8" i="46"/>
  <c r="AE38" i="46"/>
  <c r="AE6" i="46"/>
  <c r="V40" i="46"/>
  <c r="V28" i="46"/>
  <c r="V10" i="46"/>
  <c r="AE43" i="46"/>
  <c r="AE28" i="46"/>
  <c r="C31" i="45" s="1"/>
  <c r="AE46" i="46"/>
  <c r="V46" i="46"/>
  <c r="V21" i="46"/>
  <c r="V30" i="46"/>
  <c r="AE35" i="46"/>
  <c r="V29" i="46"/>
  <c r="V42" i="46"/>
  <c r="V24" i="46"/>
  <c r="V35" i="46"/>
  <c r="V33" i="46"/>
  <c r="AE36" i="46"/>
  <c r="AI48" i="46"/>
  <c r="AE41" i="46"/>
  <c r="AE7" i="46"/>
  <c r="AE20" i="46"/>
  <c r="V13" i="46"/>
  <c r="AE44" i="46"/>
  <c r="V45" i="46"/>
  <c r="AE19" i="46"/>
  <c r="AP17" i="62"/>
  <c r="AP26" i="62" s="1"/>
  <c r="AP51" i="62" s="1"/>
  <c r="K59" i="62" s="1"/>
  <c r="L59" i="62" s="1"/>
  <c r="AN17" i="62"/>
  <c r="AN25" i="62" s="1"/>
  <c r="AL25" i="62"/>
  <c r="AP51" i="51"/>
  <c r="K59" i="51" s="1"/>
  <c r="L59" i="51" s="1"/>
  <c r="AP51" i="54"/>
  <c r="K59" i="54" s="1"/>
  <c r="L59" i="54" s="1"/>
  <c r="AP26" i="53"/>
  <c r="AP51" i="53" s="1"/>
  <c r="K59" i="53" s="1"/>
  <c r="L59" i="53" s="1"/>
  <c r="AP26" i="52"/>
  <c r="AP51" i="52" s="1"/>
  <c r="K59" i="52" s="1"/>
  <c r="L59" i="52" s="1"/>
  <c r="L5" i="45"/>
  <c r="M5" i="45" s="1"/>
  <c r="V4" i="49"/>
  <c r="T76" i="2"/>
  <c r="S76" i="2"/>
  <c r="U76" i="2"/>
  <c r="V76" i="2"/>
  <c r="O76" i="2"/>
  <c r="W76" i="2"/>
  <c r="I4" i="49"/>
  <c r="P76" i="2"/>
  <c r="Q76" i="2"/>
  <c r="N80" i="2"/>
  <c r="J79" i="2"/>
  <c r="M80" i="2"/>
  <c r="J83" i="2"/>
  <c r="J84" i="2"/>
  <c r="L5" i="43"/>
  <c r="P4" i="43"/>
  <c r="H4" i="43"/>
  <c r="E22" i="49"/>
  <c r="K5" i="43"/>
  <c r="G4" i="43"/>
  <c r="K21" i="2"/>
  <c r="E21" i="2" s="1"/>
  <c r="E19" i="49"/>
  <c r="K8" i="49"/>
  <c r="L8" i="49"/>
  <c r="E23" i="49"/>
  <c r="P5" i="43"/>
  <c r="L4" i="43"/>
  <c r="G5" i="43"/>
  <c r="K4" i="43"/>
  <c r="AP34" i="46"/>
  <c r="AN34" i="46"/>
  <c r="AL28" i="46" a="1"/>
  <c r="AL28" i="46" s="1"/>
  <c r="AP42" i="46"/>
  <c r="AN42" i="46"/>
  <c r="AP5" i="46"/>
  <c r="AN5" i="46"/>
  <c r="AP40" i="46"/>
  <c r="AN40" i="46"/>
  <c r="AP30" i="46"/>
  <c r="AN30" i="46"/>
  <c r="AP37" i="46"/>
  <c r="AN37" i="46"/>
  <c r="AM37" i="46"/>
  <c r="AP45" i="46"/>
  <c r="AN45" i="46"/>
  <c r="AM45" i="46"/>
  <c r="AP32" i="46"/>
  <c r="AN32" i="46"/>
  <c r="AN18" i="46"/>
  <c r="AN24" i="46"/>
  <c r="O16" i="46"/>
  <c r="AE16" i="46"/>
  <c r="AI16" i="46"/>
  <c r="AG16" i="46"/>
  <c r="P51" i="46"/>
  <c r="AA49" i="46" s="1"/>
  <c r="V7" i="46"/>
  <c r="AG48" i="46"/>
  <c r="AM28" i="46"/>
  <c r="AN39" i="46"/>
  <c r="AG11" i="46"/>
  <c r="O11" i="46"/>
  <c r="AI11" i="46"/>
  <c r="AE11" i="46"/>
  <c r="T51" i="46"/>
  <c r="V14" i="46"/>
  <c r="AM33" i="46"/>
  <c r="AM13" i="46"/>
  <c r="R26" i="46"/>
  <c r="AI3" i="46"/>
  <c r="W3" i="46"/>
  <c r="AE3" i="46" s="1"/>
  <c r="O3" i="46"/>
  <c r="AG3" i="46"/>
  <c r="AD49" i="46"/>
  <c r="W49" i="46"/>
  <c r="L26" i="2" s="1"/>
  <c r="L66" i="2" s="1"/>
  <c r="M17" i="68" s="1"/>
  <c r="O12" i="46"/>
  <c r="AE12" i="46"/>
  <c r="AI12" i="46"/>
  <c r="AG12" i="46"/>
  <c r="AM12" i="46" s="1"/>
  <c r="AI4" i="46"/>
  <c r="AE4" i="46"/>
  <c r="O4" i="46"/>
  <c r="AG4" i="46"/>
  <c r="AM4" i="46" s="1"/>
  <c r="V5" i="46"/>
  <c r="V12" i="46"/>
  <c r="V17" i="46"/>
  <c r="V16" i="46"/>
  <c r="AJ48" i="46"/>
  <c r="AM44" i="46"/>
  <c r="AK48" i="46"/>
  <c r="AM15" i="46"/>
  <c r="AM39" i="46"/>
  <c r="AJ25" i="46"/>
  <c r="V37" i="46"/>
  <c r="V11" i="46"/>
  <c r="AM14" i="46"/>
  <c r="U26" i="46"/>
  <c r="V3" i="46"/>
  <c r="Y3" i="46"/>
  <c r="AD3" i="46"/>
  <c r="AD26" i="46" s="1"/>
  <c r="V9" i="46"/>
  <c r="V15" i="46"/>
  <c r="V4" i="46"/>
  <c r="AM10" i="46"/>
  <c r="V6" i="46"/>
  <c r="M30" i="45"/>
  <c r="L31" i="45"/>
  <c r="K22" i="2"/>
  <c r="S8" i="43"/>
  <c r="R8" i="43"/>
  <c r="Q8" i="43"/>
  <c r="O8" i="43"/>
  <c r="N8" i="43"/>
  <c r="J50" i="42"/>
  <c r="K49" i="42" s="1"/>
  <c r="J26" i="42"/>
  <c r="K12" i="42" s="1"/>
  <c r="K60" i="40"/>
  <c r="L60" i="40" s="1"/>
  <c r="I60" i="40"/>
  <c r="K58" i="40"/>
  <c r="L58" i="40" s="1"/>
  <c r="I58" i="40"/>
  <c r="J51" i="40"/>
  <c r="G51" i="40"/>
  <c r="F51" i="40"/>
  <c r="E51" i="40"/>
  <c r="D51" i="40"/>
  <c r="AA50" i="40"/>
  <c r="AC49" i="40"/>
  <c r="AB49" i="40"/>
  <c r="K49" i="40"/>
  <c r="C49" i="40"/>
  <c r="AH47" i="40"/>
  <c r="N47" i="40"/>
  <c r="I47" i="40"/>
  <c r="AH46" i="40"/>
  <c r="AG46" i="40"/>
  <c r="AM46" i="40" s="1"/>
  <c r="AK46" i="40"/>
  <c r="N46" i="40"/>
  <c r="I46" i="40"/>
  <c r="AH45" i="40"/>
  <c r="N45" i="40"/>
  <c r="I45" i="40"/>
  <c r="AH44" i="40"/>
  <c r="N44" i="40"/>
  <c r="I44" i="40"/>
  <c r="AH43" i="40"/>
  <c r="N43" i="40"/>
  <c r="I43" i="40"/>
  <c r="AH42" i="40"/>
  <c r="AK42" i="40"/>
  <c r="N42" i="40"/>
  <c r="I42" i="40"/>
  <c r="AH41" i="40"/>
  <c r="N41" i="40"/>
  <c r="I41" i="40"/>
  <c r="AK40" i="40"/>
  <c r="AH40" i="40"/>
  <c r="N40" i="40"/>
  <c r="I40" i="40"/>
  <c r="AH39" i="40"/>
  <c r="N39" i="40"/>
  <c r="I39" i="40"/>
  <c r="AH38" i="40"/>
  <c r="AG38" i="40"/>
  <c r="AM38" i="40" s="1"/>
  <c r="AK38" i="40"/>
  <c r="N38" i="40"/>
  <c r="I38" i="40"/>
  <c r="AH37" i="40"/>
  <c r="N37" i="40"/>
  <c r="I37" i="40"/>
  <c r="AK36" i="40"/>
  <c r="AH36" i="40"/>
  <c r="N36" i="40"/>
  <c r="I36" i="40"/>
  <c r="AH35" i="40"/>
  <c r="N35" i="40"/>
  <c r="I35" i="40"/>
  <c r="AH34" i="40"/>
  <c r="AK34" i="40"/>
  <c r="N34" i="40"/>
  <c r="I34" i="40"/>
  <c r="AH33" i="40"/>
  <c r="N33" i="40"/>
  <c r="I33" i="40"/>
  <c r="AH32" i="40"/>
  <c r="AK32" i="40"/>
  <c r="N32" i="40"/>
  <c r="I32" i="40"/>
  <c r="AH31" i="40"/>
  <c r="N31" i="40"/>
  <c r="I31" i="40"/>
  <c r="AH30" i="40"/>
  <c r="AK30" i="40"/>
  <c r="N30" i="40"/>
  <c r="I30" i="40"/>
  <c r="AH29" i="40"/>
  <c r="N29" i="40"/>
  <c r="I29" i="40"/>
  <c r="AH28" i="40"/>
  <c r="AK28" i="40"/>
  <c r="N28" i="40"/>
  <c r="I28" i="40"/>
  <c r="AA27" i="40"/>
  <c r="AA53" i="40" s="1"/>
  <c r="AC26" i="40"/>
  <c r="AC51" i="40" s="1"/>
  <c r="AB26" i="40"/>
  <c r="K26" i="40"/>
  <c r="K51" i="40" s="1"/>
  <c r="C26" i="40"/>
  <c r="C51" i="40" s="1"/>
  <c r="AH24" i="40"/>
  <c r="N24" i="40"/>
  <c r="AH23" i="40"/>
  <c r="N23" i="40"/>
  <c r="I23" i="40"/>
  <c r="AK22" i="40"/>
  <c r="AH22" i="40"/>
  <c r="N22" i="40"/>
  <c r="I22" i="40"/>
  <c r="AH21" i="40"/>
  <c r="O21" i="40"/>
  <c r="AK21" i="40"/>
  <c r="N21" i="40"/>
  <c r="I21" i="40"/>
  <c r="AH20" i="40"/>
  <c r="AK20" i="40"/>
  <c r="N20" i="40"/>
  <c r="I20" i="40"/>
  <c r="AH19" i="40"/>
  <c r="N19" i="40"/>
  <c r="I19" i="40"/>
  <c r="AH18" i="40"/>
  <c r="N18" i="40"/>
  <c r="I18" i="40"/>
  <c r="AH17" i="40"/>
  <c r="AK17" i="40"/>
  <c r="N17" i="40"/>
  <c r="I17" i="40"/>
  <c r="AH16" i="40"/>
  <c r="N16" i="40"/>
  <c r="I16" i="40"/>
  <c r="AH15" i="40"/>
  <c r="AK15" i="40"/>
  <c r="N15" i="40"/>
  <c r="I15" i="40"/>
  <c r="AK14" i="40"/>
  <c r="AH14" i="40"/>
  <c r="N14" i="40"/>
  <c r="I14" i="40"/>
  <c r="AH13" i="40"/>
  <c r="AK13" i="40"/>
  <c r="N13" i="40"/>
  <c r="I13" i="40"/>
  <c r="AH12" i="40"/>
  <c r="AK12" i="40"/>
  <c r="N12" i="40"/>
  <c r="I12" i="40"/>
  <c r="AH11" i="40"/>
  <c r="AK11" i="40"/>
  <c r="N11" i="40"/>
  <c r="I11" i="40"/>
  <c r="AH10" i="40"/>
  <c r="N10" i="40"/>
  <c r="I10" i="40"/>
  <c r="AH9" i="40"/>
  <c r="N9" i="40"/>
  <c r="I9" i="40"/>
  <c r="AH8" i="40"/>
  <c r="AK8" i="40"/>
  <c r="N8" i="40"/>
  <c r="I8" i="40"/>
  <c r="AH7" i="40"/>
  <c r="AK7" i="40"/>
  <c r="N7" i="40"/>
  <c r="I7" i="40"/>
  <c r="AH6" i="40"/>
  <c r="N6" i="40"/>
  <c r="I6" i="40"/>
  <c r="AH5" i="40"/>
  <c r="N5" i="40"/>
  <c r="I5" i="40"/>
  <c r="AH4" i="40"/>
  <c r="AK4" i="40"/>
  <c r="N4" i="40"/>
  <c r="I4" i="40"/>
  <c r="AH3" i="40"/>
  <c r="N3" i="40"/>
  <c r="I3" i="40"/>
  <c r="E16" i="73" l="1"/>
  <c r="C9" i="1" s="1"/>
  <c r="W8" i="73"/>
  <c r="E5" i="72"/>
  <c r="F5" i="72" s="1"/>
  <c r="D26" i="75"/>
  <c r="E4" i="75"/>
  <c r="F4" i="75" s="1"/>
  <c r="M15" i="75"/>
  <c r="G11" i="75" s="1"/>
  <c r="L16" i="75"/>
  <c r="M39" i="75"/>
  <c r="G34" i="75" s="1"/>
  <c r="L40" i="75"/>
  <c r="AP13" i="46"/>
  <c r="AN15" i="46"/>
  <c r="AP9" i="46"/>
  <c r="D50" i="72"/>
  <c r="E31" i="72"/>
  <c r="E6" i="72"/>
  <c r="E7" i="72" s="1"/>
  <c r="F6" i="72"/>
  <c r="D26" i="72"/>
  <c r="X76" i="2"/>
  <c r="G9" i="72"/>
  <c r="M15" i="72"/>
  <c r="L16" i="72"/>
  <c r="F38" i="71"/>
  <c r="E39" i="71"/>
  <c r="E15" i="71"/>
  <c r="F14" i="71"/>
  <c r="M40" i="72"/>
  <c r="G35" i="72" s="1"/>
  <c r="L41" i="72"/>
  <c r="M17" i="71"/>
  <c r="L18" i="71"/>
  <c r="M38" i="71"/>
  <c r="G38" i="71" s="1"/>
  <c r="L39" i="71"/>
  <c r="K17" i="69"/>
  <c r="K17" i="68"/>
  <c r="J5" i="63"/>
  <c r="K17" i="63" s="1"/>
  <c r="F12" i="67"/>
  <c r="E13" i="67"/>
  <c r="F35" i="67"/>
  <c r="E36" i="67"/>
  <c r="M9" i="67"/>
  <c r="G4" i="67" s="1"/>
  <c r="L10" i="67"/>
  <c r="M10" i="67" s="1"/>
  <c r="G6" i="67" s="1"/>
  <c r="M11" i="67"/>
  <c r="L12" i="67"/>
  <c r="M36" i="67"/>
  <c r="G33" i="67" s="1"/>
  <c r="L37" i="67"/>
  <c r="F8" i="66"/>
  <c r="E11" i="66"/>
  <c r="E9" i="66"/>
  <c r="M9" i="66"/>
  <c r="L10" i="66"/>
  <c r="M10" i="66" s="1"/>
  <c r="G6" i="66" s="1"/>
  <c r="M11" i="66"/>
  <c r="L12" i="66"/>
  <c r="F36" i="66"/>
  <c r="E37" i="66"/>
  <c r="M35" i="66"/>
  <c r="L36" i="66"/>
  <c r="L34" i="65"/>
  <c r="M33" i="65"/>
  <c r="M9" i="65"/>
  <c r="L10" i="65"/>
  <c r="M10" i="65" s="1"/>
  <c r="M11" i="65"/>
  <c r="L12" i="65"/>
  <c r="AL44" i="46" a="1"/>
  <c r="AL44" i="46" s="1"/>
  <c r="C45" i="45"/>
  <c r="AL46" i="46" a="1"/>
  <c r="AL46" i="46" s="1"/>
  <c r="C46" i="45"/>
  <c r="AL31" i="46" a="1"/>
  <c r="AL31" i="46" s="1"/>
  <c r="C32" i="45"/>
  <c r="AL43" i="46" a="1"/>
  <c r="AL43" i="46" s="1"/>
  <c r="C44" i="45"/>
  <c r="AL33" i="46" a="1"/>
  <c r="AL33" i="46" s="1"/>
  <c r="AP33" i="46" s="1"/>
  <c r="C34" i="45"/>
  <c r="AL41" i="46" a="1"/>
  <c r="AL41" i="46" s="1"/>
  <c r="AP41" i="46" s="1"/>
  <c r="C42" i="45"/>
  <c r="AL35" i="46" a="1"/>
  <c r="AL35" i="46" s="1"/>
  <c r="AP35" i="46" s="1"/>
  <c r="C36" i="45"/>
  <c r="AL29" i="46" a="1"/>
  <c r="AL29" i="46" s="1"/>
  <c r="C30" i="45"/>
  <c r="AL36" i="46" a="1"/>
  <c r="AL36" i="46" s="1"/>
  <c r="C37" i="45"/>
  <c r="AL47" i="46" a="1"/>
  <c r="AL47" i="46" s="1"/>
  <c r="C48" i="45"/>
  <c r="AL38" i="46" a="1"/>
  <c r="AL38" i="46" s="1"/>
  <c r="C39" i="45"/>
  <c r="L70" i="2"/>
  <c r="C50" i="45"/>
  <c r="D31" i="45" s="1"/>
  <c r="AL19" i="46" a="1"/>
  <c r="AL19" i="46" s="1"/>
  <c r="AP19" i="46" s="1"/>
  <c r="C13" i="45"/>
  <c r="AL6" i="46" a="1"/>
  <c r="AL6" i="46" s="1"/>
  <c r="C22" i="45"/>
  <c r="AL11" i="46" a="1"/>
  <c r="AL11" i="46" s="1"/>
  <c r="AN11" i="46" s="1"/>
  <c r="C8" i="45"/>
  <c r="AL14" i="46" a="1"/>
  <c r="AL14" i="46" s="1"/>
  <c r="AP14" i="46" s="1"/>
  <c r="C10" i="45"/>
  <c r="AL21" i="46" a="1"/>
  <c r="AL21" i="46" s="1"/>
  <c r="C15" i="45"/>
  <c r="AL8" i="46" a="1"/>
  <c r="AL8" i="46" s="1"/>
  <c r="C24" i="45"/>
  <c r="AL12" i="46" a="1"/>
  <c r="AL12" i="46" s="1"/>
  <c r="C9" i="45"/>
  <c r="AN9" i="46"/>
  <c r="AL16" i="46" a="1"/>
  <c r="AL16" i="46" s="1"/>
  <c r="C20" i="45"/>
  <c r="AL20" i="46" a="1"/>
  <c r="AL20" i="46" s="1"/>
  <c r="C14" i="45"/>
  <c r="AN22" i="46"/>
  <c r="AL7" i="46" a="1"/>
  <c r="AL7" i="46" s="1"/>
  <c r="AP7" i="46" s="1"/>
  <c r="C6" i="45"/>
  <c r="AL23" i="46" a="1"/>
  <c r="AL23" i="46" s="1"/>
  <c r="AN23" i="46" s="1"/>
  <c r="C17" i="45"/>
  <c r="AN10" i="46"/>
  <c r="AL17" i="46" a="1"/>
  <c r="AL17" i="46" s="1"/>
  <c r="C11" i="45"/>
  <c r="AL4" i="46" a="1"/>
  <c r="AL4" i="46" s="1"/>
  <c r="AN4" i="46" s="1"/>
  <c r="C5" i="45"/>
  <c r="L6" i="45"/>
  <c r="M6" i="45" s="1"/>
  <c r="AE26" i="46"/>
  <c r="C4" i="45"/>
  <c r="F34" i="64"/>
  <c r="E35" i="64"/>
  <c r="F8" i="64"/>
  <c r="E9" i="64"/>
  <c r="E11" i="64"/>
  <c r="M8" i="64"/>
  <c r="G5" i="64" s="1"/>
  <c r="L11" i="64"/>
  <c r="L9" i="64"/>
  <c r="M34" i="64"/>
  <c r="G32" i="64" s="1"/>
  <c r="L35" i="64"/>
  <c r="N83" i="2"/>
  <c r="G23" i="43" s="1"/>
  <c r="I6" i="1" s="1"/>
  <c r="AG11" i="2"/>
  <c r="R26" i="2"/>
  <c r="R66" i="2" s="1"/>
  <c r="AN19" i="46"/>
  <c r="AM16" i="46"/>
  <c r="V49" i="46"/>
  <c r="AN33" i="46"/>
  <c r="AN7" i="46"/>
  <c r="AE49" i="46"/>
  <c r="AE51" i="46" s="1"/>
  <c r="AN35" i="46"/>
  <c r="AD51" i="46"/>
  <c r="AN41" i="46"/>
  <c r="AA26" i="46"/>
  <c r="K30" i="42"/>
  <c r="L30" i="42" s="1"/>
  <c r="K34" i="42"/>
  <c r="K35" i="42"/>
  <c r="K42" i="42"/>
  <c r="K43" i="42"/>
  <c r="K36" i="42"/>
  <c r="K44" i="42"/>
  <c r="K37" i="42"/>
  <c r="K45" i="42"/>
  <c r="K38" i="42"/>
  <c r="K46" i="42"/>
  <c r="K31" i="42"/>
  <c r="K39" i="42"/>
  <c r="K47" i="42"/>
  <c r="K32" i="42"/>
  <c r="K40" i="42"/>
  <c r="K48" i="42"/>
  <c r="K33" i="42"/>
  <c r="K41" i="42"/>
  <c r="K18" i="42"/>
  <c r="K20" i="42"/>
  <c r="K11" i="42"/>
  <c r="K4" i="42"/>
  <c r="L4" i="42" s="1"/>
  <c r="M4" i="42" s="1"/>
  <c r="K19" i="42"/>
  <c r="K9" i="42"/>
  <c r="K10" i="42"/>
  <c r="K13" i="42"/>
  <c r="K14" i="42"/>
  <c r="K6" i="42"/>
  <c r="K15" i="42"/>
  <c r="K5" i="42"/>
  <c r="K7" i="42"/>
  <c r="K16" i="42"/>
  <c r="K8" i="42"/>
  <c r="K17" i="42"/>
  <c r="K79" i="2"/>
  <c r="G15" i="49" s="1"/>
  <c r="M83" i="2"/>
  <c r="G19" i="43" s="1"/>
  <c r="I3" i="1" s="1"/>
  <c r="AI11" i="2"/>
  <c r="V84" i="2"/>
  <c r="I5" i="43"/>
  <c r="O84" i="2"/>
  <c r="W84" i="2"/>
  <c r="P84" i="2"/>
  <c r="S84" i="2"/>
  <c r="Q84" i="2"/>
  <c r="T84" i="2"/>
  <c r="M84" i="2"/>
  <c r="U84" i="2"/>
  <c r="N84" i="2"/>
  <c r="R84" i="2"/>
  <c r="X79" i="2"/>
  <c r="R83" i="2"/>
  <c r="AH11" i="2"/>
  <c r="S83" i="2"/>
  <c r="W83" i="2"/>
  <c r="T83" i="2"/>
  <c r="U83" i="2"/>
  <c r="I4" i="43"/>
  <c r="O83" i="2"/>
  <c r="P83" i="2"/>
  <c r="Q83" i="2"/>
  <c r="V83" i="2"/>
  <c r="M22" i="43"/>
  <c r="I13" i="1" s="1"/>
  <c r="G22" i="43"/>
  <c r="I5" i="1" s="1"/>
  <c r="F4" i="43"/>
  <c r="I26" i="40"/>
  <c r="AP12" i="46"/>
  <c r="AN12" i="46"/>
  <c r="AP4" i="46"/>
  <c r="AP16" i="46"/>
  <c r="AN16" i="46"/>
  <c r="U51" i="46"/>
  <c r="Y51" i="46" s="1"/>
  <c r="Y26" i="46"/>
  <c r="AM11" i="46"/>
  <c r="AP11" i="46"/>
  <c r="AG25" i="46"/>
  <c r="AI25" i="46"/>
  <c r="AP28" i="46"/>
  <c r="AL48" i="46"/>
  <c r="AN28" i="46"/>
  <c r="W26" i="46"/>
  <c r="V26" i="46"/>
  <c r="V51" i="46" s="1"/>
  <c r="AL3" i="46"/>
  <c r="M31" i="45"/>
  <c r="L32" i="45"/>
  <c r="M8" i="43"/>
  <c r="U8" i="43"/>
  <c r="E22" i="2"/>
  <c r="T8" i="43"/>
  <c r="AJ16" i="40"/>
  <c r="AG18" i="40"/>
  <c r="AM18" i="40" s="1"/>
  <c r="AI28" i="40"/>
  <c r="O16" i="40"/>
  <c r="AG16" i="40"/>
  <c r="AM16" i="40" s="1"/>
  <c r="AG42" i="40"/>
  <c r="AM42" i="40" s="1"/>
  <c r="AI47" i="40"/>
  <c r="AK19" i="40"/>
  <c r="AK16" i="40"/>
  <c r="AK44" i="40"/>
  <c r="AJ12" i="40"/>
  <c r="O14" i="40"/>
  <c r="AG30" i="40"/>
  <c r="AM30" i="40" s="1"/>
  <c r="Q26" i="40"/>
  <c r="AI8" i="40"/>
  <c r="AI4" i="40"/>
  <c r="AK23" i="40"/>
  <c r="AI40" i="40"/>
  <c r="AJ29" i="40"/>
  <c r="AK18" i="40"/>
  <c r="Q49" i="40"/>
  <c r="U47" i="40"/>
  <c r="Y47" i="40" s="1"/>
  <c r="U37" i="40"/>
  <c r="Y37" i="40" s="1"/>
  <c r="U46" i="40"/>
  <c r="Y46" i="40" s="1"/>
  <c r="U17" i="40"/>
  <c r="AD17" i="40" s="1"/>
  <c r="U23" i="40"/>
  <c r="AD23" i="40" s="1"/>
  <c r="U34" i="40"/>
  <c r="AD34" i="40" s="1"/>
  <c r="K25" i="42"/>
  <c r="K24" i="42"/>
  <c r="K23" i="42"/>
  <c r="K22" i="42"/>
  <c r="U9" i="40"/>
  <c r="AD9" i="40" s="1"/>
  <c r="U22" i="40"/>
  <c r="AD22" i="40" s="1"/>
  <c r="K21" i="42"/>
  <c r="U18" i="40"/>
  <c r="Y18" i="40" s="1"/>
  <c r="AJ23" i="40"/>
  <c r="U40" i="40"/>
  <c r="Y40" i="40" s="1"/>
  <c r="U16" i="40"/>
  <c r="AD16" i="40" s="1"/>
  <c r="AE16" i="40" s="1"/>
  <c r="U42" i="40"/>
  <c r="AD42" i="40" s="1"/>
  <c r="AJ44" i="40"/>
  <c r="AJ5" i="40"/>
  <c r="U7" i="40"/>
  <c r="AD7" i="40" s="1"/>
  <c r="U12" i="40"/>
  <c r="Y12" i="40" s="1"/>
  <c r="U21" i="40"/>
  <c r="Y21" i="40" s="1"/>
  <c r="U13" i="40"/>
  <c r="AD13" i="40" s="1"/>
  <c r="U24" i="40"/>
  <c r="AD24" i="40" s="1"/>
  <c r="U28" i="40"/>
  <c r="AD28" i="40" s="1"/>
  <c r="U33" i="40"/>
  <c r="Y33" i="40" s="1"/>
  <c r="Z49" i="40"/>
  <c r="U38" i="40"/>
  <c r="AD38" i="40" s="1"/>
  <c r="AJ40" i="40"/>
  <c r="U5" i="40"/>
  <c r="Y5" i="40" s="1"/>
  <c r="U11" i="40"/>
  <c r="AD11" i="40" s="1"/>
  <c r="U14" i="40"/>
  <c r="Y14" i="40" s="1"/>
  <c r="AJ17" i="40"/>
  <c r="U30" i="40"/>
  <c r="Y30" i="40" s="1"/>
  <c r="U6" i="40"/>
  <c r="Y6" i="40" s="1"/>
  <c r="U20" i="40"/>
  <c r="Y20" i="40" s="1"/>
  <c r="U44" i="40"/>
  <c r="Y44" i="40" s="1"/>
  <c r="AJ37" i="40"/>
  <c r="AJ13" i="40"/>
  <c r="U15" i="40"/>
  <c r="Y15" i="40" s="1"/>
  <c r="U41" i="40"/>
  <c r="AD41" i="40" s="1"/>
  <c r="U45" i="40"/>
  <c r="Y45" i="40" s="1"/>
  <c r="U8" i="40"/>
  <c r="Y8" i="40" s="1"/>
  <c r="U4" i="40"/>
  <c r="Y4" i="40" s="1"/>
  <c r="AD29" i="40"/>
  <c r="U32" i="40"/>
  <c r="AD32" i="40" s="1"/>
  <c r="U36" i="40"/>
  <c r="Y36" i="40" s="1"/>
  <c r="U43" i="40"/>
  <c r="Y43" i="40" s="1"/>
  <c r="AJ7" i="40"/>
  <c r="U10" i="40"/>
  <c r="AG10" i="40" s="1"/>
  <c r="AJ21" i="40"/>
  <c r="AJ3" i="40"/>
  <c r="S26" i="40"/>
  <c r="AJ9" i="40"/>
  <c r="AJ15" i="40"/>
  <c r="U19" i="40"/>
  <c r="AD19" i="40" s="1"/>
  <c r="S49" i="40"/>
  <c r="U31" i="40"/>
  <c r="AD31" i="40" s="1"/>
  <c r="AI10" i="40"/>
  <c r="O10" i="40"/>
  <c r="AI32" i="40"/>
  <c r="W32" i="40"/>
  <c r="O32" i="40"/>
  <c r="AG32" i="40"/>
  <c r="AM32" i="40" s="1"/>
  <c r="AI36" i="40"/>
  <c r="W36" i="40"/>
  <c r="O36" i="40"/>
  <c r="AG36" i="40"/>
  <c r="AM36" i="40" s="1"/>
  <c r="AI11" i="40"/>
  <c r="O11" i="40"/>
  <c r="AI7" i="40"/>
  <c r="O7" i="40"/>
  <c r="AG7" i="40"/>
  <c r="AG17" i="40"/>
  <c r="AM17" i="40" s="1"/>
  <c r="AH25" i="40"/>
  <c r="O28" i="40"/>
  <c r="AG28" i="40"/>
  <c r="T26" i="40"/>
  <c r="AK5" i="40"/>
  <c r="AK9" i="40"/>
  <c r="AI19" i="40"/>
  <c r="O19" i="40"/>
  <c r="AG19" i="40"/>
  <c r="AM19" i="40" s="1"/>
  <c r="AI22" i="40"/>
  <c r="O22" i="40"/>
  <c r="AG22" i="40"/>
  <c r="AM22" i="40" s="1"/>
  <c r="AI43" i="40"/>
  <c r="W43" i="40"/>
  <c r="O43" i="40"/>
  <c r="AG43" i="40"/>
  <c r="AM43" i="40" s="1"/>
  <c r="AI18" i="40"/>
  <c r="O18" i="40"/>
  <c r="AJ6" i="40"/>
  <c r="AJ10" i="40"/>
  <c r="AI17" i="40"/>
  <c r="AI23" i="40"/>
  <c r="O23" i="40"/>
  <c r="AG23" i="40"/>
  <c r="AM23" i="40" s="1"/>
  <c r="AK33" i="40"/>
  <c r="AJ36" i="40"/>
  <c r="AI46" i="40"/>
  <c r="W46" i="40"/>
  <c r="O46" i="40"/>
  <c r="AK37" i="40"/>
  <c r="AI44" i="40"/>
  <c r="W44" i="40"/>
  <c r="O44" i="40"/>
  <c r="AG44" i="40"/>
  <c r="U3" i="40"/>
  <c r="AK6" i="40"/>
  <c r="AG8" i="40"/>
  <c r="AK10" i="40"/>
  <c r="AI15" i="40"/>
  <c r="AG21" i="40"/>
  <c r="AM21" i="40" s="1"/>
  <c r="AJ33" i="40"/>
  <c r="AI39" i="40"/>
  <c r="W39" i="40"/>
  <c r="O39" i="40"/>
  <c r="AJ11" i="40"/>
  <c r="AI21" i="40"/>
  <c r="I49" i="40"/>
  <c r="AK29" i="40"/>
  <c r="AJ32" i="40"/>
  <c r="O4" i="40"/>
  <c r="O8" i="40"/>
  <c r="O15" i="40"/>
  <c r="AJ20" i="40"/>
  <c r="AI35" i="40"/>
  <c r="W35" i="40"/>
  <c r="O35" i="40"/>
  <c r="AG35" i="40"/>
  <c r="AM35" i="40" s="1"/>
  <c r="U39" i="40"/>
  <c r="AG39" i="40" s="1"/>
  <c r="AK45" i="40"/>
  <c r="P26" i="40"/>
  <c r="AJ4" i="40"/>
  <c r="AJ8" i="40"/>
  <c r="O17" i="40"/>
  <c r="AJ24" i="40"/>
  <c r="P49" i="40"/>
  <c r="AH48" i="40"/>
  <c r="AK41" i="40"/>
  <c r="AJ45" i="40"/>
  <c r="Q51" i="40"/>
  <c r="AK3" i="40"/>
  <c r="Z26" i="40"/>
  <c r="AI16" i="40"/>
  <c r="AJ19" i="40"/>
  <c r="AK24" i="40"/>
  <c r="AI31" i="40"/>
  <c r="W31" i="40"/>
  <c r="O31" i="40"/>
  <c r="AG31" i="40"/>
  <c r="AM31" i="40" s="1"/>
  <c r="U35" i="40"/>
  <c r="AJ41" i="40"/>
  <c r="O30" i="40"/>
  <c r="W30" i="40"/>
  <c r="AI30" i="40"/>
  <c r="O34" i="40"/>
  <c r="W34" i="40"/>
  <c r="AI34" i="40"/>
  <c r="O38" i="40"/>
  <c r="W38" i="40"/>
  <c r="AI38" i="40"/>
  <c r="AJ30" i="40"/>
  <c r="AJ34" i="40"/>
  <c r="AJ38" i="40"/>
  <c r="AJ42" i="40"/>
  <c r="AJ46" i="40"/>
  <c r="T49" i="40"/>
  <c r="J24" i="2" s="1"/>
  <c r="J73" i="2" s="1"/>
  <c r="AJ14" i="40"/>
  <c r="AJ18" i="40"/>
  <c r="AJ22" i="40"/>
  <c r="AJ31" i="40"/>
  <c r="AJ35" i="40"/>
  <c r="AJ39" i="40"/>
  <c r="AJ43" i="40"/>
  <c r="AJ47" i="40"/>
  <c r="AK31" i="40"/>
  <c r="AK35" i="40"/>
  <c r="AK39" i="40"/>
  <c r="AK43" i="40"/>
  <c r="AK47" i="40"/>
  <c r="AJ28" i="40"/>
  <c r="H29" i="38"/>
  <c r="D4" i="38"/>
  <c r="E4" i="38"/>
  <c r="M4" i="38"/>
  <c r="N4" i="38"/>
  <c r="O4" i="38"/>
  <c r="Q4" i="38"/>
  <c r="R4" i="38"/>
  <c r="S4" i="38"/>
  <c r="T4" i="38"/>
  <c r="U4" i="38"/>
  <c r="D5" i="38"/>
  <c r="E5" i="38"/>
  <c r="M5" i="38"/>
  <c r="N5" i="38"/>
  <c r="O5" i="38"/>
  <c r="Q5" i="38"/>
  <c r="R5" i="38"/>
  <c r="S5" i="38"/>
  <c r="T5" i="38"/>
  <c r="U5" i="38"/>
  <c r="C5" i="38"/>
  <c r="C4" i="38"/>
  <c r="O93" i="2"/>
  <c r="P93" i="2"/>
  <c r="Q93" i="2"/>
  <c r="S93" i="2"/>
  <c r="T93" i="2"/>
  <c r="U93" i="2"/>
  <c r="V93" i="2"/>
  <c r="W93" i="2"/>
  <c r="O94" i="2"/>
  <c r="P94" i="2"/>
  <c r="Q94" i="2"/>
  <c r="S94" i="2"/>
  <c r="T94" i="2"/>
  <c r="U94" i="2"/>
  <c r="V94" i="2"/>
  <c r="W94" i="2"/>
  <c r="R20" i="2"/>
  <c r="N20" i="2"/>
  <c r="M20" i="2"/>
  <c r="J20" i="2"/>
  <c r="I20" i="2"/>
  <c r="R19" i="2"/>
  <c r="N19" i="2"/>
  <c r="M19" i="2"/>
  <c r="M86" i="2" s="1"/>
  <c r="J19" i="2"/>
  <c r="I19" i="2"/>
  <c r="G4" i="38" s="1"/>
  <c r="P29" i="37"/>
  <c r="W29" i="37" s="1"/>
  <c r="Q29" i="37"/>
  <c r="S29" i="37"/>
  <c r="T29" i="37"/>
  <c r="X29" i="37"/>
  <c r="Z29" i="37"/>
  <c r="P30" i="37"/>
  <c r="Q30" i="37"/>
  <c r="S30" i="37"/>
  <c r="T30" i="37"/>
  <c r="X30" i="37"/>
  <c r="Z30" i="37"/>
  <c r="P31" i="37"/>
  <c r="Q31" i="37"/>
  <c r="S31" i="37"/>
  <c r="T31" i="37"/>
  <c r="X31" i="37"/>
  <c r="Z31" i="37"/>
  <c r="P32" i="37"/>
  <c r="W32" i="37" s="1"/>
  <c r="Q32" i="37"/>
  <c r="S32" i="37"/>
  <c r="T32" i="37"/>
  <c r="X32" i="37"/>
  <c r="Z32" i="37"/>
  <c r="P33" i="37"/>
  <c r="Q33" i="37"/>
  <c r="S33" i="37"/>
  <c r="T33" i="37"/>
  <c r="X33" i="37"/>
  <c r="Z33" i="37"/>
  <c r="P34" i="37"/>
  <c r="Q34" i="37"/>
  <c r="S34" i="37"/>
  <c r="T34" i="37"/>
  <c r="X34" i="37"/>
  <c r="Z34" i="37"/>
  <c r="P35" i="37"/>
  <c r="Q35" i="37"/>
  <c r="S35" i="37"/>
  <c r="T35" i="37"/>
  <c r="X35" i="37"/>
  <c r="Z35" i="37"/>
  <c r="P36" i="37"/>
  <c r="W36" i="37" s="1"/>
  <c r="Q36" i="37"/>
  <c r="S36" i="37"/>
  <c r="T36" i="37"/>
  <c r="X36" i="37"/>
  <c r="Z36" i="37"/>
  <c r="P37" i="37"/>
  <c r="Q37" i="37"/>
  <c r="S37" i="37"/>
  <c r="T37" i="37"/>
  <c r="X37" i="37"/>
  <c r="Z37" i="37"/>
  <c r="P38" i="37"/>
  <c r="W38" i="37" s="1"/>
  <c r="Q38" i="37"/>
  <c r="S38" i="37"/>
  <c r="T38" i="37"/>
  <c r="X38" i="37"/>
  <c r="Z38" i="37"/>
  <c r="P39" i="37"/>
  <c r="Q39" i="37"/>
  <c r="S39" i="37"/>
  <c r="T39" i="37"/>
  <c r="X39" i="37"/>
  <c r="Z39" i="37"/>
  <c r="P40" i="37"/>
  <c r="Q40" i="37"/>
  <c r="S40" i="37"/>
  <c r="T40" i="37"/>
  <c r="X40" i="37"/>
  <c r="Z40" i="37"/>
  <c r="P41" i="37"/>
  <c r="Q41" i="37"/>
  <c r="S41" i="37"/>
  <c r="T41" i="37"/>
  <c r="X41" i="37"/>
  <c r="Z41" i="37"/>
  <c r="P42" i="37"/>
  <c r="W42" i="37" s="1"/>
  <c r="Q42" i="37"/>
  <c r="S42" i="37"/>
  <c r="T42" i="37"/>
  <c r="X42" i="37"/>
  <c r="Z42" i="37"/>
  <c r="P43" i="37"/>
  <c r="Q43" i="37"/>
  <c r="S43" i="37"/>
  <c r="T43" i="37"/>
  <c r="X43" i="37"/>
  <c r="Z43" i="37"/>
  <c r="P44" i="37"/>
  <c r="W44" i="37" s="1"/>
  <c r="Q44" i="37"/>
  <c r="S44" i="37"/>
  <c r="T44" i="37"/>
  <c r="X44" i="37"/>
  <c r="Z44" i="37"/>
  <c r="P45" i="37"/>
  <c r="W45" i="37" s="1"/>
  <c r="Q45" i="37"/>
  <c r="S45" i="37"/>
  <c r="T45" i="37"/>
  <c r="X45" i="37"/>
  <c r="Z45" i="37"/>
  <c r="P46" i="37"/>
  <c r="Q46" i="37"/>
  <c r="S46" i="37"/>
  <c r="T46" i="37"/>
  <c r="X46" i="37"/>
  <c r="Z46" i="37"/>
  <c r="P47" i="37"/>
  <c r="Q47" i="37"/>
  <c r="W47" i="37" s="1"/>
  <c r="S47" i="37"/>
  <c r="T47" i="37"/>
  <c r="X47" i="37"/>
  <c r="Z47" i="37"/>
  <c r="Z28" i="37"/>
  <c r="X28" i="37"/>
  <c r="T28" i="37"/>
  <c r="S28" i="37"/>
  <c r="Q28" i="37"/>
  <c r="P28" i="37"/>
  <c r="W28" i="37" s="1"/>
  <c r="P4" i="37"/>
  <c r="Q4" i="37"/>
  <c r="S4" i="37"/>
  <c r="T4" i="37"/>
  <c r="X4" i="37"/>
  <c r="Z4" i="37"/>
  <c r="P5" i="37"/>
  <c r="Q5" i="37"/>
  <c r="S5" i="37"/>
  <c r="T5" i="37"/>
  <c r="X5" i="37"/>
  <c r="Z5" i="37"/>
  <c r="P6" i="37"/>
  <c r="Q6" i="37"/>
  <c r="S6" i="37"/>
  <c r="T6" i="37"/>
  <c r="X6" i="37"/>
  <c r="Z6" i="37"/>
  <c r="P7" i="37"/>
  <c r="Q7" i="37"/>
  <c r="S7" i="37"/>
  <c r="T7" i="37"/>
  <c r="X7" i="37"/>
  <c r="Z7" i="37"/>
  <c r="P8" i="37"/>
  <c r="Q8" i="37"/>
  <c r="S8" i="37"/>
  <c r="T8" i="37"/>
  <c r="X8" i="37"/>
  <c r="Z8" i="37"/>
  <c r="AJ8" i="37" s="1"/>
  <c r="P9" i="37"/>
  <c r="Q9" i="37"/>
  <c r="S9" i="37"/>
  <c r="T9" i="37"/>
  <c r="X9" i="37"/>
  <c r="Z9" i="37"/>
  <c r="AJ9" i="37" s="1"/>
  <c r="P10" i="37"/>
  <c r="Q10" i="37"/>
  <c r="S10" i="37"/>
  <c r="T10" i="37"/>
  <c r="X10" i="37"/>
  <c r="Z10" i="37"/>
  <c r="P11" i="37"/>
  <c r="Q11" i="37"/>
  <c r="S11" i="37"/>
  <c r="T11" i="37"/>
  <c r="X11" i="37"/>
  <c r="Z11" i="37"/>
  <c r="P12" i="37"/>
  <c r="Q12" i="37"/>
  <c r="S12" i="37"/>
  <c r="T12" i="37"/>
  <c r="X12" i="37"/>
  <c r="Z12" i="37"/>
  <c r="P13" i="37"/>
  <c r="Q13" i="37"/>
  <c r="S13" i="37"/>
  <c r="T13" i="37"/>
  <c r="X13" i="37"/>
  <c r="Z13" i="37"/>
  <c r="P14" i="37"/>
  <c r="Q14" i="37"/>
  <c r="S14" i="37"/>
  <c r="T14" i="37"/>
  <c r="X14" i="37"/>
  <c r="Z14" i="37"/>
  <c r="P15" i="37"/>
  <c r="Q15" i="37"/>
  <c r="S15" i="37"/>
  <c r="T15" i="37"/>
  <c r="X15" i="37"/>
  <c r="Z15" i="37"/>
  <c r="P16" i="37"/>
  <c r="Q16" i="37"/>
  <c r="S16" i="37"/>
  <c r="T16" i="37"/>
  <c r="X16" i="37"/>
  <c r="Z16" i="37"/>
  <c r="P17" i="37"/>
  <c r="Q17" i="37"/>
  <c r="S17" i="37"/>
  <c r="T17" i="37"/>
  <c r="X17" i="37"/>
  <c r="Z17" i="37"/>
  <c r="P18" i="37"/>
  <c r="Q18" i="37"/>
  <c r="S18" i="37"/>
  <c r="T18" i="37"/>
  <c r="X18" i="37"/>
  <c r="Z18" i="37"/>
  <c r="P19" i="37"/>
  <c r="Q19" i="37"/>
  <c r="S19" i="37"/>
  <c r="T19" i="37"/>
  <c r="X19" i="37"/>
  <c r="Z19" i="37"/>
  <c r="P20" i="37"/>
  <c r="Q20" i="37"/>
  <c r="S20" i="37"/>
  <c r="T20" i="37"/>
  <c r="X20" i="37"/>
  <c r="Z20" i="37"/>
  <c r="P21" i="37"/>
  <c r="Q21" i="37"/>
  <c r="S21" i="37"/>
  <c r="T21" i="37"/>
  <c r="X21" i="37"/>
  <c r="Z21" i="37"/>
  <c r="P22" i="37"/>
  <c r="Q22" i="37"/>
  <c r="S22" i="37"/>
  <c r="T22" i="37"/>
  <c r="X22" i="37"/>
  <c r="Z22" i="37"/>
  <c r="P23" i="37"/>
  <c r="Q23" i="37"/>
  <c r="S23" i="37"/>
  <c r="T23" i="37"/>
  <c r="X23" i="37"/>
  <c r="Z23" i="37"/>
  <c r="P24" i="37"/>
  <c r="Q24" i="37"/>
  <c r="S24" i="37"/>
  <c r="T24" i="37"/>
  <c r="X24" i="37"/>
  <c r="Z24" i="37"/>
  <c r="Z3" i="37"/>
  <c r="X3" i="37"/>
  <c r="T3" i="37"/>
  <c r="S3" i="37"/>
  <c r="Q3" i="37"/>
  <c r="P3" i="37"/>
  <c r="P29" i="36"/>
  <c r="W29" i="36" s="1"/>
  <c r="Q29" i="36"/>
  <c r="S29" i="36"/>
  <c r="U29" i="36" s="1"/>
  <c r="T29" i="36"/>
  <c r="X29" i="36"/>
  <c r="Z29" i="36"/>
  <c r="P30" i="36"/>
  <c r="W30" i="36" s="1"/>
  <c r="Q30" i="36"/>
  <c r="S30" i="36"/>
  <c r="T30" i="36"/>
  <c r="U30" i="36" s="1"/>
  <c r="X30" i="36"/>
  <c r="Z30" i="36"/>
  <c r="P31" i="36"/>
  <c r="Q31" i="36"/>
  <c r="W31" i="36" s="1"/>
  <c r="S31" i="36"/>
  <c r="T31" i="36"/>
  <c r="U31" i="36"/>
  <c r="X31" i="36"/>
  <c r="Y31" i="36"/>
  <c r="Z31" i="36"/>
  <c r="P32" i="36"/>
  <c r="W32" i="36" s="1"/>
  <c r="Q32" i="36"/>
  <c r="S32" i="36"/>
  <c r="U32" i="36" s="1"/>
  <c r="T32" i="36"/>
  <c r="X32" i="36"/>
  <c r="Z32" i="36"/>
  <c r="P33" i="36"/>
  <c r="W33" i="36" s="1"/>
  <c r="Q33" i="36"/>
  <c r="S33" i="36"/>
  <c r="U33" i="36" s="1"/>
  <c r="T33" i="36"/>
  <c r="X33" i="36"/>
  <c r="Z33" i="36"/>
  <c r="P34" i="36"/>
  <c r="W34" i="36" s="1"/>
  <c r="Q34" i="36"/>
  <c r="S34" i="36"/>
  <c r="T34" i="36"/>
  <c r="U34" i="36"/>
  <c r="X34" i="36"/>
  <c r="Y34" i="36"/>
  <c r="Z34" i="36"/>
  <c r="P35" i="36"/>
  <c r="Q35" i="36"/>
  <c r="W35" i="36" s="1"/>
  <c r="S35" i="36"/>
  <c r="T35" i="36"/>
  <c r="U35" i="36"/>
  <c r="X35" i="36"/>
  <c r="Z35" i="36"/>
  <c r="P36" i="36"/>
  <c r="Q36" i="36"/>
  <c r="W36" i="36"/>
  <c r="S36" i="36"/>
  <c r="U36" i="36" s="1"/>
  <c r="T36" i="36"/>
  <c r="X36" i="36"/>
  <c r="Z36" i="36"/>
  <c r="P37" i="36"/>
  <c r="W37" i="36" s="1"/>
  <c r="Q37" i="36"/>
  <c r="S37" i="36"/>
  <c r="T37" i="36"/>
  <c r="U37" i="36" s="1"/>
  <c r="X37" i="36"/>
  <c r="Z37" i="36"/>
  <c r="P38" i="36"/>
  <c r="W38" i="36" s="1"/>
  <c r="Q38" i="36"/>
  <c r="S38" i="36"/>
  <c r="T38" i="36"/>
  <c r="U38" i="36" s="1"/>
  <c r="X38" i="36"/>
  <c r="Z38" i="36"/>
  <c r="P39" i="36"/>
  <c r="Q39" i="36"/>
  <c r="W39" i="36" s="1"/>
  <c r="S39" i="36"/>
  <c r="T39" i="36"/>
  <c r="U39" i="36" s="1"/>
  <c r="X39" i="36"/>
  <c r="Z39" i="36"/>
  <c r="P40" i="36"/>
  <c r="W40" i="36" s="1"/>
  <c r="Q40" i="36"/>
  <c r="S40" i="36"/>
  <c r="U40" i="36" s="1"/>
  <c r="T40" i="36"/>
  <c r="X40" i="36"/>
  <c r="Z40" i="36"/>
  <c r="P41" i="36"/>
  <c r="W41" i="36" s="1"/>
  <c r="Q41" i="36"/>
  <c r="S41" i="36"/>
  <c r="U41" i="36" s="1"/>
  <c r="T41" i="36"/>
  <c r="X41" i="36"/>
  <c r="Z41" i="36"/>
  <c r="P42" i="36"/>
  <c r="W42" i="36" s="1"/>
  <c r="Q42" i="36"/>
  <c r="S42" i="36"/>
  <c r="T42" i="36"/>
  <c r="U42" i="36"/>
  <c r="X42" i="36"/>
  <c r="Y42" i="36"/>
  <c r="Z42" i="36"/>
  <c r="P43" i="36"/>
  <c r="Q43" i="36"/>
  <c r="W43" i="36"/>
  <c r="S43" i="36"/>
  <c r="T43" i="36"/>
  <c r="U43" i="36"/>
  <c r="X43" i="36"/>
  <c r="Z43" i="36"/>
  <c r="P44" i="36"/>
  <c r="Q44" i="36"/>
  <c r="W44" i="36"/>
  <c r="S44" i="36"/>
  <c r="U44" i="36" s="1"/>
  <c r="T44" i="36"/>
  <c r="X44" i="36"/>
  <c r="Z44" i="36"/>
  <c r="P45" i="36"/>
  <c r="W45" i="36" s="1"/>
  <c r="Q45" i="36"/>
  <c r="S45" i="36"/>
  <c r="T45" i="36"/>
  <c r="U45" i="36" s="1"/>
  <c r="X45" i="36"/>
  <c r="Z45" i="36"/>
  <c r="P46" i="36"/>
  <c r="W46" i="36" s="1"/>
  <c r="Q46" i="36"/>
  <c r="S46" i="36"/>
  <c r="T46" i="36"/>
  <c r="U46" i="36" s="1"/>
  <c r="X46" i="36"/>
  <c r="Z46" i="36"/>
  <c r="P47" i="36"/>
  <c r="Q47" i="36"/>
  <c r="W47" i="36" s="1"/>
  <c r="S47" i="36"/>
  <c r="U47" i="36" s="1"/>
  <c r="T47" i="36"/>
  <c r="X47" i="36"/>
  <c r="Z47" i="36"/>
  <c r="Z28" i="36"/>
  <c r="X28" i="36"/>
  <c r="T28" i="36"/>
  <c r="S28" i="36"/>
  <c r="U28" i="36" s="1"/>
  <c r="Q28" i="36"/>
  <c r="P28" i="36"/>
  <c r="P4" i="36"/>
  <c r="Q4" i="36"/>
  <c r="S4" i="36"/>
  <c r="U4" i="36" s="1"/>
  <c r="T4" i="36"/>
  <c r="X4" i="36"/>
  <c r="Z4" i="36"/>
  <c r="P5" i="36"/>
  <c r="Q5" i="36"/>
  <c r="S5" i="36"/>
  <c r="T5" i="36"/>
  <c r="U5" i="36" s="1"/>
  <c r="X5" i="36"/>
  <c r="Z5" i="36"/>
  <c r="P6" i="36"/>
  <c r="Q6" i="36"/>
  <c r="S6" i="36"/>
  <c r="T6" i="36"/>
  <c r="U6" i="36"/>
  <c r="X6" i="36"/>
  <c r="Y6" i="36"/>
  <c r="Z6" i="36"/>
  <c r="P7" i="36"/>
  <c r="Q7" i="36"/>
  <c r="S7" i="36"/>
  <c r="U7" i="36" s="1"/>
  <c r="T7" i="36"/>
  <c r="X7" i="36"/>
  <c r="Z7" i="36"/>
  <c r="P8" i="36"/>
  <c r="Q8" i="36"/>
  <c r="S8" i="36"/>
  <c r="U8" i="36" s="1"/>
  <c r="T8" i="36"/>
  <c r="X8" i="36"/>
  <c r="Z8" i="36"/>
  <c r="P9" i="36"/>
  <c r="Q9" i="36"/>
  <c r="S9" i="36"/>
  <c r="T9" i="36"/>
  <c r="U9" i="36" s="1"/>
  <c r="X9" i="36"/>
  <c r="Z9" i="36"/>
  <c r="P10" i="36"/>
  <c r="Q10" i="36"/>
  <c r="S10" i="36"/>
  <c r="T10" i="36"/>
  <c r="U10" i="36"/>
  <c r="X10" i="36"/>
  <c r="Z10" i="36"/>
  <c r="P11" i="36"/>
  <c r="Q11" i="36"/>
  <c r="S11" i="36"/>
  <c r="U11" i="36" s="1"/>
  <c r="T11" i="36"/>
  <c r="X11" i="36"/>
  <c r="Z11" i="36"/>
  <c r="P12" i="36"/>
  <c r="Q12" i="36"/>
  <c r="S12" i="36"/>
  <c r="U12" i="36" s="1"/>
  <c r="T12" i="36"/>
  <c r="X12" i="36"/>
  <c r="Z12" i="36"/>
  <c r="P13" i="36"/>
  <c r="Q13" i="36"/>
  <c r="S13" i="36"/>
  <c r="T13" i="36"/>
  <c r="U13" i="36" s="1"/>
  <c r="X13" i="36"/>
  <c r="Z13" i="36"/>
  <c r="P14" i="36"/>
  <c r="Q14" i="36"/>
  <c r="S14" i="36"/>
  <c r="T14" i="36"/>
  <c r="U14" i="36"/>
  <c r="X14" i="36"/>
  <c r="Y14" i="36"/>
  <c r="Z14" i="36"/>
  <c r="P15" i="36"/>
  <c r="Q15" i="36"/>
  <c r="S15" i="36"/>
  <c r="U15" i="36" s="1"/>
  <c r="T15" i="36"/>
  <c r="X15" i="36"/>
  <c r="Z15" i="36"/>
  <c r="P16" i="36"/>
  <c r="Q16" i="36"/>
  <c r="S16" i="36"/>
  <c r="U16" i="36" s="1"/>
  <c r="T16" i="36"/>
  <c r="X16" i="36"/>
  <c r="Z16" i="36"/>
  <c r="P17" i="36"/>
  <c r="Q17" i="36"/>
  <c r="S17" i="36"/>
  <c r="T17" i="36"/>
  <c r="U17" i="36" s="1"/>
  <c r="X17" i="36"/>
  <c r="Z17" i="36"/>
  <c r="P18" i="36"/>
  <c r="Q18" i="36"/>
  <c r="S18" i="36"/>
  <c r="T18" i="36"/>
  <c r="U18" i="36"/>
  <c r="X18" i="36"/>
  <c r="Z18" i="36"/>
  <c r="P19" i="36"/>
  <c r="Q19" i="36"/>
  <c r="S19" i="36"/>
  <c r="U19" i="36" s="1"/>
  <c r="T19" i="36"/>
  <c r="X19" i="36"/>
  <c r="Z19" i="36"/>
  <c r="P20" i="36"/>
  <c r="Q20" i="36"/>
  <c r="S20" i="36"/>
  <c r="T20" i="36"/>
  <c r="U20" i="36"/>
  <c r="Y20" i="36" s="1"/>
  <c r="X20" i="36"/>
  <c r="Z20" i="36"/>
  <c r="P21" i="36"/>
  <c r="Q21" i="36"/>
  <c r="S21" i="36"/>
  <c r="T21" i="36"/>
  <c r="U21" i="36" s="1"/>
  <c r="X21" i="36"/>
  <c r="Z21" i="36"/>
  <c r="P22" i="36"/>
  <c r="Q22" i="36"/>
  <c r="S22" i="36"/>
  <c r="T22" i="36"/>
  <c r="U22" i="36"/>
  <c r="X22" i="36"/>
  <c r="Y22" i="36"/>
  <c r="Z22" i="36"/>
  <c r="P23" i="36"/>
  <c r="Q23" i="36"/>
  <c r="S23" i="36"/>
  <c r="U23" i="36" s="1"/>
  <c r="T23" i="36"/>
  <c r="X23" i="36"/>
  <c r="Z23" i="36"/>
  <c r="P24" i="36"/>
  <c r="Q24" i="36"/>
  <c r="S24" i="36"/>
  <c r="U24" i="36" s="1"/>
  <c r="T24" i="36"/>
  <c r="X24" i="36"/>
  <c r="Z24" i="36"/>
  <c r="Z3" i="36"/>
  <c r="X3" i="36"/>
  <c r="T3" i="36"/>
  <c r="S3" i="36"/>
  <c r="U3" i="36" s="1"/>
  <c r="Q3" i="36"/>
  <c r="P3" i="36"/>
  <c r="N8" i="36"/>
  <c r="N9" i="36"/>
  <c r="AH9" i="37"/>
  <c r="N9" i="37"/>
  <c r="I9" i="37"/>
  <c r="AK8" i="37"/>
  <c r="AH8" i="37"/>
  <c r="N8" i="37"/>
  <c r="I8" i="37"/>
  <c r="AH8" i="36"/>
  <c r="AJ8" i="36"/>
  <c r="AK8" i="36"/>
  <c r="AH9" i="36"/>
  <c r="AJ9" i="36"/>
  <c r="I8" i="36"/>
  <c r="I9" i="36"/>
  <c r="E5" i="75" l="1"/>
  <c r="M40" i="75"/>
  <c r="L41" i="75"/>
  <c r="M16" i="75"/>
  <c r="L17" i="75"/>
  <c r="W44" i="74"/>
  <c r="AE44" i="74" s="1"/>
  <c r="W36" i="74"/>
  <c r="AE36" i="74" s="1"/>
  <c r="AE34" i="50"/>
  <c r="W38" i="74"/>
  <c r="AE38" i="74" s="1"/>
  <c r="AE38" i="50"/>
  <c r="W34" i="74"/>
  <c r="AE34" i="74" s="1"/>
  <c r="W46" i="74"/>
  <c r="AE46" i="74" s="1"/>
  <c r="AE46" i="50"/>
  <c r="W32" i="74"/>
  <c r="AE32" i="74" s="1"/>
  <c r="AE32" i="50"/>
  <c r="AL16" i="40" a="1"/>
  <c r="AL16" i="40" s="1"/>
  <c r="AP16" i="40" s="1"/>
  <c r="C18" i="42"/>
  <c r="F31" i="72"/>
  <c r="E32" i="72"/>
  <c r="F7" i="72"/>
  <c r="E8" i="72"/>
  <c r="F8" i="72" s="1"/>
  <c r="E9" i="72"/>
  <c r="G11" i="72"/>
  <c r="M16" i="72"/>
  <c r="L17" i="72"/>
  <c r="E40" i="71"/>
  <c r="F39" i="71"/>
  <c r="E16" i="71"/>
  <c r="F15" i="71"/>
  <c r="M41" i="72"/>
  <c r="L42" i="72"/>
  <c r="M39" i="71"/>
  <c r="G39" i="71" s="1"/>
  <c r="L40" i="71"/>
  <c r="M18" i="71"/>
  <c r="L19" i="71"/>
  <c r="K20" i="69"/>
  <c r="K20" i="68"/>
  <c r="R70" i="2"/>
  <c r="P5" i="63"/>
  <c r="K20" i="63" s="1"/>
  <c r="M12" i="67"/>
  <c r="G8" i="67" s="1"/>
  <c r="L13" i="67"/>
  <c r="F36" i="67"/>
  <c r="E37" i="67"/>
  <c r="M37" i="67"/>
  <c r="G34" i="67" s="1"/>
  <c r="L38" i="67"/>
  <c r="F13" i="67"/>
  <c r="E14" i="67"/>
  <c r="M12" i="66"/>
  <c r="G8" i="66" s="1"/>
  <c r="L13" i="66"/>
  <c r="M36" i="66"/>
  <c r="G33" i="66" s="1"/>
  <c r="L37" i="66"/>
  <c r="F9" i="66"/>
  <c r="E10" i="66"/>
  <c r="F10" i="66" s="1"/>
  <c r="F11" i="66"/>
  <c r="E12" i="66"/>
  <c r="F37" i="66"/>
  <c r="E38" i="66"/>
  <c r="G7" i="65"/>
  <c r="G8" i="65"/>
  <c r="M34" i="65"/>
  <c r="L35" i="65"/>
  <c r="M12" i="65"/>
  <c r="G12" i="65" s="1"/>
  <c r="L13" i="65"/>
  <c r="AM29" i="46"/>
  <c r="AM48" i="46" s="1"/>
  <c r="AP29" i="46"/>
  <c r="AN29" i="46"/>
  <c r="AN48" i="46" s="1"/>
  <c r="AN43" i="46"/>
  <c r="AP43" i="46"/>
  <c r="AP49" i="46"/>
  <c r="AP38" i="46"/>
  <c r="AN38" i="46"/>
  <c r="AP31" i="46"/>
  <c r="AN31" i="46"/>
  <c r="AP47" i="46"/>
  <c r="AN47" i="46"/>
  <c r="AP46" i="46"/>
  <c r="AN46" i="46"/>
  <c r="AP36" i="46"/>
  <c r="AN36" i="46"/>
  <c r="AN44" i="46"/>
  <c r="AP44" i="46"/>
  <c r="D48" i="45"/>
  <c r="D30" i="45"/>
  <c r="D47" i="45"/>
  <c r="D34" i="45"/>
  <c r="D41" i="45"/>
  <c r="D38" i="45"/>
  <c r="D45" i="45"/>
  <c r="D36" i="45"/>
  <c r="D46" i="45"/>
  <c r="D43" i="45"/>
  <c r="D42" i="45"/>
  <c r="D32" i="45"/>
  <c r="D49" i="45"/>
  <c r="D37" i="45"/>
  <c r="D35" i="45"/>
  <c r="D44" i="45"/>
  <c r="D33" i="45"/>
  <c r="D39" i="45"/>
  <c r="D40" i="45"/>
  <c r="AP23" i="46"/>
  <c r="AM8" i="46"/>
  <c r="AN8" i="46"/>
  <c r="AP8" i="46"/>
  <c r="AM6" i="46"/>
  <c r="AP6" i="46"/>
  <c r="AN6" i="46"/>
  <c r="AN17" i="46"/>
  <c r="AP17" i="46"/>
  <c r="AP20" i="46"/>
  <c r="AN20" i="46"/>
  <c r="L7" i="45"/>
  <c r="AP21" i="46"/>
  <c r="AN21" i="46"/>
  <c r="AN14" i="46"/>
  <c r="W51" i="46"/>
  <c r="L25" i="2"/>
  <c r="L65" i="2" s="1"/>
  <c r="G17" i="68" s="1"/>
  <c r="C26" i="45"/>
  <c r="M9" i="64"/>
  <c r="L10" i="64"/>
  <c r="M10" i="64" s="1"/>
  <c r="G6" i="64" s="1"/>
  <c r="M11" i="64"/>
  <c r="G7" i="64" s="1"/>
  <c r="L12" i="64"/>
  <c r="F11" i="64"/>
  <c r="E12" i="64"/>
  <c r="F9" i="64"/>
  <c r="E10" i="64"/>
  <c r="F10" i="64" s="1"/>
  <c r="M35" i="64"/>
  <c r="L36" i="64"/>
  <c r="F35" i="64"/>
  <c r="E36" i="64"/>
  <c r="AK51" i="50"/>
  <c r="AK51" i="46"/>
  <c r="R25" i="2"/>
  <c r="R65" i="2" s="1"/>
  <c r="AA52" i="46"/>
  <c r="E26" i="2"/>
  <c r="Y26" i="2"/>
  <c r="Y66" i="2" s="1"/>
  <c r="M16" i="68" s="1"/>
  <c r="J77" i="2"/>
  <c r="M22" i="49" s="1"/>
  <c r="H13" i="1" s="1"/>
  <c r="K24" i="2"/>
  <c r="K73" i="2" s="1"/>
  <c r="H5" i="49"/>
  <c r="J80" i="2"/>
  <c r="K50" i="42"/>
  <c r="K26" i="42"/>
  <c r="H8" i="43"/>
  <c r="J86" i="2"/>
  <c r="K19" i="43"/>
  <c r="M87" i="2"/>
  <c r="V4" i="43"/>
  <c r="X83" i="2"/>
  <c r="K23" i="43"/>
  <c r="N87" i="2"/>
  <c r="M20" i="43"/>
  <c r="I12" i="1" s="1"/>
  <c r="M19" i="43"/>
  <c r="I11" i="1" s="1"/>
  <c r="K20" i="43"/>
  <c r="R87" i="2"/>
  <c r="E23" i="43"/>
  <c r="N86" i="2"/>
  <c r="E20" i="43"/>
  <c r="R86" i="2"/>
  <c r="F5" i="43"/>
  <c r="X84" i="2"/>
  <c r="V5" i="43"/>
  <c r="E15" i="49"/>
  <c r="K22" i="43"/>
  <c r="J87" i="2"/>
  <c r="G20" i="43"/>
  <c r="I4" i="1" s="1"/>
  <c r="M23" i="43"/>
  <c r="I14" i="1" s="1"/>
  <c r="I51" i="40"/>
  <c r="AG13" i="40"/>
  <c r="AI42" i="40"/>
  <c r="AG14" i="40"/>
  <c r="W42" i="40"/>
  <c r="AG6" i="40"/>
  <c r="AG34" i="40"/>
  <c r="AK48" i="40"/>
  <c r="AL25" i="46"/>
  <c r="AP3" i="46"/>
  <c r="AN3" i="46"/>
  <c r="AM3" i="46"/>
  <c r="M7" i="45"/>
  <c r="L8" i="45"/>
  <c r="L9" i="45" s="1"/>
  <c r="M32" i="45"/>
  <c r="G31" i="45" s="1"/>
  <c r="L33" i="45"/>
  <c r="E19" i="43"/>
  <c r="K8" i="43"/>
  <c r="P4" i="38"/>
  <c r="E20" i="38" s="1"/>
  <c r="H4" i="38"/>
  <c r="E22" i="38" s="1"/>
  <c r="L5" i="38"/>
  <c r="K23" i="38" s="1"/>
  <c r="K5" i="38"/>
  <c r="K19" i="38" s="1"/>
  <c r="P8" i="43"/>
  <c r="J90" i="2"/>
  <c r="E22" i="43"/>
  <c r="J91" i="2"/>
  <c r="L4" i="38"/>
  <c r="E23" i="38" s="1"/>
  <c r="K19" i="2"/>
  <c r="K86" i="2" s="1"/>
  <c r="G8" i="43"/>
  <c r="P5" i="38"/>
  <c r="K20" i="38" s="1"/>
  <c r="H5" i="38"/>
  <c r="K22" i="38" s="1"/>
  <c r="K4" i="38"/>
  <c r="E19" i="38" s="1"/>
  <c r="L8" i="43"/>
  <c r="G5" i="38"/>
  <c r="K20" i="2"/>
  <c r="W34" i="37"/>
  <c r="W3" i="37"/>
  <c r="W43" i="37"/>
  <c r="W39" i="37"/>
  <c r="W30" i="37"/>
  <c r="O42" i="40"/>
  <c r="W28" i="40"/>
  <c r="AG11" i="40"/>
  <c r="O6" i="40"/>
  <c r="AI13" i="40"/>
  <c r="AG40" i="40"/>
  <c r="AM40" i="40" s="1"/>
  <c r="AE32" i="40"/>
  <c r="W40" i="37"/>
  <c r="W35" i="37"/>
  <c r="W31" i="37"/>
  <c r="O13" i="40"/>
  <c r="O40" i="40"/>
  <c r="AG47" i="40"/>
  <c r="AM47" i="40" s="1"/>
  <c r="AG15" i="40"/>
  <c r="AI6" i="40"/>
  <c r="W40" i="40"/>
  <c r="AE38" i="40"/>
  <c r="AE7" i="40"/>
  <c r="O47" i="40"/>
  <c r="AI14" i="40"/>
  <c r="W41" i="37"/>
  <c r="W37" i="37"/>
  <c r="W47" i="40"/>
  <c r="AG4" i="40"/>
  <c r="AM4" i="40" s="1"/>
  <c r="W46" i="37"/>
  <c r="W33" i="37"/>
  <c r="Y34" i="40"/>
  <c r="AD47" i="40"/>
  <c r="AD37" i="40"/>
  <c r="AD33" i="40"/>
  <c r="Y41" i="40"/>
  <c r="Y23" i="40"/>
  <c r="AE23" i="40"/>
  <c r="Y9" i="40"/>
  <c r="AD46" i="40"/>
  <c r="AE46" i="40" s="1"/>
  <c r="AD5" i="40"/>
  <c r="Y28" i="40"/>
  <c r="Y42" i="40"/>
  <c r="AD18" i="40"/>
  <c r="AE18" i="40" s="1"/>
  <c r="Z51" i="40"/>
  <c r="Y32" i="40"/>
  <c r="AD21" i="40"/>
  <c r="AE21" i="40" s="1"/>
  <c r="Y17" i="40"/>
  <c r="AD30" i="40"/>
  <c r="AE30" i="40" s="1"/>
  <c r="AD43" i="40"/>
  <c r="AE43" i="40" s="1"/>
  <c r="Y22" i="40"/>
  <c r="Y24" i="40"/>
  <c r="X51" i="40"/>
  <c r="S51" i="40"/>
  <c r="AD40" i="40"/>
  <c r="M30" i="42"/>
  <c r="L31" i="42"/>
  <c r="L5" i="42"/>
  <c r="Y16" i="40"/>
  <c r="AD45" i="40"/>
  <c r="Y38" i="40"/>
  <c r="Y7" i="40"/>
  <c r="AD20" i="40"/>
  <c r="AD6" i="40"/>
  <c r="AE6" i="40" s="1"/>
  <c r="AE34" i="40"/>
  <c r="AD4" i="40"/>
  <c r="AE4" i="40" s="1"/>
  <c r="AD12" i="40"/>
  <c r="Y11" i="40"/>
  <c r="AE11" i="40"/>
  <c r="Y13" i="40"/>
  <c r="AD36" i="40"/>
  <c r="AE36" i="40" s="1"/>
  <c r="AD8" i="40"/>
  <c r="AE8" i="40" s="1"/>
  <c r="AD44" i="40"/>
  <c r="AE44" i="40" s="1"/>
  <c r="Y29" i="40"/>
  <c r="AD14" i="40"/>
  <c r="AD15" i="40"/>
  <c r="AE15" i="40" s="1"/>
  <c r="AE19" i="40"/>
  <c r="Y19" i="40"/>
  <c r="AJ25" i="40"/>
  <c r="Y31" i="40"/>
  <c r="Y10" i="40"/>
  <c r="AD10" i="40"/>
  <c r="AE10" i="40" s="1"/>
  <c r="AE17" i="40"/>
  <c r="AE13" i="40"/>
  <c r="AE31" i="40"/>
  <c r="I59" i="40"/>
  <c r="J59" i="40" s="1"/>
  <c r="J60" i="40"/>
  <c r="J58" i="40"/>
  <c r="AN16" i="40"/>
  <c r="AG33" i="40"/>
  <c r="W33" i="40"/>
  <c r="AI33" i="40"/>
  <c r="O33" i="40"/>
  <c r="AG41" i="40"/>
  <c r="AM41" i="40" s="1"/>
  <c r="AI41" i="40"/>
  <c r="O41" i="40"/>
  <c r="W41" i="40"/>
  <c r="AG37" i="40"/>
  <c r="O37" i="40"/>
  <c r="W37" i="40"/>
  <c r="AI37" i="40"/>
  <c r="AM28" i="40"/>
  <c r="U26" i="40"/>
  <c r="AD3" i="40"/>
  <c r="AI9" i="40"/>
  <c r="AE9" i="40"/>
  <c r="O9" i="40"/>
  <c r="AG9" i="40"/>
  <c r="AM9" i="40" s="1"/>
  <c r="R49" i="40"/>
  <c r="AK25" i="40"/>
  <c r="AG12" i="40"/>
  <c r="AM12" i="40" s="1"/>
  <c r="O12" i="40"/>
  <c r="AI12" i="40"/>
  <c r="T51" i="40"/>
  <c r="Y35" i="40"/>
  <c r="AD35" i="40"/>
  <c r="AE35" i="40" s="1"/>
  <c r="AI5" i="40"/>
  <c r="O5" i="40"/>
  <c r="AG5" i="40"/>
  <c r="AM5" i="40" s="1"/>
  <c r="R26" i="40"/>
  <c r="AI3" i="40"/>
  <c r="W3" i="40"/>
  <c r="O3" i="40"/>
  <c r="AG3" i="40"/>
  <c r="AG45" i="40"/>
  <c r="AI45" i="40"/>
  <c r="O45" i="40"/>
  <c r="W45" i="40"/>
  <c r="AG29" i="40"/>
  <c r="AI29" i="40"/>
  <c r="O29" i="40"/>
  <c r="W29" i="40"/>
  <c r="U49" i="40"/>
  <c r="AE22" i="40"/>
  <c r="AJ48" i="40"/>
  <c r="AI20" i="40"/>
  <c r="O20" i="40"/>
  <c r="AG20" i="40"/>
  <c r="AM20" i="40" s="1"/>
  <c r="AI24" i="40"/>
  <c r="AE24" i="40"/>
  <c r="O24" i="40"/>
  <c r="AG24" i="40"/>
  <c r="AM24" i="40" s="1"/>
  <c r="P51" i="40"/>
  <c r="AA49" i="40" s="1"/>
  <c r="R24" i="2" s="1"/>
  <c r="R73" i="2" s="1"/>
  <c r="Y39" i="40"/>
  <c r="AD39" i="40"/>
  <c r="U30" i="37"/>
  <c r="Y30" i="37" s="1"/>
  <c r="U14" i="37"/>
  <c r="Y14" i="37" s="1"/>
  <c r="U35" i="37"/>
  <c r="Y35" i="37" s="1"/>
  <c r="U24" i="37"/>
  <c r="Y24" i="37" s="1"/>
  <c r="U33" i="37"/>
  <c r="Y33" i="37" s="1"/>
  <c r="U42" i="37"/>
  <c r="Y42" i="37" s="1"/>
  <c r="U46" i="37"/>
  <c r="Y46" i="37" s="1"/>
  <c r="U45" i="37"/>
  <c r="Y45" i="37" s="1"/>
  <c r="U41" i="37"/>
  <c r="Y41" i="37" s="1"/>
  <c r="U43" i="37"/>
  <c r="Y43" i="37" s="1"/>
  <c r="U34" i="37"/>
  <c r="Y34" i="37" s="1"/>
  <c r="U44" i="37"/>
  <c r="Y44" i="37" s="1"/>
  <c r="U10" i="37"/>
  <c r="Y10" i="37" s="1"/>
  <c r="U36" i="37"/>
  <c r="Y36" i="37" s="1"/>
  <c r="U31" i="37"/>
  <c r="Y31" i="37" s="1"/>
  <c r="U22" i="37"/>
  <c r="Y22" i="37" s="1"/>
  <c r="U6" i="37"/>
  <c r="Y6" i="37" s="1"/>
  <c r="U32" i="37"/>
  <c r="Y32" i="37" s="1"/>
  <c r="U47" i="37"/>
  <c r="Y47" i="37" s="1"/>
  <c r="U3" i="37"/>
  <c r="Y3" i="37" s="1"/>
  <c r="U5" i="37"/>
  <c r="Y5" i="37" s="1"/>
  <c r="U39" i="37"/>
  <c r="Y39" i="37" s="1"/>
  <c r="U17" i="37"/>
  <c r="Y17" i="37" s="1"/>
  <c r="U12" i="37"/>
  <c r="Y12" i="37" s="1"/>
  <c r="U40" i="37"/>
  <c r="Y40" i="37" s="1"/>
  <c r="U18" i="37"/>
  <c r="Y18" i="37" s="1"/>
  <c r="U29" i="37"/>
  <c r="Y29" i="37" s="1"/>
  <c r="U37" i="37"/>
  <c r="Y37" i="37" s="1"/>
  <c r="U16" i="37"/>
  <c r="Y16" i="37" s="1"/>
  <c r="U38" i="37"/>
  <c r="Y38" i="37" s="1"/>
  <c r="U19" i="37"/>
  <c r="Y19" i="37" s="1"/>
  <c r="U8" i="37"/>
  <c r="Y8" i="37" s="1"/>
  <c r="U21" i="37"/>
  <c r="Y21" i="37" s="1"/>
  <c r="U20" i="37"/>
  <c r="Y20" i="37" s="1"/>
  <c r="U28" i="37"/>
  <c r="Y28" i="37" s="1"/>
  <c r="U11" i="37"/>
  <c r="Y11" i="37" s="1"/>
  <c r="U13" i="37"/>
  <c r="Y13" i="37" s="1"/>
  <c r="U4" i="37"/>
  <c r="Y4" i="37" s="1"/>
  <c r="U15" i="37"/>
  <c r="Y15" i="37" s="1"/>
  <c r="U23" i="37"/>
  <c r="Y23" i="37" s="1"/>
  <c r="U7" i="37"/>
  <c r="Y7" i="37" s="1"/>
  <c r="U9" i="37"/>
  <c r="Y9" i="37" s="1"/>
  <c r="O8" i="37"/>
  <c r="AI9" i="37"/>
  <c r="AG9" i="37"/>
  <c r="AM9" i="37" s="1"/>
  <c r="AK9" i="37"/>
  <c r="Y41" i="36"/>
  <c r="Y44" i="36"/>
  <c r="Y38" i="36"/>
  <c r="Y45" i="36"/>
  <c r="Y32" i="36"/>
  <c r="Y47" i="36"/>
  <c r="Y37" i="36"/>
  <c r="Y39" i="36"/>
  <c r="Y46" i="36"/>
  <c r="Y33" i="36"/>
  <c r="Y30" i="36"/>
  <c r="Y40" i="36"/>
  <c r="Y36" i="36"/>
  <c r="Y29" i="36"/>
  <c r="Y43" i="36"/>
  <c r="Y35" i="36"/>
  <c r="Y28" i="36"/>
  <c r="Y12" i="36"/>
  <c r="Y7" i="36"/>
  <c r="Y19" i="36"/>
  <c r="AD8" i="36"/>
  <c r="AE8" i="36"/>
  <c r="Y8" i="36"/>
  <c r="Y24" i="36"/>
  <c r="Y17" i="36"/>
  <c r="Y11" i="36"/>
  <c r="AI9" i="36"/>
  <c r="Y5" i="36"/>
  <c r="Y13" i="36"/>
  <c r="Y21" i="36"/>
  <c r="Y15" i="36"/>
  <c r="Y9" i="36"/>
  <c r="O8" i="36"/>
  <c r="Y23" i="36"/>
  <c r="Y16" i="36"/>
  <c r="Y4" i="36"/>
  <c r="Y10" i="36"/>
  <c r="Y18" i="36"/>
  <c r="AK9" i="36"/>
  <c r="Y3" i="36"/>
  <c r="AD9" i="36"/>
  <c r="AI8" i="36"/>
  <c r="O9" i="37"/>
  <c r="AG9" i="36"/>
  <c r="AM9" i="36" s="1"/>
  <c r="O9" i="36"/>
  <c r="AE9" i="36"/>
  <c r="AG8" i="36"/>
  <c r="AM8" i="36" s="1"/>
  <c r="AL46" i="74" l="1" a="1"/>
  <c r="AL46" i="74" s="1"/>
  <c r="AP46" i="74" s="1"/>
  <c r="C30" i="75"/>
  <c r="AL34" i="74" a="1"/>
  <c r="AL34" i="74" s="1"/>
  <c r="AP34" i="74" s="1"/>
  <c r="C35" i="75"/>
  <c r="AL38" i="74" a="1"/>
  <c r="AL38" i="74" s="1"/>
  <c r="AM38" i="74" s="1"/>
  <c r="C41" i="75"/>
  <c r="AL36" i="74" a="1"/>
  <c r="AL36" i="74" s="1"/>
  <c r="AP36" i="74" s="1"/>
  <c r="C36" i="75"/>
  <c r="AL32" i="74" a="1"/>
  <c r="AL32" i="74" s="1"/>
  <c r="AN32" i="74" s="1"/>
  <c r="C39" i="75"/>
  <c r="AL44" i="74" a="1"/>
  <c r="AL44" i="74" s="1"/>
  <c r="AN44" i="74" s="1"/>
  <c r="C34" i="75"/>
  <c r="F5" i="75"/>
  <c r="E6" i="75"/>
  <c r="G9" i="75"/>
  <c r="M17" i="75"/>
  <c r="G7" i="75" s="1"/>
  <c r="L18" i="75"/>
  <c r="M41" i="75"/>
  <c r="G32" i="75" s="1"/>
  <c r="L42" i="75"/>
  <c r="W3" i="74"/>
  <c r="W26" i="50"/>
  <c r="W51" i="50" s="1"/>
  <c r="AE3" i="50"/>
  <c r="W30" i="74"/>
  <c r="AE30" i="74" s="1"/>
  <c r="AE30" i="50"/>
  <c r="AL30" i="50" s="1" a="1"/>
  <c r="AL30" i="50" s="1"/>
  <c r="W35" i="74"/>
  <c r="AE35" i="74" s="1"/>
  <c r="AE35" i="50"/>
  <c r="AL35" i="50" s="1" a="1"/>
  <c r="AL35" i="50" s="1"/>
  <c r="W39" i="74"/>
  <c r="AE39" i="74" s="1"/>
  <c r="AE39" i="50"/>
  <c r="C44" i="65" s="1"/>
  <c r="AE43" i="50"/>
  <c r="C37" i="65" s="1"/>
  <c r="W43" i="74"/>
  <c r="AE43" i="74" s="1"/>
  <c r="AE31" i="50"/>
  <c r="AL31" i="50" s="1" a="1"/>
  <c r="AL31" i="50" s="1"/>
  <c r="W31" i="74"/>
  <c r="AE31" i="74" s="1"/>
  <c r="AE36" i="50"/>
  <c r="AL36" i="50" s="1" a="1"/>
  <c r="AL36" i="50" s="1"/>
  <c r="AE44" i="50"/>
  <c r="C41" i="65" s="1"/>
  <c r="AE41" i="40"/>
  <c r="AL38" i="40" a="1"/>
  <c r="AL38" i="40" s="1"/>
  <c r="AP38" i="40" s="1"/>
  <c r="C44" i="42"/>
  <c r="AL38" i="50" a="1"/>
  <c r="AL38" i="50" s="1"/>
  <c r="C33" i="65"/>
  <c r="W45" i="74"/>
  <c r="AE45" i="74" s="1"/>
  <c r="AE45" i="50"/>
  <c r="AL43" i="40" a="1"/>
  <c r="AL43" i="40" s="1"/>
  <c r="AP43" i="40" s="1"/>
  <c r="C39" i="42"/>
  <c r="W42" i="74"/>
  <c r="AE42" i="74" s="1"/>
  <c r="AE42" i="50"/>
  <c r="AN38" i="74"/>
  <c r="AL31" i="40" a="1"/>
  <c r="AL31" i="40" s="1"/>
  <c r="AP31" i="40" s="1"/>
  <c r="C33" i="42"/>
  <c r="W47" i="74"/>
  <c r="AE47" i="74" s="1"/>
  <c r="AE47" i="50"/>
  <c r="AL44" i="40" a="1"/>
  <c r="AL44" i="40" s="1"/>
  <c r="AP44" i="40" s="1"/>
  <c r="C46" i="42"/>
  <c r="AL34" i="40" a="1"/>
  <c r="AL34" i="40" s="1"/>
  <c r="AN34" i="40" s="1"/>
  <c r="C30" i="42"/>
  <c r="AL30" i="40" a="1"/>
  <c r="AL30" i="40" s="1"/>
  <c r="AP30" i="40" s="1"/>
  <c r="C42" i="42"/>
  <c r="AL34" i="50" a="1"/>
  <c r="AL34" i="50" s="1"/>
  <c r="C31" i="65"/>
  <c r="W33" i="74"/>
  <c r="AE33" i="74" s="1"/>
  <c r="AE33" i="50"/>
  <c r="C36" i="65"/>
  <c r="AL46" i="50" a="1"/>
  <c r="AL46" i="50" s="1"/>
  <c r="W40" i="74"/>
  <c r="AE40" i="74" s="1"/>
  <c r="AE40" i="50"/>
  <c r="AL46" i="40" a="1"/>
  <c r="AL46" i="40" s="1"/>
  <c r="AP46" i="40" s="1"/>
  <c r="C40" i="42"/>
  <c r="AL36" i="40" a="1"/>
  <c r="AL36" i="40" s="1"/>
  <c r="AP36" i="40" s="1"/>
  <c r="C36" i="42"/>
  <c r="AE40" i="40"/>
  <c r="AE42" i="40"/>
  <c r="C34" i="65"/>
  <c r="AL32" i="50" a="1"/>
  <c r="AL32" i="50" s="1"/>
  <c r="AE29" i="40"/>
  <c r="AL35" i="40" a="1"/>
  <c r="AL35" i="40" s="1"/>
  <c r="C35" i="42"/>
  <c r="W37" i="74"/>
  <c r="AE37" i="74" s="1"/>
  <c r="AE37" i="50"/>
  <c r="AL32" i="40" a="1"/>
  <c r="AL32" i="40" s="1"/>
  <c r="C34" i="42"/>
  <c r="AN36" i="74"/>
  <c r="W28" i="74"/>
  <c r="AE28" i="50"/>
  <c r="AE28" i="40"/>
  <c r="AN25" i="46"/>
  <c r="AL10" i="40" a="1"/>
  <c r="AL10" i="40" s="1"/>
  <c r="AM10" i="40" s="1"/>
  <c r="C6" i="42"/>
  <c r="AL4" i="40" a="1"/>
  <c r="AL4" i="40" s="1"/>
  <c r="AP4" i="40" s="1"/>
  <c r="C7" i="42"/>
  <c r="AL22" i="40" a="1"/>
  <c r="AL22" i="40" s="1"/>
  <c r="AP22" i="40" s="1"/>
  <c r="C15" i="42"/>
  <c r="AL8" i="40" a="1"/>
  <c r="AL8" i="40" s="1"/>
  <c r="AM8" i="40" s="1"/>
  <c r="C17" i="42"/>
  <c r="AL24" i="40" a="1"/>
  <c r="AL24" i="40" s="1"/>
  <c r="C16" i="42"/>
  <c r="AL21" i="40" a="1"/>
  <c r="AL21" i="40" s="1"/>
  <c r="AP21" i="40" s="1"/>
  <c r="C19" i="42"/>
  <c r="AL23" i="40" a="1"/>
  <c r="AL23" i="40" s="1"/>
  <c r="AN23" i="40" s="1"/>
  <c r="C21" i="42"/>
  <c r="AL9" i="40" a="1"/>
  <c r="AL9" i="40" s="1"/>
  <c r="C25" i="42"/>
  <c r="AL19" i="40" a="1"/>
  <c r="AL19" i="40" s="1"/>
  <c r="AP19" i="40" s="1"/>
  <c r="C20" i="42"/>
  <c r="AL11" i="40" a="1"/>
  <c r="AL11" i="40" s="1"/>
  <c r="AP11" i="40" s="1"/>
  <c r="C9" i="42"/>
  <c r="AL13" i="40" a="1"/>
  <c r="AL13" i="40" s="1"/>
  <c r="AP13" i="40" s="1"/>
  <c r="C4" i="42"/>
  <c r="AL15" i="40" a="1"/>
  <c r="AL15" i="40" s="1"/>
  <c r="C24" i="42"/>
  <c r="AL18" i="40" a="1"/>
  <c r="AL18" i="40" s="1"/>
  <c r="AP18" i="40" s="1"/>
  <c r="C13" i="42"/>
  <c r="AL17" i="40" a="1"/>
  <c r="AL17" i="40" s="1"/>
  <c r="AN17" i="40" s="1"/>
  <c r="C12" i="42"/>
  <c r="AL7" i="40" a="1"/>
  <c r="AL7" i="40" s="1"/>
  <c r="AP7" i="40" s="1"/>
  <c r="C5" i="42"/>
  <c r="AL9" i="36" a="1"/>
  <c r="AL9" i="36" s="1"/>
  <c r="AP9" i="36" s="1"/>
  <c r="C8" i="31"/>
  <c r="AL8" i="36" a="1"/>
  <c r="AL8" i="36" s="1"/>
  <c r="AN8" i="36" s="1"/>
  <c r="C7" i="31"/>
  <c r="F32" i="72"/>
  <c r="E33" i="72"/>
  <c r="E11" i="72"/>
  <c r="F11" i="72" s="1"/>
  <c r="F9" i="72"/>
  <c r="E10" i="72"/>
  <c r="F10" i="72" s="1"/>
  <c r="E12" i="72"/>
  <c r="G12" i="72"/>
  <c r="G41" i="72"/>
  <c r="M17" i="72"/>
  <c r="L18" i="72"/>
  <c r="G13" i="71"/>
  <c r="F40" i="71"/>
  <c r="E41" i="71"/>
  <c r="F16" i="71"/>
  <c r="E17" i="71"/>
  <c r="M42" i="72"/>
  <c r="G36" i="72" s="1"/>
  <c r="L43" i="72"/>
  <c r="G7" i="67"/>
  <c r="M40" i="71"/>
  <c r="G40" i="71" s="1"/>
  <c r="L41" i="71"/>
  <c r="M19" i="71"/>
  <c r="L20" i="71"/>
  <c r="G7" i="66"/>
  <c r="J4" i="63"/>
  <c r="M15" i="63"/>
  <c r="M20" i="63"/>
  <c r="G12" i="1" s="1"/>
  <c r="K16" i="68"/>
  <c r="F17" i="1" s="1"/>
  <c r="W5" i="63"/>
  <c r="K16" i="63" s="1"/>
  <c r="G17" i="1" s="1"/>
  <c r="F5" i="63"/>
  <c r="P4" i="63"/>
  <c r="R69" i="2"/>
  <c r="F37" i="67"/>
  <c r="E38" i="67"/>
  <c r="M13" i="67"/>
  <c r="L14" i="67"/>
  <c r="F14" i="67"/>
  <c r="E15" i="67"/>
  <c r="M38" i="67"/>
  <c r="G35" i="67" s="1"/>
  <c r="L39" i="67"/>
  <c r="F12" i="66"/>
  <c r="E13" i="66"/>
  <c r="M37" i="66"/>
  <c r="G34" i="66" s="1"/>
  <c r="L38" i="66"/>
  <c r="F38" i="66"/>
  <c r="E39" i="66"/>
  <c r="M13" i="66"/>
  <c r="L14" i="66"/>
  <c r="G32" i="65"/>
  <c r="M35" i="65"/>
  <c r="L36" i="65"/>
  <c r="L14" i="65"/>
  <c r="M13" i="65"/>
  <c r="E30" i="45"/>
  <c r="D50" i="45"/>
  <c r="AM25" i="46"/>
  <c r="D19" i="45"/>
  <c r="D7" i="45"/>
  <c r="D6" i="45"/>
  <c r="D20" i="45"/>
  <c r="D25" i="45"/>
  <c r="D17" i="45"/>
  <c r="D8" i="45"/>
  <c r="D21" i="45"/>
  <c r="D5" i="45"/>
  <c r="D12" i="45"/>
  <c r="D11" i="45"/>
  <c r="D15" i="45"/>
  <c r="D14" i="45"/>
  <c r="D16" i="45"/>
  <c r="D13" i="45"/>
  <c r="D23" i="45"/>
  <c r="D22" i="45"/>
  <c r="D24" i="45"/>
  <c r="D18" i="45"/>
  <c r="D9" i="45"/>
  <c r="D10" i="45"/>
  <c r="D4" i="45"/>
  <c r="L69" i="2"/>
  <c r="G30" i="45"/>
  <c r="M9" i="45"/>
  <c r="L10" i="45"/>
  <c r="M10" i="45" s="1"/>
  <c r="M36" i="64"/>
  <c r="G33" i="64" s="1"/>
  <c r="L37" i="64"/>
  <c r="F12" i="64"/>
  <c r="E13" i="64"/>
  <c r="F36" i="64"/>
  <c r="E37" i="64"/>
  <c r="M12" i="64"/>
  <c r="G8" i="64" s="1"/>
  <c r="L13" i="64"/>
  <c r="E25" i="2"/>
  <c r="Y25" i="2"/>
  <c r="Y65" i="2" s="1"/>
  <c r="G16" i="68" s="1"/>
  <c r="AL29" i="40" a="1"/>
  <c r="AL29" i="40" s="1"/>
  <c r="AP29" i="40" s="1"/>
  <c r="C49" i="42"/>
  <c r="H8" i="49"/>
  <c r="K22" i="49"/>
  <c r="V3" i="40"/>
  <c r="Y49" i="40"/>
  <c r="I5" i="49"/>
  <c r="AI12" i="2"/>
  <c r="AG12" i="2"/>
  <c r="O77" i="2"/>
  <c r="W77" i="2"/>
  <c r="N77" i="2"/>
  <c r="M23" i="49" s="1"/>
  <c r="H14" i="1" s="1"/>
  <c r="M77" i="2"/>
  <c r="M19" i="49" s="1"/>
  <c r="H11" i="1" s="1"/>
  <c r="T77" i="2"/>
  <c r="Q77" i="2"/>
  <c r="X73" i="2"/>
  <c r="V77" i="2"/>
  <c r="S77" i="2"/>
  <c r="P77" i="2"/>
  <c r="U77" i="2"/>
  <c r="K80" i="2"/>
  <c r="M15" i="49" s="1"/>
  <c r="AL6" i="40" a="1"/>
  <c r="AL6" i="40" s="1"/>
  <c r="AN6" i="40" s="1"/>
  <c r="C23" i="42"/>
  <c r="P5" i="49"/>
  <c r="K20" i="49" s="1"/>
  <c r="R77" i="2"/>
  <c r="M20" i="49" s="1"/>
  <c r="H12" i="1" s="1"/>
  <c r="R80" i="2"/>
  <c r="G15" i="43"/>
  <c r="E19" i="2"/>
  <c r="F4" i="38" s="1"/>
  <c r="M90" i="2"/>
  <c r="G19" i="38" s="1"/>
  <c r="J3" i="1" s="1"/>
  <c r="X86" i="2"/>
  <c r="X87" i="2"/>
  <c r="K87" i="2"/>
  <c r="AM34" i="40"/>
  <c r="E24" i="2"/>
  <c r="F5" i="49" s="1"/>
  <c r="AA26" i="40"/>
  <c r="AE5" i="40"/>
  <c r="AE47" i="40"/>
  <c r="AE14" i="40"/>
  <c r="AN38" i="40"/>
  <c r="AI48" i="40"/>
  <c r="AG48" i="40"/>
  <c r="AP26" i="46"/>
  <c r="AP51" i="46" s="1"/>
  <c r="K59" i="46" s="1"/>
  <c r="L59" i="46" s="1"/>
  <c r="M33" i="45"/>
  <c r="L34" i="45"/>
  <c r="M8" i="45"/>
  <c r="L11" i="45"/>
  <c r="M22" i="38"/>
  <c r="J13" i="1" s="1"/>
  <c r="M91" i="2"/>
  <c r="V8" i="43"/>
  <c r="S90" i="2"/>
  <c r="T90" i="2"/>
  <c r="U90" i="2"/>
  <c r="V90" i="2"/>
  <c r="O90" i="2"/>
  <c r="W90" i="2"/>
  <c r="P90" i="2"/>
  <c r="AH10" i="2"/>
  <c r="Q90" i="2"/>
  <c r="AG10" i="2"/>
  <c r="I4" i="38"/>
  <c r="E15" i="38" s="1"/>
  <c r="N90" i="2"/>
  <c r="E20" i="2"/>
  <c r="R91" i="2"/>
  <c r="AD19" i="2"/>
  <c r="G22" i="38"/>
  <c r="J5" i="1" s="1"/>
  <c r="R90" i="2"/>
  <c r="K15" i="43"/>
  <c r="O91" i="2"/>
  <c r="W91" i="2"/>
  <c r="P91" i="2"/>
  <c r="I5" i="38"/>
  <c r="K15" i="38" s="1"/>
  <c r="Q91" i="2"/>
  <c r="S91" i="2"/>
  <c r="AI10" i="2"/>
  <c r="T91" i="2"/>
  <c r="U91" i="2"/>
  <c r="V91" i="2"/>
  <c r="N91" i="2"/>
  <c r="AM15" i="40"/>
  <c r="AG8" i="37"/>
  <c r="AM8" i="37" s="1"/>
  <c r="AM11" i="40"/>
  <c r="AM44" i="40"/>
  <c r="AI8" i="37"/>
  <c r="AE33" i="40"/>
  <c r="AE37" i="40"/>
  <c r="AN21" i="40"/>
  <c r="AE12" i="40"/>
  <c r="AN18" i="40"/>
  <c r="AE20" i="40"/>
  <c r="AN31" i="40"/>
  <c r="AE45" i="40"/>
  <c r="AP8" i="40"/>
  <c r="AN8" i="40"/>
  <c r="M5" i="42"/>
  <c r="L6" i="42"/>
  <c r="M31" i="42"/>
  <c r="L32" i="42"/>
  <c r="AN36" i="40"/>
  <c r="AN15" i="40"/>
  <c r="AP15" i="40"/>
  <c r="AD26" i="40"/>
  <c r="AN30" i="40"/>
  <c r="V39" i="40"/>
  <c r="AN19" i="40"/>
  <c r="AN43" i="40"/>
  <c r="AE3" i="40"/>
  <c r="AN10" i="40"/>
  <c r="AP10" i="40"/>
  <c r="V35" i="40"/>
  <c r="AD49" i="40"/>
  <c r="AP9" i="40"/>
  <c r="AN9" i="40"/>
  <c r="AP24" i="40"/>
  <c r="AN24" i="40"/>
  <c r="AG25" i="40"/>
  <c r="W49" i="40"/>
  <c r="L24" i="2" s="1"/>
  <c r="L77" i="2" s="1"/>
  <c r="W26" i="40"/>
  <c r="AE39" i="40"/>
  <c r="AI25" i="40"/>
  <c r="V21" i="40"/>
  <c r="V46" i="40"/>
  <c r="V42" i="40"/>
  <c r="V4" i="40"/>
  <c r="V8" i="40"/>
  <c r="V11" i="40"/>
  <c r="V6" i="40"/>
  <c r="V32" i="40"/>
  <c r="V24" i="40"/>
  <c r="V30" i="40"/>
  <c r="V28" i="40"/>
  <c r="V20" i="40"/>
  <c r="V47" i="40"/>
  <c r="V19" i="40"/>
  <c r="V34" i="40"/>
  <c r="V36" i="40"/>
  <c r="V45" i="40"/>
  <c r="V18" i="40"/>
  <c r="V7" i="40"/>
  <c r="V12" i="40"/>
  <c r="V37" i="40"/>
  <c r="V23" i="40"/>
  <c r="V43" i="40"/>
  <c r="V40" i="40"/>
  <c r="V9" i="40"/>
  <c r="V16" i="40"/>
  <c r="V44" i="40"/>
  <c r="V29" i="40"/>
  <c r="V13" i="40"/>
  <c r="V17" i="40"/>
  <c r="V41" i="40"/>
  <c r="V22" i="40"/>
  <c r="V15" i="40"/>
  <c r="V31" i="40"/>
  <c r="V33" i="40"/>
  <c r="V14" i="40"/>
  <c r="V10" i="40"/>
  <c r="V5" i="40"/>
  <c r="V38" i="40"/>
  <c r="U51" i="40"/>
  <c r="Y51" i="40" s="1"/>
  <c r="Y26" i="40"/>
  <c r="R51" i="40"/>
  <c r="AP35" i="40"/>
  <c r="AN35" i="40"/>
  <c r="AD8" i="37"/>
  <c r="AE8" i="37" s="1"/>
  <c r="AD9" i="37"/>
  <c r="AE9" i="37" s="1"/>
  <c r="AM44" i="74" l="1"/>
  <c r="AN34" i="74"/>
  <c r="AP44" i="74"/>
  <c r="AN46" i="74"/>
  <c r="AM46" i="74"/>
  <c r="AM36" i="74"/>
  <c r="AM34" i="74"/>
  <c r="AP32" i="74"/>
  <c r="AP38" i="74"/>
  <c r="AL37" i="74" a="1"/>
  <c r="AL37" i="74" s="1"/>
  <c r="AP37" i="74" s="1"/>
  <c r="C47" i="75"/>
  <c r="AL40" i="74" a="1"/>
  <c r="AL40" i="74" s="1"/>
  <c r="AN40" i="74" s="1"/>
  <c r="C40" i="75"/>
  <c r="AL45" i="74" a="1"/>
  <c r="AL45" i="74" s="1"/>
  <c r="AP45" i="74" s="1"/>
  <c r="C31" i="75"/>
  <c r="AL39" i="74" a="1"/>
  <c r="AL39" i="74" s="1"/>
  <c r="AP39" i="74" s="1"/>
  <c r="C42" i="75"/>
  <c r="F6" i="75"/>
  <c r="E7" i="75"/>
  <c r="AL35" i="74" a="1"/>
  <c r="AL35" i="74" s="1"/>
  <c r="AN35" i="74" s="1"/>
  <c r="C32" i="75"/>
  <c r="AL33" i="74" a="1"/>
  <c r="AL33" i="74" s="1"/>
  <c r="AP33" i="74" s="1"/>
  <c r="C33" i="75"/>
  <c r="AL31" i="74" a="1"/>
  <c r="AL31" i="74" s="1"/>
  <c r="AM31" i="74" s="1"/>
  <c r="C44" i="75"/>
  <c r="AL42" i="74" a="1"/>
  <c r="AL42" i="74" s="1"/>
  <c r="AN42" i="74" s="1"/>
  <c r="C46" i="75"/>
  <c r="AL30" i="74" a="1"/>
  <c r="AL30" i="74" s="1"/>
  <c r="AM30" i="74" s="1"/>
  <c r="C43" i="75"/>
  <c r="AL47" i="74" a="1"/>
  <c r="AL47" i="74" s="1"/>
  <c r="AP47" i="74" s="1"/>
  <c r="C45" i="75"/>
  <c r="AL43" i="74" a="1"/>
  <c r="AL43" i="74" s="1"/>
  <c r="AP43" i="74" s="1"/>
  <c r="C38" i="75"/>
  <c r="G41" i="75"/>
  <c r="M42" i="75"/>
  <c r="L43" i="75"/>
  <c r="M18" i="75"/>
  <c r="L19" i="75"/>
  <c r="C35" i="65"/>
  <c r="AP35" i="74"/>
  <c r="W26" i="74"/>
  <c r="C18" i="65"/>
  <c r="AE26" i="50"/>
  <c r="AL3" i="50"/>
  <c r="AL39" i="50" a="1"/>
  <c r="AL39" i="50" s="1"/>
  <c r="AN39" i="50" s="1"/>
  <c r="AL43" i="50" a="1"/>
  <c r="AL43" i="50" s="1"/>
  <c r="AP43" i="50" s="1"/>
  <c r="C32" i="65"/>
  <c r="C46" i="65"/>
  <c r="AL44" i="50" a="1"/>
  <c r="AL44" i="50" s="1"/>
  <c r="AP44" i="50" s="1"/>
  <c r="C38" i="65"/>
  <c r="AN46" i="40"/>
  <c r="AN31" i="50"/>
  <c r="AP31" i="50"/>
  <c r="AM37" i="74"/>
  <c r="AL33" i="50" a="1"/>
  <c r="AL33" i="50" s="1"/>
  <c r="C30" i="65"/>
  <c r="AM38" i="50"/>
  <c r="AP38" i="50"/>
  <c r="AN38" i="50"/>
  <c r="AL45" i="40" a="1"/>
  <c r="AL45" i="40" s="1"/>
  <c r="AP45" i="40" s="1"/>
  <c r="C48" i="42"/>
  <c r="AL47" i="40" a="1"/>
  <c r="AL47" i="40" s="1"/>
  <c r="C41" i="42"/>
  <c r="W29" i="74"/>
  <c r="AE29" i="74" s="1"/>
  <c r="AE29" i="50"/>
  <c r="AL42" i="40" a="1"/>
  <c r="AL42" i="40" s="1"/>
  <c r="C38" i="42"/>
  <c r="AM34" i="50"/>
  <c r="AP34" i="50"/>
  <c r="AN34" i="50"/>
  <c r="AP34" i="40"/>
  <c r="AL33" i="40" a="1"/>
  <c r="AL33" i="40" s="1"/>
  <c r="AN33" i="40" s="1"/>
  <c r="C31" i="42"/>
  <c r="C50" i="42" s="1"/>
  <c r="D49" i="42" s="1"/>
  <c r="AL40" i="40" a="1"/>
  <c r="AL40" i="40" s="1"/>
  <c r="C37" i="42"/>
  <c r="C39" i="65"/>
  <c r="AL40" i="50" a="1"/>
  <c r="AL40" i="50" s="1"/>
  <c r="AP30" i="50"/>
  <c r="AN30" i="50"/>
  <c r="AM30" i="50"/>
  <c r="AL41" i="40" a="1"/>
  <c r="AL41" i="40" s="1"/>
  <c r="C45" i="42"/>
  <c r="AP40" i="74"/>
  <c r="AP39" i="50"/>
  <c r="C47" i="65"/>
  <c r="AL45" i="50" a="1"/>
  <c r="AL45" i="50" s="1"/>
  <c r="AN44" i="40"/>
  <c r="AP32" i="40"/>
  <c r="AN32" i="40"/>
  <c r="AN46" i="50"/>
  <c r="AP46" i="50"/>
  <c r="AP32" i="50"/>
  <c r="AN32" i="50"/>
  <c r="AP35" i="50"/>
  <c r="AN35" i="50"/>
  <c r="AL42" i="50" a="1"/>
  <c r="AL42" i="50" s="1"/>
  <c r="C43" i="65"/>
  <c r="AL39" i="40" a="1"/>
  <c r="AL39" i="40" s="1"/>
  <c r="AM39" i="40" s="1"/>
  <c r="C47" i="42"/>
  <c r="AL37" i="40" a="1"/>
  <c r="AL37" i="40" s="1"/>
  <c r="AP37" i="40" s="1"/>
  <c r="C43" i="42"/>
  <c r="C42" i="65"/>
  <c r="AL37" i="50" a="1"/>
  <c r="AL37" i="50" s="1"/>
  <c r="AN36" i="50"/>
  <c r="AP36" i="50"/>
  <c r="C45" i="65"/>
  <c r="AL47" i="50" a="1"/>
  <c r="AL47" i="50" s="1"/>
  <c r="W41" i="74"/>
  <c r="AE41" i="74" s="1"/>
  <c r="AE41" i="50"/>
  <c r="AL28" i="40" a="1"/>
  <c r="AL28" i="40" s="1"/>
  <c r="C32" i="42"/>
  <c r="AL28" i="50" a="1"/>
  <c r="AL28" i="50" s="1"/>
  <c r="C48" i="65"/>
  <c r="AE28" i="74"/>
  <c r="C48" i="75" s="1"/>
  <c r="J5" i="49"/>
  <c r="K17" i="49" s="1"/>
  <c r="L73" i="2"/>
  <c r="M17" i="63" s="1"/>
  <c r="Y24" i="2"/>
  <c r="AP17" i="40"/>
  <c r="AN4" i="40"/>
  <c r="AP23" i="40"/>
  <c r="AN11" i="40"/>
  <c r="AL3" i="40"/>
  <c r="AM3" i="40" s="1"/>
  <c r="C22" i="42"/>
  <c r="AN22" i="40"/>
  <c r="AM7" i="40"/>
  <c r="AL14" i="40" a="1"/>
  <c r="AL14" i="40" s="1"/>
  <c r="C11" i="42"/>
  <c r="W51" i="40"/>
  <c r="L23" i="2"/>
  <c r="AN7" i="40"/>
  <c r="AN13" i="40"/>
  <c r="AM13" i="40"/>
  <c r="AL20" i="40" a="1"/>
  <c r="AL20" i="40" s="1"/>
  <c r="AP20" i="40" s="1"/>
  <c r="C14" i="42"/>
  <c r="AL12" i="40" a="1"/>
  <c r="AL12" i="40" s="1"/>
  <c r="AP12" i="40" s="1"/>
  <c r="C10" i="42"/>
  <c r="AL5" i="40" a="1"/>
  <c r="AL5" i="40" s="1"/>
  <c r="AP5" i="40" s="1"/>
  <c r="C8" i="42"/>
  <c r="AL8" i="37" a="1"/>
  <c r="AL8" i="37" s="1"/>
  <c r="AP8" i="37" s="1"/>
  <c r="C23" i="39"/>
  <c r="AL9" i="37" a="1"/>
  <c r="AL9" i="37" s="1"/>
  <c r="AP9" i="37" s="1"/>
  <c r="C11" i="39"/>
  <c r="AN9" i="36"/>
  <c r="AP8" i="36"/>
  <c r="F33" i="72"/>
  <c r="E34" i="72"/>
  <c r="F12" i="72"/>
  <c r="E13" i="72"/>
  <c r="M18" i="72"/>
  <c r="L19" i="72"/>
  <c r="G14" i="71"/>
  <c r="E42" i="71"/>
  <c r="F41" i="71"/>
  <c r="E18" i="71"/>
  <c r="F17" i="71"/>
  <c r="L44" i="72"/>
  <c r="M43" i="72"/>
  <c r="M20" i="71"/>
  <c r="L21" i="71"/>
  <c r="M41" i="71"/>
  <c r="G41" i="71" s="1"/>
  <c r="L42" i="71"/>
  <c r="V5" i="38"/>
  <c r="E20" i="63"/>
  <c r="P8" i="63"/>
  <c r="G20" i="63"/>
  <c r="G4" i="1" s="1"/>
  <c r="K16" i="69"/>
  <c r="E17" i="1" s="1"/>
  <c r="J8" i="63"/>
  <c r="E17" i="63"/>
  <c r="E16" i="69"/>
  <c r="E9" i="1" s="1"/>
  <c r="W4" i="63"/>
  <c r="F8" i="68"/>
  <c r="F8" i="69"/>
  <c r="F4" i="63"/>
  <c r="F8" i="63" s="1"/>
  <c r="E20" i="68"/>
  <c r="P8" i="68"/>
  <c r="J8" i="68"/>
  <c r="E17" i="68"/>
  <c r="E20" i="69"/>
  <c r="P8" i="69"/>
  <c r="J8" i="69"/>
  <c r="E17" i="69"/>
  <c r="M39" i="67"/>
  <c r="G36" i="67" s="1"/>
  <c r="L40" i="67"/>
  <c r="M14" i="67"/>
  <c r="G9" i="67" s="1"/>
  <c r="L15" i="67"/>
  <c r="F38" i="67"/>
  <c r="E39" i="67"/>
  <c r="F15" i="67"/>
  <c r="E16" i="67"/>
  <c r="M14" i="66"/>
  <c r="G9" i="66" s="1"/>
  <c r="L15" i="66"/>
  <c r="F39" i="66"/>
  <c r="E40" i="66"/>
  <c r="M38" i="66"/>
  <c r="G35" i="66" s="1"/>
  <c r="L39" i="66"/>
  <c r="F13" i="66"/>
  <c r="E14" i="66"/>
  <c r="G13" i="65"/>
  <c r="G6" i="65"/>
  <c r="L37" i="65"/>
  <c r="M36" i="65"/>
  <c r="M14" i="65"/>
  <c r="L15" i="65"/>
  <c r="G32" i="45"/>
  <c r="F30" i="45"/>
  <c r="E31" i="45"/>
  <c r="E4" i="45"/>
  <c r="F4" i="45" s="1"/>
  <c r="D26" i="45"/>
  <c r="E5" i="45"/>
  <c r="F5" i="45" s="1"/>
  <c r="M37" i="64"/>
  <c r="G34" i="64" s="1"/>
  <c r="L38" i="64"/>
  <c r="M13" i="64"/>
  <c r="L14" i="64"/>
  <c r="F37" i="64"/>
  <c r="E38" i="64"/>
  <c r="F13" i="64"/>
  <c r="E14" i="64"/>
  <c r="X90" i="2"/>
  <c r="V4" i="38"/>
  <c r="AM29" i="40"/>
  <c r="AN29" i="40"/>
  <c r="K15" i="49"/>
  <c r="I8" i="49"/>
  <c r="X77" i="2"/>
  <c r="V5" i="49"/>
  <c r="V8" i="49" s="1"/>
  <c r="X80" i="2"/>
  <c r="AP6" i="40"/>
  <c r="AM6" i="40"/>
  <c r="X91" i="2"/>
  <c r="M15" i="43"/>
  <c r="AM33" i="40"/>
  <c r="AA52" i="40"/>
  <c r="AK51" i="40" s="1"/>
  <c r="R23" i="2"/>
  <c r="R72" i="2" s="1"/>
  <c r="V26" i="40"/>
  <c r="V49" i="40"/>
  <c r="V51" i="40" s="1"/>
  <c r="AN5" i="40"/>
  <c r="M11" i="45"/>
  <c r="L12" i="45"/>
  <c r="M34" i="45"/>
  <c r="L35" i="45"/>
  <c r="M20" i="38"/>
  <c r="J12" i="1" s="1"/>
  <c r="F5" i="38"/>
  <c r="I8" i="43"/>
  <c r="E15" i="43"/>
  <c r="F8" i="43"/>
  <c r="G20" i="38"/>
  <c r="J4" i="1" s="1"/>
  <c r="M23" i="38"/>
  <c r="J14" i="1" s="1"/>
  <c r="G23" i="38"/>
  <c r="J6" i="1" s="1"/>
  <c r="AB4" i="38"/>
  <c r="M19" i="38"/>
  <c r="J11" i="1" s="1"/>
  <c r="AM37" i="40"/>
  <c r="AM45" i="40"/>
  <c r="AP33" i="40"/>
  <c r="AN37" i="40"/>
  <c r="AN20" i="40"/>
  <c r="AN45" i="40"/>
  <c r="M6" i="42"/>
  <c r="L7" i="42"/>
  <c r="M32" i="42"/>
  <c r="L33" i="42"/>
  <c r="AD51" i="40"/>
  <c r="AE26" i="40"/>
  <c r="AE49" i="40"/>
  <c r="AP39" i="40"/>
  <c r="AP3" i="40"/>
  <c r="AN3" i="40"/>
  <c r="I32" i="36"/>
  <c r="I33" i="36"/>
  <c r="I34" i="36"/>
  <c r="I36" i="36"/>
  <c r="I42" i="36"/>
  <c r="I44" i="36"/>
  <c r="I24" i="36"/>
  <c r="I6" i="36"/>
  <c r="I7" i="36"/>
  <c r="I10" i="36"/>
  <c r="I11" i="36"/>
  <c r="I13" i="36"/>
  <c r="I16" i="36"/>
  <c r="I17" i="36"/>
  <c r="I18" i="36"/>
  <c r="I19" i="36"/>
  <c r="I21" i="36"/>
  <c r="I23" i="36"/>
  <c r="I3" i="36"/>
  <c r="J50" i="39"/>
  <c r="K44" i="39" s="1"/>
  <c r="J26" i="39"/>
  <c r="K25" i="39" s="1"/>
  <c r="U8" i="38"/>
  <c r="O8" i="38"/>
  <c r="M8" i="38"/>
  <c r="Q8" i="38"/>
  <c r="N8" i="38"/>
  <c r="K60" i="37"/>
  <c r="I60" i="37"/>
  <c r="K58" i="37"/>
  <c r="I58" i="37"/>
  <c r="J51" i="37"/>
  <c r="G51" i="37"/>
  <c r="F51" i="37"/>
  <c r="E51" i="37"/>
  <c r="D51" i="37"/>
  <c r="AA50" i="37"/>
  <c r="AC49" i="37"/>
  <c r="AB49" i="37"/>
  <c r="Z49" i="37"/>
  <c r="X49" i="37"/>
  <c r="T49" i="37"/>
  <c r="S49" i="37"/>
  <c r="Q49" i="37"/>
  <c r="P49" i="37"/>
  <c r="K49" i="37"/>
  <c r="C49" i="37"/>
  <c r="AH48" i="37"/>
  <c r="AK47" i="37"/>
  <c r="AJ47" i="37"/>
  <c r="AI47" i="37"/>
  <c r="AH47" i="37"/>
  <c r="AG47" i="37"/>
  <c r="AM47" i="37" s="1"/>
  <c r="AD47" i="37"/>
  <c r="O47" i="37"/>
  <c r="N47" i="37"/>
  <c r="I47" i="37"/>
  <c r="AK46" i="37"/>
  <c r="AJ46" i="37"/>
  <c r="AI46" i="37"/>
  <c r="AH46" i="37"/>
  <c r="AG46" i="37"/>
  <c r="AM46" i="37" s="1"/>
  <c r="AD46" i="37"/>
  <c r="O46" i="37"/>
  <c r="N46" i="37"/>
  <c r="I46" i="37"/>
  <c r="AK45" i="37"/>
  <c r="AJ45" i="37"/>
  <c r="AI45" i="37"/>
  <c r="AH45" i="37"/>
  <c r="AG45" i="37"/>
  <c r="O45" i="37"/>
  <c r="N45" i="37"/>
  <c r="I45" i="37"/>
  <c r="AK44" i="37"/>
  <c r="AJ44" i="37"/>
  <c r="AI44" i="37"/>
  <c r="AH44" i="37"/>
  <c r="AG44" i="37"/>
  <c r="AD44" i="37"/>
  <c r="O44" i="37"/>
  <c r="N44" i="37"/>
  <c r="I44" i="37"/>
  <c r="AK43" i="37"/>
  <c r="AJ43" i="37"/>
  <c r="AI43" i="37"/>
  <c r="AH43" i="37"/>
  <c r="AG43" i="37"/>
  <c r="AM43" i="37" s="1"/>
  <c r="AD43" i="37"/>
  <c r="O43" i="37"/>
  <c r="N43" i="37"/>
  <c r="I43" i="37"/>
  <c r="AK42" i="37"/>
  <c r="AJ42" i="37"/>
  <c r="AI42" i="37"/>
  <c r="AH42" i="37"/>
  <c r="AG42" i="37"/>
  <c r="AM42" i="37" s="1"/>
  <c r="O42" i="37"/>
  <c r="N42" i="37"/>
  <c r="I42" i="37"/>
  <c r="AK41" i="37"/>
  <c r="AJ41" i="37"/>
  <c r="AI41" i="37"/>
  <c r="AH41" i="37"/>
  <c r="AG41" i="37"/>
  <c r="AM41" i="37" s="1"/>
  <c r="AD41" i="37"/>
  <c r="O41" i="37"/>
  <c r="N41" i="37"/>
  <c r="I41" i="37"/>
  <c r="AK40" i="37"/>
  <c r="AJ40" i="37"/>
  <c r="AI40" i="37"/>
  <c r="AH40" i="37"/>
  <c r="AG40" i="37"/>
  <c r="AM40" i="37" s="1"/>
  <c r="AD40" i="37"/>
  <c r="O40" i="37"/>
  <c r="N40" i="37"/>
  <c r="I40" i="37"/>
  <c r="AK39" i="37"/>
  <c r="AJ39" i="37"/>
  <c r="AI39" i="37"/>
  <c r="AH39" i="37"/>
  <c r="AG39" i="37"/>
  <c r="O39" i="37"/>
  <c r="N39" i="37"/>
  <c r="I39" i="37"/>
  <c r="AM38" i="37"/>
  <c r="AK38" i="37"/>
  <c r="AJ38" i="37"/>
  <c r="AI38" i="37"/>
  <c r="AH38" i="37"/>
  <c r="AG38" i="37"/>
  <c r="AD38" i="37"/>
  <c r="O38" i="37"/>
  <c r="N38" i="37"/>
  <c r="I38" i="37"/>
  <c r="AK37" i="37"/>
  <c r="AJ37" i="37"/>
  <c r="AI37" i="37"/>
  <c r="AH37" i="37"/>
  <c r="AG37" i="37"/>
  <c r="AD37" i="37"/>
  <c r="O37" i="37"/>
  <c r="N37" i="37"/>
  <c r="I37" i="37"/>
  <c r="AK36" i="37"/>
  <c r="AJ36" i="37"/>
  <c r="AI36" i="37"/>
  <c r="AH36" i="37"/>
  <c r="AG36" i="37"/>
  <c r="AM36" i="37" s="1"/>
  <c r="O36" i="37"/>
  <c r="N36" i="37"/>
  <c r="I36" i="37"/>
  <c r="AK35" i="37"/>
  <c r="AJ35" i="37"/>
  <c r="AI35" i="37"/>
  <c r="AH35" i="37"/>
  <c r="AG35" i="37"/>
  <c r="AM35" i="37" s="1"/>
  <c r="AD35" i="37"/>
  <c r="O35" i="37"/>
  <c r="N35" i="37"/>
  <c r="I35" i="37"/>
  <c r="AK34" i="37"/>
  <c r="AJ34" i="37"/>
  <c r="AI34" i="37"/>
  <c r="AH34" i="37"/>
  <c r="AG34" i="37"/>
  <c r="AM34" i="37" s="1"/>
  <c r="AD34" i="37"/>
  <c r="O34" i="37"/>
  <c r="N34" i="37"/>
  <c r="I34" i="37"/>
  <c r="AK33" i="37"/>
  <c r="AJ33" i="37"/>
  <c r="AI33" i="37"/>
  <c r="AH33" i="37"/>
  <c r="AG33" i="37"/>
  <c r="AD33" i="37"/>
  <c r="O33" i="37"/>
  <c r="N33" i="37"/>
  <c r="I33" i="37"/>
  <c r="AK32" i="37"/>
  <c r="AJ32" i="37"/>
  <c r="AI32" i="37"/>
  <c r="AH32" i="37"/>
  <c r="AG32" i="37"/>
  <c r="AM32" i="37" s="1"/>
  <c r="O32" i="37"/>
  <c r="N32" i="37"/>
  <c r="I32" i="37"/>
  <c r="AK31" i="37"/>
  <c r="AJ31" i="37"/>
  <c r="AI31" i="37"/>
  <c r="AH31" i="37"/>
  <c r="AG31" i="37"/>
  <c r="AM31" i="37" s="1"/>
  <c r="AD31" i="37"/>
  <c r="O31" i="37"/>
  <c r="N31" i="37"/>
  <c r="I31" i="37"/>
  <c r="AK30" i="37"/>
  <c r="AJ30" i="37"/>
  <c r="AI30" i="37"/>
  <c r="AH30" i="37"/>
  <c r="AG30" i="37"/>
  <c r="AM30" i="37" s="1"/>
  <c r="AD30" i="37"/>
  <c r="O30" i="37"/>
  <c r="N30" i="37"/>
  <c r="I30" i="37"/>
  <c r="AK29" i="37"/>
  <c r="AJ29" i="37"/>
  <c r="AI29" i="37"/>
  <c r="AH29" i="37"/>
  <c r="AG29" i="37"/>
  <c r="AM29" i="37" s="1"/>
  <c r="O29" i="37"/>
  <c r="N29" i="37"/>
  <c r="I29" i="37"/>
  <c r="AK28" i="37"/>
  <c r="AJ28" i="37"/>
  <c r="AI28" i="37"/>
  <c r="AH28" i="37"/>
  <c r="AG28" i="37"/>
  <c r="W49" i="37"/>
  <c r="L22" i="2" s="1"/>
  <c r="O28" i="37"/>
  <c r="N28" i="37"/>
  <c r="I28" i="37"/>
  <c r="AA27" i="37"/>
  <c r="AA53" i="37" s="1"/>
  <c r="AC26" i="37"/>
  <c r="AC51" i="37" s="1"/>
  <c r="AB26" i="37"/>
  <c r="Z26" i="37"/>
  <c r="X26" i="37"/>
  <c r="T26" i="37"/>
  <c r="S26" i="37"/>
  <c r="Q26" i="37"/>
  <c r="P26" i="37"/>
  <c r="P51" i="37" s="1"/>
  <c r="K26" i="37"/>
  <c r="K51" i="37" s="1"/>
  <c r="C26" i="37"/>
  <c r="C51" i="37" s="1"/>
  <c r="AK24" i="37"/>
  <c r="AJ24" i="37"/>
  <c r="AH24" i="37"/>
  <c r="AD24" i="37"/>
  <c r="AI24" i="37"/>
  <c r="O24" i="37"/>
  <c r="N24" i="37"/>
  <c r="I24" i="37"/>
  <c r="AK23" i="37"/>
  <c r="AJ23" i="37"/>
  <c r="AH23" i="37"/>
  <c r="AD23" i="37"/>
  <c r="AE23" i="37" s="1"/>
  <c r="C17" i="39" s="1"/>
  <c r="N23" i="37"/>
  <c r="I23" i="37"/>
  <c r="AK22" i="37"/>
  <c r="AJ22" i="37"/>
  <c r="AH22" i="37"/>
  <c r="AG22" i="37"/>
  <c r="AM22" i="37" s="1"/>
  <c r="AD22" i="37"/>
  <c r="AI22" i="37"/>
  <c r="O22" i="37"/>
  <c r="N22" i="37"/>
  <c r="I22" i="37"/>
  <c r="AK21" i="37"/>
  <c r="AJ21" i="37"/>
  <c r="AH21" i="37"/>
  <c r="N21" i="37"/>
  <c r="I21" i="37"/>
  <c r="AK20" i="37"/>
  <c r="AJ20" i="37"/>
  <c r="AH20" i="37"/>
  <c r="AG20" i="37"/>
  <c r="AM20" i="37" s="1"/>
  <c r="AD20" i="37"/>
  <c r="AI20" i="37"/>
  <c r="N20" i="37"/>
  <c r="I20" i="37"/>
  <c r="AK19" i="37"/>
  <c r="AJ19" i="37"/>
  <c r="AH19" i="37"/>
  <c r="N19" i="37"/>
  <c r="I19" i="37"/>
  <c r="AK18" i="37"/>
  <c r="AJ18" i="37"/>
  <c r="AH18" i="37"/>
  <c r="AG18" i="37"/>
  <c r="AM18" i="37" s="1"/>
  <c r="AD18" i="37"/>
  <c r="AI18" i="37"/>
  <c r="O18" i="37"/>
  <c r="N18" i="37"/>
  <c r="I18" i="37"/>
  <c r="AK17" i="37"/>
  <c r="AJ17" i="37"/>
  <c r="AH17" i="37"/>
  <c r="AD17" i="37"/>
  <c r="AE17" i="37" s="1"/>
  <c r="C13" i="39" s="1"/>
  <c r="N17" i="37"/>
  <c r="I17" i="37"/>
  <c r="AK16" i="37"/>
  <c r="AJ16" i="37"/>
  <c r="AH16" i="37"/>
  <c r="AG16" i="37"/>
  <c r="AM16" i="37" s="1"/>
  <c r="AD16" i="37"/>
  <c r="AI16" i="37"/>
  <c r="O16" i="37"/>
  <c r="N16" i="37"/>
  <c r="I16" i="37"/>
  <c r="AK15" i="37"/>
  <c r="AJ15" i="37"/>
  <c r="AH15" i="37"/>
  <c r="AD15" i="37"/>
  <c r="N15" i="37"/>
  <c r="I15" i="37"/>
  <c r="AK14" i="37"/>
  <c r="AJ14" i="37"/>
  <c r="AH14" i="37"/>
  <c r="AG14" i="37"/>
  <c r="AD14" i="37"/>
  <c r="AI14" i="37"/>
  <c r="O14" i="37"/>
  <c r="N14" i="37"/>
  <c r="I14" i="37"/>
  <c r="AK13" i="37"/>
  <c r="AJ13" i="37"/>
  <c r="AH13" i="37"/>
  <c r="AD13" i="37"/>
  <c r="AE13" i="37" s="1"/>
  <c r="C5" i="39" s="1"/>
  <c r="N13" i="37"/>
  <c r="I13" i="37"/>
  <c r="AK12" i="37"/>
  <c r="AJ12" i="37"/>
  <c r="AH12" i="37"/>
  <c r="AD12" i="37"/>
  <c r="AI12" i="37"/>
  <c r="N12" i="37"/>
  <c r="I12" i="37"/>
  <c r="AK11" i="37"/>
  <c r="AJ11" i="37"/>
  <c r="AH11" i="37"/>
  <c r="AD11" i="37"/>
  <c r="AE11" i="37" s="1"/>
  <c r="C6" i="39" s="1"/>
  <c r="N11" i="37"/>
  <c r="I11" i="37"/>
  <c r="AK10" i="37"/>
  <c r="AJ10" i="37"/>
  <c r="AH10" i="37"/>
  <c r="AG10" i="37"/>
  <c r="AD10" i="37"/>
  <c r="AI10" i="37"/>
  <c r="N10" i="37"/>
  <c r="I10" i="37"/>
  <c r="AK7" i="37"/>
  <c r="AJ7" i="37"/>
  <c r="AH7" i="37"/>
  <c r="AD7" i="37"/>
  <c r="AE7" i="37" s="1"/>
  <c r="C19" i="39" s="1"/>
  <c r="N7" i="37"/>
  <c r="I7" i="37"/>
  <c r="AK6" i="37"/>
  <c r="AJ6" i="37"/>
  <c r="AH6" i="37"/>
  <c r="AD6" i="37"/>
  <c r="AI6" i="37"/>
  <c r="N6" i="37"/>
  <c r="I6" i="37"/>
  <c r="AK5" i="37"/>
  <c r="AJ5" i="37"/>
  <c r="AH5" i="37"/>
  <c r="AD5" i="37"/>
  <c r="AE5" i="37" s="1"/>
  <c r="C10" i="39" s="1"/>
  <c r="N5" i="37"/>
  <c r="I5" i="37"/>
  <c r="AK4" i="37"/>
  <c r="AJ4" i="37"/>
  <c r="AH4" i="37"/>
  <c r="AD4" i="37"/>
  <c r="AI4" i="37"/>
  <c r="N4" i="37"/>
  <c r="I4" i="37"/>
  <c r="AK3" i="37"/>
  <c r="AJ3" i="37"/>
  <c r="AH3" i="37"/>
  <c r="AH25" i="37" s="1"/>
  <c r="AD3" i="37"/>
  <c r="AG3" i="37"/>
  <c r="N3" i="37"/>
  <c r="I3" i="37"/>
  <c r="K60" i="36"/>
  <c r="I60" i="36"/>
  <c r="K58" i="36"/>
  <c r="I58" i="36"/>
  <c r="J51" i="36"/>
  <c r="G51" i="36"/>
  <c r="F51" i="36"/>
  <c r="E51" i="36"/>
  <c r="D51" i="36"/>
  <c r="AC49" i="36"/>
  <c r="AB49" i="36"/>
  <c r="AH47" i="36"/>
  <c r="AK47" i="36"/>
  <c r="N47" i="36"/>
  <c r="I47" i="36"/>
  <c r="AJ46" i="36"/>
  <c r="AH46" i="36"/>
  <c r="AK46" i="36"/>
  <c r="N46" i="36"/>
  <c r="I46" i="36"/>
  <c r="AK45" i="36"/>
  <c r="AJ45" i="36"/>
  <c r="AH45" i="36"/>
  <c r="N45" i="36"/>
  <c r="I45" i="36"/>
  <c r="AJ44" i="36"/>
  <c r="AH44" i="36"/>
  <c r="AK44" i="36"/>
  <c r="N44" i="36"/>
  <c r="AJ43" i="36"/>
  <c r="AH43" i="36"/>
  <c r="AD43" i="36"/>
  <c r="N43" i="36"/>
  <c r="I43" i="36"/>
  <c r="AJ42" i="36"/>
  <c r="AH42" i="36"/>
  <c r="AK42" i="36"/>
  <c r="N42" i="36"/>
  <c r="AK41" i="36"/>
  <c r="AJ41" i="36"/>
  <c r="AH41" i="36"/>
  <c r="AI41" i="36"/>
  <c r="N41" i="36"/>
  <c r="I41" i="36"/>
  <c r="AH40" i="36"/>
  <c r="N40" i="36"/>
  <c r="I40" i="36"/>
  <c r="AK39" i="36"/>
  <c r="AJ39" i="36"/>
  <c r="AH39" i="36"/>
  <c r="AD39" i="36"/>
  <c r="N39" i="36"/>
  <c r="I39" i="36"/>
  <c r="AK38" i="36"/>
  <c r="AH38" i="36"/>
  <c r="AJ38" i="36"/>
  <c r="N38" i="36"/>
  <c r="I38" i="36"/>
  <c r="AK37" i="36"/>
  <c r="AH37" i="36"/>
  <c r="AJ37" i="36"/>
  <c r="AI37" i="36"/>
  <c r="N37" i="36"/>
  <c r="I37" i="36"/>
  <c r="AK36" i="36"/>
  <c r="AJ36" i="36"/>
  <c r="AH36" i="36"/>
  <c r="N36" i="36"/>
  <c r="AH35" i="36"/>
  <c r="AD35" i="36"/>
  <c r="N35" i="36"/>
  <c r="I35" i="36"/>
  <c r="AK34" i="36"/>
  <c r="AH34" i="36"/>
  <c r="AJ34" i="36"/>
  <c r="N34" i="36"/>
  <c r="AH33" i="36"/>
  <c r="N33" i="36"/>
  <c r="AH32" i="36"/>
  <c r="N32" i="36"/>
  <c r="AK31" i="36"/>
  <c r="AH31" i="36"/>
  <c r="AJ31" i="36"/>
  <c r="N31" i="36"/>
  <c r="I31" i="36"/>
  <c r="AH30" i="36"/>
  <c r="N30" i="36"/>
  <c r="I30" i="36"/>
  <c r="AK29" i="36"/>
  <c r="AH29" i="36"/>
  <c r="AJ29" i="36"/>
  <c r="N29" i="36"/>
  <c r="I29" i="36"/>
  <c r="AH28" i="36"/>
  <c r="X49" i="36"/>
  <c r="K49" i="36"/>
  <c r="I28" i="36"/>
  <c r="AC26" i="36"/>
  <c r="AC51" i="36" s="1"/>
  <c r="AB26" i="36"/>
  <c r="AK24" i="36"/>
  <c r="AJ24" i="36"/>
  <c r="AH24" i="36"/>
  <c r="AD24" i="36"/>
  <c r="N24" i="36"/>
  <c r="AH23" i="36"/>
  <c r="N23" i="36"/>
  <c r="AH22" i="36"/>
  <c r="AD22" i="36"/>
  <c r="N22" i="36"/>
  <c r="I22" i="36"/>
  <c r="AK21" i="36"/>
  <c r="AJ21" i="36"/>
  <c r="AH21" i="36"/>
  <c r="AI21" i="36"/>
  <c r="N21" i="36"/>
  <c r="AK20" i="36"/>
  <c r="AH20" i="36"/>
  <c r="N20" i="36"/>
  <c r="I20" i="36"/>
  <c r="AK19" i="36"/>
  <c r="AH19" i="36"/>
  <c r="AD19" i="36"/>
  <c r="N19" i="36"/>
  <c r="AK18" i="36"/>
  <c r="AJ18" i="36"/>
  <c r="AH18" i="36"/>
  <c r="N18" i="36"/>
  <c r="AH17" i="36"/>
  <c r="AD17" i="36"/>
  <c r="N17" i="36"/>
  <c r="AK16" i="36"/>
  <c r="AH16" i="36"/>
  <c r="AJ16" i="36"/>
  <c r="N16" i="36"/>
  <c r="AK15" i="36"/>
  <c r="AH15" i="36"/>
  <c r="N15" i="36"/>
  <c r="I15" i="36"/>
  <c r="AH14" i="36"/>
  <c r="AD14" i="36"/>
  <c r="N14" i="36"/>
  <c r="I14" i="36"/>
  <c r="AK13" i="36"/>
  <c r="AH13" i="36"/>
  <c r="AJ13" i="36"/>
  <c r="N13" i="36"/>
  <c r="AK12" i="36"/>
  <c r="AH12" i="36"/>
  <c r="N12" i="36"/>
  <c r="I12" i="36"/>
  <c r="AH11" i="36"/>
  <c r="N11" i="36"/>
  <c r="AH10" i="36"/>
  <c r="N10" i="36"/>
  <c r="AK7" i="36"/>
  <c r="AH7" i="36"/>
  <c r="AJ7" i="36"/>
  <c r="AD7" i="36"/>
  <c r="N7" i="36"/>
  <c r="AH6" i="36"/>
  <c r="AG6" i="36"/>
  <c r="AK6" i="36"/>
  <c r="N6" i="36"/>
  <c r="AH5" i="36"/>
  <c r="N5" i="36"/>
  <c r="I5" i="36"/>
  <c r="AH4" i="36"/>
  <c r="AK4" i="36"/>
  <c r="N4" i="36"/>
  <c r="I4" i="36"/>
  <c r="AH3" i="36"/>
  <c r="N3" i="36"/>
  <c r="AN45" i="74" l="1"/>
  <c r="AM39" i="50"/>
  <c r="AN37" i="74"/>
  <c r="AN33" i="74"/>
  <c r="AP42" i="74"/>
  <c r="AM45" i="74"/>
  <c r="AN30" i="74"/>
  <c r="AN47" i="74"/>
  <c r="AM33" i="74"/>
  <c r="AP31" i="74"/>
  <c r="AN39" i="74"/>
  <c r="AN31" i="74"/>
  <c r="AM39" i="74"/>
  <c r="AL41" i="74" a="1"/>
  <c r="AL41" i="74" s="1"/>
  <c r="AN41" i="74" s="1"/>
  <c r="C37" i="75"/>
  <c r="AN43" i="74"/>
  <c r="AM35" i="74"/>
  <c r="AP30" i="74"/>
  <c r="F7" i="75"/>
  <c r="E8" i="75"/>
  <c r="AL29" i="74" a="1"/>
  <c r="AL29" i="74" s="1"/>
  <c r="AN29" i="74" s="1"/>
  <c r="C49" i="75"/>
  <c r="M19" i="75"/>
  <c r="L20" i="75"/>
  <c r="M43" i="75"/>
  <c r="L44" i="75"/>
  <c r="AN43" i="50"/>
  <c r="AM3" i="50"/>
  <c r="AM25" i="50" s="1"/>
  <c r="AP3" i="50"/>
  <c r="AP26" i="50" s="1"/>
  <c r="AN3" i="50"/>
  <c r="AN25" i="50" s="1"/>
  <c r="AL25" i="50"/>
  <c r="C26" i="65"/>
  <c r="D18" i="65" s="1"/>
  <c r="AL3" i="74"/>
  <c r="AE26" i="74"/>
  <c r="AM44" i="50"/>
  <c r="AN44" i="50"/>
  <c r="W49" i="74"/>
  <c r="W51" i="74" s="1"/>
  <c r="J5" i="43"/>
  <c r="K17" i="43" s="1"/>
  <c r="L84" i="2"/>
  <c r="Y22" i="2"/>
  <c r="W5" i="43" s="1"/>
  <c r="K16" i="43" s="1"/>
  <c r="I17" i="1" s="1"/>
  <c r="K30" i="39"/>
  <c r="L30" i="39" s="1"/>
  <c r="M30" i="39" s="1"/>
  <c r="K35" i="39"/>
  <c r="L80" i="2"/>
  <c r="M17" i="49" s="1"/>
  <c r="K36" i="39"/>
  <c r="K31" i="39"/>
  <c r="K32" i="39"/>
  <c r="K34" i="39"/>
  <c r="AP45" i="50"/>
  <c r="AM45" i="50"/>
  <c r="AN45" i="50"/>
  <c r="AP41" i="40"/>
  <c r="AN41" i="40"/>
  <c r="AP42" i="40"/>
  <c r="AN42" i="40"/>
  <c r="AL41" i="50" a="1"/>
  <c r="AL41" i="50" s="1"/>
  <c r="C40" i="65"/>
  <c r="C49" i="65"/>
  <c r="AL29" i="50" a="1"/>
  <c r="AL29" i="50" s="1"/>
  <c r="AP37" i="50"/>
  <c r="AN37" i="50"/>
  <c r="AE49" i="50"/>
  <c r="AE51" i="50" s="1"/>
  <c r="AL48" i="40"/>
  <c r="AP40" i="50"/>
  <c r="AN40" i="50"/>
  <c r="AP47" i="40"/>
  <c r="AN47" i="40"/>
  <c r="AN40" i="40"/>
  <c r="AP40" i="40"/>
  <c r="AP47" i="50"/>
  <c r="AN47" i="50"/>
  <c r="AN39" i="40"/>
  <c r="AN48" i="40" s="1"/>
  <c r="AM48" i="40"/>
  <c r="AP42" i="50"/>
  <c r="AN42" i="50"/>
  <c r="AM33" i="50"/>
  <c r="AN33" i="50"/>
  <c r="AP33" i="50"/>
  <c r="AE49" i="74"/>
  <c r="AL28" i="74" a="1"/>
  <c r="AL28" i="74" s="1"/>
  <c r="AP28" i="50"/>
  <c r="AN28" i="50"/>
  <c r="W5" i="49"/>
  <c r="K16" i="49" s="1"/>
  <c r="H17" i="1" s="1"/>
  <c r="Y73" i="2"/>
  <c r="M16" i="63" s="1"/>
  <c r="AP28" i="40"/>
  <c r="AP49" i="40" s="1"/>
  <c r="AN28" i="40"/>
  <c r="AL25" i="40"/>
  <c r="C26" i="42"/>
  <c r="D23" i="42" s="1"/>
  <c r="AM25" i="40"/>
  <c r="J4" i="49"/>
  <c r="L76" i="2"/>
  <c r="L72" i="2"/>
  <c r="G17" i="63" s="1"/>
  <c r="AN12" i="40"/>
  <c r="AN25" i="40" s="1"/>
  <c r="AM14" i="40"/>
  <c r="AN14" i="40"/>
  <c r="AP14" i="40"/>
  <c r="AN9" i="37"/>
  <c r="AN8" i="37"/>
  <c r="F34" i="72"/>
  <c r="E35" i="72"/>
  <c r="F13" i="72"/>
  <c r="E14" i="72"/>
  <c r="G13" i="72"/>
  <c r="G43" i="72"/>
  <c r="G40" i="72"/>
  <c r="L20" i="72"/>
  <c r="M19" i="72"/>
  <c r="G20" i="71"/>
  <c r="G15" i="71"/>
  <c r="F42" i="71"/>
  <c r="E43" i="71"/>
  <c r="F18" i="71"/>
  <c r="E19" i="71"/>
  <c r="M44" i="72"/>
  <c r="G37" i="72" s="1"/>
  <c r="L45" i="72"/>
  <c r="M42" i="71"/>
  <c r="G42" i="71" s="1"/>
  <c r="L43" i="71"/>
  <c r="M21" i="71"/>
  <c r="G21" i="71" s="1"/>
  <c r="L22" i="71"/>
  <c r="W8" i="69"/>
  <c r="W8" i="63"/>
  <c r="E16" i="63"/>
  <c r="G9" i="1" s="1"/>
  <c r="W8" i="68"/>
  <c r="E16" i="68"/>
  <c r="F9" i="1" s="1"/>
  <c r="F16" i="67"/>
  <c r="E17" i="67"/>
  <c r="F39" i="67"/>
  <c r="E40" i="67"/>
  <c r="M15" i="67"/>
  <c r="G10" i="67" s="1"/>
  <c r="L16" i="67"/>
  <c r="M40" i="67"/>
  <c r="L41" i="67"/>
  <c r="F14" i="66"/>
  <c r="E15" i="66"/>
  <c r="M39" i="66"/>
  <c r="G36" i="66" s="1"/>
  <c r="L40" i="66"/>
  <c r="F40" i="66"/>
  <c r="E41" i="66"/>
  <c r="M15" i="66"/>
  <c r="G10" i="66" s="1"/>
  <c r="L16" i="66"/>
  <c r="M37" i="65"/>
  <c r="L38" i="65"/>
  <c r="L16" i="65"/>
  <c r="M15" i="65"/>
  <c r="F31" i="45"/>
  <c r="E32" i="45"/>
  <c r="G33" i="45"/>
  <c r="E6" i="45"/>
  <c r="F14" i="64"/>
  <c r="E15" i="64"/>
  <c r="F38" i="64"/>
  <c r="E39" i="64"/>
  <c r="M14" i="64"/>
  <c r="G9" i="64" s="1"/>
  <c r="L15" i="64"/>
  <c r="M38" i="64"/>
  <c r="G35" i="64" s="1"/>
  <c r="L39" i="64"/>
  <c r="D47" i="42"/>
  <c r="D30" i="42"/>
  <c r="D43" i="42"/>
  <c r="D34" i="42"/>
  <c r="D48" i="42"/>
  <c r="D39" i="42"/>
  <c r="D38" i="42"/>
  <c r="D32" i="42"/>
  <c r="D41" i="42"/>
  <c r="D42" i="42"/>
  <c r="D36" i="42"/>
  <c r="D37" i="42"/>
  <c r="D46" i="42"/>
  <c r="D40" i="42"/>
  <c r="D45" i="42"/>
  <c r="D31" i="42"/>
  <c r="D44" i="42"/>
  <c r="D33" i="42"/>
  <c r="D35" i="42"/>
  <c r="D9" i="42"/>
  <c r="D10" i="42"/>
  <c r="D8" i="42"/>
  <c r="D16" i="42"/>
  <c r="D24" i="42"/>
  <c r="D7" i="42"/>
  <c r="K38" i="39"/>
  <c r="K43" i="39"/>
  <c r="K45" i="39"/>
  <c r="K37" i="39"/>
  <c r="K33" i="39"/>
  <c r="K39" i="39"/>
  <c r="K46" i="39"/>
  <c r="K47" i="39"/>
  <c r="K40" i="39"/>
  <c r="K48" i="39"/>
  <c r="K41" i="39"/>
  <c r="K49" i="39"/>
  <c r="K42" i="39"/>
  <c r="K7" i="39"/>
  <c r="K8" i="39"/>
  <c r="K16" i="39"/>
  <c r="K5" i="39"/>
  <c r="K15" i="39"/>
  <c r="K19" i="39"/>
  <c r="K23" i="39"/>
  <c r="K22" i="39"/>
  <c r="K9" i="39"/>
  <c r="K17" i="39"/>
  <c r="K10" i="39"/>
  <c r="K18" i="39"/>
  <c r="K12" i="39"/>
  <c r="K20" i="39"/>
  <c r="K4" i="39"/>
  <c r="L4" i="39" s="1"/>
  <c r="M4" i="39" s="1"/>
  <c r="G4" i="39" s="1"/>
  <c r="K13" i="39"/>
  <c r="K21" i="39"/>
  <c r="P4" i="49"/>
  <c r="R76" i="2"/>
  <c r="G20" i="49" s="1"/>
  <c r="H4" i="1" s="1"/>
  <c r="R79" i="2"/>
  <c r="E23" i="2"/>
  <c r="F4" i="49" s="1"/>
  <c r="F8" i="49" s="1"/>
  <c r="Y23" i="2"/>
  <c r="M35" i="45"/>
  <c r="L36" i="45"/>
  <c r="M12" i="45"/>
  <c r="L13" i="45"/>
  <c r="AG48" i="37"/>
  <c r="AM28" i="37"/>
  <c r="AK48" i="37"/>
  <c r="L58" i="37"/>
  <c r="L60" i="37"/>
  <c r="M33" i="42"/>
  <c r="L34" i="42"/>
  <c r="M7" i="42"/>
  <c r="L8" i="42"/>
  <c r="L9" i="42" s="1"/>
  <c r="AE51" i="40"/>
  <c r="AP26" i="40"/>
  <c r="AP51" i="40" s="1"/>
  <c r="K59" i="40" s="1"/>
  <c r="L59" i="40" s="1"/>
  <c r="R8" i="38"/>
  <c r="T8" i="38"/>
  <c r="S8" i="38"/>
  <c r="S51" i="37"/>
  <c r="X51" i="37"/>
  <c r="T51" i="37"/>
  <c r="AI48" i="37"/>
  <c r="Z51" i="37"/>
  <c r="Q51" i="37"/>
  <c r="AE15" i="37"/>
  <c r="AI3" i="37"/>
  <c r="AG6" i="37"/>
  <c r="AD21" i="37"/>
  <c r="AE21" i="37" s="1"/>
  <c r="O10" i="37"/>
  <c r="O20" i="37"/>
  <c r="AG24" i="37"/>
  <c r="AM24" i="37" s="1"/>
  <c r="AA26" i="37"/>
  <c r="I26" i="37"/>
  <c r="O3" i="37"/>
  <c r="AK25" i="37"/>
  <c r="AG4" i="37"/>
  <c r="AM4" i="37" s="1"/>
  <c r="AG12" i="37"/>
  <c r="AM12" i="37" s="1"/>
  <c r="AD19" i="37"/>
  <c r="AE19" i="37" s="1"/>
  <c r="AL11" i="37" a="1"/>
  <c r="AL11" i="37" s="1"/>
  <c r="AP11" i="37" s="1"/>
  <c r="R26" i="37"/>
  <c r="O6" i="37"/>
  <c r="O4" i="37"/>
  <c r="O12" i="37"/>
  <c r="O19" i="36"/>
  <c r="AD11" i="36"/>
  <c r="O37" i="36"/>
  <c r="L60" i="36"/>
  <c r="K6" i="39"/>
  <c r="K14" i="39"/>
  <c r="K24" i="39"/>
  <c r="K11" i="39"/>
  <c r="I49" i="37"/>
  <c r="AE37" i="37"/>
  <c r="AE40" i="37"/>
  <c r="AE46" i="37"/>
  <c r="AJ25" i="37"/>
  <c r="AE30" i="37"/>
  <c r="AE43" i="37"/>
  <c r="AL17" i="37" a="1"/>
  <c r="AL17" i="37" s="1"/>
  <c r="AP17" i="37" s="1"/>
  <c r="U49" i="37"/>
  <c r="AD36" i="37"/>
  <c r="AE36" i="37" s="1"/>
  <c r="AL13" i="37" a="1"/>
  <c r="AL13" i="37" s="1"/>
  <c r="AP13" i="37" s="1"/>
  <c r="AE35" i="37"/>
  <c r="AE38" i="37"/>
  <c r="AD39" i="37"/>
  <c r="AE39" i="37" s="1"/>
  <c r="AD42" i="37"/>
  <c r="AE42" i="37" s="1"/>
  <c r="U26" i="37"/>
  <c r="AE3" i="37"/>
  <c r="C8" i="39" s="1"/>
  <c r="AJ48" i="37"/>
  <c r="AA49" i="37"/>
  <c r="AL5" i="37" a="1"/>
  <c r="AL5" i="37" s="1"/>
  <c r="AP5" i="37" s="1"/>
  <c r="AL23" i="37" a="1"/>
  <c r="AL23" i="37" s="1"/>
  <c r="AP23" i="37" s="1"/>
  <c r="AD28" i="37"/>
  <c r="AE28" i="37" s="1"/>
  <c r="AD29" i="37"/>
  <c r="AE29" i="37" s="1"/>
  <c r="AD32" i="37"/>
  <c r="AE32" i="37" s="1"/>
  <c r="AE41" i="37"/>
  <c r="AE44" i="37"/>
  <c r="AD45" i="37"/>
  <c r="AE45" i="37" s="1"/>
  <c r="AE47" i="37"/>
  <c r="AE33" i="37"/>
  <c r="AL7" i="37" a="1"/>
  <c r="AL7" i="37" s="1"/>
  <c r="AP7" i="37" s="1"/>
  <c r="AE31" i="37"/>
  <c r="AE34" i="37"/>
  <c r="AE4" i="37"/>
  <c r="O5" i="37"/>
  <c r="AG5" i="37"/>
  <c r="AM5" i="37" s="1"/>
  <c r="AE6" i="37"/>
  <c r="O7" i="37"/>
  <c r="AG7" i="37"/>
  <c r="AM7" i="37" s="1"/>
  <c r="AE10" i="37"/>
  <c r="O11" i="37"/>
  <c r="AG11" i="37"/>
  <c r="AE12" i="37"/>
  <c r="O13" i="37"/>
  <c r="AG13" i="37"/>
  <c r="AE14" i="37"/>
  <c r="O15" i="37"/>
  <c r="AG15" i="37"/>
  <c r="AE16" i="37"/>
  <c r="O17" i="37"/>
  <c r="AG17" i="37"/>
  <c r="AM17" i="37" s="1"/>
  <c r="AE18" i="37"/>
  <c r="O19" i="37"/>
  <c r="AG19" i="37"/>
  <c r="AM19" i="37" s="1"/>
  <c r="AE20" i="37"/>
  <c r="O21" i="37"/>
  <c r="AG21" i="37"/>
  <c r="AM21" i="37" s="1"/>
  <c r="AE22" i="37"/>
  <c r="O23" i="37"/>
  <c r="AG23" i="37"/>
  <c r="AM23" i="37" s="1"/>
  <c r="AE24" i="37"/>
  <c r="R49" i="37"/>
  <c r="AI5" i="37"/>
  <c r="AI7" i="37"/>
  <c r="AI11" i="37"/>
  <c r="AI13" i="37"/>
  <c r="AI15" i="37"/>
  <c r="AI17" i="37"/>
  <c r="AI19" i="37"/>
  <c r="AI21" i="37"/>
  <c r="AI23" i="37"/>
  <c r="AI36" i="36"/>
  <c r="AG37" i="36"/>
  <c r="AG38" i="36"/>
  <c r="L58" i="36"/>
  <c r="AI15" i="36"/>
  <c r="O15" i="36"/>
  <c r="AG15" i="36"/>
  <c r="AM15" i="36" s="1"/>
  <c r="AD5" i="36"/>
  <c r="AD12" i="36"/>
  <c r="AD16" i="36"/>
  <c r="O39" i="36"/>
  <c r="AG39" i="36"/>
  <c r="AM39" i="36" s="1"/>
  <c r="AI39" i="36"/>
  <c r="I26" i="36"/>
  <c r="Z26" i="36"/>
  <c r="AI7" i="36"/>
  <c r="AE7" i="36"/>
  <c r="O7" i="36"/>
  <c r="AG7" i="36"/>
  <c r="AD31" i="36"/>
  <c r="AI24" i="36"/>
  <c r="AE24" i="36"/>
  <c r="O24" i="36"/>
  <c r="AG24" i="36"/>
  <c r="AM24" i="36" s="1"/>
  <c r="Q26" i="36"/>
  <c r="S26" i="36"/>
  <c r="AD6" i="36"/>
  <c r="AK11" i="36"/>
  <c r="AJ11" i="36"/>
  <c r="AI12" i="36"/>
  <c r="O12" i="36"/>
  <c r="AG12" i="36"/>
  <c r="AM12" i="36" s="1"/>
  <c r="AD13" i="36"/>
  <c r="AD29" i="36"/>
  <c r="T26" i="36"/>
  <c r="AI16" i="36"/>
  <c r="AE16" i="36"/>
  <c r="O16" i="36"/>
  <c r="AG16" i="36"/>
  <c r="AE39" i="36"/>
  <c r="AA27" i="36"/>
  <c r="AD45" i="36"/>
  <c r="O21" i="36"/>
  <c r="AG21" i="36"/>
  <c r="AM21" i="36" s="1"/>
  <c r="I49" i="36"/>
  <c r="AK35" i="36"/>
  <c r="AJ35" i="36"/>
  <c r="AI38" i="36"/>
  <c r="O38" i="36"/>
  <c r="AD42" i="36"/>
  <c r="AJ30" i="36"/>
  <c r="AK23" i="36"/>
  <c r="AJ23" i="36"/>
  <c r="AD40" i="36"/>
  <c r="AK30" i="36"/>
  <c r="O6" i="36"/>
  <c r="AI6" i="36"/>
  <c r="AD10" i="36"/>
  <c r="AD37" i="36"/>
  <c r="AE37" i="36" s="1"/>
  <c r="AG18" i="36"/>
  <c r="AM18" i="36" s="1"/>
  <c r="AI18" i="36"/>
  <c r="O18" i="36"/>
  <c r="AK33" i="36"/>
  <c r="AJ33" i="36"/>
  <c r="AI45" i="36"/>
  <c r="O45" i="36"/>
  <c r="AG45" i="36"/>
  <c r="O4" i="36"/>
  <c r="AG4" i="36"/>
  <c r="AM4" i="36" s="1"/>
  <c r="AI4" i="36"/>
  <c r="O13" i="36"/>
  <c r="AG13" i="36"/>
  <c r="AI13" i="36"/>
  <c r="AJ20" i="36"/>
  <c r="AI29" i="36"/>
  <c r="AG29" i="36"/>
  <c r="O29" i="36"/>
  <c r="AD32" i="36"/>
  <c r="AI34" i="36"/>
  <c r="O34" i="36"/>
  <c r="AG34" i="36"/>
  <c r="AM34" i="36" s="1"/>
  <c r="AD41" i="36"/>
  <c r="AE41" i="36" s="1"/>
  <c r="AD15" i="36"/>
  <c r="AK17" i="36"/>
  <c r="Z49" i="36"/>
  <c r="AA50" i="36"/>
  <c r="X26" i="36"/>
  <c r="X51" i="36" s="1"/>
  <c r="AK5" i="36"/>
  <c r="AJ5" i="36"/>
  <c r="P26" i="36"/>
  <c r="AK3" i="36"/>
  <c r="AJ3" i="36"/>
  <c r="AK10" i="36"/>
  <c r="AJ10" i="36"/>
  <c r="AJ12" i="36"/>
  <c r="AJ15" i="36"/>
  <c r="AD21" i="36"/>
  <c r="AK32" i="36"/>
  <c r="AJ32" i="36"/>
  <c r="AD34" i="36"/>
  <c r="AG36" i="36"/>
  <c r="AM36" i="36" s="1"/>
  <c r="O36" i="36"/>
  <c r="AI46" i="36"/>
  <c r="O46" i="36"/>
  <c r="AG46" i="36"/>
  <c r="AJ19" i="36"/>
  <c r="P49" i="36"/>
  <c r="AD44" i="36"/>
  <c r="K26" i="36"/>
  <c r="K51" i="36" s="1"/>
  <c r="AJ4" i="36"/>
  <c r="AJ6" i="36"/>
  <c r="AK22" i="36"/>
  <c r="AJ22" i="36"/>
  <c r="Q49" i="36"/>
  <c r="AH25" i="36"/>
  <c r="AI19" i="36"/>
  <c r="AG19" i="36"/>
  <c r="AM19" i="36" s="1"/>
  <c r="AD20" i="36"/>
  <c r="AJ28" i="36"/>
  <c r="AD30" i="36"/>
  <c r="AK14" i="36"/>
  <c r="AJ14" i="36"/>
  <c r="AD38" i="36"/>
  <c r="AJ17" i="36"/>
  <c r="AE19" i="36"/>
  <c r="AK28" i="36"/>
  <c r="O41" i="36"/>
  <c r="AG41" i="36"/>
  <c r="AM41" i="36" s="1"/>
  <c r="AD47" i="36"/>
  <c r="AD46" i="36"/>
  <c r="AD23" i="36"/>
  <c r="S49" i="36"/>
  <c r="AH48" i="36"/>
  <c r="AD33" i="36"/>
  <c r="C26" i="36"/>
  <c r="C51" i="36" s="1"/>
  <c r="C49" i="36"/>
  <c r="T49" i="36"/>
  <c r="AK40" i="36"/>
  <c r="AJ40" i="36"/>
  <c r="AK43" i="36"/>
  <c r="N28" i="36"/>
  <c r="AJ47" i="36"/>
  <c r="J29" i="27"/>
  <c r="J30" i="27"/>
  <c r="J33" i="27"/>
  <c r="J34" i="27"/>
  <c r="J35" i="27"/>
  <c r="J36" i="27"/>
  <c r="J37" i="27"/>
  <c r="J38" i="27"/>
  <c r="J39" i="27"/>
  <c r="J28" i="27"/>
  <c r="J40" i="27"/>
  <c r="J41" i="27"/>
  <c r="J42" i="27"/>
  <c r="J43" i="27"/>
  <c r="J44" i="27"/>
  <c r="J45" i="27"/>
  <c r="J46" i="27"/>
  <c r="J31" i="27"/>
  <c r="J47" i="27"/>
  <c r="J32" i="27"/>
  <c r="J12" i="27"/>
  <c r="J5" i="27"/>
  <c r="J13" i="27"/>
  <c r="J6" i="27"/>
  <c r="J7" i="27"/>
  <c r="J14" i="27"/>
  <c r="J15" i="27"/>
  <c r="J16" i="27"/>
  <c r="J8" i="27"/>
  <c r="J17" i="27"/>
  <c r="J9" i="27"/>
  <c r="J10" i="27"/>
  <c r="J18" i="27"/>
  <c r="J19" i="27"/>
  <c r="J20" i="27"/>
  <c r="J21" i="27"/>
  <c r="J11" i="27"/>
  <c r="J22" i="27"/>
  <c r="J23" i="27"/>
  <c r="J4" i="27"/>
  <c r="C31" i="27"/>
  <c r="C28" i="27"/>
  <c r="C32" i="27"/>
  <c r="C33" i="27"/>
  <c r="C34" i="27"/>
  <c r="C35" i="27"/>
  <c r="C41" i="27"/>
  <c r="C36" i="27"/>
  <c r="C42" i="27"/>
  <c r="C30" i="27"/>
  <c r="C37" i="27"/>
  <c r="C43" i="27"/>
  <c r="C38" i="27"/>
  <c r="C39" i="27"/>
  <c r="C44" i="27"/>
  <c r="C45" i="27"/>
  <c r="C47" i="27"/>
  <c r="C29" i="27"/>
  <c r="C40" i="27"/>
  <c r="C46" i="27"/>
  <c r="C18" i="27"/>
  <c r="C6" i="27"/>
  <c r="C20" i="27"/>
  <c r="C7" i="27"/>
  <c r="C8" i="27"/>
  <c r="C9" i="27"/>
  <c r="C10" i="27"/>
  <c r="C11" i="27"/>
  <c r="C23" i="27"/>
  <c r="C22" i="27"/>
  <c r="C5" i="27"/>
  <c r="C21" i="27"/>
  <c r="C12" i="27"/>
  <c r="C13" i="27"/>
  <c r="C14" i="27"/>
  <c r="C15" i="27"/>
  <c r="C19" i="27"/>
  <c r="C16" i="27"/>
  <c r="C17" i="27"/>
  <c r="C4" i="27"/>
  <c r="I45" i="30"/>
  <c r="H29" i="32"/>
  <c r="AD20" i="2"/>
  <c r="AD21" i="2"/>
  <c r="AA22" i="2"/>
  <c r="AD22" i="2"/>
  <c r="AA23" i="2"/>
  <c r="Y4" i="49" s="1"/>
  <c r="AD23" i="2"/>
  <c r="AB4" i="49" s="1"/>
  <c r="AA24" i="2"/>
  <c r="Y5" i="49" s="1"/>
  <c r="AB24" i="2"/>
  <c r="Z5" i="49" s="1"/>
  <c r="AC24" i="2"/>
  <c r="AA5" i="49" s="1"/>
  <c r="AD24" i="2"/>
  <c r="AB5" i="49" s="1"/>
  <c r="AA25" i="2"/>
  <c r="AB25" i="2"/>
  <c r="AC25" i="2"/>
  <c r="AD25" i="2"/>
  <c r="AA26" i="2"/>
  <c r="AB26" i="2"/>
  <c r="AC26" i="2"/>
  <c r="AD26" i="2"/>
  <c r="M4" i="32"/>
  <c r="N4" i="32"/>
  <c r="O4" i="32"/>
  <c r="Q4" i="32"/>
  <c r="R4" i="32"/>
  <c r="S4" i="32"/>
  <c r="T4" i="32"/>
  <c r="U4" i="32"/>
  <c r="M5" i="32"/>
  <c r="N5" i="32"/>
  <c r="O5" i="32"/>
  <c r="Q5" i="32"/>
  <c r="R5" i="32"/>
  <c r="S5" i="32"/>
  <c r="T5" i="32"/>
  <c r="U5" i="32"/>
  <c r="M6" i="32"/>
  <c r="N6" i="32"/>
  <c r="O6" i="32"/>
  <c r="Q6" i="32"/>
  <c r="R6" i="32"/>
  <c r="S6" i="32"/>
  <c r="T6" i="32"/>
  <c r="U6" i="32"/>
  <c r="M7" i="32"/>
  <c r="N7" i="32"/>
  <c r="O7" i="32"/>
  <c r="Q7" i="32"/>
  <c r="R7" i="32"/>
  <c r="S7" i="32"/>
  <c r="T7" i="32"/>
  <c r="U7" i="32"/>
  <c r="D4" i="32"/>
  <c r="E4" i="32"/>
  <c r="D5" i="32"/>
  <c r="E5" i="32"/>
  <c r="D6" i="32"/>
  <c r="E6" i="32"/>
  <c r="D7" i="32"/>
  <c r="E7" i="32"/>
  <c r="C5" i="32"/>
  <c r="C6" i="32"/>
  <c r="C7" i="32"/>
  <c r="C4" i="32"/>
  <c r="O100" i="2"/>
  <c r="P100" i="2"/>
  <c r="Q100" i="2"/>
  <c r="S100" i="2"/>
  <c r="T100" i="2"/>
  <c r="U100" i="2"/>
  <c r="V100" i="2"/>
  <c r="W100" i="2"/>
  <c r="O101" i="2"/>
  <c r="P101" i="2"/>
  <c r="Q101" i="2"/>
  <c r="S101" i="2"/>
  <c r="T101" i="2"/>
  <c r="U101" i="2"/>
  <c r="V101" i="2"/>
  <c r="W101" i="2"/>
  <c r="AA49" i="30"/>
  <c r="Z45" i="29"/>
  <c r="X45" i="29"/>
  <c r="T45" i="29"/>
  <c r="S45" i="29"/>
  <c r="Q45" i="29"/>
  <c r="P45" i="29"/>
  <c r="Z44" i="29"/>
  <c r="X44" i="29"/>
  <c r="X44" i="30" s="1"/>
  <c r="T44" i="29"/>
  <c r="S44" i="29"/>
  <c r="Q44" i="29"/>
  <c r="P44" i="29"/>
  <c r="Z43" i="29"/>
  <c r="X43" i="29"/>
  <c r="T43" i="29"/>
  <c r="S43" i="29"/>
  <c r="U43" i="29" s="1"/>
  <c r="Q43" i="29"/>
  <c r="P43" i="29"/>
  <c r="Z42" i="29"/>
  <c r="X42" i="29"/>
  <c r="T42" i="29"/>
  <c r="S42" i="29"/>
  <c r="Q42" i="29"/>
  <c r="P42" i="29"/>
  <c r="AJ42" i="29" s="1"/>
  <c r="Z41" i="29"/>
  <c r="X41" i="29"/>
  <c r="T41" i="29"/>
  <c r="S41" i="29"/>
  <c r="Q41" i="29"/>
  <c r="P41" i="29"/>
  <c r="Z40" i="29"/>
  <c r="X40" i="29"/>
  <c r="X40" i="30" s="1"/>
  <c r="T40" i="29"/>
  <c r="S40" i="29"/>
  <c r="Q40" i="29"/>
  <c r="P40" i="29"/>
  <c r="Z39" i="29"/>
  <c r="X39" i="29"/>
  <c r="T39" i="29"/>
  <c r="S39" i="29"/>
  <c r="S39" i="30" s="1"/>
  <c r="U39" i="30" s="1"/>
  <c r="Y39" i="30" s="1"/>
  <c r="Q39" i="29"/>
  <c r="P39" i="29"/>
  <c r="Z38" i="29"/>
  <c r="X38" i="29"/>
  <c r="T38" i="29"/>
  <c r="S38" i="29"/>
  <c r="Q38" i="29"/>
  <c r="P38" i="29"/>
  <c r="P38" i="30" s="1"/>
  <c r="Z37" i="29"/>
  <c r="X37" i="29"/>
  <c r="T37" i="29"/>
  <c r="S37" i="29"/>
  <c r="Q37" i="29"/>
  <c r="P37" i="29"/>
  <c r="Z36" i="29"/>
  <c r="X36" i="29"/>
  <c r="X36" i="30" s="1"/>
  <c r="T36" i="29"/>
  <c r="S36" i="29"/>
  <c r="Q36" i="29"/>
  <c r="P36" i="29"/>
  <c r="Z35" i="29"/>
  <c r="X35" i="29"/>
  <c r="T35" i="29"/>
  <c r="S35" i="29"/>
  <c r="S35" i="30" s="1"/>
  <c r="U35" i="30" s="1"/>
  <c r="Y35" i="30" s="1"/>
  <c r="Q35" i="29"/>
  <c r="P35" i="29"/>
  <c r="Z34" i="29"/>
  <c r="X34" i="29"/>
  <c r="T34" i="29"/>
  <c r="S34" i="29"/>
  <c r="Q34" i="29"/>
  <c r="P34" i="29"/>
  <c r="AJ34" i="29" s="1"/>
  <c r="Z33" i="29"/>
  <c r="X33" i="29"/>
  <c r="T33" i="29"/>
  <c r="S33" i="29"/>
  <c r="Q33" i="29"/>
  <c r="P33" i="29"/>
  <c r="Z32" i="29"/>
  <c r="X32" i="29"/>
  <c r="X32" i="30" s="1"/>
  <c r="T32" i="29"/>
  <c r="S32" i="29"/>
  <c r="Q32" i="29"/>
  <c r="P32" i="29"/>
  <c r="Z31" i="29"/>
  <c r="X31" i="29"/>
  <c r="T31" i="29"/>
  <c r="S31" i="29"/>
  <c r="U31" i="29" s="1"/>
  <c r="Q31" i="29"/>
  <c r="P31" i="29"/>
  <c r="Z30" i="29"/>
  <c r="X30" i="29"/>
  <c r="T30" i="29"/>
  <c r="S30" i="29"/>
  <c r="Q30" i="29"/>
  <c r="P30" i="29"/>
  <c r="Z29" i="29"/>
  <c r="X29" i="29"/>
  <c r="T29" i="29"/>
  <c r="S29" i="29"/>
  <c r="Q29" i="29"/>
  <c r="P29" i="29"/>
  <c r="Z28" i="29"/>
  <c r="X28" i="29"/>
  <c r="X28" i="30" s="1"/>
  <c r="T28" i="29"/>
  <c r="S28" i="29"/>
  <c r="Q28" i="29"/>
  <c r="P28" i="29"/>
  <c r="Z27" i="29"/>
  <c r="X27" i="29"/>
  <c r="T27" i="29"/>
  <c r="S27" i="29"/>
  <c r="S27" i="30" s="1"/>
  <c r="U27" i="30" s="1"/>
  <c r="Y27" i="30" s="1"/>
  <c r="Q27" i="29"/>
  <c r="P27" i="29"/>
  <c r="Z26" i="29"/>
  <c r="X26" i="29"/>
  <c r="T26" i="29"/>
  <c r="S26" i="29"/>
  <c r="Q26" i="29"/>
  <c r="P26" i="29"/>
  <c r="Z22" i="29"/>
  <c r="X22" i="29"/>
  <c r="T22" i="29"/>
  <c r="S22" i="29"/>
  <c r="Q22" i="29"/>
  <c r="P22" i="29"/>
  <c r="Z21" i="29"/>
  <c r="X21" i="29"/>
  <c r="X21" i="30" s="1"/>
  <c r="T21" i="29"/>
  <c r="S21" i="29"/>
  <c r="Q21" i="29"/>
  <c r="P21" i="29"/>
  <c r="Z20" i="29"/>
  <c r="X20" i="29"/>
  <c r="T20" i="29"/>
  <c r="S20" i="29"/>
  <c r="S20" i="30" s="1"/>
  <c r="Q20" i="29"/>
  <c r="P20" i="29"/>
  <c r="Z19" i="29"/>
  <c r="X19" i="29"/>
  <c r="T19" i="29"/>
  <c r="S19" i="29"/>
  <c r="Q19" i="29"/>
  <c r="P19" i="29"/>
  <c r="AK19" i="29" s="1"/>
  <c r="Z18" i="29"/>
  <c r="X18" i="29"/>
  <c r="T18" i="29"/>
  <c r="S18" i="29"/>
  <c r="Q18" i="29"/>
  <c r="P18" i="29"/>
  <c r="Z17" i="29"/>
  <c r="X17" i="29"/>
  <c r="X17" i="30" s="1"/>
  <c r="T17" i="29"/>
  <c r="S17" i="29"/>
  <c r="Q17" i="29"/>
  <c r="P17" i="29"/>
  <c r="Z16" i="29"/>
  <c r="X16" i="29"/>
  <c r="T16" i="29"/>
  <c r="S16" i="29"/>
  <c r="S16" i="30" s="1"/>
  <c r="Q16" i="29"/>
  <c r="P16" i="29"/>
  <c r="Z15" i="29"/>
  <c r="X15" i="29"/>
  <c r="T15" i="29"/>
  <c r="S15" i="29"/>
  <c r="Q15" i="29"/>
  <c r="P15" i="29"/>
  <c r="AK15" i="29" s="1"/>
  <c r="Z14" i="29"/>
  <c r="X14" i="29"/>
  <c r="T14" i="29"/>
  <c r="S14" i="29"/>
  <c r="Q14" i="29"/>
  <c r="P14" i="29"/>
  <c r="Z13" i="29"/>
  <c r="X13" i="29"/>
  <c r="X13" i="30" s="1"/>
  <c r="T13" i="29"/>
  <c r="S13" i="29"/>
  <c r="Q13" i="29"/>
  <c r="P13" i="29"/>
  <c r="Z12" i="29"/>
  <c r="X12" i="29"/>
  <c r="T12" i="29"/>
  <c r="S12" i="29"/>
  <c r="U12" i="29" s="1"/>
  <c r="Q12" i="29"/>
  <c r="P12" i="29"/>
  <c r="Z11" i="29"/>
  <c r="X11" i="29"/>
  <c r="T11" i="29"/>
  <c r="U11" i="29" s="1"/>
  <c r="S11" i="29"/>
  <c r="Q11" i="29"/>
  <c r="P11" i="29"/>
  <c r="R11" i="29" s="1"/>
  <c r="O11" i="29" s="1"/>
  <c r="Z10" i="29"/>
  <c r="X10" i="29"/>
  <c r="T10" i="29"/>
  <c r="S10" i="29"/>
  <c r="Q10" i="29"/>
  <c r="P10" i="29"/>
  <c r="Z9" i="29"/>
  <c r="X9" i="29"/>
  <c r="X9" i="30" s="1"/>
  <c r="T9" i="29"/>
  <c r="S9" i="29"/>
  <c r="Q9" i="29"/>
  <c r="P9" i="29"/>
  <c r="Z8" i="29"/>
  <c r="Z8" i="30" s="1"/>
  <c r="X8" i="29"/>
  <c r="T8" i="29"/>
  <c r="S8" i="29"/>
  <c r="S8" i="30" s="1"/>
  <c r="Q8" i="29"/>
  <c r="P8" i="29"/>
  <c r="Z7" i="29"/>
  <c r="Z7" i="30" s="1"/>
  <c r="X7" i="29"/>
  <c r="T7" i="29"/>
  <c r="T7" i="30" s="1"/>
  <c r="S7" i="29"/>
  <c r="Q7" i="29"/>
  <c r="P7" i="29"/>
  <c r="P7" i="30" s="1"/>
  <c r="AJ7" i="30" s="1"/>
  <c r="Z6" i="29"/>
  <c r="X6" i="29"/>
  <c r="T6" i="29"/>
  <c r="T6" i="30" s="1"/>
  <c r="U6" i="30" s="1"/>
  <c r="S6" i="29"/>
  <c r="Q6" i="29"/>
  <c r="R6" i="29" s="1"/>
  <c r="P6" i="29"/>
  <c r="Z5" i="29"/>
  <c r="X5" i="29"/>
  <c r="X5" i="30" s="1"/>
  <c r="T5" i="29"/>
  <c r="T5" i="30" s="1"/>
  <c r="S5" i="29"/>
  <c r="Q5" i="29"/>
  <c r="Q5" i="30" s="1"/>
  <c r="P5" i="29"/>
  <c r="Z4" i="29"/>
  <c r="Z4" i="30" s="1"/>
  <c r="X4" i="29"/>
  <c r="T4" i="29"/>
  <c r="S4" i="29"/>
  <c r="U4" i="29" s="1"/>
  <c r="Q4" i="29"/>
  <c r="Q4" i="30" s="1"/>
  <c r="P4" i="29"/>
  <c r="Z3" i="29"/>
  <c r="X3" i="29"/>
  <c r="T3" i="29"/>
  <c r="T3" i="30" s="1"/>
  <c r="S3" i="29"/>
  <c r="S3" i="30" s="1"/>
  <c r="Q3" i="29"/>
  <c r="P3" i="29"/>
  <c r="P3" i="30" s="1"/>
  <c r="Q3" i="30"/>
  <c r="R16" i="2"/>
  <c r="N16" i="2"/>
  <c r="M16" i="2"/>
  <c r="L16" i="2"/>
  <c r="J16" i="2"/>
  <c r="I16" i="2"/>
  <c r="R15" i="2"/>
  <c r="N15" i="2"/>
  <c r="M15" i="2"/>
  <c r="L15" i="2"/>
  <c r="J4" i="32" s="1"/>
  <c r="J15" i="2"/>
  <c r="I15" i="2"/>
  <c r="AA48" i="29"/>
  <c r="AA42" i="30"/>
  <c r="AA25" i="29"/>
  <c r="AA13" i="30"/>
  <c r="AA18" i="30"/>
  <c r="AA30" i="30"/>
  <c r="AA33" i="30"/>
  <c r="AA38" i="30"/>
  <c r="AA41" i="30"/>
  <c r="AA6" i="30"/>
  <c r="AA9" i="30"/>
  <c r="AA11" i="30"/>
  <c r="AA16" i="30"/>
  <c r="AA22" i="30"/>
  <c r="AA3" i="30"/>
  <c r="P27" i="30"/>
  <c r="R27" i="30" s="1"/>
  <c r="W27" i="30" s="1"/>
  <c r="Q27" i="30"/>
  <c r="T27" i="30"/>
  <c r="X27" i="30"/>
  <c r="Z27" i="30"/>
  <c r="AA27" i="30"/>
  <c r="AK27" i="30" s="1"/>
  <c r="P28" i="30"/>
  <c r="R28" i="30" s="1"/>
  <c r="W28" i="30" s="1"/>
  <c r="Q28" i="30"/>
  <c r="S28" i="30"/>
  <c r="U28" i="30" s="1"/>
  <c r="T28" i="30"/>
  <c r="Z28" i="30"/>
  <c r="AA28" i="30"/>
  <c r="P29" i="30"/>
  <c r="R29" i="30" s="1"/>
  <c r="W29" i="30" s="1"/>
  <c r="Q29" i="30"/>
  <c r="S29" i="30"/>
  <c r="U29" i="30" s="1"/>
  <c r="Y29" i="30" s="1"/>
  <c r="T29" i="30"/>
  <c r="X29" i="30"/>
  <c r="Z29" i="30"/>
  <c r="AA29" i="30"/>
  <c r="P30" i="30"/>
  <c r="R30" i="30" s="1"/>
  <c r="W30" i="30" s="1"/>
  <c r="Q30" i="30"/>
  <c r="S30" i="30"/>
  <c r="T30" i="30"/>
  <c r="X30" i="30"/>
  <c r="Z30" i="30"/>
  <c r="P31" i="30"/>
  <c r="R31" i="30" s="1"/>
  <c r="W31" i="30" s="1"/>
  <c r="Q31" i="30"/>
  <c r="S31" i="30"/>
  <c r="U31" i="30" s="1"/>
  <c r="Y31" i="30" s="1"/>
  <c r="T31" i="30"/>
  <c r="X31" i="30"/>
  <c r="Z31" i="30"/>
  <c r="AA31" i="30"/>
  <c r="P32" i="30"/>
  <c r="R32" i="30" s="1"/>
  <c r="W32" i="30" s="1"/>
  <c r="Q32" i="30"/>
  <c r="S32" i="30"/>
  <c r="U32" i="30" s="1"/>
  <c r="T32" i="30"/>
  <c r="Z32" i="30"/>
  <c r="AA32" i="30"/>
  <c r="P33" i="30"/>
  <c r="R33" i="30" s="1"/>
  <c r="W33" i="30" s="1"/>
  <c r="Q33" i="30"/>
  <c r="S33" i="30"/>
  <c r="T33" i="30"/>
  <c r="U33" i="30" s="1"/>
  <c r="Y33" i="30" s="1"/>
  <c r="X33" i="30"/>
  <c r="Z33" i="30"/>
  <c r="Q34" i="30"/>
  <c r="S34" i="30"/>
  <c r="U34" i="30" s="1"/>
  <c r="T34" i="30"/>
  <c r="X34" i="30"/>
  <c r="Z34" i="30"/>
  <c r="P35" i="30"/>
  <c r="Q35" i="30"/>
  <c r="T35" i="30"/>
  <c r="X35" i="30"/>
  <c r="Z35" i="30"/>
  <c r="AA35" i="30"/>
  <c r="P36" i="30"/>
  <c r="Q36" i="30"/>
  <c r="S36" i="30"/>
  <c r="T36" i="30"/>
  <c r="Z36" i="30"/>
  <c r="AA36" i="30"/>
  <c r="P37" i="30"/>
  <c r="R37" i="30" s="1"/>
  <c r="W37" i="30" s="1"/>
  <c r="Q37" i="30"/>
  <c r="S37" i="30"/>
  <c r="T37" i="30"/>
  <c r="U37" i="30"/>
  <c r="Y37" i="30" s="1"/>
  <c r="X37" i="30"/>
  <c r="Z37" i="30"/>
  <c r="AA37" i="30"/>
  <c r="Q38" i="30"/>
  <c r="S38" i="30"/>
  <c r="U38" i="30" s="1"/>
  <c r="T38" i="30"/>
  <c r="X38" i="30"/>
  <c r="Z38" i="30"/>
  <c r="P39" i="30"/>
  <c r="Q39" i="30"/>
  <c r="T39" i="30"/>
  <c r="X39" i="30"/>
  <c r="Z39" i="30"/>
  <c r="AA39" i="30"/>
  <c r="P40" i="30"/>
  <c r="Q40" i="30"/>
  <c r="S40" i="30"/>
  <c r="U40" i="30" s="1"/>
  <c r="T40" i="30"/>
  <c r="Z40" i="30"/>
  <c r="AA40" i="30"/>
  <c r="P41" i="30"/>
  <c r="R41" i="30" s="1"/>
  <c r="W41" i="30" s="1"/>
  <c r="Q41" i="30"/>
  <c r="S41" i="30"/>
  <c r="U41" i="30" s="1"/>
  <c r="Y41" i="30" s="1"/>
  <c r="T41" i="30"/>
  <c r="X41" i="30"/>
  <c r="Z41" i="30"/>
  <c r="Q42" i="30"/>
  <c r="S42" i="30"/>
  <c r="T42" i="30"/>
  <c r="X42" i="30"/>
  <c r="Z42" i="30"/>
  <c r="P43" i="30"/>
  <c r="R43" i="30" s="1"/>
  <c r="Q43" i="30"/>
  <c r="T43" i="30"/>
  <c r="X43" i="30"/>
  <c r="Z43" i="30"/>
  <c r="AA43" i="30"/>
  <c r="P44" i="30"/>
  <c r="R44" i="30" s="1"/>
  <c r="W44" i="30" s="1"/>
  <c r="Q44" i="30"/>
  <c r="S44" i="30"/>
  <c r="U44" i="30" s="1"/>
  <c r="T44" i="30"/>
  <c r="Z44" i="30"/>
  <c r="AA44" i="30"/>
  <c r="P45" i="30"/>
  <c r="Q45" i="30"/>
  <c r="S45" i="30"/>
  <c r="T45" i="30"/>
  <c r="U45" i="30" s="1"/>
  <c r="Y45" i="30" s="1"/>
  <c r="X45" i="30"/>
  <c r="Z45" i="30"/>
  <c r="AA45" i="30"/>
  <c r="AA26" i="30"/>
  <c r="Z26" i="30"/>
  <c r="X26" i="30"/>
  <c r="T26" i="30"/>
  <c r="U26" i="30" s="1"/>
  <c r="S26" i="30"/>
  <c r="Q26" i="30"/>
  <c r="P26" i="30"/>
  <c r="R26" i="30" s="1"/>
  <c r="W26" i="30" s="1"/>
  <c r="P4" i="30"/>
  <c r="R4" i="30" s="1"/>
  <c r="W4" i="30" s="1"/>
  <c r="T4" i="30"/>
  <c r="X4" i="30"/>
  <c r="AA4" i="30"/>
  <c r="P5" i="30"/>
  <c r="S5" i="30"/>
  <c r="Z5" i="30"/>
  <c r="AA5" i="30"/>
  <c r="P6" i="30"/>
  <c r="R6" i="30" s="1"/>
  <c r="Q6" i="30"/>
  <c r="S6" i="30"/>
  <c r="X6" i="30"/>
  <c r="Z6" i="30"/>
  <c r="Q7" i="30"/>
  <c r="S7" i="30"/>
  <c r="X7" i="30"/>
  <c r="AA7" i="30"/>
  <c r="P8" i="30"/>
  <c r="Q8" i="30"/>
  <c r="R8" i="30"/>
  <c r="W8" i="30" s="1"/>
  <c r="T8" i="30"/>
  <c r="X8" i="30"/>
  <c r="AA8" i="30"/>
  <c r="P9" i="30"/>
  <c r="R9" i="30" s="1"/>
  <c r="Q9" i="30"/>
  <c r="S9" i="30"/>
  <c r="U9" i="30" s="1"/>
  <c r="T9" i="30"/>
  <c r="Z9" i="30"/>
  <c r="P10" i="30"/>
  <c r="Q10" i="30"/>
  <c r="R10" i="30" s="1"/>
  <c r="W10" i="30" s="1"/>
  <c r="S10" i="30"/>
  <c r="T10" i="30"/>
  <c r="U10" i="30" s="1"/>
  <c r="X10" i="30"/>
  <c r="Z10" i="30"/>
  <c r="AA10" i="30"/>
  <c r="Q11" i="30"/>
  <c r="S11" i="30"/>
  <c r="U11" i="30" s="1"/>
  <c r="T11" i="30"/>
  <c r="X11" i="30"/>
  <c r="Z11" i="30"/>
  <c r="P12" i="30"/>
  <c r="R12" i="30" s="1"/>
  <c r="W12" i="30" s="1"/>
  <c r="Q12" i="30"/>
  <c r="T12" i="30"/>
  <c r="X12" i="30"/>
  <c r="Z12" i="30"/>
  <c r="AA12" i="30"/>
  <c r="P13" i="30"/>
  <c r="Q13" i="30"/>
  <c r="S13" i="30"/>
  <c r="T13" i="30"/>
  <c r="Z13" i="30"/>
  <c r="P14" i="30"/>
  <c r="R14" i="30" s="1"/>
  <c r="O14" i="30" s="1"/>
  <c r="Q14" i="30"/>
  <c r="S14" i="30"/>
  <c r="T14" i="30"/>
  <c r="X14" i="30"/>
  <c r="Z14" i="30"/>
  <c r="AA14" i="30"/>
  <c r="P15" i="30"/>
  <c r="R15" i="30" s="1"/>
  <c r="Q15" i="30"/>
  <c r="S15" i="30"/>
  <c r="T15" i="30"/>
  <c r="X15" i="30"/>
  <c r="Z15" i="30"/>
  <c r="AA15" i="30"/>
  <c r="P16" i="30"/>
  <c r="Q16" i="30"/>
  <c r="R16" i="30" s="1"/>
  <c r="W16" i="30" s="1"/>
  <c r="T16" i="30"/>
  <c r="X16" i="30"/>
  <c r="Z16" i="30"/>
  <c r="P17" i="30"/>
  <c r="AJ17" i="30" s="1"/>
  <c r="Q17" i="30"/>
  <c r="S17" i="30"/>
  <c r="U17" i="30" s="1"/>
  <c r="T17" i="30"/>
  <c r="Z17" i="30"/>
  <c r="AA17" i="30"/>
  <c r="P18" i="30"/>
  <c r="R18" i="30" s="1"/>
  <c r="W18" i="30" s="1"/>
  <c r="Q18" i="30"/>
  <c r="S18" i="30"/>
  <c r="T18" i="30"/>
  <c r="X18" i="30"/>
  <c r="Z18" i="30"/>
  <c r="Q19" i="30"/>
  <c r="S19" i="30"/>
  <c r="U19" i="30" s="1"/>
  <c r="T19" i="30"/>
  <c r="X19" i="30"/>
  <c r="Z19" i="30"/>
  <c r="P20" i="30"/>
  <c r="R20" i="30" s="1"/>
  <c r="W20" i="30" s="1"/>
  <c r="Q20" i="30"/>
  <c r="T20" i="30"/>
  <c r="X20" i="30"/>
  <c r="Z20" i="30"/>
  <c r="AA20" i="30"/>
  <c r="P21" i="30"/>
  <c r="Q21" i="30"/>
  <c r="S21" i="30"/>
  <c r="T21" i="30"/>
  <c r="Z21" i="30"/>
  <c r="AA21" i="30"/>
  <c r="P22" i="30"/>
  <c r="R22" i="30" s="1"/>
  <c r="W22" i="30" s="1"/>
  <c r="Q22" i="30"/>
  <c r="S22" i="30"/>
  <c r="T22" i="30"/>
  <c r="U22" i="30" s="1"/>
  <c r="X22" i="30"/>
  <c r="Z22" i="30"/>
  <c r="Z3" i="30"/>
  <c r="X3" i="30"/>
  <c r="Z24" i="29"/>
  <c r="M17" i="2" s="1"/>
  <c r="U42" i="29"/>
  <c r="U38" i="29"/>
  <c r="U26" i="29"/>
  <c r="U15" i="29"/>
  <c r="Y15" i="29" s="1"/>
  <c r="U13" i="29"/>
  <c r="U9" i="29"/>
  <c r="U7" i="29"/>
  <c r="U6" i="29"/>
  <c r="U5" i="29"/>
  <c r="X45" i="15"/>
  <c r="X44" i="15"/>
  <c r="X43" i="15"/>
  <c r="X42" i="15"/>
  <c r="X41" i="15"/>
  <c r="X40" i="15"/>
  <c r="X39" i="15"/>
  <c r="X38" i="15"/>
  <c r="X37" i="15"/>
  <c r="X36" i="15"/>
  <c r="X35" i="15"/>
  <c r="X34" i="15"/>
  <c r="X33" i="15"/>
  <c r="X32" i="15"/>
  <c r="X31" i="15"/>
  <c r="X30" i="15"/>
  <c r="X29" i="15"/>
  <c r="X28" i="15"/>
  <c r="X27" i="15"/>
  <c r="X26" i="15"/>
  <c r="X22" i="15"/>
  <c r="X21" i="15"/>
  <c r="X20" i="15"/>
  <c r="X19" i="15"/>
  <c r="X18" i="15"/>
  <c r="X17" i="15"/>
  <c r="X16" i="15"/>
  <c r="X15" i="15"/>
  <c r="X14" i="15"/>
  <c r="X13" i="15"/>
  <c r="X12" i="15"/>
  <c r="X11" i="15"/>
  <c r="X10" i="15"/>
  <c r="X9" i="15"/>
  <c r="X8" i="15"/>
  <c r="X7" i="15"/>
  <c r="X6" i="15"/>
  <c r="X5" i="15"/>
  <c r="X4" i="15"/>
  <c r="X3" i="15"/>
  <c r="Z45" i="15"/>
  <c r="Z44" i="15"/>
  <c r="Z43" i="15"/>
  <c r="Z42" i="15"/>
  <c r="Z41" i="15"/>
  <c r="Z40" i="15"/>
  <c r="Z39" i="15"/>
  <c r="Z38" i="15"/>
  <c r="Z37" i="15"/>
  <c r="Z36" i="15"/>
  <c r="Z35" i="15"/>
  <c r="Z34" i="15"/>
  <c r="Z33" i="15"/>
  <c r="Z32" i="15"/>
  <c r="Z31" i="15"/>
  <c r="Z30" i="15"/>
  <c r="Z29" i="15"/>
  <c r="Z28" i="15"/>
  <c r="Z27" i="15"/>
  <c r="Z26" i="15"/>
  <c r="Z22" i="15"/>
  <c r="Z21" i="15"/>
  <c r="Z20" i="15"/>
  <c r="Z19" i="15"/>
  <c r="Z18" i="15"/>
  <c r="Z17" i="15"/>
  <c r="Z16" i="15"/>
  <c r="Z15" i="15"/>
  <c r="Z14" i="15"/>
  <c r="Z13" i="15"/>
  <c r="Z12" i="15"/>
  <c r="Z11" i="15"/>
  <c r="Z10" i="15"/>
  <c r="Z9" i="15"/>
  <c r="Z8" i="15"/>
  <c r="Z7" i="15"/>
  <c r="Z6" i="15"/>
  <c r="Z5" i="15"/>
  <c r="Z4" i="15"/>
  <c r="Z3" i="15"/>
  <c r="T45" i="15"/>
  <c r="S45" i="15"/>
  <c r="T44" i="15"/>
  <c r="S44" i="15"/>
  <c r="T43" i="15"/>
  <c r="S43" i="15"/>
  <c r="T42" i="15"/>
  <c r="S42" i="15"/>
  <c r="T41" i="15"/>
  <c r="S41" i="15"/>
  <c r="T40" i="15"/>
  <c r="S40" i="15"/>
  <c r="T39" i="15"/>
  <c r="S39" i="15"/>
  <c r="T38" i="15"/>
  <c r="S38" i="15"/>
  <c r="T37" i="15"/>
  <c r="S37" i="15"/>
  <c r="T36" i="15"/>
  <c r="S36" i="15"/>
  <c r="T35" i="15"/>
  <c r="S35" i="15"/>
  <c r="T34" i="15"/>
  <c r="S34" i="15"/>
  <c r="T33" i="15"/>
  <c r="S33" i="15"/>
  <c r="T32" i="15"/>
  <c r="S32" i="15"/>
  <c r="T31" i="15"/>
  <c r="S31" i="15"/>
  <c r="T30" i="15"/>
  <c r="S30" i="15"/>
  <c r="T29" i="15"/>
  <c r="S29" i="15"/>
  <c r="T28" i="15"/>
  <c r="S28" i="15"/>
  <c r="T27" i="15"/>
  <c r="S27" i="15"/>
  <c r="T26" i="15"/>
  <c r="S26" i="15"/>
  <c r="T22" i="15"/>
  <c r="S22" i="15"/>
  <c r="T21" i="15"/>
  <c r="S21" i="15"/>
  <c r="T20" i="15"/>
  <c r="S20" i="15"/>
  <c r="T19" i="15"/>
  <c r="S19" i="15"/>
  <c r="T18" i="15"/>
  <c r="S18" i="15"/>
  <c r="T17" i="15"/>
  <c r="S17" i="15"/>
  <c r="T16" i="15"/>
  <c r="S16" i="15"/>
  <c r="T15" i="15"/>
  <c r="S15" i="15"/>
  <c r="T14" i="15"/>
  <c r="S14" i="15"/>
  <c r="T13" i="15"/>
  <c r="S13" i="15"/>
  <c r="T12" i="15"/>
  <c r="S12" i="15"/>
  <c r="T11" i="15"/>
  <c r="S11" i="15"/>
  <c r="T10" i="15"/>
  <c r="S10" i="15"/>
  <c r="T9" i="15"/>
  <c r="S9" i="15"/>
  <c r="T8" i="15"/>
  <c r="S8" i="15"/>
  <c r="T7" i="15"/>
  <c r="S7" i="15"/>
  <c r="T6" i="15"/>
  <c r="S6" i="15"/>
  <c r="T5" i="15"/>
  <c r="S5" i="15"/>
  <c r="T4" i="15"/>
  <c r="S4" i="15"/>
  <c r="T3" i="15"/>
  <c r="S3" i="15"/>
  <c r="K27" i="30"/>
  <c r="K28" i="30"/>
  <c r="K47" i="30" s="1"/>
  <c r="K29" i="30"/>
  <c r="N29" i="30" s="1"/>
  <c r="K30" i="30"/>
  <c r="K31" i="30"/>
  <c r="N31" i="30" s="1"/>
  <c r="K32" i="30"/>
  <c r="K33" i="30"/>
  <c r="K34" i="30"/>
  <c r="N34" i="30" s="1"/>
  <c r="K35" i="30"/>
  <c r="K36" i="30"/>
  <c r="K37" i="30"/>
  <c r="K38" i="30"/>
  <c r="N38" i="30" s="1"/>
  <c r="K39" i="30"/>
  <c r="N39" i="30" s="1"/>
  <c r="K40" i="30"/>
  <c r="K41" i="30"/>
  <c r="K42" i="30"/>
  <c r="K43" i="30"/>
  <c r="K44" i="30"/>
  <c r="K45" i="30"/>
  <c r="N45" i="30" s="1"/>
  <c r="K26" i="30"/>
  <c r="K4" i="30"/>
  <c r="K5" i="30"/>
  <c r="K6" i="30"/>
  <c r="K7" i="30"/>
  <c r="N7" i="30" s="1"/>
  <c r="K8" i="30"/>
  <c r="N8" i="30" s="1"/>
  <c r="K9" i="30"/>
  <c r="K10" i="30"/>
  <c r="K11" i="30"/>
  <c r="K12" i="30"/>
  <c r="K13" i="30"/>
  <c r="K14" i="30"/>
  <c r="K15" i="30"/>
  <c r="N15" i="30" s="1"/>
  <c r="K16" i="30"/>
  <c r="N16" i="30" s="1"/>
  <c r="K17" i="30"/>
  <c r="N17" i="30" s="1"/>
  <c r="K18" i="30"/>
  <c r="K19" i="30"/>
  <c r="K20" i="30"/>
  <c r="K21" i="30"/>
  <c r="K22" i="30"/>
  <c r="K3" i="30"/>
  <c r="N27" i="29"/>
  <c r="N28" i="29"/>
  <c r="N29" i="29"/>
  <c r="N30" i="29"/>
  <c r="N31" i="29"/>
  <c r="N32" i="29"/>
  <c r="N33" i="29"/>
  <c r="N34" i="29"/>
  <c r="N35" i="29"/>
  <c r="N36" i="29"/>
  <c r="N37" i="29"/>
  <c r="N38" i="29"/>
  <c r="N39" i="29"/>
  <c r="N40" i="29"/>
  <c r="N41" i="29"/>
  <c r="N42" i="29"/>
  <c r="N43" i="29"/>
  <c r="N44" i="29"/>
  <c r="N45" i="29"/>
  <c r="N26" i="29"/>
  <c r="N4" i="29"/>
  <c r="K24" i="29"/>
  <c r="N5" i="29"/>
  <c r="N6" i="29"/>
  <c r="N7" i="29"/>
  <c r="N8" i="29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3" i="29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26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3" i="15"/>
  <c r="C27" i="30"/>
  <c r="C28" i="30"/>
  <c r="C29" i="30"/>
  <c r="C30" i="30"/>
  <c r="C31" i="30"/>
  <c r="C32" i="30"/>
  <c r="C33" i="30"/>
  <c r="C34" i="30"/>
  <c r="I34" i="30" s="1"/>
  <c r="C35" i="30"/>
  <c r="C36" i="30"/>
  <c r="C37" i="30"/>
  <c r="C38" i="30"/>
  <c r="C39" i="30"/>
  <c r="C40" i="30"/>
  <c r="C41" i="30"/>
  <c r="C42" i="30"/>
  <c r="I42" i="30" s="1"/>
  <c r="C43" i="30"/>
  <c r="C44" i="30"/>
  <c r="C45" i="30"/>
  <c r="C26" i="30"/>
  <c r="C4" i="30"/>
  <c r="C5" i="30"/>
  <c r="I5" i="30" s="1"/>
  <c r="C6" i="30"/>
  <c r="C24" i="30" s="1"/>
  <c r="C7" i="30"/>
  <c r="I7" i="30" s="1"/>
  <c r="C8" i="30"/>
  <c r="C9" i="30"/>
  <c r="C10" i="30"/>
  <c r="C11" i="30"/>
  <c r="I11" i="30" s="1"/>
  <c r="C12" i="30"/>
  <c r="C13" i="30"/>
  <c r="C14" i="30"/>
  <c r="I14" i="30" s="1"/>
  <c r="C15" i="30"/>
  <c r="I15" i="30" s="1"/>
  <c r="C16" i="30"/>
  <c r="I16" i="30" s="1"/>
  <c r="C17" i="30"/>
  <c r="C18" i="30"/>
  <c r="C19" i="30"/>
  <c r="C20" i="30"/>
  <c r="C21" i="30"/>
  <c r="I21" i="30" s="1"/>
  <c r="C22" i="30"/>
  <c r="C3" i="30"/>
  <c r="I34" i="29"/>
  <c r="I42" i="29"/>
  <c r="I9" i="29"/>
  <c r="I10" i="29"/>
  <c r="I11" i="29"/>
  <c r="I16" i="29"/>
  <c r="I17" i="29"/>
  <c r="I18" i="29"/>
  <c r="I19" i="29"/>
  <c r="I3" i="29"/>
  <c r="J50" i="31"/>
  <c r="K43" i="31" s="1"/>
  <c r="J26" i="31"/>
  <c r="K58" i="30"/>
  <c r="I58" i="30"/>
  <c r="K56" i="30"/>
  <c r="I56" i="30"/>
  <c r="J49" i="30"/>
  <c r="G49" i="30"/>
  <c r="F49" i="30"/>
  <c r="E49" i="30"/>
  <c r="D49" i="30"/>
  <c r="AC47" i="30"/>
  <c r="AB47" i="30"/>
  <c r="C47" i="30"/>
  <c r="AH45" i="30"/>
  <c r="AK45" i="30"/>
  <c r="AH44" i="30"/>
  <c r="N44" i="30"/>
  <c r="I44" i="30"/>
  <c r="AH43" i="30"/>
  <c r="AK43" i="30"/>
  <c r="N43" i="30"/>
  <c r="I43" i="30"/>
  <c r="AH42" i="30"/>
  <c r="N42" i="30"/>
  <c r="AH41" i="30"/>
  <c r="AK41" i="30"/>
  <c r="N41" i="30"/>
  <c r="I41" i="30"/>
  <c r="AH40" i="30"/>
  <c r="N40" i="30"/>
  <c r="I40" i="30"/>
  <c r="AH39" i="30"/>
  <c r="I39" i="30"/>
  <c r="AH38" i="30"/>
  <c r="I38" i="30"/>
  <c r="AH37" i="30"/>
  <c r="N37" i="30"/>
  <c r="I37" i="30"/>
  <c r="AH36" i="30"/>
  <c r="N36" i="30"/>
  <c r="I36" i="30"/>
  <c r="AH35" i="30"/>
  <c r="AK35" i="30"/>
  <c r="N35" i="30"/>
  <c r="I35" i="30"/>
  <c r="AH34" i="30"/>
  <c r="AH33" i="30"/>
  <c r="AK33" i="30"/>
  <c r="N33" i="30"/>
  <c r="I33" i="30"/>
  <c r="AH32" i="30"/>
  <c r="N32" i="30"/>
  <c r="I32" i="30"/>
  <c r="AH31" i="30"/>
  <c r="I31" i="30"/>
  <c r="AH30" i="30"/>
  <c r="N30" i="30"/>
  <c r="I30" i="30"/>
  <c r="AH29" i="30"/>
  <c r="I29" i="30"/>
  <c r="AH28" i="30"/>
  <c r="I28" i="30"/>
  <c r="AH27" i="30"/>
  <c r="N27" i="30"/>
  <c r="I27" i="30"/>
  <c r="AH26" i="30"/>
  <c r="N26" i="30"/>
  <c r="I26" i="30"/>
  <c r="AC24" i="30"/>
  <c r="AC49" i="30" s="1"/>
  <c r="AB24" i="30"/>
  <c r="AH22" i="30"/>
  <c r="AK22" i="30"/>
  <c r="N22" i="30"/>
  <c r="I22" i="30"/>
  <c r="AK21" i="30"/>
  <c r="AH21" i="30"/>
  <c r="N21" i="30"/>
  <c r="AH20" i="30"/>
  <c r="N20" i="30"/>
  <c r="I20" i="30"/>
  <c r="AH19" i="30"/>
  <c r="N19" i="30"/>
  <c r="I19" i="30"/>
  <c r="AH18" i="30"/>
  <c r="N18" i="30"/>
  <c r="I18" i="30"/>
  <c r="AH17" i="30"/>
  <c r="I17" i="30"/>
  <c r="AH16" i="30"/>
  <c r="AH15" i="30"/>
  <c r="AH14" i="30"/>
  <c r="N14" i="30"/>
  <c r="AH13" i="30"/>
  <c r="N13" i="30"/>
  <c r="I13" i="30"/>
  <c r="AH12" i="30"/>
  <c r="N12" i="30"/>
  <c r="I12" i="30"/>
  <c r="AH11" i="30"/>
  <c r="N11" i="30"/>
  <c r="AK10" i="30"/>
  <c r="AH10" i="30"/>
  <c r="N10" i="30"/>
  <c r="I10" i="30"/>
  <c r="AH9" i="30"/>
  <c r="N9" i="30"/>
  <c r="I9" i="30"/>
  <c r="AH8" i="30"/>
  <c r="I8" i="30"/>
  <c r="AH7" i="30"/>
  <c r="AH6" i="30"/>
  <c r="N6" i="30"/>
  <c r="AH5" i="30"/>
  <c r="N5" i="30"/>
  <c r="AH4" i="30"/>
  <c r="N4" i="30"/>
  <c r="I4" i="30"/>
  <c r="AH3" i="30"/>
  <c r="AH23" i="30" s="1"/>
  <c r="N3" i="30"/>
  <c r="I3" i="30"/>
  <c r="K58" i="29"/>
  <c r="I58" i="29"/>
  <c r="K56" i="29"/>
  <c r="I56" i="29"/>
  <c r="J49" i="29"/>
  <c r="G49" i="29"/>
  <c r="F49" i="29"/>
  <c r="E49" i="29"/>
  <c r="D49" i="29"/>
  <c r="AC47" i="29"/>
  <c r="AB47" i="29"/>
  <c r="AH45" i="29"/>
  <c r="R45" i="29"/>
  <c r="O45" i="29" s="1"/>
  <c r="AK45" i="29"/>
  <c r="I45" i="29"/>
  <c r="AH44" i="29"/>
  <c r="I44" i="29"/>
  <c r="AH43" i="29"/>
  <c r="AK43" i="29"/>
  <c r="I43" i="29"/>
  <c r="AH42" i="29"/>
  <c r="AH41" i="29"/>
  <c r="U41" i="29"/>
  <c r="Y41" i="29" s="1"/>
  <c r="AK41" i="29"/>
  <c r="I41" i="29"/>
  <c r="AH40" i="29"/>
  <c r="R40" i="29"/>
  <c r="O40" i="29" s="1"/>
  <c r="I40" i="29"/>
  <c r="AH39" i="29"/>
  <c r="AK39" i="29"/>
  <c r="I39" i="29"/>
  <c r="AH38" i="29"/>
  <c r="I38" i="29"/>
  <c r="AK37" i="29"/>
  <c r="AH37" i="29"/>
  <c r="U37" i="29"/>
  <c r="Y37" i="29" s="1"/>
  <c r="R37" i="29"/>
  <c r="O37" i="29" s="1"/>
  <c r="I37" i="29"/>
  <c r="AH36" i="29"/>
  <c r="R36" i="29"/>
  <c r="O36" i="29" s="1"/>
  <c r="I36" i="29"/>
  <c r="AH35" i="29"/>
  <c r="U35" i="29"/>
  <c r="AK35" i="29"/>
  <c r="I35" i="29"/>
  <c r="AH34" i="29"/>
  <c r="AH33" i="29"/>
  <c r="U33" i="29"/>
  <c r="R33" i="29"/>
  <c r="O33" i="29" s="1"/>
  <c r="I33" i="29"/>
  <c r="AH32" i="29"/>
  <c r="I32" i="29"/>
  <c r="AH31" i="29"/>
  <c r="AK31" i="29"/>
  <c r="I31" i="29"/>
  <c r="AH30" i="29"/>
  <c r="I30" i="29"/>
  <c r="AH29" i="29"/>
  <c r="R29" i="29"/>
  <c r="O29" i="29" s="1"/>
  <c r="I29" i="29"/>
  <c r="AH28" i="29"/>
  <c r="I28" i="29"/>
  <c r="AH27" i="29"/>
  <c r="R27" i="29"/>
  <c r="O27" i="29" s="1"/>
  <c r="AK27" i="29"/>
  <c r="I27" i="29"/>
  <c r="AH26" i="29"/>
  <c r="I26" i="29"/>
  <c r="AC24" i="29"/>
  <c r="AC49" i="29" s="1"/>
  <c r="AB24" i="29"/>
  <c r="AH22" i="29"/>
  <c r="AJ22" i="29"/>
  <c r="I22" i="29"/>
  <c r="AH21" i="29"/>
  <c r="U21" i="29"/>
  <c r="Y21" i="29" s="1"/>
  <c r="R21" i="29"/>
  <c r="O21" i="29" s="1"/>
  <c r="I21" i="29"/>
  <c r="AK20" i="29"/>
  <c r="AH20" i="29"/>
  <c r="U20" i="29"/>
  <c r="AD20" i="29" s="1"/>
  <c r="AJ20" i="29"/>
  <c r="I20" i="29"/>
  <c r="AH19" i="29"/>
  <c r="AK18" i="29"/>
  <c r="AH18" i="29"/>
  <c r="R18" i="29"/>
  <c r="AG18" i="29" s="1"/>
  <c r="AM18" i="29" s="1"/>
  <c r="AH17" i="29"/>
  <c r="U17" i="29"/>
  <c r="Y17" i="29" s="1"/>
  <c r="AK17" i="29"/>
  <c r="AH16" i="29"/>
  <c r="R16" i="29"/>
  <c r="AI16" i="29" s="1"/>
  <c r="AK16" i="29"/>
  <c r="AH15" i="29"/>
  <c r="I15" i="29"/>
  <c r="AH14" i="29"/>
  <c r="U14" i="29"/>
  <c r="AK14" i="29"/>
  <c r="I14" i="29"/>
  <c r="AH13" i="29"/>
  <c r="AJ13" i="29"/>
  <c r="I13" i="29"/>
  <c r="AH12" i="29"/>
  <c r="R12" i="29"/>
  <c r="O12" i="29" s="1"/>
  <c r="AK12" i="29"/>
  <c r="I12" i="29"/>
  <c r="AH11" i="29"/>
  <c r="AK10" i="29"/>
  <c r="AH10" i="29"/>
  <c r="R10" i="29"/>
  <c r="AH9" i="29"/>
  <c r="AK8" i="29"/>
  <c r="AH8" i="29"/>
  <c r="I8" i="29"/>
  <c r="AH7" i="29"/>
  <c r="I7" i="29"/>
  <c r="AH6" i="29"/>
  <c r="AK6" i="29"/>
  <c r="I6" i="29"/>
  <c r="AH5" i="29"/>
  <c r="AK5" i="29"/>
  <c r="I5" i="29"/>
  <c r="AH4" i="29"/>
  <c r="AK4" i="29"/>
  <c r="I4" i="29"/>
  <c r="AH3" i="29"/>
  <c r="AP29" i="74" l="1"/>
  <c r="AM29" i="74"/>
  <c r="C50" i="75"/>
  <c r="D49" i="75" s="1"/>
  <c r="F8" i="75"/>
  <c r="E9" i="75"/>
  <c r="E11" i="75"/>
  <c r="AP41" i="74"/>
  <c r="AM41" i="74"/>
  <c r="G12" i="75"/>
  <c r="G42" i="75"/>
  <c r="G43" i="75"/>
  <c r="M44" i="75"/>
  <c r="G35" i="75" s="1"/>
  <c r="L45" i="75"/>
  <c r="M20" i="75"/>
  <c r="L21" i="75"/>
  <c r="AM48" i="50"/>
  <c r="AM11" i="37"/>
  <c r="AP3" i="74"/>
  <c r="AP26" i="74" s="1"/>
  <c r="AN3" i="74"/>
  <c r="AN25" i="74" s="1"/>
  <c r="AM3" i="74"/>
  <c r="AM25" i="74" s="1"/>
  <c r="AL25" i="74"/>
  <c r="D7" i="65"/>
  <c r="D19" i="65"/>
  <c r="D20" i="65"/>
  <c r="D4" i="65"/>
  <c r="D6" i="65"/>
  <c r="D21" i="65"/>
  <c r="D15" i="65"/>
  <c r="D8" i="65"/>
  <c r="D25" i="65"/>
  <c r="D22" i="65"/>
  <c r="D9" i="65"/>
  <c r="D11" i="65"/>
  <c r="D23" i="65"/>
  <c r="D5" i="65"/>
  <c r="D13" i="65"/>
  <c r="D14" i="65"/>
  <c r="D10" i="65"/>
  <c r="D12" i="65"/>
  <c r="D17" i="65"/>
  <c r="D16" i="65"/>
  <c r="D24" i="65"/>
  <c r="AE51" i="74"/>
  <c r="AL48" i="50"/>
  <c r="AL41" i="36" a="1"/>
  <c r="AL41" i="36" s="1"/>
  <c r="AP41" i="36" s="1"/>
  <c r="C46" i="31"/>
  <c r="AL39" i="36" a="1"/>
  <c r="AL39" i="36" s="1"/>
  <c r="AP39" i="36" s="1"/>
  <c r="C41" i="31"/>
  <c r="AL37" i="36" a="1"/>
  <c r="AL37" i="36" s="1"/>
  <c r="AP37" i="36" s="1"/>
  <c r="C30" i="31"/>
  <c r="K19" i="31"/>
  <c r="K7" i="31"/>
  <c r="K6" i="31"/>
  <c r="AL34" i="37" a="1"/>
  <c r="AL34" i="37" s="1"/>
  <c r="C37" i="39"/>
  <c r="AL31" i="37" a="1"/>
  <c r="AL31" i="37" s="1"/>
  <c r="C44" i="39"/>
  <c r="AL29" i="37" a="1"/>
  <c r="AL29" i="37" s="1"/>
  <c r="AP29" i="37" s="1"/>
  <c r="C48" i="39"/>
  <c r="AL42" i="37" a="1"/>
  <c r="AL42" i="37" s="1"/>
  <c r="AN42" i="37" s="1"/>
  <c r="C47" i="39"/>
  <c r="AL43" i="37" a="1"/>
  <c r="AL43" i="37" s="1"/>
  <c r="C40" i="39"/>
  <c r="AL32" i="37" a="1"/>
  <c r="AL32" i="37" s="1"/>
  <c r="AP32" i="37" s="1"/>
  <c r="C36" i="39"/>
  <c r="AL39" i="37" a="1"/>
  <c r="AL39" i="37" s="1"/>
  <c r="AM39" i="37" s="1"/>
  <c r="C33" i="39"/>
  <c r="AL30" i="37" a="1"/>
  <c r="AL30" i="37" s="1"/>
  <c r="AN30" i="37" s="1"/>
  <c r="C35" i="39"/>
  <c r="AL33" i="37" a="1"/>
  <c r="AL33" i="37" s="1"/>
  <c r="AM33" i="37" s="1"/>
  <c r="C30" i="39"/>
  <c r="AL38" i="37" a="1"/>
  <c r="AL38" i="37" s="1"/>
  <c r="AN38" i="37" s="1"/>
  <c r="C45" i="39"/>
  <c r="AL47" i="37" a="1"/>
  <c r="AL47" i="37" s="1"/>
  <c r="AP47" i="37" s="1"/>
  <c r="C42" i="39"/>
  <c r="AL35" i="37" a="1"/>
  <c r="AL35" i="37" s="1"/>
  <c r="AP35" i="37" s="1"/>
  <c r="C38" i="39"/>
  <c r="AL46" i="37" a="1"/>
  <c r="AL46" i="37" s="1"/>
  <c r="C41" i="39"/>
  <c r="AC22" i="2"/>
  <c r="AA5" i="43" s="1"/>
  <c r="M26" i="43" s="1"/>
  <c r="I16" i="1" s="1"/>
  <c r="AL45" i="37" a="1"/>
  <c r="AL45" i="37" s="1"/>
  <c r="AM45" i="37" s="1"/>
  <c r="C31" i="39"/>
  <c r="AL40" i="37" a="1"/>
  <c r="AL40" i="37" s="1"/>
  <c r="C39" i="39"/>
  <c r="AB22" i="2"/>
  <c r="Z5" i="43" s="1"/>
  <c r="M25" i="43" s="1"/>
  <c r="I15" i="1" s="1"/>
  <c r="AL44" i="37" a="1"/>
  <c r="AL44" i="37" s="1"/>
  <c r="AM44" i="37" s="1"/>
  <c r="C32" i="39"/>
  <c r="AL36" i="37" a="1"/>
  <c r="AL36" i="37" s="1"/>
  <c r="AP36" i="37" s="1"/>
  <c r="C46" i="39"/>
  <c r="AL37" i="37" a="1"/>
  <c r="AL37" i="37" s="1"/>
  <c r="AM37" i="37" s="1"/>
  <c r="AM48" i="37" s="1"/>
  <c r="C49" i="39"/>
  <c r="AL41" i="37" a="1"/>
  <c r="AL41" i="37" s="1"/>
  <c r="AP41" i="37" s="1"/>
  <c r="C43" i="39"/>
  <c r="K50" i="39"/>
  <c r="Y80" i="2"/>
  <c r="M16" i="49" s="1"/>
  <c r="AL28" i="37" a="1"/>
  <c r="AL28" i="37" s="1"/>
  <c r="AN28" i="37" s="1"/>
  <c r="C34" i="39"/>
  <c r="C50" i="65"/>
  <c r="AP29" i="50"/>
  <c r="AN29" i="50"/>
  <c r="AN41" i="50"/>
  <c r="AP41" i="50"/>
  <c r="AP28" i="74"/>
  <c r="AN28" i="74"/>
  <c r="AN48" i="74" s="1"/>
  <c r="AL48" i="74"/>
  <c r="AM28" i="74"/>
  <c r="D5" i="42"/>
  <c r="E5" i="42" s="1"/>
  <c r="F5" i="42" s="1"/>
  <c r="D19" i="42"/>
  <c r="D17" i="42"/>
  <c r="D4" i="42"/>
  <c r="D22" i="42"/>
  <c r="D18" i="42"/>
  <c r="D15" i="42"/>
  <c r="D20" i="42"/>
  <c r="D6" i="42"/>
  <c r="D13" i="42"/>
  <c r="D26" i="42" s="1"/>
  <c r="D21" i="42"/>
  <c r="D12" i="42"/>
  <c r="D11" i="42"/>
  <c r="D14" i="42"/>
  <c r="D25" i="42"/>
  <c r="E17" i="49"/>
  <c r="J8" i="49"/>
  <c r="AL18" i="37" a="1"/>
  <c r="AL18" i="37" s="1"/>
  <c r="AP18" i="37" s="1"/>
  <c r="C14" i="39"/>
  <c r="AL16" i="37" a="1"/>
  <c r="AL16" i="37" s="1"/>
  <c r="C21" i="39"/>
  <c r="AL19" i="37" a="1"/>
  <c r="AL19" i="37" s="1"/>
  <c r="AP19" i="37" s="1"/>
  <c r="C15" i="39"/>
  <c r="AL10" i="37" a="1"/>
  <c r="AL10" i="37" s="1"/>
  <c r="AM10" i="37" s="1"/>
  <c r="C25" i="39"/>
  <c r="AL20" i="37" a="1"/>
  <c r="AL20" i="37" s="1"/>
  <c r="AN20" i="37" s="1"/>
  <c r="C20" i="39"/>
  <c r="AL21" i="37" a="1"/>
  <c r="AL21" i="37" s="1"/>
  <c r="AP21" i="37" s="1"/>
  <c r="C22" i="39"/>
  <c r="AL14" i="37" a="1"/>
  <c r="AL14" i="37" s="1"/>
  <c r="AM14" i="37" s="1"/>
  <c r="C7" i="39"/>
  <c r="AL24" i="37" a="1"/>
  <c r="AL24" i="37" s="1"/>
  <c r="AN24" i="37" s="1"/>
  <c r="C18" i="39"/>
  <c r="AM13" i="37"/>
  <c r="AL6" i="37" a="1"/>
  <c r="AL6" i="37" s="1"/>
  <c r="AP6" i="37" s="1"/>
  <c r="C4" i="39"/>
  <c r="AL15" i="37" a="1"/>
  <c r="AL15" i="37" s="1"/>
  <c r="AP15" i="37" s="1"/>
  <c r="C24" i="39"/>
  <c r="AL12" i="37" a="1"/>
  <c r="AL12" i="37" s="1"/>
  <c r="AP12" i="37" s="1"/>
  <c r="C12" i="39"/>
  <c r="AL22" i="37" a="1"/>
  <c r="AL22" i="37" s="1"/>
  <c r="AN22" i="37" s="1"/>
  <c r="C16" i="39"/>
  <c r="AL4" i="37" a="1"/>
  <c r="AL4" i="37" s="1"/>
  <c r="C9" i="39"/>
  <c r="AL19" i="36" a="1"/>
  <c r="AL19" i="36" s="1"/>
  <c r="AN19" i="36" s="1"/>
  <c r="C25" i="31"/>
  <c r="AL16" i="36" a="1"/>
  <c r="AL16" i="36" s="1"/>
  <c r="AP16" i="36" s="1"/>
  <c r="C11" i="31"/>
  <c r="AL7" i="36" a="1"/>
  <c r="AL7" i="36" s="1"/>
  <c r="AP7" i="36" s="1"/>
  <c r="C22" i="31"/>
  <c r="AL24" i="36" a="1"/>
  <c r="AL24" i="36" s="1"/>
  <c r="AP24" i="36" s="1"/>
  <c r="C17" i="31"/>
  <c r="F35" i="72"/>
  <c r="E36" i="72"/>
  <c r="F14" i="72"/>
  <c r="E15" i="72"/>
  <c r="G14" i="72"/>
  <c r="G42" i="72"/>
  <c r="L21" i="72"/>
  <c r="M20" i="72"/>
  <c r="F43" i="71"/>
  <c r="E44" i="71"/>
  <c r="F19" i="71"/>
  <c r="E20" i="71"/>
  <c r="M45" i="72"/>
  <c r="L46" i="72"/>
  <c r="O8" i="32"/>
  <c r="M22" i="71"/>
  <c r="L23" i="71"/>
  <c r="M43" i="71"/>
  <c r="G43" i="71" s="1"/>
  <c r="L44" i="71"/>
  <c r="G26" i="69"/>
  <c r="E8" i="1" s="1"/>
  <c r="G26" i="68"/>
  <c r="F8" i="1" s="1"/>
  <c r="AA4" i="63"/>
  <c r="G26" i="63" s="1"/>
  <c r="G8" i="1" s="1"/>
  <c r="G25" i="69"/>
  <c r="E7" i="1" s="1"/>
  <c r="G25" i="68"/>
  <c r="F7" i="1" s="1"/>
  <c r="Z4" i="63"/>
  <c r="G25" i="63" s="1"/>
  <c r="G7" i="1" s="1"/>
  <c r="G27" i="69"/>
  <c r="G27" i="68"/>
  <c r="Y4" i="63"/>
  <c r="G27" i="63" s="1"/>
  <c r="AB5" i="63"/>
  <c r="AB4" i="63"/>
  <c r="M26" i="69"/>
  <c r="E16" i="1" s="1"/>
  <c r="M26" i="68"/>
  <c r="F16" i="1" s="1"/>
  <c r="AA5" i="63"/>
  <c r="M26" i="63" s="1"/>
  <c r="G16" i="1" s="1"/>
  <c r="M25" i="69"/>
  <c r="E15" i="1" s="1"/>
  <c r="M25" i="68"/>
  <c r="F15" i="1" s="1"/>
  <c r="Z5" i="63"/>
  <c r="M25" i="63" s="1"/>
  <c r="G15" i="1" s="1"/>
  <c r="M27" i="69"/>
  <c r="M27" i="68"/>
  <c r="Y5" i="63"/>
  <c r="M27" i="63" s="1"/>
  <c r="Y72" i="2"/>
  <c r="M41" i="67"/>
  <c r="L42" i="67"/>
  <c r="M16" i="67"/>
  <c r="G11" i="67" s="1"/>
  <c r="L17" i="67"/>
  <c r="F40" i="67"/>
  <c r="E41" i="67"/>
  <c r="F17" i="67"/>
  <c r="E18" i="67"/>
  <c r="M16" i="66"/>
  <c r="G11" i="66" s="1"/>
  <c r="L17" i="66"/>
  <c r="F41" i="66"/>
  <c r="E42" i="66"/>
  <c r="M40" i="66"/>
  <c r="L41" i="66"/>
  <c r="F15" i="66"/>
  <c r="E16" i="66"/>
  <c r="G15" i="65"/>
  <c r="G5" i="65"/>
  <c r="G30" i="65"/>
  <c r="L39" i="65"/>
  <c r="M38" i="65"/>
  <c r="M16" i="65"/>
  <c r="L17" i="65"/>
  <c r="F32" i="45"/>
  <c r="E33" i="45"/>
  <c r="G34" i="45"/>
  <c r="F6" i="45"/>
  <c r="E7" i="45"/>
  <c r="G5" i="45"/>
  <c r="M39" i="64"/>
  <c r="G36" i="64" s="1"/>
  <c r="L40" i="64"/>
  <c r="M15" i="64"/>
  <c r="G10" i="64" s="1"/>
  <c r="L16" i="64"/>
  <c r="F39" i="64"/>
  <c r="E40" i="64"/>
  <c r="F15" i="64"/>
  <c r="E16" i="64"/>
  <c r="N8" i="32"/>
  <c r="M93" i="2"/>
  <c r="E30" i="42"/>
  <c r="F30" i="42" s="1"/>
  <c r="D50" i="42"/>
  <c r="E4" i="42"/>
  <c r="F4" i="42" s="1"/>
  <c r="M9" i="42"/>
  <c r="L10" i="42"/>
  <c r="M10" i="42" s="1"/>
  <c r="L5" i="39"/>
  <c r="M5" i="39" s="1"/>
  <c r="K26" i="39"/>
  <c r="K32" i="31"/>
  <c r="K34" i="31"/>
  <c r="K35" i="31"/>
  <c r="K36" i="31"/>
  <c r="K30" i="31"/>
  <c r="L30" i="31" s="1"/>
  <c r="M30" i="31" s="1"/>
  <c r="K37" i="31"/>
  <c r="K31" i="31"/>
  <c r="L31" i="31" s="1"/>
  <c r="M31" i="31" s="1"/>
  <c r="K33" i="31"/>
  <c r="K38" i="31"/>
  <c r="K39" i="31"/>
  <c r="AB23" i="2"/>
  <c r="Z4" i="49" s="1"/>
  <c r="G25" i="49" s="1"/>
  <c r="H7" i="1" s="1"/>
  <c r="W4" i="49"/>
  <c r="AC23" i="2"/>
  <c r="AA4" i="49" s="1"/>
  <c r="G26" i="49" s="1"/>
  <c r="H8" i="1" s="1"/>
  <c r="P8" i="49"/>
  <c r="E20" i="49"/>
  <c r="AB4" i="43"/>
  <c r="G27" i="49"/>
  <c r="AB5" i="43"/>
  <c r="M26" i="49"/>
  <c r="H16" i="1" s="1"/>
  <c r="M25" i="49"/>
  <c r="H15" i="1" s="1"/>
  <c r="M27" i="49"/>
  <c r="Y5" i="43"/>
  <c r="M27" i="43" s="1"/>
  <c r="M13" i="45"/>
  <c r="L14" i="45"/>
  <c r="M36" i="45"/>
  <c r="L37" i="45"/>
  <c r="AB5" i="38"/>
  <c r="Q8" i="32"/>
  <c r="M8" i="32"/>
  <c r="U8" i="32"/>
  <c r="AM6" i="37"/>
  <c r="L11" i="42"/>
  <c r="M8" i="42"/>
  <c r="L35" i="42"/>
  <c r="M34" i="42"/>
  <c r="P5" i="32"/>
  <c r="H5" i="32"/>
  <c r="G5" i="32"/>
  <c r="P4" i="32"/>
  <c r="H4" i="32"/>
  <c r="G4" i="32"/>
  <c r="K6" i="32"/>
  <c r="L5" i="32"/>
  <c r="K5" i="32"/>
  <c r="T8" i="32"/>
  <c r="L4" i="32"/>
  <c r="R8" i="32"/>
  <c r="J5" i="32"/>
  <c r="S8" i="32"/>
  <c r="K4" i="32"/>
  <c r="E19" i="32" s="1"/>
  <c r="K41" i="31"/>
  <c r="K42" i="31"/>
  <c r="K44" i="31"/>
  <c r="K40" i="31"/>
  <c r="K45" i="31"/>
  <c r="K46" i="31"/>
  <c r="K47" i="31"/>
  <c r="K48" i="31"/>
  <c r="K49" i="31"/>
  <c r="K15" i="31"/>
  <c r="K11" i="31"/>
  <c r="K8" i="31"/>
  <c r="K12" i="31"/>
  <c r="K16" i="31"/>
  <c r="K21" i="31"/>
  <c r="K5" i="31"/>
  <c r="K22" i="31"/>
  <c r="K9" i="31"/>
  <c r="K13" i="31"/>
  <c r="K17" i="31"/>
  <c r="K23" i="31"/>
  <c r="K24" i="31"/>
  <c r="K20" i="31"/>
  <c r="K4" i="31"/>
  <c r="K10" i="31"/>
  <c r="K14" i="31"/>
  <c r="K18" i="31"/>
  <c r="K25" i="31"/>
  <c r="V40" i="37"/>
  <c r="V46" i="37"/>
  <c r="V29" i="37"/>
  <c r="V34" i="37"/>
  <c r="V39" i="37"/>
  <c r="V30" i="37"/>
  <c r="V41" i="37"/>
  <c r="V33" i="37"/>
  <c r="V38" i="37"/>
  <c r="V42" i="37"/>
  <c r="V36" i="37"/>
  <c r="V47" i="37"/>
  <c r="V37" i="37"/>
  <c r="V35" i="37"/>
  <c r="V31" i="37"/>
  <c r="V32" i="37"/>
  <c r="V43" i="37"/>
  <c r="V45" i="37"/>
  <c r="V44" i="37"/>
  <c r="Y49" i="37"/>
  <c r="V19" i="37"/>
  <c r="V24" i="37"/>
  <c r="V15" i="37"/>
  <c r="V8" i="37"/>
  <c r="V11" i="37"/>
  <c r="V18" i="37"/>
  <c r="V22" i="37"/>
  <c r="V13" i="37"/>
  <c r="V12" i="37"/>
  <c r="V16" i="37"/>
  <c r="V3" i="37"/>
  <c r="V4" i="37"/>
  <c r="V21" i="37"/>
  <c r="V23" i="37"/>
  <c r="V14" i="37"/>
  <c r="V20" i="37"/>
  <c r="V28" i="37"/>
  <c r="V6" i="37"/>
  <c r="V17" i="37"/>
  <c r="V5" i="37"/>
  <c r="V10" i="37"/>
  <c r="V7" i="37"/>
  <c r="V9" i="37"/>
  <c r="AN11" i="37"/>
  <c r="AN17" i="37"/>
  <c r="AD26" i="37"/>
  <c r="AE45" i="36"/>
  <c r="AI25" i="37"/>
  <c r="AA52" i="37"/>
  <c r="AK51" i="37" s="1"/>
  <c r="I51" i="37"/>
  <c r="I59" i="37" s="1"/>
  <c r="J59" i="37" s="1"/>
  <c r="W26" i="37"/>
  <c r="R51" i="37"/>
  <c r="AE15" i="36"/>
  <c r="AE13" i="36"/>
  <c r="AE21" i="36"/>
  <c r="I51" i="36"/>
  <c r="I59" i="36" s="1"/>
  <c r="J59" i="36" s="1"/>
  <c r="AE29" i="36"/>
  <c r="L31" i="39"/>
  <c r="AP42" i="37"/>
  <c r="AP30" i="37"/>
  <c r="AP45" i="37"/>
  <c r="AN45" i="37"/>
  <c r="AP46" i="37"/>
  <c r="AN46" i="37"/>
  <c r="AP39" i="37"/>
  <c r="AE49" i="37"/>
  <c r="AP34" i="37"/>
  <c r="AN34" i="37"/>
  <c r="AP44" i="37"/>
  <c r="AN44" i="37"/>
  <c r="AN13" i="37"/>
  <c r="AP43" i="37"/>
  <c r="AN43" i="37"/>
  <c r="AN6" i="37"/>
  <c r="AP33" i="37"/>
  <c r="AN33" i="37"/>
  <c r="AN36" i="37"/>
  <c r="AN29" i="37"/>
  <c r="AD49" i="37"/>
  <c r="AL3" i="37"/>
  <c r="AM3" i="37" s="1"/>
  <c r="AE26" i="37"/>
  <c r="AN23" i="37"/>
  <c r="AN21" i="37"/>
  <c r="AP31" i="37"/>
  <c r="AN31" i="37"/>
  <c r="AP40" i="37"/>
  <c r="AN40" i="37"/>
  <c r="AP22" i="37"/>
  <c r="AP4" i="37"/>
  <c r="AN4" i="37"/>
  <c r="AN7" i="37"/>
  <c r="U51" i="37"/>
  <c r="Y26" i="37"/>
  <c r="AN35" i="37"/>
  <c r="AP16" i="37"/>
  <c r="AN16" i="37"/>
  <c r="AG25" i="37"/>
  <c r="AP38" i="37"/>
  <c r="AP37" i="37"/>
  <c r="AN5" i="37"/>
  <c r="AE38" i="36"/>
  <c r="AE34" i="36"/>
  <c r="AE46" i="36"/>
  <c r="AK48" i="36"/>
  <c r="AJ48" i="36"/>
  <c r="AE12" i="36"/>
  <c r="AE6" i="36"/>
  <c r="AG22" i="36"/>
  <c r="AI22" i="36"/>
  <c r="O22" i="36"/>
  <c r="AE22" i="36"/>
  <c r="AK25" i="36"/>
  <c r="T51" i="36"/>
  <c r="Z51" i="36"/>
  <c r="AG17" i="36"/>
  <c r="AE17" i="36"/>
  <c r="AI17" i="36"/>
  <c r="O17" i="36"/>
  <c r="AI47" i="36"/>
  <c r="AE47" i="36"/>
  <c r="O47" i="36"/>
  <c r="AG47" i="36"/>
  <c r="AM47" i="36" s="1"/>
  <c r="AE40" i="36"/>
  <c r="O40" i="36"/>
  <c r="AI40" i="36"/>
  <c r="AG40" i="36"/>
  <c r="AM40" i="36" s="1"/>
  <c r="P51" i="36"/>
  <c r="AA26" i="36" s="1"/>
  <c r="AI42" i="36"/>
  <c r="AE42" i="36"/>
  <c r="O42" i="36"/>
  <c r="AG42" i="36"/>
  <c r="AM42" i="36" s="1"/>
  <c r="U49" i="36"/>
  <c r="AD28" i="36"/>
  <c r="O5" i="36"/>
  <c r="AI5" i="36"/>
  <c r="AE5" i="36"/>
  <c r="AG5" i="36"/>
  <c r="AI44" i="36"/>
  <c r="AE44" i="36"/>
  <c r="O44" i="36"/>
  <c r="AG44" i="36"/>
  <c r="AM44" i="36" s="1"/>
  <c r="AD18" i="36"/>
  <c r="AE18" i="36" s="1"/>
  <c r="AI14" i="36"/>
  <c r="AE14" i="36"/>
  <c r="AG14" i="36"/>
  <c r="O14" i="36"/>
  <c r="AM46" i="36"/>
  <c r="AI20" i="36"/>
  <c r="AG20" i="36"/>
  <c r="AM20" i="36" s="1"/>
  <c r="AE20" i="36"/>
  <c r="O20" i="36"/>
  <c r="AI30" i="36"/>
  <c r="AG30" i="36"/>
  <c r="AE30" i="36"/>
  <c r="O30" i="36"/>
  <c r="AN41" i="36"/>
  <c r="AI10" i="36"/>
  <c r="O10" i="36"/>
  <c r="AE10" i="36"/>
  <c r="AG10" i="36"/>
  <c r="AI35" i="36"/>
  <c r="AE35" i="36"/>
  <c r="AG35" i="36"/>
  <c r="AM35" i="36" s="1"/>
  <c r="O35" i="36"/>
  <c r="AE31" i="36"/>
  <c r="O31" i="36"/>
  <c r="AG31" i="36"/>
  <c r="AM31" i="36" s="1"/>
  <c r="AI31" i="36"/>
  <c r="AG33" i="36"/>
  <c r="AM33" i="36" s="1"/>
  <c r="AE33" i="36"/>
  <c r="AI33" i="36"/>
  <c r="O33" i="36"/>
  <c r="AG11" i="36"/>
  <c r="AM11" i="36" s="1"/>
  <c r="AE11" i="36"/>
  <c r="AI11" i="36"/>
  <c r="O11" i="36"/>
  <c r="S51" i="36"/>
  <c r="AM16" i="36"/>
  <c r="AD4" i="36"/>
  <c r="AE4" i="36" s="1"/>
  <c r="AE43" i="36"/>
  <c r="O43" i="36"/>
  <c r="AG43" i="36"/>
  <c r="AM43" i="36" s="1"/>
  <c r="AI43" i="36"/>
  <c r="AG28" i="36"/>
  <c r="R49" i="36"/>
  <c r="AI28" i="36"/>
  <c r="O28" i="36"/>
  <c r="AG32" i="36"/>
  <c r="AM32" i="36" s="1"/>
  <c r="O32" i="36"/>
  <c r="AE32" i="36"/>
  <c r="AI32" i="36"/>
  <c r="AJ25" i="36"/>
  <c r="AA53" i="36"/>
  <c r="Q51" i="36"/>
  <c r="AM7" i="36"/>
  <c r="R26" i="36"/>
  <c r="AI3" i="36"/>
  <c r="O3" i="36"/>
  <c r="AG3" i="36"/>
  <c r="AM29" i="36"/>
  <c r="AD36" i="36"/>
  <c r="AE36" i="36" s="1"/>
  <c r="AG23" i="36"/>
  <c r="AM23" i="36" s="1"/>
  <c r="AE23" i="36"/>
  <c r="AI23" i="36"/>
  <c r="O23" i="36"/>
  <c r="U26" i="36"/>
  <c r="AD3" i="36"/>
  <c r="K15" i="2"/>
  <c r="AA15" i="2" s="1"/>
  <c r="K16" i="2"/>
  <c r="E16" i="2" s="1"/>
  <c r="R38" i="30"/>
  <c r="W38" i="30" s="1"/>
  <c r="AJ38" i="30"/>
  <c r="W6" i="30"/>
  <c r="AI6" i="30"/>
  <c r="AK11" i="29"/>
  <c r="U27" i="29"/>
  <c r="AJ30" i="30"/>
  <c r="U42" i="30"/>
  <c r="Y42" i="30" s="1"/>
  <c r="R40" i="30"/>
  <c r="W40" i="30" s="1"/>
  <c r="R39" i="30"/>
  <c r="W39" i="30" s="1"/>
  <c r="U8" i="29"/>
  <c r="U20" i="30"/>
  <c r="U12" i="30"/>
  <c r="S43" i="30"/>
  <c r="U43" i="30" s="1"/>
  <c r="Y43" i="30" s="1"/>
  <c r="P42" i="30"/>
  <c r="AJ42" i="30" s="1"/>
  <c r="U16" i="29"/>
  <c r="AD16" i="29" s="1"/>
  <c r="AK39" i="30"/>
  <c r="U21" i="30"/>
  <c r="P19" i="30"/>
  <c r="R19" i="30" s="1"/>
  <c r="W19" i="30" s="1"/>
  <c r="U14" i="30"/>
  <c r="U13" i="30"/>
  <c r="P11" i="30"/>
  <c r="AJ11" i="30" s="1"/>
  <c r="S4" i="30"/>
  <c r="S24" i="30" s="1"/>
  <c r="S49" i="30" s="1"/>
  <c r="U36" i="30"/>
  <c r="P34" i="30"/>
  <c r="R34" i="30" s="1"/>
  <c r="W34" i="30" s="1"/>
  <c r="S12" i="30"/>
  <c r="AK29" i="30"/>
  <c r="U3" i="29"/>
  <c r="Y3" i="29" s="1"/>
  <c r="U16" i="30"/>
  <c r="Y16" i="30" s="1"/>
  <c r="U5" i="30"/>
  <c r="U39" i="29"/>
  <c r="Y39" i="29" s="1"/>
  <c r="AK15" i="30"/>
  <c r="AK37" i="30"/>
  <c r="R21" i="30"/>
  <c r="W21" i="30" s="1"/>
  <c r="U15" i="30"/>
  <c r="R13" i="30"/>
  <c r="W13" i="30" s="1"/>
  <c r="U8" i="30"/>
  <c r="R45" i="30"/>
  <c r="W45" i="30" s="1"/>
  <c r="R36" i="30"/>
  <c r="W36" i="30" s="1"/>
  <c r="R35" i="30"/>
  <c r="W35" i="30" s="1"/>
  <c r="U30" i="30"/>
  <c r="Q47" i="30"/>
  <c r="U18" i="30"/>
  <c r="Y18" i="30" s="1"/>
  <c r="U7" i="30"/>
  <c r="Y7" i="30" s="1"/>
  <c r="R5" i="30"/>
  <c r="W5" i="30" s="1"/>
  <c r="Q24" i="29"/>
  <c r="E15" i="2"/>
  <c r="AA34" i="30"/>
  <c r="AA51" i="29"/>
  <c r="AA19" i="30"/>
  <c r="AA48" i="30"/>
  <c r="AA25" i="30"/>
  <c r="AG43" i="30"/>
  <c r="AM43" i="30" s="1"/>
  <c r="W43" i="30"/>
  <c r="AE43" i="30" s="1"/>
  <c r="AL43" i="30" s="1" a="1"/>
  <c r="AL43" i="30" s="1"/>
  <c r="Y32" i="30"/>
  <c r="Y34" i="30"/>
  <c r="Y36" i="30"/>
  <c r="Y38" i="30"/>
  <c r="Y40" i="30"/>
  <c r="Y44" i="30"/>
  <c r="Y28" i="30"/>
  <c r="Y30" i="30"/>
  <c r="Y26" i="30"/>
  <c r="Y14" i="30"/>
  <c r="Y11" i="30"/>
  <c r="Y20" i="30"/>
  <c r="Y21" i="30"/>
  <c r="Y13" i="30"/>
  <c r="AI9" i="30"/>
  <c r="O9" i="30"/>
  <c r="W9" i="30"/>
  <c r="AD22" i="30"/>
  <c r="Y22" i="30"/>
  <c r="Y6" i="30"/>
  <c r="Y8" i="30"/>
  <c r="AD8" i="30"/>
  <c r="Y5" i="30"/>
  <c r="Y10" i="30"/>
  <c r="Y15" i="30"/>
  <c r="Y17" i="30"/>
  <c r="Y19" i="30"/>
  <c r="O15" i="30"/>
  <c r="W15" i="30"/>
  <c r="Y12" i="30"/>
  <c r="Y9" i="30"/>
  <c r="AK5" i="30"/>
  <c r="AI12" i="30"/>
  <c r="W14" i="30"/>
  <c r="R17" i="30"/>
  <c r="W17" i="30" s="1"/>
  <c r="R11" i="30"/>
  <c r="W11" i="30" s="1"/>
  <c r="R7" i="30"/>
  <c r="W7" i="30" s="1"/>
  <c r="AJ30" i="29"/>
  <c r="AJ9" i="29"/>
  <c r="AJ38" i="29"/>
  <c r="O6" i="29"/>
  <c r="AG6" i="29"/>
  <c r="AM6" i="29" s="1"/>
  <c r="O10" i="29"/>
  <c r="AI10" i="29"/>
  <c r="AG10" i="29"/>
  <c r="AM10" i="29" s="1"/>
  <c r="AK33" i="29"/>
  <c r="AK12" i="30"/>
  <c r="P24" i="29"/>
  <c r="U10" i="29"/>
  <c r="AD10" i="29" s="1"/>
  <c r="U18" i="29"/>
  <c r="AD18" i="29" s="1"/>
  <c r="R22" i="29"/>
  <c r="AK22" i="29"/>
  <c r="R28" i="29"/>
  <c r="O28" i="29" s="1"/>
  <c r="AJ29" i="29"/>
  <c r="AK29" i="29"/>
  <c r="U32" i="29"/>
  <c r="AD32" i="29" s="1"/>
  <c r="U44" i="29"/>
  <c r="AD44" i="29" s="1"/>
  <c r="U45" i="29"/>
  <c r="Y45" i="29" s="1"/>
  <c r="AJ15" i="30"/>
  <c r="AG20" i="30"/>
  <c r="S47" i="30"/>
  <c r="AI28" i="30"/>
  <c r="AG35" i="30"/>
  <c r="AM35" i="30" s="1"/>
  <c r="U22" i="29"/>
  <c r="AD22" i="29" s="1"/>
  <c r="X47" i="29"/>
  <c r="N18" i="2" s="1"/>
  <c r="N94" i="2" s="1"/>
  <c r="R39" i="29"/>
  <c r="W39" i="29" s="1"/>
  <c r="AI15" i="30"/>
  <c r="O18" i="30"/>
  <c r="AK18" i="30"/>
  <c r="O20" i="30"/>
  <c r="AG27" i="30"/>
  <c r="O18" i="29"/>
  <c r="Z47" i="29"/>
  <c r="AJ9" i="30"/>
  <c r="AG9" i="30"/>
  <c r="AM9" i="30" s="1"/>
  <c r="AG13" i="30"/>
  <c r="AM13" i="30" s="1"/>
  <c r="AI20" i="30"/>
  <c r="X47" i="30"/>
  <c r="R3" i="29"/>
  <c r="R7" i="29"/>
  <c r="O7" i="29" s="1"/>
  <c r="AJ8" i="29"/>
  <c r="R14" i="29"/>
  <c r="O14" i="29" s="1"/>
  <c r="R15" i="29"/>
  <c r="U19" i="29"/>
  <c r="AD19" i="29" s="1"/>
  <c r="R20" i="29"/>
  <c r="U29" i="29"/>
  <c r="Y29" i="29" s="1"/>
  <c r="U34" i="29"/>
  <c r="Y34" i="29" s="1"/>
  <c r="R35" i="29"/>
  <c r="R41" i="29"/>
  <c r="O41" i="29" s="1"/>
  <c r="AK11" i="30"/>
  <c r="AJ13" i="30"/>
  <c r="O16" i="30"/>
  <c r="AK20" i="30"/>
  <c r="O31" i="30"/>
  <c r="AI45" i="30"/>
  <c r="AJ4" i="29"/>
  <c r="T24" i="29"/>
  <c r="J17" i="2" s="1"/>
  <c r="AJ17" i="29"/>
  <c r="AJ21" i="29"/>
  <c r="AJ3" i="30"/>
  <c r="R5" i="29"/>
  <c r="AK21" i="29"/>
  <c r="AG27" i="29"/>
  <c r="U30" i="29"/>
  <c r="AD30" i="29" s="1"/>
  <c r="R31" i="29"/>
  <c r="R43" i="29"/>
  <c r="W43" i="29" s="1"/>
  <c r="Q24" i="30"/>
  <c r="Q49" i="30" s="1"/>
  <c r="AK9" i="30"/>
  <c r="AK13" i="30"/>
  <c r="AK16" i="30"/>
  <c r="AJ19" i="30"/>
  <c r="AJ21" i="30"/>
  <c r="AJ34" i="30"/>
  <c r="AG39" i="30"/>
  <c r="AM39" i="30" s="1"/>
  <c r="O40" i="30"/>
  <c r="AJ15" i="29"/>
  <c r="AI18" i="29"/>
  <c r="Q47" i="29"/>
  <c r="Q49" i="29" s="1"/>
  <c r="R32" i="29"/>
  <c r="O32" i="29" s="1"/>
  <c r="U36" i="29"/>
  <c r="AD36" i="29" s="1"/>
  <c r="R44" i="29"/>
  <c r="O44" i="29" s="1"/>
  <c r="AJ45" i="29"/>
  <c r="U3" i="30"/>
  <c r="AD3" i="30" s="1"/>
  <c r="AJ6" i="30"/>
  <c r="AK6" i="30"/>
  <c r="O12" i="30"/>
  <c r="AK14" i="30"/>
  <c r="AK17" i="30"/>
  <c r="O19" i="30"/>
  <c r="AK19" i="30"/>
  <c r="AJ26" i="30"/>
  <c r="AD39" i="30"/>
  <c r="O16" i="29"/>
  <c r="N28" i="30"/>
  <c r="K24" i="30"/>
  <c r="K49" i="30" s="1"/>
  <c r="K47" i="29"/>
  <c r="K49" i="29" s="1"/>
  <c r="I47" i="30"/>
  <c r="C49" i="30"/>
  <c r="I6" i="30"/>
  <c r="I24" i="30" s="1"/>
  <c r="I49" i="30" s="1"/>
  <c r="I57" i="30" s="1"/>
  <c r="J57" i="30" s="1"/>
  <c r="L56" i="30"/>
  <c r="L58" i="30"/>
  <c r="C47" i="29"/>
  <c r="L58" i="29"/>
  <c r="L56" i="29"/>
  <c r="C24" i="29"/>
  <c r="C49" i="29" s="1"/>
  <c r="AI8" i="30"/>
  <c r="AE8" i="30"/>
  <c r="AL8" i="30" s="1" a="1"/>
  <c r="AL8" i="30" s="1"/>
  <c r="O8" i="30"/>
  <c r="AG8" i="30"/>
  <c r="AD21" i="30"/>
  <c r="AD14" i="30"/>
  <c r="AD16" i="30"/>
  <c r="AD20" i="30"/>
  <c r="AE20" i="30" s="1"/>
  <c r="AL20" i="30" s="1" a="1"/>
  <c r="AL20" i="30" s="1"/>
  <c r="AG4" i="30"/>
  <c r="AM4" i="30" s="1"/>
  <c r="AI4" i="30"/>
  <c r="O4" i="30"/>
  <c r="AD7" i="30"/>
  <c r="AD17" i="30"/>
  <c r="AD5" i="30"/>
  <c r="AD6" i="30"/>
  <c r="AE6" i="30" s="1"/>
  <c r="AL6" i="30" s="1" a="1"/>
  <c r="AL6" i="30" s="1"/>
  <c r="AD11" i="30"/>
  <c r="AD9" i="30"/>
  <c r="AD13" i="30"/>
  <c r="AD12" i="30"/>
  <c r="AE12" i="30" s="1"/>
  <c r="AL12" i="30" s="1" a="1"/>
  <c r="AL12" i="30" s="1"/>
  <c r="X24" i="30"/>
  <c r="X49" i="30" s="1"/>
  <c r="AG10" i="30"/>
  <c r="AM10" i="30" s="1"/>
  <c r="AH46" i="30"/>
  <c r="AE28" i="30"/>
  <c r="AL28" i="30" s="1" a="1"/>
  <c r="AL28" i="30" s="1"/>
  <c r="O28" i="30"/>
  <c r="AI33" i="30"/>
  <c r="O33" i="30"/>
  <c r="AG33" i="30"/>
  <c r="AM33" i="30" s="1"/>
  <c r="AD38" i="30"/>
  <c r="AI41" i="30"/>
  <c r="AG41" i="30"/>
  <c r="AM41" i="30" s="1"/>
  <c r="AD30" i="30"/>
  <c r="AK34" i="30"/>
  <c r="AD41" i="30"/>
  <c r="AE41" i="30" s="1"/>
  <c r="AL41" i="30" s="1" a="1"/>
  <c r="AL41" i="30" s="1"/>
  <c r="AG18" i="30"/>
  <c r="AM18" i="30" s="1"/>
  <c r="AK26" i="30"/>
  <c r="AD28" i="30"/>
  <c r="AD31" i="30"/>
  <c r="AE31" i="30" s="1"/>
  <c r="AL31" i="30" s="1" a="1"/>
  <c r="AL31" i="30" s="1"/>
  <c r="P24" i="30"/>
  <c r="AK7" i="30"/>
  <c r="AI32" i="30"/>
  <c r="O32" i="30"/>
  <c r="AG32" i="30"/>
  <c r="AM32" i="30" s="1"/>
  <c r="AJ4" i="30"/>
  <c r="AJ8" i="30"/>
  <c r="AI18" i="30"/>
  <c r="AD34" i="30"/>
  <c r="AI37" i="30"/>
  <c r="O37" i="30"/>
  <c r="AG37" i="30"/>
  <c r="AM37" i="30" s="1"/>
  <c r="O45" i="30"/>
  <c r="AG45" i="30"/>
  <c r="AM45" i="30" s="1"/>
  <c r="R3" i="30"/>
  <c r="Z24" i="30"/>
  <c r="AK4" i="30"/>
  <c r="AG6" i="30"/>
  <c r="AM6" i="30" s="1"/>
  <c r="AK8" i="30"/>
  <c r="AI21" i="30"/>
  <c r="AE21" i="30"/>
  <c r="AL21" i="30" s="1" a="1"/>
  <c r="AL21" i="30" s="1"/>
  <c r="O21" i="30"/>
  <c r="AG21" i="30"/>
  <c r="AM21" i="30" s="1"/>
  <c r="AD26" i="30"/>
  <c r="AI29" i="30"/>
  <c r="O29" i="30"/>
  <c r="AG29" i="30"/>
  <c r="AM29" i="30" s="1"/>
  <c r="AD32" i="30"/>
  <c r="AE32" i="30" s="1"/>
  <c r="AL32" i="30" s="1" a="1"/>
  <c r="AL32" i="30" s="1"/>
  <c r="AD37" i="30"/>
  <c r="AE37" i="30" s="1"/>
  <c r="AL37" i="30" s="1" a="1"/>
  <c r="AL37" i="30" s="1"/>
  <c r="AP37" i="30" s="1"/>
  <c r="AK38" i="30"/>
  <c r="AD40" i="30"/>
  <c r="AE40" i="30" s="1"/>
  <c r="AL40" i="30" s="1" a="1"/>
  <c r="AL40" i="30" s="1"/>
  <c r="AD45" i="30"/>
  <c r="AK3" i="30"/>
  <c r="AG12" i="30"/>
  <c r="AI14" i="30"/>
  <c r="AD15" i="30"/>
  <c r="AE15" i="30" s="1"/>
  <c r="AL15" i="30" s="1" a="1"/>
  <c r="AL15" i="30" s="1"/>
  <c r="AD19" i="30"/>
  <c r="AE19" i="30" s="1"/>
  <c r="AL19" i="30" s="1" a="1"/>
  <c r="AL19" i="30" s="1"/>
  <c r="AD29" i="30"/>
  <c r="AK30" i="30"/>
  <c r="AD35" i="30"/>
  <c r="AE35" i="30" s="1"/>
  <c r="AL35" i="30" s="1" a="1"/>
  <c r="AL35" i="30" s="1"/>
  <c r="AD43" i="30"/>
  <c r="AJ5" i="30"/>
  <c r="T24" i="30"/>
  <c r="O6" i="30"/>
  <c r="AD10" i="30"/>
  <c r="AG15" i="30"/>
  <c r="Z47" i="30"/>
  <c r="AD27" i="30"/>
  <c r="AE27" i="30" s="1"/>
  <c r="AL27" i="30" s="1" a="1"/>
  <c r="AL27" i="30" s="1"/>
  <c r="AI44" i="30"/>
  <c r="O44" i="30"/>
  <c r="AG44" i="30"/>
  <c r="AJ10" i="30"/>
  <c r="AJ14" i="30"/>
  <c r="AJ18" i="30"/>
  <c r="AJ22" i="30"/>
  <c r="O27" i="30"/>
  <c r="AI27" i="30"/>
  <c r="O35" i="30"/>
  <c r="AI35" i="30"/>
  <c r="O39" i="30"/>
  <c r="AI39" i="30"/>
  <c r="O43" i="30"/>
  <c r="AI43" i="30"/>
  <c r="AJ27" i="30"/>
  <c r="AJ31" i="30"/>
  <c r="AJ35" i="30"/>
  <c r="AJ39" i="30"/>
  <c r="AJ43" i="30"/>
  <c r="AK31" i="30"/>
  <c r="AJ28" i="30"/>
  <c r="AJ32" i="30"/>
  <c r="AJ36" i="30"/>
  <c r="AJ40" i="30"/>
  <c r="AJ44" i="30"/>
  <c r="T47" i="30"/>
  <c r="AJ12" i="30"/>
  <c r="AJ16" i="30"/>
  <c r="AJ20" i="30"/>
  <c r="AK28" i="30"/>
  <c r="AK32" i="30"/>
  <c r="AK36" i="30"/>
  <c r="AK40" i="30"/>
  <c r="AK44" i="30"/>
  <c r="AJ29" i="30"/>
  <c r="AJ33" i="30"/>
  <c r="AJ37" i="30"/>
  <c r="AJ41" i="30"/>
  <c r="AJ45" i="30"/>
  <c r="Y4" i="29"/>
  <c r="AD4" i="29"/>
  <c r="AD5" i="29"/>
  <c r="Y5" i="29"/>
  <c r="Y7" i="29"/>
  <c r="AD7" i="29"/>
  <c r="AD8" i="29"/>
  <c r="Y8" i="29"/>
  <c r="AG14" i="29"/>
  <c r="AD14" i="29"/>
  <c r="Y14" i="29"/>
  <c r="AI37" i="29"/>
  <c r="W37" i="29"/>
  <c r="AG37" i="29"/>
  <c r="AM37" i="29" s="1"/>
  <c r="AI41" i="29"/>
  <c r="AG11" i="29"/>
  <c r="AM11" i="29" s="1"/>
  <c r="AI11" i="29"/>
  <c r="AI29" i="29"/>
  <c r="W29" i="29"/>
  <c r="AG29" i="29"/>
  <c r="AM29" i="29" s="1"/>
  <c r="AI45" i="29"/>
  <c r="W45" i="29"/>
  <c r="AG45" i="29"/>
  <c r="AM45" i="29" s="1"/>
  <c r="AD11" i="29"/>
  <c r="AE11" i="29" s="1"/>
  <c r="AL11" i="29" s="1" a="1"/>
  <c r="AL11" i="29" s="1"/>
  <c r="Y11" i="29"/>
  <c r="AG12" i="29"/>
  <c r="AI12" i="29"/>
  <c r="AI7" i="29"/>
  <c r="AG7" i="29"/>
  <c r="AD12" i="29"/>
  <c r="Y12" i="29"/>
  <c r="R26" i="29"/>
  <c r="O26" i="29" s="1"/>
  <c r="AK26" i="29"/>
  <c r="P47" i="29"/>
  <c r="P49" i="29" s="1"/>
  <c r="AA24" i="29" s="1"/>
  <c r="R17" i="2" s="1"/>
  <c r="R93" i="2" s="1"/>
  <c r="S24" i="29"/>
  <c r="I17" i="2" s="1"/>
  <c r="AD3" i="29"/>
  <c r="R4" i="29"/>
  <c r="AJ5" i="29"/>
  <c r="R8" i="29"/>
  <c r="O8" i="29" s="1"/>
  <c r="R9" i="29"/>
  <c r="O9" i="29" s="1"/>
  <c r="Y9" i="29"/>
  <c r="AK9" i="29"/>
  <c r="AJ10" i="29"/>
  <c r="AJ11" i="29"/>
  <c r="AJ12" i="29"/>
  <c r="AJ26" i="29"/>
  <c r="AD27" i="29"/>
  <c r="Y27" i="29"/>
  <c r="W32" i="29"/>
  <c r="AE32" i="29" s="1"/>
  <c r="AG32" i="29"/>
  <c r="AM32" i="29" s="1"/>
  <c r="AD33" i="29"/>
  <c r="Y36" i="29"/>
  <c r="AD43" i="29"/>
  <c r="Y43" i="29"/>
  <c r="AI33" i="29"/>
  <c r="W33" i="29"/>
  <c r="AG33" i="29"/>
  <c r="AM33" i="29" s="1"/>
  <c r="R42" i="29"/>
  <c r="O42" i="29" s="1"/>
  <c r="AK42" i="29"/>
  <c r="AI6" i="29"/>
  <c r="R13" i="29"/>
  <c r="O13" i="29" s="1"/>
  <c r="Y13" i="29"/>
  <c r="AK13" i="29"/>
  <c r="AJ14" i="29"/>
  <c r="AD15" i="29"/>
  <c r="AG16" i="29"/>
  <c r="AM16" i="29" s="1"/>
  <c r="R19" i="29"/>
  <c r="O19" i="29" s="1"/>
  <c r="AJ19" i="29"/>
  <c r="AD26" i="29"/>
  <c r="Y26" i="29"/>
  <c r="R38" i="29"/>
  <c r="O38" i="29" s="1"/>
  <c r="AK38" i="29"/>
  <c r="AJ41" i="29"/>
  <c r="AJ6" i="29"/>
  <c r="Y18" i="29"/>
  <c r="AI21" i="29"/>
  <c r="AG21" i="29"/>
  <c r="AM21" i="29" s="1"/>
  <c r="T47" i="29"/>
  <c r="Y32" i="29"/>
  <c r="AD39" i="29"/>
  <c r="AD42" i="29"/>
  <c r="Y42" i="29"/>
  <c r="AD45" i="29"/>
  <c r="AJ18" i="29"/>
  <c r="I24" i="29"/>
  <c r="AD9" i="29"/>
  <c r="AH23" i="29"/>
  <c r="Y6" i="29"/>
  <c r="AD13" i="29"/>
  <c r="AG15" i="29"/>
  <c r="Y16" i="29"/>
  <c r="AE16" i="29"/>
  <c r="AL16" i="29" s="1" a="1"/>
  <c r="AL16" i="29" s="1"/>
  <c r="R17" i="29"/>
  <c r="O17" i="29" s="1"/>
  <c r="AD17" i="29"/>
  <c r="AG22" i="29"/>
  <c r="AM22" i="29" s="1"/>
  <c r="AD29" i="29"/>
  <c r="Y33" i="29"/>
  <c r="R34" i="29"/>
  <c r="O34" i="29" s="1"/>
  <c r="AK34" i="29"/>
  <c r="AJ37" i="29"/>
  <c r="AJ7" i="29"/>
  <c r="AI20" i="29"/>
  <c r="I47" i="29"/>
  <c r="U28" i="29"/>
  <c r="AD35" i="29"/>
  <c r="Y35" i="29"/>
  <c r="AD38" i="29"/>
  <c r="Y38" i="29"/>
  <c r="AI40" i="29"/>
  <c r="W40" i="29"/>
  <c r="AG40" i="29"/>
  <c r="AM40" i="29" s="1"/>
  <c r="AD41" i="29"/>
  <c r="AD6" i="29"/>
  <c r="Y20" i="29"/>
  <c r="R30" i="29"/>
  <c r="O30" i="29" s="1"/>
  <c r="AK30" i="29"/>
  <c r="AJ33" i="29"/>
  <c r="AI3" i="29"/>
  <c r="X24" i="29"/>
  <c r="AJ3" i="29"/>
  <c r="AK7" i="29"/>
  <c r="AK3" i="29"/>
  <c r="AJ16" i="29"/>
  <c r="AD21" i="29"/>
  <c r="AE21" i="29" s="1"/>
  <c r="AL21" i="29" s="1" a="1"/>
  <c r="AL21" i="29" s="1"/>
  <c r="AH46" i="29"/>
  <c r="AD31" i="29"/>
  <c r="Y31" i="29"/>
  <c r="AD34" i="29"/>
  <c r="AI36" i="29"/>
  <c r="W36" i="29"/>
  <c r="AE36" i="29" s="1"/>
  <c r="AL36" i="29" s="1" a="1"/>
  <c r="AL36" i="29" s="1"/>
  <c r="AG36" i="29"/>
  <c r="AD37" i="29"/>
  <c r="AE37" i="29" s="1"/>
  <c r="AL37" i="29" s="1" a="1"/>
  <c r="AL37" i="29" s="1"/>
  <c r="U40" i="29"/>
  <c r="W27" i="29"/>
  <c r="AE27" i="29" s="1"/>
  <c r="AL27" i="29" s="1" a="1"/>
  <c r="AL27" i="29" s="1"/>
  <c r="AI27" i="29"/>
  <c r="W31" i="29"/>
  <c r="AI31" i="29"/>
  <c r="W35" i="29"/>
  <c r="AI35" i="29"/>
  <c r="AI39" i="29"/>
  <c r="AJ27" i="29"/>
  <c r="AJ31" i="29"/>
  <c r="AJ35" i="29"/>
  <c r="AJ39" i="29"/>
  <c r="AJ43" i="29"/>
  <c r="S47" i="29"/>
  <c r="I18" i="2" s="1"/>
  <c r="AJ28" i="29"/>
  <c r="AJ32" i="29"/>
  <c r="AJ36" i="29"/>
  <c r="AJ40" i="29"/>
  <c r="AJ44" i="29"/>
  <c r="AK28" i="29"/>
  <c r="AK32" i="29"/>
  <c r="AK36" i="29"/>
  <c r="AK40" i="29"/>
  <c r="AK44" i="29"/>
  <c r="H27" i="28"/>
  <c r="D4" i="28"/>
  <c r="E4" i="28"/>
  <c r="M4" i="28"/>
  <c r="N4" i="28"/>
  <c r="O4" i="28"/>
  <c r="Q4" i="28"/>
  <c r="R4" i="28"/>
  <c r="S4" i="28"/>
  <c r="T4" i="28"/>
  <c r="U4" i="28"/>
  <c r="D5" i="28"/>
  <c r="E5" i="28"/>
  <c r="M5" i="28"/>
  <c r="N5" i="28"/>
  <c r="O5" i="28"/>
  <c r="Q5" i="28"/>
  <c r="R5" i="28"/>
  <c r="S5" i="28"/>
  <c r="T5" i="28"/>
  <c r="U5" i="28"/>
  <c r="C5" i="28"/>
  <c r="C4" i="28"/>
  <c r="J35" i="25"/>
  <c r="J36" i="25"/>
  <c r="J37" i="25"/>
  <c r="J38" i="25"/>
  <c r="J39" i="25"/>
  <c r="J40" i="25"/>
  <c r="J30" i="25"/>
  <c r="J31" i="25"/>
  <c r="J41" i="25"/>
  <c r="J28" i="25"/>
  <c r="J42" i="25"/>
  <c r="J43" i="25"/>
  <c r="J44" i="25"/>
  <c r="J45" i="25"/>
  <c r="J46" i="25"/>
  <c r="J32" i="25"/>
  <c r="J47" i="25"/>
  <c r="J33" i="25"/>
  <c r="J29" i="25"/>
  <c r="J34" i="25"/>
  <c r="J9" i="25"/>
  <c r="J10" i="25"/>
  <c r="J11" i="25"/>
  <c r="J6" i="25"/>
  <c r="J12" i="25"/>
  <c r="J13" i="25"/>
  <c r="J14" i="25"/>
  <c r="J5" i="25"/>
  <c r="J15" i="25"/>
  <c r="J16" i="25"/>
  <c r="J7" i="25"/>
  <c r="J17" i="25"/>
  <c r="J18" i="25"/>
  <c r="J8" i="25"/>
  <c r="J19" i="25"/>
  <c r="J20" i="25"/>
  <c r="J21" i="25"/>
  <c r="J22" i="25"/>
  <c r="J23" i="25"/>
  <c r="J4" i="25"/>
  <c r="C39" i="25"/>
  <c r="C47" i="25"/>
  <c r="C32" i="25"/>
  <c r="C40" i="25"/>
  <c r="C33" i="25"/>
  <c r="C34" i="25"/>
  <c r="C28" i="25"/>
  <c r="C29" i="25"/>
  <c r="C41" i="25"/>
  <c r="C46" i="25"/>
  <c r="C35" i="25"/>
  <c r="C42" i="25"/>
  <c r="C36" i="25"/>
  <c r="C37" i="25"/>
  <c r="C38" i="25"/>
  <c r="C30" i="25"/>
  <c r="C43" i="25"/>
  <c r="C31" i="25"/>
  <c r="C44" i="25"/>
  <c r="C45" i="25"/>
  <c r="C7" i="25"/>
  <c r="C8" i="25"/>
  <c r="C19" i="25"/>
  <c r="C6" i="25"/>
  <c r="C9" i="25"/>
  <c r="C10" i="25"/>
  <c r="C11" i="25"/>
  <c r="C5" i="25"/>
  <c r="C21" i="25"/>
  <c r="C12" i="25"/>
  <c r="C23" i="25"/>
  <c r="C13" i="25"/>
  <c r="C14" i="25"/>
  <c r="C4" i="25"/>
  <c r="C15" i="25"/>
  <c r="C16" i="25"/>
  <c r="C20" i="25"/>
  <c r="C17" i="25"/>
  <c r="C18" i="25"/>
  <c r="C22" i="25"/>
  <c r="O107" i="2"/>
  <c r="P107" i="2"/>
  <c r="Q107" i="2"/>
  <c r="S107" i="2"/>
  <c r="T107" i="2"/>
  <c r="U107" i="2"/>
  <c r="V107" i="2"/>
  <c r="W107" i="2"/>
  <c r="O108" i="2"/>
  <c r="P108" i="2"/>
  <c r="Q108" i="2"/>
  <c r="S108" i="2"/>
  <c r="T108" i="2"/>
  <c r="U108" i="2"/>
  <c r="V108" i="2"/>
  <c r="W108" i="2"/>
  <c r="R14" i="2"/>
  <c r="N14" i="2"/>
  <c r="M14" i="2"/>
  <c r="L14" i="2"/>
  <c r="J14" i="2"/>
  <c r="I14" i="2"/>
  <c r="R13" i="2"/>
  <c r="N13" i="2"/>
  <c r="M13" i="2"/>
  <c r="M100" i="2" s="1"/>
  <c r="L13" i="2"/>
  <c r="J13" i="2"/>
  <c r="H4" i="28" s="1"/>
  <c r="I13" i="2"/>
  <c r="J48" i="27"/>
  <c r="K46" i="27" s="1"/>
  <c r="C48" i="27"/>
  <c r="D45" i="27" s="1"/>
  <c r="D40" i="27"/>
  <c r="D28" i="27"/>
  <c r="J24" i="27"/>
  <c r="K14" i="27" s="1"/>
  <c r="C24" i="27"/>
  <c r="D22" i="27" s="1"/>
  <c r="AP51" i="50" l="1"/>
  <c r="K59" i="50" s="1"/>
  <c r="L59" i="50" s="1"/>
  <c r="AM48" i="74"/>
  <c r="F11" i="75"/>
  <c r="E12" i="75"/>
  <c r="F9" i="75"/>
  <c r="E10" i="75"/>
  <c r="F10" i="75" s="1"/>
  <c r="D34" i="75"/>
  <c r="D41" i="75"/>
  <c r="D35" i="75"/>
  <c r="D36" i="75"/>
  <c r="D39" i="75"/>
  <c r="D30" i="75"/>
  <c r="D43" i="75"/>
  <c r="D44" i="75"/>
  <c r="D33" i="75"/>
  <c r="D38" i="75"/>
  <c r="D47" i="75"/>
  <c r="D31" i="75"/>
  <c r="D40" i="75"/>
  <c r="D46" i="75"/>
  <c r="D32" i="75"/>
  <c r="D42" i="75"/>
  <c r="D48" i="75"/>
  <c r="D45" i="75"/>
  <c r="D37" i="75"/>
  <c r="G37" i="75"/>
  <c r="G44" i="75"/>
  <c r="G20" i="75"/>
  <c r="M21" i="75"/>
  <c r="G21" i="75" s="1"/>
  <c r="L22" i="75"/>
  <c r="M45" i="75"/>
  <c r="G36" i="75" s="1"/>
  <c r="L46" i="75"/>
  <c r="AP20" i="37"/>
  <c r="AN18" i="37"/>
  <c r="AN14" i="37"/>
  <c r="E4" i="65"/>
  <c r="F4" i="65" s="1"/>
  <c r="D26" i="65"/>
  <c r="L6" i="39"/>
  <c r="M6" i="39" s="1"/>
  <c r="G25" i="39" s="1"/>
  <c r="AL43" i="36" a="1"/>
  <c r="AL43" i="36" s="1"/>
  <c r="C36" i="31"/>
  <c r="AL36" i="36" a="1"/>
  <c r="AL36" i="36" s="1"/>
  <c r="C47" i="31"/>
  <c r="AN39" i="36"/>
  <c r="AL30" i="36" a="1"/>
  <c r="AL30" i="36" s="1"/>
  <c r="AP30" i="36" s="1"/>
  <c r="C43" i="31"/>
  <c r="AN37" i="36"/>
  <c r="AL42" i="36" a="1"/>
  <c r="AL42" i="36" s="1"/>
  <c r="C35" i="31"/>
  <c r="AL38" i="36" a="1"/>
  <c r="AL38" i="36" s="1"/>
  <c r="AN38" i="36" s="1"/>
  <c r="C31" i="31"/>
  <c r="AL32" i="36" a="1"/>
  <c r="AL32" i="36" s="1"/>
  <c r="AP32" i="36" s="1"/>
  <c r="C32" i="31"/>
  <c r="AL47" i="36" a="1"/>
  <c r="AL47" i="36" s="1"/>
  <c r="AP47" i="36" s="1"/>
  <c r="C38" i="31"/>
  <c r="AL31" i="36" a="1"/>
  <c r="AL31" i="36" s="1"/>
  <c r="C39" i="31"/>
  <c r="AL29" i="36" a="1"/>
  <c r="AL29" i="36" s="1"/>
  <c r="AN29" i="36" s="1"/>
  <c r="C48" i="31"/>
  <c r="AL33" i="36" a="1"/>
  <c r="AL33" i="36" s="1"/>
  <c r="AP33" i="36" s="1"/>
  <c r="C40" i="31"/>
  <c r="AM37" i="36"/>
  <c r="AL35" i="36" a="1"/>
  <c r="AL35" i="36" s="1"/>
  <c r="C34" i="31"/>
  <c r="AL44" i="36" a="1"/>
  <c r="AL44" i="36" s="1"/>
  <c r="AN44" i="36" s="1"/>
  <c r="C44" i="31"/>
  <c r="AL40" i="36" a="1"/>
  <c r="AL40" i="36" s="1"/>
  <c r="AP40" i="36" s="1"/>
  <c r="C42" i="31"/>
  <c r="AL46" i="36" a="1"/>
  <c r="AL46" i="36" s="1"/>
  <c r="AP46" i="36" s="1"/>
  <c r="C37" i="31"/>
  <c r="AL45" i="36" a="1"/>
  <c r="AL45" i="36" s="1"/>
  <c r="C45" i="31"/>
  <c r="AL34" i="36" a="1"/>
  <c r="AL34" i="36" s="1"/>
  <c r="AN34" i="36" s="1"/>
  <c r="C33" i="31"/>
  <c r="AP19" i="36"/>
  <c r="AN48" i="50"/>
  <c r="AN37" i="37"/>
  <c r="AP49" i="50"/>
  <c r="AN39" i="37"/>
  <c r="AN47" i="37"/>
  <c r="AN32" i="37"/>
  <c r="AN41" i="37"/>
  <c r="AN48" i="37" s="1"/>
  <c r="AP28" i="37"/>
  <c r="AP49" i="37" s="1"/>
  <c r="C50" i="39"/>
  <c r="D34" i="39" s="1"/>
  <c r="AL48" i="37"/>
  <c r="D48" i="65"/>
  <c r="D39" i="65"/>
  <c r="D33" i="65"/>
  <c r="D32" i="65"/>
  <c r="D40" i="65"/>
  <c r="D30" i="65"/>
  <c r="D42" i="65"/>
  <c r="D43" i="65"/>
  <c r="D44" i="65"/>
  <c r="D36" i="65"/>
  <c r="D31" i="65"/>
  <c r="D37" i="65"/>
  <c r="D38" i="65"/>
  <c r="D34" i="65"/>
  <c r="D47" i="65"/>
  <c r="D41" i="65"/>
  <c r="D46" i="65"/>
  <c r="D35" i="65"/>
  <c r="D45" i="65"/>
  <c r="D49" i="65"/>
  <c r="AP49" i="74"/>
  <c r="AP51" i="74"/>
  <c r="K59" i="74" s="1"/>
  <c r="L59" i="74" s="1"/>
  <c r="W51" i="37"/>
  <c r="L21" i="2"/>
  <c r="AM15" i="37"/>
  <c r="AP24" i="37"/>
  <c r="AP14" i="37"/>
  <c r="AN19" i="37"/>
  <c r="AN12" i="37"/>
  <c r="AN10" i="37"/>
  <c r="AN15" i="37"/>
  <c r="C26" i="39"/>
  <c r="D20" i="39" s="1"/>
  <c r="AP10" i="37"/>
  <c r="D14" i="39"/>
  <c r="D16" i="39"/>
  <c r="AN16" i="36"/>
  <c r="AL4" i="36" a="1"/>
  <c r="AL4" i="36" s="1"/>
  <c r="C18" i="31"/>
  <c r="AN24" i="36"/>
  <c r="AL5" i="36" a="1"/>
  <c r="AL5" i="36" s="1"/>
  <c r="C6" i="31"/>
  <c r="AL21" i="36" a="1"/>
  <c r="AL21" i="36" s="1"/>
  <c r="AP21" i="36" s="1"/>
  <c r="C14" i="31"/>
  <c r="AL20" i="36" a="1"/>
  <c r="AL20" i="36" s="1"/>
  <c r="AP20" i="36" s="1"/>
  <c r="C13" i="31"/>
  <c r="AL22" i="36" a="1"/>
  <c r="AL22" i="36" s="1"/>
  <c r="AN22" i="36" s="1"/>
  <c r="C15" i="31"/>
  <c r="AL13" i="36" a="1"/>
  <c r="AL13" i="36" s="1"/>
  <c r="AM13" i="36" s="1"/>
  <c r="C4" i="31"/>
  <c r="AL11" i="36" a="1"/>
  <c r="AL11" i="36" s="1"/>
  <c r="AP11" i="36" s="1"/>
  <c r="C9" i="31"/>
  <c r="AL10" i="36" a="1"/>
  <c r="AL10" i="36" s="1"/>
  <c r="AP10" i="36" s="1"/>
  <c r="C20" i="31"/>
  <c r="AL14" i="36" a="1"/>
  <c r="AL14" i="36" s="1"/>
  <c r="AN14" i="36" s="1"/>
  <c r="C5" i="31"/>
  <c r="AL23" i="36" a="1"/>
  <c r="AL23" i="36" s="1"/>
  <c r="AN23" i="36" s="1"/>
  <c r="C16" i="31"/>
  <c r="AL18" i="36" a="1"/>
  <c r="AL18" i="36" s="1"/>
  <c r="AP18" i="36" s="1"/>
  <c r="C12" i="31"/>
  <c r="AN7" i="36"/>
  <c r="AL12" i="36" a="1"/>
  <c r="AL12" i="36" s="1"/>
  <c r="AP12" i="36" s="1"/>
  <c r="C10" i="31"/>
  <c r="AL15" i="36" a="1"/>
  <c r="AL15" i="36" s="1"/>
  <c r="C24" i="31"/>
  <c r="AL17" i="36" a="1"/>
  <c r="AL17" i="36" s="1"/>
  <c r="AN17" i="36" s="1"/>
  <c r="C19" i="31"/>
  <c r="AL6" i="36" a="1"/>
  <c r="AL6" i="36" s="1"/>
  <c r="AN6" i="36" s="1"/>
  <c r="C21" i="31"/>
  <c r="F36" i="72"/>
  <c r="E37" i="72"/>
  <c r="F15" i="72"/>
  <c r="E16" i="72"/>
  <c r="G20" i="72"/>
  <c r="G15" i="72"/>
  <c r="G44" i="72"/>
  <c r="M21" i="72"/>
  <c r="G21" i="72" s="1"/>
  <c r="L22" i="72"/>
  <c r="G22" i="71"/>
  <c r="G16" i="71"/>
  <c r="F44" i="71"/>
  <c r="E45" i="71"/>
  <c r="E21" i="71"/>
  <c r="F20" i="71"/>
  <c r="M46" i="72"/>
  <c r="G38" i="72" s="1"/>
  <c r="L47" i="72"/>
  <c r="M44" i="71"/>
  <c r="G44" i="71" s="1"/>
  <c r="L45" i="71"/>
  <c r="M23" i="71"/>
  <c r="L24" i="71"/>
  <c r="K17" i="2"/>
  <c r="K93" i="2" s="1"/>
  <c r="G15" i="38" s="1"/>
  <c r="G16" i="63"/>
  <c r="F41" i="67"/>
  <c r="E42" i="67"/>
  <c r="M17" i="67"/>
  <c r="L18" i="67"/>
  <c r="F18" i="67"/>
  <c r="E19" i="67"/>
  <c r="M42" i="67"/>
  <c r="L43" i="67"/>
  <c r="F16" i="66"/>
  <c r="E17" i="66"/>
  <c r="F42" i="66"/>
  <c r="E43" i="66"/>
  <c r="M17" i="66"/>
  <c r="L18" i="66"/>
  <c r="M41" i="66"/>
  <c r="L42" i="66"/>
  <c r="G14" i="65"/>
  <c r="G31" i="65"/>
  <c r="M39" i="65"/>
  <c r="L40" i="65"/>
  <c r="M17" i="65"/>
  <c r="L18" i="65"/>
  <c r="F33" i="45"/>
  <c r="E34" i="45"/>
  <c r="G35" i="45"/>
  <c r="F7" i="45"/>
  <c r="E8" i="45"/>
  <c r="G6" i="45"/>
  <c r="M40" i="64"/>
  <c r="L41" i="64"/>
  <c r="F16" i="64"/>
  <c r="E17" i="64"/>
  <c r="F40" i="64"/>
  <c r="E41" i="64"/>
  <c r="M16" i="64"/>
  <c r="G11" i="64" s="1"/>
  <c r="L17" i="64"/>
  <c r="E31" i="42"/>
  <c r="E6" i="42"/>
  <c r="G32" i="42"/>
  <c r="G5" i="42"/>
  <c r="W8" i="49"/>
  <c r="E16" i="49"/>
  <c r="H9" i="1" s="1"/>
  <c r="M37" i="45"/>
  <c r="L38" i="45"/>
  <c r="M14" i="45"/>
  <c r="L15" i="45"/>
  <c r="J93" i="2"/>
  <c r="AM25" i="37"/>
  <c r="M35" i="42"/>
  <c r="L36" i="42"/>
  <c r="M11" i="42"/>
  <c r="G7" i="42" s="1"/>
  <c r="L12" i="42"/>
  <c r="F4" i="32"/>
  <c r="F5" i="32"/>
  <c r="I5" i="32"/>
  <c r="Y4" i="32"/>
  <c r="I4" i="32"/>
  <c r="AD15" i="2"/>
  <c r="G7" i="32"/>
  <c r="AD16" i="2"/>
  <c r="AA16" i="2"/>
  <c r="G8" i="38"/>
  <c r="G6" i="32"/>
  <c r="J97" i="2"/>
  <c r="H6" i="32"/>
  <c r="E22" i="32" s="1"/>
  <c r="J100" i="2"/>
  <c r="R100" i="2"/>
  <c r="P6" i="32"/>
  <c r="E20" i="32" s="1"/>
  <c r="N101" i="2"/>
  <c r="L7" i="32"/>
  <c r="K23" i="32" s="1"/>
  <c r="K50" i="31"/>
  <c r="L32" i="31"/>
  <c r="M32" i="31" s="1"/>
  <c r="L4" i="31"/>
  <c r="M4" i="31" s="1"/>
  <c r="K26" i="31"/>
  <c r="AD51" i="37"/>
  <c r="AM38" i="36"/>
  <c r="V43" i="36"/>
  <c r="V37" i="36"/>
  <c r="V29" i="36"/>
  <c r="V45" i="36"/>
  <c r="V46" i="36"/>
  <c r="V44" i="36"/>
  <c r="V36" i="36"/>
  <c r="V42" i="36"/>
  <c r="V30" i="36"/>
  <c r="V39" i="36"/>
  <c r="V40" i="36"/>
  <c r="V31" i="36"/>
  <c r="V47" i="36"/>
  <c r="V38" i="36"/>
  <c r="V41" i="36"/>
  <c r="V32" i="36"/>
  <c r="V35" i="36"/>
  <c r="V34" i="36"/>
  <c r="V33" i="36"/>
  <c r="AP29" i="36"/>
  <c r="Y49" i="36"/>
  <c r="V12" i="36"/>
  <c r="V28" i="36"/>
  <c r="V14" i="36"/>
  <c r="V4" i="36"/>
  <c r="V22" i="36"/>
  <c r="V19" i="36"/>
  <c r="V13" i="36"/>
  <c r="V20" i="36"/>
  <c r="V16" i="36"/>
  <c r="V7" i="36"/>
  <c r="V10" i="36"/>
  <c r="V17" i="36"/>
  <c r="V11" i="36"/>
  <c r="V21" i="36"/>
  <c r="V6" i="36"/>
  <c r="V23" i="36"/>
  <c r="V24" i="36"/>
  <c r="V9" i="36"/>
  <c r="V18" i="36"/>
  <c r="V8" i="36"/>
  <c r="V15" i="36"/>
  <c r="V5" i="36"/>
  <c r="V3" i="36"/>
  <c r="AP38" i="36"/>
  <c r="J60" i="37"/>
  <c r="J58" i="37"/>
  <c r="J60" i="36"/>
  <c r="J58" i="36"/>
  <c r="AD26" i="36"/>
  <c r="AP34" i="36"/>
  <c r="R51" i="36"/>
  <c r="AN46" i="36"/>
  <c r="AA49" i="36"/>
  <c r="AA52" i="36" s="1"/>
  <c r="AK51" i="36" s="1"/>
  <c r="L7" i="39"/>
  <c r="M31" i="39"/>
  <c r="L32" i="39"/>
  <c r="AE51" i="37"/>
  <c r="AP3" i="37"/>
  <c r="AN3" i="37"/>
  <c r="AL25" i="37"/>
  <c r="Y51" i="37"/>
  <c r="V26" i="37"/>
  <c r="V49" i="37"/>
  <c r="AD49" i="36"/>
  <c r="AP36" i="36"/>
  <c r="AN36" i="36"/>
  <c r="AP44" i="36"/>
  <c r="AP35" i="36"/>
  <c r="AN35" i="36"/>
  <c r="AP42" i="36"/>
  <c r="AN42" i="36"/>
  <c r="AM17" i="36"/>
  <c r="U51" i="36"/>
  <c r="Y26" i="36"/>
  <c r="AG48" i="36"/>
  <c r="AM28" i="36"/>
  <c r="AP31" i="36"/>
  <c r="AN31" i="36"/>
  <c r="AN40" i="36"/>
  <c r="AG25" i="36"/>
  <c r="W49" i="36"/>
  <c r="L20" i="2" s="1"/>
  <c r="AP43" i="36"/>
  <c r="AN43" i="36"/>
  <c r="W26" i="36"/>
  <c r="L19" i="2" s="1"/>
  <c r="AE28" i="36"/>
  <c r="C49" i="31" s="1"/>
  <c r="AE3" i="36"/>
  <c r="C23" i="31" s="1"/>
  <c r="AI25" i="36"/>
  <c r="AI48" i="36"/>
  <c r="AP4" i="36"/>
  <c r="AN4" i="36"/>
  <c r="AM5" i="36"/>
  <c r="AM22" i="36"/>
  <c r="AN5" i="36"/>
  <c r="AP5" i="36"/>
  <c r="AN33" i="36"/>
  <c r="AM30" i="36"/>
  <c r="D9" i="27"/>
  <c r="D10" i="27"/>
  <c r="D16" i="27"/>
  <c r="D21" i="27"/>
  <c r="D32" i="27"/>
  <c r="D36" i="27"/>
  <c r="K43" i="27"/>
  <c r="K31" i="27"/>
  <c r="K44" i="27"/>
  <c r="K30" i="27"/>
  <c r="K29" i="27"/>
  <c r="K42" i="27"/>
  <c r="K36" i="27"/>
  <c r="K37" i="27"/>
  <c r="K32" i="27"/>
  <c r="K39" i="27"/>
  <c r="K47" i="27"/>
  <c r="K45" i="27"/>
  <c r="K33" i="27"/>
  <c r="K38" i="27"/>
  <c r="K34" i="27"/>
  <c r="K40" i="27"/>
  <c r="K28" i="27"/>
  <c r="K35" i="27"/>
  <c r="K41" i="27"/>
  <c r="K17" i="27"/>
  <c r="K21" i="27"/>
  <c r="K4" i="27"/>
  <c r="L4" i="27" s="1"/>
  <c r="M4" i="27" s="1"/>
  <c r="G4" i="27" s="1"/>
  <c r="K5" i="27"/>
  <c r="K10" i="27"/>
  <c r="K15" i="27"/>
  <c r="K9" i="27"/>
  <c r="K22" i="27"/>
  <c r="K16" i="27"/>
  <c r="K23" i="27"/>
  <c r="K11" i="27"/>
  <c r="K18" i="27"/>
  <c r="K6" i="27"/>
  <c r="K12" i="27"/>
  <c r="K19" i="27"/>
  <c r="K7" i="27"/>
  <c r="K13" i="27"/>
  <c r="K20" i="27"/>
  <c r="K8" i="27"/>
  <c r="D41" i="27"/>
  <c r="D44" i="27"/>
  <c r="D31" i="27"/>
  <c r="D35" i="27"/>
  <c r="D37" i="27"/>
  <c r="D29" i="27"/>
  <c r="D33" i="27"/>
  <c r="D30" i="27"/>
  <c r="D34" i="27"/>
  <c r="D38" i="27"/>
  <c r="D42" i="27"/>
  <c r="D43" i="27"/>
  <c r="D39" i="27"/>
  <c r="D5" i="27"/>
  <c r="D17" i="27"/>
  <c r="D8" i="27"/>
  <c r="D13" i="27"/>
  <c r="D18" i="27"/>
  <c r="AG36" i="30"/>
  <c r="AM20" i="30"/>
  <c r="AE45" i="29"/>
  <c r="AL45" i="29" s="1" a="1"/>
  <c r="AL45" i="29" s="1"/>
  <c r="W28" i="29"/>
  <c r="O36" i="30"/>
  <c r="AM8" i="30"/>
  <c r="Z49" i="29"/>
  <c r="M18" i="2"/>
  <c r="M94" i="2" s="1"/>
  <c r="U4" i="30"/>
  <c r="W44" i="29"/>
  <c r="AI28" i="29"/>
  <c r="AI36" i="30"/>
  <c r="P47" i="30"/>
  <c r="AE11" i="30"/>
  <c r="AL11" i="30" s="1" a="1"/>
  <c r="AL11" i="30" s="1"/>
  <c r="AI44" i="29"/>
  <c r="T49" i="29"/>
  <c r="J18" i="2"/>
  <c r="J94" i="2" s="1"/>
  <c r="AK42" i="30"/>
  <c r="AE13" i="30"/>
  <c r="AL13" i="30" s="1" a="1"/>
  <c r="AL13" i="30" s="1"/>
  <c r="AE10" i="29"/>
  <c r="AL10" i="29" s="1" a="1"/>
  <c r="AL10" i="29" s="1"/>
  <c r="X49" i="29"/>
  <c r="N17" i="2"/>
  <c r="N93" i="2" s="1"/>
  <c r="AG28" i="29"/>
  <c r="AE9" i="30"/>
  <c r="AL9" i="30" s="1" a="1"/>
  <c r="AL9" i="30" s="1"/>
  <c r="AI43" i="29"/>
  <c r="AI14" i="29"/>
  <c r="AI13" i="30"/>
  <c r="R42" i="30"/>
  <c r="W42" i="30" s="1"/>
  <c r="AE14" i="29"/>
  <c r="AL14" i="29" s="1" a="1"/>
  <c r="AL14" i="29" s="1"/>
  <c r="O13" i="30"/>
  <c r="H5" i="28"/>
  <c r="N6" i="28"/>
  <c r="J4" i="28"/>
  <c r="J104" i="2"/>
  <c r="J105" i="2"/>
  <c r="G5" i="28"/>
  <c r="K4" i="28"/>
  <c r="P5" i="28"/>
  <c r="S6" i="28"/>
  <c r="L4" i="28"/>
  <c r="K14" i="2"/>
  <c r="N105" i="2" s="1"/>
  <c r="L5" i="28"/>
  <c r="P4" i="28"/>
  <c r="K13" i="2"/>
  <c r="K5" i="28"/>
  <c r="O6" i="28"/>
  <c r="G4" i="28"/>
  <c r="J5" i="28"/>
  <c r="Q6" i="28"/>
  <c r="U6" i="28"/>
  <c r="M6" i="28"/>
  <c r="AM36" i="29"/>
  <c r="AA51" i="30"/>
  <c r="AM27" i="30"/>
  <c r="AG11" i="30"/>
  <c r="AM11" i="30" s="1"/>
  <c r="AM12" i="30"/>
  <c r="AI11" i="30"/>
  <c r="AG17" i="30"/>
  <c r="AM17" i="30" s="1"/>
  <c r="AE14" i="30"/>
  <c r="AL14" i="30" s="1" a="1"/>
  <c r="AL14" i="30" s="1"/>
  <c r="AN14" i="30" s="1"/>
  <c r="O11" i="30"/>
  <c r="AM15" i="30"/>
  <c r="AI17" i="30"/>
  <c r="AJ23" i="29"/>
  <c r="AE35" i="29"/>
  <c r="AL35" i="29" s="1" a="1"/>
  <c r="AL35" i="29" s="1"/>
  <c r="AN35" i="29" s="1"/>
  <c r="AE7" i="29"/>
  <c r="AL7" i="29" s="1" a="1"/>
  <c r="AL7" i="29" s="1"/>
  <c r="AP7" i="29" s="1"/>
  <c r="AE43" i="29"/>
  <c r="AL43" i="29" s="1" a="1"/>
  <c r="AL43" i="29" s="1"/>
  <c r="AP43" i="29" s="1"/>
  <c r="Y30" i="29"/>
  <c r="AE12" i="29"/>
  <c r="AL12" i="29" s="1" a="1"/>
  <c r="AL12" i="29" s="1"/>
  <c r="AP12" i="29" s="1"/>
  <c r="Y22" i="29"/>
  <c r="U24" i="29"/>
  <c r="AM27" i="29"/>
  <c r="Y44" i="29"/>
  <c r="Y19" i="29"/>
  <c r="AJ46" i="30"/>
  <c r="AE29" i="30"/>
  <c r="AL29" i="30" s="1" a="1"/>
  <c r="AL29" i="30" s="1"/>
  <c r="AP29" i="30" s="1"/>
  <c r="AD42" i="30"/>
  <c r="AE42" i="30" s="1"/>
  <c r="AL42" i="30" s="1" a="1"/>
  <c r="AL42" i="30" s="1"/>
  <c r="AI40" i="30"/>
  <c r="AD33" i="30"/>
  <c r="AI31" i="30"/>
  <c r="O35" i="29"/>
  <c r="AG35" i="29"/>
  <c r="AM35" i="29" s="1"/>
  <c r="AE31" i="29"/>
  <c r="AL31" i="29" s="1" a="1"/>
  <c r="AL31" i="29" s="1"/>
  <c r="AN31" i="29" s="1"/>
  <c r="AK23" i="29"/>
  <c r="AE33" i="29"/>
  <c r="AL33" i="29" s="1" a="1"/>
  <c r="AL33" i="29" s="1"/>
  <c r="AP33" i="29" s="1"/>
  <c r="AG41" i="29"/>
  <c r="AM41" i="29" s="1"/>
  <c r="AI19" i="30"/>
  <c r="AG31" i="30"/>
  <c r="AM31" i="30" s="1"/>
  <c r="AG43" i="29"/>
  <c r="AM43" i="29" s="1"/>
  <c r="O43" i="29"/>
  <c r="AG3" i="29"/>
  <c r="O3" i="29"/>
  <c r="O10" i="30"/>
  <c r="AI10" i="30"/>
  <c r="AE39" i="29"/>
  <c r="AL39" i="29" s="1" a="1"/>
  <c r="AL39" i="29" s="1"/>
  <c r="AE39" i="30"/>
  <c r="AL39" i="30" s="1" a="1"/>
  <c r="AL39" i="30" s="1"/>
  <c r="AN39" i="30" s="1"/>
  <c r="W41" i="29"/>
  <c r="AE41" i="29" s="1"/>
  <c r="AL41" i="29" s="1" a="1"/>
  <c r="AL41" i="29" s="1"/>
  <c r="AP41" i="29" s="1"/>
  <c r="AG14" i="30"/>
  <c r="AG28" i="30"/>
  <c r="AM28" i="30" s="1"/>
  <c r="AG31" i="29"/>
  <c r="AM31" i="29" s="1"/>
  <c r="O31" i="29"/>
  <c r="AD18" i="30"/>
  <c r="AE18" i="30" s="1"/>
  <c r="AL18" i="30" s="1" a="1"/>
  <c r="AL18" i="30" s="1"/>
  <c r="O22" i="29"/>
  <c r="AE22" i="29"/>
  <c r="AL22" i="29" s="1" a="1"/>
  <c r="AL22" i="29" s="1"/>
  <c r="AP22" i="29" s="1"/>
  <c r="AI22" i="29"/>
  <c r="AI16" i="30"/>
  <c r="AG16" i="30"/>
  <c r="AM16" i="30" s="1"/>
  <c r="AE16" i="30"/>
  <c r="AL16" i="30" s="1" a="1"/>
  <c r="AL16" i="30" s="1"/>
  <c r="AG20" i="29"/>
  <c r="AE20" i="29"/>
  <c r="AL20" i="29" s="1" a="1"/>
  <c r="AL20" i="29" s="1"/>
  <c r="AP20" i="29" s="1"/>
  <c r="O20" i="29"/>
  <c r="AE10" i="30"/>
  <c r="AL10" i="30" s="1" a="1"/>
  <c r="AL10" i="30" s="1"/>
  <c r="AN10" i="30" s="1"/>
  <c r="U24" i="30"/>
  <c r="Y24" i="30" s="1"/>
  <c r="AE29" i="29"/>
  <c r="AL29" i="29" s="1" a="1"/>
  <c r="AL29" i="29" s="1"/>
  <c r="AP29" i="29" s="1"/>
  <c r="AG44" i="29"/>
  <c r="AE18" i="29"/>
  <c r="AL18" i="29" s="1" a="1"/>
  <c r="AL18" i="29" s="1"/>
  <c r="AI32" i="29"/>
  <c r="Y10" i="29"/>
  <c r="AE45" i="30"/>
  <c r="AL45" i="30" s="1" a="1"/>
  <c r="AL45" i="30" s="1"/>
  <c r="AP45" i="30" s="1"/>
  <c r="AG40" i="30"/>
  <c r="AM40" i="30" s="1"/>
  <c r="AG19" i="30"/>
  <c r="AM19" i="30" s="1"/>
  <c r="O17" i="30"/>
  <c r="O41" i="30"/>
  <c r="Y3" i="30"/>
  <c r="AE17" i="30"/>
  <c r="AL17" i="30" s="1" a="1"/>
  <c r="AL17" i="30" s="1"/>
  <c r="AP17" i="30" s="1"/>
  <c r="AI15" i="29"/>
  <c r="O15" i="29"/>
  <c r="AE15" i="29"/>
  <c r="AL15" i="29" s="1" a="1"/>
  <c r="AL15" i="29" s="1"/>
  <c r="AM15" i="29" s="1"/>
  <c r="R24" i="29"/>
  <c r="O4" i="29"/>
  <c r="AJ23" i="30"/>
  <c r="AE33" i="30"/>
  <c r="AL33" i="30" s="1" a="1"/>
  <c r="AL33" i="30" s="1"/>
  <c r="AN33" i="30" s="1"/>
  <c r="O39" i="29"/>
  <c r="AG39" i="29"/>
  <c r="AM39" i="29" s="1"/>
  <c r="AE44" i="29"/>
  <c r="AL44" i="29" s="1" a="1"/>
  <c r="AL44" i="29" s="1"/>
  <c r="AP44" i="29" s="1"/>
  <c r="AE6" i="29"/>
  <c r="AL6" i="29" s="1" a="1"/>
  <c r="AL6" i="29" s="1"/>
  <c r="AN6" i="29" s="1"/>
  <c r="AL32" i="29" a="1"/>
  <c r="AL32" i="29" s="1"/>
  <c r="AI5" i="29"/>
  <c r="O5" i="29"/>
  <c r="AG5" i="29"/>
  <c r="AE5" i="29"/>
  <c r="AL5" i="29" s="1" a="1"/>
  <c r="AL5" i="29" s="1"/>
  <c r="AP5" i="29" s="1"/>
  <c r="J56" i="30"/>
  <c r="J58" i="30"/>
  <c r="AP15" i="30"/>
  <c r="AN15" i="30"/>
  <c r="AP21" i="30"/>
  <c r="AN21" i="30"/>
  <c r="AP27" i="30"/>
  <c r="AN27" i="30"/>
  <c r="AP32" i="30"/>
  <c r="AN32" i="30"/>
  <c r="AP9" i="30"/>
  <c r="AN9" i="30"/>
  <c r="AP20" i="30"/>
  <c r="AN20" i="30"/>
  <c r="AP40" i="30"/>
  <c r="AN40" i="30"/>
  <c r="AP12" i="30"/>
  <c r="AN12" i="30"/>
  <c r="AP35" i="30"/>
  <c r="AN35" i="30"/>
  <c r="AP41" i="30"/>
  <c r="AN41" i="30"/>
  <c r="AP11" i="30"/>
  <c r="AN11" i="30"/>
  <c r="AP28" i="30"/>
  <c r="AN28" i="30"/>
  <c r="AP8" i="30"/>
  <c r="AN8" i="30"/>
  <c r="AP31" i="30"/>
  <c r="AN31" i="30"/>
  <c r="AP43" i="30"/>
  <c r="AN43" i="30"/>
  <c r="AP6" i="30"/>
  <c r="AN6" i="30"/>
  <c r="AP19" i="30"/>
  <c r="AN19" i="30"/>
  <c r="AP13" i="30"/>
  <c r="AN13" i="30"/>
  <c r="P49" i="30"/>
  <c r="AA47" i="30" s="1"/>
  <c r="AD36" i="30"/>
  <c r="AE36" i="30" s="1"/>
  <c r="AL36" i="30" s="1" a="1"/>
  <c r="AL36" i="30" s="1"/>
  <c r="AM36" i="30" s="1"/>
  <c r="R24" i="30"/>
  <c r="AG3" i="30"/>
  <c r="AI3" i="30"/>
  <c r="W3" i="30"/>
  <c r="O3" i="30"/>
  <c r="AG22" i="30"/>
  <c r="AM22" i="30" s="1"/>
  <c r="AI22" i="30"/>
  <c r="O22" i="30"/>
  <c r="AE22" i="30"/>
  <c r="AL22" i="30" s="1" a="1"/>
  <c r="AL22" i="30" s="1"/>
  <c r="AD44" i="30"/>
  <c r="AE44" i="30" s="1"/>
  <c r="AL44" i="30" s="1" a="1"/>
  <c r="AL44" i="30" s="1"/>
  <c r="AM44" i="30" s="1"/>
  <c r="AI5" i="30"/>
  <c r="AE5" i="30"/>
  <c r="AL5" i="30" s="1" a="1"/>
  <c r="AL5" i="30" s="1"/>
  <c r="O5" i="30"/>
  <c r="AG5" i="30"/>
  <c r="AM5" i="30" s="1"/>
  <c r="T49" i="30"/>
  <c r="AK23" i="30"/>
  <c r="AK46" i="30"/>
  <c r="AI42" i="30"/>
  <c r="O42" i="30"/>
  <c r="AG42" i="30"/>
  <c r="AM42" i="30" s="1"/>
  <c r="AI34" i="30"/>
  <c r="AE34" i="30"/>
  <c r="AL34" i="30" s="1" a="1"/>
  <c r="AL34" i="30" s="1"/>
  <c r="O34" i="30"/>
  <c r="AG34" i="30"/>
  <c r="AM34" i="30" s="1"/>
  <c r="AN37" i="30"/>
  <c r="AI30" i="30"/>
  <c r="AE30" i="30"/>
  <c r="AL30" i="30" s="1" a="1"/>
  <c r="AL30" i="30" s="1"/>
  <c r="O30" i="30"/>
  <c r="AG30" i="30"/>
  <c r="AM30" i="30" s="1"/>
  <c r="AI38" i="30"/>
  <c r="AE38" i="30"/>
  <c r="AL38" i="30" s="1" a="1"/>
  <c r="AL38" i="30" s="1"/>
  <c r="O38" i="30"/>
  <c r="AG38" i="30"/>
  <c r="AM38" i="30" s="1"/>
  <c r="U47" i="30"/>
  <c r="Y47" i="30" s="1"/>
  <c r="Z49" i="30"/>
  <c r="AI26" i="30"/>
  <c r="O26" i="30"/>
  <c r="AG26" i="30"/>
  <c r="R47" i="30"/>
  <c r="AG7" i="30"/>
  <c r="AI7" i="30"/>
  <c r="AE7" i="30"/>
  <c r="AL7" i="30" s="1" a="1"/>
  <c r="AL7" i="30" s="1"/>
  <c r="O7" i="30"/>
  <c r="AN20" i="29"/>
  <c r="AP11" i="29"/>
  <c r="AN11" i="29"/>
  <c r="AP35" i="29"/>
  <c r="AP37" i="29"/>
  <c r="AN37" i="29"/>
  <c r="AP45" i="29"/>
  <c r="AN45" i="29"/>
  <c r="AP21" i="29"/>
  <c r="AN21" i="29"/>
  <c r="AP10" i="29"/>
  <c r="AN10" i="29"/>
  <c r="AP39" i="29"/>
  <c r="AN39" i="29"/>
  <c r="AP36" i="29"/>
  <c r="AN36" i="29"/>
  <c r="AP27" i="29"/>
  <c r="AN27" i="29"/>
  <c r="AI8" i="29"/>
  <c r="AE8" i="29"/>
  <c r="AL8" i="29" s="1" a="1"/>
  <c r="AL8" i="29" s="1"/>
  <c r="AG8" i="29"/>
  <c r="AM8" i="29" s="1"/>
  <c r="Y40" i="29"/>
  <c r="AD40" i="29"/>
  <c r="AE40" i="29" s="1"/>
  <c r="AL40" i="29" s="1" a="1"/>
  <c r="AL40" i="29" s="1"/>
  <c r="AG30" i="29"/>
  <c r="AM30" i="29" s="1"/>
  <c r="AI30" i="29"/>
  <c r="W30" i="29"/>
  <c r="AE30" i="29" s="1"/>
  <c r="AL30" i="29" s="1" a="1"/>
  <c r="AL30" i="29" s="1"/>
  <c r="AG34" i="29"/>
  <c r="AM34" i="29" s="1"/>
  <c r="AI34" i="29"/>
  <c r="W34" i="29"/>
  <c r="AE34" i="29" s="1"/>
  <c r="AL34" i="29" s="1" a="1"/>
  <c r="AL34" i="29" s="1"/>
  <c r="AG13" i="29"/>
  <c r="AM13" i="29" s="1"/>
  <c r="AI13" i="29"/>
  <c r="AE13" i="29"/>
  <c r="AL13" i="29" s="1" a="1"/>
  <c r="AL13" i="29" s="1"/>
  <c r="AG38" i="29"/>
  <c r="AM38" i="29" s="1"/>
  <c r="W38" i="29"/>
  <c r="AE38" i="29" s="1"/>
  <c r="AL38" i="29" s="1" a="1"/>
  <c r="AL38" i="29" s="1"/>
  <c r="AI38" i="29"/>
  <c r="AG42" i="29"/>
  <c r="AM42" i="29" s="1"/>
  <c r="W42" i="29"/>
  <c r="AE42" i="29" s="1"/>
  <c r="AL42" i="29" s="1" a="1"/>
  <c r="AL42" i="29" s="1"/>
  <c r="AI42" i="29"/>
  <c r="Y24" i="29"/>
  <c r="AJ46" i="29"/>
  <c r="AG26" i="29"/>
  <c r="R47" i="29"/>
  <c r="R49" i="29" s="1"/>
  <c r="AI26" i="29"/>
  <c r="Y28" i="29"/>
  <c r="AD28" i="29"/>
  <c r="AD47" i="29" s="1"/>
  <c r="AI19" i="29"/>
  <c r="AE19" i="29"/>
  <c r="AL19" i="29" s="1" a="1"/>
  <c r="AL19" i="29" s="1"/>
  <c r="AG19" i="29"/>
  <c r="AM19" i="29" s="1"/>
  <c r="AN16" i="29"/>
  <c r="AP16" i="29"/>
  <c r="I49" i="29"/>
  <c r="AE3" i="29"/>
  <c r="S49" i="29"/>
  <c r="AI17" i="29"/>
  <c r="AE17" i="29"/>
  <c r="AL17" i="29" s="1" a="1"/>
  <c r="AL17" i="29" s="1"/>
  <c r="AG17" i="29"/>
  <c r="AM17" i="29" s="1"/>
  <c r="AI4" i="29"/>
  <c r="AE4" i="29"/>
  <c r="AL4" i="29" s="1" a="1"/>
  <c r="AL4" i="29" s="1"/>
  <c r="AG4" i="29"/>
  <c r="U47" i="29"/>
  <c r="Y47" i="29" s="1"/>
  <c r="AA47" i="29"/>
  <c r="AD24" i="29"/>
  <c r="AI9" i="29"/>
  <c r="AE9" i="29"/>
  <c r="AL9" i="29" s="1" a="1"/>
  <c r="AL9" i="29" s="1"/>
  <c r="AG9" i="29"/>
  <c r="AM9" i="29" s="1"/>
  <c r="AK46" i="29"/>
  <c r="T6" i="28"/>
  <c r="R6" i="28"/>
  <c r="D4" i="27"/>
  <c r="D12" i="27"/>
  <c r="D20" i="27"/>
  <c r="D11" i="27"/>
  <c r="D19" i="27"/>
  <c r="E28" i="27"/>
  <c r="F28" i="27" s="1"/>
  <c r="D47" i="27"/>
  <c r="D7" i="27"/>
  <c r="D15" i="27"/>
  <c r="D23" i="27"/>
  <c r="D6" i="27"/>
  <c r="D14" i="27"/>
  <c r="D46" i="27"/>
  <c r="AA50" i="13"/>
  <c r="AA47" i="13"/>
  <c r="AA51" i="13"/>
  <c r="AE3" i="13"/>
  <c r="AE24" i="13"/>
  <c r="AE49" i="13" s="1"/>
  <c r="AD49" i="6"/>
  <c r="AD49" i="17"/>
  <c r="AD49" i="13"/>
  <c r="Z49" i="13"/>
  <c r="J36" i="19"/>
  <c r="J33" i="19"/>
  <c r="J37" i="19"/>
  <c r="J38" i="19"/>
  <c r="J39" i="19"/>
  <c r="J40" i="19"/>
  <c r="J41" i="19"/>
  <c r="J42" i="19"/>
  <c r="J31" i="19"/>
  <c r="J32" i="19"/>
  <c r="J34" i="19"/>
  <c r="J43" i="19"/>
  <c r="J44" i="19"/>
  <c r="J45" i="19"/>
  <c r="J46" i="19"/>
  <c r="J35" i="19"/>
  <c r="J30" i="19"/>
  <c r="J28" i="19"/>
  <c r="J47" i="19"/>
  <c r="J29" i="19"/>
  <c r="J5" i="19"/>
  <c r="J11" i="19"/>
  <c r="J6" i="19"/>
  <c r="J7" i="19"/>
  <c r="J12" i="19"/>
  <c r="J13" i="19"/>
  <c r="J14" i="19"/>
  <c r="J8" i="19"/>
  <c r="J15" i="19"/>
  <c r="J16" i="19"/>
  <c r="J9" i="19"/>
  <c r="J17" i="19"/>
  <c r="J18" i="19"/>
  <c r="J19" i="19"/>
  <c r="J20" i="19"/>
  <c r="J10" i="19"/>
  <c r="J21" i="19"/>
  <c r="J22" i="19"/>
  <c r="J23" i="19"/>
  <c r="J4" i="19"/>
  <c r="C44" i="19"/>
  <c r="C46" i="19"/>
  <c r="C33" i="19"/>
  <c r="C34" i="19"/>
  <c r="C35" i="19"/>
  <c r="C43" i="19"/>
  <c r="C36" i="19"/>
  <c r="C37" i="19"/>
  <c r="C30" i="19"/>
  <c r="C32" i="19"/>
  <c r="C31" i="19"/>
  <c r="C41" i="19"/>
  <c r="C38" i="19"/>
  <c r="C39" i="19"/>
  <c r="C42" i="19"/>
  <c r="C47" i="19"/>
  <c r="C28" i="19"/>
  <c r="C29" i="19"/>
  <c r="C40" i="19"/>
  <c r="C45" i="19"/>
  <c r="C6" i="19"/>
  <c r="C9" i="19"/>
  <c r="C4" i="19"/>
  <c r="C5" i="19"/>
  <c r="C10" i="19"/>
  <c r="C11" i="19"/>
  <c r="C12" i="19"/>
  <c r="C8" i="19"/>
  <c r="C13" i="19"/>
  <c r="C14" i="19"/>
  <c r="C23" i="19"/>
  <c r="C18" i="19"/>
  <c r="C21" i="19"/>
  <c r="C22" i="19"/>
  <c r="C19" i="19"/>
  <c r="C7" i="19"/>
  <c r="C15" i="19"/>
  <c r="C17" i="19"/>
  <c r="C16" i="19"/>
  <c r="C20" i="19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26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3" i="15"/>
  <c r="P3" i="15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26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3" i="14"/>
  <c r="P3" i="14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26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3" i="6"/>
  <c r="P3" i="6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26" i="17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3" i="17"/>
  <c r="P3" i="17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26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3" i="20"/>
  <c r="P3" i="20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26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3" i="21"/>
  <c r="P3" i="21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26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3" i="13"/>
  <c r="P3" i="13"/>
  <c r="S3" i="13"/>
  <c r="E30" i="75" l="1"/>
  <c r="F30" i="75" s="1"/>
  <c r="D50" i="75"/>
  <c r="F12" i="75"/>
  <c r="E13" i="75"/>
  <c r="M46" i="75"/>
  <c r="L47" i="75"/>
  <c r="M22" i="75"/>
  <c r="L23" i="75"/>
  <c r="D18" i="39"/>
  <c r="D9" i="39"/>
  <c r="D12" i="39"/>
  <c r="D4" i="39"/>
  <c r="D21" i="39"/>
  <c r="D7" i="39"/>
  <c r="D24" i="39"/>
  <c r="D25" i="39"/>
  <c r="E5" i="65"/>
  <c r="AM45" i="36"/>
  <c r="AP45" i="36"/>
  <c r="AN45" i="36"/>
  <c r="AN30" i="36"/>
  <c r="AN32" i="36"/>
  <c r="AN47" i="36"/>
  <c r="AM10" i="36"/>
  <c r="AN10" i="36"/>
  <c r="AN20" i="36"/>
  <c r="D47" i="39"/>
  <c r="D30" i="39"/>
  <c r="D32" i="39"/>
  <c r="D44" i="39"/>
  <c r="D43" i="39"/>
  <c r="D48" i="39"/>
  <c r="D36" i="39"/>
  <c r="D37" i="39"/>
  <c r="D38" i="39"/>
  <c r="D41" i="39"/>
  <c r="D40" i="39"/>
  <c r="D46" i="39"/>
  <c r="D45" i="39"/>
  <c r="D33" i="39"/>
  <c r="D31" i="39"/>
  <c r="D49" i="39"/>
  <c r="D42" i="39"/>
  <c r="D35" i="39"/>
  <c r="D39" i="39"/>
  <c r="D50" i="65"/>
  <c r="E30" i="65"/>
  <c r="AM20" i="29"/>
  <c r="AN25" i="37"/>
  <c r="E4" i="39"/>
  <c r="F4" i="39" s="1"/>
  <c r="D22" i="39"/>
  <c r="D17" i="39"/>
  <c r="D8" i="39"/>
  <c r="D11" i="39"/>
  <c r="D19" i="39"/>
  <c r="D23" i="39"/>
  <c r="D5" i="39"/>
  <c r="D10" i="39"/>
  <c r="D6" i="39"/>
  <c r="D13" i="39"/>
  <c r="D15" i="39"/>
  <c r="L79" i="2"/>
  <c r="G17" i="49" s="1"/>
  <c r="J4" i="43"/>
  <c r="L83" i="2"/>
  <c r="Y21" i="2"/>
  <c r="AA21" i="2"/>
  <c r="Y4" i="43" s="1"/>
  <c r="G27" i="43" s="1"/>
  <c r="AP22" i="36"/>
  <c r="AM14" i="36"/>
  <c r="AP14" i="36"/>
  <c r="C50" i="31"/>
  <c r="D49" i="31"/>
  <c r="L87" i="2"/>
  <c r="M17" i="43" s="1"/>
  <c r="J5" i="38"/>
  <c r="K17" i="38" s="1"/>
  <c r="L91" i="2"/>
  <c r="Y20" i="2"/>
  <c r="AA20" i="2"/>
  <c r="Y5" i="38" s="1"/>
  <c r="M27" i="38" s="1"/>
  <c r="AN18" i="36"/>
  <c r="AP17" i="36"/>
  <c r="AN11" i="36"/>
  <c r="AP23" i="36"/>
  <c r="AN21" i="36"/>
  <c r="AP13" i="36"/>
  <c r="AN13" i="36"/>
  <c r="AP15" i="36"/>
  <c r="AN15" i="36"/>
  <c r="AM6" i="36"/>
  <c r="AP6" i="36"/>
  <c r="AN12" i="36"/>
  <c r="L86" i="2"/>
  <c r="G17" i="43" s="1"/>
  <c r="J4" i="38"/>
  <c r="E17" i="38" s="1"/>
  <c r="L90" i="2"/>
  <c r="Y19" i="2"/>
  <c r="AA19" i="2"/>
  <c r="Y4" i="38" s="1"/>
  <c r="G27" i="38" s="1"/>
  <c r="C26" i="31"/>
  <c r="D21" i="31" s="1"/>
  <c r="F37" i="72"/>
  <c r="E38" i="72"/>
  <c r="F16" i="72"/>
  <c r="E17" i="72"/>
  <c r="M22" i="72"/>
  <c r="L23" i="72"/>
  <c r="G23" i="71"/>
  <c r="G17" i="71"/>
  <c r="F45" i="71"/>
  <c r="E46" i="71"/>
  <c r="F21" i="71"/>
  <c r="E22" i="71"/>
  <c r="M47" i="72"/>
  <c r="G47" i="72" s="1"/>
  <c r="L48" i="72"/>
  <c r="R97" i="2"/>
  <c r="G20" i="32" s="1"/>
  <c r="K4" i="1" s="1"/>
  <c r="AH9" i="2"/>
  <c r="M45" i="71"/>
  <c r="G45" i="71" s="1"/>
  <c r="L46" i="71"/>
  <c r="M24" i="71"/>
  <c r="L25" i="71"/>
  <c r="M25" i="71" s="1"/>
  <c r="G37" i="67"/>
  <c r="G42" i="67"/>
  <c r="G8" i="32"/>
  <c r="M43" i="67"/>
  <c r="L44" i="67"/>
  <c r="F19" i="67"/>
  <c r="E20" i="67"/>
  <c r="M18" i="67"/>
  <c r="G12" i="67" s="1"/>
  <c r="L19" i="67"/>
  <c r="F42" i="67"/>
  <c r="E43" i="67"/>
  <c r="M42" i="66"/>
  <c r="L43" i="66"/>
  <c r="M18" i="66"/>
  <c r="G12" i="66" s="1"/>
  <c r="L19" i="66"/>
  <c r="F43" i="66"/>
  <c r="E44" i="66"/>
  <c r="F17" i="66"/>
  <c r="E18" i="66"/>
  <c r="G33" i="65"/>
  <c r="L41" i="65"/>
  <c r="M40" i="65"/>
  <c r="M18" i="65"/>
  <c r="L19" i="65"/>
  <c r="F34" i="45"/>
  <c r="E35" i="45"/>
  <c r="G36" i="45"/>
  <c r="E9" i="45"/>
  <c r="E11" i="45"/>
  <c r="F8" i="45"/>
  <c r="G7" i="45"/>
  <c r="M17" i="64"/>
  <c r="L18" i="64"/>
  <c r="F41" i="64"/>
  <c r="E42" i="64"/>
  <c r="F17" i="64"/>
  <c r="E18" i="64"/>
  <c r="M41" i="64"/>
  <c r="L42" i="64"/>
  <c r="F31" i="42"/>
  <c r="E32" i="42"/>
  <c r="F6" i="42"/>
  <c r="E7" i="42"/>
  <c r="G31" i="42"/>
  <c r="G6" i="42"/>
  <c r="L33" i="31"/>
  <c r="L34" i="31" s="1"/>
  <c r="L5" i="31"/>
  <c r="M15" i="45"/>
  <c r="L16" i="45"/>
  <c r="M38" i="45"/>
  <c r="L39" i="45"/>
  <c r="M12" i="42"/>
  <c r="G8" i="42" s="1"/>
  <c r="L13" i="42"/>
  <c r="L37" i="42"/>
  <c r="M36" i="42"/>
  <c r="G33" i="42" s="1"/>
  <c r="E17" i="2"/>
  <c r="N97" i="2"/>
  <c r="L6" i="32"/>
  <c r="E23" i="32" s="1"/>
  <c r="N100" i="2"/>
  <c r="Y15" i="2"/>
  <c r="V4" i="32"/>
  <c r="X93" i="2"/>
  <c r="I6" i="32"/>
  <c r="E15" i="32" s="1"/>
  <c r="V97" i="2"/>
  <c r="O97" i="2"/>
  <c r="W97" i="2"/>
  <c r="M97" i="2"/>
  <c r="P97" i="2"/>
  <c r="Q97" i="2"/>
  <c r="U97" i="2"/>
  <c r="K100" i="2"/>
  <c r="S97" i="2"/>
  <c r="T97" i="2"/>
  <c r="Y16" i="2"/>
  <c r="V5" i="32"/>
  <c r="AB4" i="32"/>
  <c r="K18" i="2"/>
  <c r="AG9" i="2" s="1"/>
  <c r="H7" i="32"/>
  <c r="K22" i="32" s="1"/>
  <c r="J98" i="2"/>
  <c r="J101" i="2"/>
  <c r="Y5" i="32"/>
  <c r="M101" i="2"/>
  <c r="K7" i="32"/>
  <c r="K19" i="32" s="1"/>
  <c r="AD17" i="2"/>
  <c r="G22" i="32"/>
  <c r="K5" i="1" s="1"/>
  <c r="AB5" i="32"/>
  <c r="L8" i="31"/>
  <c r="V51" i="37"/>
  <c r="AD51" i="36"/>
  <c r="M32" i="39"/>
  <c r="L33" i="39"/>
  <c r="M7" i="39"/>
  <c r="L8" i="39"/>
  <c r="AP26" i="37"/>
  <c r="AP51" i="37" s="1"/>
  <c r="K59" i="37" s="1"/>
  <c r="L59" i="37" s="1"/>
  <c r="AE26" i="36"/>
  <c r="AL3" i="36"/>
  <c r="Y51" i="36"/>
  <c r="AE49" i="36"/>
  <c r="AL28" i="36" a="1"/>
  <c r="AL28" i="36" s="1"/>
  <c r="W51" i="36"/>
  <c r="AM48" i="36"/>
  <c r="L5" i="27"/>
  <c r="K48" i="27"/>
  <c r="L28" i="27"/>
  <c r="M28" i="27" s="1"/>
  <c r="M5" i="27"/>
  <c r="L6" i="27"/>
  <c r="L7" i="27" s="1"/>
  <c r="K24" i="27"/>
  <c r="D48" i="27"/>
  <c r="AM14" i="29"/>
  <c r="AN14" i="29"/>
  <c r="AA50" i="29"/>
  <c r="AK49" i="29" s="1"/>
  <c r="R18" i="2"/>
  <c r="R94" i="2" s="1"/>
  <c r="AM5" i="29"/>
  <c r="Y4" i="30"/>
  <c r="AD4" i="30"/>
  <c r="X105" i="2"/>
  <c r="G20" i="28"/>
  <c r="L5" i="1" s="1"/>
  <c r="M20" i="28"/>
  <c r="L13" i="1" s="1"/>
  <c r="M105" i="2"/>
  <c r="E14" i="2"/>
  <c r="Q104" i="2"/>
  <c r="W104" i="2"/>
  <c r="P104" i="2"/>
  <c r="I4" i="28"/>
  <c r="U104" i="2"/>
  <c r="L104" i="2"/>
  <c r="O104" i="2"/>
  <c r="AH8" i="2"/>
  <c r="S104" i="2"/>
  <c r="M104" i="2"/>
  <c r="AG8" i="2"/>
  <c r="T104" i="2"/>
  <c r="V104" i="2"/>
  <c r="N104" i="2"/>
  <c r="M17" i="28"/>
  <c r="L11" i="1" s="1"/>
  <c r="E13" i="2"/>
  <c r="M21" i="28"/>
  <c r="L14" i="1" s="1"/>
  <c r="I5" i="28"/>
  <c r="U105" i="2"/>
  <c r="Q105" i="2"/>
  <c r="R105" i="2"/>
  <c r="T105" i="2"/>
  <c r="AI8" i="2"/>
  <c r="V105" i="2"/>
  <c r="S105" i="2"/>
  <c r="O105" i="2"/>
  <c r="W105" i="2"/>
  <c r="L105" i="2"/>
  <c r="P105" i="2"/>
  <c r="R104" i="2"/>
  <c r="AN7" i="29"/>
  <c r="AP33" i="30"/>
  <c r="AN29" i="30"/>
  <c r="AN17" i="30"/>
  <c r="AM14" i="30"/>
  <c r="AP39" i="30"/>
  <c r="AM7" i="30"/>
  <c r="AP14" i="30"/>
  <c r="AP10" i="30"/>
  <c r="AA24" i="30"/>
  <c r="AA50" i="30" s="1"/>
  <c r="AK49" i="30" s="1"/>
  <c r="AN43" i="29"/>
  <c r="AN15" i="29"/>
  <c r="AM44" i="29"/>
  <c r="AN22" i="29"/>
  <c r="AP14" i="29"/>
  <c r="AP31" i="29"/>
  <c r="AN41" i="29"/>
  <c r="AP15" i="29"/>
  <c r="AP6" i="29"/>
  <c r="AN33" i="29"/>
  <c r="AN29" i="29"/>
  <c r="AM12" i="29"/>
  <c r="AN5" i="29"/>
  <c r="AN12" i="29"/>
  <c r="AM7" i="29"/>
  <c r="AP16" i="30"/>
  <c r="AN16" i="30"/>
  <c r="AP18" i="30"/>
  <c r="AN18" i="30"/>
  <c r="AP32" i="29"/>
  <c r="AN32" i="29"/>
  <c r="AE28" i="29"/>
  <c r="AL28" i="29" s="1" a="1"/>
  <c r="AL28" i="29" s="1"/>
  <c r="AM28" i="29" s="1"/>
  <c r="AI23" i="29"/>
  <c r="AN45" i="30"/>
  <c r="AN44" i="29"/>
  <c r="AD49" i="29"/>
  <c r="AP18" i="29"/>
  <c r="AN18" i="29"/>
  <c r="M33" i="31"/>
  <c r="AP22" i="30"/>
  <c r="AN22" i="30"/>
  <c r="AP42" i="30"/>
  <c r="AN42" i="30"/>
  <c r="AP38" i="30"/>
  <c r="AN38" i="30"/>
  <c r="AP7" i="30"/>
  <c r="AN7" i="30"/>
  <c r="AP44" i="30"/>
  <c r="AN44" i="30"/>
  <c r="AP5" i="30"/>
  <c r="AN5" i="30"/>
  <c r="AP34" i="30"/>
  <c r="AN34" i="30"/>
  <c r="U49" i="30"/>
  <c r="AI23" i="30"/>
  <c r="AG23" i="30"/>
  <c r="AG46" i="30"/>
  <c r="AM26" i="30"/>
  <c r="AM46" i="30" s="1"/>
  <c r="AI46" i="30"/>
  <c r="AP30" i="30"/>
  <c r="AN30" i="30"/>
  <c r="AP36" i="30"/>
  <c r="AN36" i="30"/>
  <c r="AD47" i="30"/>
  <c r="R49" i="30"/>
  <c r="W47" i="30"/>
  <c r="AE26" i="30"/>
  <c r="W24" i="30"/>
  <c r="AE3" i="30"/>
  <c r="AP19" i="29"/>
  <c r="AN19" i="29"/>
  <c r="AP34" i="29"/>
  <c r="AN34" i="29"/>
  <c r="AP40" i="29"/>
  <c r="AN40" i="29"/>
  <c r="AP42" i="29"/>
  <c r="AN42" i="29"/>
  <c r="AP30" i="29"/>
  <c r="AN30" i="29"/>
  <c r="AP13" i="29"/>
  <c r="AN13" i="29"/>
  <c r="AP8" i="29"/>
  <c r="AN8" i="29"/>
  <c r="AP17" i="29"/>
  <c r="AN17" i="29"/>
  <c r="AG46" i="29"/>
  <c r="AM26" i="29"/>
  <c r="AP4" i="29"/>
  <c r="AN4" i="29"/>
  <c r="AM4" i="29"/>
  <c r="AG23" i="29"/>
  <c r="AI46" i="29"/>
  <c r="U49" i="29"/>
  <c r="AP9" i="29"/>
  <c r="AN9" i="29"/>
  <c r="AP38" i="29"/>
  <c r="AN38" i="29"/>
  <c r="I57" i="29"/>
  <c r="J57" i="29" s="1"/>
  <c r="J56" i="29"/>
  <c r="J58" i="29"/>
  <c r="L93" i="2"/>
  <c r="L18" i="2"/>
  <c r="AE26" i="29"/>
  <c r="AE24" i="29"/>
  <c r="AL3" i="29"/>
  <c r="AM3" i="29" s="1"/>
  <c r="M6" i="27"/>
  <c r="G6" i="27" s="1"/>
  <c r="L29" i="27"/>
  <c r="D24" i="27"/>
  <c r="E4" i="27"/>
  <c r="E29" i="27"/>
  <c r="H27" i="26"/>
  <c r="D4" i="26"/>
  <c r="E4" i="26"/>
  <c r="M4" i="26"/>
  <c r="N4" i="26"/>
  <c r="O4" i="26"/>
  <c r="Q4" i="26"/>
  <c r="R4" i="26"/>
  <c r="S4" i="26"/>
  <c r="T4" i="26"/>
  <c r="U4" i="26"/>
  <c r="D5" i="26"/>
  <c r="E5" i="26"/>
  <c r="M5" i="26"/>
  <c r="N5" i="26"/>
  <c r="O5" i="26"/>
  <c r="Q5" i="26"/>
  <c r="R5" i="26"/>
  <c r="S5" i="26"/>
  <c r="T5" i="26"/>
  <c r="U5" i="26"/>
  <c r="C5" i="26"/>
  <c r="C4" i="26"/>
  <c r="O114" i="2"/>
  <c r="P114" i="2"/>
  <c r="Q114" i="2"/>
  <c r="S114" i="2"/>
  <c r="T114" i="2"/>
  <c r="U114" i="2"/>
  <c r="V114" i="2"/>
  <c r="W114" i="2"/>
  <c r="O115" i="2"/>
  <c r="P115" i="2"/>
  <c r="Q115" i="2"/>
  <c r="S115" i="2"/>
  <c r="T115" i="2"/>
  <c r="U115" i="2"/>
  <c r="V115" i="2"/>
  <c r="W115" i="2"/>
  <c r="N12" i="2"/>
  <c r="M12" i="2"/>
  <c r="K5" i="26" s="1"/>
  <c r="J12" i="2"/>
  <c r="I12" i="2"/>
  <c r="G5" i="26" s="1"/>
  <c r="N11" i="2"/>
  <c r="N107" i="2" s="1"/>
  <c r="M11" i="2"/>
  <c r="M107" i="2" s="1"/>
  <c r="J11" i="2"/>
  <c r="J48" i="25"/>
  <c r="K42" i="25" s="1"/>
  <c r="C48" i="25"/>
  <c r="D45" i="25" s="1"/>
  <c r="K46" i="25"/>
  <c r="K44" i="25"/>
  <c r="K36" i="25"/>
  <c r="D36" i="25"/>
  <c r="K35" i="25"/>
  <c r="K33" i="25"/>
  <c r="K32" i="25"/>
  <c r="K31" i="25"/>
  <c r="K30" i="25"/>
  <c r="K29" i="25"/>
  <c r="J24" i="25"/>
  <c r="K20" i="25" s="1"/>
  <c r="C24" i="25"/>
  <c r="D22" i="25" s="1"/>
  <c r="F13" i="75" l="1"/>
  <c r="E14" i="75"/>
  <c r="E31" i="75"/>
  <c r="G16" i="75"/>
  <c r="G22" i="75"/>
  <c r="M23" i="75"/>
  <c r="G15" i="75" s="1"/>
  <c r="L24" i="75"/>
  <c r="M47" i="75"/>
  <c r="G40" i="75" s="1"/>
  <c r="L48" i="75"/>
  <c r="E5" i="39"/>
  <c r="F5" i="39" s="1"/>
  <c r="F5" i="65"/>
  <c r="E6" i="65"/>
  <c r="M5" i="31"/>
  <c r="G5" i="31" s="1"/>
  <c r="L6" i="31"/>
  <c r="E30" i="39"/>
  <c r="F30" i="39" s="1"/>
  <c r="D50" i="39"/>
  <c r="F30" i="65"/>
  <c r="E31" i="65"/>
  <c r="J8" i="43"/>
  <c r="E17" i="43"/>
  <c r="D26" i="39"/>
  <c r="W4" i="43"/>
  <c r="AB21" i="2"/>
  <c r="Z4" i="43" s="1"/>
  <c r="G25" i="43" s="1"/>
  <c r="I7" i="1" s="1"/>
  <c r="AC21" i="2"/>
  <c r="AA4" i="43" s="1"/>
  <c r="G26" i="43" s="1"/>
  <c r="I8" i="1" s="1"/>
  <c r="Y79" i="2"/>
  <c r="G16" i="49" s="1"/>
  <c r="Y87" i="2"/>
  <c r="M16" i="43" s="1"/>
  <c r="W5" i="38"/>
  <c r="K16" i="38" s="1"/>
  <c r="J17" i="1" s="1"/>
  <c r="AB20" i="2"/>
  <c r="Z5" i="38" s="1"/>
  <c r="M25" i="38" s="1"/>
  <c r="J15" i="1" s="1"/>
  <c r="AC20" i="2"/>
  <c r="AA5" i="38" s="1"/>
  <c r="M26" i="38" s="1"/>
  <c r="J16" i="1" s="1"/>
  <c r="D47" i="31"/>
  <c r="D35" i="31"/>
  <c r="D30" i="31"/>
  <c r="D39" i="31"/>
  <c r="D42" i="31"/>
  <c r="D45" i="31"/>
  <c r="D32" i="31"/>
  <c r="D46" i="31"/>
  <c r="D33" i="31"/>
  <c r="D34" i="31"/>
  <c r="D40" i="31"/>
  <c r="D44" i="31"/>
  <c r="D36" i="31"/>
  <c r="D41" i="31"/>
  <c r="D37" i="31"/>
  <c r="D38" i="31"/>
  <c r="D31" i="31"/>
  <c r="D48" i="31"/>
  <c r="D43" i="31"/>
  <c r="D23" i="31"/>
  <c r="D6" i="31"/>
  <c r="D7" i="31"/>
  <c r="D12" i="31"/>
  <c r="D25" i="31"/>
  <c r="D11" i="31"/>
  <c r="D22" i="31"/>
  <c r="D5" i="31"/>
  <c r="D13" i="31"/>
  <c r="D9" i="31"/>
  <c r="D15" i="31"/>
  <c r="D20" i="31"/>
  <c r="D17" i="31"/>
  <c r="D8" i="31"/>
  <c r="D16" i="31"/>
  <c r="D10" i="31"/>
  <c r="D4" i="31"/>
  <c r="D18" i="31"/>
  <c r="D19" i="31"/>
  <c r="D14" i="31"/>
  <c r="D24" i="31"/>
  <c r="Y86" i="2"/>
  <c r="G16" i="43" s="1"/>
  <c r="W4" i="38"/>
  <c r="E16" i="38" s="1"/>
  <c r="J9" i="1" s="1"/>
  <c r="AB19" i="2"/>
  <c r="Z4" i="38" s="1"/>
  <c r="G25" i="38" s="1"/>
  <c r="J7" i="1" s="1"/>
  <c r="AC19" i="2"/>
  <c r="AA4" i="38" s="1"/>
  <c r="G26" i="38" s="1"/>
  <c r="J8" i="1" s="1"/>
  <c r="L94" i="2"/>
  <c r="M17" i="38" s="1"/>
  <c r="L35" i="2"/>
  <c r="W53" i="74" s="1"/>
  <c r="W54" i="74" s="1"/>
  <c r="E39" i="72"/>
  <c r="F38" i="72"/>
  <c r="F17" i="72"/>
  <c r="E18" i="72"/>
  <c r="G22" i="72"/>
  <c r="G16" i="72"/>
  <c r="G46" i="72"/>
  <c r="M23" i="72"/>
  <c r="L24" i="72"/>
  <c r="G24" i="71"/>
  <c r="G18" i="71"/>
  <c r="G25" i="71"/>
  <c r="G19" i="71"/>
  <c r="F46" i="71"/>
  <c r="E47" i="71"/>
  <c r="F22" i="71"/>
  <c r="E23" i="71"/>
  <c r="M48" i="72"/>
  <c r="L49" i="72"/>
  <c r="M49" i="72" s="1"/>
  <c r="M46" i="71"/>
  <c r="G46" i="71" s="1"/>
  <c r="L47" i="71"/>
  <c r="G43" i="67"/>
  <c r="G37" i="66"/>
  <c r="F43" i="67"/>
  <c r="E44" i="67"/>
  <c r="M19" i="67"/>
  <c r="L20" i="67"/>
  <c r="F20" i="67"/>
  <c r="E21" i="67"/>
  <c r="M44" i="67"/>
  <c r="L45" i="67"/>
  <c r="F18" i="66"/>
  <c r="E19" i="66"/>
  <c r="F44" i="66"/>
  <c r="E45" i="66"/>
  <c r="M19" i="66"/>
  <c r="G13" i="66" s="1"/>
  <c r="L20" i="66"/>
  <c r="M43" i="66"/>
  <c r="G42" i="66" s="1"/>
  <c r="L44" i="66"/>
  <c r="G18" i="65"/>
  <c r="G9" i="65"/>
  <c r="G34" i="65"/>
  <c r="M41" i="65"/>
  <c r="G35" i="65" s="1"/>
  <c r="L42" i="65"/>
  <c r="M19" i="65"/>
  <c r="G19" i="65" s="1"/>
  <c r="L20" i="65"/>
  <c r="F35" i="45"/>
  <c r="E36" i="45"/>
  <c r="G37" i="45"/>
  <c r="F11" i="45"/>
  <c r="E12" i="45"/>
  <c r="F9" i="45"/>
  <c r="E10" i="45"/>
  <c r="F10" i="45" s="1"/>
  <c r="G8" i="45"/>
  <c r="M18" i="64"/>
  <c r="G12" i="64" s="1"/>
  <c r="L19" i="64"/>
  <c r="M42" i="64"/>
  <c r="L43" i="64"/>
  <c r="F18" i="64"/>
  <c r="E19" i="64"/>
  <c r="F42" i="64"/>
  <c r="E43" i="64"/>
  <c r="X94" i="2"/>
  <c r="F32" i="42"/>
  <c r="E33" i="42"/>
  <c r="F7" i="42"/>
  <c r="E8" i="42"/>
  <c r="G30" i="42"/>
  <c r="G5" i="39"/>
  <c r="M39" i="45"/>
  <c r="L40" i="45"/>
  <c r="M16" i="45"/>
  <c r="L17" i="45"/>
  <c r="G17" i="38"/>
  <c r="M98" i="2"/>
  <c r="M19" i="32" s="1"/>
  <c r="K11" i="1" s="1"/>
  <c r="K94" i="2"/>
  <c r="M37" i="42"/>
  <c r="G34" i="42" s="1"/>
  <c r="L38" i="42"/>
  <c r="M13" i="42"/>
  <c r="L14" i="42"/>
  <c r="K8" i="32"/>
  <c r="X97" i="2"/>
  <c r="V6" i="32"/>
  <c r="X100" i="2"/>
  <c r="L8" i="32"/>
  <c r="AB6" i="32"/>
  <c r="G15" i="32"/>
  <c r="E18" i="2"/>
  <c r="P7" i="32"/>
  <c r="K20" i="32" s="1"/>
  <c r="R98" i="2"/>
  <c r="AD18" i="2"/>
  <c r="R101" i="2"/>
  <c r="M22" i="32"/>
  <c r="K13" i="1" s="1"/>
  <c r="H8" i="32"/>
  <c r="K8" i="38"/>
  <c r="G19" i="32"/>
  <c r="K3" i="1" s="1"/>
  <c r="G23" i="32"/>
  <c r="K6" i="1" s="1"/>
  <c r="H8" i="38"/>
  <c r="AC16" i="2"/>
  <c r="W5" i="32"/>
  <c r="AB16" i="2"/>
  <c r="L8" i="38"/>
  <c r="J7" i="32"/>
  <c r="K17" i="32" s="1"/>
  <c r="L98" i="2"/>
  <c r="AA18" i="2"/>
  <c r="L101" i="2"/>
  <c r="AB15" i="2"/>
  <c r="AC15" i="2"/>
  <c r="W4" i="32"/>
  <c r="F6" i="32"/>
  <c r="I8" i="38"/>
  <c r="I7" i="32"/>
  <c r="S98" i="2"/>
  <c r="T98" i="2"/>
  <c r="K101" i="2"/>
  <c r="U98" i="2"/>
  <c r="V98" i="2"/>
  <c r="O98" i="2"/>
  <c r="W98" i="2"/>
  <c r="P98" i="2"/>
  <c r="Q98" i="2"/>
  <c r="N98" i="2"/>
  <c r="AI9" i="2"/>
  <c r="V8" i="38"/>
  <c r="Y17" i="2"/>
  <c r="L97" i="2"/>
  <c r="J6" i="32"/>
  <c r="E17" i="32" s="1"/>
  <c r="L100" i="2"/>
  <c r="AA17" i="2"/>
  <c r="M8" i="31"/>
  <c r="L9" i="31"/>
  <c r="M33" i="39"/>
  <c r="L34" i="39"/>
  <c r="M8" i="39"/>
  <c r="L9" i="39"/>
  <c r="V26" i="36"/>
  <c r="V49" i="36"/>
  <c r="AL48" i="36"/>
  <c r="AP28" i="36"/>
  <c r="AP49" i="36" s="1"/>
  <c r="AN28" i="36"/>
  <c r="AN48" i="36" s="1"/>
  <c r="AL25" i="36"/>
  <c r="AP3" i="36"/>
  <c r="AN3" i="36"/>
  <c r="AN25" i="36" s="1"/>
  <c r="AM3" i="36"/>
  <c r="AM25" i="36" s="1"/>
  <c r="AE51" i="36"/>
  <c r="V5" i="28"/>
  <c r="Y14" i="2"/>
  <c r="W5" i="28" s="1"/>
  <c r="AE4" i="30"/>
  <c r="AL4" i="30" s="1" a="1"/>
  <c r="AL4" i="30" s="1"/>
  <c r="AD24" i="30"/>
  <c r="AD49" i="30" s="1"/>
  <c r="N6" i="26"/>
  <c r="U6" i="26"/>
  <c r="L4" i="26"/>
  <c r="J108" i="2"/>
  <c r="F5" i="28"/>
  <c r="J112" i="2"/>
  <c r="M20" i="26" s="1"/>
  <c r="M13" i="1" s="1"/>
  <c r="M18" i="28"/>
  <c r="L12" i="1" s="1"/>
  <c r="F4" i="28"/>
  <c r="G18" i="28"/>
  <c r="L4" i="1" s="1"/>
  <c r="O6" i="26"/>
  <c r="Y13" i="2"/>
  <c r="V4" i="28"/>
  <c r="X104" i="2"/>
  <c r="G17" i="28"/>
  <c r="L3" i="1" s="1"/>
  <c r="K21" i="28"/>
  <c r="N108" i="2"/>
  <c r="G21" i="28"/>
  <c r="L6" i="1" s="1"/>
  <c r="K17" i="28"/>
  <c r="M108" i="2"/>
  <c r="V26" i="30"/>
  <c r="V42" i="30"/>
  <c r="V28" i="30"/>
  <c r="V37" i="30"/>
  <c r="V38" i="30"/>
  <c r="V30" i="30"/>
  <c r="V35" i="30"/>
  <c r="V40" i="30"/>
  <c r="V32" i="30"/>
  <c r="V33" i="30"/>
  <c r="V45" i="30"/>
  <c r="V31" i="30"/>
  <c r="V34" i="30"/>
  <c r="V43" i="30"/>
  <c r="V29" i="30"/>
  <c r="V27" i="30"/>
  <c r="V36" i="30"/>
  <c r="V44" i="30"/>
  <c r="V41" i="30"/>
  <c r="V39" i="30"/>
  <c r="V20" i="30"/>
  <c r="V13" i="30"/>
  <c r="V22" i="30"/>
  <c r="V15" i="30"/>
  <c r="V4" i="30"/>
  <c r="V10" i="30"/>
  <c r="V19" i="30"/>
  <c r="V18" i="30"/>
  <c r="V12" i="30"/>
  <c r="V11" i="30"/>
  <c r="V16" i="30"/>
  <c r="V6" i="30"/>
  <c r="V21" i="30"/>
  <c r="V8" i="30"/>
  <c r="V5" i="30"/>
  <c r="V17" i="30"/>
  <c r="V9" i="30"/>
  <c r="V7" i="30"/>
  <c r="V14" i="30"/>
  <c r="AN28" i="29"/>
  <c r="AM46" i="29"/>
  <c r="AP28" i="29"/>
  <c r="AM23" i="29"/>
  <c r="M34" i="31"/>
  <c r="L35" i="31"/>
  <c r="W49" i="30"/>
  <c r="AE47" i="30"/>
  <c r="AL26" i="30" a="1"/>
  <c r="AL26" i="30" s="1"/>
  <c r="V3" i="30"/>
  <c r="Y49" i="30"/>
  <c r="AE24" i="30"/>
  <c r="AL3" i="30"/>
  <c r="AM3" i="30" s="1"/>
  <c r="AM23" i="30" s="1"/>
  <c r="AL23" i="29"/>
  <c r="AP3" i="29"/>
  <c r="AN3" i="29"/>
  <c r="AN23" i="29" s="1"/>
  <c r="V18" i="29"/>
  <c r="V16" i="29"/>
  <c r="V31" i="29"/>
  <c r="V4" i="29"/>
  <c r="V19" i="29"/>
  <c r="V26" i="29"/>
  <c r="V17" i="29"/>
  <c r="V44" i="29"/>
  <c r="V45" i="29"/>
  <c r="V5" i="29"/>
  <c r="V12" i="29"/>
  <c r="V22" i="29"/>
  <c r="V10" i="29"/>
  <c r="V36" i="29"/>
  <c r="V42" i="29"/>
  <c r="V29" i="29"/>
  <c r="V21" i="29"/>
  <c r="V34" i="29"/>
  <c r="V30" i="29"/>
  <c r="V43" i="29"/>
  <c r="V20" i="29"/>
  <c r="V37" i="29"/>
  <c r="V32" i="29"/>
  <c r="V3" i="29"/>
  <c r="V7" i="29"/>
  <c r="V39" i="29"/>
  <c r="V38" i="29"/>
  <c r="V35" i="29"/>
  <c r="V8" i="29"/>
  <c r="V13" i="29"/>
  <c r="V9" i="29"/>
  <c r="V33" i="29"/>
  <c r="V27" i="29"/>
  <c r="V41" i="29"/>
  <c r="V11" i="29"/>
  <c r="V6" i="29"/>
  <c r="V14" i="29"/>
  <c r="V15" i="29"/>
  <c r="V40" i="29"/>
  <c r="Y49" i="29"/>
  <c r="V28" i="29"/>
  <c r="AE47" i="29"/>
  <c r="AE49" i="29" s="1"/>
  <c r="AL26" i="29" a="1"/>
  <c r="AL26" i="29" s="1"/>
  <c r="D5" i="25"/>
  <c r="D40" i="25"/>
  <c r="D32" i="25"/>
  <c r="K43" i="25"/>
  <c r="K47" i="25"/>
  <c r="K28" i="25"/>
  <c r="L28" i="25" s="1"/>
  <c r="M28" i="25" s="1"/>
  <c r="K39" i="25"/>
  <c r="K41" i="25"/>
  <c r="K37" i="25"/>
  <c r="K38" i="25"/>
  <c r="K45" i="25"/>
  <c r="K34" i="25"/>
  <c r="K40" i="25"/>
  <c r="L29" i="25"/>
  <c r="M29" i="25" s="1"/>
  <c r="K7" i="25"/>
  <c r="K8" i="25"/>
  <c r="K9" i="25"/>
  <c r="K17" i="25"/>
  <c r="K5" i="25"/>
  <c r="K21" i="25"/>
  <c r="K23" i="25"/>
  <c r="K13" i="25"/>
  <c r="K15" i="25"/>
  <c r="K4" i="25"/>
  <c r="L4" i="25" s="1"/>
  <c r="M4" i="25" s="1"/>
  <c r="K16" i="25"/>
  <c r="K6" i="25"/>
  <c r="K14" i="25"/>
  <c r="K22" i="25"/>
  <c r="K10" i="25"/>
  <c r="K18" i="25"/>
  <c r="K11" i="25"/>
  <c r="K19" i="25"/>
  <c r="K12" i="25"/>
  <c r="D44" i="25"/>
  <c r="D31" i="25"/>
  <c r="D35" i="25"/>
  <c r="D39" i="25"/>
  <c r="D29" i="25"/>
  <c r="D33" i="25"/>
  <c r="D37" i="25"/>
  <c r="D30" i="25"/>
  <c r="D34" i="25"/>
  <c r="D38" i="25"/>
  <c r="D41" i="25"/>
  <c r="D42" i="25"/>
  <c r="D43" i="25"/>
  <c r="D28" i="25"/>
  <c r="E28" i="25" s="1"/>
  <c r="D21" i="25"/>
  <c r="D9" i="25"/>
  <c r="D13" i="25"/>
  <c r="D17" i="25"/>
  <c r="D6" i="25"/>
  <c r="D10" i="25"/>
  <c r="D14" i="25"/>
  <c r="D18" i="25"/>
  <c r="D23" i="25"/>
  <c r="D7" i="25"/>
  <c r="D11" i="25"/>
  <c r="D15" i="25"/>
  <c r="D19" i="25"/>
  <c r="D12" i="25"/>
  <c r="D20" i="25"/>
  <c r="D4" i="25"/>
  <c r="E4" i="25" s="1"/>
  <c r="D8" i="25"/>
  <c r="D16" i="25"/>
  <c r="K12" i="2"/>
  <c r="K108" i="2" s="1"/>
  <c r="K20" i="28"/>
  <c r="L5" i="26"/>
  <c r="T6" i="26"/>
  <c r="K4" i="26"/>
  <c r="S6" i="26"/>
  <c r="H4" i="26"/>
  <c r="H6" i="28"/>
  <c r="E20" i="28"/>
  <c r="R6" i="26"/>
  <c r="H5" i="26"/>
  <c r="E21" i="28"/>
  <c r="L6" i="28"/>
  <c r="E17" i="28"/>
  <c r="K6" i="28"/>
  <c r="M6" i="26"/>
  <c r="F4" i="27"/>
  <c r="E5" i="27"/>
  <c r="M29" i="27"/>
  <c r="G29" i="27" s="1"/>
  <c r="L30" i="27"/>
  <c r="M7" i="27"/>
  <c r="G7" i="27" s="1"/>
  <c r="L8" i="27"/>
  <c r="F29" i="27"/>
  <c r="E30" i="27"/>
  <c r="Q6" i="26"/>
  <c r="D47" i="25"/>
  <c r="D46" i="25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26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3" i="17"/>
  <c r="D4" i="24"/>
  <c r="E4" i="24"/>
  <c r="M4" i="24"/>
  <c r="N4" i="24"/>
  <c r="O4" i="24"/>
  <c r="Q4" i="24"/>
  <c r="R4" i="24"/>
  <c r="S4" i="24"/>
  <c r="T4" i="24"/>
  <c r="U4" i="24"/>
  <c r="D5" i="24"/>
  <c r="E5" i="24"/>
  <c r="M5" i="24"/>
  <c r="N5" i="24"/>
  <c r="O5" i="24"/>
  <c r="Q5" i="24"/>
  <c r="R5" i="24"/>
  <c r="S5" i="24"/>
  <c r="T5" i="24"/>
  <c r="U5" i="24"/>
  <c r="C5" i="24"/>
  <c r="C4" i="24"/>
  <c r="N4" i="2"/>
  <c r="M4" i="2"/>
  <c r="J4" i="2"/>
  <c r="I4" i="2"/>
  <c r="N3" i="2"/>
  <c r="M3" i="2"/>
  <c r="J3" i="2"/>
  <c r="I3" i="2"/>
  <c r="I6" i="2"/>
  <c r="K47" i="21"/>
  <c r="Z45" i="21"/>
  <c r="X45" i="21"/>
  <c r="T45" i="21"/>
  <c r="S45" i="21"/>
  <c r="P45" i="21"/>
  <c r="Z44" i="21"/>
  <c r="X44" i="21"/>
  <c r="T44" i="21"/>
  <c r="S44" i="21"/>
  <c r="P44" i="21"/>
  <c r="Z43" i="21"/>
  <c r="X43" i="21"/>
  <c r="T43" i="21"/>
  <c r="S43" i="21"/>
  <c r="U43" i="21" s="1"/>
  <c r="P43" i="21"/>
  <c r="Z42" i="21"/>
  <c r="X42" i="21"/>
  <c r="T42" i="21"/>
  <c r="S42" i="21"/>
  <c r="P42" i="21"/>
  <c r="AK42" i="21" s="1"/>
  <c r="Z41" i="21"/>
  <c r="X41" i="21"/>
  <c r="T41" i="21"/>
  <c r="S41" i="21"/>
  <c r="P41" i="21"/>
  <c r="Z40" i="21"/>
  <c r="X40" i="21"/>
  <c r="T40" i="21"/>
  <c r="S40" i="21"/>
  <c r="P40" i="21"/>
  <c r="Z39" i="21"/>
  <c r="X39" i="21"/>
  <c r="T39" i="21"/>
  <c r="S39" i="21"/>
  <c r="U39" i="21" s="1"/>
  <c r="P39" i="21"/>
  <c r="Z38" i="21"/>
  <c r="X38" i="21"/>
  <c r="T38" i="21"/>
  <c r="S38" i="21"/>
  <c r="P38" i="21"/>
  <c r="Z37" i="21"/>
  <c r="X37" i="21"/>
  <c r="T37" i="21"/>
  <c r="S37" i="21"/>
  <c r="P37" i="21"/>
  <c r="Z36" i="21"/>
  <c r="X36" i="21"/>
  <c r="T36" i="21"/>
  <c r="S36" i="21"/>
  <c r="P36" i="21"/>
  <c r="Z35" i="21"/>
  <c r="X35" i="21"/>
  <c r="T35" i="21"/>
  <c r="S35" i="21"/>
  <c r="U35" i="21" s="1"/>
  <c r="Y35" i="21" s="1"/>
  <c r="P35" i="21"/>
  <c r="Z34" i="21"/>
  <c r="X34" i="21"/>
  <c r="T34" i="21"/>
  <c r="S34" i="21"/>
  <c r="P34" i="21"/>
  <c r="R34" i="21" s="1"/>
  <c r="Z33" i="21"/>
  <c r="X33" i="21"/>
  <c r="T33" i="21"/>
  <c r="S33" i="21"/>
  <c r="P33" i="21"/>
  <c r="Z32" i="21"/>
  <c r="X32" i="21"/>
  <c r="T32" i="21"/>
  <c r="S32" i="21"/>
  <c r="P32" i="21"/>
  <c r="Z31" i="21"/>
  <c r="X31" i="21"/>
  <c r="T31" i="21"/>
  <c r="S31" i="21"/>
  <c r="P31" i="21"/>
  <c r="Z30" i="21"/>
  <c r="X30" i="21"/>
  <c r="T30" i="21"/>
  <c r="S30" i="21"/>
  <c r="P30" i="21"/>
  <c r="AJ30" i="21" s="1"/>
  <c r="Z29" i="21"/>
  <c r="X29" i="21"/>
  <c r="T29" i="21"/>
  <c r="S29" i="21"/>
  <c r="P29" i="21"/>
  <c r="Z28" i="21"/>
  <c r="X28" i="21"/>
  <c r="T28" i="21"/>
  <c r="S28" i="21"/>
  <c r="P28" i="21"/>
  <c r="Z27" i="21"/>
  <c r="X27" i="21"/>
  <c r="T27" i="21"/>
  <c r="S27" i="21"/>
  <c r="P27" i="21"/>
  <c r="AJ27" i="21" s="1"/>
  <c r="Z26" i="21"/>
  <c r="X26" i="21"/>
  <c r="T26" i="21"/>
  <c r="S26" i="21"/>
  <c r="P26" i="21"/>
  <c r="AK26" i="21" s="1"/>
  <c r="Z22" i="21"/>
  <c r="X22" i="21"/>
  <c r="T22" i="21"/>
  <c r="S22" i="21"/>
  <c r="P22" i="21"/>
  <c r="Z21" i="21"/>
  <c r="X21" i="21"/>
  <c r="T21" i="21"/>
  <c r="S21" i="21"/>
  <c r="U21" i="21" s="1"/>
  <c r="P21" i="21"/>
  <c r="Z20" i="21"/>
  <c r="X20" i="21"/>
  <c r="T20" i="21"/>
  <c r="S20" i="21"/>
  <c r="P20" i="21"/>
  <c r="R20" i="21" s="1"/>
  <c r="Z19" i="21"/>
  <c r="X19" i="21"/>
  <c r="T19" i="21"/>
  <c r="S19" i="21"/>
  <c r="P19" i="21"/>
  <c r="R19" i="21" s="1"/>
  <c r="Z18" i="21"/>
  <c r="X18" i="21"/>
  <c r="T18" i="21"/>
  <c r="U18" i="21" s="1"/>
  <c r="S18" i="21"/>
  <c r="P18" i="21"/>
  <c r="Z17" i="21"/>
  <c r="X17" i="21"/>
  <c r="T17" i="21"/>
  <c r="S17" i="21"/>
  <c r="U17" i="21" s="1"/>
  <c r="R17" i="21"/>
  <c r="P17" i="21"/>
  <c r="Z16" i="21"/>
  <c r="X16" i="21"/>
  <c r="T16" i="21"/>
  <c r="S16" i="21"/>
  <c r="U16" i="21" s="1"/>
  <c r="P16" i="21"/>
  <c r="Z15" i="21"/>
  <c r="X15" i="21"/>
  <c r="T15" i="21"/>
  <c r="S15" i="21"/>
  <c r="P15" i="21"/>
  <c r="R15" i="21" s="1"/>
  <c r="Z14" i="21"/>
  <c r="X14" i="21"/>
  <c r="T14" i="21"/>
  <c r="S14" i="21"/>
  <c r="P14" i="21"/>
  <c r="Z13" i="21"/>
  <c r="X13" i="21"/>
  <c r="T13" i="21"/>
  <c r="S13" i="21"/>
  <c r="P13" i="21"/>
  <c r="Z12" i="21"/>
  <c r="X12" i="21"/>
  <c r="T12" i="21"/>
  <c r="S12" i="21"/>
  <c r="U12" i="21" s="1"/>
  <c r="P12" i="21"/>
  <c r="Z11" i="21"/>
  <c r="X11" i="21"/>
  <c r="T11" i="21"/>
  <c r="S11" i="21"/>
  <c r="P11" i="21"/>
  <c r="R11" i="21" s="1"/>
  <c r="Z10" i="21"/>
  <c r="X10" i="21"/>
  <c r="T10" i="21"/>
  <c r="U10" i="21" s="1"/>
  <c r="S10" i="21"/>
  <c r="P10" i="21"/>
  <c r="Z9" i="21"/>
  <c r="X9" i="21"/>
  <c r="T9" i="21"/>
  <c r="S9" i="21"/>
  <c r="U9" i="21" s="1"/>
  <c r="R9" i="21"/>
  <c r="P9" i="21"/>
  <c r="Z8" i="21"/>
  <c r="X8" i="21"/>
  <c r="T8" i="21"/>
  <c r="S8" i="21"/>
  <c r="U8" i="21" s="1"/>
  <c r="P8" i="21"/>
  <c r="Z7" i="21"/>
  <c r="X7" i="21"/>
  <c r="T7" i="21"/>
  <c r="S7" i="21"/>
  <c r="P7" i="21"/>
  <c r="AJ7" i="21" s="1"/>
  <c r="Z6" i="21"/>
  <c r="X6" i="21"/>
  <c r="T6" i="21"/>
  <c r="U6" i="21" s="1"/>
  <c r="S6" i="21"/>
  <c r="P6" i="21"/>
  <c r="AJ6" i="21" s="1"/>
  <c r="Z5" i="21"/>
  <c r="X5" i="21"/>
  <c r="X24" i="21" s="1"/>
  <c r="X49" i="21" s="1"/>
  <c r="T5" i="21"/>
  <c r="S5" i="21"/>
  <c r="Q24" i="21"/>
  <c r="P5" i="21"/>
  <c r="Z4" i="21"/>
  <c r="X4" i="21"/>
  <c r="T4" i="21"/>
  <c r="S4" i="21"/>
  <c r="U4" i="21" s="1"/>
  <c r="P4" i="21"/>
  <c r="AK4" i="21" s="1"/>
  <c r="Z3" i="21"/>
  <c r="Z24" i="21" s="1"/>
  <c r="X3" i="21"/>
  <c r="T3" i="21"/>
  <c r="S3" i="21"/>
  <c r="S24" i="21" s="1"/>
  <c r="P24" i="21"/>
  <c r="N6" i="2"/>
  <c r="M6" i="2"/>
  <c r="J6" i="2"/>
  <c r="N5" i="2"/>
  <c r="M5" i="2"/>
  <c r="J5" i="2"/>
  <c r="I5" i="2"/>
  <c r="K58" i="21"/>
  <c r="L58" i="21" s="1"/>
  <c r="I58" i="21"/>
  <c r="K56" i="21"/>
  <c r="L56" i="21" s="1"/>
  <c r="I56" i="21"/>
  <c r="J49" i="21"/>
  <c r="G49" i="21"/>
  <c r="F49" i="21"/>
  <c r="E49" i="21"/>
  <c r="D49" i="21"/>
  <c r="AC47" i="21"/>
  <c r="AB47" i="21"/>
  <c r="C47" i="21"/>
  <c r="AH45" i="21"/>
  <c r="U45" i="21"/>
  <c r="AK45" i="21"/>
  <c r="I45" i="21"/>
  <c r="AH44" i="21"/>
  <c r="U44" i="21"/>
  <c r="AK44" i="21"/>
  <c r="I44" i="21"/>
  <c r="AJ43" i="21"/>
  <c r="AH43" i="21"/>
  <c r="AK43" i="21"/>
  <c r="I43" i="21"/>
  <c r="AH42" i="21"/>
  <c r="I42" i="21"/>
  <c r="AH41" i="21"/>
  <c r="U41" i="21"/>
  <c r="AK41" i="21"/>
  <c r="I41" i="21"/>
  <c r="AK40" i="21"/>
  <c r="AH40" i="21"/>
  <c r="U40" i="21"/>
  <c r="R40" i="21"/>
  <c r="AJ40" i="21"/>
  <c r="I40" i="21"/>
  <c r="AK39" i="21"/>
  <c r="AH39" i="21"/>
  <c r="R39" i="21"/>
  <c r="AI39" i="21" s="1"/>
  <c r="AJ39" i="21"/>
  <c r="I39" i="21"/>
  <c r="AH38" i="21"/>
  <c r="U38" i="21"/>
  <c r="Y38" i="21" s="1"/>
  <c r="I38" i="21"/>
  <c r="AJ37" i="21"/>
  <c r="AH37" i="21"/>
  <c r="U37" i="21"/>
  <c r="AK37" i="21"/>
  <c r="I37" i="21"/>
  <c r="AH36" i="21"/>
  <c r="U36" i="21"/>
  <c r="AK36" i="21"/>
  <c r="I36" i="21"/>
  <c r="AK35" i="21"/>
  <c r="AJ35" i="21"/>
  <c r="AH35" i="21"/>
  <c r="R35" i="21"/>
  <c r="AI35" i="21" s="1"/>
  <c r="I35" i="21"/>
  <c r="AJ34" i="21"/>
  <c r="AH34" i="21"/>
  <c r="Y34" i="21"/>
  <c r="U34" i="21"/>
  <c r="I34" i="21"/>
  <c r="AJ33" i="21"/>
  <c r="AH33" i="21"/>
  <c r="U33" i="21"/>
  <c r="AK33" i="21"/>
  <c r="I33" i="21"/>
  <c r="AH32" i="21"/>
  <c r="U32" i="21"/>
  <c r="I32" i="21"/>
  <c r="AK31" i="21"/>
  <c r="AH31" i="21"/>
  <c r="U31" i="21"/>
  <c r="R31" i="21"/>
  <c r="AI31" i="21" s="1"/>
  <c r="I31" i="21"/>
  <c r="AH30" i="21"/>
  <c r="U30" i="21"/>
  <c r="I30" i="21"/>
  <c r="AJ29" i="21"/>
  <c r="AH29" i="21"/>
  <c r="U29" i="21"/>
  <c r="I29" i="21"/>
  <c r="AH28" i="21"/>
  <c r="U28" i="21"/>
  <c r="I28" i="21"/>
  <c r="AK27" i="21"/>
  <c r="AH27" i="21"/>
  <c r="U27" i="21"/>
  <c r="Y27" i="21" s="1"/>
  <c r="R27" i="21"/>
  <c r="I27" i="21"/>
  <c r="AJ26" i="21"/>
  <c r="AH26" i="21"/>
  <c r="X47" i="21"/>
  <c r="I26" i="21"/>
  <c r="AC24" i="21"/>
  <c r="AC49" i="21" s="1"/>
  <c r="AB24" i="21"/>
  <c r="C24" i="21"/>
  <c r="C49" i="21" s="1"/>
  <c r="AK22" i="21"/>
  <c r="AJ22" i="21"/>
  <c r="AH22" i="21"/>
  <c r="U22" i="21"/>
  <c r="R22" i="21"/>
  <c r="I22" i="21"/>
  <c r="AH21" i="21"/>
  <c r="I21" i="21"/>
  <c r="AJ20" i="21"/>
  <c r="AH20" i="21"/>
  <c r="U20" i="21"/>
  <c r="I20" i="21"/>
  <c r="AK19" i="21"/>
  <c r="AH19" i="21"/>
  <c r="U19" i="21"/>
  <c r="I19" i="21"/>
  <c r="AH18" i="21"/>
  <c r="R18" i="21"/>
  <c r="I18" i="21"/>
  <c r="AH17" i="21"/>
  <c r="I17" i="21"/>
  <c r="AH16" i="21"/>
  <c r="I16" i="21"/>
  <c r="AH15" i="21"/>
  <c r="U15" i="21"/>
  <c r="Y15" i="21" s="1"/>
  <c r="I15" i="21"/>
  <c r="AK14" i="21"/>
  <c r="AH14" i="21"/>
  <c r="AJ14" i="21"/>
  <c r="U14" i="21"/>
  <c r="R14" i="21"/>
  <c r="I14" i="21"/>
  <c r="AJ13" i="21"/>
  <c r="AH13" i="21"/>
  <c r="U13" i="21"/>
  <c r="AK13" i="21"/>
  <c r="I13" i="21"/>
  <c r="AH12" i="21"/>
  <c r="AJ12" i="21"/>
  <c r="AK12" i="21"/>
  <c r="I12" i="21"/>
  <c r="AH11" i="21"/>
  <c r="U11" i="21"/>
  <c r="AJ11" i="21"/>
  <c r="I11" i="21"/>
  <c r="AH10" i="21"/>
  <c r="AK10" i="21"/>
  <c r="R10" i="21"/>
  <c r="AJ10" i="21"/>
  <c r="I10" i="21"/>
  <c r="AH9" i="21"/>
  <c r="I9" i="21"/>
  <c r="AH8" i="21"/>
  <c r="I8" i="21"/>
  <c r="AH7" i="21"/>
  <c r="I7" i="21"/>
  <c r="AK6" i="21"/>
  <c r="AH6" i="21"/>
  <c r="I6" i="21"/>
  <c r="AH5" i="21"/>
  <c r="U5" i="21"/>
  <c r="AK5" i="21"/>
  <c r="I5" i="21"/>
  <c r="AH4" i="21"/>
  <c r="I4" i="21"/>
  <c r="AH3" i="21"/>
  <c r="U3" i="21"/>
  <c r="Y3" i="21" s="1"/>
  <c r="I3" i="21"/>
  <c r="Z45" i="20"/>
  <c r="X45" i="20"/>
  <c r="T45" i="20"/>
  <c r="S45" i="20"/>
  <c r="P45" i="20"/>
  <c r="Z44" i="20"/>
  <c r="X44" i="20"/>
  <c r="T44" i="20"/>
  <c r="S44" i="20"/>
  <c r="P44" i="20"/>
  <c r="Z43" i="20"/>
  <c r="X43" i="20"/>
  <c r="T43" i="20"/>
  <c r="S43" i="20"/>
  <c r="P43" i="20"/>
  <c r="Z42" i="20"/>
  <c r="X42" i="20"/>
  <c r="T42" i="20"/>
  <c r="S42" i="20"/>
  <c r="P42" i="20"/>
  <c r="Z41" i="20"/>
  <c r="X41" i="20"/>
  <c r="T41" i="20"/>
  <c r="S41" i="20"/>
  <c r="P41" i="20"/>
  <c r="Z40" i="20"/>
  <c r="X40" i="20"/>
  <c r="T40" i="20"/>
  <c r="S40" i="20"/>
  <c r="P40" i="20"/>
  <c r="R40" i="20" s="1"/>
  <c r="Z39" i="20"/>
  <c r="X39" i="20"/>
  <c r="T39" i="20"/>
  <c r="S39" i="20"/>
  <c r="P39" i="20"/>
  <c r="AJ39" i="20" s="1"/>
  <c r="Z38" i="20"/>
  <c r="X38" i="20"/>
  <c r="T38" i="20"/>
  <c r="S38" i="20"/>
  <c r="P38" i="20"/>
  <c r="AK38" i="20" s="1"/>
  <c r="Z37" i="20"/>
  <c r="X37" i="20"/>
  <c r="T37" i="20"/>
  <c r="S37" i="20"/>
  <c r="U37" i="20" s="1"/>
  <c r="P37" i="20"/>
  <c r="Z36" i="20"/>
  <c r="X36" i="20"/>
  <c r="T36" i="20"/>
  <c r="S36" i="20"/>
  <c r="P36" i="20"/>
  <c r="AJ36" i="20" s="1"/>
  <c r="Z35" i="20"/>
  <c r="X35" i="20"/>
  <c r="T35" i="20"/>
  <c r="S35" i="20"/>
  <c r="U35" i="20" s="1"/>
  <c r="Y35" i="20" s="1"/>
  <c r="P35" i="20"/>
  <c r="AJ35" i="20" s="1"/>
  <c r="Z34" i="20"/>
  <c r="X34" i="20"/>
  <c r="T34" i="20"/>
  <c r="S34" i="20"/>
  <c r="P34" i="20"/>
  <c r="AJ34" i="20" s="1"/>
  <c r="Z33" i="20"/>
  <c r="X33" i="20"/>
  <c r="T33" i="20"/>
  <c r="S33" i="20"/>
  <c r="P33" i="20"/>
  <c r="AK33" i="20" s="1"/>
  <c r="Z32" i="20"/>
  <c r="X32" i="20"/>
  <c r="T32" i="20"/>
  <c r="S32" i="20"/>
  <c r="P32" i="20"/>
  <c r="Z31" i="20"/>
  <c r="X31" i="20"/>
  <c r="T31" i="20"/>
  <c r="S31" i="20"/>
  <c r="U31" i="20" s="1"/>
  <c r="Y31" i="20" s="1"/>
  <c r="P31" i="20"/>
  <c r="AJ31" i="20" s="1"/>
  <c r="Z30" i="20"/>
  <c r="X30" i="20"/>
  <c r="T30" i="20"/>
  <c r="S30" i="20"/>
  <c r="P30" i="20"/>
  <c r="AK30" i="20" s="1"/>
  <c r="Z29" i="20"/>
  <c r="X29" i="20"/>
  <c r="T29" i="20"/>
  <c r="S29" i="20"/>
  <c r="U29" i="20" s="1"/>
  <c r="P29" i="20"/>
  <c r="Z28" i="20"/>
  <c r="X28" i="20"/>
  <c r="T28" i="20"/>
  <c r="S28" i="20"/>
  <c r="U28" i="20" s="1"/>
  <c r="Y28" i="20" s="1"/>
  <c r="P28" i="20"/>
  <c r="AJ28" i="20" s="1"/>
  <c r="Z27" i="20"/>
  <c r="X27" i="20"/>
  <c r="T27" i="20"/>
  <c r="S27" i="20"/>
  <c r="P27" i="20"/>
  <c r="AK27" i="20" s="1"/>
  <c r="Z26" i="20"/>
  <c r="Z47" i="20" s="1"/>
  <c r="X26" i="20"/>
  <c r="T26" i="20"/>
  <c r="S26" i="20"/>
  <c r="P26" i="20"/>
  <c r="AK26" i="20" s="1"/>
  <c r="Z22" i="20"/>
  <c r="X22" i="20"/>
  <c r="T22" i="20"/>
  <c r="S22" i="20"/>
  <c r="U22" i="20" s="1"/>
  <c r="P22" i="20"/>
  <c r="Z21" i="20"/>
  <c r="X21" i="20"/>
  <c r="T21" i="20"/>
  <c r="S21" i="20"/>
  <c r="P21" i="20"/>
  <c r="AJ21" i="20" s="1"/>
  <c r="Z20" i="20"/>
  <c r="X20" i="20"/>
  <c r="T20" i="20"/>
  <c r="S20" i="20"/>
  <c r="U20" i="20" s="1"/>
  <c r="Y20" i="20" s="1"/>
  <c r="P20" i="20"/>
  <c r="R20" i="20" s="1"/>
  <c r="J21" i="23" s="1"/>
  <c r="Z19" i="20"/>
  <c r="X19" i="20"/>
  <c r="T19" i="20"/>
  <c r="S19" i="20"/>
  <c r="P19" i="20"/>
  <c r="R19" i="20" s="1"/>
  <c r="AI19" i="20" s="1"/>
  <c r="Z18" i="20"/>
  <c r="X18" i="20"/>
  <c r="T18" i="20"/>
  <c r="S18" i="20"/>
  <c r="U18" i="20" s="1"/>
  <c r="P18" i="20"/>
  <c r="Z17" i="20"/>
  <c r="X17" i="20"/>
  <c r="T17" i="20"/>
  <c r="S17" i="20"/>
  <c r="U17" i="20" s="1"/>
  <c r="P17" i="20"/>
  <c r="AJ17" i="20" s="1"/>
  <c r="Z16" i="20"/>
  <c r="X16" i="20"/>
  <c r="T16" i="20"/>
  <c r="S16" i="20"/>
  <c r="U16" i="20" s="1"/>
  <c r="P16" i="20"/>
  <c r="AJ16" i="20" s="1"/>
  <c r="Z15" i="20"/>
  <c r="X15" i="20"/>
  <c r="T15" i="20"/>
  <c r="S15" i="20"/>
  <c r="U15" i="20" s="1"/>
  <c r="P15" i="20"/>
  <c r="Z14" i="20"/>
  <c r="X14" i="20"/>
  <c r="T14" i="20"/>
  <c r="S14" i="20"/>
  <c r="U14" i="20" s="1"/>
  <c r="P14" i="20"/>
  <c r="AK14" i="20" s="1"/>
  <c r="Z13" i="20"/>
  <c r="X13" i="20"/>
  <c r="T13" i="20"/>
  <c r="S13" i="20"/>
  <c r="P13" i="20"/>
  <c r="Z12" i="20"/>
  <c r="X12" i="20"/>
  <c r="T12" i="20"/>
  <c r="S12" i="20"/>
  <c r="P12" i="20"/>
  <c r="R12" i="20" s="1"/>
  <c r="J12" i="23" s="1"/>
  <c r="Z11" i="20"/>
  <c r="X11" i="20"/>
  <c r="T11" i="20"/>
  <c r="S11" i="20"/>
  <c r="P11" i="20"/>
  <c r="Z10" i="20"/>
  <c r="X10" i="20"/>
  <c r="T10" i="20"/>
  <c r="S10" i="20"/>
  <c r="U10" i="20" s="1"/>
  <c r="P10" i="20"/>
  <c r="AJ10" i="20" s="1"/>
  <c r="Z9" i="20"/>
  <c r="X9" i="20"/>
  <c r="T9" i="20"/>
  <c r="S9" i="20"/>
  <c r="U9" i="20" s="1"/>
  <c r="Y9" i="20" s="1"/>
  <c r="P9" i="20"/>
  <c r="Z8" i="20"/>
  <c r="X8" i="20"/>
  <c r="T8" i="20"/>
  <c r="S8" i="20"/>
  <c r="U8" i="20" s="1"/>
  <c r="Y8" i="20" s="1"/>
  <c r="P8" i="20"/>
  <c r="AK8" i="20" s="1"/>
  <c r="Z7" i="20"/>
  <c r="X7" i="20"/>
  <c r="T7" i="20"/>
  <c r="S7" i="20"/>
  <c r="U7" i="20" s="1"/>
  <c r="P7" i="20"/>
  <c r="Z6" i="20"/>
  <c r="X6" i="20"/>
  <c r="T6" i="20"/>
  <c r="T24" i="20" s="1"/>
  <c r="T49" i="20" s="1"/>
  <c r="S6" i="20"/>
  <c r="U6" i="20" s="1"/>
  <c r="P6" i="20"/>
  <c r="AK6" i="20" s="1"/>
  <c r="Z5" i="20"/>
  <c r="X5" i="20"/>
  <c r="T5" i="20"/>
  <c r="S5" i="20"/>
  <c r="U5" i="20" s="1"/>
  <c r="P5" i="20"/>
  <c r="Z4" i="20"/>
  <c r="X4" i="20"/>
  <c r="T4" i="20"/>
  <c r="S4" i="20"/>
  <c r="U4" i="20" s="1"/>
  <c r="P4" i="20"/>
  <c r="R4" i="20" s="1"/>
  <c r="J5" i="23" s="1"/>
  <c r="Z3" i="20"/>
  <c r="X3" i="20"/>
  <c r="T3" i="20"/>
  <c r="S3" i="20"/>
  <c r="K58" i="20"/>
  <c r="L58" i="20" s="1"/>
  <c r="I58" i="20"/>
  <c r="K56" i="20"/>
  <c r="I56" i="20"/>
  <c r="J49" i="20"/>
  <c r="G49" i="20"/>
  <c r="F49" i="20"/>
  <c r="E49" i="20"/>
  <c r="D49" i="20"/>
  <c r="AC47" i="20"/>
  <c r="AB47" i="20"/>
  <c r="C47" i="20"/>
  <c r="AH45" i="20"/>
  <c r="U45" i="20"/>
  <c r="AK45" i="20"/>
  <c r="I45" i="20"/>
  <c r="AJ44" i="20"/>
  <c r="AH44" i="20"/>
  <c r="U44" i="20"/>
  <c r="AK44" i="20"/>
  <c r="I44" i="20"/>
  <c r="AH43" i="20"/>
  <c r="U43" i="20"/>
  <c r="AK43" i="20"/>
  <c r="I43" i="20"/>
  <c r="AJ42" i="20"/>
  <c r="AH42" i="20"/>
  <c r="U42" i="20"/>
  <c r="AK42" i="20"/>
  <c r="I42" i="20"/>
  <c r="AH41" i="20"/>
  <c r="U41" i="20"/>
  <c r="AK41" i="20"/>
  <c r="I41" i="20"/>
  <c r="AH40" i="20"/>
  <c r="U40" i="20"/>
  <c r="Y40" i="20" s="1"/>
  <c r="AK40" i="20"/>
  <c r="I40" i="20"/>
  <c r="AH39" i="20"/>
  <c r="U39" i="20"/>
  <c r="AK39" i="20"/>
  <c r="I39" i="20"/>
  <c r="AJ38" i="20"/>
  <c r="AH38" i="20"/>
  <c r="U38" i="20"/>
  <c r="Y38" i="20" s="1"/>
  <c r="I38" i="20"/>
  <c r="AJ37" i="20"/>
  <c r="AH37" i="20"/>
  <c r="AK37" i="20"/>
  <c r="I37" i="20"/>
  <c r="AH36" i="20"/>
  <c r="U36" i="20"/>
  <c r="I36" i="20"/>
  <c r="AH35" i="20"/>
  <c r="AK35" i="20"/>
  <c r="I35" i="20"/>
  <c r="AH34" i="20"/>
  <c r="U34" i="20"/>
  <c r="I34" i="20"/>
  <c r="AJ33" i="20"/>
  <c r="AH33" i="20"/>
  <c r="U33" i="20"/>
  <c r="Y33" i="20" s="1"/>
  <c r="I33" i="20"/>
  <c r="AJ32" i="20"/>
  <c r="AH32" i="20"/>
  <c r="U32" i="20"/>
  <c r="AK32" i="20"/>
  <c r="I32" i="20"/>
  <c r="AH31" i="20"/>
  <c r="I31" i="20"/>
  <c r="AH30" i="20"/>
  <c r="U30" i="20"/>
  <c r="I30" i="20"/>
  <c r="AJ29" i="20"/>
  <c r="AH29" i="20"/>
  <c r="AK29" i="20"/>
  <c r="I29" i="20"/>
  <c r="AH28" i="20"/>
  <c r="AK28" i="20"/>
  <c r="I28" i="20"/>
  <c r="AH27" i="20"/>
  <c r="U27" i="20"/>
  <c r="I27" i="20"/>
  <c r="AJ26" i="20"/>
  <c r="AH26" i="20"/>
  <c r="X47" i="20"/>
  <c r="U26" i="20"/>
  <c r="T47" i="20"/>
  <c r="I26" i="20"/>
  <c r="AC24" i="20"/>
  <c r="AC49" i="20" s="1"/>
  <c r="AB24" i="20"/>
  <c r="C24" i="20"/>
  <c r="C49" i="20" s="1"/>
  <c r="AK22" i="20"/>
  <c r="AH22" i="20"/>
  <c r="AJ22" i="20"/>
  <c r="I22" i="20"/>
  <c r="AK21" i="20"/>
  <c r="AH21" i="20"/>
  <c r="I21" i="20"/>
  <c r="AH20" i="20"/>
  <c r="AK20" i="20"/>
  <c r="I20" i="20"/>
  <c r="AH19" i="20"/>
  <c r="U19" i="20"/>
  <c r="AK19" i="20"/>
  <c r="I19" i="20"/>
  <c r="AH18" i="20"/>
  <c r="I18" i="20"/>
  <c r="AK17" i="20"/>
  <c r="AH17" i="20"/>
  <c r="I17" i="20"/>
  <c r="AK16" i="20"/>
  <c r="AH16" i="20"/>
  <c r="I16" i="20"/>
  <c r="AH15" i="20"/>
  <c r="I15" i="20"/>
  <c r="AJ14" i="20"/>
  <c r="AH14" i="20"/>
  <c r="R14" i="20"/>
  <c r="J6" i="23" s="1"/>
  <c r="I14" i="20"/>
  <c r="AH13" i="20"/>
  <c r="U13" i="20"/>
  <c r="I13" i="20"/>
  <c r="AH12" i="20"/>
  <c r="U12" i="20"/>
  <c r="I12" i="20"/>
  <c r="AH11" i="20"/>
  <c r="U11" i="20"/>
  <c r="I11" i="20"/>
  <c r="AH10" i="20"/>
  <c r="I10" i="20"/>
  <c r="AH9" i="20"/>
  <c r="I9" i="20"/>
  <c r="AH8" i="20"/>
  <c r="I8" i="20"/>
  <c r="AH7" i="20"/>
  <c r="I7" i="20"/>
  <c r="AJ6" i="20"/>
  <c r="AH6" i="20"/>
  <c r="R6" i="20"/>
  <c r="J13" i="23" s="1"/>
  <c r="I6" i="20"/>
  <c r="AH5" i="20"/>
  <c r="I5" i="20"/>
  <c r="AH4" i="20"/>
  <c r="Q24" i="20"/>
  <c r="I4" i="20"/>
  <c r="AH3" i="20"/>
  <c r="Z24" i="20"/>
  <c r="I3" i="20"/>
  <c r="O121" i="2"/>
  <c r="P121" i="2"/>
  <c r="Q121" i="2"/>
  <c r="S121" i="2"/>
  <c r="T121" i="2"/>
  <c r="U121" i="2"/>
  <c r="V121" i="2"/>
  <c r="W121" i="2"/>
  <c r="O122" i="2"/>
  <c r="P122" i="2"/>
  <c r="Q122" i="2"/>
  <c r="S122" i="2"/>
  <c r="T122" i="2"/>
  <c r="U122" i="2"/>
  <c r="V122" i="2"/>
  <c r="W122" i="2"/>
  <c r="F31" i="75" l="1"/>
  <c r="E32" i="75"/>
  <c r="F14" i="75"/>
  <c r="E15" i="75"/>
  <c r="G47" i="75"/>
  <c r="G17" i="75"/>
  <c r="G23" i="75"/>
  <c r="M48" i="75"/>
  <c r="G46" i="75" s="1"/>
  <c r="L49" i="75"/>
  <c r="M49" i="75" s="1"/>
  <c r="G38" i="75" s="1"/>
  <c r="M24" i="75"/>
  <c r="G14" i="75" s="1"/>
  <c r="L25" i="75"/>
  <c r="M25" i="75" s="1"/>
  <c r="G13" i="75" s="1"/>
  <c r="F6" i="65"/>
  <c r="E7" i="65"/>
  <c r="E6" i="39"/>
  <c r="M6" i="31"/>
  <c r="L7" i="31"/>
  <c r="M7" i="31" s="1"/>
  <c r="E31" i="39"/>
  <c r="F31" i="65"/>
  <c r="E32" i="65"/>
  <c r="W8" i="43"/>
  <c r="E16" i="43"/>
  <c r="I9" i="1" s="1"/>
  <c r="E30" i="31"/>
  <c r="F30" i="31" s="1"/>
  <c r="D50" i="31"/>
  <c r="E4" i="31"/>
  <c r="F4" i="31" s="1"/>
  <c r="D26" i="31"/>
  <c r="G49" i="72"/>
  <c r="G39" i="72"/>
  <c r="G48" i="72"/>
  <c r="G45" i="72"/>
  <c r="F39" i="72"/>
  <c r="E40" i="72"/>
  <c r="E19" i="72"/>
  <c r="F18" i="72"/>
  <c r="G23" i="72"/>
  <c r="G17" i="72"/>
  <c r="M24" i="72"/>
  <c r="L25" i="72"/>
  <c r="M25" i="72" s="1"/>
  <c r="F47" i="71"/>
  <c r="E48" i="71"/>
  <c r="E24" i="71"/>
  <c r="F23" i="71"/>
  <c r="G13" i="67"/>
  <c r="G17" i="67"/>
  <c r="X98" i="2"/>
  <c r="X101" i="2"/>
  <c r="Y18" i="2"/>
  <c r="Y94" i="2" s="1"/>
  <c r="M16" i="38" s="1"/>
  <c r="M47" i="71"/>
  <c r="G47" i="71" s="1"/>
  <c r="L48" i="71"/>
  <c r="G38" i="67"/>
  <c r="G44" i="67"/>
  <c r="G43" i="66"/>
  <c r="G17" i="64"/>
  <c r="G37" i="64"/>
  <c r="G42" i="64"/>
  <c r="G18" i="64"/>
  <c r="Y93" i="2"/>
  <c r="G16" i="38" s="1"/>
  <c r="M45" i="67"/>
  <c r="L46" i="67"/>
  <c r="F21" i="67"/>
  <c r="E22" i="67"/>
  <c r="M20" i="67"/>
  <c r="L21" i="67"/>
  <c r="F44" i="67"/>
  <c r="E45" i="67"/>
  <c r="M44" i="66"/>
  <c r="L45" i="66"/>
  <c r="M20" i="66"/>
  <c r="L21" i="66"/>
  <c r="F45" i="66"/>
  <c r="E46" i="66"/>
  <c r="F19" i="66"/>
  <c r="E20" i="66"/>
  <c r="G41" i="65"/>
  <c r="L43" i="65"/>
  <c r="M42" i="65"/>
  <c r="L21" i="65"/>
  <c r="M20" i="65"/>
  <c r="E37" i="45"/>
  <c r="F36" i="45"/>
  <c r="G38" i="45"/>
  <c r="E13" i="45"/>
  <c r="F12" i="45"/>
  <c r="G9" i="45"/>
  <c r="F43" i="64"/>
  <c r="E44" i="64"/>
  <c r="F19" i="64"/>
  <c r="E20" i="64"/>
  <c r="M43" i="64"/>
  <c r="L44" i="64"/>
  <c r="M19" i="64"/>
  <c r="G13" i="64" s="1"/>
  <c r="L20" i="64"/>
  <c r="V7" i="32"/>
  <c r="V8" i="32" s="1"/>
  <c r="F33" i="42"/>
  <c r="E34" i="42"/>
  <c r="F8" i="42"/>
  <c r="E11" i="42"/>
  <c r="E9" i="42"/>
  <c r="G8" i="39"/>
  <c r="G6" i="39"/>
  <c r="R6" i="24"/>
  <c r="M17" i="45"/>
  <c r="L18" i="45"/>
  <c r="L41" i="45"/>
  <c r="M40" i="45"/>
  <c r="M15" i="38"/>
  <c r="I8" i="32"/>
  <c r="K15" i="32"/>
  <c r="M14" i="42"/>
  <c r="G9" i="42" s="1"/>
  <c r="L15" i="42"/>
  <c r="M38" i="42"/>
  <c r="G35" i="42" s="1"/>
  <c r="L39" i="42"/>
  <c r="Y100" i="2"/>
  <c r="AB17" i="2"/>
  <c r="AC17" i="2"/>
  <c r="W6" i="32"/>
  <c r="E16" i="32" s="1"/>
  <c r="W8" i="38"/>
  <c r="F8" i="38"/>
  <c r="F7" i="32"/>
  <c r="F8" i="32" s="1"/>
  <c r="J8" i="38"/>
  <c r="P8" i="38"/>
  <c r="Y6" i="32"/>
  <c r="M15" i="32"/>
  <c r="AA4" i="32"/>
  <c r="AA5" i="32"/>
  <c r="G17" i="32"/>
  <c r="M23" i="32"/>
  <c r="K14" i="1" s="1"/>
  <c r="Z4" i="32"/>
  <c r="AB7" i="32"/>
  <c r="Y7" i="32"/>
  <c r="J8" i="32"/>
  <c r="Z5" i="32"/>
  <c r="M20" i="32"/>
  <c r="K12" i="1" s="1"/>
  <c r="M17" i="32"/>
  <c r="P8" i="32"/>
  <c r="M9" i="31"/>
  <c r="L10" i="31"/>
  <c r="V51" i="36"/>
  <c r="M34" i="39"/>
  <c r="L35" i="39"/>
  <c r="M9" i="39"/>
  <c r="L10" i="39"/>
  <c r="AP26" i="36"/>
  <c r="AP51" i="36" s="1"/>
  <c r="K59" i="36" s="1"/>
  <c r="L59" i="36" s="1"/>
  <c r="AN4" i="30"/>
  <c r="AP4" i="30"/>
  <c r="V24" i="29"/>
  <c r="U6" i="24"/>
  <c r="J134" i="2"/>
  <c r="S6" i="24"/>
  <c r="X108" i="2"/>
  <c r="J133" i="2"/>
  <c r="W4" i="28"/>
  <c r="M13" i="28"/>
  <c r="Q6" i="24"/>
  <c r="M112" i="2"/>
  <c r="M17" i="26" s="1"/>
  <c r="M11" i="1" s="1"/>
  <c r="AE49" i="30"/>
  <c r="V47" i="30"/>
  <c r="V49" i="30" s="1"/>
  <c r="V24" i="30"/>
  <c r="V47" i="29"/>
  <c r="L36" i="31"/>
  <c r="M35" i="31"/>
  <c r="AL23" i="30"/>
  <c r="AP3" i="30"/>
  <c r="AN3" i="30"/>
  <c r="AN23" i="30" s="1"/>
  <c r="AP26" i="30"/>
  <c r="AP47" i="30" s="1"/>
  <c r="AL46" i="30"/>
  <c r="AN26" i="30"/>
  <c r="AN46" i="30" s="1"/>
  <c r="V49" i="29"/>
  <c r="AP26" i="29"/>
  <c r="AP47" i="29" s="1"/>
  <c r="AL46" i="29"/>
  <c r="AN26" i="29"/>
  <c r="AN46" i="29" s="1"/>
  <c r="AP24" i="29"/>
  <c r="AP49" i="29" s="1"/>
  <c r="K57" i="29" s="1"/>
  <c r="L57" i="29" s="1"/>
  <c r="K48" i="25"/>
  <c r="L30" i="25"/>
  <c r="M30" i="25" s="1"/>
  <c r="K24" i="25"/>
  <c r="L5" i="25"/>
  <c r="D48" i="25"/>
  <c r="D24" i="25"/>
  <c r="K3" i="2"/>
  <c r="M137" i="2" s="1"/>
  <c r="M6" i="24"/>
  <c r="N6" i="24"/>
  <c r="AI7" i="2"/>
  <c r="U112" i="2"/>
  <c r="N112" i="2"/>
  <c r="V112" i="2"/>
  <c r="W112" i="2"/>
  <c r="O112" i="2"/>
  <c r="I5" i="26"/>
  <c r="P112" i="2"/>
  <c r="Q112" i="2"/>
  <c r="T112" i="2"/>
  <c r="S112" i="2"/>
  <c r="F30" i="27"/>
  <c r="E31" i="27"/>
  <c r="M8" i="27"/>
  <c r="G8" i="27" s="1"/>
  <c r="L9" i="27"/>
  <c r="M30" i="27"/>
  <c r="G30" i="27" s="1"/>
  <c r="L31" i="27"/>
  <c r="F5" i="27"/>
  <c r="E6" i="27"/>
  <c r="J45" i="23"/>
  <c r="J20" i="23"/>
  <c r="AG39" i="21"/>
  <c r="AM39" i="21" s="1"/>
  <c r="W31" i="21"/>
  <c r="W35" i="21"/>
  <c r="AG31" i="21"/>
  <c r="AM31" i="21" s="1"/>
  <c r="W10" i="21"/>
  <c r="T6" i="24"/>
  <c r="O6" i="24"/>
  <c r="E29" i="25"/>
  <c r="F28" i="25"/>
  <c r="L31" i="25"/>
  <c r="F4" i="25"/>
  <c r="E5" i="25"/>
  <c r="AH23" i="21"/>
  <c r="I24" i="21"/>
  <c r="L56" i="20"/>
  <c r="I24" i="20"/>
  <c r="I47" i="20"/>
  <c r="K5" i="2"/>
  <c r="N133" i="2" s="1"/>
  <c r="K6" i="2"/>
  <c r="N134" i="2" s="1"/>
  <c r="K4" i="2"/>
  <c r="J137" i="2"/>
  <c r="AA25" i="21"/>
  <c r="K24" i="21"/>
  <c r="K49" i="21" s="1"/>
  <c r="AI19" i="21"/>
  <c r="AG19" i="21"/>
  <c r="AM19" i="21" s="1"/>
  <c r="W19" i="21"/>
  <c r="AE19" i="21" s="1"/>
  <c r="AL19" i="21" s="1" a="1"/>
  <c r="AL19" i="21" s="1"/>
  <c r="AP19" i="21" s="1"/>
  <c r="Y18" i="21"/>
  <c r="AJ15" i="21"/>
  <c r="AJ19" i="21"/>
  <c r="AK34" i="21"/>
  <c r="AK30" i="21"/>
  <c r="R6" i="21"/>
  <c r="AG6" i="21" s="1"/>
  <c r="R7" i="21"/>
  <c r="AI10" i="21"/>
  <c r="R30" i="21"/>
  <c r="W39" i="21"/>
  <c r="AE39" i="21" s="1"/>
  <c r="AL39" i="21" s="1" a="1"/>
  <c r="AL39" i="21" s="1"/>
  <c r="AP39" i="21" s="1"/>
  <c r="K24" i="20"/>
  <c r="Y21" i="21"/>
  <c r="Y39" i="21"/>
  <c r="AI22" i="21"/>
  <c r="W22" i="21"/>
  <c r="AG22" i="21"/>
  <c r="AM22" i="21" s="1"/>
  <c r="W9" i="21"/>
  <c r="AI9" i="21"/>
  <c r="AG9" i="21"/>
  <c r="Y16" i="21"/>
  <c r="Y9" i="21"/>
  <c r="Y14" i="21"/>
  <c r="Y10" i="21"/>
  <c r="AG10" i="21"/>
  <c r="AE10" i="21"/>
  <c r="AL10" i="21" s="1" a="1"/>
  <c r="AL10" i="21" s="1"/>
  <c r="AP10" i="21" s="1"/>
  <c r="W30" i="21"/>
  <c r="AE30" i="21" s="1"/>
  <c r="AL30" i="21" s="1" a="1"/>
  <c r="AL30" i="21" s="1"/>
  <c r="AG15" i="21"/>
  <c r="AM15" i="21" s="1"/>
  <c r="AI15" i="21"/>
  <c r="W15" i="21"/>
  <c r="AI34" i="21"/>
  <c r="W34" i="21"/>
  <c r="AG34" i="21"/>
  <c r="AM34" i="21" s="1"/>
  <c r="Y6" i="21"/>
  <c r="AI14" i="21"/>
  <c r="AG14" i="21"/>
  <c r="W14" i="21"/>
  <c r="W17" i="21"/>
  <c r="AI17" i="21"/>
  <c r="AG17" i="21"/>
  <c r="AM17" i="21" s="1"/>
  <c r="AG20" i="21"/>
  <c r="AM20" i="21" s="1"/>
  <c r="W20" i="21"/>
  <c r="AE20" i="21" s="1"/>
  <c r="AL20" i="21" s="1" a="1"/>
  <c r="AL20" i="21" s="1"/>
  <c r="AP20" i="21" s="1"/>
  <c r="AI20" i="21"/>
  <c r="Y4" i="21"/>
  <c r="Y11" i="21"/>
  <c r="Y5" i="21"/>
  <c r="Y13" i="21"/>
  <c r="Y22" i="21"/>
  <c r="Y12" i="21"/>
  <c r="AI18" i="21"/>
  <c r="W18" i="21"/>
  <c r="AE18" i="21" s="1"/>
  <c r="AL18" i="21" s="1" a="1"/>
  <c r="AL18" i="21" s="1"/>
  <c r="AP18" i="21" s="1"/>
  <c r="AG18" i="21"/>
  <c r="Y19" i="21"/>
  <c r="AI27" i="21"/>
  <c r="W27" i="21"/>
  <c r="AG27" i="21"/>
  <c r="Y29" i="21"/>
  <c r="Y36" i="21"/>
  <c r="AJ5" i="21"/>
  <c r="R12" i="21"/>
  <c r="R13" i="21"/>
  <c r="P47" i="21"/>
  <c r="AK29" i="21"/>
  <c r="R29" i="21"/>
  <c r="AJ32" i="21"/>
  <c r="R5" i="21"/>
  <c r="J7" i="22" s="1"/>
  <c r="AK21" i="21"/>
  <c r="R21" i="21"/>
  <c r="AJ21" i="21"/>
  <c r="Q47" i="21"/>
  <c r="Q49" i="21" s="1"/>
  <c r="Z47" i="21"/>
  <c r="Z49" i="21" s="1"/>
  <c r="AI40" i="21"/>
  <c r="W40" i="21"/>
  <c r="AG40" i="21"/>
  <c r="AM40" i="21" s="1"/>
  <c r="Y45" i="21"/>
  <c r="AG11" i="21"/>
  <c r="AK15" i="21"/>
  <c r="AK16" i="21"/>
  <c r="R16" i="21"/>
  <c r="AJ16" i="21"/>
  <c r="Y17" i="21"/>
  <c r="AJ17" i="21"/>
  <c r="AK20" i="21"/>
  <c r="R26" i="21"/>
  <c r="AA48" i="21"/>
  <c r="AA51" i="21" s="1"/>
  <c r="AJ31" i="21"/>
  <c r="R32" i="21"/>
  <c r="Y33" i="21"/>
  <c r="AE34" i="21"/>
  <c r="AL34" i="21" s="1" a="1"/>
  <c r="AL34" i="21" s="1"/>
  <c r="AP34" i="21" s="1"/>
  <c r="Y37" i="21"/>
  <c r="Y40" i="21"/>
  <c r="U42" i="21"/>
  <c r="Y43" i="21"/>
  <c r="AJ3" i="21"/>
  <c r="AK7" i="21"/>
  <c r="AK8" i="21"/>
  <c r="R8" i="21"/>
  <c r="J9" i="22" s="1"/>
  <c r="Y8" i="21"/>
  <c r="AJ8" i="21"/>
  <c r="AJ9" i="21"/>
  <c r="AK17" i="21"/>
  <c r="AJ18" i="21"/>
  <c r="Y20" i="21"/>
  <c r="S47" i="21"/>
  <c r="S49" i="21" s="1"/>
  <c r="Y32" i="21"/>
  <c r="AK38" i="21"/>
  <c r="R38" i="21"/>
  <c r="AJ38" i="21"/>
  <c r="R3" i="21"/>
  <c r="J4" i="22" s="1"/>
  <c r="AK9" i="21"/>
  <c r="W11" i="21"/>
  <c r="AI11" i="21"/>
  <c r="AK18" i="21"/>
  <c r="T47" i="21"/>
  <c r="Y30" i="21"/>
  <c r="AK32" i="21"/>
  <c r="AE35" i="21"/>
  <c r="AL35" i="21" s="1" a="1"/>
  <c r="AL35" i="21" s="1"/>
  <c r="AP35" i="21" s="1"/>
  <c r="AG35" i="21"/>
  <c r="AM35" i="21" s="1"/>
  <c r="Y44" i="21"/>
  <c r="AK3" i="21"/>
  <c r="AJ4" i="21"/>
  <c r="AK11" i="21"/>
  <c r="AE17" i="21"/>
  <c r="AL17" i="21" s="1" a="1"/>
  <c r="AL17" i="21" s="1"/>
  <c r="AP17" i="21" s="1"/>
  <c r="U26" i="21"/>
  <c r="AK28" i="21"/>
  <c r="R28" i="21"/>
  <c r="AJ28" i="21"/>
  <c r="Y28" i="21"/>
  <c r="AE31" i="21"/>
  <c r="AL31" i="21" s="1" a="1"/>
  <c r="AL31" i="21" s="1"/>
  <c r="AP31" i="21" s="1"/>
  <c r="Y31" i="21"/>
  <c r="T24" i="21"/>
  <c r="R4" i="21"/>
  <c r="J5" i="22" s="1"/>
  <c r="U7" i="21"/>
  <c r="U24" i="21" s="1"/>
  <c r="I47" i="21"/>
  <c r="I49" i="21" s="1"/>
  <c r="AH46" i="21"/>
  <c r="Y41" i="21"/>
  <c r="R43" i="21"/>
  <c r="AJ41" i="21"/>
  <c r="R33" i="21"/>
  <c r="AJ36" i="21"/>
  <c r="R41" i="21"/>
  <c r="AJ44" i="21"/>
  <c r="R36" i="21"/>
  <c r="R44" i="21"/>
  <c r="AJ42" i="21"/>
  <c r="R42" i="21"/>
  <c r="AJ45" i="21"/>
  <c r="R37" i="21"/>
  <c r="R45" i="21"/>
  <c r="AA25" i="20"/>
  <c r="AI20" i="20"/>
  <c r="AG20" i="20"/>
  <c r="AM20" i="20" s="1"/>
  <c r="AG6" i="20"/>
  <c r="AG14" i="20"/>
  <c r="AK31" i="20"/>
  <c r="S24" i="20"/>
  <c r="AJ12" i="20"/>
  <c r="R16" i="20"/>
  <c r="J18" i="23" s="1"/>
  <c r="R21" i="20"/>
  <c r="AJ30" i="20"/>
  <c r="Z49" i="20"/>
  <c r="AJ27" i="20"/>
  <c r="AK34" i="20"/>
  <c r="AJ40" i="20"/>
  <c r="Y11" i="20"/>
  <c r="AG12" i="20"/>
  <c r="AI12" i="20"/>
  <c r="W12" i="20"/>
  <c r="Y18" i="20"/>
  <c r="Y6" i="20"/>
  <c r="Y27" i="20"/>
  <c r="Y29" i="20"/>
  <c r="AG4" i="20"/>
  <c r="AI4" i="20"/>
  <c r="W4" i="20"/>
  <c r="AE4" i="20" s="1"/>
  <c r="Y12" i="20"/>
  <c r="Y15" i="20"/>
  <c r="Y19" i="20"/>
  <c r="Y34" i="20"/>
  <c r="Y32" i="20"/>
  <c r="Y4" i="20"/>
  <c r="Y7" i="20"/>
  <c r="Y13" i="20"/>
  <c r="W16" i="20"/>
  <c r="AG16" i="20"/>
  <c r="AM16" i="20" s="1"/>
  <c r="AI16" i="20"/>
  <c r="Y10" i="20"/>
  <c r="Y5" i="20"/>
  <c r="Y14" i="20"/>
  <c r="Y16" i="20"/>
  <c r="AK10" i="20"/>
  <c r="AJ4" i="20"/>
  <c r="AK11" i="20"/>
  <c r="R11" i="20"/>
  <c r="J11" i="23" s="1"/>
  <c r="AJ11" i="20"/>
  <c r="AG19" i="20"/>
  <c r="AM19" i="20" s="1"/>
  <c r="K47" i="20"/>
  <c r="K49" i="20" s="1"/>
  <c r="W6" i="20"/>
  <c r="AE6" i="20" s="1"/>
  <c r="AI6" i="20"/>
  <c r="R10" i="20"/>
  <c r="J15" i="23" s="1"/>
  <c r="AK12" i="20"/>
  <c r="W14" i="20"/>
  <c r="AE14" i="20" s="1"/>
  <c r="AI14" i="20"/>
  <c r="R17" i="20"/>
  <c r="J19" i="23" s="1"/>
  <c r="U21" i="20"/>
  <c r="Y26" i="20"/>
  <c r="U3" i="20"/>
  <c r="P24" i="20"/>
  <c r="AJ3" i="20"/>
  <c r="AK4" i="20"/>
  <c r="AK13" i="20"/>
  <c r="R13" i="20"/>
  <c r="J10" i="23" s="1"/>
  <c r="AJ13" i="20"/>
  <c r="AH23" i="20"/>
  <c r="R8" i="20"/>
  <c r="J9" i="23" s="1"/>
  <c r="X24" i="20"/>
  <c r="X49" i="20" s="1"/>
  <c r="AK3" i="20"/>
  <c r="AK5" i="20"/>
  <c r="R5" i="20"/>
  <c r="J7" i="23" s="1"/>
  <c r="AJ5" i="20"/>
  <c r="R3" i="20"/>
  <c r="J4" i="23" s="1"/>
  <c r="W20" i="20"/>
  <c r="AE20" i="20"/>
  <c r="Y30" i="20"/>
  <c r="Y36" i="20"/>
  <c r="AK7" i="20"/>
  <c r="R7" i="20"/>
  <c r="J8" i="23" s="1"/>
  <c r="AJ7" i="20"/>
  <c r="AJ8" i="20"/>
  <c r="AK15" i="20"/>
  <c r="R15" i="20"/>
  <c r="J17" i="23" s="1"/>
  <c r="AJ15" i="20"/>
  <c r="R22" i="20"/>
  <c r="J23" i="23" s="1"/>
  <c r="S47" i="20"/>
  <c r="S49" i="20" s="1"/>
  <c r="AK18" i="20"/>
  <c r="R18" i="20"/>
  <c r="J16" i="23" s="1"/>
  <c r="AJ18" i="20"/>
  <c r="AH46" i="20"/>
  <c r="Y39" i="20"/>
  <c r="AK9" i="20"/>
  <c r="R9" i="20"/>
  <c r="J14" i="23" s="1"/>
  <c r="AJ9" i="20"/>
  <c r="Y17" i="20"/>
  <c r="W19" i="20"/>
  <c r="AE19" i="20" s="1"/>
  <c r="U47" i="20"/>
  <c r="Y47" i="20" s="1"/>
  <c r="Y37" i="20"/>
  <c r="W40" i="20"/>
  <c r="AE40" i="20" s="1"/>
  <c r="Y43" i="20"/>
  <c r="Y44" i="20"/>
  <c r="AK36" i="20"/>
  <c r="AK46" i="20" s="1"/>
  <c r="Y41" i="20"/>
  <c r="AG40" i="20"/>
  <c r="AM40" i="20" s="1"/>
  <c r="AI40" i="20"/>
  <c r="Y42" i="20"/>
  <c r="Y45" i="20"/>
  <c r="AJ19" i="20"/>
  <c r="AJ20" i="20"/>
  <c r="Y22" i="20"/>
  <c r="Q47" i="20"/>
  <c r="Q49" i="20" s="1"/>
  <c r="AA48" i="20"/>
  <c r="AA51" i="20" s="1"/>
  <c r="P47" i="20"/>
  <c r="R26" i="20"/>
  <c r="J34" i="23" s="1"/>
  <c r="R28" i="20"/>
  <c r="J32" i="23" s="1"/>
  <c r="R30" i="20"/>
  <c r="J35" i="23" s="1"/>
  <c r="R32" i="20"/>
  <c r="J37" i="23" s="1"/>
  <c r="R34" i="20"/>
  <c r="J39" i="23" s="1"/>
  <c r="R36" i="20"/>
  <c r="J41" i="23" s="1"/>
  <c r="R38" i="20"/>
  <c r="J43" i="23" s="1"/>
  <c r="R42" i="20"/>
  <c r="J29" i="23" s="1"/>
  <c r="K29" i="23" s="1"/>
  <c r="R44" i="20"/>
  <c r="J30" i="23" s="1"/>
  <c r="K30" i="23" s="1"/>
  <c r="AJ41" i="20"/>
  <c r="AJ43" i="20"/>
  <c r="AJ45" i="20"/>
  <c r="R27" i="20"/>
  <c r="J31" i="23" s="1"/>
  <c r="R29" i="20"/>
  <c r="J33" i="23" s="1"/>
  <c r="R31" i="20"/>
  <c r="J36" i="23" s="1"/>
  <c r="R33" i="20"/>
  <c r="J38" i="23" s="1"/>
  <c r="R35" i="20"/>
  <c r="J40" i="23" s="1"/>
  <c r="R37" i="20"/>
  <c r="J42" i="23" s="1"/>
  <c r="K42" i="23" s="1"/>
  <c r="R39" i="20"/>
  <c r="J44" i="23" s="1"/>
  <c r="R41" i="20"/>
  <c r="J46" i="23" s="1"/>
  <c r="R43" i="20"/>
  <c r="J28" i="23" s="1"/>
  <c r="J48" i="23" s="1"/>
  <c r="R45" i="20"/>
  <c r="J47" i="23" s="1"/>
  <c r="F15" i="75" l="1"/>
  <c r="E16" i="75"/>
  <c r="F32" i="75"/>
  <c r="E33" i="75"/>
  <c r="G39" i="75"/>
  <c r="G49" i="75"/>
  <c r="G45" i="75"/>
  <c r="G48" i="75"/>
  <c r="G18" i="75"/>
  <c r="G24" i="75"/>
  <c r="G19" i="75"/>
  <c r="G25" i="75"/>
  <c r="E7" i="39"/>
  <c r="F6" i="39"/>
  <c r="F7" i="65"/>
  <c r="E8" i="65"/>
  <c r="F31" i="39"/>
  <c r="E32" i="39"/>
  <c r="F32" i="65"/>
  <c r="E33" i="65"/>
  <c r="E31" i="31"/>
  <c r="E5" i="31"/>
  <c r="F40" i="72"/>
  <c r="E41" i="72"/>
  <c r="E20" i="72"/>
  <c r="F19" i="72"/>
  <c r="G25" i="72"/>
  <c r="G19" i="72"/>
  <c r="G24" i="72"/>
  <c r="G18" i="72"/>
  <c r="F48" i="71"/>
  <c r="E49" i="71"/>
  <c r="F49" i="71" s="1"/>
  <c r="F24" i="71"/>
  <c r="E25" i="71"/>
  <c r="F25" i="71" s="1"/>
  <c r="G18" i="67"/>
  <c r="AB18" i="2"/>
  <c r="Z7" i="32" s="1"/>
  <c r="Y101" i="2"/>
  <c r="M16" i="32" s="1"/>
  <c r="Z17" i="2"/>
  <c r="W7" i="32"/>
  <c r="W8" i="32" s="1"/>
  <c r="AC18" i="2"/>
  <c r="AA7" i="32" s="1"/>
  <c r="M48" i="71"/>
  <c r="G48" i="71" s="1"/>
  <c r="L49" i="71"/>
  <c r="M49" i="71" s="1"/>
  <c r="G49" i="71" s="1"/>
  <c r="G39" i="67"/>
  <c r="G45" i="67"/>
  <c r="G17" i="66"/>
  <c r="G38" i="66"/>
  <c r="G44" i="66"/>
  <c r="G43" i="64"/>
  <c r="F45" i="67"/>
  <c r="E46" i="67"/>
  <c r="M21" i="67"/>
  <c r="G14" i="67" s="1"/>
  <c r="L22" i="67"/>
  <c r="F22" i="67"/>
  <c r="E23" i="67"/>
  <c r="M46" i="67"/>
  <c r="G46" i="67" s="1"/>
  <c r="L47" i="67"/>
  <c r="F20" i="66"/>
  <c r="E21" i="66"/>
  <c r="F46" i="66"/>
  <c r="E47" i="66"/>
  <c r="M21" i="66"/>
  <c r="L22" i="66"/>
  <c r="M45" i="66"/>
  <c r="L46" i="66"/>
  <c r="G20" i="65"/>
  <c r="G10" i="65"/>
  <c r="G38" i="65"/>
  <c r="M43" i="65"/>
  <c r="L44" i="65"/>
  <c r="M21" i="65"/>
  <c r="L22" i="65"/>
  <c r="G39" i="45"/>
  <c r="F37" i="45"/>
  <c r="E38" i="45"/>
  <c r="F13" i="45"/>
  <c r="E14" i="45"/>
  <c r="G10" i="45"/>
  <c r="M20" i="64"/>
  <c r="L21" i="64"/>
  <c r="M44" i="64"/>
  <c r="L45" i="64"/>
  <c r="F20" i="64"/>
  <c r="E21" i="64"/>
  <c r="F44" i="64"/>
  <c r="E45" i="64"/>
  <c r="E35" i="42"/>
  <c r="F34" i="42"/>
  <c r="F9" i="42"/>
  <c r="E10" i="42"/>
  <c r="F10" i="42" s="1"/>
  <c r="F11" i="42"/>
  <c r="E12" i="42"/>
  <c r="G4" i="42"/>
  <c r="G7" i="39"/>
  <c r="M41" i="45"/>
  <c r="L42" i="45"/>
  <c r="M18" i="45"/>
  <c r="L19" i="45"/>
  <c r="X137" i="2"/>
  <c r="M39" i="42"/>
  <c r="G36" i="42" s="1"/>
  <c r="L40" i="42"/>
  <c r="M15" i="42"/>
  <c r="G10" i="42" s="1"/>
  <c r="L16" i="42"/>
  <c r="AA6" i="32"/>
  <c r="Z6" i="32"/>
  <c r="G16" i="32"/>
  <c r="G4" i="31"/>
  <c r="M10" i="31"/>
  <c r="G6" i="31" s="1"/>
  <c r="L11" i="31"/>
  <c r="L36" i="39"/>
  <c r="M35" i="39"/>
  <c r="M10" i="39"/>
  <c r="G24" i="39" s="1"/>
  <c r="L11" i="39"/>
  <c r="S137" i="2"/>
  <c r="W137" i="2"/>
  <c r="V5" i="26"/>
  <c r="N137" i="2"/>
  <c r="X112" i="2"/>
  <c r="P133" i="2"/>
  <c r="O134" i="2"/>
  <c r="P137" i="2"/>
  <c r="X134" i="2"/>
  <c r="V137" i="2"/>
  <c r="O137" i="2"/>
  <c r="K9" i="1"/>
  <c r="M134" i="2"/>
  <c r="M36" i="31"/>
  <c r="G31" i="31" s="1"/>
  <c r="L37" i="31"/>
  <c r="AP24" i="30"/>
  <c r="AP49" i="30" s="1"/>
  <c r="K57" i="30" s="1"/>
  <c r="L57" i="30" s="1"/>
  <c r="M5" i="25"/>
  <c r="G5" i="25" s="1"/>
  <c r="L6" i="25"/>
  <c r="X133" i="2"/>
  <c r="O133" i="2"/>
  <c r="U137" i="2"/>
  <c r="T137" i="2"/>
  <c r="W133" i="2"/>
  <c r="M21" i="26"/>
  <c r="M14" i="1" s="1"/>
  <c r="S133" i="2"/>
  <c r="V134" i="2"/>
  <c r="Q137" i="2"/>
  <c r="U134" i="2"/>
  <c r="F6" i="27"/>
  <c r="E7" i="27"/>
  <c r="M9" i="27"/>
  <c r="L10" i="27"/>
  <c r="F31" i="27"/>
  <c r="E32" i="27"/>
  <c r="M31" i="27"/>
  <c r="L32" i="27"/>
  <c r="K43" i="23"/>
  <c r="K33" i="23"/>
  <c r="K41" i="23"/>
  <c r="K46" i="23"/>
  <c r="K32" i="23"/>
  <c r="K45" i="23"/>
  <c r="K44" i="23"/>
  <c r="K34" i="23"/>
  <c r="K37" i="23"/>
  <c r="K40" i="23"/>
  <c r="K36" i="23"/>
  <c r="K47" i="23"/>
  <c r="K28" i="23"/>
  <c r="L28" i="23" s="1"/>
  <c r="K39" i="23"/>
  <c r="K35" i="23"/>
  <c r="K38" i="23"/>
  <c r="AI21" i="20"/>
  <c r="J22" i="23"/>
  <c r="AE16" i="20"/>
  <c r="J24" i="23"/>
  <c r="AG30" i="21"/>
  <c r="AM30" i="21" s="1"/>
  <c r="AI30" i="21"/>
  <c r="AE15" i="21"/>
  <c r="AL15" i="21" s="1" a="1"/>
  <c r="AL15" i="21" s="1"/>
  <c r="AP15" i="21" s="1"/>
  <c r="J6" i="22"/>
  <c r="J10" i="22" s="1"/>
  <c r="AI6" i="21"/>
  <c r="J8" i="22"/>
  <c r="K8" i="22" s="1"/>
  <c r="W6" i="21"/>
  <c r="T134" i="2"/>
  <c r="S134" i="2"/>
  <c r="P134" i="2"/>
  <c r="Q134" i="2"/>
  <c r="W134" i="2"/>
  <c r="F5" i="25"/>
  <c r="E6" i="25"/>
  <c r="M31" i="25"/>
  <c r="L32" i="25"/>
  <c r="F29" i="25"/>
  <c r="E30" i="25"/>
  <c r="AN31" i="21"/>
  <c r="AN34" i="21"/>
  <c r="AN20" i="21"/>
  <c r="AN39" i="21"/>
  <c r="AE14" i="21"/>
  <c r="AL14" i="21" s="1" a="1"/>
  <c r="AL14" i="21" s="1"/>
  <c r="AP14" i="21" s="1"/>
  <c r="AN19" i="21"/>
  <c r="AE22" i="21"/>
  <c r="AL22" i="21" s="1" a="1"/>
  <c r="AL22" i="21" s="1"/>
  <c r="AN18" i="21"/>
  <c r="AN17" i="21"/>
  <c r="AP30" i="21"/>
  <c r="AN30" i="21"/>
  <c r="AN35" i="21"/>
  <c r="AL4" i="20" a="1"/>
  <c r="AL4" i="20" s="1"/>
  <c r="AP4" i="20" s="1"/>
  <c r="C10" i="23"/>
  <c r="I49" i="20"/>
  <c r="AL16" i="20" a="1"/>
  <c r="AL16" i="20" s="1"/>
  <c r="C17" i="23"/>
  <c r="AL6" i="20" a="1"/>
  <c r="AL6" i="20" s="1"/>
  <c r="AN6" i="20" s="1"/>
  <c r="C18" i="23"/>
  <c r="AL14" i="20" a="1"/>
  <c r="AL14" i="20" s="1"/>
  <c r="AM14" i="20" s="1"/>
  <c r="C19" i="23"/>
  <c r="AL19" i="20" a="1"/>
  <c r="AL19" i="20" s="1"/>
  <c r="C13" i="23"/>
  <c r="AL40" i="20" a="1"/>
  <c r="AL40" i="20" s="1"/>
  <c r="C40" i="23"/>
  <c r="AL20" i="20" a="1"/>
  <c r="AL20" i="20" s="1"/>
  <c r="C14" i="23"/>
  <c r="K31" i="23"/>
  <c r="K48" i="23" s="1"/>
  <c r="M28" i="23"/>
  <c r="G28" i="23" s="1"/>
  <c r="L29" i="23"/>
  <c r="V133" i="2"/>
  <c r="T133" i="2"/>
  <c r="U133" i="2"/>
  <c r="Q133" i="2"/>
  <c r="M133" i="2"/>
  <c r="AE27" i="21"/>
  <c r="AL27" i="21" s="1" a="1"/>
  <c r="AL27" i="21" s="1"/>
  <c r="AJ46" i="21"/>
  <c r="W7" i="21"/>
  <c r="AE40" i="21"/>
  <c r="AL40" i="21" s="1" a="1"/>
  <c r="AL40" i="21" s="1"/>
  <c r="AI7" i="21"/>
  <c r="AK23" i="21"/>
  <c r="AE9" i="21"/>
  <c r="AL9" i="21" s="1" a="1"/>
  <c r="AL9" i="21" s="1"/>
  <c r="AN9" i="21" s="1"/>
  <c r="AK46" i="21"/>
  <c r="AE11" i="21"/>
  <c r="AL11" i="21" s="1" a="1"/>
  <c r="AL11" i="21" s="1"/>
  <c r="AP11" i="21" s="1"/>
  <c r="AE6" i="21"/>
  <c r="I57" i="21"/>
  <c r="J57" i="21" s="1"/>
  <c r="J56" i="21"/>
  <c r="J58" i="21"/>
  <c r="U47" i="21"/>
  <c r="Y47" i="21" s="1"/>
  <c r="AD47" i="21"/>
  <c r="Y26" i="21"/>
  <c r="AI3" i="21"/>
  <c r="W3" i="21"/>
  <c r="R24" i="21"/>
  <c r="AG3" i="21"/>
  <c r="AI45" i="21"/>
  <c r="W45" i="21"/>
  <c r="AE45" i="21" s="1"/>
  <c r="AL45" i="21" s="1" a="1"/>
  <c r="AL45" i="21" s="1"/>
  <c r="AG45" i="21"/>
  <c r="AM45" i="21" s="1"/>
  <c r="Y7" i="21"/>
  <c r="W38" i="21"/>
  <c r="AE38" i="21" s="1"/>
  <c r="AL38" i="21" s="1" a="1"/>
  <c r="AL38" i="21" s="1"/>
  <c r="AG38" i="21"/>
  <c r="AM38" i="21" s="1"/>
  <c r="AI38" i="21"/>
  <c r="AI16" i="21"/>
  <c r="AG16" i="21"/>
  <c r="AM16" i="21" s="1"/>
  <c r="W16" i="21"/>
  <c r="AE16" i="21" s="1"/>
  <c r="AL16" i="21" s="1" a="1"/>
  <c r="AL16" i="21" s="1"/>
  <c r="AG12" i="21"/>
  <c r="AI12" i="21"/>
  <c r="W12" i="21"/>
  <c r="AE12" i="21" s="1"/>
  <c r="AL12" i="21" s="1" a="1"/>
  <c r="AL12" i="21" s="1"/>
  <c r="P49" i="21"/>
  <c r="AA24" i="21" s="1"/>
  <c r="R3" i="2" s="1"/>
  <c r="AG7" i="21"/>
  <c r="AI43" i="21"/>
  <c r="W43" i="21"/>
  <c r="AE43" i="21" s="1"/>
  <c r="AL43" i="21" s="1" a="1"/>
  <c r="AL43" i="21" s="1"/>
  <c r="AG43" i="21"/>
  <c r="U49" i="21"/>
  <c r="V7" i="21" s="1"/>
  <c r="Y24" i="21"/>
  <c r="AI36" i="21"/>
  <c r="W36" i="21"/>
  <c r="AE36" i="21" s="1"/>
  <c r="AL36" i="21" s="1" a="1"/>
  <c r="AL36" i="21" s="1"/>
  <c r="AG36" i="21"/>
  <c r="AM36" i="21" s="1"/>
  <c r="Y42" i="21"/>
  <c r="V42" i="21"/>
  <c r="AI37" i="21"/>
  <c r="W37" i="21"/>
  <c r="AE37" i="21" s="1"/>
  <c r="AG37" i="21"/>
  <c r="AM37" i="21" s="1"/>
  <c r="AL37" i="21" a="1"/>
  <c r="AL37" i="21" s="1"/>
  <c r="AG41" i="21"/>
  <c r="AM41" i="21" s="1"/>
  <c r="AI41" i="21"/>
  <c r="W41" i="21"/>
  <c r="AE41" i="21" s="1"/>
  <c r="AL41" i="21" s="1" a="1"/>
  <c r="AL41" i="21" s="1"/>
  <c r="AI4" i="21"/>
  <c r="W4" i="21"/>
  <c r="AE4" i="21" s="1"/>
  <c r="AG4" i="21"/>
  <c r="AI44" i="21"/>
  <c r="W44" i="21"/>
  <c r="AE44" i="21" s="1"/>
  <c r="AL44" i="21" s="1" a="1"/>
  <c r="AL44" i="21" s="1"/>
  <c r="AG44" i="21"/>
  <c r="W8" i="21"/>
  <c r="AE8" i="21" s="1"/>
  <c r="AI8" i="21"/>
  <c r="AG8" i="21"/>
  <c r="AG32" i="21"/>
  <c r="AM32" i="21" s="1"/>
  <c r="W32" i="21"/>
  <c r="AE32" i="21" s="1"/>
  <c r="AL32" i="21" s="1" a="1"/>
  <c r="AL32" i="21" s="1"/>
  <c r="AI32" i="21"/>
  <c r="AI13" i="21"/>
  <c r="W13" i="21"/>
  <c r="AE13" i="21" s="1"/>
  <c r="AL13" i="21" s="1" a="1"/>
  <c r="AL13" i="21" s="1"/>
  <c r="AG13" i="21"/>
  <c r="AM13" i="21" s="1"/>
  <c r="AD24" i="21"/>
  <c r="AD49" i="21" s="1"/>
  <c r="AJ23" i="21"/>
  <c r="AG21" i="21"/>
  <c r="AM21" i="21" s="1"/>
  <c r="AI21" i="21"/>
  <c r="W21" i="21"/>
  <c r="AE21" i="21" s="1"/>
  <c r="AL21" i="21" s="1" a="1"/>
  <c r="AL21" i="21" s="1"/>
  <c r="W29" i="21"/>
  <c r="AE29" i="21" s="1"/>
  <c r="AL29" i="21" s="1" a="1"/>
  <c r="AL29" i="21" s="1"/>
  <c r="AG29" i="21"/>
  <c r="AI29" i="21"/>
  <c r="AM18" i="21"/>
  <c r="AN10" i="21"/>
  <c r="AM10" i="21"/>
  <c r="AM9" i="21"/>
  <c r="AM14" i="21"/>
  <c r="AI42" i="21"/>
  <c r="W42" i="21"/>
  <c r="AE42" i="21" s="1"/>
  <c r="AL42" i="21" s="1" a="1"/>
  <c r="AL42" i="21" s="1"/>
  <c r="AG42" i="21"/>
  <c r="AG33" i="21"/>
  <c r="AM33" i="21" s="1"/>
  <c r="AI33" i="21"/>
  <c r="W33" i="21"/>
  <c r="AE33" i="21" s="1"/>
  <c r="AL33" i="21" s="1" a="1"/>
  <c r="AL33" i="21" s="1"/>
  <c r="T49" i="21"/>
  <c r="AG28" i="21"/>
  <c r="AM28" i="21" s="1"/>
  <c r="W28" i="21"/>
  <c r="AE28" i="21" s="1"/>
  <c r="AL28" i="21" s="1" a="1"/>
  <c r="AL28" i="21" s="1"/>
  <c r="AI28" i="21"/>
  <c r="AI26" i="21"/>
  <c r="W26" i="21"/>
  <c r="R47" i="21"/>
  <c r="AG26" i="21"/>
  <c r="AM11" i="21"/>
  <c r="AM27" i="21"/>
  <c r="W5" i="21"/>
  <c r="AE5" i="21" s="1"/>
  <c r="AG5" i="21"/>
  <c r="AI5" i="21"/>
  <c r="AM6" i="21"/>
  <c r="AJ46" i="20"/>
  <c r="W21" i="20"/>
  <c r="AE21" i="20" s="1"/>
  <c r="AG21" i="20"/>
  <c r="AM21" i="20" s="1"/>
  <c r="AE12" i="20"/>
  <c r="AN4" i="20"/>
  <c r="AI35" i="20"/>
  <c r="AG35" i="20"/>
  <c r="AM35" i="20" s="1"/>
  <c r="W35" i="20"/>
  <c r="AE35" i="20" s="1"/>
  <c r="AI33" i="20"/>
  <c r="AG33" i="20"/>
  <c r="AM33" i="20" s="1"/>
  <c r="W33" i="20"/>
  <c r="AE33" i="20" s="1"/>
  <c r="C32" i="23" s="1"/>
  <c r="AG42" i="20"/>
  <c r="AI42" i="20"/>
  <c r="W42" i="20"/>
  <c r="AE42" i="20" s="1"/>
  <c r="C43" i="23" s="1"/>
  <c r="W22" i="20"/>
  <c r="AE22" i="20" s="1"/>
  <c r="AI22" i="20"/>
  <c r="AG22" i="20"/>
  <c r="AM22" i="20" s="1"/>
  <c r="R24" i="20"/>
  <c r="AG3" i="20"/>
  <c r="AI3" i="20"/>
  <c r="W3" i="20"/>
  <c r="AK23" i="20"/>
  <c r="W17" i="20"/>
  <c r="AE17" i="20" s="1"/>
  <c r="AG17" i="20"/>
  <c r="AM17" i="20" s="1"/>
  <c r="AI17" i="20"/>
  <c r="AG44" i="20"/>
  <c r="AI44" i="20"/>
  <c r="W44" i="20"/>
  <c r="AE44" i="20" s="1"/>
  <c r="Y21" i="20"/>
  <c r="AG38" i="20"/>
  <c r="AM38" i="20" s="1"/>
  <c r="AI38" i="20"/>
  <c r="W38" i="20"/>
  <c r="AE38" i="20" s="1"/>
  <c r="Y3" i="20"/>
  <c r="U24" i="20"/>
  <c r="AI31" i="20"/>
  <c r="AG31" i="20"/>
  <c r="AM31" i="20" s="1"/>
  <c r="W31" i="20"/>
  <c r="AE31" i="20" s="1"/>
  <c r="AI45" i="20"/>
  <c r="W45" i="20"/>
  <c r="AE45" i="20" s="1"/>
  <c r="AG45" i="20"/>
  <c r="AM45" i="20" s="1"/>
  <c r="AI29" i="20"/>
  <c r="AG29" i="20"/>
  <c r="W29" i="20"/>
  <c r="AE29" i="20" s="1"/>
  <c r="AG36" i="20"/>
  <c r="AI36" i="20"/>
  <c r="W36" i="20"/>
  <c r="AE36" i="20" s="1"/>
  <c r="AD47" i="20"/>
  <c r="AI7" i="20"/>
  <c r="W7" i="20"/>
  <c r="AE7" i="20" s="1"/>
  <c r="AG7" i="20"/>
  <c r="AG8" i="20"/>
  <c r="AI8" i="20"/>
  <c r="W8" i="20"/>
  <c r="AE8" i="20" s="1"/>
  <c r="AI13" i="20"/>
  <c r="W13" i="20"/>
  <c r="AE13" i="20" s="1"/>
  <c r="AG13" i="20"/>
  <c r="AI43" i="20"/>
  <c r="W43" i="20"/>
  <c r="AE43" i="20" s="1"/>
  <c r="AG43" i="20"/>
  <c r="AI41" i="20"/>
  <c r="W41" i="20"/>
  <c r="AE41" i="20" s="1"/>
  <c r="AG41" i="20"/>
  <c r="AM41" i="20" s="1"/>
  <c r="AG32" i="20"/>
  <c r="AM32" i="20" s="1"/>
  <c r="AI32" i="20"/>
  <c r="W32" i="20"/>
  <c r="AE32" i="20" s="1"/>
  <c r="AI15" i="20"/>
  <c r="W15" i="20"/>
  <c r="AE15" i="20" s="1"/>
  <c r="AG15" i="20"/>
  <c r="AM15" i="20" s="1"/>
  <c r="AG10" i="20"/>
  <c r="AI10" i="20"/>
  <c r="W10" i="20"/>
  <c r="AE10" i="20" s="1"/>
  <c r="AM4" i="20"/>
  <c r="AG34" i="20"/>
  <c r="AM34" i="20" s="1"/>
  <c r="AI34" i="20"/>
  <c r="W34" i="20"/>
  <c r="AE34" i="20" s="1"/>
  <c r="AI39" i="20"/>
  <c r="AG39" i="20"/>
  <c r="AM39" i="20" s="1"/>
  <c r="W39" i="20"/>
  <c r="AE39" i="20" s="1"/>
  <c r="AG30" i="20"/>
  <c r="AM30" i="20" s="1"/>
  <c r="AI30" i="20"/>
  <c r="W30" i="20"/>
  <c r="AE30" i="20" s="1"/>
  <c r="AI18" i="20"/>
  <c r="W18" i="20"/>
  <c r="AE18" i="20" s="1"/>
  <c r="AG18" i="20"/>
  <c r="W11" i="20"/>
  <c r="AE11" i="20" s="1"/>
  <c r="AG11" i="20"/>
  <c r="AI11" i="20"/>
  <c r="AG26" i="20"/>
  <c r="R47" i="20"/>
  <c r="AI26" i="20"/>
  <c r="W26" i="20"/>
  <c r="P49" i="20"/>
  <c r="AA24" i="20" s="1"/>
  <c r="R5" i="2" s="1"/>
  <c r="AI27" i="20"/>
  <c r="AG27" i="20"/>
  <c r="W27" i="20"/>
  <c r="W9" i="20"/>
  <c r="AE9" i="20" s="1"/>
  <c r="AG9" i="20"/>
  <c r="AI9" i="20"/>
  <c r="AI37" i="20"/>
  <c r="AG37" i="20"/>
  <c r="AM37" i="20" s="1"/>
  <c r="W37" i="20"/>
  <c r="AE37" i="20" s="1"/>
  <c r="AG28" i="20"/>
  <c r="AM28" i="20" s="1"/>
  <c r="AI28" i="20"/>
  <c r="W28" i="20"/>
  <c r="AE28" i="20" s="1"/>
  <c r="AI5" i="20"/>
  <c r="AG5" i="20"/>
  <c r="W5" i="20"/>
  <c r="AE5" i="20" s="1"/>
  <c r="AJ23" i="20"/>
  <c r="AN15" i="21" l="1"/>
  <c r="F33" i="75"/>
  <c r="E34" i="75"/>
  <c r="F16" i="75"/>
  <c r="E17" i="75"/>
  <c r="E11" i="65"/>
  <c r="F8" i="65"/>
  <c r="E9" i="65"/>
  <c r="F7" i="39"/>
  <c r="E8" i="39"/>
  <c r="F32" i="39"/>
  <c r="E33" i="39"/>
  <c r="E34" i="65"/>
  <c r="F33" i="65"/>
  <c r="F31" i="31"/>
  <c r="E32" i="31"/>
  <c r="F5" i="31"/>
  <c r="E6" i="31"/>
  <c r="E8" i="31"/>
  <c r="F41" i="72"/>
  <c r="E42" i="72"/>
  <c r="F20" i="72"/>
  <c r="E21" i="72"/>
  <c r="K16" i="32"/>
  <c r="K17" i="1" s="1"/>
  <c r="G14" i="66"/>
  <c r="G18" i="66"/>
  <c r="G39" i="66"/>
  <c r="G45" i="66"/>
  <c r="G38" i="64"/>
  <c r="G44" i="64"/>
  <c r="M47" i="67"/>
  <c r="L48" i="67"/>
  <c r="F23" i="67"/>
  <c r="E24" i="67"/>
  <c r="M22" i="67"/>
  <c r="G20" i="67" s="1"/>
  <c r="L23" i="67"/>
  <c r="F46" i="67"/>
  <c r="E47" i="67"/>
  <c r="M22" i="66"/>
  <c r="L23" i="66"/>
  <c r="M46" i="66"/>
  <c r="G46" i="66" s="1"/>
  <c r="L47" i="66"/>
  <c r="F47" i="66"/>
  <c r="E48" i="66"/>
  <c r="F21" i="66"/>
  <c r="E22" i="66"/>
  <c r="M44" i="65"/>
  <c r="G39" i="65" s="1"/>
  <c r="L45" i="65"/>
  <c r="M22" i="65"/>
  <c r="L23" i="65"/>
  <c r="F38" i="45"/>
  <c r="E39" i="45"/>
  <c r="G40" i="45"/>
  <c r="F14" i="45"/>
  <c r="E15" i="45"/>
  <c r="G11" i="45"/>
  <c r="F45" i="64"/>
  <c r="E46" i="64"/>
  <c r="F21" i="64"/>
  <c r="E22" i="64"/>
  <c r="M45" i="64"/>
  <c r="L46" i="64"/>
  <c r="M21" i="64"/>
  <c r="G14" i="64" s="1"/>
  <c r="L22" i="64"/>
  <c r="E36" i="42"/>
  <c r="F35" i="42"/>
  <c r="F12" i="42"/>
  <c r="E13" i="42"/>
  <c r="G30" i="39"/>
  <c r="M19" i="45"/>
  <c r="L20" i="45"/>
  <c r="M42" i="45"/>
  <c r="L43" i="45"/>
  <c r="M16" i="42"/>
  <c r="G11" i="42" s="1"/>
  <c r="L17" i="42"/>
  <c r="M40" i="42"/>
  <c r="L41" i="42"/>
  <c r="L12" i="31"/>
  <c r="M11" i="31"/>
  <c r="M11" i="39"/>
  <c r="L12" i="39"/>
  <c r="L37" i="39"/>
  <c r="M36" i="39"/>
  <c r="G5" i="27"/>
  <c r="L38" i="31"/>
  <c r="M37" i="31"/>
  <c r="M6" i="25"/>
  <c r="G6" i="25" s="1"/>
  <c r="L7" i="25"/>
  <c r="F32" i="27"/>
  <c r="E33" i="27"/>
  <c r="M32" i="27"/>
  <c r="L33" i="27"/>
  <c r="M10" i="27"/>
  <c r="L11" i="27"/>
  <c r="F7" i="27"/>
  <c r="E8" i="27"/>
  <c r="AP6" i="20"/>
  <c r="AM6" i="20"/>
  <c r="E5" i="2"/>
  <c r="R133" i="2"/>
  <c r="K13" i="23"/>
  <c r="K19" i="23"/>
  <c r="K18" i="23"/>
  <c r="K5" i="23"/>
  <c r="K9" i="23"/>
  <c r="K20" i="23"/>
  <c r="K17" i="23"/>
  <c r="K21" i="23"/>
  <c r="K14" i="23"/>
  <c r="K8" i="23"/>
  <c r="K6" i="23"/>
  <c r="K15" i="23"/>
  <c r="K11" i="23"/>
  <c r="K7" i="23"/>
  <c r="K22" i="23"/>
  <c r="K12" i="23"/>
  <c r="K23" i="23"/>
  <c r="K10" i="23"/>
  <c r="K16" i="23"/>
  <c r="K4" i="23"/>
  <c r="K5" i="22"/>
  <c r="K7" i="22"/>
  <c r="K6" i="22"/>
  <c r="K4" i="22"/>
  <c r="L4" i="22" s="1"/>
  <c r="M4" i="22" s="1"/>
  <c r="K9" i="22"/>
  <c r="R137" i="2"/>
  <c r="E3" i="2"/>
  <c r="K10" i="22"/>
  <c r="F30" i="25"/>
  <c r="E31" i="25"/>
  <c r="M32" i="25"/>
  <c r="L33" i="25"/>
  <c r="F6" i="25"/>
  <c r="E7" i="25"/>
  <c r="AP16" i="21"/>
  <c r="AN16" i="21"/>
  <c r="AL4" i="21" a="1"/>
  <c r="AL4" i="21" s="1"/>
  <c r="C7" i="22"/>
  <c r="AP36" i="21"/>
  <c r="AN36" i="21"/>
  <c r="AP43" i="21"/>
  <c r="AN43" i="21"/>
  <c r="AP21" i="21"/>
  <c r="AN21" i="21"/>
  <c r="AL8" i="21" a="1"/>
  <c r="AL8" i="21" s="1"/>
  <c r="C5" i="22"/>
  <c r="AN14" i="21"/>
  <c r="AP40" i="21"/>
  <c r="AN40" i="21"/>
  <c r="AP37" i="21"/>
  <c r="AN37" i="21"/>
  <c r="AP28" i="21"/>
  <c r="AN28" i="21"/>
  <c r="AP32" i="21"/>
  <c r="AN32" i="21"/>
  <c r="AP45" i="21"/>
  <c r="AN45" i="21"/>
  <c r="AL6" i="21" a="1"/>
  <c r="AL6" i="21" s="1"/>
  <c r="AP6" i="21" s="1"/>
  <c r="C9" i="22"/>
  <c r="AP38" i="21"/>
  <c r="AN38" i="21"/>
  <c r="AP29" i="21"/>
  <c r="AN29" i="21"/>
  <c r="AL5" i="21" a="1"/>
  <c r="AL5" i="21" s="1"/>
  <c r="C8" i="22"/>
  <c r="AP44" i="21"/>
  <c r="AN44" i="21"/>
  <c r="AP27" i="21"/>
  <c r="AN27" i="21"/>
  <c r="AP33" i="21"/>
  <c r="AN33" i="21"/>
  <c r="AP41" i="21"/>
  <c r="AN41" i="21"/>
  <c r="AP42" i="21"/>
  <c r="AN42" i="21"/>
  <c r="AP9" i="21"/>
  <c r="AP22" i="21"/>
  <c r="AN22" i="21"/>
  <c r="AL21" i="20" a="1"/>
  <c r="AL21" i="20" s="1"/>
  <c r="C15" i="23"/>
  <c r="AL15" i="20" a="1"/>
  <c r="AL15" i="20" s="1"/>
  <c r="C22" i="23"/>
  <c r="AL9" i="20" a="1"/>
  <c r="AL9" i="20" s="1"/>
  <c r="AM9" i="20" s="1"/>
  <c r="C12" i="23"/>
  <c r="AN14" i="20"/>
  <c r="AP20" i="20"/>
  <c r="AN20" i="20"/>
  <c r="AL13" i="20" a="1"/>
  <c r="AL13" i="20" s="1"/>
  <c r="AP13" i="20" s="1"/>
  <c r="C8" i="23"/>
  <c r="AL18" i="20" a="1"/>
  <c r="AL18" i="20" s="1"/>
  <c r="C21" i="23"/>
  <c r="AL10" i="20" a="1"/>
  <c r="AL10" i="20" s="1"/>
  <c r="AM10" i="20" s="1"/>
  <c r="C7" i="23"/>
  <c r="AL32" i="20" a="1"/>
  <c r="AL32" i="20" s="1"/>
  <c r="C31" i="23"/>
  <c r="AL8" i="20" a="1"/>
  <c r="AL8" i="20" s="1"/>
  <c r="AP8" i="20" s="1"/>
  <c r="C9" i="23"/>
  <c r="AL42" i="20" a="1"/>
  <c r="AL42" i="20" s="1"/>
  <c r="AL35" i="20" a="1"/>
  <c r="AL35" i="20" s="1"/>
  <c r="C46" i="23"/>
  <c r="AP14" i="20"/>
  <c r="AL31" i="20" a="1"/>
  <c r="AL31" i="20" s="1"/>
  <c r="C30" i="23"/>
  <c r="AL39" i="20" a="1"/>
  <c r="AL39" i="20" s="1"/>
  <c r="C37" i="23"/>
  <c r="AL36" i="20" a="1"/>
  <c r="AL36" i="20" s="1"/>
  <c r="C34" i="23"/>
  <c r="AL12" i="20" a="1"/>
  <c r="AL12" i="20" s="1"/>
  <c r="AP12" i="20" s="1"/>
  <c r="C23" i="23"/>
  <c r="AP40" i="20"/>
  <c r="AN40" i="20"/>
  <c r="AP16" i="20"/>
  <c r="AN16" i="20"/>
  <c r="AL7" i="20" a="1"/>
  <c r="AL7" i="20" s="1"/>
  <c r="AM7" i="20" s="1"/>
  <c r="C5" i="23"/>
  <c r="AL5" i="20" a="1"/>
  <c r="AL5" i="20" s="1"/>
  <c r="AP5" i="20" s="1"/>
  <c r="C11" i="23"/>
  <c r="AL27" i="20" a="1"/>
  <c r="AL27" i="20" s="1"/>
  <c r="AM27" i="20" s="1"/>
  <c r="AE27" i="20"/>
  <c r="C45" i="23" s="1"/>
  <c r="AL43" i="20" a="1"/>
  <c r="AL43" i="20" s="1"/>
  <c r="C28" i="23"/>
  <c r="AL17" i="20" a="1"/>
  <c r="AL17" i="20" s="1"/>
  <c r="C20" i="23"/>
  <c r="AL33" i="20" a="1"/>
  <c r="AL33" i="20" s="1"/>
  <c r="J56" i="20"/>
  <c r="I57" i="20"/>
  <c r="J57" i="20" s="1"/>
  <c r="J58" i="20"/>
  <c r="AL28" i="20" a="1"/>
  <c r="AL28" i="20" s="1"/>
  <c r="C42" i="23"/>
  <c r="AL29" i="20" a="1"/>
  <c r="AL29" i="20" s="1"/>
  <c r="AM29" i="20" s="1"/>
  <c r="C44" i="23"/>
  <c r="AL11" i="20" a="1"/>
  <c r="AL11" i="20" s="1"/>
  <c r="AN11" i="20" s="1"/>
  <c r="C6" i="23"/>
  <c r="AL37" i="20" a="1"/>
  <c r="AL37" i="20" s="1"/>
  <c r="C35" i="23"/>
  <c r="AL34" i="20" a="1"/>
  <c r="AL34" i="20" s="1"/>
  <c r="C33" i="23"/>
  <c r="AL45" i="20" a="1"/>
  <c r="AL45" i="20" s="1"/>
  <c r="C41" i="23"/>
  <c r="AP19" i="20"/>
  <c r="AN19" i="20"/>
  <c r="AL38" i="20" a="1"/>
  <c r="AL38" i="20" s="1"/>
  <c r="C36" i="23"/>
  <c r="AL41" i="20" a="1"/>
  <c r="AL41" i="20" s="1"/>
  <c r="C38" i="23"/>
  <c r="AL30" i="20" a="1"/>
  <c r="AL30" i="20" s="1"/>
  <c r="C39" i="23"/>
  <c r="AL44" i="20" a="1"/>
  <c r="AL44" i="20" s="1"/>
  <c r="AM44" i="20" s="1"/>
  <c r="C47" i="23"/>
  <c r="AL22" i="20" a="1"/>
  <c r="AL22" i="20" s="1"/>
  <c r="C16" i="23"/>
  <c r="M29" i="23"/>
  <c r="L30" i="23"/>
  <c r="AN11" i="21"/>
  <c r="V26" i="21"/>
  <c r="R49" i="21"/>
  <c r="AE7" i="21"/>
  <c r="AP12" i="21"/>
  <c r="AN12" i="21"/>
  <c r="AP4" i="21"/>
  <c r="AN4" i="21"/>
  <c r="AN8" i="21"/>
  <c r="AP8" i="21"/>
  <c r="W47" i="21"/>
  <c r="L4" i="2" s="1"/>
  <c r="AP13" i="21"/>
  <c r="AN13" i="21"/>
  <c r="AM4" i="21"/>
  <c r="AP5" i="21"/>
  <c r="AN5" i="21"/>
  <c r="AI46" i="21"/>
  <c r="AM29" i="21"/>
  <c r="V35" i="21"/>
  <c r="V34" i="21"/>
  <c r="V18" i="21"/>
  <c r="V15" i="21"/>
  <c r="V38" i="21"/>
  <c r="V21" i="21"/>
  <c r="V5" i="21"/>
  <c r="V12" i="21"/>
  <c r="V3" i="21"/>
  <c r="V32" i="21"/>
  <c r="V4" i="21"/>
  <c r="V27" i="21"/>
  <c r="V14" i="21"/>
  <c r="V22" i="21"/>
  <c r="V37" i="21"/>
  <c r="V40" i="21"/>
  <c r="V41" i="21"/>
  <c r="V11" i="21"/>
  <c r="V45" i="21"/>
  <c r="V10" i="21"/>
  <c r="V8" i="21"/>
  <c r="V31" i="21"/>
  <c r="V30" i="21"/>
  <c r="V20" i="21"/>
  <c r="V6" i="21"/>
  <c r="V19" i="21"/>
  <c r="V29" i="21"/>
  <c r="Y49" i="21"/>
  <c r="V39" i="21"/>
  <c r="V16" i="21"/>
  <c r="V9" i="21"/>
  <c r="V28" i="21"/>
  <c r="V13" i="21"/>
  <c r="V43" i="21"/>
  <c r="V17" i="21"/>
  <c r="V36" i="21"/>
  <c r="V44" i="21"/>
  <c r="V33" i="21"/>
  <c r="AG23" i="21"/>
  <c r="AE26" i="21"/>
  <c r="AM44" i="21"/>
  <c r="AM43" i="21"/>
  <c r="W24" i="21"/>
  <c r="L3" i="2" s="1"/>
  <c r="AE3" i="21"/>
  <c r="C6" i="22" s="1"/>
  <c r="AI23" i="21"/>
  <c r="AA47" i="21"/>
  <c r="AG46" i="21"/>
  <c r="AM26" i="21"/>
  <c r="AM42" i="21"/>
  <c r="AM12" i="21"/>
  <c r="AM5" i="21"/>
  <c r="AM8" i="21"/>
  <c r="AI46" i="20"/>
  <c r="AM18" i="20"/>
  <c r="AG23" i="20"/>
  <c r="AG46" i="20"/>
  <c r="AM43" i="20"/>
  <c r="R49" i="20"/>
  <c r="AA47" i="20"/>
  <c r="AM36" i="20"/>
  <c r="U49" i="20"/>
  <c r="Y24" i="20"/>
  <c r="W47" i="20"/>
  <c r="L6" i="2" s="1"/>
  <c r="AE26" i="20"/>
  <c r="C29" i="23" s="1"/>
  <c r="AD24" i="20"/>
  <c r="AD49" i="20" s="1"/>
  <c r="AM42" i="20"/>
  <c r="AE3" i="20"/>
  <c r="C4" i="23" s="1"/>
  <c r="W24" i="20"/>
  <c r="L5" i="2" s="1"/>
  <c r="AI23" i="20"/>
  <c r="F17" i="75" l="1"/>
  <c r="E18" i="75"/>
  <c r="F34" i="75"/>
  <c r="E35" i="75"/>
  <c r="F8" i="39"/>
  <c r="E9" i="39"/>
  <c r="E10" i="65"/>
  <c r="F10" i="65" s="1"/>
  <c r="F9" i="65"/>
  <c r="F11" i="65"/>
  <c r="E12" i="65"/>
  <c r="E34" i="39"/>
  <c r="F33" i="39"/>
  <c r="E35" i="65"/>
  <c r="F34" i="65"/>
  <c r="F32" i="31"/>
  <c r="E33" i="31"/>
  <c r="F8" i="31"/>
  <c r="E9" i="31"/>
  <c r="F6" i="31"/>
  <c r="E7" i="31"/>
  <c r="F7" i="31" s="1"/>
  <c r="F42" i="72"/>
  <c r="E43" i="72"/>
  <c r="E22" i="72"/>
  <c r="F21" i="72"/>
  <c r="G47" i="67"/>
  <c r="G19" i="67"/>
  <c r="G19" i="66"/>
  <c r="G20" i="64"/>
  <c r="G39" i="64"/>
  <c r="G45" i="64"/>
  <c r="F47" i="67"/>
  <c r="E48" i="67"/>
  <c r="M23" i="67"/>
  <c r="L24" i="67"/>
  <c r="F24" i="67"/>
  <c r="E25" i="67"/>
  <c r="F25" i="67" s="1"/>
  <c r="M48" i="67"/>
  <c r="G40" i="67" s="1"/>
  <c r="L49" i="67"/>
  <c r="M49" i="67" s="1"/>
  <c r="F22" i="66"/>
  <c r="E23" i="66"/>
  <c r="F48" i="66"/>
  <c r="E49" i="66"/>
  <c r="F49" i="66" s="1"/>
  <c r="M47" i="66"/>
  <c r="L48" i="66"/>
  <c r="M23" i="66"/>
  <c r="G20" i="66" s="1"/>
  <c r="L24" i="66"/>
  <c r="G22" i="65"/>
  <c r="G17" i="65"/>
  <c r="G42" i="65"/>
  <c r="M45" i="65"/>
  <c r="G40" i="65" s="1"/>
  <c r="L46" i="65"/>
  <c r="M23" i="65"/>
  <c r="L24" i="65"/>
  <c r="E40" i="45"/>
  <c r="F39" i="45"/>
  <c r="G41" i="45"/>
  <c r="E16" i="45"/>
  <c r="F15" i="45"/>
  <c r="G19" i="45"/>
  <c r="G12" i="45"/>
  <c r="M22" i="64"/>
  <c r="L23" i="64"/>
  <c r="M46" i="64"/>
  <c r="G46" i="64" s="1"/>
  <c r="L47" i="64"/>
  <c r="F22" i="64"/>
  <c r="E23" i="64"/>
  <c r="F46" i="64"/>
  <c r="E47" i="64"/>
  <c r="F36" i="42"/>
  <c r="E37" i="42"/>
  <c r="F13" i="42"/>
  <c r="E14" i="42"/>
  <c r="G9" i="39"/>
  <c r="G31" i="39"/>
  <c r="L44" i="45"/>
  <c r="M43" i="45"/>
  <c r="M20" i="45"/>
  <c r="L21" i="45"/>
  <c r="M41" i="42"/>
  <c r="L42" i="42"/>
  <c r="M17" i="42"/>
  <c r="G17" i="42" s="1"/>
  <c r="L18" i="42"/>
  <c r="M12" i="31"/>
  <c r="G7" i="31" s="1"/>
  <c r="L13" i="31"/>
  <c r="M37" i="39"/>
  <c r="G35" i="39" s="1"/>
  <c r="L38" i="39"/>
  <c r="M12" i="39"/>
  <c r="L13" i="39"/>
  <c r="G28" i="27"/>
  <c r="M38" i="31"/>
  <c r="L39" i="31"/>
  <c r="L8" i="25"/>
  <c r="M7" i="25"/>
  <c r="F8" i="27"/>
  <c r="E9" i="27"/>
  <c r="M11" i="27"/>
  <c r="L12" i="27"/>
  <c r="F33" i="27"/>
  <c r="E34" i="27"/>
  <c r="M33" i="27"/>
  <c r="L34" i="27"/>
  <c r="AM12" i="20"/>
  <c r="AM5" i="20"/>
  <c r="AN5" i="20"/>
  <c r="AM8" i="20"/>
  <c r="AN12" i="20"/>
  <c r="AP11" i="20"/>
  <c r="AM11" i="20"/>
  <c r="AM13" i="20"/>
  <c r="AN9" i="20"/>
  <c r="AN13" i="20"/>
  <c r="L4" i="23"/>
  <c r="M4" i="23" s="1"/>
  <c r="G4" i="23" s="1"/>
  <c r="K24" i="23"/>
  <c r="AA50" i="20"/>
  <c r="AK49" i="20" s="1"/>
  <c r="R6" i="2"/>
  <c r="Y6" i="2" s="1"/>
  <c r="L5" i="22"/>
  <c r="AA50" i="21"/>
  <c r="AK49" i="21" s="1"/>
  <c r="R4" i="2"/>
  <c r="E4" i="2" s="1"/>
  <c r="F7" i="25"/>
  <c r="E8" i="25"/>
  <c r="M33" i="25"/>
  <c r="L34" i="25"/>
  <c r="F31" i="25"/>
  <c r="E32" i="25"/>
  <c r="AN6" i="21"/>
  <c r="L137" i="2"/>
  <c r="AL7" i="21" a="1"/>
  <c r="AL7" i="21" s="1"/>
  <c r="AP7" i="21" s="1"/>
  <c r="C4" i="22"/>
  <c r="AP22" i="20"/>
  <c r="AN22" i="20"/>
  <c r="AP35" i="20"/>
  <c r="AN35" i="20"/>
  <c r="C24" i="23"/>
  <c r="D21" i="23" s="1"/>
  <c r="AP44" i="20"/>
  <c r="AN44" i="20"/>
  <c r="AP37" i="20"/>
  <c r="AN37" i="20"/>
  <c r="AP43" i="20"/>
  <c r="AN43" i="20"/>
  <c r="AP39" i="20"/>
  <c r="AN39" i="20"/>
  <c r="AP42" i="20"/>
  <c r="AN42" i="20"/>
  <c r="AP18" i="20"/>
  <c r="AN18" i="20"/>
  <c r="AP34" i="20"/>
  <c r="AN34" i="20"/>
  <c r="AP28" i="20"/>
  <c r="AN28" i="20"/>
  <c r="C48" i="23"/>
  <c r="D35" i="23" s="1"/>
  <c r="AP9" i="20"/>
  <c r="AN7" i="20"/>
  <c r="AP17" i="20"/>
  <c r="AN17" i="20"/>
  <c r="AN8" i="20"/>
  <c r="AP15" i="20"/>
  <c r="AN15" i="20"/>
  <c r="AP38" i="20"/>
  <c r="AN38" i="20"/>
  <c r="AP36" i="20"/>
  <c r="AN36" i="20"/>
  <c r="AP7" i="20"/>
  <c r="AP30" i="20"/>
  <c r="AN30" i="20"/>
  <c r="AP31" i="20"/>
  <c r="AN31" i="20"/>
  <c r="L134" i="2"/>
  <c r="AP10" i="20"/>
  <c r="AP41" i="20"/>
  <c r="AN41" i="20"/>
  <c r="AP45" i="20"/>
  <c r="AN45" i="20"/>
  <c r="AP33" i="20"/>
  <c r="AN33" i="20"/>
  <c r="AP32" i="20"/>
  <c r="AN32" i="20"/>
  <c r="L133" i="2"/>
  <c r="Y5" i="2"/>
  <c r="AP27" i="20"/>
  <c r="AN27" i="20"/>
  <c r="AN10" i="20"/>
  <c r="AP29" i="20"/>
  <c r="AN29" i="20"/>
  <c r="D20" i="23"/>
  <c r="AP21" i="20"/>
  <c r="AN21" i="20"/>
  <c r="M30" i="23"/>
  <c r="L31" i="23"/>
  <c r="V47" i="21"/>
  <c r="AE24" i="21"/>
  <c r="AE49" i="21" s="1"/>
  <c r="AL3" i="21"/>
  <c r="W49" i="21"/>
  <c r="AM46" i="21"/>
  <c r="AE47" i="21"/>
  <c r="AL26" i="21" a="1"/>
  <c r="AL26" i="21" s="1"/>
  <c r="AN26" i="21" s="1"/>
  <c r="AN46" i="21" s="1"/>
  <c r="V24" i="21"/>
  <c r="V49" i="21" s="1"/>
  <c r="AE47" i="20"/>
  <c r="AL26" i="20" a="1"/>
  <c r="AL26" i="20" s="1"/>
  <c r="AN26" i="20" s="1"/>
  <c r="AN46" i="20" s="1"/>
  <c r="W49" i="20"/>
  <c r="V22" i="20"/>
  <c r="V11" i="20"/>
  <c r="V12" i="20"/>
  <c r="V32" i="20"/>
  <c r="V43" i="20"/>
  <c r="V38" i="20"/>
  <c r="V44" i="20"/>
  <c r="V5" i="20"/>
  <c r="V10" i="20"/>
  <c r="V9" i="20"/>
  <c r="V39" i="20"/>
  <c r="V35" i="20"/>
  <c r="V18" i="20"/>
  <c r="V27" i="20"/>
  <c r="V19" i="20"/>
  <c r="V13" i="20"/>
  <c r="V14" i="20"/>
  <c r="V30" i="20"/>
  <c r="V28" i="20"/>
  <c r="V26" i="20"/>
  <c r="V37" i="20"/>
  <c r="V8" i="20"/>
  <c r="V33" i="20"/>
  <c r="V20" i="20"/>
  <c r="V42" i="20"/>
  <c r="V34" i="20"/>
  <c r="V7" i="20"/>
  <c r="V17" i="20"/>
  <c r="V41" i="20"/>
  <c r="V40" i="20"/>
  <c r="V45" i="20"/>
  <c r="V6" i="20"/>
  <c r="V36" i="20"/>
  <c r="V29" i="20"/>
  <c r="V15" i="20"/>
  <c r="V4" i="20"/>
  <c r="V16" i="20"/>
  <c r="V31" i="20"/>
  <c r="V21" i="20"/>
  <c r="V3" i="20"/>
  <c r="Y49" i="20"/>
  <c r="AE24" i="20"/>
  <c r="AL3" i="20"/>
  <c r="Z5" i="2" l="1"/>
  <c r="D36" i="23"/>
  <c r="D39" i="23"/>
  <c r="F35" i="75"/>
  <c r="E36" i="75"/>
  <c r="F18" i="75"/>
  <c r="E19" i="75"/>
  <c r="F12" i="65"/>
  <c r="E13" i="65"/>
  <c r="F9" i="39"/>
  <c r="E10" i="39"/>
  <c r="F34" i="39"/>
  <c r="E35" i="39"/>
  <c r="E36" i="65"/>
  <c r="F35" i="65"/>
  <c r="E34" i="31"/>
  <c r="F33" i="31"/>
  <c r="E10" i="31"/>
  <c r="F9" i="31"/>
  <c r="E44" i="72"/>
  <c r="F43" i="72"/>
  <c r="E23" i="72"/>
  <c r="F22" i="72"/>
  <c r="G48" i="67"/>
  <c r="G41" i="67"/>
  <c r="G49" i="67"/>
  <c r="G15" i="67"/>
  <c r="G23" i="67"/>
  <c r="G47" i="66"/>
  <c r="G15" i="66"/>
  <c r="G23" i="66"/>
  <c r="G19" i="64"/>
  <c r="M24" i="67"/>
  <c r="G22" i="67" s="1"/>
  <c r="L25" i="67"/>
  <c r="M25" i="67" s="1"/>
  <c r="F48" i="67"/>
  <c r="E49" i="67"/>
  <c r="F49" i="67" s="1"/>
  <c r="M24" i="66"/>
  <c r="L25" i="66"/>
  <c r="M25" i="66" s="1"/>
  <c r="G22" i="66" s="1"/>
  <c r="M48" i="66"/>
  <c r="G40" i="66" s="1"/>
  <c r="L49" i="66"/>
  <c r="M49" i="66" s="1"/>
  <c r="F23" i="66"/>
  <c r="E24" i="66"/>
  <c r="G23" i="65"/>
  <c r="G21" i="65"/>
  <c r="M46" i="65"/>
  <c r="G43" i="65" s="1"/>
  <c r="L47" i="65"/>
  <c r="M24" i="65"/>
  <c r="L25" i="65"/>
  <c r="M25" i="65" s="1"/>
  <c r="G42" i="45"/>
  <c r="F40" i="45"/>
  <c r="E41" i="45"/>
  <c r="F16" i="45"/>
  <c r="E17" i="45"/>
  <c r="G20" i="45"/>
  <c r="G13" i="45"/>
  <c r="F47" i="64"/>
  <c r="E48" i="64"/>
  <c r="M23" i="64"/>
  <c r="G22" i="64" s="1"/>
  <c r="L24" i="64"/>
  <c r="F23" i="64"/>
  <c r="E24" i="64"/>
  <c r="M47" i="64"/>
  <c r="L48" i="64"/>
  <c r="F37" i="42"/>
  <c r="E38" i="42"/>
  <c r="E15" i="42"/>
  <c r="F14" i="42"/>
  <c r="G10" i="39"/>
  <c r="G32" i="39"/>
  <c r="M21" i="45"/>
  <c r="L22" i="45"/>
  <c r="M44" i="45"/>
  <c r="L45" i="45"/>
  <c r="M18" i="42"/>
  <c r="L19" i="42"/>
  <c r="L43" i="42"/>
  <c r="M42" i="42"/>
  <c r="L14" i="31"/>
  <c r="M13" i="31"/>
  <c r="G8" i="31" s="1"/>
  <c r="M13" i="39"/>
  <c r="L14" i="39"/>
  <c r="M38" i="39"/>
  <c r="L39" i="39"/>
  <c r="G31" i="27"/>
  <c r="M39" i="31"/>
  <c r="L40" i="31"/>
  <c r="M8" i="25"/>
  <c r="L9" i="25"/>
  <c r="M12" i="27"/>
  <c r="L13" i="27"/>
  <c r="F9" i="27"/>
  <c r="E10" i="27"/>
  <c r="M34" i="27"/>
  <c r="L35" i="27"/>
  <c r="F34" i="27"/>
  <c r="E35" i="27"/>
  <c r="D34" i="23"/>
  <c r="D31" i="23"/>
  <c r="D37" i="23"/>
  <c r="D29" i="23"/>
  <c r="D33" i="23"/>
  <c r="D12" i="23"/>
  <c r="D7" i="23"/>
  <c r="D5" i="23"/>
  <c r="D6" i="23"/>
  <c r="D9" i="23"/>
  <c r="L5" i="23"/>
  <c r="M5" i="23" s="1"/>
  <c r="D11" i="23"/>
  <c r="D16" i="23"/>
  <c r="D22" i="23"/>
  <c r="E6" i="2"/>
  <c r="R134" i="2"/>
  <c r="D15" i="23"/>
  <c r="D8" i="23"/>
  <c r="M5" i="22"/>
  <c r="L6" i="22"/>
  <c r="Y4" i="2"/>
  <c r="F32" i="25"/>
  <c r="E33" i="25"/>
  <c r="M34" i="25"/>
  <c r="L35" i="25"/>
  <c r="F8" i="25"/>
  <c r="E9" i="25"/>
  <c r="AM7" i="21"/>
  <c r="AN7" i="21"/>
  <c r="C10" i="22"/>
  <c r="D4" i="22" s="1"/>
  <c r="D47" i="23"/>
  <c r="D40" i="23"/>
  <c r="D32" i="23"/>
  <c r="D43" i="23"/>
  <c r="D46" i="23"/>
  <c r="D41" i="23"/>
  <c r="D28" i="23"/>
  <c r="D42" i="23"/>
  <c r="D44" i="23"/>
  <c r="D38" i="23"/>
  <c r="D30" i="23"/>
  <c r="D23" i="23"/>
  <c r="D19" i="23"/>
  <c r="D17" i="23"/>
  <c r="D13" i="23"/>
  <c r="D14" i="23"/>
  <c r="D18" i="23"/>
  <c r="D10" i="23"/>
  <c r="D45" i="23"/>
  <c r="D4" i="23"/>
  <c r="M31" i="23"/>
  <c r="L32" i="23"/>
  <c r="AP26" i="21"/>
  <c r="AP47" i="21" s="1"/>
  <c r="AL46" i="21"/>
  <c r="AL23" i="21"/>
  <c r="AN3" i="21"/>
  <c r="AN23" i="21" s="1"/>
  <c r="AP3" i="21"/>
  <c r="AM3" i="21"/>
  <c r="AM23" i="21" s="1"/>
  <c r="AE49" i="20"/>
  <c r="V47" i="20"/>
  <c r="AL23" i="20"/>
  <c r="AP3" i="20"/>
  <c r="AN3" i="20"/>
  <c r="AN23" i="20" s="1"/>
  <c r="AM3" i="20"/>
  <c r="AM23" i="20" s="1"/>
  <c r="V24" i="20"/>
  <c r="V49" i="20" s="1"/>
  <c r="AL46" i="20"/>
  <c r="AP26" i="20"/>
  <c r="AP47" i="20" s="1"/>
  <c r="AM26" i="20"/>
  <c r="AM46" i="20" s="1"/>
  <c r="Z3" i="2" l="1"/>
  <c r="F19" i="75"/>
  <c r="E20" i="75"/>
  <c r="F36" i="75"/>
  <c r="E37" i="75"/>
  <c r="F10" i="39"/>
  <c r="E11" i="39"/>
  <c r="F13" i="65"/>
  <c r="E14" i="65"/>
  <c r="F35" i="39"/>
  <c r="E36" i="39"/>
  <c r="E37" i="65"/>
  <c r="F36" i="65"/>
  <c r="F34" i="31"/>
  <c r="E35" i="31"/>
  <c r="F10" i="31"/>
  <c r="E11" i="31"/>
  <c r="F44" i="72"/>
  <c r="E45" i="72"/>
  <c r="E24" i="72"/>
  <c r="F23" i="72"/>
  <c r="G21" i="67"/>
  <c r="G24" i="67"/>
  <c r="G16" i="67"/>
  <c r="G25" i="67"/>
  <c r="G41" i="66"/>
  <c r="G49" i="66"/>
  <c r="G48" i="66"/>
  <c r="G21" i="66"/>
  <c r="G24" i="66"/>
  <c r="G16" i="66"/>
  <c r="G25" i="66"/>
  <c r="G47" i="64"/>
  <c r="G15" i="64"/>
  <c r="G23" i="64"/>
  <c r="F24" i="66"/>
  <c r="E25" i="66"/>
  <c r="F25" i="66" s="1"/>
  <c r="G25" i="65"/>
  <c r="G11" i="65"/>
  <c r="G24" i="65"/>
  <c r="G16" i="65"/>
  <c r="G46" i="65"/>
  <c r="G44" i="65"/>
  <c r="L48" i="65"/>
  <c r="M47" i="65"/>
  <c r="G37" i="65" s="1"/>
  <c r="F41" i="45"/>
  <c r="E42" i="45"/>
  <c r="G43" i="45"/>
  <c r="F17" i="45"/>
  <c r="E18" i="45"/>
  <c r="G21" i="45"/>
  <c r="G14" i="45"/>
  <c r="M48" i="64"/>
  <c r="G40" i="64" s="1"/>
  <c r="L49" i="64"/>
  <c r="M49" i="64" s="1"/>
  <c r="M24" i="64"/>
  <c r="L25" i="64"/>
  <c r="M25" i="64" s="1"/>
  <c r="F24" i="64"/>
  <c r="E25" i="64"/>
  <c r="F25" i="64" s="1"/>
  <c r="F48" i="64"/>
  <c r="E49" i="64"/>
  <c r="F49" i="64" s="1"/>
  <c r="F38" i="42"/>
  <c r="E39" i="42"/>
  <c r="F15" i="42"/>
  <c r="E16" i="42"/>
  <c r="G42" i="42"/>
  <c r="G37" i="42"/>
  <c r="G18" i="42"/>
  <c r="G12" i="42"/>
  <c r="G33" i="39"/>
  <c r="M45" i="45"/>
  <c r="G44" i="45" s="1"/>
  <c r="L46" i="45"/>
  <c r="M22" i="45"/>
  <c r="L23" i="45"/>
  <c r="M43" i="42"/>
  <c r="G43" i="42" s="1"/>
  <c r="L44" i="42"/>
  <c r="M19" i="42"/>
  <c r="L20" i="42"/>
  <c r="L15" i="31"/>
  <c r="M14" i="31"/>
  <c r="M39" i="39"/>
  <c r="L40" i="39"/>
  <c r="M14" i="39"/>
  <c r="L15" i="39"/>
  <c r="G32" i="27"/>
  <c r="M40" i="31"/>
  <c r="L41" i="31"/>
  <c r="G4" i="25"/>
  <c r="G28" i="25"/>
  <c r="L10" i="25"/>
  <c r="M9" i="25"/>
  <c r="M35" i="27"/>
  <c r="L36" i="27"/>
  <c r="F10" i="27"/>
  <c r="E11" i="27"/>
  <c r="M13" i="27"/>
  <c r="L14" i="27"/>
  <c r="F35" i="27"/>
  <c r="E36" i="27"/>
  <c r="L6" i="23"/>
  <c r="M6" i="23"/>
  <c r="L7" i="23"/>
  <c r="M6" i="22"/>
  <c r="G4" i="22" s="1"/>
  <c r="L7" i="22"/>
  <c r="F9" i="25"/>
  <c r="E10" i="25"/>
  <c r="F33" i="25"/>
  <c r="E34" i="25"/>
  <c r="M35" i="25"/>
  <c r="L36" i="25"/>
  <c r="E4" i="22"/>
  <c r="F4" i="22" s="1"/>
  <c r="D8" i="22"/>
  <c r="D9" i="22"/>
  <c r="D6" i="22"/>
  <c r="D5" i="22"/>
  <c r="D7" i="22"/>
  <c r="E4" i="23"/>
  <c r="D24" i="23"/>
  <c r="D48" i="23"/>
  <c r="E28" i="23"/>
  <c r="G6" i="22"/>
  <c r="L33" i="23"/>
  <c r="M32" i="23"/>
  <c r="AP24" i="21"/>
  <c r="AP49" i="21" s="1"/>
  <c r="K57" i="21" s="1"/>
  <c r="L57" i="21" s="1"/>
  <c r="AP24" i="20"/>
  <c r="AP49" i="20" s="1"/>
  <c r="K57" i="20" s="1"/>
  <c r="L57" i="20" s="1"/>
  <c r="F37" i="75" l="1"/>
  <c r="E38" i="75"/>
  <c r="F20" i="75"/>
  <c r="E21" i="75"/>
  <c r="E5" i="22"/>
  <c r="F5" i="22" s="1"/>
  <c r="F14" i="65"/>
  <c r="E15" i="65"/>
  <c r="F11" i="39"/>
  <c r="E12" i="39"/>
  <c r="F36" i="39"/>
  <c r="E37" i="39"/>
  <c r="F37" i="65"/>
  <c r="E38" i="65"/>
  <c r="F35" i="31"/>
  <c r="E36" i="31"/>
  <c r="F11" i="31"/>
  <c r="E12" i="31"/>
  <c r="F45" i="72"/>
  <c r="E46" i="72"/>
  <c r="F24" i="72"/>
  <c r="E25" i="72"/>
  <c r="F25" i="72" s="1"/>
  <c r="G41" i="64"/>
  <c r="G49" i="64"/>
  <c r="G48" i="64"/>
  <c r="G21" i="64"/>
  <c r="G24" i="64"/>
  <c r="G16" i="64"/>
  <c r="G25" i="64"/>
  <c r="G47" i="65"/>
  <c r="L49" i="65"/>
  <c r="M49" i="65" s="1"/>
  <c r="G49" i="65" s="1"/>
  <c r="M48" i="65"/>
  <c r="F42" i="45"/>
  <c r="E43" i="45"/>
  <c r="F18" i="45"/>
  <c r="E19" i="45"/>
  <c r="G22" i="45"/>
  <c r="G15" i="45"/>
  <c r="E40" i="42"/>
  <c r="F39" i="42"/>
  <c r="F16" i="42"/>
  <c r="E17" i="42"/>
  <c r="G13" i="42"/>
  <c r="G34" i="39"/>
  <c r="M23" i="45"/>
  <c r="L24" i="45"/>
  <c r="M46" i="45"/>
  <c r="L47" i="45"/>
  <c r="M20" i="42"/>
  <c r="G20" i="42" s="1"/>
  <c r="L21" i="42"/>
  <c r="L45" i="42"/>
  <c r="M44" i="42"/>
  <c r="G9" i="31"/>
  <c r="M15" i="31"/>
  <c r="L16" i="31"/>
  <c r="M15" i="39"/>
  <c r="L16" i="39"/>
  <c r="M40" i="39"/>
  <c r="L41" i="39"/>
  <c r="G33" i="27"/>
  <c r="M41" i="31"/>
  <c r="G30" i="31" s="1"/>
  <c r="L42" i="31"/>
  <c r="G7" i="25"/>
  <c r="G35" i="25"/>
  <c r="G29" i="25"/>
  <c r="L11" i="25"/>
  <c r="M10" i="25"/>
  <c r="F11" i="27"/>
  <c r="E12" i="27"/>
  <c r="F36" i="27"/>
  <c r="E37" i="27"/>
  <c r="M14" i="27"/>
  <c r="L15" i="27"/>
  <c r="M36" i="27"/>
  <c r="L37" i="27"/>
  <c r="M7" i="23"/>
  <c r="L8" i="23"/>
  <c r="L8" i="22"/>
  <c r="M7" i="22"/>
  <c r="M36" i="25"/>
  <c r="L37" i="25"/>
  <c r="F10" i="25"/>
  <c r="E11" i="25"/>
  <c r="F34" i="25"/>
  <c r="E35" i="25"/>
  <c r="E6" i="22"/>
  <c r="F6" i="22" s="1"/>
  <c r="D10" i="22"/>
  <c r="E29" i="23"/>
  <c r="F28" i="23"/>
  <c r="F4" i="23"/>
  <c r="E5" i="23"/>
  <c r="G7" i="22"/>
  <c r="M33" i="23"/>
  <c r="L34" i="23"/>
  <c r="D4" i="4"/>
  <c r="E4" i="4"/>
  <c r="M4" i="4"/>
  <c r="N4" i="4"/>
  <c r="O4" i="4"/>
  <c r="Q4" i="4"/>
  <c r="R4" i="4"/>
  <c r="S4" i="4"/>
  <c r="T4" i="4"/>
  <c r="U4" i="4"/>
  <c r="D5" i="4"/>
  <c r="E5" i="4"/>
  <c r="M5" i="4"/>
  <c r="N5" i="4"/>
  <c r="O5" i="4"/>
  <c r="Q5" i="4"/>
  <c r="R5" i="4"/>
  <c r="S5" i="4"/>
  <c r="T5" i="4"/>
  <c r="U5" i="4"/>
  <c r="C5" i="4"/>
  <c r="C4" i="4"/>
  <c r="F21" i="75" l="1"/>
  <c r="E22" i="75"/>
  <c r="F38" i="75"/>
  <c r="E39" i="75"/>
  <c r="F12" i="39"/>
  <c r="E13" i="39"/>
  <c r="F15" i="65"/>
  <c r="E16" i="65"/>
  <c r="F37" i="39"/>
  <c r="E38" i="39"/>
  <c r="F38" i="65"/>
  <c r="E39" i="65"/>
  <c r="F36" i="31"/>
  <c r="E37" i="31"/>
  <c r="E13" i="31"/>
  <c r="F12" i="31"/>
  <c r="G45" i="65"/>
  <c r="G48" i="65"/>
  <c r="G36" i="65"/>
  <c r="F46" i="72"/>
  <c r="E47" i="72"/>
  <c r="N6" i="4"/>
  <c r="F43" i="45"/>
  <c r="E44" i="45"/>
  <c r="G45" i="45"/>
  <c r="F19" i="45"/>
  <c r="E20" i="45"/>
  <c r="G23" i="45"/>
  <c r="G16" i="45"/>
  <c r="F40" i="42"/>
  <c r="E41" i="42"/>
  <c r="E18" i="42"/>
  <c r="F17" i="42"/>
  <c r="G44" i="42"/>
  <c r="G38" i="42"/>
  <c r="G11" i="39"/>
  <c r="G36" i="39"/>
  <c r="G39" i="31"/>
  <c r="M47" i="45"/>
  <c r="G47" i="45" s="1"/>
  <c r="L48" i="45"/>
  <c r="L25" i="45"/>
  <c r="M25" i="45" s="1"/>
  <c r="M24" i="45"/>
  <c r="M21" i="42"/>
  <c r="L22" i="42"/>
  <c r="M45" i="42"/>
  <c r="L46" i="42"/>
  <c r="G10" i="31"/>
  <c r="M16" i="31"/>
  <c r="L17" i="31"/>
  <c r="M41" i="39"/>
  <c r="L42" i="39"/>
  <c r="M16" i="39"/>
  <c r="L17" i="39"/>
  <c r="G9" i="27"/>
  <c r="G34" i="27"/>
  <c r="O6" i="4"/>
  <c r="M42" i="31"/>
  <c r="L43" i="31"/>
  <c r="G8" i="25"/>
  <c r="G36" i="25"/>
  <c r="G30" i="25"/>
  <c r="M11" i="25"/>
  <c r="L12" i="25"/>
  <c r="M15" i="27"/>
  <c r="L16" i="27"/>
  <c r="M37" i="27"/>
  <c r="L38" i="27"/>
  <c r="F12" i="27"/>
  <c r="E13" i="27"/>
  <c r="F37" i="27"/>
  <c r="E38" i="27"/>
  <c r="M8" i="23"/>
  <c r="L9" i="23"/>
  <c r="L9" i="22"/>
  <c r="M9" i="22" s="1"/>
  <c r="M8" i="22"/>
  <c r="G8" i="22" s="1"/>
  <c r="G9" i="22"/>
  <c r="G5" i="22"/>
  <c r="E7" i="22"/>
  <c r="F7" i="22" s="1"/>
  <c r="S6" i="4"/>
  <c r="F11" i="25"/>
  <c r="E12" i="25"/>
  <c r="F35" i="25"/>
  <c r="E36" i="25"/>
  <c r="M37" i="25"/>
  <c r="L38" i="25"/>
  <c r="F5" i="23"/>
  <c r="E6" i="23"/>
  <c r="F29" i="23"/>
  <c r="E30" i="23"/>
  <c r="M34" i="23"/>
  <c r="L35" i="23"/>
  <c r="R6" i="4"/>
  <c r="U6" i="4"/>
  <c r="T6" i="4"/>
  <c r="Q6" i="4"/>
  <c r="M6" i="4"/>
  <c r="F39" i="75" l="1"/>
  <c r="E40" i="75"/>
  <c r="E23" i="75"/>
  <c r="F22" i="75"/>
  <c r="F13" i="39"/>
  <c r="E14" i="39"/>
  <c r="E17" i="65"/>
  <c r="F16" i="65"/>
  <c r="F38" i="39"/>
  <c r="E39" i="39"/>
  <c r="E40" i="65"/>
  <c r="F39" i="65"/>
  <c r="F37" i="31"/>
  <c r="E38" i="31"/>
  <c r="F13" i="31"/>
  <c r="E14" i="31"/>
  <c r="F47" i="72"/>
  <c r="E48" i="72"/>
  <c r="E45" i="45"/>
  <c r="F44" i="45"/>
  <c r="F20" i="45"/>
  <c r="E21" i="45"/>
  <c r="G25" i="45"/>
  <c r="G18" i="45"/>
  <c r="G24" i="45"/>
  <c r="G17" i="45"/>
  <c r="F41" i="42"/>
  <c r="E42" i="42"/>
  <c r="E19" i="42"/>
  <c r="F18" i="42"/>
  <c r="G45" i="42"/>
  <c r="G39" i="42"/>
  <c r="G14" i="42"/>
  <c r="G12" i="39"/>
  <c r="G37" i="39"/>
  <c r="M48" i="45"/>
  <c r="L49" i="45"/>
  <c r="M49" i="45" s="1"/>
  <c r="G49" i="45" s="1"/>
  <c r="M46" i="42"/>
  <c r="G46" i="42" s="1"/>
  <c r="L47" i="42"/>
  <c r="M22" i="42"/>
  <c r="L23" i="42"/>
  <c r="L18" i="31"/>
  <c r="M17" i="31"/>
  <c r="G11" i="31" s="1"/>
  <c r="L18" i="39"/>
  <c r="M17" i="39"/>
  <c r="M42" i="39"/>
  <c r="L43" i="39"/>
  <c r="G10" i="27"/>
  <c r="G35" i="27"/>
  <c r="M43" i="31"/>
  <c r="L44" i="31"/>
  <c r="G31" i="25"/>
  <c r="M12" i="25"/>
  <c r="L13" i="25"/>
  <c r="F38" i="27"/>
  <c r="E39" i="27"/>
  <c r="F13" i="27"/>
  <c r="E14" i="27"/>
  <c r="M38" i="27"/>
  <c r="L39" i="27"/>
  <c r="M16" i="27"/>
  <c r="L17" i="27"/>
  <c r="L10" i="23"/>
  <c r="M9" i="23"/>
  <c r="G9" i="23" s="1"/>
  <c r="G5" i="23"/>
  <c r="E8" i="22"/>
  <c r="F8" i="22" s="1"/>
  <c r="E37" i="25"/>
  <c r="F36" i="25"/>
  <c r="F12" i="25"/>
  <c r="E13" i="25"/>
  <c r="M38" i="25"/>
  <c r="L39" i="25"/>
  <c r="E9" i="22"/>
  <c r="F9" i="22" s="1"/>
  <c r="F30" i="23"/>
  <c r="E31" i="23"/>
  <c r="F6" i="23"/>
  <c r="E7" i="23"/>
  <c r="G29" i="23"/>
  <c r="M35" i="23"/>
  <c r="L36" i="23"/>
  <c r="J8" i="18"/>
  <c r="J10" i="18"/>
  <c r="J48" i="19"/>
  <c r="C48" i="19"/>
  <c r="J24" i="19"/>
  <c r="C24" i="19"/>
  <c r="N8" i="2"/>
  <c r="L5" i="24" s="1"/>
  <c r="K21" i="24" s="1"/>
  <c r="M8" i="2"/>
  <c r="K5" i="24" s="1"/>
  <c r="K17" i="24" s="1"/>
  <c r="J8" i="2"/>
  <c r="I8" i="2"/>
  <c r="G5" i="24" s="1"/>
  <c r="N7" i="2"/>
  <c r="L4" i="24" s="1"/>
  <c r="M7" i="2"/>
  <c r="K4" i="24" s="1"/>
  <c r="J7" i="2"/>
  <c r="H4" i="24" s="1"/>
  <c r="I7" i="2"/>
  <c r="AA34" i="16"/>
  <c r="AA42" i="16"/>
  <c r="AA10" i="16"/>
  <c r="AA11" i="16"/>
  <c r="AA18" i="16"/>
  <c r="AA19" i="16"/>
  <c r="AA3" i="16"/>
  <c r="K34" i="16"/>
  <c r="K42" i="16"/>
  <c r="K7" i="16"/>
  <c r="K9" i="16"/>
  <c r="K15" i="16"/>
  <c r="K19" i="16"/>
  <c r="Z45" i="14"/>
  <c r="X45" i="14"/>
  <c r="T45" i="14"/>
  <c r="S45" i="14"/>
  <c r="P45" i="14"/>
  <c r="Z44" i="14"/>
  <c r="X44" i="14"/>
  <c r="T44" i="14"/>
  <c r="S44" i="14"/>
  <c r="P44" i="14"/>
  <c r="Z43" i="14"/>
  <c r="X43" i="14"/>
  <c r="T43" i="14"/>
  <c r="S43" i="14"/>
  <c r="P43" i="14"/>
  <c r="Z42" i="14"/>
  <c r="X42" i="14"/>
  <c r="T42" i="14"/>
  <c r="S42" i="14"/>
  <c r="P42" i="14"/>
  <c r="Z41" i="14"/>
  <c r="Z47" i="14" s="1"/>
  <c r="X41" i="14"/>
  <c r="X47" i="14" s="1"/>
  <c r="T41" i="14"/>
  <c r="U41" i="14" s="1"/>
  <c r="S41" i="14"/>
  <c r="P41" i="14"/>
  <c r="AK41" i="14" s="1"/>
  <c r="Z40" i="14"/>
  <c r="X40" i="14"/>
  <c r="T40" i="14"/>
  <c r="S40" i="14"/>
  <c r="P40" i="14"/>
  <c r="Z39" i="14"/>
  <c r="X39" i="14"/>
  <c r="T39" i="14"/>
  <c r="S39" i="14"/>
  <c r="P39" i="14"/>
  <c r="Z38" i="14"/>
  <c r="X38" i="14"/>
  <c r="T38" i="14"/>
  <c r="S38" i="14"/>
  <c r="P38" i="14"/>
  <c r="Z37" i="14"/>
  <c r="X37" i="14"/>
  <c r="T37" i="14"/>
  <c r="S37" i="14"/>
  <c r="P37" i="14"/>
  <c r="Z36" i="14"/>
  <c r="X36" i="14"/>
  <c r="T36" i="14"/>
  <c r="S36" i="14"/>
  <c r="P36" i="14"/>
  <c r="Z35" i="14"/>
  <c r="X35" i="14"/>
  <c r="T35" i="14"/>
  <c r="S35" i="14"/>
  <c r="P35" i="14"/>
  <c r="Z34" i="14"/>
  <c r="X34" i="14"/>
  <c r="T34" i="14"/>
  <c r="S34" i="14"/>
  <c r="P34" i="14"/>
  <c r="Z33" i="14"/>
  <c r="X33" i="14"/>
  <c r="T33" i="14"/>
  <c r="S33" i="14"/>
  <c r="P33" i="14"/>
  <c r="Z32" i="14"/>
  <c r="X32" i="14"/>
  <c r="T32" i="14"/>
  <c r="S32" i="14"/>
  <c r="P32" i="14"/>
  <c r="Z31" i="14"/>
  <c r="X31" i="14"/>
  <c r="T31" i="14"/>
  <c r="S31" i="14"/>
  <c r="P31" i="14"/>
  <c r="Z30" i="14"/>
  <c r="X30" i="14"/>
  <c r="T30" i="14"/>
  <c r="S30" i="14"/>
  <c r="P30" i="14"/>
  <c r="Z29" i="14"/>
  <c r="X29" i="14"/>
  <c r="T29" i="14"/>
  <c r="S29" i="14"/>
  <c r="P29" i="14"/>
  <c r="Z28" i="14"/>
  <c r="X28" i="14"/>
  <c r="T28" i="14"/>
  <c r="S28" i="14"/>
  <c r="P28" i="14"/>
  <c r="Z27" i="14"/>
  <c r="X27" i="14"/>
  <c r="T27" i="14"/>
  <c r="S27" i="14"/>
  <c r="P27" i="14"/>
  <c r="Z26" i="14"/>
  <c r="X26" i="14"/>
  <c r="T26" i="14"/>
  <c r="S26" i="14"/>
  <c r="P26" i="14"/>
  <c r="Z22" i="14"/>
  <c r="X22" i="14"/>
  <c r="T22" i="14"/>
  <c r="S22" i="14"/>
  <c r="P22" i="14"/>
  <c r="Z21" i="14"/>
  <c r="X21" i="14"/>
  <c r="T21" i="14"/>
  <c r="S21" i="14"/>
  <c r="P21" i="14"/>
  <c r="Z20" i="14"/>
  <c r="X20" i="14"/>
  <c r="T20" i="14"/>
  <c r="S20" i="14"/>
  <c r="P20" i="14"/>
  <c r="Z19" i="14"/>
  <c r="X19" i="14"/>
  <c r="T19" i="14"/>
  <c r="S19" i="14"/>
  <c r="P19" i="14"/>
  <c r="AJ19" i="14" s="1"/>
  <c r="Z18" i="14"/>
  <c r="X18" i="14"/>
  <c r="T18" i="14"/>
  <c r="S18" i="14"/>
  <c r="P18" i="14"/>
  <c r="Z17" i="14"/>
  <c r="X17" i="14"/>
  <c r="T17" i="14"/>
  <c r="S17" i="14"/>
  <c r="P17" i="14"/>
  <c r="Z16" i="14"/>
  <c r="X16" i="14"/>
  <c r="T16" i="14"/>
  <c r="S16" i="14"/>
  <c r="U16" i="14" s="1"/>
  <c r="P16" i="14"/>
  <c r="Z15" i="14"/>
  <c r="X15" i="14"/>
  <c r="T15" i="14"/>
  <c r="S15" i="14"/>
  <c r="P15" i="14"/>
  <c r="Z14" i="14"/>
  <c r="X14" i="14"/>
  <c r="T14" i="14"/>
  <c r="S14" i="14"/>
  <c r="U14" i="14" s="1"/>
  <c r="AD14" i="14" s="1"/>
  <c r="P14" i="14"/>
  <c r="Z13" i="14"/>
  <c r="X13" i="14"/>
  <c r="T13" i="14"/>
  <c r="S13" i="14"/>
  <c r="P13" i="14"/>
  <c r="Z12" i="14"/>
  <c r="X12" i="14"/>
  <c r="T12" i="14"/>
  <c r="S12" i="14"/>
  <c r="U12" i="14" s="1"/>
  <c r="AD12" i="14" s="1"/>
  <c r="P12" i="14"/>
  <c r="Z11" i="14"/>
  <c r="X11" i="14"/>
  <c r="T11" i="14"/>
  <c r="S11" i="14"/>
  <c r="P11" i="14"/>
  <c r="R11" i="14" s="1"/>
  <c r="W11" i="14" s="1"/>
  <c r="Z10" i="14"/>
  <c r="X10" i="14"/>
  <c r="T10" i="14"/>
  <c r="S10" i="14"/>
  <c r="P10" i="14"/>
  <c r="Z9" i="14"/>
  <c r="X9" i="14"/>
  <c r="T9" i="14"/>
  <c r="T24" i="14" s="1"/>
  <c r="S9" i="14"/>
  <c r="P9" i="14"/>
  <c r="Z8" i="14"/>
  <c r="X8" i="14"/>
  <c r="T8" i="14"/>
  <c r="S8" i="14"/>
  <c r="U8" i="14" s="1"/>
  <c r="P8" i="14"/>
  <c r="Z7" i="14"/>
  <c r="X7" i="14"/>
  <c r="T7" i="14"/>
  <c r="S7" i="14"/>
  <c r="P7" i="14"/>
  <c r="R7" i="14" s="1"/>
  <c r="Z6" i="14"/>
  <c r="X6" i="14"/>
  <c r="T6" i="14"/>
  <c r="S6" i="14"/>
  <c r="U6" i="14" s="1"/>
  <c r="P6" i="14"/>
  <c r="Z5" i="14"/>
  <c r="X5" i="14"/>
  <c r="T5" i="14"/>
  <c r="S5" i="14"/>
  <c r="P5" i="14"/>
  <c r="Z4" i="14"/>
  <c r="X4" i="14"/>
  <c r="T4" i="14"/>
  <c r="S4" i="14"/>
  <c r="U4" i="14" s="1"/>
  <c r="P4" i="14"/>
  <c r="Z3" i="14"/>
  <c r="X3" i="14"/>
  <c r="T3" i="14"/>
  <c r="S3" i="14"/>
  <c r="P24" i="14"/>
  <c r="P45" i="15"/>
  <c r="P44" i="15"/>
  <c r="U43" i="15"/>
  <c r="P43" i="15"/>
  <c r="P42" i="15"/>
  <c r="R42" i="15" s="1"/>
  <c r="O42" i="15" s="1"/>
  <c r="P41" i="15"/>
  <c r="P40" i="15"/>
  <c r="P39" i="15"/>
  <c r="P38" i="15"/>
  <c r="P37" i="15"/>
  <c r="P36" i="15"/>
  <c r="U35" i="15"/>
  <c r="P35" i="15"/>
  <c r="P34" i="15"/>
  <c r="P33" i="15"/>
  <c r="P32" i="15"/>
  <c r="U31" i="15"/>
  <c r="P31" i="15"/>
  <c r="P30" i="15"/>
  <c r="P29" i="15"/>
  <c r="P28" i="15"/>
  <c r="U27" i="15"/>
  <c r="P27" i="15"/>
  <c r="P26" i="15"/>
  <c r="AJ26" i="15" s="1"/>
  <c r="U22" i="15"/>
  <c r="P22" i="15"/>
  <c r="P21" i="15"/>
  <c r="U20" i="15"/>
  <c r="P20" i="15"/>
  <c r="P19" i="15"/>
  <c r="R19" i="15" s="1"/>
  <c r="P18" i="15"/>
  <c r="U17" i="15"/>
  <c r="P17" i="15"/>
  <c r="U16" i="15"/>
  <c r="P16" i="15"/>
  <c r="P15" i="15"/>
  <c r="R15" i="15" s="1"/>
  <c r="O15" i="15" s="1"/>
  <c r="U14" i="15"/>
  <c r="P14" i="15"/>
  <c r="P13" i="15"/>
  <c r="P12" i="15"/>
  <c r="P11" i="15"/>
  <c r="R11" i="15" s="1"/>
  <c r="O11" i="15" s="1"/>
  <c r="P10" i="15"/>
  <c r="U9" i="15"/>
  <c r="P9" i="15"/>
  <c r="P8" i="15"/>
  <c r="P7" i="15"/>
  <c r="U6" i="15"/>
  <c r="P6" i="15"/>
  <c r="P5" i="15"/>
  <c r="P4" i="15"/>
  <c r="R4" i="15" s="1"/>
  <c r="O4" i="15" s="1"/>
  <c r="AK3" i="15"/>
  <c r="Z45" i="17"/>
  <c r="X45" i="17"/>
  <c r="T45" i="17"/>
  <c r="S45" i="17"/>
  <c r="P45" i="17"/>
  <c r="Z44" i="17"/>
  <c r="X44" i="17"/>
  <c r="T44" i="17"/>
  <c r="S44" i="17"/>
  <c r="P44" i="17"/>
  <c r="Z43" i="17"/>
  <c r="X43" i="17"/>
  <c r="T43" i="17"/>
  <c r="S43" i="17"/>
  <c r="U43" i="17" s="1"/>
  <c r="P43" i="17"/>
  <c r="Z42" i="17"/>
  <c r="X42" i="17"/>
  <c r="T42" i="17"/>
  <c r="S42" i="17"/>
  <c r="P42" i="17"/>
  <c r="AJ42" i="17" s="1"/>
  <c r="Z41" i="17"/>
  <c r="X41" i="17"/>
  <c r="T41" i="17"/>
  <c r="S41" i="17"/>
  <c r="P41" i="17"/>
  <c r="Z40" i="17"/>
  <c r="X40" i="17"/>
  <c r="T40" i="17"/>
  <c r="S40" i="17"/>
  <c r="P40" i="17"/>
  <c r="Z39" i="17"/>
  <c r="X39" i="17"/>
  <c r="T39" i="17"/>
  <c r="S39" i="17"/>
  <c r="P39" i="17"/>
  <c r="Z38" i="17"/>
  <c r="X38" i="17"/>
  <c r="T38" i="17"/>
  <c r="S38" i="17"/>
  <c r="P38" i="17"/>
  <c r="Z37" i="17"/>
  <c r="X37" i="17"/>
  <c r="T37" i="17"/>
  <c r="S37" i="17"/>
  <c r="P37" i="17"/>
  <c r="Z36" i="17"/>
  <c r="X36" i="17"/>
  <c r="T36" i="17"/>
  <c r="S36" i="17"/>
  <c r="P36" i="17"/>
  <c r="Z35" i="17"/>
  <c r="X35" i="17"/>
  <c r="T35" i="17"/>
  <c r="S35" i="17"/>
  <c r="U35" i="17" s="1"/>
  <c r="P35" i="17"/>
  <c r="Z34" i="17"/>
  <c r="X34" i="17"/>
  <c r="T34" i="17"/>
  <c r="S34" i="17"/>
  <c r="P34" i="17"/>
  <c r="R34" i="17" s="1"/>
  <c r="O34" i="17" s="1"/>
  <c r="Z33" i="17"/>
  <c r="X33" i="17"/>
  <c r="T33" i="17"/>
  <c r="S33" i="17"/>
  <c r="P33" i="17"/>
  <c r="Z32" i="17"/>
  <c r="X32" i="17"/>
  <c r="T32" i="17"/>
  <c r="S32" i="17"/>
  <c r="P32" i="17"/>
  <c r="Z31" i="17"/>
  <c r="X31" i="17"/>
  <c r="T31" i="17"/>
  <c r="S31" i="17"/>
  <c r="P31" i="17"/>
  <c r="Z30" i="17"/>
  <c r="X30" i="17"/>
  <c r="T30" i="17"/>
  <c r="S30" i="17"/>
  <c r="P30" i="17"/>
  <c r="Z29" i="17"/>
  <c r="X29" i="17"/>
  <c r="T29" i="17"/>
  <c r="S29" i="17"/>
  <c r="P29" i="17"/>
  <c r="Z28" i="17"/>
  <c r="X28" i="17"/>
  <c r="X47" i="17" s="1"/>
  <c r="T28" i="17"/>
  <c r="S28" i="17"/>
  <c r="P28" i="17"/>
  <c r="Z27" i="17"/>
  <c r="X27" i="17"/>
  <c r="T27" i="17"/>
  <c r="S27" i="17"/>
  <c r="P27" i="17"/>
  <c r="Z26" i="17"/>
  <c r="X26" i="17"/>
  <c r="T26" i="17"/>
  <c r="S26" i="17"/>
  <c r="P26" i="17"/>
  <c r="Z22" i="17"/>
  <c r="X22" i="17"/>
  <c r="T22" i="17"/>
  <c r="S22" i="17"/>
  <c r="P22" i="17"/>
  <c r="Z21" i="17"/>
  <c r="X21" i="17"/>
  <c r="T21" i="17"/>
  <c r="S21" i="17"/>
  <c r="P21" i="17"/>
  <c r="Z20" i="17"/>
  <c r="X20" i="17"/>
  <c r="T20" i="17"/>
  <c r="S20" i="17"/>
  <c r="U20" i="17" s="1"/>
  <c r="P20" i="17"/>
  <c r="Z19" i="17"/>
  <c r="X19" i="17"/>
  <c r="T19" i="17"/>
  <c r="S19" i="17"/>
  <c r="P19" i="17"/>
  <c r="AJ19" i="17" s="1"/>
  <c r="Z18" i="17"/>
  <c r="X18" i="17"/>
  <c r="T18" i="17"/>
  <c r="S18" i="17"/>
  <c r="P18" i="17"/>
  <c r="Z17" i="17"/>
  <c r="X17" i="17"/>
  <c r="T17" i="17"/>
  <c r="S17" i="17"/>
  <c r="P17" i="17"/>
  <c r="Z16" i="17"/>
  <c r="X16" i="17"/>
  <c r="T16" i="17"/>
  <c r="S16" i="17"/>
  <c r="U16" i="17" s="1"/>
  <c r="P16" i="17"/>
  <c r="Z15" i="17"/>
  <c r="X15" i="17"/>
  <c r="T15" i="17"/>
  <c r="S15" i="17"/>
  <c r="P15" i="17"/>
  <c r="AJ15" i="17" s="1"/>
  <c r="Z14" i="17"/>
  <c r="X14" i="17"/>
  <c r="T14" i="17"/>
  <c r="S14" i="17"/>
  <c r="P14" i="17"/>
  <c r="Z13" i="17"/>
  <c r="X13" i="17"/>
  <c r="T13" i="17"/>
  <c r="S13" i="17"/>
  <c r="P13" i="17"/>
  <c r="Z12" i="17"/>
  <c r="X12" i="17"/>
  <c r="T12" i="17"/>
  <c r="S12" i="17"/>
  <c r="P12" i="17"/>
  <c r="Z11" i="17"/>
  <c r="X11" i="17"/>
  <c r="T11" i="17"/>
  <c r="S11" i="17"/>
  <c r="P11" i="17"/>
  <c r="R11" i="17" s="1"/>
  <c r="O11" i="17" s="1"/>
  <c r="Z10" i="17"/>
  <c r="X10" i="17"/>
  <c r="T10" i="17"/>
  <c r="S10" i="17"/>
  <c r="P10" i="17"/>
  <c r="Z9" i="17"/>
  <c r="X9" i="17"/>
  <c r="T9" i="17"/>
  <c r="S9" i="17"/>
  <c r="P9" i="17"/>
  <c r="Z8" i="17"/>
  <c r="X8" i="17"/>
  <c r="T8" i="17"/>
  <c r="S8" i="17"/>
  <c r="U8" i="17" s="1"/>
  <c r="P8" i="17"/>
  <c r="Z7" i="17"/>
  <c r="X7" i="17"/>
  <c r="T7" i="17"/>
  <c r="S7" i="17"/>
  <c r="P7" i="17"/>
  <c r="R7" i="17" s="1"/>
  <c r="O7" i="17" s="1"/>
  <c r="Z6" i="17"/>
  <c r="X6" i="17"/>
  <c r="T6" i="17"/>
  <c r="S6" i="17"/>
  <c r="P6" i="17"/>
  <c r="Z5" i="17"/>
  <c r="X5" i="17"/>
  <c r="T5" i="17"/>
  <c r="S5" i="17"/>
  <c r="U5" i="17" s="1"/>
  <c r="P5" i="17"/>
  <c r="Z4" i="17"/>
  <c r="X4" i="17"/>
  <c r="T4" i="17"/>
  <c r="S4" i="17"/>
  <c r="P4" i="17"/>
  <c r="Z3" i="17"/>
  <c r="X3" i="17"/>
  <c r="T3" i="17"/>
  <c r="S3" i="17"/>
  <c r="R3" i="17"/>
  <c r="O3" i="17" s="1"/>
  <c r="AA49" i="16"/>
  <c r="AA45" i="16"/>
  <c r="AA44" i="16"/>
  <c r="AA43" i="16"/>
  <c r="AA41" i="16"/>
  <c r="AA40" i="16"/>
  <c r="AA39" i="16"/>
  <c r="AA38" i="16"/>
  <c r="AA37" i="16"/>
  <c r="AA36" i="16"/>
  <c r="AA35" i="16"/>
  <c r="AA33" i="16"/>
  <c r="AA32" i="16"/>
  <c r="AA31" i="16"/>
  <c r="AA30" i="16"/>
  <c r="AA29" i="16"/>
  <c r="AA28" i="16"/>
  <c r="AA27" i="16"/>
  <c r="AA26" i="16"/>
  <c r="AA22" i="16"/>
  <c r="AA21" i="16"/>
  <c r="AA20" i="16"/>
  <c r="AA17" i="16"/>
  <c r="AA16" i="16"/>
  <c r="AA15" i="16"/>
  <c r="AA14" i="16"/>
  <c r="AA13" i="16"/>
  <c r="AA12" i="16"/>
  <c r="AA9" i="16"/>
  <c r="AA8" i="16"/>
  <c r="AA7" i="16"/>
  <c r="AA6" i="16"/>
  <c r="AA5" i="16"/>
  <c r="AA4" i="16"/>
  <c r="Z40" i="16"/>
  <c r="Z32" i="16"/>
  <c r="Z21" i="16"/>
  <c r="X35" i="16"/>
  <c r="X22" i="16"/>
  <c r="T43" i="16"/>
  <c r="T34" i="16"/>
  <c r="T26" i="16"/>
  <c r="S38" i="16"/>
  <c r="S28" i="16"/>
  <c r="P45" i="16"/>
  <c r="AK45" i="16" s="1"/>
  <c r="P33" i="16"/>
  <c r="AK33" i="16" s="1"/>
  <c r="P20" i="16"/>
  <c r="AK20" i="16" s="1"/>
  <c r="K27" i="16"/>
  <c r="K28" i="16"/>
  <c r="K29" i="16"/>
  <c r="K30" i="16"/>
  <c r="K31" i="16"/>
  <c r="K32" i="16"/>
  <c r="K33" i="16"/>
  <c r="K35" i="16"/>
  <c r="K36" i="16"/>
  <c r="K37" i="16"/>
  <c r="K38" i="16"/>
  <c r="K39" i="16"/>
  <c r="K40" i="16"/>
  <c r="K41" i="16"/>
  <c r="K43" i="16"/>
  <c r="K44" i="16"/>
  <c r="K45" i="16"/>
  <c r="K4" i="16"/>
  <c r="K5" i="16"/>
  <c r="K6" i="16"/>
  <c r="K8" i="16"/>
  <c r="K10" i="16"/>
  <c r="K11" i="16"/>
  <c r="K12" i="16"/>
  <c r="K13" i="16"/>
  <c r="K14" i="16"/>
  <c r="K16" i="16"/>
  <c r="K18" i="16"/>
  <c r="K20" i="16"/>
  <c r="K21" i="16"/>
  <c r="K22" i="16"/>
  <c r="K58" i="17"/>
  <c r="I58" i="17"/>
  <c r="K56" i="17"/>
  <c r="I56" i="17"/>
  <c r="J49" i="17"/>
  <c r="G49" i="17"/>
  <c r="F49" i="17"/>
  <c r="E49" i="17"/>
  <c r="D49" i="17"/>
  <c r="AA48" i="17"/>
  <c r="AC47" i="17"/>
  <c r="AB47" i="17"/>
  <c r="C47" i="17"/>
  <c r="AH45" i="17"/>
  <c r="U45" i="17"/>
  <c r="R45" i="17"/>
  <c r="O45" i="17" s="1"/>
  <c r="AK45" i="17"/>
  <c r="I45" i="17"/>
  <c r="AH44" i="17"/>
  <c r="R44" i="17"/>
  <c r="O44" i="17" s="1"/>
  <c r="AK44" i="17"/>
  <c r="I44" i="17"/>
  <c r="AH43" i="17"/>
  <c r="R43" i="17"/>
  <c r="O43" i="17" s="1"/>
  <c r="I43" i="17"/>
  <c r="AH42" i="17"/>
  <c r="U42" i="17"/>
  <c r="I42" i="17"/>
  <c r="AH41" i="17"/>
  <c r="U41" i="17"/>
  <c r="R41" i="17"/>
  <c r="O41" i="17" s="1"/>
  <c r="AK41" i="17"/>
  <c r="I41" i="17"/>
  <c r="AH40" i="17"/>
  <c r="W40" i="17"/>
  <c r="R40" i="17"/>
  <c r="O40" i="17" s="1"/>
  <c r="AK40" i="17"/>
  <c r="I40" i="17"/>
  <c r="AH39" i="17"/>
  <c r="R39" i="17"/>
  <c r="O39" i="17" s="1"/>
  <c r="I39" i="17"/>
  <c r="AH38" i="17"/>
  <c r="U38" i="17"/>
  <c r="I38" i="17"/>
  <c r="AH37" i="17"/>
  <c r="U37" i="17"/>
  <c r="R37" i="17"/>
  <c r="O37" i="17" s="1"/>
  <c r="AK37" i="17"/>
  <c r="I37" i="17"/>
  <c r="AH36" i="17"/>
  <c r="W36" i="17"/>
  <c r="U36" i="17"/>
  <c r="R36" i="17"/>
  <c r="O36" i="17" s="1"/>
  <c r="AK36" i="17"/>
  <c r="I36" i="17"/>
  <c r="AH35" i="17"/>
  <c r="I35" i="17"/>
  <c r="AH34" i="17"/>
  <c r="U34" i="17"/>
  <c r="I34" i="17"/>
  <c r="AH33" i="17"/>
  <c r="U33" i="17"/>
  <c r="R33" i="17"/>
  <c r="O33" i="17" s="1"/>
  <c r="AK33" i="17"/>
  <c r="I33" i="17"/>
  <c r="AH32" i="17"/>
  <c r="W32" i="17"/>
  <c r="U32" i="17"/>
  <c r="R32" i="17"/>
  <c r="O32" i="17" s="1"/>
  <c r="AK32" i="17"/>
  <c r="I32" i="17"/>
  <c r="AH31" i="17"/>
  <c r="I31" i="17"/>
  <c r="AH30" i="17"/>
  <c r="U30" i="17"/>
  <c r="AK30" i="17"/>
  <c r="I30" i="17"/>
  <c r="AH29" i="17"/>
  <c r="AG29" i="17"/>
  <c r="AM29" i="17" s="1"/>
  <c r="U29" i="17"/>
  <c r="R29" i="17"/>
  <c r="O29" i="17" s="1"/>
  <c r="AK29" i="17"/>
  <c r="I29" i="17"/>
  <c r="AH28" i="17"/>
  <c r="U28" i="17"/>
  <c r="R28" i="17"/>
  <c r="O28" i="17" s="1"/>
  <c r="AK28" i="17"/>
  <c r="I28" i="17"/>
  <c r="AK27" i="17"/>
  <c r="AH27" i="17"/>
  <c r="R27" i="17"/>
  <c r="O27" i="17" s="1"/>
  <c r="I27" i="17"/>
  <c r="AH26" i="17"/>
  <c r="AH46" i="17" s="1"/>
  <c r="T47" i="17"/>
  <c r="I26" i="17"/>
  <c r="AC24" i="17"/>
  <c r="AC49" i="17" s="1"/>
  <c r="AB24" i="17"/>
  <c r="C24" i="17"/>
  <c r="C49" i="17" s="1"/>
  <c r="AK22" i="17"/>
  <c r="AH22" i="17"/>
  <c r="U22" i="17"/>
  <c r="Y22" i="17" s="1"/>
  <c r="R22" i="17"/>
  <c r="O22" i="17" s="1"/>
  <c r="AJ22" i="17"/>
  <c r="I22" i="17"/>
  <c r="AK21" i="17"/>
  <c r="AH21" i="17"/>
  <c r="U21" i="17"/>
  <c r="R21" i="17"/>
  <c r="O21" i="17" s="1"/>
  <c r="AJ21" i="17"/>
  <c r="I21" i="17"/>
  <c r="AK20" i="17"/>
  <c r="AH20" i="17"/>
  <c r="R20" i="17"/>
  <c r="O20" i="17" s="1"/>
  <c r="I20" i="17"/>
  <c r="AH19" i="17"/>
  <c r="U19" i="17"/>
  <c r="I19" i="17"/>
  <c r="AK18" i="17"/>
  <c r="AH18" i="17"/>
  <c r="U18" i="17"/>
  <c r="Y18" i="17" s="1"/>
  <c r="R18" i="17"/>
  <c r="O18" i="17" s="1"/>
  <c r="AJ18" i="17"/>
  <c r="I18" i="17"/>
  <c r="AK17" i="17"/>
  <c r="AH17" i="17"/>
  <c r="U17" i="17"/>
  <c r="R17" i="17"/>
  <c r="O17" i="17" s="1"/>
  <c r="AJ17" i="17"/>
  <c r="I17" i="17"/>
  <c r="AK16" i="17"/>
  <c r="AH16" i="17"/>
  <c r="I16" i="17"/>
  <c r="AH15" i="17"/>
  <c r="U15" i="17"/>
  <c r="I15" i="17"/>
  <c r="AK14" i="17"/>
  <c r="AH14" i="17"/>
  <c r="U14" i="17"/>
  <c r="R14" i="17"/>
  <c r="O14" i="17" s="1"/>
  <c r="AJ14" i="17"/>
  <c r="I14" i="17"/>
  <c r="AK13" i="17"/>
  <c r="AH13" i="17"/>
  <c r="W13" i="17"/>
  <c r="U13" i="17"/>
  <c r="Y13" i="17" s="1"/>
  <c r="R13" i="17"/>
  <c r="O13" i="17" s="1"/>
  <c r="AJ13" i="17"/>
  <c r="I13" i="17"/>
  <c r="AK12" i="17"/>
  <c r="AH12" i="17"/>
  <c r="I12" i="17"/>
  <c r="AH11" i="17"/>
  <c r="U11" i="17"/>
  <c r="I11" i="17"/>
  <c r="AK10" i="17"/>
  <c r="AH10" i="17"/>
  <c r="U10" i="17"/>
  <c r="AD10" i="17" s="1"/>
  <c r="R10" i="17"/>
  <c r="AJ10" i="17"/>
  <c r="I10" i="17"/>
  <c r="AK9" i="17"/>
  <c r="AH9" i="17"/>
  <c r="U9" i="17"/>
  <c r="R9" i="17"/>
  <c r="O9" i="17" s="1"/>
  <c r="I9" i="17"/>
  <c r="AH8" i="17"/>
  <c r="R8" i="17"/>
  <c r="J12" i="18" s="1"/>
  <c r="I8" i="17"/>
  <c r="AH7" i="17"/>
  <c r="U7" i="17"/>
  <c r="I7" i="17"/>
  <c r="AK6" i="17"/>
  <c r="AH6" i="17"/>
  <c r="U6" i="17"/>
  <c r="R6" i="17"/>
  <c r="O6" i="17" s="1"/>
  <c r="AJ6" i="17"/>
  <c r="I6" i="17"/>
  <c r="AK5" i="17"/>
  <c r="AH5" i="17"/>
  <c r="R5" i="17"/>
  <c r="O5" i="17" s="1"/>
  <c r="I5" i="17"/>
  <c r="AH4" i="17"/>
  <c r="I4" i="17"/>
  <c r="AH3" i="17"/>
  <c r="I3" i="17"/>
  <c r="K58" i="16"/>
  <c r="L58" i="16" s="1"/>
  <c r="I58" i="16"/>
  <c r="K56" i="16"/>
  <c r="L56" i="16" s="1"/>
  <c r="I56" i="16"/>
  <c r="J49" i="16"/>
  <c r="G49" i="16"/>
  <c r="F49" i="16"/>
  <c r="E49" i="16"/>
  <c r="D49" i="16"/>
  <c r="C49" i="16"/>
  <c r="AC47" i="16"/>
  <c r="AB47" i="16"/>
  <c r="C47" i="16"/>
  <c r="AH45" i="16"/>
  <c r="I45" i="16"/>
  <c r="AH44" i="16"/>
  <c r="I44" i="16"/>
  <c r="AH43" i="16"/>
  <c r="I43" i="16"/>
  <c r="AH42" i="16"/>
  <c r="I42" i="16"/>
  <c r="AH41" i="16"/>
  <c r="I41" i="16"/>
  <c r="AH40" i="16"/>
  <c r="I40" i="16"/>
  <c r="AH39" i="16"/>
  <c r="I39" i="16"/>
  <c r="AH38" i="16"/>
  <c r="I38" i="16"/>
  <c r="AH37" i="16"/>
  <c r="I37" i="16"/>
  <c r="AH36" i="16"/>
  <c r="I36" i="16"/>
  <c r="AH35" i="16"/>
  <c r="I35" i="16"/>
  <c r="AH34" i="16"/>
  <c r="I34" i="16"/>
  <c r="AH33" i="16"/>
  <c r="I33" i="16"/>
  <c r="AH32" i="16"/>
  <c r="I32" i="16"/>
  <c r="AH31" i="16"/>
  <c r="I31" i="16"/>
  <c r="AH30" i="16"/>
  <c r="I30" i="16"/>
  <c r="AH29" i="16"/>
  <c r="I29" i="16"/>
  <c r="AH28" i="16"/>
  <c r="I28" i="16"/>
  <c r="AH27" i="16"/>
  <c r="I27" i="16"/>
  <c r="AH26" i="16"/>
  <c r="I26" i="16"/>
  <c r="AC24" i="16"/>
  <c r="AC49" i="16" s="1"/>
  <c r="AB24" i="16"/>
  <c r="C24" i="16"/>
  <c r="AH22" i="16"/>
  <c r="I22" i="16"/>
  <c r="AH21" i="16"/>
  <c r="I21" i="16"/>
  <c r="AH20" i="16"/>
  <c r="I20" i="16"/>
  <c r="AH19" i="16"/>
  <c r="I19" i="16"/>
  <c r="AH18" i="16"/>
  <c r="I18" i="16"/>
  <c r="AH17" i="16"/>
  <c r="I17" i="16"/>
  <c r="AH16" i="16"/>
  <c r="I16" i="16"/>
  <c r="AH15" i="16"/>
  <c r="I15" i="16"/>
  <c r="AH14" i="16"/>
  <c r="I14" i="16"/>
  <c r="AH13" i="16"/>
  <c r="I13" i="16"/>
  <c r="AH12" i="16"/>
  <c r="I12" i="16"/>
  <c r="AH11" i="16"/>
  <c r="I11" i="16"/>
  <c r="AH10" i="16"/>
  <c r="I10" i="16"/>
  <c r="AH9" i="16"/>
  <c r="I9" i="16"/>
  <c r="AH8" i="16"/>
  <c r="I8" i="16"/>
  <c r="AH7" i="16"/>
  <c r="I7" i="16"/>
  <c r="AH6" i="16"/>
  <c r="I6" i="16"/>
  <c r="AH5" i="16"/>
  <c r="I5" i="16"/>
  <c r="AH4" i="16"/>
  <c r="I4" i="16"/>
  <c r="AH3" i="16"/>
  <c r="AH23" i="16" s="1"/>
  <c r="I3" i="16"/>
  <c r="K58" i="15"/>
  <c r="L58" i="15" s="1"/>
  <c r="I58" i="15"/>
  <c r="K56" i="15"/>
  <c r="I56" i="15"/>
  <c r="J49" i="15"/>
  <c r="G49" i="15"/>
  <c r="F49" i="15"/>
  <c r="E49" i="15"/>
  <c r="D49" i="15"/>
  <c r="AA48" i="15"/>
  <c r="AC47" i="15"/>
  <c r="AB47" i="15"/>
  <c r="K47" i="15"/>
  <c r="C47" i="15"/>
  <c r="AH45" i="15"/>
  <c r="U45" i="15"/>
  <c r="R45" i="15"/>
  <c r="AK45" i="15"/>
  <c r="I45" i="15"/>
  <c r="AH44" i="15"/>
  <c r="U44" i="15"/>
  <c r="R44" i="15"/>
  <c r="O44" i="15" s="1"/>
  <c r="AK44" i="15"/>
  <c r="I44" i="15"/>
  <c r="AH43" i="15"/>
  <c r="R43" i="15"/>
  <c r="O43" i="15" s="1"/>
  <c r="I43" i="15"/>
  <c r="AH42" i="15"/>
  <c r="U42" i="15"/>
  <c r="I42" i="15"/>
  <c r="AH41" i="15"/>
  <c r="R41" i="15"/>
  <c r="AK41" i="15"/>
  <c r="I41" i="15"/>
  <c r="AH40" i="15"/>
  <c r="U40" i="15"/>
  <c r="R40" i="15"/>
  <c r="O40" i="15" s="1"/>
  <c r="AK40" i="15"/>
  <c r="I40" i="15"/>
  <c r="AH39" i="15"/>
  <c r="R39" i="15"/>
  <c r="O39" i="15" s="1"/>
  <c r="I39" i="15"/>
  <c r="AH38" i="15"/>
  <c r="U38" i="15"/>
  <c r="R38" i="15"/>
  <c r="O38" i="15" s="1"/>
  <c r="I38" i="15"/>
  <c r="AH37" i="15"/>
  <c r="U37" i="15"/>
  <c r="R37" i="15"/>
  <c r="O37" i="15" s="1"/>
  <c r="AK37" i="15"/>
  <c r="I37" i="15"/>
  <c r="AH36" i="15"/>
  <c r="R36" i="15"/>
  <c r="O36" i="15" s="1"/>
  <c r="AK36" i="15"/>
  <c r="I36" i="15"/>
  <c r="AH35" i="15"/>
  <c r="R35" i="15"/>
  <c r="O35" i="15" s="1"/>
  <c r="I35" i="15"/>
  <c r="AH34" i="15"/>
  <c r="U34" i="15"/>
  <c r="I34" i="15"/>
  <c r="AH33" i="15"/>
  <c r="U33" i="15"/>
  <c r="R33" i="15"/>
  <c r="O33" i="15" s="1"/>
  <c r="AK33" i="15"/>
  <c r="I33" i="15"/>
  <c r="AH32" i="15"/>
  <c r="R32" i="15"/>
  <c r="O32" i="15" s="1"/>
  <c r="AK32" i="15"/>
  <c r="I32" i="15"/>
  <c r="AH31" i="15"/>
  <c r="R31" i="15"/>
  <c r="O31" i="15" s="1"/>
  <c r="I31" i="15"/>
  <c r="AH30" i="15"/>
  <c r="U30" i="15"/>
  <c r="I30" i="15"/>
  <c r="AH29" i="15"/>
  <c r="U29" i="15"/>
  <c r="R29" i="15"/>
  <c r="O29" i="15" s="1"/>
  <c r="AK29" i="15"/>
  <c r="I29" i="15"/>
  <c r="AH28" i="15"/>
  <c r="U28" i="15"/>
  <c r="R28" i="15"/>
  <c r="O28" i="15" s="1"/>
  <c r="AK28" i="15"/>
  <c r="I28" i="15"/>
  <c r="AH27" i="15"/>
  <c r="R27" i="15"/>
  <c r="O27" i="15" s="1"/>
  <c r="I27" i="15"/>
  <c r="AH26" i="15"/>
  <c r="Z47" i="15"/>
  <c r="U26" i="15"/>
  <c r="Q47" i="15"/>
  <c r="I26" i="15"/>
  <c r="I47" i="15" s="1"/>
  <c r="AA25" i="15"/>
  <c r="AC24" i="15"/>
  <c r="AC49" i="15" s="1"/>
  <c r="AB24" i="15"/>
  <c r="K24" i="15"/>
  <c r="C24" i="15"/>
  <c r="C49" i="15" s="1"/>
  <c r="AK22" i="15"/>
  <c r="AH22" i="15"/>
  <c r="R22" i="15"/>
  <c r="I22" i="15"/>
  <c r="AK21" i="15"/>
  <c r="AH21" i="15"/>
  <c r="U21" i="15"/>
  <c r="Y21" i="15" s="1"/>
  <c r="R21" i="15"/>
  <c r="O21" i="15" s="1"/>
  <c r="AJ21" i="15"/>
  <c r="I21" i="15"/>
  <c r="AK20" i="15"/>
  <c r="AH20" i="15"/>
  <c r="R20" i="15"/>
  <c r="O20" i="15" s="1"/>
  <c r="AJ20" i="15"/>
  <c r="I20" i="15"/>
  <c r="AH19" i="15"/>
  <c r="U19" i="15"/>
  <c r="I19" i="15"/>
  <c r="AK18" i="15"/>
  <c r="AH18" i="15"/>
  <c r="U18" i="15"/>
  <c r="R18" i="15"/>
  <c r="I18" i="15"/>
  <c r="AK17" i="15"/>
  <c r="AH17" i="15"/>
  <c r="R17" i="15"/>
  <c r="AJ17" i="15"/>
  <c r="I17" i="15"/>
  <c r="AK16" i="15"/>
  <c r="AH16" i="15"/>
  <c r="R16" i="15"/>
  <c r="AJ16" i="15"/>
  <c r="I16" i="15"/>
  <c r="AH15" i="15"/>
  <c r="U15" i="15"/>
  <c r="I15" i="15"/>
  <c r="AK14" i="15"/>
  <c r="AH14" i="15"/>
  <c r="R14" i="15"/>
  <c r="O14" i="15" s="1"/>
  <c r="I14" i="15"/>
  <c r="AK13" i="15"/>
  <c r="AH13" i="15"/>
  <c r="U13" i="15"/>
  <c r="R13" i="15"/>
  <c r="O13" i="15" s="1"/>
  <c r="AJ13" i="15"/>
  <c r="I13" i="15"/>
  <c r="AK12" i="15"/>
  <c r="AH12" i="15"/>
  <c r="U12" i="15"/>
  <c r="R12" i="15"/>
  <c r="O12" i="15" s="1"/>
  <c r="AJ12" i="15"/>
  <c r="I12" i="15"/>
  <c r="AH11" i="15"/>
  <c r="U11" i="15"/>
  <c r="Y11" i="15" s="1"/>
  <c r="I11" i="15"/>
  <c r="AK10" i="15"/>
  <c r="AH10" i="15"/>
  <c r="U10" i="15"/>
  <c r="I10" i="15"/>
  <c r="AH9" i="15"/>
  <c r="AJ9" i="15"/>
  <c r="I9" i="15"/>
  <c r="AH8" i="15"/>
  <c r="U8" i="15"/>
  <c r="R8" i="15"/>
  <c r="O8" i="15" s="1"/>
  <c r="I8" i="15"/>
  <c r="AH7" i="15"/>
  <c r="U7" i="15"/>
  <c r="I7" i="15"/>
  <c r="AH6" i="15"/>
  <c r="R6" i="15"/>
  <c r="AK6" i="15"/>
  <c r="I6" i="15"/>
  <c r="AH5" i="15"/>
  <c r="U5" i="15"/>
  <c r="AK5" i="15"/>
  <c r="I5" i="15"/>
  <c r="AH4" i="15"/>
  <c r="I4" i="15"/>
  <c r="AH3" i="15"/>
  <c r="I3" i="15"/>
  <c r="K58" i="14"/>
  <c r="I58" i="14"/>
  <c r="K56" i="14"/>
  <c r="I56" i="14"/>
  <c r="J49" i="14"/>
  <c r="G49" i="14"/>
  <c r="F49" i="14"/>
  <c r="E49" i="14"/>
  <c r="D49" i="14"/>
  <c r="AA48" i="14"/>
  <c r="AC47" i="14"/>
  <c r="AB47" i="14"/>
  <c r="K47" i="14"/>
  <c r="C47" i="14"/>
  <c r="AH45" i="14"/>
  <c r="U45" i="14"/>
  <c r="R45" i="14"/>
  <c r="AK45" i="14"/>
  <c r="N45" i="14"/>
  <c r="I45" i="14"/>
  <c r="AH44" i="14"/>
  <c r="R44" i="14"/>
  <c r="AI44" i="14" s="1"/>
  <c r="AK44" i="14"/>
  <c r="O44" i="14"/>
  <c r="N44" i="14"/>
  <c r="I44" i="14"/>
  <c r="AH43" i="14"/>
  <c r="U43" i="14"/>
  <c r="AK43" i="14"/>
  <c r="N43" i="14"/>
  <c r="I43" i="14"/>
  <c r="AJ42" i="14"/>
  <c r="AH42" i="14"/>
  <c r="U42" i="14"/>
  <c r="AD42" i="14" s="1"/>
  <c r="AK42" i="14"/>
  <c r="N42" i="14"/>
  <c r="I42" i="14"/>
  <c r="AH41" i="14"/>
  <c r="R41" i="14"/>
  <c r="AG41" i="14" s="1"/>
  <c r="AM41" i="14" s="1"/>
  <c r="N41" i="14"/>
  <c r="I41" i="14"/>
  <c r="AH40" i="14"/>
  <c r="R40" i="14"/>
  <c r="O40" i="14" s="1"/>
  <c r="AK40" i="14"/>
  <c r="N40" i="14"/>
  <c r="I40" i="14"/>
  <c r="AH39" i="14"/>
  <c r="Y39" i="14"/>
  <c r="U39" i="14"/>
  <c r="R39" i="14"/>
  <c r="N39" i="14"/>
  <c r="I39" i="14"/>
  <c r="AH38" i="14"/>
  <c r="U38" i="14"/>
  <c r="AD38" i="14" s="1"/>
  <c r="AK38" i="14"/>
  <c r="N38" i="14"/>
  <c r="I38" i="14"/>
  <c r="AH37" i="14"/>
  <c r="U37" i="14"/>
  <c r="R37" i="14"/>
  <c r="AG37" i="14" s="1"/>
  <c r="AM37" i="14" s="1"/>
  <c r="AK37" i="14"/>
  <c r="N37" i="14"/>
  <c r="I37" i="14"/>
  <c r="AH36" i="14"/>
  <c r="R36" i="14"/>
  <c r="AI36" i="14" s="1"/>
  <c r="AK36" i="14"/>
  <c r="N36" i="14"/>
  <c r="I36" i="14"/>
  <c r="AH35" i="14"/>
  <c r="U35" i="14"/>
  <c r="Y35" i="14" s="1"/>
  <c r="R35" i="14"/>
  <c r="N35" i="14"/>
  <c r="I35" i="14"/>
  <c r="AH34" i="14"/>
  <c r="U34" i="14"/>
  <c r="AK34" i="14"/>
  <c r="N34" i="14"/>
  <c r="I34" i="14"/>
  <c r="AH33" i="14"/>
  <c r="U33" i="14"/>
  <c r="R33" i="14"/>
  <c r="AG33" i="14" s="1"/>
  <c r="AK33" i="14"/>
  <c r="N33" i="14"/>
  <c r="I33" i="14"/>
  <c r="AH32" i="14"/>
  <c r="U32" i="14"/>
  <c r="R32" i="14"/>
  <c r="AI32" i="14" s="1"/>
  <c r="AK32" i="14"/>
  <c r="N32" i="14"/>
  <c r="I32" i="14"/>
  <c r="AK31" i="14"/>
  <c r="AH31" i="14"/>
  <c r="U31" i="14"/>
  <c r="R31" i="14"/>
  <c r="N31" i="14"/>
  <c r="I31" i="14"/>
  <c r="AH30" i="14"/>
  <c r="U30" i="14"/>
  <c r="AD30" i="14" s="1"/>
  <c r="AK30" i="14"/>
  <c r="N30" i="14"/>
  <c r="I30" i="14"/>
  <c r="AH29" i="14"/>
  <c r="U29" i="14"/>
  <c r="R29" i="14"/>
  <c r="AG29" i="14" s="1"/>
  <c r="AM29" i="14" s="1"/>
  <c r="AK29" i="14"/>
  <c r="N29" i="14"/>
  <c r="I29" i="14"/>
  <c r="AH28" i="14"/>
  <c r="U28" i="14"/>
  <c r="R28" i="14"/>
  <c r="O28" i="14" s="1"/>
  <c r="AK28" i="14"/>
  <c r="N28" i="14"/>
  <c r="I28" i="14"/>
  <c r="AK27" i="14"/>
  <c r="AH27" i="14"/>
  <c r="U27" i="14"/>
  <c r="Y27" i="14" s="1"/>
  <c r="N27" i="14"/>
  <c r="I27" i="14"/>
  <c r="AH26" i="14"/>
  <c r="U26" i="14"/>
  <c r="Q47" i="14"/>
  <c r="AK26" i="14"/>
  <c r="N26" i="14"/>
  <c r="I26" i="14"/>
  <c r="AA25" i="14"/>
  <c r="AA51" i="14" s="1"/>
  <c r="AC24" i="14"/>
  <c r="AC49" i="14" s="1"/>
  <c r="AB24" i="14"/>
  <c r="K24" i="14"/>
  <c r="K49" i="14" s="1"/>
  <c r="C24" i="14"/>
  <c r="AK22" i="14"/>
  <c r="AH22" i="14"/>
  <c r="U22" i="14"/>
  <c r="R22" i="14"/>
  <c r="AJ22" i="14"/>
  <c r="N22" i="14"/>
  <c r="I22" i="14"/>
  <c r="AK21" i="14"/>
  <c r="AH21" i="14"/>
  <c r="U21" i="14"/>
  <c r="AJ21" i="14"/>
  <c r="N21" i="14"/>
  <c r="I21" i="14"/>
  <c r="AK20" i="14"/>
  <c r="AH20" i="14"/>
  <c r="U20" i="14"/>
  <c r="R20" i="14"/>
  <c r="AJ20" i="14"/>
  <c r="N20" i="14"/>
  <c r="I20" i="14"/>
  <c r="AH19" i="14"/>
  <c r="U19" i="14"/>
  <c r="N19" i="14"/>
  <c r="I19" i="14"/>
  <c r="AK18" i="14"/>
  <c r="AH18" i="14"/>
  <c r="U18" i="14"/>
  <c r="R18" i="14"/>
  <c r="AG18" i="14" s="1"/>
  <c r="AM18" i="14" s="1"/>
  <c r="AJ18" i="14"/>
  <c r="N18" i="14"/>
  <c r="I18" i="14"/>
  <c r="AK17" i="14"/>
  <c r="AH17" i="14"/>
  <c r="AJ17" i="14"/>
  <c r="N17" i="14"/>
  <c r="I17" i="14"/>
  <c r="AK16" i="14"/>
  <c r="AH16" i="14"/>
  <c r="R16" i="14"/>
  <c r="AJ16" i="14"/>
  <c r="N16" i="14"/>
  <c r="I16" i="14"/>
  <c r="AH15" i="14"/>
  <c r="U15" i="14"/>
  <c r="N15" i="14"/>
  <c r="I15" i="14"/>
  <c r="AK14" i="14"/>
  <c r="AH14" i="14"/>
  <c r="R14" i="14"/>
  <c r="AJ14" i="14"/>
  <c r="N14" i="14"/>
  <c r="I14" i="14"/>
  <c r="AK13" i="14"/>
  <c r="AH13" i="14"/>
  <c r="U13" i="14"/>
  <c r="AJ13" i="14"/>
  <c r="N13" i="14"/>
  <c r="I13" i="14"/>
  <c r="AK12" i="14"/>
  <c r="AH12" i="14"/>
  <c r="R12" i="14"/>
  <c r="W12" i="14" s="1"/>
  <c r="N12" i="14"/>
  <c r="I12" i="14"/>
  <c r="AH11" i="14"/>
  <c r="U11" i="14"/>
  <c r="N11" i="14"/>
  <c r="I11" i="14"/>
  <c r="AK10" i="14"/>
  <c r="AH10" i="14"/>
  <c r="AD10" i="14"/>
  <c r="U10" i="14"/>
  <c r="R10" i="14"/>
  <c r="AG10" i="14" s="1"/>
  <c r="AM10" i="14" s="1"/>
  <c r="N10" i="14"/>
  <c r="I10" i="14"/>
  <c r="AH9" i="14"/>
  <c r="U9" i="14"/>
  <c r="AK9" i="14"/>
  <c r="N9" i="14"/>
  <c r="I9" i="14"/>
  <c r="AH8" i="14"/>
  <c r="R8" i="14"/>
  <c r="N8" i="14"/>
  <c r="I8" i="14"/>
  <c r="AH7" i="14"/>
  <c r="U7" i="14"/>
  <c r="N7" i="14"/>
  <c r="I7" i="14"/>
  <c r="AH6" i="14"/>
  <c r="AK6" i="14"/>
  <c r="N6" i="14"/>
  <c r="I6" i="14"/>
  <c r="AK5" i="14"/>
  <c r="AH5" i="14"/>
  <c r="U5" i="14"/>
  <c r="R5" i="14"/>
  <c r="AJ5" i="14"/>
  <c r="N5" i="14"/>
  <c r="I5" i="14"/>
  <c r="AH4" i="14"/>
  <c r="R4" i="14"/>
  <c r="N4" i="14"/>
  <c r="I4" i="14"/>
  <c r="AH3" i="14"/>
  <c r="U3" i="14"/>
  <c r="Q24" i="14"/>
  <c r="Q49" i="14" s="1"/>
  <c r="N3" i="14"/>
  <c r="I3" i="14"/>
  <c r="Z45" i="13"/>
  <c r="Z45" i="16" s="1"/>
  <c r="X45" i="13"/>
  <c r="X45" i="16" s="1"/>
  <c r="T45" i="13"/>
  <c r="T45" i="16" s="1"/>
  <c r="S45" i="13"/>
  <c r="S45" i="16" s="1"/>
  <c r="Q45" i="16"/>
  <c r="P45" i="13"/>
  <c r="Z44" i="13"/>
  <c r="Z44" i="16" s="1"/>
  <c r="X44" i="13"/>
  <c r="T44" i="13"/>
  <c r="T44" i="16" s="1"/>
  <c r="S44" i="13"/>
  <c r="S44" i="16" s="1"/>
  <c r="Q44" i="16"/>
  <c r="P44" i="13"/>
  <c r="P44" i="16" s="1"/>
  <c r="Z43" i="13"/>
  <c r="Z43" i="16" s="1"/>
  <c r="X43" i="13"/>
  <c r="X43" i="16" s="1"/>
  <c r="T43" i="13"/>
  <c r="S43" i="13"/>
  <c r="Q43" i="16"/>
  <c r="P43" i="13"/>
  <c r="P43" i="16" s="1"/>
  <c r="Z42" i="13"/>
  <c r="Z42" i="16" s="1"/>
  <c r="X42" i="13"/>
  <c r="X42" i="16" s="1"/>
  <c r="T42" i="13"/>
  <c r="T42" i="16" s="1"/>
  <c r="S42" i="13"/>
  <c r="S42" i="16" s="1"/>
  <c r="Q42" i="16"/>
  <c r="P42" i="13"/>
  <c r="Z41" i="13"/>
  <c r="X41" i="13"/>
  <c r="T41" i="13"/>
  <c r="S41" i="13"/>
  <c r="Q41" i="16"/>
  <c r="P41" i="13"/>
  <c r="Z40" i="13"/>
  <c r="X40" i="13"/>
  <c r="T40" i="13"/>
  <c r="T40" i="16" s="1"/>
  <c r="S40" i="13"/>
  <c r="S40" i="16" s="1"/>
  <c r="Q40" i="16"/>
  <c r="P40" i="13"/>
  <c r="P40" i="16" s="1"/>
  <c r="AK40" i="16" s="1"/>
  <c r="Z39" i="13"/>
  <c r="Z39" i="16" s="1"/>
  <c r="X39" i="13"/>
  <c r="X39" i="16" s="1"/>
  <c r="T39" i="13"/>
  <c r="T39" i="16" s="1"/>
  <c r="S39" i="13"/>
  <c r="Q39" i="16"/>
  <c r="P39" i="13"/>
  <c r="P39" i="16" s="1"/>
  <c r="Z38" i="13"/>
  <c r="Z38" i="16" s="1"/>
  <c r="X38" i="13"/>
  <c r="X38" i="16" s="1"/>
  <c r="T38" i="13"/>
  <c r="T38" i="16" s="1"/>
  <c r="S38" i="13"/>
  <c r="Q38" i="16"/>
  <c r="P38" i="13"/>
  <c r="Z37" i="13"/>
  <c r="Z37" i="16" s="1"/>
  <c r="X37" i="13"/>
  <c r="X37" i="16" s="1"/>
  <c r="T37" i="13"/>
  <c r="T37" i="16" s="1"/>
  <c r="S37" i="13"/>
  <c r="S37" i="16" s="1"/>
  <c r="Q37" i="16"/>
  <c r="P37" i="13"/>
  <c r="P37" i="16" s="1"/>
  <c r="AK37" i="16" s="1"/>
  <c r="Z36" i="13"/>
  <c r="Z36" i="16" s="1"/>
  <c r="X36" i="13"/>
  <c r="T36" i="13"/>
  <c r="T36" i="16" s="1"/>
  <c r="S36" i="13"/>
  <c r="S36" i="16" s="1"/>
  <c r="Q36" i="16"/>
  <c r="P36" i="13"/>
  <c r="P36" i="16" s="1"/>
  <c r="AK36" i="16" s="1"/>
  <c r="Z35" i="13"/>
  <c r="Z35" i="16" s="1"/>
  <c r="X35" i="13"/>
  <c r="T35" i="13"/>
  <c r="T35" i="16" s="1"/>
  <c r="S35" i="13"/>
  <c r="Q35" i="16"/>
  <c r="P35" i="13"/>
  <c r="P35" i="16" s="1"/>
  <c r="Z34" i="13"/>
  <c r="Z34" i="16" s="1"/>
  <c r="X34" i="13"/>
  <c r="X34" i="16" s="1"/>
  <c r="T34" i="13"/>
  <c r="S34" i="13"/>
  <c r="S34" i="16" s="1"/>
  <c r="U34" i="16" s="1"/>
  <c r="Q34" i="16"/>
  <c r="P34" i="13"/>
  <c r="Z33" i="13"/>
  <c r="Z33" i="16" s="1"/>
  <c r="X33" i="13"/>
  <c r="X33" i="16" s="1"/>
  <c r="T33" i="13"/>
  <c r="T33" i="16" s="1"/>
  <c r="S33" i="13"/>
  <c r="S33" i="16" s="1"/>
  <c r="Q33" i="16"/>
  <c r="P33" i="13"/>
  <c r="Z32" i="13"/>
  <c r="X32" i="13"/>
  <c r="T32" i="13"/>
  <c r="T32" i="16" s="1"/>
  <c r="S32" i="13"/>
  <c r="S32" i="16" s="1"/>
  <c r="Q32" i="16"/>
  <c r="P32" i="13"/>
  <c r="P32" i="16" s="1"/>
  <c r="AK32" i="16" s="1"/>
  <c r="Z31" i="13"/>
  <c r="Z31" i="16" s="1"/>
  <c r="X31" i="13"/>
  <c r="X31" i="16" s="1"/>
  <c r="T31" i="13"/>
  <c r="T31" i="16" s="1"/>
  <c r="S31" i="13"/>
  <c r="Q31" i="16"/>
  <c r="P31" i="13"/>
  <c r="P31" i="16" s="1"/>
  <c r="Z30" i="13"/>
  <c r="Z30" i="16" s="1"/>
  <c r="X30" i="13"/>
  <c r="X30" i="16" s="1"/>
  <c r="T30" i="13"/>
  <c r="T30" i="16" s="1"/>
  <c r="S30" i="13"/>
  <c r="S30" i="16" s="1"/>
  <c r="Q30" i="16"/>
  <c r="P30" i="13"/>
  <c r="Z29" i="13"/>
  <c r="Z29" i="16" s="1"/>
  <c r="X29" i="13"/>
  <c r="X29" i="16" s="1"/>
  <c r="T29" i="13"/>
  <c r="T29" i="16" s="1"/>
  <c r="S29" i="13"/>
  <c r="S29" i="16" s="1"/>
  <c r="Q29" i="16"/>
  <c r="P29" i="13"/>
  <c r="P29" i="16" s="1"/>
  <c r="AK29" i="16" s="1"/>
  <c r="Z28" i="13"/>
  <c r="Z28" i="16" s="1"/>
  <c r="X28" i="13"/>
  <c r="T28" i="13"/>
  <c r="T28" i="16" s="1"/>
  <c r="S28" i="13"/>
  <c r="Q28" i="16"/>
  <c r="P28" i="13"/>
  <c r="P28" i="16" s="1"/>
  <c r="Z27" i="13"/>
  <c r="Z27" i="16" s="1"/>
  <c r="X27" i="13"/>
  <c r="X27" i="16" s="1"/>
  <c r="T27" i="13"/>
  <c r="T27" i="16" s="1"/>
  <c r="S27" i="13"/>
  <c r="Q27" i="16"/>
  <c r="P27" i="13"/>
  <c r="P27" i="16" s="1"/>
  <c r="Z26" i="13"/>
  <c r="Z26" i="16" s="1"/>
  <c r="X26" i="13"/>
  <c r="X26" i="16" s="1"/>
  <c r="T26" i="13"/>
  <c r="S26" i="13"/>
  <c r="S26" i="16" s="1"/>
  <c r="Q26" i="16"/>
  <c r="P26" i="13"/>
  <c r="Z22" i="13"/>
  <c r="Z22" i="16" s="1"/>
  <c r="X22" i="13"/>
  <c r="T22" i="13"/>
  <c r="T22" i="16" s="1"/>
  <c r="S22" i="13"/>
  <c r="Q22" i="16"/>
  <c r="P22" i="13"/>
  <c r="P22" i="16" s="1"/>
  <c r="AK22" i="16" s="1"/>
  <c r="Z21" i="13"/>
  <c r="X21" i="13"/>
  <c r="T21" i="13"/>
  <c r="T21" i="16" s="1"/>
  <c r="S21" i="13"/>
  <c r="S21" i="16" s="1"/>
  <c r="Q21" i="16"/>
  <c r="P21" i="13"/>
  <c r="P21" i="16" s="1"/>
  <c r="AK21" i="16" s="1"/>
  <c r="Z20" i="13"/>
  <c r="Z20" i="16" s="1"/>
  <c r="X20" i="13"/>
  <c r="T20" i="13"/>
  <c r="T20" i="16" s="1"/>
  <c r="S20" i="13"/>
  <c r="Q20" i="16"/>
  <c r="P20" i="13"/>
  <c r="Z19" i="13"/>
  <c r="Z19" i="16" s="1"/>
  <c r="X19" i="13"/>
  <c r="X19" i="16" s="1"/>
  <c r="T19" i="13"/>
  <c r="T19" i="16" s="1"/>
  <c r="S19" i="13"/>
  <c r="S19" i="16" s="1"/>
  <c r="Q19" i="16"/>
  <c r="P19" i="13"/>
  <c r="Z18" i="13"/>
  <c r="Z18" i="16" s="1"/>
  <c r="X18" i="13"/>
  <c r="X18" i="16" s="1"/>
  <c r="T18" i="13"/>
  <c r="T18" i="16" s="1"/>
  <c r="S18" i="13"/>
  <c r="S18" i="16" s="1"/>
  <c r="Q18" i="16"/>
  <c r="P18" i="13"/>
  <c r="P18" i="16" s="1"/>
  <c r="Z17" i="13"/>
  <c r="Z17" i="16" s="1"/>
  <c r="X17" i="13"/>
  <c r="T17" i="13"/>
  <c r="S17" i="13"/>
  <c r="S17" i="16" s="1"/>
  <c r="Q17" i="16"/>
  <c r="P17" i="13"/>
  <c r="P17" i="16" s="1"/>
  <c r="AK17" i="16" s="1"/>
  <c r="Z16" i="13"/>
  <c r="Z16" i="16" s="1"/>
  <c r="X16" i="13"/>
  <c r="X16" i="16" s="1"/>
  <c r="T16" i="13"/>
  <c r="T16" i="16" s="1"/>
  <c r="S16" i="13"/>
  <c r="Q16" i="16"/>
  <c r="P16" i="13"/>
  <c r="P16" i="16" s="1"/>
  <c r="AK16" i="16" s="1"/>
  <c r="Z15" i="13"/>
  <c r="X15" i="13"/>
  <c r="X15" i="16" s="1"/>
  <c r="T15" i="13"/>
  <c r="T15" i="16" s="1"/>
  <c r="S15" i="13"/>
  <c r="S15" i="16" s="1"/>
  <c r="Q15" i="16"/>
  <c r="P15" i="13"/>
  <c r="Z14" i="13"/>
  <c r="Z14" i="16" s="1"/>
  <c r="X14" i="13"/>
  <c r="X14" i="16" s="1"/>
  <c r="T14" i="13"/>
  <c r="T14" i="16" s="1"/>
  <c r="S14" i="13"/>
  <c r="Q14" i="16"/>
  <c r="P14" i="13"/>
  <c r="P14" i="16" s="1"/>
  <c r="AK14" i="16" s="1"/>
  <c r="Z13" i="13"/>
  <c r="Z13" i="16" s="1"/>
  <c r="X13" i="13"/>
  <c r="T13" i="13"/>
  <c r="T13" i="16" s="1"/>
  <c r="S13" i="13"/>
  <c r="S13" i="16" s="1"/>
  <c r="Q13" i="16"/>
  <c r="P13" i="13"/>
  <c r="P13" i="16" s="1"/>
  <c r="AK13" i="16" s="1"/>
  <c r="Z12" i="13"/>
  <c r="Z12" i="16" s="1"/>
  <c r="X12" i="13"/>
  <c r="T12" i="13"/>
  <c r="T12" i="16" s="1"/>
  <c r="S12" i="13"/>
  <c r="Q12" i="16"/>
  <c r="P12" i="13"/>
  <c r="P12" i="16" s="1"/>
  <c r="Z11" i="13"/>
  <c r="Z11" i="16" s="1"/>
  <c r="X11" i="13"/>
  <c r="X11" i="16" s="1"/>
  <c r="T11" i="13"/>
  <c r="T11" i="16" s="1"/>
  <c r="S11" i="13"/>
  <c r="S11" i="16" s="1"/>
  <c r="Q11" i="16"/>
  <c r="P11" i="13"/>
  <c r="Z10" i="13"/>
  <c r="Z10" i="16" s="1"/>
  <c r="X10" i="13"/>
  <c r="X10" i="16" s="1"/>
  <c r="T10" i="13"/>
  <c r="T10" i="16" s="1"/>
  <c r="S10" i="13"/>
  <c r="S10" i="16" s="1"/>
  <c r="Q10" i="16"/>
  <c r="P10" i="13"/>
  <c r="P10" i="16" s="1"/>
  <c r="Z9" i="13"/>
  <c r="Z9" i="16" s="1"/>
  <c r="X9" i="13"/>
  <c r="T9" i="13"/>
  <c r="S9" i="13"/>
  <c r="S9" i="16" s="1"/>
  <c r="Q9" i="16"/>
  <c r="P9" i="13"/>
  <c r="P9" i="16" s="1"/>
  <c r="Z8" i="13"/>
  <c r="Z8" i="16" s="1"/>
  <c r="X8" i="13"/>
  <c r="X8" i="16" s="1"/>
  <c r="T8" i="13"/>
  <c r="T8" i="16" s="1"/>
  <c r="S8" i="13"/>
  <c r="Q8" i="16"/>
  <c r="P8" i="13"/>
  <c r="P8" i="16" s="1"/>
  <c r="Z7" i="13"/>
  <c r="X7" i="13"/>
  <c r="X7" i="16" s="1"/>
  <c r="T7" i="13"/>
  <c r="T7" i="16" s="1"/>
  <c r="S7" i="13"/>
  <c r="S7" i="16" s="1"/>
  <c r="Q7" i="16"/>
  <c r="P7" i="13"/>
  <c r="Z6" i="13"/>
  <c r="Z6" i="16" s="1"/>
  <c r="X6" i="13"/>
  <c r="X6" i="16" s="1"/>
  <c r="T6" i="13"/>
  <c r="T6" i="16" s="1"/>
  <c r="S6" i="13"/>
  <c r="Q6" i="16"/>
  <c r="P6" i="13"/>
  <c r="P6" i="16" s="1"/>
  <c r="AK6" i="16" s="1"/>
  <c r="Z5" i="13"/>
  <c r="Z5" i="16" s="1"/>
  <c r="X5" i="13"/>
  <c r="T5" i="13"/>
  <c r="T5" i="16" s="1"/>
  <c r="S5" i="13"/>
  <c r="S5" i="16" s="1"/>
  <c r="Q5" i="16"/>
  <c r="P5" i="13"/>
  <c r="P5" i="16" s="1"/>
  <c r="Z4" i="13"/>
  <c r="Z4" i="16" s="1"/>
  <c r="X4" i="13"/>
  <c r="T4" i="13"/>
  <c r="T4" i="16" s="1"/>
  <c r="S4" i="13"/>
  <c r="P4" i="13"/>
  <c r="Z3" i="13"/>
  <c r="X3" i="13"/>
  <c r="X3" i="16" s="1"/>
  <c r="T3" i="13"/>
  <c r="F23" i="75" l="1"/>
  <c r="E24" i="75"/>
  <c r="F40" i="75"/>
  <c r="E41" i="75"/>
  <c r="E18" i="65"/>
  <c r="F17" i="65"/>
  <c r="F14" i="39"/>
  <c r="E15" i="39"/>
  <c r="G32" i="31"/>
  <c r="E40" i="39"/>
  <c r="F39" i="39"/>
  <c r="E41" i="65"/>
  <c r="F40" i="65"/>
  <c r="F38" i="31"/>
  <c r="E39" i="31"/>
  <c r="F14" i="31"/>
  <c r="E15" i="31"/>
  <c r="F48" i="72"/>
  <c r="E49" i="72"/>
  <c r="F49" i="72" s="1"/>
  <c r="G48" i="45"/>
  <c r="G46" i="45"/>
  <c r="F45" i="45"/>
  <c r="E46" i="45"/>
  <c r="E22" i="45"/>
  <c r="F21" i="45"/>
  <c r="E43" i="42"/>
  <c r="F42" i="42"/>
  <c r="F19" i="42"/>
  <c r="E20" i="42"/>
  <c r="G22" i="42"/>
  <c r="G19" i="42"/>
  <c r="G38" i="39"/>
  <c r="M23" i="42"/>
  <c r="L24" i="42"/>
  <c r="M47" i="42"/>
  <c r="G47" i="42" s="1"/>
  <c r="L48" i="42"/>
  <c r="G43" i="31"/>
  <c r="G41" i="31"/>
  <c r="M18" i="31"/>
  <c r="G18" i="31" s="1"/>
  <c r="L19" i="31"/>
  <c r="M43" i="39"/>
  <c r="L44" i="39"/>
  <c r="M18" i="39"/>
  <c r="L19" i="39"/>
  <c r="G11" i="27"/>
  <c r="G38" i="27"/>
  <c r="G36" i="27"/>
  <c r="K8" i="2"/>
  <c r="I5" i="24" s="1"/>
  <c r="AA51" i="15"/>
  <c r="U37" i="16"/>
  <c r="AI22" i="15"/>
  <c r="O22" i="15"/>
  <c r="U41" i="15"/>
  <c r="AG19" i="15"/>
  <c r="AM19" i="15" s="1"/>
  <c r="O19" i="15"/>
  <c r="W16" i="15"/>
  <c r="O16" i="15"/>
  <c r="X47" i="15"/>
  <c r="S22" i="16"/>
  <c r="AG16" i="15"/>
  <c r="AM16" i="15" s="1"/>
  <c r="AK19" i="15"/>
  <c r="AJ7" i="15"/>
  <c r="W17" i="15"/>
  <c r="O17" i="15"/>
  <c r="AI41" i="15"/>
  <c r="O41" i="15"/>
  <c r="W18" i="15"/>
  <c r="O18" i="15"/>
  <c r="R20" i="16"/>
  <c r="AK4" i="15"/>
  <c r="U39" i="15"/>
  <c r="Y39" i="15" s="1"/>
  <c r="S24" i="15"/>
  <c r="AI6" i="15"/>
  <c r="O6" i="15"/>
  <c r="AI45" i="15"/>
  <c r="O45" i="15"/>
  <c r="AJ30" i="15"/>
  <c r="K49" i="15"/>
  <c r="M44" i="31"/>
  <c r="L45" i="31"/>
  <c r="G9" i="25"/>
  <c r="G38" i="25"/>
  <c r="G32" i="25"/>
  <c r="M13" i="25"/>
  <c r="L14" i="25"/>
  <c r="P41" i="16"/>
  <c r="AK41" i="16" s="1"/>
  <c r="S41" i="16"/>
  <c r="T41" i="16"/>
  <c r="T47" i="16" s="1"/>
  <c r="X41" i="16"/>
  <c r="Z41" i="16"/>
  <c r="L56" i="14"/>
  <c r="C49" i="14"/>
  <c r="U7" i="16"/>
  <c r="X12" i="16"/>
  <c r="Y12" i="16" s="1"/>
  <c r="U15" i="16"/>
  <c r="Y15" i="16" s="1"/>
  <c r="X20" i="16"/>
  <c r="U42" i="16"/>
  <c r="S14" i="16"/>
  <c r="AJ15" i="14"/>
  <c r="S6" i="16"/>
  <c r="U6" i="16" s="1"/>
  <c r="Y6" i="16" s="1"/>
  <c r="U36" i="16"/>
  <c r="U40" i="16"/>
  <c r="AJ43" i="16"/>
  <c r="U44" i="16"/>
  <c r="AG44" i="16" s="1"/>
  <c r="X24" i="14"/>
  <c r="X49" i="14" s="1"/>
  <c r="Z7" i="16"/>
  <c r="Z15" i="16"/>
  <c r="Z24" i="16" s="1"/>
  <c r="U29" i="16"/>
  <c r="Y29" i="16" s="1"/>
  <c r="T9" i="16"/>
  <c r="T17" i="16"/>
  <c r="O36" i="14"/>
  <c r="M17" i="27"/>
  <c r="L18" i="27"/>
  <c r="M39" i="27"/>
  <c r="L40" i="27"/>
  <c r="F14" i="27"/>
  <c r="E15" i="27"/>
  <c r="F39" i="27"/>
  <c r="E40" i="27"/>
  <c r="W44" i="14"/>
  <c r="W36" i="14"/>
  <c r="J47" i="18"/>
  <c r="J42" i="18"/>
  <c r="J35" i="18"/>
  <c r="AI28" i="17"/>
  <c r="J30" i="18"/>
  <c r="J32" i="18"/>
  <c r="J34" i="18"/>
  <c r="J29" i="18"/>
  <c r="J33" i="18"/>
  <c r="J40" i="18"/>
  <c r="AI32" i="17"/>
  <c r="J46" i="18"/>
  <c r="J39" i="18"/>
  <c r="J45" i="18"/>
  <c r="J38" i="18"/>
  <c r="J44" i="18"/>
  <c r="W28" i="17"/>
  <c r="AG9" i="17"/>
  <c r="AM9" i="17" s="1"/>
  <c r="J19" i="18"/>
  <c r="J13" i="18"/>
  <c r="J6" i="18"/>
  <c r="AG8" i="17"/>
  <c r="AM8" i="17" s="1"/>
  <c r="O8" i="17"/>
  <c r="J23" i="18"/>
  <c r="J16" i="18"/>
  <c r="J11" i="18"/>
  <c r="J22" i="18"/>
  <c r="J15" i="18"/>
  <c r="J7" i="18"/>
  <c r="AI10" i="17"/>
  <c r="O10" i="17"/>
  <c r="AI13" i="17"/>
  <c r="J21" i="18"/>
  <c r="J14" i="18"/>
  <c r="J4" i="18"/>
  <c r="L11" i="23"/>
  <c r="M10" i="23"/>
  <c r="G8" i="23" s="1"/>
  <c r="E20" i="24"/>
  <c r="E17" i="24"/>
  <c r="K6" i="24"/>
  <c r="E21" i="24"/>
  <c r="L6" i="24"/>
  <c r="J126" i="2"/>
  <c r="M20" i="24" s="1"/>
  <c r="O13" i="1" s="1"/>
  <c r="H5" i="24"/>
  <c r="K20" i="24" s="1"/>
  <c r="K7" i="2"/>
  <c r="I4" i="24" s="1"/>
  <c r="G4" i="24"/>
  <c r="G6" i="24" s="1"/>
  <c r="U14" i="16"/>
  <c r="Y14" i="16" s="1"/>
  <c r="U18" i="16"/>
  <c r="Y18" i="16" s="1"/>
  <c r="U22" i="16"/>
  <c r="U33" i="16"/>
  <c r="Y33" i="16" s="1"/>
  <c r="X9" i="16"/>
  <c r="S12" i="16"/>
  <c r="U12" i="16" s="1"/>
  <c r="X13" i="16"/>
  <c r="X17" i="16"/>
  <c r="X21" i="16"/>
  <c r="S27" i="16"/>
  <c r="U27" i="16" s="1"/>
  <c r="P30" i="16"/>
  <c r="S31" i="16"/>
  <c r="U31" i="16" s="1"/>
  <c r="X32" i="16"/>
  <c r="X36" i="16"/>
  <c r="Y36" i="16" s="1"/>
  <c r="P38" i="16"/>
  <c r="S39" i="16"/>
  <c r="U39" i="16" s="1"/>
  <c r="X40" i="16"/>
  <c r="X44" i="16"/>
  <c r="AI44" i="16" s="1"/>
  <c r="P34" i="16"/>
  <c r="R35" i="16"/>
  <c r="AI35" i="16" s="1"/>
  <c r="U28" i="16"/>
  <c r="S3" i="16"/>
  <c r="X4" i="16"/>
  <c r="AK10" i="16"/>
  <c r="T3" i="16"/>
  <c r="T24" i="16" s="1"/>
  <c r="Z3" i="16"/>
  <c r="R12" i="16"/>
  <c r="R16" i="16"/>
  <c r="AG16" i="16" s="1"/>
  <c r="AM16" i="16" s="1"/>
  <c r="P4" i="16"/>
  <c r="AJ4" i="16" s="1"/>
  <c r="R27" i="16"/>
  <c r="W27" i="16" s="1"/>
  <c r="Q4" i="16"/>
  <c r="R18" i="16"/>
  <c r="R9" i="16"/>
  <c r="Q3" i="16"/>
  <c r="M39" i="25"/>
  <c r="L40" i="25"/>
  <c r="F13" i="25"/>
  <c r="E14" i="25"/>
  <c r="F37" i="25"/>
  <c r="E38" i="25"/>
  <c r="AH46" i="14"/>
  <c r="L58" i="14"/>
  <c r="L56" i="15"/>
  <c r="I47" i="16"/>
  <c r="E8" i="23"/>
  <c r="F7" i="23"/>
  <c r="F31" i="23"/>
  <c r="E32" i="23"/>
  <c r="L56" i="17"/>
  <c r="AH23" i="17"/>
  <c r="L58" i="17"/>
  <c r="I47" i="17"/>
  <c r="M36" i="23"/>
  <c r="L37" i="23"/>
  <c r="J125" i="2"/>
  <c r="G20" i="24" s="1"/>
  <c r="O5" i="1" s="1"/>
  <c r="D17" i="19"/>
  <c r="D9" i="19"/>
  <c r="D19" i="19"/>
  <c r="D22" i="19"/>
  <c r="D14" i="19"/>
  <c r="D6" i="19"/>
  <c r="D21" i="19"/>
  <c r="D13" i="19"/>
  <c r="D5" i="19"/>
  <c r="D11" i="19"/>
  <c r="D8" i="19"/>
  <c r="D12" i="19"/>
  <c r="D16" i="19"/>
  <c r="D20" i="19"/>
  <c r="D43" i="19"/>
  <c r="D41" i="19"/>
  <c r="D33" i="19"/>
  <c r="D39" i="19"/>
  <c r="D30" i="19"/>
  <c r="D45" i="19"/>
  <c r="D37" i="19"/>
  <c r="D29" i="19"/>
  <c r="D35" i="19"/>
  <c r="D32" i="19"/>
  <c r="D36" i="19"/>
  <c r="D40" i="19"/>
  <c r="D44" i="19"/>
  <c r="K20" i="19"/>
  <c r="K12" i="19"/>
  <c r="K4" i="19"/>
  <c r="K22" i="19"/>
  <c r="K17" i="19"/>
  <c r="K9" i="19"/>
  <c r="K16" i="19"/>
  <c r="K8" i="19"/>
  <c r="K14" i="19"/>
  <c r="K6" i="19"/>
  <c r="K44" i="19"/>
  <c r="K36" i="19"/>
  <c r="K28" i="19"/>
  <c r="K38" i="19"/>
  <c r="K42" i="19"/>
  <c r="K30" i="19"/>
  <c r="K33" i="19"/>
  <c r="K40" i="19"/>
  <c r="K32" i="19"/>
  <c r="K46" i="19"/>
  <c r="K5" i="19"/>
  <c r="K13" i="19"/>
  <c r="K21" i="19"/>
  <c r="K29" i="19"/>
  <c r="K37" i="19"/>
  <c r="K41" i="19"/>
  <c r="K45" i="19"/>
  <c r="D10" i="19"/>
  <c r="D18" i="19"/>
  <c r="D34" i="19"/>
  <c r="D38" i="19"/>
  <c r="D42" i="19"/>
  <c r="D46" i="19"/>
  <c r="K10" i="19"/>
  <c r="K18" i="19"/>
  <c r="K34" i="19"/>
  <c r="D7" i="19"/>
  <c r="D15" i="19"/>
  <c r="D23" i="19"/>
  <c r="D31" i="19"/>
  <c r="D47" i="19"/>
  <c r="K7" i="19"/>
  <c r="K11" i="19"/>
  <c r="K15" i="19"/>
  <c r="K19" i="19"/>
  <c r="K23" i="19"/>
  <c r="K31" i="19"/>
  <c r="K35" i="19"/>
  <c r="K39" i="19"/>
  <c r="K43" i="19"/>
  <c r="K47" i="19"/>
  <c r="D4" i="19"/>
  <c r="D28" i="19"/>
  <c r="AA48" i="16"/>
  <c r="AK26" i="17"/>
  <c r="AA25" i="16"/>
  <c r="AA25" i="17"/>
  <c r="AA51" i="17" s="1"/>
  <c r="K47" i="17"/>
  <c r="K26" i="16"/>
  <c r="K17" i="16"/>
  <c r="K24" i="17"/>
  <c r="K49" i="17" s="1"/>
  <c r="K3" i="16"/>
  <c r="AI7" i="14"/>
  <c r="AG7" i="14"/>
  <c r="AK3" i="14"/>
  <c r="AJ11" i="14"/>
  <c r="AG12" i="14"/>
  <c r="AM12" i="14" s="1"/>
  <c r="O32" i="14"/>
  <c r="Q47" i="16"/>
  <c r="U10" i="16"/>
  <c r="Y10" i="16" s="1"/>
  <c r="U45" i="16"/>
  <c r="U11" i="16"/>
  <c r="Y11" i="16" s="1"/>
  <c r="U19" i="16"/>
  <c r="U30" i="16"/>
  <c r="U38" i="16"/>
  <c r="X5" i="16"/>
  <c r="W28" i="14"/>
  <c r="W40" i="14"/>
  <c r="AI12" i="14"/>
  <c r="O12" i="14"/>
  <c r="AI28" i="14"/>
  <c r="AI40" i="14"/>
  <c r="AK7" i="14"/>
  <c r="W32" i="14"/>
  <c r="AI15" i="15"/>
  <c r="W15" i="15"/>
  <c r="R34" i="16"/>
  <c r="AK34" i="16"/>
  <c r="AD20" i="15"/>
  <c r="Y20" i="15"/>
  <c r="AD11" i="15"/>
  <c r="W13" i="15"/>
  <c r="W22" i="15"/>
  <c r="AJ9" i="16"/>
  <c r="Z47" i="16"/>
  <c r="AG13" i="15"/>
  <c r="AM13" i="15" s="1"/>
  <c r="P42" i="16"/>
  <c r="R42" i="16" s="1"/>
  <c r="W42" i="16" s="1"/>
  <c r="U4" i="15"/>
  <c r="Y4" i="15" s="1"/>
  <c r="AK11" i="15"/>
  <c r="AJ19" i="15"/>
  <c r="AJ34" i="15"/>
  <c r="AK15" i="15"/>
  <c r="AJ18" i="16"/>
  <c r="P26" i="16"/>
  <c r="R44" i="16"/>
  <c r="W44" i="16" s="1"/>
  <c r="R5" i="16"/>
  <c r="W5" i="16" s="1"/>
  <c r="P15" i="16"/>
  <c r="R15" i="16" s="1"/>
  <c r="R36" i="16"/>
  <c r="AJ11" i="15"/>
  <c r="AJ15" i="15"/>
  <c r="R28" i="16"/>
  <c r="U32" i="16"/>
  <c r="S4" i="16"/>
  <c r="U4" i="16" s="1"/>
  <c r="AK18" i="16"/>
  <c r="R17" i="16"/>
  <c r="AG7" i="17"/>
  <c r="AI7" i="17"/>
  <c r="W7" i="17"/>
  <c r="AK30" i="16"/>
  <c r="R30" i="16"/>
  <c r="AK38" i="16"/>
  <c r="R38" i="16"/>
  <c r="AI38" i="16" s="1"/>
  <c r="AK4" i="17"/>
  <c r="R15" i="17"/>
  <c r="U27" i="17"/>
  <c r="Y27" i="17" s="1"/>
  <c r="AK34" i="17"/>
  <c r="AI36" i="17"/>
  <c r="U39" i="17"/>
  <c r="S8" i="16"/>
  <c r="U8" i="16" s="1"/>
  <c r="Y8" i="16" s="1"/>
  <c r="S16" i="16"/>
  <c r="U16" i="16" s="1"/>
  <c r="S35" i="16"/>
  <c r="U35" i="16" s="1"/>
  <c r="Y35" i="16" s="1"/>
  <c r="S43" i="16"/>
  <c r="U43" i="16" s="1"/>
  <c r="Y43" i="16" s="1"/>
  <c r="P7" i="16"/>
  <c r="R4" i="17"/>
  <c r="AI40" i="17"/>
  <c r="X28" i="16"/>
  <c r="R26" i="16"/>
  <c r="AK28" i="16"/>
  <c r="U4" i="17"/>
  <c r="AK38" i="17"/>
  <c r="AJ17" i="16"/>
  <c r="AK44" i="16"/>
  <c r="P11" i="16"/>
  <c r="AK11" i="16" s="1"/>
  <c r="P19" i="16"/>
  <c r="AJ19" i="16" s="1"/>
  <c r="AK26" i="16"/>
  <c r="U12" i="17"/>
  <c r="X24" i="17"/>
  <c r="X49" i="17" s="1"/>
  <c r="U31" i="17"/>
  <c r="S20" i="16"/>
  <c r="U20" i="16" s="1"/>
  <c r="AG20" i="16" s="1"/>
  <c r="AK7" i="17"/>
  <c r="R21" i="16"/>
  <c r="R32" i="16"/>
  <c r="AI32" i="16" s="1"/>
  <c r="R40" i="16"/>
  <c r="W40" i="16" s="1"/>
  <c r="AJ13" i="16"/>
  <c r="AG10" i="17"/>
  <c r="R6" i="16"/>
  <c r="R14" i="16"/>
  <c r="R22" i="16"/>
  <c r="AG22" i="16" s="1"/>
  <c r="AM22" i="16" s="1"/>
  <c r="AK3" i="17"/>
  <c r="P3" i="16"/>
  <c r="AK3" i="16" s="1"/>
  <c r="U13" i="16"/>
  <c r="U5" i="16"/>
  <c r="Y5" i="16" s="1"/>
  <c r="U21" i="16"/>
  <c r="R31" i="16"/>
  <c r="AG31" i="16" s="1"/>
  <c r="AM31" i="16" s="1"/>
  <c r="R39" i="16"/>
  <c r="W28" i="16"/>
  <c r="AJ21" i="16"/>
  <c r="AD15" i="17"/>
  <c r="Y15" i="17"/>
  <c r="AI3" i="17"/>
  <c r="W3" i="17"/>
  <c r="Y5" i="17"/>
  <c r="AD5" i="17"/>
  <c r="AG22" i="17"/>
  <c r="AM22" i="17" s="1"/>
  <c r="AI22" i="17"/>
  <c r="W22" i="17"/>
  <c r="AI6" i="17"/>
  <c r="W6" i="17"/>
  <c r="AE6" i="17" s="1"/>
  <c r="AG6" i="17"/>
  <c r="AM6" i="17" s="1"/>
  <c r="AD9" i="17"/>
  <c r="Y9" i="17"/>
  <c r="Y11" i="17"/>
  <c r="AD11" i="17"/>
  <c r="W18" i="17"/>
  <c r="AI18" i="17"/>
  <c r="AG18" i="17"/>
  <c r="AM18" i="17" s="1"/>
  <c r="Y6" i="17"/>
  <c r="AD6" i="17"/>
  <c r="Y20" i="17"/>
  <c r="AD20" i="17"/>
  <c r="AE32" i="17"/>
  <c r="Y16" i="17"/>
  <c r="AD16" i="17"/>
  <c r="Y14" i="17"/>
  <c r="AD14" i="17"/>
  <c r="AI5" i="17"/>
  <c r="W5" i="17"/>
  <c r="AE5" i="17" s="1"/>
  <c r="AG5" i="17"/>
  <c r="AJ38" i="17"/>
  <c r="AJ7" i="17"/>
  <c r="W10" i="17"/>
  <c r="AE10" i="17" s="1"/>
  <c r="AG14" i="17"/>
  <c r="AM14" i="17" s="1"/>
  <c r="AK15" i="17"/>
  <c r="W17" i="17"/>
  <c r="AI17" i="17"/>
  <c r="Y21" i="17"/>
  <c r="Z47" i="17"/>
  <c r="AG27" i="17"/>
  <c r="AM27" i="17" s="1"/>
  <c r="AI27" i="17"/>
  <c r="W27" i="17"/>
  <c r="AJ30" i="17"/>
  <c r="AD31" i="17"/>
  <c r="Y31" i="17"/>
  <c r="AJ34" i="17"/>
  <c r="Y41" i="17"/>
  <c r="AD41" i="17"/>
  <c r="R42" i="17"/>
  <c r="AK42" i="17"/>
  <c r="U44" i="17"/>
  <c r="AG44" i="17" s="1"/>
  <c r="AJ3" i="17"/>
  <c r="Y7" i="17"/>
  <c r="W8" i="17"/>
  <c r="AE8" i="17" s="1"/>
  <c r="AI8" i="17"/>
  <c r="W9" i="17"/>
  <c r="AE9" i="17" s="1"/>
  <c r="AI9" i="17"/>
  <c r="AG11" i="17"/>
  <c r="AM11" i="17" s="1"/>
  <c r="AD13" i="17"/>
  <c r="AE13" i="17" s="1"/>
  <c r="AJ27" i="17"/>
  <c r="AI29" i="17"/>
  <c r="W29" i="17"/>
  <c r="R30" i="17"/>
  <c r="R38" i="17"/>
  <c r="U40" i="17"/>
  <c r="AD35" i="17"/>
  <c r="Y35" i="17"/>
  <c r="Q24" i="17"/>
  <c r="AJ4" i="17"/>
  <c r="AJ8" i="17"/>
  <c r="AK8" i="17"/>
  <c r="Y10" i="17"/>
  <c r="AI14" i="17"/>
  <c r="Y17" i="17"/>
  <c r="AI20" i="17"/>
  <c r="W20" i="17"/>
  <c r="AE20" i="17" s="1"/>
  <c r="AD21" i="17"/>
  <c r="AD28" i="17"/>
  <c r="AE28" i="17" s="1"/>
  <c r="Y28" i="17"/>
  <c r="Y30" i="17"/>
  <c r="AI34" i="17"/>
  <c r="W34" i="17"/>
  <c r="AG34" i="17"/>
  <c r="AM34" i="17" s="1"/>
  <c r="AD38" i="17"/>
  <c r="Y38" i="17"/>
  <c r="AG39" i="17"/>
  <c r="AM39" i="17" s="1"/>
  <c r="AI39" i="17"/>
  <c r="W39" i="17"/>
  <c r="AE39" i="17" s="1"/>
  <c r="AD42" i="17"/>
  <c r="Y42" i="17"/>
  <c r="AG43" i="17"/>
  <c r="AI43" i="17"/>
  <c r="W43" i="17"/>
  <c r="Z24" i="17"/>
  <c r="Z49" i="17" s="1"/>
  <c r="Y4" i="17"/>
  <c r="AD7" i="17"/>
  <c r="AE7" i="17" s="1"/>
  <c r="Y8" i="17"/>
  <c r="AJ9" i="17"/>
  <c r="AI11" i="17"/>
  <c r="R12" i="17"/>
  <c r="Y12" i="17"/>
  <c r="AG13" i="17"/>
  <c r="AM13" i="17" s="1"/>
  <c r="W14" i="17"/>
  <c r="AE14" i="17" s="1"/>
  <c r="R19" i="17"/>
  <c r="AK19" i="17"/>
  <c r="AG20" i="17"/>
  <c r="AM20" i="17" s="1"/>
  <c r="Q47" i="17"/>
  <c r="AJ26" i="17"/>
  <c r="AD27" i="17"/>
  <c r="AD34" i="17"/>
  <c r="Y34" i="17"/>
  <c r="AI37" i="17"/>
  <c r="W37" i="17"/>
  <c r="AG37" i="17"/>
  <c r="AM37" i="17" s="1"/>
  <c r="AI45" i="17"/>
  <c r="W45" i="17"/>
  <c r="AG45" i="17"/>
  <c r="AM45" i="17" s="1"/>
  <c r="S24" i="17"/>
  <c r="AJ5" i="17"/>
  <c r="W11" i="17"/>
  <c r="AJ11" i="17"/>
  <c r="AD17" i="17"/>
  <c r="AI21" i="17"/>
  <c r="W21" i="17"/>
  <c r="AE21" i="17" s="1"/>
  <c r="AG21" i="17"/>
  <c r="AM21" i="17" s="1"/>
  <c r="R26" i="17"/>
  <c r="Y29" i="17"/>
  <c r="AD29" i="17"/>
  <c r="AI33" i="17"/>
  <c r="W33" i="17"/>
  <c r="AG33" i="17"/>
  <c r="AM33" i="17" s="1"/>
  <c r="R35" i="17"/>
  <c r="AK35" i="17"/>
  <c r="AJ35" i="17"/>
  <c r="AD36" i="17"/>
  <c r="AE36" i="17" s="1"/>
  <c r="Y36" i="17"/>
  <c r="AD39" i="17"/>
  <c r="Y39" i="17"/>
  <c r="AD43" i="17"/>
  <c r="Y43" i="17"/>
  <c r="Y45" i="17"/>
  <c r="AD45" i="17"/>
  <c r="AE45" i="17" s="1"/>
  <c r="T24" i="17"/>
  <c r="T49" i="17" s="1"/>
  <c r="AD4" i="17"/>
  <c r="AD8" i="17"/>
  <c r="AK11" i="17"/>
  <c r="AD12" i="17"/>
  <c r="AD18" i="17"/>
  <c r="U26" i="17"/>
  <c r="S47" i="17"/>
  <c r="R31" i="17"/>
  <c r="AK31" i="17"/>
  <c r="AJ31" i="17"/>
  <c r="AD32" i="17"/>
  <c r="Y32" i="17"/>
  <c r="Y37" i="17"/>
  <c r="AD37" i="17"/>
  <c r="P47" i="17"/>
  <c r="AD19" i="17"/>
  <c r="Y19" i="17"/>
  <c r="AE22" i="17"/>
  <c r="AD22" i="17"/>
  <c r="P24" i="17"/>
  <c r="I24" i="17"/>
  <c r="U3" i="17"/>
  <c r="AG3" i="17" s="1"/>
  <c r="AI15" i="17"/>
  <c r="R16" i="17"/>
  <c r="AG17" i="17"/>
  <c r="AM17" i="17" s="1"/>
  <c r="AD30" i="17"/>
  <c r="Y33" i="17"/>
  <c r="AD33" i="17"/>
  <c r="AI41" i="17"/>
  <c r="W41" i="17"/>
  <c r="AE41" i="17" s="1"/>
  <c r="AG41" i="17"/>
  <c r="AM41" i="17" s="1"/>
  <c r="AG28" i="17"/>
  <c r="AM28" i="17" s="1"/>
  <c r="AG32" i="17"/>
  <c r="AM32" i="17" s="1"/>
  <c r="AG36" i="17"/>
  <c r="AG40" i="17"/>
  <c r="AM40" i="17" s="1"/>
  <c r="AJ39" i="17"/>
  <c r="AJ43" i="17"/>
  <c r="AK39" i="17"/>
  <c r="AK43" i="17"/>
  <c r="W44" i="17"/>
  <c r="AI44" i="17"/>
  <c r="AJ28" i="17"/>
  <c r="AJ32" i="17"/>
  <c r="AJ36" i="17"/>
  <c r="AJ40" i="17"/>
  <c r="AJ44" i="17"/>
  <c r="AJ12" i="17"/>
  <c r="AJ16" i="17"/>
  <c r="AJ20" i="17"/>
  <c r="AJ29" i="17"/>
  <c r="AJ33" i="17"/>
  <c r="AJ37" i="17"/>
  <c r="AJ41" i="17"/>
  <c r="AJ45" i="17"/>
  <c r="Y4" i="16"/>
  <c r="AI5" i="16"/>
  <c r="Y37" i="16"/>
  <c r="W22" i="16"/>
  <c r="W16" i="16"/>
  <c r="AI18" i="16"/>
  <c r="W18" i="16"/>
  <c r="U9" i="16"/>
  <c r="U17" i="16"/>
  <c r="AJ22" i="16"/>
  <c r="AK27" i="16"/>
  <c r="AJ27" i="16"/>
  <c r="AK15" i="16"/>
  <c r="Y34" i="16"/>
  <c r="AJ39" i="16"/>
  <c r="Y40" i="16"/>
  <c r="Y45" i="16"/>
  <c r="AJ5" i="16"/>
  <c r="R11" i="16"/>
  <c r="AI20" i="16"/>
  <c r="W20" i="16"/>
  <c r="AI21" i="16"/>
  <c r="W21" i="16"/>
  <c r="AH46" i="16"/>
  <c r="AI30" i="16"/>
  <c r="W30" i="16"/>
  <c r="AG30" i="16"/>
  <c r="AM30" i="16" s="1"/>
  <c r="AK39" i="16"/>
  <c r="AK5" i="16"/>
  <c r="Y7" i="16"/>
  <c r="AK8" i="16"/>
  <c r="AJ8" i="16"/>
  <c r="AJ14" i="16"/>
  <c r="Y16" i="16"/>
  <c r="AE16" i="16"/>
  <c r="AL16" i="16" s="1" a="1"/>
  <c r="AL16" i="16" s="1"/>
  <c r="Y21" i="16"/>
  <c r="AJ35" i="16"/>
  <c r="AE44" i="16"/>
  <c r="AL44" i="16" s="1" a="1"/>
  <c r="AL44" i="16" s="1"/>
  <c r="AP44" i="16" s="1"/>
  <c r="Y38" i="16"/>
  <c r="I24" i="16"/>
  <c r="AJ6" i="16"/>
  <c r="AJ7" i="16"/>
  <c r="AJ10" i="16"/>
  <c r="Y27" i="16"/>
  <c r="AK35" i="16"/>
  <c r="R8" i="16"/>
  <c r="AI14" i="16"/>
  <c r="W14" i="16"/>
  <c r="U26" i="16"/>
  <c r="AJ31" i="16"/>
  <c r="Y32" i="16"/>
  <c r="R43" i="16"/>
  <c r="AK43" i="16"/>
  <c r="AI9" i="16"/>
  <c r="W9" i="16"/>
  <c r="AG9" i="16"/>
  <c r="AM9" i="16" s="1"/>
  <c r="R10" i="16"/>
  <c r="Y20" i="16"/>
  <c r="Y22" i="16"/>
  <c r="AK31" i="16"/>
  <c r="AK9" i="16"/>
  <c r="AJ26" i="16"/>
  <c r="R29" i="16"/>
  <c r="AJ30" i="16"/>
  <c r="R33" i="16"/>
  <c r="AJ34" i="16"/>
  <c r="R37" i="16"/>
  <c r="AJ38" i="16"/>
  <c r="R41" i="16"/>
  <c r="AJ42" i="16"/>
  <c r="R45" i="16"/>
  <c r="R13" i="16"/>
  <c r="Y19" i="16"/>
  <c r="AJ28" i="16"/>
  <c r="AJ32" i="16"/>
  <c r="AJ36" i="16"/>
  <c r="AJ40" i="16"/>
  <c r="AJ44" i="16"/>
  <c r="AJ12" i="16"/>
  <c r="AJ16" i="16"/>
  <c r="AJ20" i="16"/>
  <c r="AK12" i="16"/>
  <c r="AJ29" i="16"/>
  <c r="AJ33" i="16"/>
  <c r="AJ37" i="16"/>
  <c r="AJ45" i="16"/>
  <c r="AD8" i="15"/>
  <c r="Y8" i="15"/>
  <c r="AD14" i="15"/>
  <c r="Y14" i="15"/>
  <c r="Y9" i="15"/>
  <c r="AD9" i="15"/>
  <c r="AD12" i="15"/>
  <c r="Y12" i="15"/>
  <c r="Y16" i="15"/>
  <c r="AD16" i="15"/>
  <c r="AE16" i="15" s="1"/>
  <c r="AL16" i="15" s="1" a="1"/>
  <c r="AL16" i="15" s="1"/>
  <c r="AP16" i="15" s="1"/>
  <c r="Y5" i="15"/>
  <c r="AD5" i="15"/>
  <c r="Y13" i="15"/>
  <c r="AD13" i="15"/>
  <c r="AE13" i="15" s="1"/>
  <c r="AL13" i="15" s="1" a="1"/>
  <c r="AL13" i="15" s="1"/>
  <c r="AI8" i="15"/>
  <c r="W8" i="15"/>
  <c r="AE8" i="15" s="1"/>
  <c r="AL8" i="15" s="1" a="1"/>
  <c r="AL8" i="15" s="1"/>
  <c r="AG8" i="15"/>
  <c r="AM8" i="15" s="1"/>
  <c r="AD6" i="15"/>
  <c r="Y6" i="15"/>
  <c r="AD7" i="15"/>
  <c r="Y7" i="15"/>
  <c r="AD17" i="15"/>
  <c r="AE17" i="15" s="1"/>
  <c r="AL17" i="15" s="1" a="1"/>
  <c r="AL17" i="15" s="1"/>
  <c r="AP17" i="15" s="1"/>
  <c r="Y17" i="15"/>
  <c r="U3" i="15"/>
  <c r="R5" i="15"/>
  <c r="O5" i="15" s="1"/>
  <c r="AJ6" i="15"/>
  <c r="R9" i="15"/>
  <c r="O9" i="15" s="1"/>
  <c r="AI12" i="15"/>
  <c r="AI18" i="15"/>
  <c r="AG22" i="15"/>
  <c r="AM22" i="15" s="1"/>
  <c r="T47" i="15"/>
  <c r="AI29" i="15"/>
  <c r="W29" i="15"/>
  <c r="AE29" i="15" s="1"/>
  <c r="AL29" i="15" s="1" a="1"/>
  <c r="AL29" i="15" s="1"/>
  <c r="AG29" i="15"/>
  <c r="AM29" i="15" s="1"/>
  <c r="AI37" i="15"/>
  <c r="W37" i="15"/>
  <c r="AG37" i="15"/>
  <c r="AM37" i="15" s="1"/>
  <c r="AI38" i="15"/>
  <c r="W38" i="15"/>
  <c r="AG38" i="15"/>
  <c r="AM38" i="15" s="1"/>
  <c r="I24" i="15"/>
  <c r="I49" i="15" s="1"/>
  <c r="I57" i="15" s="1"/>
  <c r="J57" i="15" s="1"/>
  <c r="AH23" i="15"/>
  <c r="AG4" i="15"/>
  <c r="AM4" i="15" s="1"/>
  <c r="W12" i="15"/>
  <c r="Y19" i="15"/>
  <c r="Y29" i="15"/>
  <c r="AD29" i="15"/>
  <c r="R30" i="15"/>
  <c r="O30" i="15" s="1"/>
  <c r="AK30" i="15"/>
  <c r="U32" i="15"/>
  <c r="U47" i="15" s="1"/>
  <c r="Y37" i="15"/>
  <c r="AD37" i="15"/>
  <c r="AE37" i="15" s="1"/>
  <c r="AL37" i="15" s="1" a="1"/>
  <c r="AL37" i="15" s="1"/>
  <c r="AP37" i="15" s="1"/>
  <c r="AG39" i="15"/>
  <c r="AM39" i="15" s="1"/>
  <c r="AI39" i="15"/>
  <c r="W39" i="15"/>
  <c r="AD42" i="15"/>
  <c r="Y42" i="15"/>
  <c r="AD18" i="15"/>
  <c r="AE18" i="15" s="1"/>
  <c r="AL18" i="15" s="1" a="1"/>
  <c r="AL18" i="15" s="1"/>
  <c r="Y18" i="15"/>
  <c r="AD27" i="15"/>
  <c r="Y27" i="15"/>
  <c r="AD35" i="15"/>
  <c r="Y35" i="15"/>
  <c r="AD38" i="15"/>
  <c r="AE38" i="15" s="1"/>
  <c r="AL38" i="15" s="1" a="1"/>
  <c r="AL38" i="15" s="1"/>
  <c r="AP38" i="15" s="1"/>
  <c r="Y38" i="15"/>
  <c r="AD43" i="15"/>
  <c r="Y43" i="15"/>
  <c r="P24" i="15"/>
  <c r="X24" i="15"/>
  <c r="AJ3" i="15"/>
  <c r="W4" i="15"/>
  <c r="AI4" i="15"/>
  <c r="AK7" i="15"/>
  <c r="AG11" i="15"/>
  <c r="AM11" i="15" s="1"/>
  <c r="AI13" i="15"/>
  <c r="AH46" i="15"/>
  <c r="AD30" i="15"/>
  <c r="Y30" i="15"/>
  <c r="AG31" i="15"/>
  <c r="AM31" i="15" s="1"/>
  <c r="AI31" i="15"/>
  <c r="W31" i="15"/>
  <c r="AD44" i="15"/>
  <c r="Y44" i="15"/>
  <c r="Q24" i="15"/>
  <c r="Q49" i="15" s="1"/>
  <c r="AJ4" i="15"/>
  <c r="R7" i="15"/>
  <c r="O7" i="15" s="1"/>
  <c r="AJ8" i="15"/>
  <c r="AG14" i="15"/>
  <c r="Y15" i="15"/>
  <c r="AI16" i="15"/>
  <c r="AD19" i="15"/>
  <c r="AI21" i="15"/>
  <c r="W21" i="15"/>
  <c r="AG21" i="15"/>
  <c r="AM21" i="15" s="1"/>
  <c r="AI33" i="15"/>
  <c r="W33" i="15"/>
  <c r="AG33" i="15"/>
  <c r="AM33" i="15" s="1"/>
  <c r="AD39" i="15"/>
  <c r="J56" i="15"/>
  <c r="R3" i="15"/>
  <c r="O3" i="15" s="1"/>
  <c r="Z24" i="15"/>
  <c r="Z49" i="15" s="1"/>
  <c r="AG6" i="15"/>
  <c r="AM6" i="15" s="1"/>
  <c r="AK8" i="15"/>
  <c r="Y10" i="15"/>
  <c r="AI11" i="15"/>
  <c r="AG17" i="15"/>
  <c r="AM17" i="15" s="1"/>
  <c r="AI20" i="15"/>
  <c r="W20" i="15"/>
  <c r="AG20" i="15"/>
  <c r="AM20" i="15" s="1"/>
  <c r="AD21" i="15"/>
  <c r="R26" i="15"/>
  <c r="O26" i="15" s="1"/>
  <c r="AK26" i="15"/>
  <c r="P47" i="15"/>
  <c r="AD28" i="15"/>
  <c r="Y28" i="15"/>
  <c r="Y33" i="15"/>
  <c r="AD33" i="15"/>
  <c r="AE33" i="15" s="1"/>
  <c r="AL33" i="15" s="1" a="1"/>
  <c r="AL33" i="15" s="1"/>
  <c r="AP33" i="15" s="1"/>
  <c r="R34" i="15"/>
  <c r="O34" i="15" s="1"/>
  <c r="AK34" i="15"/>
  <c r="U36" i="15"/>
  <c r="AG36" i="15" s="1"/>
  <c r="AD40" i="15"/>
  <c r="Y40" i="15"/>
  <c r="Y45" i="15"/>
  <c r="AD45" i="15"/>
  <c r="AJ5" i="15"/>
  <c r="AK9" i="15"/>
  <c r="R10" i="15"/>
  <c r="O10" i="15" s="1"/>
  <c r="W11" i="15"/>
  <c r="AG12" i="15"/>
  <c r="AI14" i="15"/>
  <c r="AD15" i="15"/>
  <c r="AG18" i="15"/>
  <c r="AM18" i="15" s="1"/>
  <c r="AI19" i="15"/>
  <c r="W19" i="15"/>
  <c r="AD31" i="15"/>
  <c r="Y31" i="15"/>
  <c r="AI42" i="15"/>
  <c r="W42" i="15"/>
  <c r="AG42" i="15"/>
  <c r="AM42" i="15" s="1"/>
  <c r="J58" i="15"/>
  <c r="T24" i="15"/>
  <c r="T49" i="15" s="1"/>
  <c r="W6" i="15"/>
  <c r="AE6" i="15" s="1"/>
  <c r="AL6" i="15" s="1" a="1"/>
  <c r="AL6" i="15" s="1"/>
  <c r="AD10" i="15"/>
  <c r="W14" i="15"/>
  <c r="AG15" i="15"/>
  <c r="AI17" i="15"/>
  <c r="AD26" i="15"/>
  <c r="Y26" i="15"/>
  <c r="AG27" i="15"/>
  <c r="AM27" i="15" s="1"/>
  <c r="AI27" i="15"/>
  <c r="W27" i="15"/>
  <c r="AE27" i="15" s="1"/>
  <c r="AL27" i="15" s="1" a="1"/>
  <c r="AL27" i="15" s="1"/>
  <c r="AP27" i="15" s="1"/>
  <c r="AD34" i="15"/>
  <c r="Y34" i="15"/>
  <c r="AG35" i="15"/>
  <c r="AM35" i="15" s="1"/>
  <c r="AI35" i="15"/>
  <c r="W35" i="15"/>
  <c r="AE35" i="15" s="1"/>
  <c r="AL35" i="15" s="1" a="1"/>
  <c r="AL35" i="15" s="1"/>
  <c r="AP35" i="15" s="1"/>
  <c r="Y41" i="15"/>
  <c r="AD41" i="15"/>
  <c r="AG43" i="15"/>
  <c r="AM43" i="15" s="1"/>
  <c r="AI43" i="15"/>
  <c r="W43" i="15"/>
  <c r="AJ38" i="15"/>
  <c r="AJ42" i="15"/>
  <c r="AJ10" i="15"/>
  <c r="AJ14" i="15"/>
  <c r="AJ18" i="15"/>
  <c r="AJ22" i="15"/>
  <c r="AG28" i="15"/>
  <c r="AG32" i="15"/>
  <c r="AM32" i="15" s="1"/>
  <c r="AK38" i="15"/>
  <c r="AG40" i="15"/>
  <c r="AM40" i="15" s="1"/>
  <c r="AK42" i="15"/>
  <c r="AG44" i="15"/>
  <c r="Y22" i="15"/>
  <c r="AJ27" i="15"/>
  <c r="AJ31" i="15"/>
  <c r="AJ35" i="15"/>
  <c r="AJ39" i="15"/>
  <c r="AJ43" i="15"/>
  <c r="AK27" i="15"/>
  <c r="W28" i="15"/>
  <c r="AE28" i="15" s="1"/>
  <c r="AL28" i="15" s="1" a="1"/>
  <c r="AL28" i="15" s="1"/>
  <c r="AP28" i="15" s="1"/>
  <c r="AI28" i="15"/>
  <c r="AK31" i="15"/>
  <c r="W32" i="15"/>
  <c r="AI32" i="15"/>
  <c r="AK35" i="15"/>
  <c r="W36" i="15"/>
  <c r="AI36" i="15"/>
  <c r="AK39" i="15"/>
  <c r="W40" i="15"/>
  <c r="AI40" i="15"/>
  <c r="AG41" i="15"/>
  <c r="AM41" i="15" s="1"/>
  <c r="AK43" i="15"/>
  <c r="W44" i="15"/>
  <c r="AI44" i="15"/>
  <c r="AG45" i="15"/>
  <c r="AM45" i="15" s="1"/>
  <c r="S47" i="15"/>
  <c r="S49" i="15" s="1"/>
  <c r="AD22" i="15"/>
  <c r="AJ28" i="15"/>
  <c r="AJ32" i="15"/>
  <c r="AJ36" i="15"/>
  <c r="AJ40" i="15"/>
  <c r="AJ44" i="15"/>
  <c r="W41" i="15"/>
  <c r="W45" i="15"/>
  <c r="AJ29" i="15"/>
  <c r="AJ33" i="15"/>
  <c r="AJ37" i="15"/>
  <c r="AJ41" i="15"/>
  <c r="AJ45" i="15"/>
  <c r="Y16" i="14"/>
  <c r="AD16" i="14"/>
  <c r="Y41" i="14"/>
  <c r="AD41" i="14"/>
  <c r="Y6" i="14"/>
  <c r="AD6" i="14"/>
  <c r="AD13" i="14"/>
  <c r="Y13" i="14"/>
  <c r="AG14" i="14"/>
  <c r="W14" i="14"/>
  <c r="AE14" i="14" s="1"/>
  <c r="AL14" i="14" s="1" a="1"/>
  <c r="AL14" i="14" s="1"/>
  <c r="AI14" i="14"/>
  <c r="O14" i="14"/>
  <c r="AG22" i="14"/>
  <c r="AM22" i="14" s="1"/>
  <c r="O22" i="14"/>
  <c r="W22" i="14"/>
  <c r="AI22" i="14"/>
  <c r="AD3" i="14"/>
  <c r="Y3" i="14"/>
  <c r="AG4" i="14"/>
  <c r="AM4" i="14" s="1"/>
  <c r="AI4" i="14"/>
  <c r="W4" i="14"/>
  <c r="O4" i="14"/>
  <c r="AG8" i="14"/>
  <c r="AM8" i="14" s="1"/>
  <c r="AI8" i="14"/>
  <c r="W8" i="14"/>
  <c r="O8" i="14"/>
  <c r="Y20" i="14"/>
  <c r="AD20" i="14"/>
  <c r="Y37" i="14"/>
  <c r="AD37" i="14"/>
  <c r="Y45" i="14"/>
  <c r="AD45" i="14"/>
  <c r="Y4" i="14"/>
  <c r="AD4" i="14"/>
  <c r="AE4" i="14" s="1"/>
  <c r="AL4" i="14" s="1" a="1"/>
  <c r="AL4" i="14" s="1"/>
  <c r="AI5" i="14"/>
  <c r="W5" i="14"/>
  <c r="O5" i="14"/>
  <c r="AG5" i="14"/>
  <c r="AM5" i="14" s="1"/>
  <c r="AD8" i="14"/>
  <c r="Y8" i="14"/>
  <c r="Y11" i="14"/>
  <c r="AD11" i="14"/>
  <c r="AE11" i="14" s="1"/>
  <c r="AL11" i="14" s="1" a="1"/>
  <c r="AL11" i="14" s="1"/>
  <c r="AD5" i="14"/>
  <c r="Y5" i="14"/>
  <c r="AJ7" i="14"/>
  <c r="AI10" i="14"/>
  <c r="Y12" i="14"/>
  <c r="AE12" i="14"/>
  <c r="AL12" i="14" s="1" a="1"/>
  <c r="AL12" i="14" s="1"/>
  <c r="AP12" i="14" s="1"/>
  <c r="AD15" i="14"/>
  <c r="Y15" i="14"/>
  <c r="AD18" i="14"/>
  <c r="Y26" i="14"/>
  <c r="AG31" i="14"/>
  <c r="AM31" i="14" s="1"/>
  <c r="AI31" i="14"/>
  <c r="W31" i="14"/>
  <c r="O31" i="14"/>
  <c r="AJ34" i="14"/>
  <c r="AJ43" i="14"/>
  <c r="AI45" i="14"/>
  <c r="W45" i="14"/>
  <c r="AE45" i="14" s="1"/>
  <c r="AL45" i="14" s="1" a="1"/>
  <c r="AL45" i="14" s="1"/>
  <c r="AP45" i="14" s="1"/>
  <c r="O45" i="14"/>
  <c r="I24" i="14"/>
  <c r="R6" i="14"/>
  <c r="AJ3" i="14"/>
  <c r="Y7" i="14"/>
  <c r="W10" i="14"/>
  <c r="AE10" i="14" s="1"/>
  <c r="AL10" i="14" s="1" a="1"/>
  <c r="AL10" i="14" s="1"/>
  <c r="Y14" i="14"/>
  <c r="T47" i="14"/>
  <c r="T49" i="14" s="1"/>
  <c r="AJ31" i="14"/>
  <c r="AI33" i="14"/>
  <c r="W33" i="14"/>
  <c r="O33" i="14"/>
  <c r="R34" i="14"/>
  <c r="U44" i="14"/>
  <c r="P47" i="14"/>
  <c r="AG11" i="14"/>
  <c r="W18" i="14"/>
  <c r="AD19" i="14"/>
  <c r="Y19" i="14"/>
  <c r="AD22" i="14"/>
  <c r="AD31" i="14"/>
  <c r="AE31" i="14" s="1"/>
  <c r="AL31" i="14" s="1" a="1"/>
  <c r="AL31" i="14" s="1"/>
  <c r="AP31" i="14" s="1"/>
  <c r="AD32" i="14"/>
  <c r="AE32" i="14" s="1"/>
  <c r="AL32" i="14" s="1" a="1"/>
  <c r="AL32" i="14" s="1"/>
  <c r="AP32" i="14" s="1"/>
  <c r="Y32" i="14"/>
  <c r="Y34" i="14"/>
  <c r="AG39" i="14"/>
  <c r="AM39" i="14" s="1"/>
  <c r="AI39" i="14"/>
  <c r="W39" i="14"/>
  <c r="O39" i="14"/>
  <c r="AD43" i="14"/>
  <c r="AJ4" i="14"/>
  <c r="AJ8" i="14"/>
  <c r="O10" i="14"/>
  <c r="R3" i="14"/>
  <c r="Z24" i="14"/>
  <c r="Z49" i="14" s="1"/>
  <c r="AK4" i="14"/>
  <c r="AD7" i="14"/>
  <c r="AK8" i="14"/>
  <c r="AJ10" i="14"/>
  <c r="Y10" i="14"/>
  <c r="Y21" i="14"/>
  <c r="I47" i="14"/>
  <c r="R27" i="14"/>
  <c r="AJ30" i="14"/>
  <c r="AJ39" i="14"/>
  <c r="AI41" i="14"/>
  <c r="W41" i="14"/>
  <c r="O41" i="14"/>
  <c r="R42" i="14"/>
  <c r="S47" i="14"/>
  <c r="S24" i="14"/>
  <c r="AJ9" i="14"/>
  <c r="R9" i="14"/>
  <c r="Y9" i="14"/>
  <c r="AI11" i="14"/>
  <c r="R15" i="14"/>
  <c r="AK15" i="14"/>
  <c r="AI16" i="14"/>
  <c r="W16" i="14"/>
  <c r="AE16" i="14" s="1"/>
  <c r="AL16" i="14" s="1" a="1"/>
  <c r="AL16" i="14" s="1"/>
  <c r="AP16" i="14" s="1"/>
  <c r="O16" i="14"/>
  <c r="AG16" i="14"/>
  <c r="AM16" i="14" s="1"/>
  <c r="O18" i="14"/>
  <c r="Y18" i="14"/>
  <c r="AD26" i="14"/>
  <c r="AJ27" i="14"/>
  <c r="AI29" i="14"/>
  <c r="W29" i="14"/>
  <c r="O29" i="14"/>
  <c r="R30" i="14"/>
  <c r="Y33" i="14"/>
  <c r="AD33" i="14"/>
  <c r="AD39" i="14"/>
  <c r="AK39" i="14"/>
  <c r="U40" i="14"/>
  <c r="Y42" i="14"/>
  <c r="AD21" i="14"/>
  <c r="AD27" i="14"/>
  <c r="AD28" i="14"/>
  <c r="Y28" i="14"/>
  <c r="Y30" i="14"/>
  <c r="AG35" i="14"/>
  <c r="AM35" i="14" s="1"/>
  <c r="AI35" i="14"/>
  <c r="W35" i="14"/>
  <c r="AE35" i="14" s="1"/>
  <c r="AL35" i="14" s="1" a="1"/>
  <c r="AL35" i="14" s="1"/>
  <c r="AP35" i="14" s="1"/>
  <c r="O35" i="14"/>
  <c r="AJ38" i="14"/>
  <c r="Y43" i="14"/>
  <c r="AJ6" i="14"/>
  <c r="AD9" i="14"/>
  <c r="AK11" i="14"/>
  <c r="U17" i="14"/>
  <c r="U24" i="14" s="1"/>
  <c r="R19" i="14"/>
  <c r="AK19" i="14"/>
  <c r="AI20" i="14"/>
  <c r="W20" i="14"/>
  <c r="AE20" i="14" s="1"/>
  <c r="AL20" i="14" s="1" a="1"/>
  <c r="AL20" i="14" s="1"/>
  <c r="O20" i="14"/>
  <c r="AG20" i="14"/>
  <c r="AM20" i="14" s="1"/>
  <c r="Y22" i="14"/>
  <c r="AJ26" i="14"/>
  <c r="Y31" i="14"/>
  <c r="AD34" i="14"/>
  <c r="AJ35" i="14"/>
  <c r="AI37" i="14"/>
  <c r="W37" i="14"/>
  <c r="AE37" i="14" s="1"/>
  <c r="AL37" i="14" s="1" a="1"/>
  <c r="AL37" i="14" s="1"/>
  <c r="AP37" i="14" s="1"/>
  <c r="O37" i="14"/>
  <c r="R38" i="14"/>
  <c r="AH23" i="14"/>
  <c r="O7" i="14"/>
  <c r="W7" i="14"/>
  <c r="O11" i="14"/>
  <c r="AI18" i="14"/>
  <c r="R26" i="14"/>
  <c r="Y29" i="14"/>
  <c r="AD29" i="14"/>
  <c r="AD35" i="14"/>
  <c r="AK35" i="14"/>
  <c r="U36" i="14"/>
  <c r="Y38" i="14"/>
  <c r="R43" i="14"/>
  <c r="AG45" i="14"/>
  <c r="AM45" i="14" s="1"/>
  <c r="R13" i="14"/>
  <c r="R17" i="14"/>
  <c r="R21" i="14"/>
  <c r="AG28" i="14"/>
  <c r="AM28" i="14" s="1"/>
  <c r="AG32" i="14"/>
  <c r="AM32" i="14" s="1"/>
  <c r="AG36" i="14"/>
  <c r="AG40" i="14"/>
  <c r="AM40" i="14" s="1"/>
  <c r="AG44" i="14"/>
  <c r="AJ28" i="14"/>
  <c r="AJ32" i="14"/>
  <c r="AJ36" i="14"/>
  <c r="AJ40" i="14"/>
  <c r="AJ44" i="14"/>
  <c r="AJ12" i="14"/>
  <c r="AJ29" i="14"/>
  <c r="AJ33" i="14"/>
  <c r="AJ37" i="14"/>
  <c r="AJ41" i="14"/>
  <c r="AJ45" i="14"/>
  <c r="F41" i="75" l="1"/>
  <c r="E42" i="75"/>
  <c r="F24" i="75"/>
  <c r="E25" i="75"/>
  <c r="F25" i="75" s="1"/>
  <c r="F15" i="39"/>
  <c r="E16" i="39"/>
  <c r="E19" i="65"/>
  <c r="F18" i="65"/>
  <c r="E41" i="39"/>
  <c r="F40" i="39"/>
  <c r="E42" i="65"/>
  <c r="F41" i="65"/>
  <c r="E40" i="31"/>
  <c r="F39" i="31"/>
  <c r="F15" i="31"/>
  <c r="E16" i="31"/>
  <c r="O126" i="2"/>
  <c r="V126" i="2"/>
  <c r="T126" i="2"/>
  <c r="S126" i="2"/>
  <c r="N126" i="2"/>
  <c r="M21" i="24" s="1"/>
  <c r="O14" i="1" s="1"/>
  <c r="V5" i="24"/>
  <c r="Q126" i="2"/>
  <c r="M126" i="2"/>
  <c r="M17" i="24" s="1"/>
  <c r="O11" i="1" s="1"/>
  <c r="P126" i="2"/>
  <c r="U126" i="2"/>
  <c r="W126" i="2"/>
  <c r="F46" i="45"/>
  <c r="E47" i="45"/>
  <c r="E23" i="45"/>
  <c r="F22" i="45"/>
  <c r="F43" i="42"/>
  <c r="E44" i="42"/>
  <c r="E21" i="42"/>
  <c r="F20" i="42"/>
  <c r="G23" i="42"/>
  <c r="G15" i="42"/>
  <c r="G13" i="39"/>
  <c r="M48" i="42"/>
  <c r="L49" i="42"/>
  <c r="M49" i="42" s="1"/>
  <c r="M24" i="42"/>
  <c r="L25" i="42"/>
  <c r="M25" i="42" s="1"/>
  <c r="L20" i="31"/>
  <c r="M19" i="31"/>
  <c r="G12" i="31" s="1"/>
  <c r="M19" i="39"/>
  <c r="L20" i="39"/>
  <c r="M44" i="39"/>
  <c r="G39" i="39" s="1"/>
  <c r="L45" i="39"/>
  <c r="G37" i="27"/>
  <c r="M125" i="2"/>
  <c r="G17" i="24" s="1"/>
  <c r="O3" i="1" s="1"/>
  <c r="N125" i="2"/>
  <c r="G21" i="24" s="1"/>
  <c r="O6" i="1" s="1"/>
  <c r="W125" i="2"/>
  <c r="O125" i="2"/>
  <c r="V125" i="2"/>
  <c r="U125" i="2"/>
  <c r="T125" i="2"/>
  <c r="V4" i="24"/>
  <c r="P125" i="2"/>
  <c r="Q125" i="2"/>
  <c r="AK23" i="15"/>
  <c r="Y47" i="15"/>
  <c r="Z49" i="16"/>
  <c r="AI36" i="16"/>
  <c r="AM28" i="15"/>
  <c r="AI17" i="16"/>
  <c r="Y28" i="16"/>
  <c r="AE40" i="15"/>
  <c r="AL40" i="15" s="1" a="1"/>
  <c r="AL40" i="15" s="1"/>
  <c r="AP40" i="15" s="1"/>
  <c r="AD4" i="15"/>
  <c r="Y44" i="16"/>
  <c r="AE21" i="16"/>
  <c r="AL21" i="16" s="1" a="1"/>
  <c r="AL21" i="16" s="1"/>
  <c r="AP21" i="16" s="1"/>
  <c r="AG18" i="16"/>
  <c r="AM18" i="16" s="1"/>
  <c r="AE44" i="15"/>
  <c r="AL44" i="15" s="1" a="1"/>
  <c r="AL44" i="15" s="1"/>
  <c r="AP44" i="15" s="1"/>
  <c r="AE20" i="15"/>
  <c r="AL20" i="15" s="1" a="1"/>
  <c r="AL20" i="15" s="1"/>
  <c r="AP20" i="15" s="1"/>
  <c r="Y42" i="16"/>
  <c r="Y30" i="16"/>
  <c r="AG14" i="16"/>
  <c r="AE12" i="15"/>
  <c r="AL12" i="15" s="1" a="1"/>
  <c r="AL12" i="15" s="1"/>
  <c r="AM12" i="15" s="1"/>
  <c r="Y31" i="16"/>
  <c r="AK4" i="16"/>
  <c r="X47" i="16"/>
  <c r="AE15" i="15"/>
  <c r="AL15" i="15" s="1" a="1"/>
  <c r="AL15" i="15" s="1"/>
  <c r="AP15" i="15" s="1"/>
  <c r="X49" i="15"/>
  <c r="AJ15" i="16"/>
  <c r="AE28" i="16"/>
  <c r="AL28" i="16" s="1" a="1"/>
  <c r="AL28" i="16" s="1"/>
  <c r="AP28" i="16" s="1"/>
  <c r="AI16" i="16"/>
  <c r="AI12" i="16"/>
  <c r="AJ41" i="16"/>
  <c r="AJ46" i="16" s="1"/>
  <c r="AG38" i="16"/>
  <c r="AM38" i="16" s="1"/>
  <c r="W35" i="16"/>
  <c r="AE35" i="16" s="1"/>
  <c r="AL35" i="16" s="1" a="1"/>
  <c r="AL35" i="16" s="1"/>
  <c r="AE22" i="15"/>
  <c r="AL22" i="15" s="1" a="1"/>
  <c r="AL22" i="15" s="1"/>
  <c r="AP22" i="15" s="1"/>
  <c r="AE39" i="15"/>
  <c r="AL39" i="15" s="1" a="1"/>
  <c r="AL39" i="15" s="1"/>
  <c r="AP39" i="15" s="1"/>
  <c r="W38" i="16"/>
  <c r="AE38" i="16" s="1"/>
  <c r="AL38" i="16" s="1" a="1"/>
  <c r="AL38" i="16" s="1"/>
  <c r="AP38" i="16" s="1"/>
  <c r="AG6" i="16"/>
  <c r="U41" i="16"/>
  <c r="AE45" i="15"/>
  <c r="AL45" i="15" s="1" a="1"/>
  <c r="AL45" i="15" s="1"/>
  <c r="AP45" i="15" s="1"/>
  <c r="AG28" i="16"/>
  <c r="R4" i="16"/>
  <c r="AE19" i="15"/>
  <c r="AL19" i="15" s="1" a="1"/>
  <c r="AL19" i="15" s="1"/>
  <c r="AP19" i="15" s="1"/>
  <c r="R19" i="16"/>
  <c r="M45" i="31"/>
  <c r="L46" i="31"/>
  <c r="G10" i="25"/>
  <c r="G33" i="25"/>
  <c r="M14" i="25"/>
  <c r="L15" i="25"/>
  <c r="AE41" i="15"/>
  <c r="AL41" i="15" s="1" a="1"/>
  <c r="AL41" i="15" s="1"/>
  <c r="AP41" i="15" s="1"/>
  <c r="AK46" i="14"/>
  <c r="AM11" i="14"/>
  <c r="AK23" i="14"/>
  <c r="X24" i="16"/>
  <c r="AM14" i="14"/>
  <c r="AK42" i="16"/>
  <c r="AK46" i="16" s="1"/>
  <c r="U3" i="16"/>
  <c r="Y3" i="16" s="1"/>
  <c r="AE18" i="14"/>
  <c r="AL18" i="14" s="1" a="1"/>
  <c r="AL18" i="14" s="1"/>
  <c r="AN18" i="14" s="1"/>
  <c r="F40" i="27"/>
  <c r="E41" i="27"/>
  <c r="F15" i="27"/>
  <c r="E16" i="27"/>
  <c r="M40" i="27"/>
  <c r="L41" i="27"/>
  <c r="M18" i="27"/>
  <c r="L19" i="27"/>
  <c r="AG27" i="16"/>
  <c r="AN33" i="15"/>
  <c r="AI27" i="16"/>
  <c r="AI42" i="16"/>
  <c r="AN32" i="14"/>
  <c r="AG42" i="16"/>
  <c r="O31" i="17"/>
  <c r="J37" i="18"/>
  <c r="O30" i="17"/>
  <c r="J36" i="18"/>
  <c r="O35" i="17"/>
  <c r="J41" i="18"/>
  <c r="O42" i="17"/>
  <c r="J28" i="18"/>
  <c r="O38" i="17"/>
  <c r="J43" i="18"/>
  <c r="O26" i="17"/>
  <c r="J31" i="18"/>
  <c r="O12" i="17"/>
  <c r="J9" i="18"/>
  <c r="AG4" i="17"/>
  <c r="O4" i="17"/>
  <c r="J5" i="18"/>
  <c r="J24" i="18" s="1"/>
  <c r="K15" i="18" s="1"/>
  <c r="O19" i="17"/>
  <c r="J20" i="18"/>
  <c r="O15" i="17"/>
  <c r="J17" i="18"/>
  <c r="O16" i="17"/>
  <c r="J18" i="18"/>
  <c r="M11" i="23"/>
  <c r="G6" i="23" s="1"/>
  <c r="L12" i="23"/>
  <c r="W39" i="16"/>
  <c r="AG39" i="16"/>
  <c r="AM39" i="16" s="1"/>
  <c r="W34" i="16"/>
  <c r="AI22" i="16"/>
  <c r="AG12" i="16"/>
  <c r="W12" i="16"/>
  <c r="AE12" i="16" s="1"/>
  <c r="AL12" i="16" s="1" a="1"/>
  <c r="AL12" i="16" s="1"/>
  <c r="AM12" i="16" s="1"/>
  <c r="R3" i="16"/>
  <c r="K13" i="24"/>
  <c r="E13" i="24"/>
  <c r="I6" i="24"/>
  <c r="S125" i="2"/>
  <c r="H6" i="24"/>
  <c r="AM28" i="16"/>
  <c r="Y39" i="16"/>
  <c r="AG4" i="16"/>
  <c r="AI4" i="16"/>
  <c r="W4" i="16"/>
  <c r="AE4" i="16" s="1"/>
  <c r="AL4" i="16" s="1" a="1"/>
  <c r="AL4" i="16" s="1"/>
  <c r="AP4" i="16" s="1"/>
  <c r="Q24" i="16"/>
  <c r="Q49" i="16" s="1"/>
  <c r="AE5" i="16"/>
  <c r="AL5" i="16" s="1" a="1"/>
  <c r="AL5" i="16" s="1"/>
  <c r="AP5" i="16" s="1"/>
  <c r="AG17" i="16"/>
  <c r="AE30" i="16"/>
  <c r="AL30" i="16" s="1" a="1"/>
  <c r="AL30" i="16" s="1"/>
  <c r="AP30" i="16" s="1"/>
  <c r="W17" i="16"/>
  <c r="W36" i="16"/>
  <c r="AE36" i="16" s="1"/>
  <c r="AL36" i="16" s="1" a="1"/>
  <c r="AL36" i="16" s="1"/>
  <c r="AG36" i="16"/>
  <c r="AI28" i="16"/>
  <c r="AG5" i="16"/>
  <c r="K47" i="16"/>
  <c r="K24" i="16"/>
  <c r="AI34" i="16"/>
  <c r="AG32" i="16"/>
  <c r="AM32" i="16" s="1"/>
  <c r="AG34" i="16"/>
  <c r="W26" i="16"/>
  <c r="AI26" i="16"/>
  <c r="AG26" i="16"/>
  <c r="F38" i="25"/>
  <c r="E39" i="25"/>
  <c r="F14" i="25"/>
  <c r="E15" i="25"/>
  <c r="M40" i="25"/>
  <c r="L41" i="25"/>
  <c r="AN37" i="14"/>
  <c r="AN35" i="14"/>
  <c r="AP18" i="14"/>
  <c r="AN31" i="14"/>
  <c r="AN45" i="14"/>
  <c r="AP20" i="14"/>
  <c r="AN20" i="14"/>
  <c r="AE28" i="14"/>
  <c r="AL28" i="14" s="1" a="1"/>
  <c r="AL28" i="14" s="1"/>
  <c r="AN16" i="14"/>
  <c r="AP29" i="15"/>
  <c r="AN29" i="15"/>
  <c r="AP18" i="15"/>
  <c r="AN18" i="15"/>
  <c r="AN39" i="15"/>
  <c r="AN38" i="15"/>
  <c r="AN16" i="15"/>
  <c r="AN35" i="15"/>
  <c r="AN37" i="15"/>
  <c r="AN28" i="15"/>
  <c r="AN27" i="15"/>
  <c r="AN17" i="15"/>
  <c r="AN44" i="16"/>
  <c r="AP16" i="16"/>
  <c r="AN16" i="16"/>
  <c r="I49" i="16"/>
  <c r="I57" i="16" s="1"/>
  <c r="J57" i="16" s="1"/>
  <c r="F32" i="23"/>
  <c r="E33" i="23"/>
  <c r="F8" i="23"/>
  <c r="E9" i="23"/>
  <c r="AL22" i="17" a="1"/>
  <c r="AL22" i="17" s="1"/>
  <c r="C18" i="18"/>
  <c r="AL10" i="17" a="1"/>
  <c r="AL10" i="17" s="1"/>
  <c r="C7" i="18"/>
  <c r="AL7" i="17" a="1"/>
  <c r="AL7" i="17" s="1"/>
  <c r="C6" i="18"/>
  <c r="AL39" i="17" a="1"/>
  <c r="AL39" i="17" s="1"/>
  <c r="C41" i="18"/>
  <c r="AL9" i="17" a="1"/>
  <c r="AL9" i="17" s="1"/>
  <c r="AP9" i="17" s="1"/>
  <c r="C10" i="18"/>
  <c r="AL36" i="17" a="1"/>
  <c r="AL36" i="17" s="1"/>
  <c r="C31" i="18"/>
  <c r="AL14" i="17" a="1"/>
  <c r="AL14" i="17" s="1"/>
  <c r="C22" i="18"/>
  <c r="AL32" i="17" a="1"/>
  <c r="AL32" i="17" s="1"/>
  <c r="C36" i="18"/>
  <c r="AL45" i="17" a="1"/>
  <c r="AL45" i="17" s="1"/>
  <c r="C44" i="18"/>
  <c r="AL28" i="17" a="1"/>
  <c r="AL28" i="17" s="1"/>
  <c r="C33" i="18"/>
  <c r="AL8" i="17" a="1"/>
  <c r="AL8" i="17" s="1"/>
  <c r="C17" i="18"/>
  <c r="AL41" i="17" a="1"/>
  <c r="AL41" i="17" s="1"/>
  <c r="C43" i="18"/>
  <c r="AE27" i="17"/>
  <c r="AL5" i="17" a="1"/>
  <c r="AL5" i="17" s="1"/>
  <c r="C8" i="18"/>
  <c r="AL13" i="17" a="1"/>
  <c r="AL13" i="17" s="1"/>
  <c r="C12" i="18"/>
  <c r="AL6" i="17" a="1"/>
  <c r="AL6" i="17" s="1"/>
  <c r="C16" i="18"/>
  <c r="I49" i="17"/>
  <c r="I57" i="17" s="1"/>
  <c r="J57" i="17" s="1"/>
  <c r="AL21" i="17" a="1"/>
  <c r="AL21" i="17" s="1"/>
  <c r="C15" i="18"/>
  <c r="AL20" i="17" a="1"/>
  <c r="AL20" i="17" s="1"/>
  <c r="C19" i="18"/>
  <c r="G30" i="23"/>
  <c r="M37" i="23"/>
  <c r="L38" i="23"/>
  <c r="X126" i="2"/>
  <c r="K17" i="18"/>
  <c r="K13" i="18"/>
  <c r="K5" i="18"/>
  <c r="K10" i="18"/>
  <c r="D48" i="19"/>
  <c r="E28" i="19"/>
  <c r="F28" i="19" s="1"/>
  <c r="K48" i="19"/>
  <c r="L28" i="19"/>
  <c r="M28" i="19" s="1"/>
  <c r="D24" i="19"/>
  <c r="E4" i="19"/>
  <c r="F4" i="19" s="1"/>
  <c r="K24" i="19"/>
  <c r="L4" i="19"/>
  <c r="M4" i="19" s="1"/>
  <c r="K20" i="18"/>
  <c r="K12" i="18"/>
  <c r="K4" i="18"/>
  <c r="K14" i="18"/>
  <c r="K6" i="18"/>
  <c r="K19" i="18"/>
  <c r="K22" i="18"/>
  <c r="K16" i="18"/>
  <c r="K8" i="18"/>
  <c r="K23" i="18"/>
  <c r="K9" i="18"/>
  <c r="K11" i="18"/>
  <c r="K7" i="18"/>
  <c r="K18" i="18"/>
  <c r="K21" i="18"/>
  <c r="AA51" i="16"/>
  <c r="AE39" i="14"/>
  <c r="AL39" i="14" s="1" a="1"/>
  <c r="AL39" i="14" s="1"/>
  <c r="AE22" i="14"/>
  <c r="AL22" i="14" s="1" a="1"/>
  <c r="AL22" i="14" s="1"/>
  <c r="AN12" i="14"/>
  <c r="W32" i="16"/>
  <c r="AE32" i="16" s="1"/>
  <c r="AL32" i="16" s="1" a="1"/>
  <c r="AL32" i="16" s="1"/>
  <c r="AE7" i="14"/>
  <c r="AL7" i="14" s="1" a="1"/>
  <c r="AL7" i="14" s="1"/>
  <c r="AM7" i="14" s="1"/>
  <c r="AE41" i="14"/>
  <c r="AL41" i="14" s="1" a="1"/>
  <c r="AL41" i="14" s="1"/>
  <c r="AE5" i="14"/>
  <c r="AL5" i="14" s="1" a="1"/>
  <c r="AL5" i="14" s="1"/>
  <c r="AN5" i="14" s="1"/>
  <c r="AE14" i="16"/>
  <c r="AL14" i="16" s="1" a="1"/>
  <c r="AL14" i="16" s="1"/>
  <c r="AP14" i="16" s="1"/>
  <c r="AE33" i="14"/>
  <c r="AL33" i="14" s="1" a="1"/>
  <c r="AL33" i="14" s="1"/>
  <c r="AM33" i="14" s="1"/>
  <c r="AE8" i="14"/>
  <c r="AL8" i="14" s="1" a="1"/>
  <c r="AL8" i="14" s="1"/>
  <c r="AE11" i="15"/>
  <c r="AL11" i="15" s="1" a="1"/>
  <c r="AL11" i="15" s="1"/>
  <c r="AP11" i="15" s="1"/>
  <c r="AG40" i="16"/>
  <c r="AM40" i="16" s="1"/>
  <c r="AE4" i="15"/>
  <c r="AL4" i="15" s="1" a="1"/>
  <c r="AL4" i="15" s="1"/>
  <c r="AP4" i="15" s="1"/>
  <c r="AI40" i="16"/>
  <c r="AE14" i="15"/>
  <c r="AL14" i="15" s="1" a="1"/>
  <c r="AL14" i="15" s="1"/>
  <c r="AN14" i="15" s="1"/>
  <c r="AE42" i="15"/>
  <c r="AL42" i="15" s="1" a="1"/>
  <c r="AL42" i="15" s="1"/>
  <c r="AE21" i="15"/>
  <c r="AL21" i="15" s="1" a="1"/>
  <c r="AL21" i="15" s="1"/>
  <c r="W31" i="16"/>
  <c r="AE31" i="16" s="1"/>
  <c r="AL31" i="16" s="1" a="1"/>
  <c r="AL31" i="16" s="1"/>
  <c r="AI31" i="16"/>
  <c r="Y13" i="16"/>
  <c r="P47" i="16"/>
  <c r="AJ46" i="15"/>
  <c r="AE43" i="15"/>
  <c r="AL43" i="15" s="1" a="1"/>
  <c r="AL43" i="15" s="1"/>
  <c r="AE31" i="15"/>
  <c r="AL31" i="15" s="1" a="1"/>
  <c r="AL31" i="15" s="1"/>
  <c r="AK19" i="16"/>
  <c r="W6" i="16"/>
  <c r="AE6" i="16" s="1"/>
  <c r="AL6" i="16" s="1" a="1"/>
  <c r="AL6" i="16" s="1"/>
  <c r="AP6" i="16" s="1"/>
  <c r="AM10" i="17"/>
  <c r="AI6" i="16"/>
  <c r="S47" i="16"/>
  <c r="AE27" i="16"/>
  <c r="AL27" i="16" s="1" a="1"/>
  <c r="AL27" i="16" s="1"/>
  <c r="AJ11" i="16"/>
  <c r="AG35" i="16"/>
  <c r="AG21" i="16"/>
  <c r="AM21" i="16" s="1"/>
  <c r="AE40" i="16"/>
  <c r="AL40" i="16" s="1" a="1"/>
  <c r="AL40" i="16" s="1"/>
  <c r="AM36" i="17"/>
  <c r="AE11" i="17"/>
  <c r="AI4" i="17"/>
  <c r="S24" i="16"/>
  <c r="AE34" i="17"/>
  <c r="AE20" i="16"/>
  <c r="AL20" i="16" s="1" a="1"/>
  <c r="AL20" i="16" s="1"/>
  <c r="AK23" i="17"/>
  <c r="AE43" i="17"/>
  <c r="W4" i="17"/>
  <c r="AE4" i="17" s="1"/>
  <c r="R24" i="17"/>
  <c r="AK7" i="16"/>
  <c r="R7" i="16"/>
  <c r="AG15" i="17"/>
  <c r="AM15" i="17" s="1"/>
  <c r="W15" i="17"/>
  <c r="AE15" i="17" s="1"/>
  <c r="AK46" i="17"/>
  <c r="AJ23" i="17"/>
  <c r="AM5" i="17"/>
  <c r="AM7" i="17"/>
  <c r="AE17" i="17"/>
  <c r="AE18" i="17"/>
  <c r="P24" i="16"/>
  <c r="AJ3" i="16"/>
  <c r="AM44" i="16"/>
  <c r="AE22" i="16"/>
  <c r="AL22" i="16" s="1" a="1"/>
  <c r="AL22" i="16" s="1"/>
  <c r="AE18" i="16"/>
  <c r="AL18" i="16" s="1" a="1"/>
  <c r="AL18" i="16" s="1"/>
  <c r="AE39" i="16"/>
  <c r="AL39" i="16" s="1" a="1"/>
  <c r="AL39" i="16" s="1"/>
  <c r="AE34" i="16"/>
  <c r="AL34" i="16" s="1" a="1"/>
  <c r="AL34" i="16" s="1"/>
  <c r="AE42" i="16"/>
  <c r="AL42" i="16" s="1" a="1"/>
  <c r="AL42" i="16" s="1"/>
  <c r="U24" i="16"/>
  <c r="AI39" i="16"/>
  <c r="R47" i="16"/>
  <c r="AP14" i="17"/>
  <c r="AN14" i="17"/>
  <c r="AP13" i="17"/>
  <c r="AN13" i="17"/>
  <c r="AP10" i="17"/>
  <c r="AN10" i="17"/>
  <c r="AP6" i="17"/>
  <c r="AN6" i="17"/>
  <c r="AP7" i="17"/>
  <c r="AN7" i="17"/>
  <c r="AP8" i="17"/>
  <c r="AN8" i="17"/>
  <c r="AP5" i="17"/>
  <c r="AN5" i="17"/>
  <c r="AD3" i="17"/>
  <c r="Y3" i="17"/>
  <c r="U24" i="17"/>
  <c r="AD44" i="17"/>
  <c r="AE44" i="17" s="1"/>
  <c r="Y44" i="17"/>
  <c r="AG35" i="17"/>
  <c r="AM35" i="17" s="1"/>
  <c r="AI35" i="17"/>
  <c r="W35" i="17"/>
  <c r="AE35" i="17" s="1"/>
  <c r="S49" i="17"/>
  <c r="AE37" i="17"/>
  <c r="AD40" i="17"/>
  <c r="AE40" i="17" s="1"/>
  <c r="Y40" i="17"/>
  <c r="P49" i="17"/>
  <c r="AA24" i="17" s="1"/>
  <c r="R7" i="2" s="1"/>
  <c r="AD7" i="2" s="1"/>
  <c r="AB4" i="24" s="1"/>
  <c r="AJ46" i="17"/>
  <c r="AG12" i="17"/>
  <c r="W12" i="17"/>
  <c r="AE12" i="17" s="1"/>
  <c r="AI12" i="17"/>
  <c r="AI38" i="17"/>
  <c r="W38" i="17"/>
  <c r="AE38" i="17" s="1"/>
  <c r="AG38" i="17"/>
  <c r="AM38" i="17" s="1"/>
  <c r="AI42" i="17"/>
  <c r="W42" i="17"/>
  <c r="AE42" i="17" s="1"/>
  <c r="AG42" i="17"/>
  <c r="J58" i="17"/>
  <c r="AI26" i="17"/>
  <c r="W26" i="17"/>
  <c r="AE26" i="17" s="1"/>
  <c r="AG26" i="17"/>
  <c r="R47" i="17"/>
  <c r="R49" i="17" s="1"/>
  <c r="AG31" i="17"/>
  <c r="AM31" i="17" s="1"/>
  <c r="AI31" i="17"/>
  <c r="W31" i="17"/>
  <c r="AE31" i="17" s="1"/>
  <c r="AE33" i="17"/>
  <c r="AI30" i="17"/>
  <c r="W30" i="17"/>
  <c r="AE30" i="17" s="1"/>
  <c r="AG30" i="17"/>
  <c r="AM30" i="17" s="1"/>
  <c r="W16" i="17"/>
  <c r="AE16" i="17" s="1"/>
  <c r="AI16" i="17"/>
  <c r="AG16" i="17"/>
  <c r="AM16" i="17" s="1"/>
  <c r="Q49" i="17"/>
  <c r="U47" i="17"/>
  <c r="Y47" i="17" s="1"/>
  <c r="Y26" i="17"/>
  <c r="AD26" i="17"/>
  <c r="AL19" i="17" a="1"/>
  <c r="AL19" i="17" s="1"/>
  <c r="AI19" i="17"/>
  <c r="AG19" i="17"/>
  <c r="AM19" i="17" s="1"/>
  <c r="W19" i="17"/>
  <c r="AE19" i="17" s="1"/>
  <c r="C14" i="18" s="1"/>
  <c r="AE29" i="17"/>
  <c r="AI13" i="16"/>
  <c r="W13" i="16"/>
  <c r="AE13" i="16" s="1"/>
  <c r="AL13" i="16" s="1" a="1"/>
  <c r="AL13" i="16" s="1"/>
  <c r="AG13" i="16"/>
  <c r="AM13" i="16" s="1"/>
  <c r="AI45" i="16"/>
  <c r="W45" i="16"/>
  <c r="AE45" i="16" s="1"/>
  <c r="AL45" i="16" s="1" a="1"/>
  <c r="AL45" i="16" s="1"/>
  <c r="AG45" i="16"/>
  <c r="AM45" i="16" s="1"/>
  <c r="AI29" i="16"/>
  <c r="W29" i="16"/>
  <c r="AE29" i="16" s="1"/>
  <c r="AL29" i="16" s="1" a="1"/>
  <c r="AL29" i="16" s="1"/>
  <c r="AG29" i="16"/>
  <c r="AM29" i="16" s="1"/>
  <c r="AI3" i="16"/>
  <c r="W3" i="16"/>
  <c r="AG3" i="16"/>
  <c r="AI8" i="16"/>
  <c r="W8" i="16"/>
  <c r="AG8" i="16"/>
  <c r="AM8" i="16" s="1"/>
  <c r="Y17" i="16"/>
  <c r="AE17" i="16"/>
  <c r="AL17" i="16" s="1" a="1"/>
  <c r="AL17" i="16" s="1"/>
  <c r="AI41" i="16"/>
  <c r="W41" i="16"/>
  <c r="AE41" i="16" s="1"/>
  <c r="AL41" i="16" s="1" a="1"/>
  <c r="AL41" i="16" s="1"/>
  <c r="AG41" i="16"/>
  <c r="AM41" i="16" s="1"/>
  <c r="AG10" i="16"/>
  <c r="AI10" i="16"/>
  <c r="W10" i="16"/>
  <c r="AE10" i="16" s="1"/>
  <c r="AL10" i="16" s="1" a="1"/>
  <c r="AL10" i="16" s="1"/>
  <c r="AG11" i="16"/>
  <c r="W11" i="16"/>
  <c r="AE11" i="16" s="1"/>
  <c r="AL11" i="16" s="1" a="1"/>
  <c r="AL11" i="16" s="1"/>
  <c r="AI11" i="16"/>
  <c r="Y9" i="16"/>
  <c r="AE9" i="16"/>
  <c r="AL9" i="16" s="1" a="1"/>
  <c r="AL9" i="16" s="1"/>
  <c r="AG43" i="16"/>
  <c r="AI43" i="16"/>
  <c r="W43" i="16"/>
  <c r="AE43" i="16" s="1"/>
  <c r="AL43" i="16" s="1" a="1"/>
  <c r="AL43" i="16" s="1"/>
  <c r="T49" i="16"/>
  <c r="AG15" i="16"/>
  <c r="W15" i="16"/>
  <c r="AE15" i="16" s="1"/>
  <c r="AL15" i="16" s="1" a="1"/>
  <c r="AL15" i="16" s="1"/>
  <c r="AI15" i="16"/>
  <c r="AI37" i="16"/>
  <c r="W37" i="16"/>
  <c r="AE37" i="16" s="1"/>
  <c r="AL37" i="16" s="1" a="1"/>
  <c r="AL37" i="16" s="1"/>
  <c r="AG37" i="16"/>
  <c r="AI33" i="16"/>
  <c r="W33" i="16"/>
  <c r="AG33" i="16"/>
  <c r="Y26" i="16"/>
  <c r="AG19" i="16"/>
  <c r="AI19" i="16"/>
  <c r="W19" i="16"/>
  <c r="AE19" i="16" s="1"/>
  <c r="AL19" i="16" s="1" a="1"/>
  <c r="AL19" i="16" s="1"/>
  <c r="AP13" i="15"/>
  <c r="AN13" i="15"/>
  <c r="AP6" i="15"/>
  <c r="AN6" i="15"/>
  <c r="AP12" i="15"/>
  <c r="AN12" i="15"/>
  <c r="AP8" i="15"/>
  <c r="AN8" i="15"/>
  <c r="AD36" i="15"/>
  <c r="AE36" i="15" s="1"/>
  <c r="AL36" i="15" s="1" a="1"/>
  <c r="AL36" i="15" s="1"/>
  <c r="AM36" i="15" s="1"/>
  <c r="Y36" i="15"/>
  <c r="AJ23" i="15"/>
  <c r="AI34" i="15"/>
  <c r="W34" i="15"/>
  <c r="AE34" i="15" s="1"/>
  <c r="AL34" i="15" s="1" a="1"/>
  <c r="AL34" i="15" s="1"/>
  <c r="AG34" i="15"/>
  <c r="AM34" i="15" s="1"/>
  <c r="P49" i="15"/>
  <c r="AA24" i="15" s="1"/>
  <c r="AK46" i="15"/>
  <c r="AI26" i="15"/>
  <c r="W26" i="15"/>
  <c r="AG26" i="15"/>
  <c r="R47" i="15"/>
  <c r="AI9" i="15"/>
  <c r="W9" i="15"/>
  <c r="AE9" i="15" s="1"/>
  <c r="AL9" i="15" s="1" a="1"/>
  <c r="AL9" i="15" s="1"/>
  <c r="AG9" i="15"/>
  <c r="AM9" i="15" s="1"/>
  <c r="AI10" i="15"/>
  <c r="W10" i="15"/>
  <c r="AE10" i="15" s="1"/>
  <c r="AL10" i="15" s="1" a="1"/>
  <c r="AL10" i="15" s="1"/>
  <c r="AG10" i="15"/>
  <c r="AM10" i="15" s="1"/>
  <c r="AD32" i="15"/>
  <c r="AE32" i="15" s="1"/>
  <c r="AL32" i="15" s="1" a="1"/>
  <c r="AL32" i="15" s="1"/>
  <c r="Y32" i="15"/>
  <c r="R24" i="15"/>
  <c r="AI3" i="15"/>
  <c r="W3" i="15"/>
  <c r="AG3" i="15"/>
  <c r="AG7" i="15"/>
  <c r="AI7" i="15"/>
  <c r="W7" i="15"/>
  <c r="AE7" i="15" s="1"/>
  <c r="AL7" i="15" s="1" a="1"/>
  <c r="AL7" i="15" s="1"/>
  <c r="AI5" i="15"/>
  <c r="W5" i="15"/>
  <c r="AE5" i="15" s="1"/>
  <c r="AL5" i="15" s="1" a="1"/>
  <c r="AL5" i="15" s="1"/>
  <c r="AG5" i="15"/>
  <c r="AM5" i="15" s="1"/>
  <c r="AI30" i="15"/>
  <c r="W30" i="15"/>
  <c r="AE30" i="15" s="1"/>
  <c r="AL30" i="15" s="1" a="1"/>
  <c r="AL30" i="15" s="1"/>
  <c r="AG30" i="15"/>
  <c r="AM30" i="15" s="1"/>
  <c r="U24" i="15"/>
  <c r="Y3" i="15"/>
  <c r="AD3" i="15"/>
  <c r="AP11" i="14"/>
  <c r="AN11" i="14"/>
  <c r="AP4" i="14"/>
  <c r="AN4" i="14"/>
  <c r="AP10" i="14"/>
  <c r="AN10" i="14"/>
  <c r="Y24" i="14"/>
  <c r="AP14" i="14"/>
  <c r="AN14" i="14"/>
  <c r="AP8" i="14"/>
  <c r="AN8" i="14"/>
  <c r="AI42" i="14"/>
  <c r="W42" i="14"/>
  <c r="AE42" i="14" s="1"/>
  <c r="AL42" i="14" s="1" a="1"/>
  <c r="AL42" i="14" s="1"/>
  <c r="O42" i="14"/>
  <c r="AG42" i="14"/>
  <c r="P49" i="14"/>
  <c r="AA24" i="14" s="1"/>
  <c r="AE29" i="14"/>
  <c r="AL29" i="14" s="1" a="1"/>
  <c r="AL29" i="14" s="1"/>
  <c r="AJ23" i="14"/>
  <c r="R24" i="14"/>
  <c r="AG3" i="14"/>
  <c r="AI3" i="14"/>
  <c r="W3" i="14"/>
  <c r="O3" i="14"/>
  <c r="AI21" i="14"/>
  <c r="W21" i="14"/>
  <c r="AE21" i="14" s="1"/>
  <c r="AL21" i="14" s="1" a="1"/>
  <c r="AL21" i="14" s="1"/>
  <c r="O21" i="14"/>
  <c r="AG21" i="14"/>
  <c r="AM21" i="14" s="1"/>
  <c r="AD36" i="14"/>
  <c r="AE36" i="14" s="1"/>
  <c r="AL36" i="14" s="1" a="1"/>
  <c r="AL36" i="14" s="1"/>
  <c r="AM36" i="14" s="1"/>
  <c r="Y36" i="14"/>
  <c r="O9" i="14"/>
  <c r="AI9" i="14"/>
  <c r="W9" i="14"/>
  <c r="AE9" i="14" s="1"/>
  <c r="AL9" i="14" s="1" a="1"/>
  <c r="AL9" i="14" s="1"/>
  <c r="AG9" i="14"/>
  <c r="AM9" i="14" s="1"/>
  <c r="AD44" i="14"/>
  <c r="AE44" i="14" s="1"/>
  <c r="AL44" i="14" s="1" a="1"/>
  <c r="AL44" i="14" s="1"/>
  <c r="AM44" i="14" s="1"/>
  <c r="Y44" i="14"/>
  <c r="AI17" i="14"/>
  <c r="W17" i="14"/>
  <c r="O17" i="14"/>
  <c r="AG17" i="14"/>
  <c r="AI26" i="14"/>
  <c r="W26" i="14"/>
  <c r="O26" i="14"/>
  <c r="AG26" i="14"/>
  <c r="R47" i="14"/>
  <c r="AI38" i="14"/>
  <c r="W38" i="14"/>
  <c r="AE38" i="14" s="1"/>
  <c r="AL38" i="14" s="1" a="1"/>
  <c r="AL38" i="14" s="1"/>
  <c r="O38" i="14"/>
  <c r="AG38" i="14"/>
  <c r="AM38" i="14" s="1"/>
  <c r="AJ46" i="14"/>
  <c r="U47" i="14"/>
  <c r="Y47" i="14" s="1"/>
  <c r="AI13" i="14"/>
  <c r="W13" i="14"/>
  <c r="AE13" i="14" s="1"/>
  <c r="AL13" i="14" s="1" a="1"/>
  <c r="AL13" i="14" s="1"/>
  <c r="O13" i="14"/>
  <c r="AG13" i="14"/>
  <c r="AM13" i="14" s="1"/>
  <c r="AI34" i="14"/>
  <c r="W34" i="14"/>
  <c r="AE34" i="14" s="1"/>
  <c r="AL34" i="14" s="1" a="1"/>
  <c r="AL34" i="14" s="1"/>
  <c r="O34" i="14"/>
  <c r="AG34" i="14"/>
  <c r="AM34" i="14" s="1"/>
  <c r="AG43" i="14"/>
  <c r="AM43" i="14" s="1"/>
  <c r="AI43" i="14"/>
  <c r="W43" i="14"/>
  <c r="AE43" i="14" s="1"/>
  <c r="AL43" i="14" s="1" a="1"/>
  <c r="AL43" i="14" s="1"/>
  <c r="O43" i="14"/>
  <c r="AG19" i="14"/>
  <c r="AM19" i="14" s="1"/>
  <c r="O19" i="14"/>
  <c r="W19" i="14"/>
  <c r="AE19" i="14" s="1"/>
  <c r="AL19" i="14" s="1" a="1"/>
  <c r="AL19" i="14" s="1"/>
  <c r="AI19" i="14"/>
  <c r="AI6" i="14"/>
  <c r="W6" i="14"/>
  <c r="AE6" i="14" s="1"/>
  <c r="AL6" i="14" s="1" a="1"/>
  <c r="AL6" i="14" s="1"/>
  <c r="O6" i="14"/>
  <c r="AG6" i="14"/>
  <c r="AM6" i="14" s="1"/>
  <c r="AD17" i="14"/>
  <c r="Y17" i="14"/>
  <c r="S49" i="14"/>
  <c r="I49" i="14"/>
  <c r="AD40" i="14"/>
  <c r="Y40" i="14"/>
  <c r="AI15" i="14"/>
  <c r="AG15" i="14"/>
  <c r="AM15" i="14" s="1"/>
  <c r="O15" i="14"/>
  <c r="W15" i="14"/>
  <c r="AE15" i="14" s="1"/>
  <c r="AL15" i="14" s="1" a="1"/>
  <c r="AL15" i="14" s="1"/>
  <c r="AI30" i="14"/>
  <c r="W30" i="14"/>
  <c r="AE30" i="14" s="1"/>
  <c r="AL30" i="14" s="1" a="1"/>
  <c r="AL30" i="14" s="1"/>
  <c r="O30" i="14"/>
  <c r="AG30" i="14"/>
  <c r="AM30" i="14" s="1"/>
  <c r="AG27" i="14"/>
  <c r="AM27" i="14" s="1"/>
  <c r="AI27" i="14"/>
  <c r="W27" i="14"/>
  <c r="AE27" i="14" s="1"/>
  <c r="AL27" i="14" s="1" a="1"/>
  <c r="AL27" i="14" s="1"/>
  <c r="O27" i="14"/>
  <c r="K58" i="6"/>
  <c r="I58" i="6"/>
  <c r="K56" i="6"/>
  <c r="I56" i="6"/>
  <c r="J49" i="6"/>
  <c r="G49" i="6"/>
  <c r="F49" i="6"/>
  <c r="E49" i="6"/>
  <c r="D49" i="6"/>
  <c r="AC47" i="6"/>
  <c r="AB47" i="6"/>
  <c r="K47" i="6"/>
  <c r="C47" i="6"/>
  <c r="AJ45" i="6"/>
  <c r="AH45" i="6"/>
  <c r="Z45" i="6"/>
  <c r="X45" i="6"/>
  <c r="T45" i="6"/>
  <c r="S45" i="6"/>
  <c r="U45" i="6" s="1"/>
  <c r="P45" i="6"/>
  <c r="AK45" i="6" s="1"/>
  <c r="N45" i="6"/>
  <c r="I45" i="6"/>
  <c r="AK44" i="6"/>
  <c r="AH44" i="6"/>
  <c r="Z44" i="6"/>
  <c r="X44" i="6"/>
  <c r="T44" i="6"/>
  <c r="S44" i="6"/>
  <c r="U44" i="6" s="1"/>
  <c r="R44" i="6"/>
  <c r="P44" i="6"/>
  <c r="N44" i="6"/>
  <c r="I44" i="6"/>
  <c r="AH43" i="6"/>
  <c r="Z43" i="6"/>
  <c r="X43" i="6"/>
  <c r="U43" i="6"/>
  <c r="T43" i="6"/>
  <c r="S43" i="6"/>
  <c r="P43" i="6"/>
  <c r="AK43" i="6" s="1"/>
  <c r="N43" i="6"/>
  <c r="I43" i="6"/>
  <c r="AH42" i="6"/>
  <c r="Z42" i="6"/>
  <c r="X42" i="6"/>
  <c r="T42" i="6"/>
  <c r="S42" i="6"/>
  <c r="U42" i="6" s="1"/>
  <c r="P42" i="6"/>
  <c r="N42" i="6"/>
  <c r="I42" i="6"/>
  <c r="AH41" i="6"/>
  <c r="Z41" i="6"/>
  <c r="X41" i="6"/>
  <c r="T41" i="6"/>
  <c r="S41" i="6"/>
  <c r="U41" i="6" s="1"/>
  <c r="P41" i="6"/>
  <c r="AK41" i="6" s="1"/>
  <c r="N41" i="6"/>
  <c r="I41" i="6"/>
  <c r="AH40" i="6"/>
  <c r="Z40" i="6"/>
  <c r="X40" i="6"/>
  <c r="T40" i="6"/>
  <c r="S40" i="6"/>
  <c r="U40" i="6" s="1"/>
  <c r="P40" i="6"/>
  <c r="AJ40" i="6" s="1"/>
  <c r="N40" i="6"/>
  <c r="I40" i="6"/>
  <c r="AK39" i="6"/>
  <c r="AJ39" i="6"/>
  <c r="AH39" i="6"/>
  <c r="Z39" i="6"/>
  <c r="X39" i="6"/>
  <c r="T39" i="6"/>
  <c r="S39" i="6"/>
  <c r="U39" i="6" s="1"/>
  <c r="Y39" i="6" s="1"/>
  <c r="R39" i="6"/>
  <c r="P39" i="6"/>
  <c r="N39" i="6"/>
  <c r="I39" i="6"/>
  <c r="AJ38" i="6"/>
  <c r="AH38" i="6"/>
  <c r="Z38" i="6"/>
  <c r="X38" i="6"/>
  <c r="T38" i="6"/>
  <c r="S38" i="6"/>
  <c r="P38" i="6"/>
  <c r="AK38" i="6" s="1"/>
  <c r="N38" i="6"/>
  <c r="I38" i="6"/>
  <c r="AJ37" i="6"/>
  <c r="AH37" i="6"/>
  <c r="Z37" i="6"/>
  <c r="X37" i="6"/>
  <c r="W37" i="6"/>
  <c r="T37" i="6"/>
  <c r="S37" i="6"/>
  <c r="R37" i="6"/>
  <c r="P37" i="6"/>
  <c r="AK37" i="6" s="1"/>
  <c r="O37" i="6"/>
  <c r="N37" i="6"/>
  <c r="I37" i="6"/>
  <c r="AK36" i="6"/>
  <c r="AH36" i="6"/>
  <c r="Z36" i="6"/>
  <c r="AJ36" i="6" s="1"/>
  <c r="X36" i="6"/>
  <c r="T36" i="6"/>
  <c r="S36" i="6"/>
  <c r="R36" i="6"/>
  <c r="P36" i="6"/>
  <c r="N36" i="6"/>
  <c r="I36" i="6"/>
  <c r="AK35" i="6"/>
  <c r="AH35" i="6"/>
  <c r="AD35" i="6"/>
  <c r="Z35" i="6"/>
  <c r="AJ35" i="6" s="1"/>
  <c r="Y35" i="6"/>
  <c r="X35" i="6"/>
  <c r="U35" i="6"/>
  <c r="T35" i="6"/>
  <c r="S35" i="6"/>
  <c r="R35" i="6"/>
  <c r="P35" i="6"/>
  <c r="N35" i="6"/>
  <c r="I35" i="6"/>
  <c r="AH34" i="6"/>
  <c r="Z34" i="6"/>
  <c r="X34" i="6"/>
  <c r="T34" i="6"/>
  <c r="U34" i="6" s="1"/>
  <c r="S34" i="6"/>
  <c r="P34" i="6"/>
  <c r="N34" i="6"/>
  <c r="I34" i="6"/>
  <c r="AK33" i="6"/>
  <c r="AH33" i="6"/>
  <c r="Z33" i="6"/>
  <c r="X33" i="6"/>
  <c r="T33" i="6"/>
  <c r="S33" i="6"/>
  <c r="U33" i="6" s="1"/>
  <c r="R33" i="6"/>
  <c r="P33" i="6"/>
  <c r="N33" i="6"/>
  <c r="I33" i="6"/>
  <c r="AH32" i="6"/>
  <c r="Z32" i="6"/>
  <c r="X32" i="6"/>
  <c r="U32" i="6"/>
  <c r="AD32" i="6" s="1"/>
  <c r="T32" i="6"/>
  <c r="S32" i="6"/>
  <c r="R32" i="6"/>
  <c r="P32" i="6"/>
  <c r="AK32" i="6" s="1"/>
  <c r="N32" i="6"/>
  <c r="I32" i="6"/>
  <c r="AH31" i="6"/>
  <c r="Z31" i="6"/>
  <c r="Y31" i="6"/>
  <c r="X31" i="6"/>
  <c r="U31" i="6"/>
  <c r="T31" i="6"/>
  <c r="S31" i="6"/>
  <c r="P31" i="6"/>
  <c r="AJ31" i="6" s="1"/>
  <c r="N31" i="6"/>
  <c r="I31" i="6"/>
  <c r="AJ30" i="6"/>
  <c r="AH30" i="6"/>
  <c r="Z30" i="6"/>
  <c r="X30" i="6"/>
  <c r="T30" i="6"/>
  <c r="S30" i="6"/>
  <c r="P30" i="6"/>
  <c r="N30" i="6"/>
  <c r="I30" i="6"/>
  <c r="AK29" i="6"/>
  <c r="AH29" i="6"/>
  <c r="Z29" i="6"/>
  <c r="AJ29" i="6" s="1"/>
  <c r="X29" i="6"/>
  <c r="T29" i="6"/>
  <c r="S29" i="6"/>
  <c r="R29" i="6"/>
  <c r="P29" i="6"/>
  <c r="N29" i="6"/>
  <c r="I29" i="6"/>
  <c r="AK28" i="6"/>
  <c r="AH28" i="6"/>
  <c r="Z28" i="6"/>
  <c r="AJ28" i="6" s="1"/>
  <c r="X28" i="6"/>
  <c r="T28" i="6"/>
  <c r="S28" i="6"/>
  <c r="U28" i="6" s="1"/>
  <c r="R28" i="6"/>
  <c r="AG28" i="6" s="1"/>
  <c r="AM28" i="6" s="1"/>
  <c r="P28" i="6"/>
  <c r="N28" i="6"/>
  <c r="I28" i="6"/>
  <c r="AH27" i="6"/>
  <c r="Z27" i="6"/>
  <c r="X27" i="6"/>
  <c r="U27" i="6"/>
  <c r="T27" i="6"/>
  <c r="S27" i="6"/>
  <c r="P27" i="6"/>
  <c r="N27" i="6"/>
  <c r="I27" i="6"/>
  <c r="AK26" i="6"/>
  <c r="AH26" i="6"/>
  <c r="Z26" i="6"/>
  <c r="X26" i="6"/>
  <c r="X47" i="6" s="1"/>
  <c r="U26" i="6"/>
  <c r="T26" i="6"/>
  <c r="T47" i="6" s="1"/>
  <c r="S26" i="6"/>
  <c r="S47" i="6" s="1"/>
  <c r="P26" i="6"/>
  <c r="N26" i="6"/>
  <c r="I26" i="6"/>
  <c r="AC24" i="6"/>
  <c r="AC49" i="6" s="1"/>
  <c r="AB24" i="6"/>
  <c r="K24" i="6"/>
  <c r="K49" i="6" s="1"/>
  <c r="C24" i="6"/>
  <c r="C49" i="6" s="1"/>
  <c r="AH22" i="6"/>
  <c r="Z22" i="6"/>
  <c r="Y22" i="6"/>
  <c r="X22" i="6"/>
  <c r="U22" i="6"/>
  <c r="T22" i="6"/>
  <c r="S22" i="6"/>
  <c r="P22" i="6"/>
  <c r="N22" i="6"/>
  <c r="I22" i="6"/>
  <c r="AH21" i="6"/>
  <c r="Z21" i="6"/>
  <c r="X21" i="6"/>
  <c r="T21" i="6"/>
  <c r="S21" i="6"/>
  <c r="U21" i="6" s="1"/>
  <c r="AD21" i="6" s="1"/>
  <c r="R21" i="6"/>
  <c r="P21" i="6"/>
  <c r="AJ21" i="6" s="1"/>
  <c r="N21" i="6"/>
  <c r="I21" i="6"/>
  <c r="AK20" i="6"/>
  <c r="AH20" i="6"/>
  <c r="Z20" i="6"/>
  <c r="X20" i="6"/>
  <c r="T20" i="6"/>
  <c r="S20" i="6"/>
  <c r="U20" i="6" s="1"/>
  <c r="R20" i="6"/>
  <c r="P20" i="6"/>
  <c r="AJ20" i="6" s="1"/>
  <c r="N20" i="6"/>
  <c r="I20" i="6"/>
  <c r="AH19" i="6"/>
  <c r="Z19" i="6"/>
  <c r="X19" i="6"/>
  <c r="T19" i="6"/>
  <c r="S19" i="6"/>
  <c r="U19" i="6" s="1"/>
  <c r="P19" i="6"/>
  <c r="AK19" i="6" s="1"/>
  <c r="N19" i="6"/>
  <c r="I19" i="6"/>
  <c r="AH18" i="6"/>
  <c r="Z18" i="6"/>
  <c r="X18" i="6"/>
  <c r="T18" i="6"/>
  <c r="S18" i="6"/>
  <c r="U18" i="6" s="1"/>
  <c r="P18" i="6"/>
  <c r="N18" i="6"/>
  <c r="I18" i="6"/>
  <c r="AH17" i="6"/>
  <c r="Z17" i="6"/>
  <c r="X17" i="6"/>
  <c r="T17" i="6"/>
  <c r="S17" i="6"/>
  <c r="U17" i="6" s="1"/>
  <c r="P17" i="6"/>
  <c r="AJ17" i="6" s="1"/>
  <c r="N17" i="6"/>
  <c r="I17" i="6"/>
  <c r="AK16" i="6"/>
  <c r="AH16" i="6"/>
  <c r="Z16" i="6"/>
  <c r="AJ16" i="6" s="1"/>
  <c r="X16" i="6"/>
  <c r="T16" i="6"/>
  <c r="S16" i="6"/>
  <c r="U16" i="6" s="1"/>
  <c r="R16" i="6"/>
  <c r="AI16" i="6" s="1"/>
  <c r="P16" i="6"/>
  <c r="N16" i="6"/>
  <c r="I16" i="6"/>
  <c r="AH15" i="6"/>
  <c r="Z15" i="6"/>
  <c r="Y15" i="6"/>
  <c r="X15" i="6"/>
  <c r="T15" i="6"/>
  <c r="U15" i="6" s="1"/>
  <c r="S15" i="6"/>
  <c r="P15" i="6"/>
  <c r="N15" i="6"/>
  <c r="I15" i="6"/>
  <c r="AJ14" i="6"/>
  <c r="AH14" i="6"/>
  <c r="Z14" i="6"/>
  <c r="X14" i="6"/>
  <c r="U14" i="6"/>
  <c r="T14" i="6"/>
  <c r="S14" i="6"/>
  <c r="P14" i="6"/>
  <c r="R14" i="6" s="1"/>
  <c r="W14" i="6" s="1"/>
  <c r="N14" i="6"/>
  <c r="I14" i="6"/>
  <c r="AH13" i="6"/>
  <c r="Z13" i="6"/>
  <c r="X13" i="6"/>
  <c r="U13" i="6"/>
  <c r="T13" i="6"/>
  <c r="S13" i="6"/>
  <c r="P13" i="6"/>
  <c r="AK13" i="6" s="1"/>
  <c r="N13" i="6"/>
  <c r="I13" i="6"/>
  <c r="AK12" i="6"/>
  <c r="AJ12" i="6"/>
  <c r="AH12" i="6"/>
  <c r="Z12" i="6"/>
  <c r="X12" i="6"/>
  <c r="T12" i="6"/>
  <c r="S12" i="6"/>
  <c r="U12" i="6" s="1"/>
  <c r="Y12" i="6" s="1"/>
  <c r="R12" i="6"/>
  <c r="P12" i="6"/>
  <c r="N12" i="6"/>
  <c r="I12" i="6"/>
  <c r="AK11" i="6"/>
  <c r="AH11" i="6"/>
  <c r="Z11" i="6"/>
  <c r="X11" i="6"/>
  <c r="T11" i="6"/>
  <c r="S11" i="6"/>
  <c r="R11" i="6"/>
  <c r="P11" i="6"/>
  <c r="N11" i="6"/>
  <c r="I11" i="6"/>
  <c r="AH10" i="6"/>
  <c r="Z10" i="6"/>
  <c r="X10" i="6"/>
  <c r="T10" i="6"/>
  <c r="S10" i="6"/>
  <c r="U10" i="6" s="1"/>
  <c r="P10" i="6"/>
  <c r="N10" i="6"/>
  <c r="I10" i="6"/>
  <c r="AH9" i="6"/>
  <c r="Z9" i="6"/>
  <c r="X9" i="6"/>
  <c r="T9" i="6"/>
  <c r="S9" i="6"/>
  <c r="U9" i="6" s="1"/>
  <c r="P9" i="6"/>
  <c r="N9" i="6"/>
  <c r="I9" i="6"/>
  <c r="AK8" i="6"/>
  <c r="AH8" i="6"/>
  <c r="Z8" i="6"/>
  <c r="X8" i="6"/>
  <c r="T8" i="6"/>
  <c r="S8" i="6"/>
  <c r="U8" i="6" s="1"/>
  <c r="R8" i="6"/>
  <c r="P8" i="6"/>
  <c r="AJ8" i="6" s="1"/>
  <c r="N8" i="6"/>
  <c r="I8" i="6"/>
  <c r="AJ7" i="6"/>
  <c r="AH7" i="6"/>
  <c r="Z7" i="6"/>
  <c r="X7" i="6"/>
  <c r="U7" i="6"/>
  <c r="T7" i="6"/>
  <c r="S7" i="6"/>
  <c r="P7" i="6"/>
  <c r="N7" i="6"/>
  <c r="I7" i="6"/>
  <c r="AH6" i="6"/>
  <c r="Z6" i="6"/>
  <c r="X6" i="6"/>
  <c r="T6" i="6"/>
  <c r="S6" i="6"/>
  <c r="U6" i="6" s="1"/>
  <c r="P6" i="6"/>
  <c r="N6" i="6"/>
  <c r="I6" i="6"/>
  <c r="AK5" i="6"/>
  <c r="AH5" i="6"/>
  <c r="Z5" i="6"/>
  <c r="AJ5" i="6" s="1"/>
  <c r="X5" i="6"/>
  <c r="T5" i="6"/>
  <c r="U5" i="6" s="1"/>
  <c r="S5" i="6"/>
  <c r="R5" i="6"/>
  <c r="P5" i="6"/>
  <c r="N5" i="6"/>
  <c r="I5" i="6"/>
  <c r="AH4" i="6"/>
  <c r="AD4" i="6"/>
  <c r="Z4" i="6"/>
  <c r="X4" i="6"/>
  <c r="T4" i="6"/>
  <c r="U4" i="6" s="1"/>
  <c r="S4" i="6"/>
  <c r="P4" i="6"/>
  <c r="N4" i="6"/>
  <c r="I4" i="6"/>
  <c r="AJ3" i="6"/>
  <c r="AH3" i="6"/>
  <c r="Z3" i="6"/>
  <c r="Z24" i="6" s="1"/>
  <c r="X3" i="6"/>
  <c r="T3" i="6"/>
  <c r="S3" i="6"/>
  <c r="Q24" i="6"/>
  <c r="P24" i="6"/>
  <c r="N3" i="6"/>
  <c r="I3" i="6"/>
  <c r="J44" i="3"/>
  <c r="J42" i="3"/>
  <c r="J41" i="3"/>
  <c r="J36" i="3"/>
  <c r="J35" i="3"/>
  <c r="J34" i="3"/>
  <c r="J30" i="3"/>
  <c r="J28" i="3"/>
  <c r="J22" i="3"/>
  <c r="J18" i="3"/>
  <c r="J15" i="3"/>
  <c r="J14" i="3"/>
  <c r="J8" i="3"/>
  <c r="J5" i="3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J128" i="2"/>
  <c r="AD14" i="2"/>
  <c r="AC14" i="2"/>
  <c r="AB14" i="2"/>
  <c r="AA14" i="2"/>
  <c r="AB13" i="2"/>
  <c r="N10" i="2"/>
  <c r="J10" i="2"/>
  <c r="I10" i="2"/>
  <c r="AD6" i="2"/>
  <c r="AC6" i="2"/>
  <c r="AB6" i="2"/>
  <c r="AA6" i="2"/>
  <c r="AI5" i="2"/>
  <c r="AH5" i="2"/>
  <c r="AG5" i="2"/>
  <c r="AD5" i="2"/>
  <c r="AC5" i="2"/>
  <c r="AB5" i="2"/>
  <c r="AA5" i="2"/>
  <c r="AI4" i="2"/>
  <c r="AH4" i="2"/>
  <c r="AG4" i="2"/>
  <c r="AD4" i="2"/>
  <c r="AC4" i="2"/>
  <c r="AB4" i="2"/>
  <c r="AA4" i="2"/>
  <c r="AI3" i="2"/>
  <c r="AH3" i="2"/>
  <c r="AG3" i="2"/>
  <c r="AD3" i="2"/>
  <c r="AC3" i="2"/>
  <c r="AB3" i="2"/>
  <c r="AA3" i="2"/>
  <c r="K58" i="13"/>
  <c r="I58" i="13"/>
  <c r="K56" i="13"/>
  <c r="I56" i="13"/>
  <c r="J49" i="13"/>
  <c r="G49" i="13"/>
  <c r="F49" i="13"/>
  <c r="E49" i="13"/>
  <c r="D49" i="13"/>
  <c r="AC47" i="13"/>
  <c r="AB47" i="13"/>
  <c r="K47" i="13"/>
  <c r="C47" i="13"/>
  <c r="AH45" i="13"/>
  <c r="U45" i="13"/>
  <c r="N45" i="13"/>
  <c r="I45" i="13"/>
  <c r="AJ44" i="13"/>
  <c r="AH44" i="13"/>
  <c r="U44" i="13"/>
  <c r="Y44" i="13" s="1"/>
  <c r="N44" i="13"/>
  <c r="I44" i="13"/>
  <c r="AH43" i="13"/>
  <c r="U43" i="13"/>
  <c r="AD43" i="13" s="1"/>
  <c r="AK43" i="13"/>
  <c r="N43" i="13"/>
  <c r="I43" i="13"/>
  <c r="AJ42" i="13"/>
  <c r="AH42" i="13"/>
  <c r="U42" i="13"/>
  <c r="R42" i="13"/>
  <c r="O42" i="13" s="1"/>
  <c r="AK42" i="13"/>
  <c r="N42" i="13"/>
  <c r="I42" i="13"/>
  <c r="AK41" i="13"/>
  <c r="AH41" i="13"/>
  <c r="AJ41" i="13"/>
  <c r="U41" i="13"/>
  <c r="R41" i="13"/>
  <c r="N41" i="13"/>
  <c r="I41" i="13"/>
  <c r="AH40" i="13"/>
  <c r="U40" i="13"/>
  <c r="AK40" i="13"/>
  <c r="N40" i="13"/>
  <c r="I40" i="13"/>
  <c r="AH39" i="13"/>
  <c r="U39" i="13"/>
  <c r="Y39" i="13" s="1"/>
  <c r="AK39" i="13"/>
  <c r="N39" i="13"/>
  <c r="I39" i="13"/>
  <c r="AK38" i="13"/>
  <c r="AJ38" i="13"/>
  <c r="AH38" i="13"/>
  <c r="U38" i="13"/>
  <c r="R38" i="13"/>
  <c r="N38" i="13"/>
  <c r="I38" i="13"/>
  <c r="AH37" i="13"/>
  <c r="U37" i="13"/>
  <c r="AJ37" i="13"/>
  <c r="N37" i="13"/>
  <c r="I37" i="13"/>
  <c r="AK36" i="13"/>
  <c r="AH36" i="13"/>
  <c r="AJ36" i="13"/>
  <c r="R36" i="13"/>
  <c r="N36" i="13"/>
  <c r="I36" i="13"/>
  <c r="AK35" i="13"/>
  <c r="AH35" i="13"/>
  <c r="AJ35" i="13"/>
  <c r="U35" i="13"/>
  <c r="R35" i="13"/>
  <c r="AI35" i="13" s="1"/>
  <c r="N35" i="13"/>
  <c r="I35" i="13"/>
  <c r="AH34" i="13"/>
  <c r="U34" i="13"/>
  <c r="R34" i="13"/>
  <c r="AG34" i="13" s="1"/>
  <c r="AM34" i="13" s="1"/>
  <c r="AJ34" i="13"/>
  <c r="N34" i="13"/>
  <c r="I34" i="13"/>
  <c r="AH33" i="13"/>
  <c r="U33" i="13"/>
  <c r="Y33" i="13" s="1"/>
  <c r="AK33" i="13"/>
  <c r="N33" i="13"/>
  <c r="I33" i="13"/>
  <c r="AH32" i="13"/>
  <c r="U32" i="13"/>
  <c r="AK32" i="13"/>
  <c r="N32" i="13"/>
  <c r="I32" i="13"/>
  <c r="AJ31" i="13"/>
  <c r="AH31" i="13"/>
  <c r="U31" i="13"/>
  <c r="AK31" i="13"/>
  <c r="N31" i="13"/>
  <c r="I31" i="13"/>
  <c r="AJ30" i="13"/>
  <c r="AH30" i="13"/>
  <c r="U30" i="13"/>
  <c r="AK30" i="13"/>
  <c r="N30" i="13"/>
  <c r="I30" i="13"/>
  <c r="AK29" i="13"/>
  <c r="AJ29" i="13"/>
  <c r="AH29" i="13"/>
  <c r="U29" i="13"/>
  <c r="R29" i="13"/>
  <c r="N29" i="13"/>
  <c r="I29" i="13"/>
  <c r="AK28" i="13"/>
  <c r="AJ28" i="13"/>
  <c r="AH28" i="13"/>
  <c r="U28" i="13"/>
  <c r="R28" i="13"/>
  <c r="N28" i="13"/>
  <c r="I28" i="13"/>
  <c r="AK27" i="13"/>
  <c r="AJ27" i="13"/>
  <c r="AH27" i="13"/>
  <c r="U27" i="13"/>
  <c r="R27" i="13"/>
  <c r="N27" i="13"/>
  <c r="I27" i="13"/>
  <c r="AK26" i="13"/>
  <c r="AH26" i="13"/>
  <c r="AJ26" i="13"/>
  <c r="T47" i="13"/>
  <c r="R26" i="13"/>
  <c r="W26" i="13" s="1"/>
  <c r="O26" i="13"/>
  <c r="N26" i="13"/>
  <c r="I26" i="13"/>
  <c r="AC24" i="13"/>
  <c r="AC49" i="13" s="1"/>
  <c r="AB24" i="13"/>
  <c r="K24" i="13"/>
  <c r="K49" i="13" s="1"/>
  <c r="C24" i="13"/>
  <c r="C49" i="13" s="1"/>
  <c r="AK22" i="13"/>
  <c r="AH22" i="13"/>
  <c r="AJ22" i="13"/>
  <c r="U22" i="13"/>
  <c r="R22" i="13"/>
  <c r="AI22" i="13" s="1"/>
  <c r="N22" i="13"/>
  <c r="I22" i="13"/>
  <c r="AH21" i="13"/>
  <c r="U21" i="13"/>
  <c r="Y21" i="13" s="1"/>
  <c r="AK21" i="13"/>
  <c r="N21" i="13"/>
  <c r="I21" i="13"/>
  <c r="AK20" i="13"/>
  <c r="AH20" i="13"/>
  <c r="U20" i="13"/>
  <c r="R20" i="13"/>
  <c r="AJ20" i="13"/>
  <c r="N20" i="13"/>
  <c r="I20" i="13"/>
  <c r="AH19" i="13"/>
  <c r="U19" i="13"/>
  <c r="AJ19" i="13"/>
  <c r="N19" i="13"/>
  <c r="I19" i="13"/>
  <c r="AH18" i="13"/>
  <c r="U18" i="13"/>
  <c r="AK18" i="13"/>
  <c r="N18" i="13"/>
  <c r="I18" i="13"/>
  <c r="AJ17" i="13"/>
  <c r="AH17" i="13"/>
  <c r="U17" i="13"/>
  <c r="Y17" i="13" s="1"/>
  <c r="AK17" i="13"/>
  <c r="N17" i="13"/>
  <c r="I17" i="13"/>
  <c r="AK16" i="13"/>
  <c r="AJ16" i="13"/>
  <c r="AH16" i="13"/>
  <c r="R16" i="13"/>
  <c r="N16" i="13"/>
  <c r="I16" i="13"/>
  <c r="AK15" i="13"/>
  <c r="AJ15" i="13"/>
  <c r="AH15" i="13"/>
  <c r="U15" i="13"/>
  <c r="R15" i="13"/>
  <c r="O15" i="13" s="1"/>
  <c r="N15" i="13"/>
  <c r="I15" i="13"/>
  <c r="AK14" i="13"/>
  <c r="AH14" i="13"/>
  <c r="AJ14" i="13"/>
  <c r="U14" i="13"/>
  <c r="R14" i="13"/>
  <c r="N14" i="13"/>
  <c r="I14" i="13"/>
  <c r="AH13" i="13"/>
  <c r="U13" i="13"/>
  <c r="AK13" i="13"/>
  <c r="N13" i="13"/>
  <c r="I13" i="13"/>
  <c r="AH12" i="13"/>
  <c r="U12" i="13"/>
  <c r="N12" i="13"/>
  <c r="I12" i="13"/>
  <c r="AK11" i="13"/>
  <c r="AH11" i="13"/>
  <c r="U11" i="13"/>
  <c r="R11" i="13"/>
  <c r="N11" i="13"/>
  <c r="I11" i="13"/>
  <c r="AJ10" i="13"/>
  <c r="AH10" i="13"/>
  <c r="U10" i="13"/>
  <c r="AD10" i="13" s="1"/>
  <c r="AK10" i="13"/>
  <c r="N10" i="13"/>
  <c r="I10" i="13"/>
  <c r="AH9" i="13"/>
  <c r="U9" i="13"/>
  <c r="AD9" i="13" s="1"/>
  <c r="N9" i="13"/>
  <c r="I9" i="13"/>
  <c r="AK8" i="13"/>
  <c r="AJ8" i="13"/>
  <c r="AH8" i="13"/>
  <c r="R8" i="13"/>
  <c r="AI8" i="13" s="1"/>
  <c r="N8" i="13"/>
  <c r="I8" i="13"/>
  <c r="AK7" i="13"/>
  <c r="AH7" i="13"/>
  <c r="AJ7" i="13"/>
  <c r="U7" i="13"/>
  <c r="Y7" i="13" s="1"/>
  <c r="R7" i="13"/>
  <c r="N7" i="13"/>
  <c r="I7" i="13"/>
  <c r="AK6" i="13"/>
  <c r="AH6" i="13"/>
  <c r="AJ6" i="13"/>
  <c r="U6" i="13"/>
  <c r="R6" i="13"/>
  <c r="N6" i="13"/>
  <c r="I6" i="13"/>
  <c r="AH5" i="13"/>
  <c r="AD5" i="13"/>
  <c r="U5" i="13"/>
  <c r="AJ5" i="13"/>
  <c r="N5" i="13"/>
  <c r="I5" i="13"/>
  <c r="AH4" i="13"/>
  <c r="U4" i="13"/>
  <c r="AJ4" i="13"/>
  <c r="N4" i="13"/>
  <c r="I4" i="13"/>
  <c r="AK3" i="13"/>
  <c r="AJ3" i="13"/>
  <c r="AH3" i="13"/>
  <c r="Z24" i="13"/>
  <c r="S24" i="13"/>
  <c r="I11" i="2" s="1"/>
  <c r="Q24" i="13"/>
  <c r="P24" i="13"/>
  <c r="N3" i="13"/>
  <c r="I3" i="13"/>
  <c r="AN28" i="16" l="1"/>
  <c r="F42" i="75"/>
  <c r="E43" i="75"/>
  <c r="E20" i="65"/>
  <c r="F19" i="65"/>
  <c r="F16" i="39"/>
  <c r="E17" i="39"/>
  <c r="E42" i="39"/>
  <c r="F41" i="39"/>
  <c r="F42" i="65"/>
  <c r="E43" i="65"/>
  <c r="F40" i="31"/>
  <c r="E41" i="31"/>
  <c r="F16" i="31"/>
  <c r="E17" i="31"/>
  <c r="V6" i="24"/>
  <c r="F47" i="45"/>
  <c r="E48" i="45"/>
  <c r="E24" i="45"/>
  <c r="F23" i="45"/>
  <c r="E45" i="42"/>
  <c r="F44" i="42"/>
  <c r="F21" i="42"/>
  <c r="E22" i="42"/>
  <c r="G48" i="42"/>
  <c r="G40" i="42"/>
  <c r="G49" i="42"/>
  <c r="G41" i="42"/>
  <c r="G25" i="42"/>
  <c r="G16" i="42"/>
  <c r="G24" i="42"/>
  <c r="G21" i="42"/>
  <c r="G19" i="39"/>
  <c r="G14" i="39"/>
  <c r="G42" i="31"/>
  <c r="M20" i="31"/>
  <c r="G20" i="31" s="1"/>
  <c r="L21" i="31"/>
  <c r="M45" i="39"/>
  <c r="L46" i="39"/>
  <c r="M20" i="39"/>
  <c r="L21" i="39"/>
  <c r="L22" i="39" s="1"/>
  <c r="G18" i="27"/>
  <c r="G12" i="27"/>
  <c r="G39" i="27"/>
  <c r="X125" i="2"/>
  <c r="M25" i="32"/>
  <c r="K15" i="1" s="1"/>
  <c r="Z5" i="28"/>
  <c r="M26" i="32"/>
  <c r="K16" i="1" s="1"/>
  <c r="AA5" i="28"/>
  <c r="AB5" i="28"/>
  <c r="G6" i="28"/>
  <c r="J107" i="2"/>
  <c r="G25" i="32"/>
  <c r="K7" i="1" s="1"/>
  <c r="Z4" i="28"/>
  <c r="M27" i="32"/>
  <c r="Y5" i="28"/>
  <c r="AN40" i="15"/>
  <c r="AN20" i="15"/>
  <c r="AN19" i="15"/>
  <c r="X49" i="16"/>
  <c r="AN11" i="15"/>
  <c r="AN21" i="16"/>
  <c r="AN4" i="15"/>
  <c r="AN44" i="15"/>
  <c r="AN15" i="15"/>
  <c r="AN38" i="16"/>
  <c r="AP14" i="15"/>
  <c r="AN22" i="15"/>
  <c r="AM27" i="16"/>
  <c r="AE33" i="16"/>
  <c r="AL33" i="16" s="1" a="1"/>
  <c r="AL33" i="16" s="1"/>
  <c r="AP33" i="16" s="1"/>
  <c r="AM15" i="16"/>
  <c r="AM14" i="15"/>
  <c r="AM7" i="15"/>
  <c r="AN45" i="15"/>
  <c r="AM44" i="15"/>
  <c r="AM15" i="15"/>
  <c r="U47" i="16"/>
  <c r="Y47" i="16" s="1"/>
  <c r="Y41" i="16"/>
  <c r="K49" i="16"/>
  <c r="M46" i="31"/>
  <c r="G40" i="31" s="1"/>
  <c r="L47" i="31"/>
  <c r="G11" i="25"/>
  <c r="G34" i="25"/>
  <c r="L16" i="25"/>
  <c r="M15" i="25"/>
  <c r="K21" i="26"/>
  <c r="N115" i="2"/>
  <c r="K20" i="26"/>
  <c r="J115" i="2"/>
  <c r="AN41" i="15"/>
  <c r="AN7" i="14"/>
  <c r="AM42" i="14"/>
  <c r="AE17" i="14"/>
  <c r="AL17" i="14" s="1" a="1"/>
  <c r="AL17" i="14" s="1"/>
  <c r="AM17" i="14" s="1"/>
  <c r="Y24" i="16"/>
  <c r="AM17" i="16"/>
  <c r="AP7" i="14"/>
  <c r="AM34" i="16"/>
  <c r="AM36" i="16"/>
  <c r="AD47" i="16"/>
  <c r="AK23" i="16"/>
  <c r="M19" i="27"/>
  <c r="L20" i="27"/>
  <c r="M41" i="27"/>
  <c r="L42" i="27"/>
  <c r="F16" i="27"/>
  <c r="E17" i="27"/>
  <c r="F41" i="27"/>
  <c r="E42" i="27"/>
  <c r="L29" i="19"/>
  <c r="M29" i="19" s="1"/>
  <c r="G29" i="19" s="1"/>
  <c r="E29" i="19"/>
  <c r="F29" i="19" s="1"/>
  <c r="AI46" i="15"/>
  <c r="R49" i="15"/>
  <c r="AA47" i="14"/>
  <c r="AA50" i="14" s="1"/>
  <c r="AK49" i="14" s="1"/>
  <c r="AI14" i="6"/>
  <c r="W16" i="6"/>
  <c r="O16" i="6"/>
  <c r="J48" i="18"/>
  <c r="AN9" i="17"/>
  <c r="P4" i="24"/>
  <c r="E7" i="2"/>
  <c r="F4" i="24" s="1"/>
  <c r="R125" i="2"/>
  <c r="G18" i="24" s="1"/>
  <c r="O4" i="1" s="1"/>
  <c r="M12" i="23"/>
  <c r="L13" i="23"/>
  <c r="K11" i="2"/>
  <c r="K107" i="2" s="1"/>
  <c r="J111" i="2"/>
  <c r="G4" i="26"/>
  <c r="AN30" i="16"/>
  <c r="AM11" i="16"/>
  <c r="AG11" i="13"/>
  <c r="AM19" i="16"/>
  <c r="AM37" i="16"/>
  <c r="AE8" i="16"/>
  <c r="AL8" i="16" s="1" a="1"/>
  <c r="AL8" i="16" s="1"/>
  <c r="AP8" i="16" s="1"/>
  <c r="AJ23" i="16"/>
  <c r="P49" i="16"/>
  <c r="AA47" i="16" s="1"/>
  <c r="AM6" i="16"/>
  <c r="I47" i="13"/>
  <c r="W8" i="13"/>
  <c r="L58" i="13"/>
  <c r="AN4" i="16"/>
  <c r="AM4" i="16"/>
  <c r="M41" i="25"/>
  <c r="L42" i="25"/>
  <c r="F15" i="25"/>
  <c r="E16" i="25"/>
  <c r="F39" i="25"/>
  <c r="E40" i="25"/>
  <c r="AH23" i="13"/>
  <c r="L56" i="13"/>
  <c r="AP21" i="14"/>
  <c r="AN21" i="14"/>
  <c r="AP43" i="14"/>
  <c r="AN43" i="14"/>
  <c r="AP36" i="14"/>
  <c r="AN36" i="14"/>
  <c r="AP33" i="14"/>
  <c r="AN33" i="14"/>
  <c r="AP39" i="14"/>
  <c r="AN39" i="14"/>
  <c r="AP19" i="14"/>
  <c r="AN19" i="14"/>
  <c r="AP44" i="14"/>
  <c r="AN44" i="14"/>
  <c r="AP42" i="14"/>
  <c r="AN42" i="14"/>
  <c r="AP5" i="14"/>
  <c r="AP41" i="14"/>
  <c r="AN41" i="14"/>
  <c r="AP15" i="14"/>
  <c r="AN15" i="14"/>
  <c r="AP27" i="14"/>
  <c r="AN27" i="14"/>
  <c r="AP34" i="14"/>
  <c r="AN34" i="14"/>
  <c r="AP30" i="14"/>
  <c r="AN30" i="14"/>
  <c r="AP29" i="14"/>
  <c r="AN29" i="14"/>
  <c r="AP38" i="14"/>
  <c r="AN38" i="14"/>
  <c r="AP22" i="14"/>
  <c r="AN22" i="14"/>
  <c r="AP28" i="14"/>
  <c r="AN28" i="14"/>
  <c r="AP30" i="15"/>
  <c r="AN30" i="15"/>
  <c r="AP32" i="15"/>
  <c r="AN32" i="15"/>
  <c r="AP34" i="15"/>
  <c r="AN34" i="15"/>
  <c r="AP21" i="15"/>
  <c r="AN21" i="15"/>
  <c r="AP31" i="15"/>
  <c r="AN31" i="15"/>
  <c r="AP36" i="15"/>
  <c r="AN36" i="15"/>
  <c r="AP43" i="15"/>
  <c r="AN43" i="15"/>
  <c r="AP42" i="15"/>
  <c r="AN42" i="15"/>
  <c r="AP18" i="16"/>
  <c r="AN18" i="16"/>
  <c r="J58" i="16"/>
  <c r="AP17" i="16"/>
  <c r="AN17" i="16"/>
  <c r="AP45" i="16"/>
  <c r="AN45" i="16"/>
  <c r="AP19" i="16"/>
  <c r="AN19" i="16"/>
  <c r="AN6" i="16"/>
  <c r="AP15" i="16"/>
  <c r="AN15" i="16"/>
  <c r="AP31" i="16"/>
  <c r="AN31" i="16"/>
  <c r="AP22" i="16"/>
  <c r="AN22" i="16"/>
  <c r="AP32" i="16"/>
  <c r="AN32" i="16"/>
  <c r="J56" i="16"/>
  <c r="AP42" i="16"/>
  <c r="AN42" i="16"/>
  <c r="AP34" i="16"/>
  <c r="AN34" i="16"/>
  <c r="AP40" i="16"/>
  <c r="AN40" i="16"/>
  <c r="AP36" i="16"/>
  <c r="AN36" i="16"/>
  <c r="AP41" i="16"/>
  <c r="AN41" i="16"/>
  <c r="AP29" i="16"/>
  <c r="AN29" i="16"/>
  <c r="AP35" i="16"/>
  <c r="AN35" i="16"/>
  <c r="AP27" i="16"/>
  <c r="AN27" i="16"/>
  <c r="AP37" i="16"/>
  <c r="AN37" i="16"/>
  <c r="AP43" i="16"/>
  <c r="AN43" i="16"/>
  <c r="AP39" i="16"/>
  <c r="AN39" i="16"/>
  <c r="AP20" i="16"/>
  <c r="AN20" i="16"/>
  <c r="E10" i="23"/>
  <c r="F9" i="23"/>
  <c r="F33" i="23"/>
  <c r="E34" i="23"/>
  <c r="AL29" i="17" a="1"/>
  <c r="AL29" i="17" s="1"/>
  <c r="C45" i="18"/>
  <c r="AL31" i="17" a="1"/>
  <c r="AL31" i="17" s="1"/>
  <c r="C35" i="18"/>
  <c r="AL12" i="17" a="1"/>
  <c r="AL12" i="17" s="1"/>
  <c r="C9" i="18"/>
  <c r="AL35" i="17" a="1"/>
  <c r="AL35" i="17" s="1"/>
  <c r="C47" i="18"/>
  <c r="AL17" i="17" a="1"/>
  <c r="AL17" i="17" s="1"/>
  <c r="C23" i="18"/>
  <c r="AL34" i="17" a="1"/>
  <c r="AL34" i="17" s="1"/>
  <c r="C38" i="18"/>
  <c r="AP41" i="17"/>
  <c r="AN41" i="17"/>
  <c r="AP32" i="17"/>
  <c r="AN32" i="17"/>
  <c r="AP39" i="17"/>
  <c r="AN39" i="17"/>
  <c r="AL33" i="17" a="1"/>
  <c r="AL33" i="17" s="1"/>
  <c r="C37" i="18"/>
  <c r="AL42" i="17" a="1"/>
  <c r="AL42" i="17" s="1"/>
  <c r="C28" i="18"/>
  <c r="AL16" i="17" a="1"/>
  <c r="AL16" i="17" s="1"/>
  <c r="C13" i="18"/>
  <c r="AL4" i="17" a="1"/>
  <c r="AL4" i="17" s="1"/>
  <c r="C5" i="18"/>
  <c r="AL11" i="17" a="1"/>
  <c r="AL11" i="17" s="1"/>
  <c r="C11" i="18"/>
  <c r="AL18" i="17" a="1"/>
  <c r="AL18" i="17" s="1"/>
  <c r="C20" i="18"/>
  <c r="AP19" i="17"/>
  <c r="AN19" i="17"/>
  <c r="AL38" i="17" a="1"/>
  <c r="AL38" i="17" s="1"/>
  <c r="C40" i="18"/>
  <c r="AL44" i="17" a="1"/>
  <c r="AL44" i="17" s="1"/>
  <c r="C30" i="18"/>
  <c r="AL43" i="17" a="1"/>
  <c r="AL43" i="17" s="1"/>
  <c r="C29" i="18"/>
  <c r="AP20" i="17"/>
  <c r="AN20" i="17"/>
  <c r="AP28" i="17"/>
  <c r="AN28" i="17"/>
  <c r="AP36" i="17"/>
  <c r="AN36" i="17"/>
  <c r="AL30" i="17" a="1"/>
  <c r="AL30" i="17" s="1"/>
  <c r="C34" i="18"/>
  <c r="AL26" i="17" a="1"/>
  <c r="AL26" i="17" s="1"/>
  <c r="AN26" i="17" s="1"/>
  <c r="C32" i="18"/>
  <c r="AL40" i="17" a="1"/>
  <c r="AL40" i="17" s="1"/>
  <c r="C42" i="18"/>
  <c r="J56" i="17"/>
  <c r="AL37" i="17" a="1"/>
  <c r="AL37" i="17" s="1"/>
  <c r="C39" i="18"/>
  <c r="AL15" i="17" a="1"/>
  <c r="AL15" i="17" s="1"/>
  <c r="C21" i="18"/>
  <c r="AP21" i="17"/>
  <c r="AN21" i="17"/>
  <c r="AL27" i="17" a="1"/>
  <c r="AL27" i="17" s="1"/>
  <c r="C46" i="18"/>
  <c r="AP45" i="17"/>
  <c r="AN45" i="17"/>
  <c r="AP22" i="17"/>
  <c r="AN22" i="17"/>
  <c r="I24" i="6"/>
  <c r="L58" i="6"/>
  <c r="G31" i="23"/>
  <c r="M38" i="23"/>
  <c r="L39" i="23"/>
  <c r="J119" i="2"/>
  <c r="J122" i="2"/>
  <c r="H5" i="4"/>
  <c r="K20" i="4" s="1"/>
  <c r="N122" i="2"/>
  <c r="L5" i="4"/>
  <c r="K21" i="4" s="1"/>
  <c r="K10" i="2"/>
  <c r="K115" i="2" s="1"/>
  <c r="G5" i="4"/>
  <c r="E5" i="19"/>
  <c r="E30" i="19"/>
  <c r="L5" i="19"/>
  <c r="L30" i="19"/>
  <c r="K24" i="18"/>
  <c r="L4" i="18"/>
  <c r="AN14" i="16"/>
  <c r="AM14" i="16"/>
  <c r="AM20" i="16"/>
  <c r="AM12" i="17"/>
  <c r="AD47" i="14"/>
  <c r="S49" i="16"/>
  <c r="AM5" i="16"/>
  <c r="AA47" i="15"/>
  <c r="AA50" i="15" s="1"/>
  <c r="AK49" i="15" s="1"/>
  <c r="AM10" i="16"/>
  <c r="AI46" i="17"/>
  <c r="W7" i="16"/>
  <c r="AE7" i="16" s="1"/>
  <c r="AL7" i="16" s="1" a="1"/>
  <c r="AL7" i="16" s="1"/>
  <c r="AI7" i="16"/>
  <c r="AI23" i="16" s="1"/>
  <c r="AG7" i="16"/>
  <c r="AG23" i="16" s="1"/>
  <c r="AN12" i="16"/>
  <c r="AA47" i="17"/>
  <c r="R8" i="2" s="1"/>
  <c r="R24" i="16"/>
  <c r="R49" i="16" s="1"/>
  <c r="AP12" i="16"/>
  <c r="AM42" i="17"/>
  <c r="AI23" i="17"/>
  <c r="AM44" i="17"/>
  <c r="AA50" i="17"/>
  <c r="AK49" i="17" s="1"/>
  <c r="AN5" i="16"/>
  <c r="AM43" i="16"/>
  <c r="AM35" i="16"/>
  <c r="AM42" i="16"/>
  <c r="AI46" i="16"/>
  <c r="W47" i="16"/>
  <c r="AP12" i="17"/>
  <c r="AN12" i="17"/>
  <c r="AD47" i="17"/>
  <c r="AG23" i="17"/>
  <c r="AD24" i="17"/>
  <c r="AE3" i="17"/>
  <c r="C4" i="18" s="1"/>
  <c r="AE47" i="17"/>
  <c r="AG46" i="17"/>
  <c r="W24" i="17"/>
  <c r="L7" i="2" s="1"/>
  <c r="W47" i="17"/>
  <c r="L8" i="2" s="1"/>
  <c r="U49" i="17"/>
  <c r="Y24" i="17"/>
  <c r="AP9" i="16"/>
  <c r="AN9" i="16"/>
  <c r="AE3" i="16"/>
  <c r="AD24" i="16"/>
  <c r="AD49" i="16" s="1"/>
  <c r="AE26" i="16"/>
  <c r="U49" i="16"/>
  <c r="AP11" i="16"/>
  <c r="AN11" i="16"/>
  <c r="AG46" i="16"/>
  <c r="AP13" i="16"/>
  <c r="AN13" i="16"/>
  <c r="AP10" i="16"/>
  <c r="AN10" i="16"/>
  <c r="AP10" i="15"/>
  <c r="AN10" i="15"/>
  <c r="AN7" i="15"/>
  <c r="AP7" i="15"/>
  <c r="AP9" i="15"/>
  <c r="AN9" i="15"/>
  <c r="AP5" i="15"/>
  <c r="AN5" i="15"/>
  <c r="U49" i="15"/>
  <c r="Y24" i="15"/>
  <c r="AG23" i="15"/>
  <c r="W47" i="15"/>
  <c r="AE26" i="15"/>
  <c r="W24" i="15"/>
  <c r="AI23" i="15"/>
  <c r="AD24" i="15"/>
  <c r="AD47" i="15"/>
  <c r="AG46" i="15"/>
  <c r="AM26" i="15"/>
  <c r="AE3" i="15"/>
  <c r="AP9" i="14"/>
  <c r="AN9" i="14"/>
  <c r="W47" i="14"/>
  <c r="AE26" i="14"/>
  <c r="AP13" i="14"/>
  <c r="AN13" i="14"/>
  <c r="AI46" i="14"/>
  <c r="W24" i="14"/>
  <c r="AE3" i="14"/>
  <c r="AD24" i="14"/>
  <c r="AI23" i="14"/>
  <c r="AP6" i="14"/>
  <c r="AN6" i="14"/>
  <c r="AG23" i="14"/>
  <c r="I57" i="14"/>
  <c r="J57" i="14" s="1"/>
  <c r="J56" i="14"/>
  <c r="J58" i="14"/>
  <c r="U49" i="14"/>
  <c r="AG46" i="14"/>
  <c r="AM26" i="14"/>
  <c r="AM46" i="14" s="1"/>
  <c r="R49" i="14"/>
  <c r="AE40" i="14"/>
  <c r="AL40" i="14" s="1" a="1"/>
  <c r="AL40" i="14" s="1"/>
  <c r="O22" i="13"/>
  <c r="W42" i="13"/>
  <c r="Y10" i="13"/>
  <c r="W22" i="13"/>
  <c r="AD6" i="13"/>
  <c r="Y6" i="13"/>
  <c r="Y13" i="13"/>
  <c r="AD13" i="13"/>
  <c r="AI7" i="13"/>
  <c r="O7" i="13"/>
  <c r="W7" i="13"/>
  <c r="AG7" i="13"/>
  <c r="AI6" i="13"/>
  <c r="W6" i="13"/>
  <c r="AE6" i="13" s="1"/>
  <c r="AL6" i="13" s="1" a="1"/>
  <c r="AL6" i="13" s="1"/>
  <c r="AG6" i="13"/>
  <c r="O6" i="13"/>
  <c r="AK9" i="13"/>
  <c r="R9" i="13"/>
  <c r="AI14" i="13"/>
  <c r="W14" i="13"/>
  <c r="O14" i="13"/>
  <c r="AG14" i="13"/>
  <c r="AD15" i="13"/>
  <c r="Y15" i="13"/>
  <c r="U16" i="13"/>
  <c r="AI36" i="13"/>
  <c r="O36" i="13"/>
  <c r="W36" i="13"/>
  <c r="AD40" i="13"/>
  <c r="Y40" i="13"/>
  <c r="R3" i="13"/>
  <c r="AD4" i="13"/>
  <c r="Y4" i="13"/>
  <c r="AK4" i="13"/>
  <c r="R5" i="13"/>
  <c r="AJ11" i="13"/>
  <c r="Y19" i="13"/>
  <c r="AD19" i="13"/>
  <c r="AD30" i="13"/>
  <c r="Y30" i="13"/>
  <c r="AD32" i="13"/>
  <c r="Y32" i="13"/>
  <c r="AD38" i="13"/>
  <c r="Y38" i="13"/>
  <c r="T24" i="13"/>
  <c r="T49" i="13" s="1"/>
  <c r="AK12" i="13"/>
  <c r="R12" i="13"/>
  <c r="AJ12" i="13"/>
  <c r="AD14" i="13"/>
  <c r="W15" i="13"/>
  <c r="AI27" i="13"/>
  <c r="W27" i="13"/>
  <c r="O27" i="13"/>
  <c r="AG27" i="13"/>
  <c r="AM27" i="13" s="1"/>
  <c r="AD7" i="13"/>
  <c r="O8" i="13"/>
  <c r="AJ9" i="13"/>
  <c r="AI11" i="13"/>
  <c r="W11" i="13"/>
  <c r="AE11" i="13" s="1"/>
  <c r="AL11" i="13" s="1" a="1"/>
  <c r="AL11" i="13" s="1"/>
  <c r="O11" i="13"/>
  <c r="W29" i="13"/>
  <c r="O29" i="13"/>
  <c r="AG29" i="13"/>
  <c r="AM29" i="13" s="1"/>
  <c r="AI29" i="13"/>
  <c r="Y11" i="13"/>
  <c r="AD11" i="13"/>
  <c r="AD12" i="13"/>
  <c r="Y12" i="13"/>
  <c r="Y14" i="13"/>
  <c r="AD18" i="13"/>
  <c r="Y18" i="13"/>
  <c r="AG20" i="13"/>
  <c r="AD27" i="13"/>
  <c r="Y27" i="13"/>
  <c r="AD29" i="13"/>
  <c r="Y29" i="13"/>
  <c r="X24" i="13"/>
  <c r="R4" i="13"/>
  <c r="AK5" i="13"/>
  <c r="Y9" i="13"/>
  <c r="AD20" i="13"/>
  <c r="Y20" i="13"/>
  <c r="Y31" i="13"/>
  <c r="AD31" i="13"/>
  <c r="I24" i="13"/>
  <c r="I49" i="13" s="1"/>
  <c r="U3" i="13"/>
  <c r="AA25" i="13"/>
  <c r="Y5" i="13"/>
  <c r="U8" i="13"/>
  <c r="AG8" i="13"/>
  <c r="AM8" i="13" s="1"/>
  <c r="AI15" i="13"/>
  <c r="AG15" i="13"/>
  <c r="AM15" i="13" s="1"/>
  <c r="AD22" i="13"/>
  <c r="Y22" i="13"/>
  <c r="AI28" i="13"/>
  <c r="W28" i="13"/>
  <c r="O28" i="13"/>
  <c r="AG28" i="13"/>
  <c r="AI16" i="13"/>
  <c r="W16" i="13"/>
  <c r="O16" i="13"/>
  <c r="AG16" i="13"/>
  <c r="AM16" i="13" s="1"/>
  <c r="AD17" i="13"/>
  <c r="Y28" i="13"/>
  <c r="AD28" i="13"/>
  <c r="R19" i="13"/>
  <c r="AK19" i="13"/>
  <c r="O20" i="13"/>
  <c r="W20" i="13"/>
  <c r="AE20" i="13" s="1"/>
  <c r="AL20" i="13" s="1" a="1"/>
  <c r="AL20" i="13" s="1"/>
  <c r="AP20" i="13" s="1"/>
  <c r="AD21" i="13"/>
  <c r="Q47" i="13"/>
  <c r="Q49" i="13" s="1"/>
  <c r="R31" i="13"/>
  <c r="AD33" i="13"/>
  <c r="Y34" i="13"/>
  <c r="AK34" i="13"/>
  <c r="Y35" i="13"/>
  <c r="AI41" i="13"/>
  <c r="W41" i="13"/>
  <c r="O41" i="13"/>
  <c r="AG41" i="13"/>
  <c r="AM41" i="13" s="1"/>
  <c r="AD42" i="13"/>
  <c r="AE42" i="13" s="1"/>
  <c r="AL42" i="13" s="1" a="1"/>
  <c r="AL42" i="13" s="1"/>
  <c r="AP42" i="13" s="1"/>
  <c r="AK45" i="13"/>
  <c r="R45" i="13"/>
  <c r="AJ45" i="13"/>
  <c r="Y4" i="6"/>
  <c r="AD37" i="13"/>
  <c r="Y41" i="13"/>
  <c r="S47" i="13"/>
  <c r="S49" i="13" s="1"/>
  <c r="R6" i="6"/>
  <c r="AD7" i="6"/>
  <c r="Y7" i="6"/>
  <c r="AI20" i="13"/>
  <c r="Z47" i="13"/>
  <c r="R17" i="13"/>
  <c r="AA48" i="13"/>
  <c r="AJ32" i="13"/>
  <c r="AA13" i="2"/>
  <c r="AD13" i="2"/>
  <c r="AC13" i="2"/>
  <c r="R32" i="13"/>
  <c r="AD34" i="13"/>
  <c r="AD35" i="13"/>
  <c r="U36" i="13"/>
  <c r="AG36" i="13" s="1"/>
  <c r="R39" i="13"/>
  <c r="AK44" i="13"/>
  <c r="AD6" i="6"/>
  <c r="Y6" i="6"/>
  <c r="AI8" i="6"/>
  <c r="W8" i="6"/>
  <c r="AE8" i="6" s="1"/>
  <c r="O8" i="6"/>
  <c r="J11" i="3"/>
  <c r="AG8" i="6"/>
  <c r="AM8" i="6" s="1"/>
  <c r="AJ18" i="13"/>
  <c r="U26" i="13"/>
  <c r="AD39" i="13"/>
  <c r="Y42" i="13"/>
  <c r="AI5" i="6"/>
  <c r="W5" i="6"/>
  <c r="AE5" i="6" s="1"/>
  <c r="C7" i="3" s="1"/>
  <c r="O5" i="6"/>
  <c r="J9" i="3"/>
  <c r="AG5" i="6"/>
  <c r="AM5" i="6" s="1"/>
  <c r="Y8" i="6"/>
  <c r="AD8" i="6"/>
  <c r="AI38" i="13"/>
  <c r="W38" i="13"/>
  <c r="AE38" i="13" s="1"/>
  <c r="AL38" i="13" s="1" a="1"/>
  <c r="AL38" i="13" s="1"/>
  <c r="AP38" i="13" s="1"/>
  <c r="O38" i="13"/>
  <c r="R10" i="13"/>
  <c r="AJ13" i="13"/>
  <c r="R18" i="13"/>
  <c r="AJ21" i="13"/>
  <c r="AG22" i="13"/>
  <c r="AM22" i="13" s="1"/>
  <c r="R30" i="13"/>
  <c r="AJ33" i="13"/>
  <c r="AG35" i="13"/>
  <c r="AD44" i="13"/>
  <c r="R13" i="13"/>
  <c r="R21" i="13"/>
  <c r="AH46" i="13"/>
  <c r="R33" i="13"/>
  <c r="O34" i="13"/>
  <c r="W34" i="13"/>
  <c r="AE34" i="13" s="1"/>
  <c r="AL34" i="13" s="1" a="1"/>
  <c r="AL34" i="13" s="1"/>
  <c r="AP34" i="13" s="1"/>
  <c r="AI34" i="13"/>
  <c r="O35" i="13"/>
  <c r="W35" i="13"/>
  <c r="Y37" i="13"/>
  <c r="AJ39" i="13"/>
  <c r="AD41" i="13"/>
  <c r="Y43" i="13"/>
  <c r="M9" i="2"/>
  <c r="M114" i="2" s="1"/>
  <c r="AD5" i="6"/>
  <c r="Y5" i="6"/>
  <c r="P47" i="13"/>
  <c r="X47" i="13"/>
  <c r="AI26" i="13"/>
  <c r="AK37" i="13"/>
  <c r="R37" i="13"/>
  <c r="AG38" i="13"/>
  <c r="AM38" i="13" s="1"/>
  <c r="AI42" i="13"/>
  <c r="AG42" i="13"/>
  <c r="Y45" i="13"/>
  <c r="AA25" i="6"/>
  <c r="AD10" i="6"/>
  <c r="AK15" i="6"/>
  <c r="R15" i="6"/>
  <c r="Y16" i="6"/>
  <c r="AE16" i="6"/>
  <c r="C12" i="3" s="1"/>
  <c r="AD16" i="6"/>
  <c r="AG20" i="6"/>
  <c r="AI20" i="6"/>
  <c r="O20" i="6"/>
  <c r="W32" i="6"/>
  <c r="O32" i="6"/>
  <c r="AG32" i="6"/>
  <c r="AM32" i="6" s="1"/>
  <c r="J39" i="3"/>
  <c r="AI32" i="6"/>
  <c r="AJ40" i="13"/>
  <c r="R3" i="6"/>
  <c r="AJ9" i="6"/>
  <c r="R9" i="6"/>
  <c r="AK9" i="6"/>
  <c r="AJ15" i="6"/>
  <c r="Y18" i="6"/>
  <c r="AD18" i="6"/>
  <c r="R40" i="13"/>
  <c r="AJ43" i="13"/>
  <c r="S24" i="6"/>
  <c r="U3" i="6"/>
  <c r="AJ6" i="6"/>
  <c r="AJ11" i="6"/>
  <c r="AG12" i="6"/>
  <c r="AM12" i="6" s="1"/>
  <c r="W12" i="6"/>
  <c r="AI12" i="6"/>
  <c r="O12" i="6"/>
  <c r="R43" i="13"/>
  <c r="AD45" i="13"/>
  <c r="T24" i="6"/>
  <c r="AH23" i="6"/>
  <c r="AK6" i="6"/>
  <c r="AK7" i="6"/>
  <c r="R7" i="6"/>
  <c r="AD9" i="6"/>
  <c r="Y9" i="6"/>
  <c r="Y10" i="6"/>
  <c r="AD15" i="6"/>
  <c r="W20" i="6"/>
  <c r="AE20" i="6" s="1"/>
  <c r="AI29" i="6"/>
  <c r="O29" i="6"/>
  <c r="W29" i="6"/>
  <c r="AG29" i="6"/>
  <c r="AM29" i="6" s="1"/>
  <c r="AJ4" i="6"/>
  <c r="AJ23" i="6" s="1"/>
  <c r="AK4" i="6"/>
  <c r="W11" i="6"/>
  <c r="O11" i="6"/>
  <c r="AG11" i="6"/>
  <c r="AM11" i="6" s="1"/>
  <c r="AI11" i="6"/>
  <c r="AD19" i="6"/>
  <c r="Y19" i="6"/>
  <c r="Y28" i="6"/>
  <c r="AD28" i="6"/>
  <c r="R44" i="13"/>
  <c r="X24" i="6"/>
  <c r="R4" i="6"/>
  <c r="AK10" i="6"/>
  <c r="R10" i="6"/>
  <c r="AJ10" i="6"/>
  <c r="AD14" i="6"/>
  <c r="AE14" i="6"/>
  <c r="C20" i="3" s="1"/>
  <c r="Y14" i="6"/>
  <c r="AD17" i="6"/>
  <c r="Y17" i="6"/>
  <c r="AG21" i="6"/>
  <c r="AM21" i="6" s="1"/>
  <c r="AI21" i="6"/>
  <c r="W21" i="6"/>
  <c r="AE21" i="6" s="1"/>
  <c r="C15" i="3" s="1"/>
  <c r="O21" i="6"/>
  <c r="AD26" i="6"/>
  <c r="Y26" i="6"/>
  <c r="AK18" i="6"/>
  <c r="R18" i="6"/>
  <c r="AJ18" i="6"/>
  <c r="AK22" i="6"/>
  <c r="AJ22" i="6"/>
  <c r="R22" i="6"/>
  <c r="AK14" i="6"/>
  <c r="AK17" i="6"/>
  <c r="Y20" i="6"/>
  <c r="AI33" i="6"/>
  <c r="AG33" i="6"/>
  <c r="AK3" i="6"/>
  <c r="O14" i="6"/>
  <c r="AJ19" i="6"/>
  <c r="Y27" i="6"/>
  <c r="AD27" i="6"/>
  <c r="AI28" i="6"/>
  <c r="W28" i="6"/>
  <c r="AE28" i="6" s="1"/>
  <c r="O28" i="6"/>
  <c r="AD31" i="6"/>
  <c r="AD33" i="6"/>
  <c r="Y33" i="6"/>
  <c r="Y13" i="6"/>
  <c r="AD13" i="6"/>
  <c r="AG14" i="6"/>
  <c r="AG16" i="6"/>
  <c r="AM16" i="6" s="1"/>
  <c r="P47" i="6"/>
  <c r="P49" i="6" s="1"/>
  <c r="AA24" i="6" s="1"/>
  <c r="R26" i="6"/>
  <c r="AD22" i="6"/>
  <c r="W33" i="6"/>
  <c r="AE33" i="6" s="1"/>
  <c r="C31" i="3" s="1"/>
  <c r="AJ34" i="6"/>
  <c r="AK34" i="6"/>
  <c r="R34" i="6"/>
  <c r="AD12" i="6"/>
  <c r="AE12" i="6" s="1"/>
  <c r="AD20" i="6"/>
  <c r="AJ13" i="6"/>
  <c r="AL16" i="6" a="1"/>
  <c r="AL16" i="6" s="1"/>
  <c r="R17" i="6"/>
  <c r="R19" i="6"/>
  <c r="AH46" i="6"/>
  <c r="AK27" i="6"/>
  <c r="AK46" i="6" s="1"/>
  <c r="R27" i="6"/>
  <c r="AJ27" i="6"/>
  <c r="AK31" i="6"/>
  <c r="R31" i="6"/>
  <c r="O33" i="6"/>
  <c r="AI36" i="6"/>
  <c r="AG36" i="6"/>
  <c r="AM36" i="6" s="1"/>
  <c r="O36" i="6"/>
  <c r="W36" i="6"/>
  <c r="Y34" i="6"/>
  <c r="AD34" i="6"/>
  <c r="U11" i="6"/>
  <c r="R13" i="6"/>
  <c r="Y21" i="6"/>
  <c r="AK21" i="6"/>
  <c r="I47" i="6"/>
  <c r="AJ26" i="6"/>
  <c r="U29" i="6"/>
  <c r="U47" i="6" s="1"/>
  <c r="Y47" i="6" s="1"/>
  <c r="AI35" i="6"/>
  <c r="AG35" i="6"/>
  <c r="O35" i="6"/>
  <c r="W35" i="6"/>
  <c r="AE35" i="6" s="1"/>
  <c r="U30" i="6"/>
  <c r="AJ32" i="6"/>
  <c r="AJ33" i="6"/>
  <c r="AI44" i="6"/>
  <c r="W44" i="6"/>
  <c r="AE44" i="6" s="1"/>
  <c r="O44" i="6"/>
  <c r="AG44" i="6"/>
  <c r="Y32" i="6"/>
  <c r="AI37" i="6"/>
  <c r="AD44" i="6"/>
  <c r="Y44" i="6"/>
  <c r="U37" i="6"/>
  <c r="AG37" i="6"/>
  <c r="AM37" i="6" s="1"/>
  <c r="AD41" i="6"/>
  <c r="Y41" i="6"/>
  <c r="AE32" i="6"/>
  <c r="C35" i="3" s="1"/>
  <c r="Q47" i="6"/>
  <c r="Q49" i="6" s="1"/>
  <c r="Z47" i="6"/>
  <c r="M10" i="2" s="1"/>
  <c r="M115" i="2" s="1"/>
  <c r="U36" i="6"/>
  <c r="U38" i="6"/>
  <c r="AI39" i="6"/>
  <c r="W39" i="6"/>
  <c r="AE39" i="6" s="1"/>
  <c r="O39" i="6"/>
  <c r="AG39" i="6"/>
  <c r="AM39" i="6" s="1"/>
  <c r="AK42" i="6"/>
  <c r="R42" i="6"/>
  <c r="AJ42" i="6"/>
  <c r="AD43" i="6"/>
  <c r="Y43" i="6"/>
  <c r="L56" i="6"/>
  <c r="AA48" i="6"/>
  <c r="AK30" i="6"/>
  <c r="R30" i="6"/>
  <c r="AD39" i="6"/>
  <c r="Y40" i="6"/>
  <c r="AD40" i="6"/>
  <c r="AJ44" i="6"/>
  <c r="Y45" i="6"/>
  <c r="AD45" i="6"/>
  <c r="Y42" i="6"/>
  <c r="AD42" i="6"/>
  <c r="R40" i="6"/>
  <c r="AK40" i="6"/>
  <c r="AJ43" i="6"/>
  <c r="R43" i="6"/>
  <c r="R38" i="6"/>
  <c r="AJ41" i="6"/>
  <c r="R41" i="6"/>
  <c r="R45" i="6"/>
  <c r="F43" i="75" l="1"/>
  <c r="E44" i="75"/>
  <c r="F17" i="39"/>
  <c r="E18" i="39"/>
  <c r="F20" i="65"/>
  <c r="E21" i="65"/>
  <c r="F42" i="39"/>
  <c r="E43" i="39"/>
  <c r="E44" i="65"/>
  <c r="F43" i="65"/>
  <c r="E42" i="31"/>
  <c r="F41" i="31"/>
  <c r="F17" i="31"/>
  <c r="E18" i="31"/>
  <c r="F48" i="45"/>
  <c r="E49" i="45"/>
  <c r="F49" i="45" s="1"/>
  <c r="F24" i="45"/>
  <c r="E25" i="45"/>
  <c r="F25" i="45" s="1"/>
  <c r="F45" i="42"/>
  <c r="E46" i="42"/>
  <c r="E23" i="42"/>
  <c r="F22" i="42"/>
  <c r="G15" i="39"/>
  <c r="G43" i="39"/>
  <c r="M22" i="39"/>
  <c r="G22" i="39" s="1"/>
  <c r="L23" i="39"/>
  <c r="M23" i="39" s="1"/>
  <c r="G35" i="31"/>
  <c r="G19" i="31"/>
  <c r="G45" i="31"/>
  <c r="M21" i="31"/>
  <c r="G13" i="31" s="1"/>
  <c r="L22" i="31"/>
  <c r="M21" i="39"/>
  <c r="G21" i="39" s="1"/>
  <c r="L24" i="39"/>
  <c r="M46" i="39"/>
  <c r="L47" i="39"/>
  <c r="G19" i="27"/>
  <c r="G13" i="27"/>
  <c r="G40" i="27"/>
  <c r="G13" i="28"/>
  <c r="G26" i="32"/>
  <c r="K8" i="1" s="1"/>
  <c r="AA4" i="28"/>
  <c r="AB4" i="28"/>
  <c r="G27" i="32"/>
  <c r="Y4" i="28"/>
  <c r="AM33" i="16"/>
  <c r="AM46" i="15"/>
  <c r="AN33" i="16"/>
  <c r="AD49" i="15"/>
  <c r="M47" i="31"/>
  <c r="L48" i="31"/>
  <c r="G37" i="25"/>
  <c r="L17" i="25"/>
  <c r="M16" i="25"/>
  <c r="M13" i="26"/>
  <c r="G20" i="26"/>
  <c r="M5" i="1" s="1"/>
  <c r="AD49" i="14"/>
  <c r="AP17" i="14"/>
  <c r="AN8" i="16"/>
  <c r="AA24" i="16"/>
  <c r="AA50" i="16" s="1"/>
  <c r="AK49" i="16" s="1"/>
  <c r="AN17" i="14"/>
  <c r="F42" i="27"/>
  <c r="E43" i="27"/>
  <c r="F17" i="27"/>
  <c r="E18" i="27"/>
  <c r="M42" i="27"/>
  <c r="L43" i="27"/>
  <c r="M20" i="27"/>
  <c r="L21" i="27"/>
  <c r="W49" i="15"/>
  <c r="K35" i="18"/>
  <c r="K40" i="18"/>
  <c r="K33" i="18"/>
  <c r="K32" i="18"/>
  <c r="K41" i="18"/>
  <c r="K29" i="18"/>
  <c r="K46" i="18"/>
  <c r="K39" i="18"/>
  <c r="K38" i="18"/>
  <c r="K30" i="18"/>
  <c r="K34" i="18"/>
  <c r="K43" i="18"/>
  <c r="K44" i="18"/>
  <c r="K31" i="18"/>
  <c r="K37" i="18"/>
  <c r="K36" i="18"/>
  <c r="K47" i="18"/>
  <c r="K28" i="18"/>
  <c r="K42" i="18"/>
  <c r="K45" i="18"/>
  <c r="P5" i="24"/>
  <c r="K18" i="24" s="1"/>
  <c r="E8" i="2"/>
  <c r="F5" i="24" s="1"/>
  <c r="F6" i="24" s="1"/>
  <c r="R126" i="2"/>
  <c r="M18" i="24" s="1"/>
  <c r="O12" i="1" s="1"/>
  <c r="AD8" i="2"/>
  <c r="AB5" i="24" s="1"/>
  <c r="E18" i="24"/>
  <c r="M13" i="23"/>
  <c r="L14" i="23"/>
  <c r="AE7" i="13"/>
  <c r="AL7" i="13" s="1" a="1"/>
  <c r="AL7" i="13" s="1"/>
  <c r="AH7" i="2"/>
  <c r="U111" i="2"/>
  <c r="M111" i="2"/>
  <c r="V111" i="2"/>
  <c r="I4" i="26"/>
  <c r="N111" i="2"/>
  <c r="W111" i="2"/>
  <c r="O111" i="2"/>
  <c r="T111" i="2"/>
  <c r="P111" i="2"/>
  <c r="Q111" i="2"/>
  <c r="S111" i="2"/>
  <c r="AG7" i="2"/>
  <c r="M20" i="4"/>
  <c r="N13" i="1" s="1"/>
  <c r="M122" i="2"/>
  <c r="K17" i="26"/>
  <c r="E17" i="26"/>
  <c r="K6" i="26"/>
  <c r="AM6" i="13"/>
  <c r="AK23" i="13"/>
  <c r="AE27" i="13"/>
  <c r="AL27" i="13" s="1" a="1"/>
  <c r="AL27" i="13" s="1"/>
  <c r="AP27" i="13" s="1"/>
  <c r="AE35" i="13"/>
  <c r="AL35" i="13" s="1" a="1"/>
  <c r="AL35" i="13" s="1"/>
  <c r="AP35" i="13" s="1"/>
  <c r="AJ23" i="13"/>
  <c r="AM11" i="13"/>
  <c r="P49" i="13"/>
  <c r="AA24" i="13" s="1"/>
  <c r="R11" i="2" s="1"/>
  <c r="R107" i="2" s="1"/>
  <c r="AE29" i="13"/>
  <c r="AL29" i="13" s="1" a="1"/>
  <c r="AL29" i="13" s="1"/>
  <c r="AP29" i="13" s="1"/>
  <c r="F40" i="25"/>
  <c r="E41" i="25"/>
  <c r="F16" i="25"/>
  <c r="E17" i="25"/>
  <c r="M42" i="25"/>
  <c r="L43" i="25"/>
  <c r="AN20" i="13"/>
  <c r="AE14" i="13"/>
  <c r="AL14" i="13" s="1" a="1"/>
  <c r="AL14" i="13" s="1"/>
  <c r="AN14" i="13" s="1"/>
  <c r="AN42" i="13"/>
  <c r="AE22" i="13"/>
  <c r="AL22" i="13" s="1" a="1"/>
  <c r="AL22" i="13" s="1"/>
  <c r="AN38" i="13"/>
  <c r="AN34" i="13"/>
  <c r="AP40" i="14"/>
  <c r="AN40" i="14"/>
  <c r="E35" i="23"/>
  <c r="F34" i="23"/>
  <c r="E11" i="23"/>
  <c r="F10" i="23"/>
  <c r="AP34" i="17"/>
  <c r="AN34" i="17"/>
  <c r="J4" i="24"/>
  <c r="L125" i="2"/>
  <c r="Y7" i="2"/>
  <c r="AA7" i="2"/>
  <c r="Y4" i="24" s="1"/>
  <c r="G25" i="24" s="1"/>
  <c r="AL46" i="17"/>
  <c r="AP31" i="17"/>
  <c r="AN31" i="17"/>
  <c r="AM26" i="17"/>
  <c r="AP26" i="17"/>
  <c r="AP37" i="17"/>
  <c r="AN37" i="17"/>
  <c r="AP30" i="17"/>
  <c r="AN30" i="17"/>
  <c r="AP16" i="17"/>
  <c r="AN16" i="17"/>
  <c r="AP17" i="17"/>
  <c r="AN17" i="17"/>
  <c r="AP29" i="17"/>
  <c r="AN29" i="17"/>
  <c r="AP15" i="17"/>
  <c r="AN15" i="17"/>
  <c r="AP43" i="17"/>
  <c r="AN43" i="17"/>
  <c r="AP18" i="17"/>
  <c r="AN18" i="17"/>
  <c r="AP27" i="17"/>
  <c r="AN27" i="17"/>
  <c r="AP35" i="17"/>
  <c r="AN35" i="17"/>
  <c r="AM4" i="17"/>
  <c r="AN4" i="17"/>
  <c r="AP4" i="17"/>
  <c r="C24" i="18"/>
  <c r="D4" i="18" s="1"/>
  <c r="E4" i="18" s="1"/>
  <c r="F4" i="18" s="1"/>
  <c r="AP44" i="17"/>
  <c r="AN44" i="17"/>
  <c r="C48" i="18"/>
  <c r="D29" i="18" s="1"/>
  <c r="L126" i="2"/>
  <c r="J5" i="24"/>
  <c r="K15" i="24" s="1"/>
  <c r="AA8" i="2"/>
  <c r="Y5" i="24" s="1"/>
  <c r="M25" i="24" s="1"/>
  <c r="Y8" i="2"/>
  <c r="AP40" i="17"/>
  <c r="AN40" i="17"/>
  <c r="AP11" i="17"/>
  <c r="AN11" i="17"/>
  <c r="AP42" i="17"/>
  <c r="AN42" i="17"/>
  <c r="AP33" i="17"/>
  <c r="AN33" i="17"/>
  <c r="AM43" i="17"/>
  <c r="AP38" i="17"/>
  <c r="AN38" i="17"/>
  <c r="AP16" i="6"/>
  <c r="AN16" i="6"/>
  <c r="I49" i="6"/>
  <c r="I57" i="6" s="1"/>
  <c r="J57" i="6" s="1"/>
  <c r="G10" i="23"/>
  <c r="G32" i="23"/>
  <c r="M39" i="23"/>
  <c r="L40" i="23"/>
  <c r="X115" i="2"/>
  <c r="AI6" i="2"/>
  <c r="M119" i="2"/>
  <c r="K5" i="4"/>
  <c r="K17" i="4" s="1"/>
  <c r="Q119" i="2"/>
  <c r="S119" i="2"/>
  <c r="T119" i="2"/>
  <c r="P119" i="2"/>
  <c r="K122" i="2"/>
  <c r="U119" i="2"/>
  <c r="V119" i="2"/>
  <c r="O119" i="2"/>
  <c r="W119" i="2"/>
  <c r="I5" i="4"/>
  <c r="N119" i="2"/>
  <c r="M121" i="2"/>
  <c r="K4" i="4"/>
  <c r="F5" i="19"/>
  <c r="E6" i="19"/>
  <c r="M30" i="19"/>
  <c r="G28" i="19" s="1"/>
  <c r="L31" i="19"/>
  <c r="M5" i="19"/>
  <c r="L6" i="19"/>
  <c r="F30" i="19"/>
  <c r="E31" i="19"/>
  <c r="M4" i="18"/>
  <c r="L5" i="18"/>
  <c r="AN7" i="16"/>
  <c r="AP7" i="16"/>
  <c r="AM7" i="16"/>
  <c r="W24" i="16"/>
  <c r="W49" i="16" s="1"/>
  <c r="V32" i="17"/>
  <c r="V27" i="17"/>
  <c r="V7" i="17"/>
  <c r="V16" i="17"/>
  <c r="V37" i="17"/>
  <c r="V19" i="17"/>
  <c r="V39" i="17"/>
  <c r="V11" i="17"/>
  <c r="Y49" i="17"/>
  <c r="V41" i="17"/>
  <c r="V45" i="17"/>
  <c r="V22" i="17"/>
  <c r="V35" i="17"/>
  <c r="V38" i="17"/>
  <c r="V13" i="17"/>
  <c r="V34" i="17"/>
  <c r="V15" i="17"/>
  <c r="V4" i="17"/>
  <c r="V31" i="17"/>
  <c r="V30" i="17"/>
  <c r="V42" i="17"/>
  <c r="V9" i="17"/>
  <c r="V12" i="17"/>
  <c r="V14" i="17"/>
  <c r="V28" i="17"/>
  <c r="V10" i="17"/>
  <c r="V18" i="17"/>
  <c r="V17" i="17"/>
  <c r="V21" i="17"/>
  <c r="V6" i="17"/>
  <c r="V20" i="17"/>
  <c r="V8" i="17"/>
  <c r="V33" i="17"/>
  <c r="V43" i="17"/>
  <c r="V5" i="17"/>
  <c r="V29" i="17"/>
  <c r="V36" i="17"/>
  <c r="V26" i="17"/>
  <c r="V44" i="17"/>
  <c r="V3" i="17"/>
  <c r="V40" i="17"/>
  <c r="W49" i="17"/>
  <c r="AE24" i="17"/>
  <c r="AE49" i="17" s="1"/>
  <c r="AL3" i="17"/>
  <c r="AM3" i="17" s="1"/>
  <c r="AM23" i="17" s="1"/>
  <c r="AE47" i="16"/>
  <c r="AL26" i="16" a="1"/>
  <c r="AL26" i="16" s="1"/>
  <c r="V44" i="16"/>
  <c r="V36" i="16"/>
  <c r="V32" i="16"/>
  <c r="V20" i="16"/>
  <c r="V4" i="16"/>
  <c r="V43" i="16"/>
  <c r="V28" i="16"/>
  <c r="V13" i="16"/>
  <c r="V30" i="16"/>
  <c r="V11" i="16"/>
  <c r="V6" i="16"/>
  <c r="V34" i="16"/>
  <c r="V29" i="16"/>
  <c r="V31" i="16"/>
  <c r="V15" i="16"/>
  <c r="V8" i="16"/>
  <c r="V37" i="16"/>
  <c r="V5" i="16"/>
  <c r="V21" i="16"/>
  <c r="V38" i="16"/>
  <c r="V10" i="16"/>
  <c r="V19" i="16"/>
  <c r="V33" i="16"/>
  <c r="V40" i="16"/>
  <c r="V7" i="16"/>
  <c r="V22" i="16"/>
  <c r="V12" i="16"/>
  <c r="V3" i="16"/>
  <c r="V41" i="16"/>
  <c r="V18" i="16"/>
  <c r="V45" i="16"/>
  <c r="V39" i="16"/>
  <c r="V35" i="16"/>
  <c r="V14" i="16"/>
  <c r="V27" i="16"/>
  <c r="V16" i="16"/>
  <c r="V42" i="16"/>
  <c r="V26" i="16"/>
  <c r="V17" i="16"/>
  <c r="Y49" i="16"/>
  <c r="V9" i="16"/>
  <c r="AE24" i="16"/>
  <c r="AL3" i="16"/>
  <c r="AM3" i="16" s="1"/>
  <c r="AE24" i="15"/>
  <c r="AL3" i="15"/>
  <c r="AM3" i="15" s="1"/>
  <c r="AM23" i="15" s="1"/>
  <c r="AE47" i="15"/>
  <c r="AL26" i="15" a="1"/>
  <c r="AL26" i="15" s="1"/>
  <c r="AN26" i="15" s="1"/>
  <c r="AN46" i="15" s="1"/>
  <c r="V31" i="15"/>
  <c r="V4" i="15"/>
  <c r="V30" i="15"/>
  <c r="V21" i="15"/>
  <c r="V28" i="15"/>
  <c r="V16" i="15"/>
  <c r="V7" i="15"/>
  <c r="V35" i="15"/>
  <c r="V6" i="15"/>
  <c r="V17" i="15"/>
  <c r="V33" i="15"/>
  <c r="V40" i="15"/>
  <c r="V8" i="15"/>
  <c r="V9" i="15"/>
  <c r="V19" i="15"/>
  <c r="V18" i="15"/>
  <c r="V26" i="15"/>
  <c r="V5" i="15"/>
  <c r="V37" i="15"/>
  <c r="V42" i="15"/>
  <c r="V43" i="15"/>
  <c r="V44" i="15"/>
  <c r="V22" i="15"/>
  <c r="V14" i="15"/>
  <c r="V12" i="15"/>
  <c r="V29" i="15"/>
  <c r="V38" i="15"/>
  <c r="V45" i="15"/>
  <c r="V34" i="15"/>
  <c r="V10" i="15"/>
  <c r="V39" i="15"/>
  <c r="V20" i="15"/>
  <c r="V13" i="15"/>
  <c r="V15" i="15"/>
  <c r="V27" i="15"/>
  <c r="V11" i="15"/>
  <c r="V41" i="15"/>
  <c r="V36" i="15"/>
  <c r="V32" i="15"/>
  <c r="V3" i="15"/>
  <c r="V24" i="15" s="1"/>
  <c r="Y49" i="15"/>
  <c r="V13" i="14"/>
  <c r="V4" i="14"/>
  <c r="V9" i="14"/>
  <c r="V43" i="14"/>
  <c r="V29" i="14"/>
  <c r="V3" i="14"/>
  <c r="V7" i="14"/>
  <c r="V5" i="14"/>
  <c r="V21" i="14"/>
  <c r="V12" i="14"/>
  <c r="V32" i="14"/>
  <c r="V42" i="14"/>
  <c r="V45" i="14"/>
  <c r="V8" i="14"/>
  <c r="V26" i="14"/>
  <c r="V6" i="14"/>
  <c r="V16" i="14"/>
  <c r="V10" i="14"/>
  <c r="V35" i="14"/>
  <c r="V33" i="14"/>
  <c r="V18" i="14"/>
  <c r="V22" i="14"/>
  <c r="V20" i="14"/>
  <c r="V11" i="14"/>
  <c r="V14" i="14"/>
  <c r="V30" i="14"/>
  <c r="V39" i="14"/>
  <c r="V27" i="14"/>
  <c r="V31" i="14"/>
  <c r="V41" i="14"/>
  <c r="Y49" i="14"/>
  <c r="V15" i="14"/>
  <c r="V19" i="14"/>
  <c r="V34" i="14"/>
  <c r="V28" i="14"/>
  <c r="V38" i="14"/>
  <c r="V37" i="14"/>
  <c r="V44" i="14"/>
  <c r="V17" i="14"/>
  <c r="V36" i="14"/>
  <c r="V40" i="14"/>
  <c r="AE47" i="14"/>
  <c r="AL26" i="14" a="1"/>
  <c r="AL26" i="14" s="1"/>
  <c r="AN26" i="14" s="1"/>
  <c r="AE24" i="14"/>
  <c r="AL3" i="14"/>
  <c r="AM3" i="14" s="1"/>
  <c r="AM23" i="14" s="1"/>
  <c r="W49" i="14"/>
  <c r="AJ46" i="13"/>
  <c r="AE28" i="13"/>
  <c r="AL28" i="13" s="1" a="1"/>
  <c r="AL28" i="13" s="1"/>
  <c r="AM28" i="13" s="1"/>
  <c r="AE41" i="13"/>
  <c r="AL41" i="13" s="1" a="1"/>
  <c r="AL41" i="13" s="1"/>
  <c r="AE15" i="13"/>
  <c r="AL15" i="13" s="1" a="1"/>
  <c r="AL15" i="13" s="1"/>
  <c r="AK46" i="13"/>
  <c r="AP11" i="13"/>
  <c r="AN11" i="13"/>
  <c r="C45" i="3"/>
  <c r="AL35" i="6" a="1"/>
  <c r="AL35" i="6" s="1"/>
  <c r="AM35" i="6" s="1"/>
  <c r="C33" i="3"/>
  <c r="AL28" i="6" a="1"/>
  <c r="AL28" i="6" s="1"/>
  <c r="C11" i="3"/>
  <c r="AL12" i="6" a="1"/>
  <c r="AL12" i="6" s="1"/>
  <c r="C5" i="3"/>
  <c r="AL20" i="6" a="1"/>
  <c r="AL20" i="6" s="1"/>
  <c r="AP7" i="13"/>
  <c r="AN7" i="13"/>
  <c r="C39" i="3"/>
  <c r="AL39" i="6" a="1"/>
  <c r="AL39" i="6" s="1"/>
  <c r="C28" i="3"/>
  <c r="AL44" i="6" a="1"/>
  <c r="AL44" i="6" s="1"/>
  <c r="AM44" i="6" s="1"/>
  <c r="C13" i="3"/>
  <c r="AL8" i="6" a="1"/>
  <c r="AL8" i="6" s="1"/>
  <c r="AP6" i="13"/>
  <c r="AN6" i="13"/>
  <c r="R9" i="2"/>
  <c r="AI44" i="13"/>
  <c r="W44" i="13"/>
  <c r="AE44" i="13" s="1"/>
  <c r="AL44" i="13" s="1" a="1"/>
  <c r="AL44" i="13" s="1"/>
  <c r="O44" i="13"/>
  <c r="AG44" i="13"/>
  <c r="S49" i="6"/>
  <c r="I9" i="2"/>
  <c r="AM42" i="13"/>
  <c r="AI18" i="13"/>
  <c r="W18" i="13"/>
  <c r="AE18" i="13" s="1"/>
  <c r="AL18" i="13" s="1" a="1"/>
  <c r="AL18" i="13" s="1"/>
  <c r="O18" i="13"/>
  <c r="AG18" i="13"/>
  <c r="AM18" i="13" s="1"/>
  <c r="AD36" i="13"/>
  <c r="AE36" i="13" s="1"/>
  <c r="AL36" i="13" s="1" a="1"/>
  <c r="AL36" i="13" s="1"/>
  <c r="AM36" i="13" s="1"/>
  <c r="Y36" i="13"/>
  <c r="Y8" i="13"/>
  <c r="AD8" i="13"/>
  <c r="AE8" i="13" s="1"/>
  <c r="AL8" i="13" s="1" a="1"/>
  <c r="AL8" i="13" s="1"/>
  <c r="I57" i="13"/>
  <c r="J57" i="13" s="1"/>
  <c r="J58" i="13"/>
  <c r="J56" i="13"/>
  <c r="AG12" i="13"/>
  <c r="AM12" i="13" s="1"/>
  <c r="W12" i="13"/>
  <c r="AE12" i="13" s="1"/>
  <c r="AL12" i="13" s="1" a="1"/>
  <c r="AL12" i="13" s="1"/>
  <c r="AI12" i="13"/>
  <c r="O12" i="13"/>
  <c r="Y16" i="13"/>
  <c r="AD16" i="13"/>
  <c r="AE16" i="13" s="1"/>
  <c r="AL16" i="13" s="1" a="1"/>
  <c r="AL16" i="13" s="1"/>
  <c r="AM7" i="13"/>
  <c r="AI33" i="13"/>
  <c r="W33" i="13"/>
  <c r="AE33" i="13" s="1"/>
  <c r="AL33" i="13" s="1" a="1"/>
  <c r="AL33" i="13" s="1"/>
  <c r="O33" i="13"/>
  <c r="AG33" i="13"/>
  <c r="O27" i="6"/>
  <c r="W27" i="6"/>
  <c r="AE27" i="6" s="1"/>
  <c r="C47" i="3" s="1"/>
  <c r="AI27" i="6"/>
  <c r="AG27" i="6"/>
  <c r="AM27" i="6" s="1"/>
  <c r="J33" i="3"/>
  <c r="R47" i="6"/>
  <c r="AG26" i="6"/>
  <c r="W26" i="6"/>
  <c r="O26" i="6"/>
  <c r="AI26" i="6"/>
  <c r="J32" i="3"/>
  <c r="AK23" i="6"/>
  <c r="AG22" i="6"/>
  <c r="AM22" i="6" s="1"/>
  <c r="AI22" i="6"/>
  <c r="W22" i="6"/>
  <c r="AE22" i="6" s="1"/>
  <c r="C14" i="3" s="1"/>
  <c r="O22" i="6"/>
  <c r="J23" i="3"/>
  <c r="AL32" i="6" a="1"/>
  <c r="AL32" i="6" s="1"/>
  <c r="AI10" i="13"/>
  <c r="W10" i="13"/>
  <c r="AE10" i="13" s="1"/>
  <c r="AL10" i="13" s="1" a="1"/>
  <c r="AL10" i="13" s="1"/>
  <c r="O10" i="13"/>
  <c r="AG10" i="13"/>
  <c r="AM10" i="13" s="1"/>
  <c r="W9" i="13"/>
  <c r="AE9" i="13" s="1"/>
  <c r="AL9" i="13" s="1" a="1"/>
  <c r="AL9" i="13" s="1"/>
  <c r="O9" i="13"/>
  <c r="AG9" i="13"/>
  <c r="AM9" i="13" s="1"/>
  <c r="AI9" i="13"/>
  <c r="AM35" i="13"/>
  <c r="AD26" i="13"/>
  <c r="AD47" i="13" s="1"/>
  <c r="U47" i="13"/>
  <c r="Y47" i="13" s="1"/>
  <c r="Y26" i="13"/>
  <c r="AI31" i="13"/>
  <c r="W31" i="13"/>
  <c r="AE31" i="13" s="1"/>
  <c r="AL31" i="13" s="1" a="1"/>
  <c r="AL31" i="13" s="1"/>
  <c r="O31" i="13"/>
  <c r="AG31" i="13"/>
  <c r="AM31" i="13" s="1"/>
  <c r="AD38" i="6"/>
  <c r="Y38" i="6"/>
  <c r="W13" i="6"/>
  <c r="AE13" i="6" s="1"/>
  <c r="C18" i="3" s="1"/>
  <c r="O13" i="6"/>
  <c r="AI13" i="6"/>
  <c r="AG13" i="6"/>
  <c r="AM13" i="6" s="1"/>
  <c r="J16" i="3"/>
  <c r="AA47" i="6"/>
  <c r="R10" i="2" s="1"/>
  <c r="AL33" i="6" a="1"/>
  <c r="AL33" i="6" s="1"/>
  <c r="W10" i="6"/>
  <c r="AE10" i="6" s="1"/>
  <c r="C10" i="3" s="1"/>
  <c r="AG10" i="6"/>
  <c r="AM10" i="6" s="1"/>
  <c r="O10" i="6"/>
  <c r="AI10" i="6"/>
  <c r="J13" i="3"/>
  <c r="T49" i="6"/>
  <c r="J9" i="2"/>
  <c r="O37" i="13"/>
  <c r="AI37" i="13"/>
  <c r="W37" i="13"/>
  <c r="AE37" i="13" s="1"/>
  <c r="AL37" i="13" s="1" a="1"/>
  <c r="AL37" i="13" s="1"/>
  <c r="AG37" i="13"/>
  <c r="AI30" i="13"/>
  <c r="W30" i="13"/>
  <c r="AE30" i="13" s="1"/>
  <c r="AL30" i="13" s="1" a="1"/>
  <c r="AL30" i="13" s="1"/>
  <c r="O30" i="13"/>
  <c r="AG30" i="13"/>
  <c r="AM30" i="13" s="1"/>
  <c r="AG32" i="13"/>
  <c r="AM32" i="13" s="1"/>
  <c r="AI32" i="13"/>
  <c r="W32" i="13"/>
  <c r="AE32" i="13" s="1"/>
  <c r="AL32" i="13" s="1" a="1"/>
  <c r="AL32" i="13" s="1"/>
  <c r="O32" i="13"/>
  <c r="W45" i="13"/>
  <c r="AE45" i="13" s="1"/>
  <c r="AL45" i="13" s="1" a="1"/>
  <c r="AL45" i="13" s="1"/>
  <c r="O45" i="13"/>
  <c r="AI45" i="13"/>
  <c r="AG45" i="13"/>
  <c r="AM45" i="13" s="1"/>
  <c r="AI40" i="6"/>
  <c r="W40" i="6"/>
  <c r="AE40" i="6" s="1"/>
  <c r="C40" i="3" s="1"/>
  <c r="O40" i="6"/>
  <c r="AG40" i="6"/>
  <c r="AM40" i="6" s="1"/>
  <c r="J45" i="3"/>
  <c r="O30" i="6"/>
  <c r="AG30" i="6"/>
  <c r="AM30" i="6" s="1"/>
  <c r="W30" i="6"/>
  <c r="AI30" i="6"/>
  <c r="J37" i="3"/>
  <c r="W42" i="6"/>
  <c r="AE42" i="6" s="1"/>
  <c r="C29" i="3" s="1"/>
  <c r="O42" i="6"/>
  <c r="AG42" i="6"/>
  <c r="AI42" i="6"/>
  <c r="J29" i="3"/>
  <c r="AD36" i="6"/>
  <c r="AE36" i="6" s="1"/>
  <c r="Y36" i="6"/>
  <c r="AD11" i="6"/>
  <c r="Y11" i="6"/>
  <c r="AE11" i="6"/>
  <c r="AM33" i="6"/>
  <c r="AI40" i="13"/>
  <c r="AG40" i="13"/>
  <c r="AM40" i="13" s="1"/>
  <c r="O40" i="13"/>
  <c r="W40" i="13"/>
  <c r="AE40" i="13" s="1"/>
  <c r="AL40" i="13" s="1" a="1"/>
  <c r="AL40" i="13" s="1"/>
  <c r="AI9" i="6"/>
  <c r="W9" i="6"/>
  <c r="AE9" i="6" s="1"/>
  <c r="C9" i="3" s="1"/>
  <c r="AG9" i="6"/>
  <c r="AM9" i="6" s="1"/>
  <c r="J12" i="3"/>
  <c r="O9" i="6"/>
  <c r="AA51" i="6"/>
  <c r="Z49" i="6"/>
  <c r="AI21" i="13"/>
  <c r="W21" i="13"/>
  <c r="AE21" i="13" s="1"/>
  <c r="AL21" i="13" s="1" a="1"/>
  <c r="AL21" i="13" s="1"/>
  <c r="O21" i="13"/>
  <c r="AG21" i="13"/>
  <c r="AM21" i="13" s="1"/>
  <c r="AG26" i="13"/>
  <c r="W17" i="13"/>
  <c r="AE17" i="13" s="1"/>
  <c r="AL17" i="13" s="1" a="1"/>
  <c r="AL17" i="13" s="1"/>
  <c r="O17" i="13"/>
  <c r="AG17" i="13"/>
  <c r="AM17" i="13" s="1"/>
  <c r="AI17" i="13"/>
  <c r="W38" i="6"/>
  <c r="AE38" i="6" s="1"/>
  <c r="O38" i="6"/>
  <c r="AI38" i="6"/>
  <c r="AG38" i="6"/>
  <c r="AM38" i="6" s="1"/>
  <c r="J43" i="3"/>
  <c r="AI43" i="6"/>
  <c r="W43" i="6"/>
  <c r="AE43" i="6" s="1"/>
  <c r="C30" i="3" s="1"/>
  <c r="O43" i="6"/>
  <c r="AG43" i="6"/>
  <c r="J31" i="3"/>
  <c r="Y29" i="6"/>
  <c r="AD29" i="6"/>
  <c r="AE29" i="6" s="1"/>
  <c r="AL21" i="6" a="1"/>
  <c r="AL21" i="6" s="1"/>
  <c r="AI13" i="13"/>
  <c r="W13" i="13"/>
  <c r="AE13" i="13" s="1"/>
  <c r="AL13" i="13" s="1" a="1"/>
  <c r="AL13" i="13" s="1"/>
  <c r="O13" i="13"/>
  <c r="AG13" i="13"/>
  <c r="AM13" i="13" s="1"/>
  <c r="AG4" i="13"/>
  <c r="O4" i="13"/>
  <c r="W4" i="13"/>
  <c r="AE4" i="13" s="1"/>
  <c r="AL4" i="13" s="1" a="1"/>
  <c r="AL4" i="13" s="1"/>
  <c r="AI4" i="13"/>
  <c r="AG41" i="6"/>
  <c r="AM41" i="6" s="1"/>
  <c r="AI41" i="6"/>
  <c r="W41" i="6"/>
  <c r="AE41" i="6" s="1"/>
  <c r="C41" i="3" s="1"/>
  <c r="O41" i="6"/>
  <c r="AL41" i="6" a="1"/>
  <c r="AL41" i="6" s="1"/>
  <c r="J46" i="3"/>
  <c r="AD37" i="6"/>
  <c r="AE37" i="6" s="1"/>
  <c r="Y37" i="6"/>
  <c r="AJ46" i="6"/>
  <c r="W19" i="6"/>
  <c r="AE19" i="6" s="1"/>
  <c r="C17" i="3" s="1"/>
  <c r="O19" i="6"/>
  <c r="AI19" i="6"/>
  <c r="AG19" i="6"/>
  <c r="AM19" i="6" s="1"/>
  <c r="J21" i="3"/>
  <c r="AI18" i="6"/>
  <c r="O18" i="6"/>
  <c r="W18" i="6"/>
  <c r="AE18" i="6" s="1"/>
  <c r="C21" i="3" s="1"/>
  <c r="AG18" i="6"/>
  <c r="AM18" i="6" s="1"/>
  <c r="J20" i="3"/>
  <c r="AI4" i="6"/>
  <c r="W4" i="6"/>
  <c r="AE4" i="6" s="1"/>
  <c r="C6" i="3" s="1"/>
  <c r="O4" i="6"/>
  <c r="J7" i="3"/>
  <c r="AG4" i="6"/>
  <c r="AG7" i="6"/>
  <c r="J6" i="3"/>
  <c r="O7" i="6"/>
  <c r="W7" i="6"/>
  <c r="AE7" i="6" s="1"/>
  <c r="C4" i="3" s="1"/>
  <c r="AI7" i="6"/>
  <c r="AI43" i="13"/>
  <c r="W43" i="13"/>
  <c r="AE43" i="13" s="1"/>
  <c r="AL43" i="13" s="1" a="1"/>
  <c r="AL43" i="13" s="1"/>
  <c r="O43" i="13"/>
  <c r="AG43" i="13"/>
  <c r="W39" i="13"/>
  <c r="AE39" i="13" s="1"/>
  <c r="AL39" i="13" s="1" a="1"/>
  <c r="AL39" i="13" s="1"/>
  <c r="O39" i="13"/>
  <c r="AI39" i="13"/>
  <c r="AG39" i="13"/>
  <c r="AM39" i="13" s="1"/>
  <c r="J10" i="3"/>
  <c r="O6" i="6"/>
  <c r="AI6" i="6"/>
  <c r="W6" i="6"/>
  <c r="AE6" i="6" s="1"/>
  <c r="C8" i="3" s="1"/>
  <c r="AG6" i="6"/>
  <c r="AM6" i="6" s="1"/>
  <c r="X49" i="13"/>
  <c r="AI3" i="13"/>
  <c r="AG3" i="13"/>
  <c r="R24" i="13"/>
  <c r="W3" i="13"/>
  <c r="O3" i="13"/>
  <c r="AM14" i="13"/>
  <c r="AG34" i="6"/>
  <c r="AM34" i="6" s="1"/>
  <c r="O34" i="6"/>
  <c r="W34" i="6"/>
  <c r="AE34" i="6" s="1"/>
  <c r="C36" i="3" s="1"/>
  <c r="AI34" i="6"/>
  <c r="J40" i="3"/>
  <c r="AI45" i="6"/>
  <c r="AG45" i="6"/>
  <c r="AM45" i="6" s="1"/>
  <c r="J47" i="3"/>
  <c r="O45" i="6"/>
  <c r="W45" i="6"/>
  <c r="AE45" i="6" s="1"/>
  <c r="C44" i="3" s="1"/>
  <c r="Y30" i="6"/>
  <c r="AD30" i="6"/>
  <c r="AE30" i="6" s="1"/>
  <c r="W31" i="6"/>
  <c r="AE31" i="6" s="1"/>
  <c r="C34" i="3" s="1"/>
  <c r="O31" i="6"/>
  <c r="AI31" i="6"/>
  <c r="AG31" i="6"/>
  <c r="AM31" i="6" s="1"/>
  <c r="AL31" i="6" a="1"/>
  <c r="AL31" i="6" s="1"/>
  <c r="J38" i="3"/>
  <c r="O17" i="6"/>
  <c r="AI17" i="6"/>
  <c r="W17" i="6"/>
  <c r="AE17" i="6" s="1"/>
  <c r="C16" i="3" s="1"/>
  <c r="AG17" i="6"/>
  <c r="AM17" i="6" s="1"/>
  <c r="J19" i="3"/>
  <c r="X49" i="6"/>
  <c r="N9" i="2"/>
  <c r="N114" i="2" s="1"/>
  <c r="AL14" i="6" a="1"/>
  <c r="AL14" i="6" s="1"/>
  <c r="AM14" i="6" s="1"/>
  <c r="U24" i="6"/>
  <c r="Y3" i="6"/>
  <c r="AD3" i="6"/>
  <c r="R24" i="6"/>
  <c r="O3" i="6"/>
  <c r="AI3" i="6"/>
  <c r="J4" i="3"/>
  <c r="AG3" i="6"/>
  <c r="W3" i="6"/>
  <c r="AI15" i="6"/>
  <c r="O15" i="6"/>
  <c r="W15" i="6"/>
  <c r="AE15" i="6" s="1"/>
  <c r="C23" i="3" s="1"/>
  <c r="AG15" i="6"/>
  <c r="AM15" i="6" s="1"/>
  <c r="J17" i="3"/>
  <c r="AL5" i="6" a="1"/>
  <c r="AL5" i="6" s="1"/>
  <c r="R47" i="13"/>
  <c r="AI19" i="13"/>
  <c r="W19" i="13"/>
  <c r="AE19" i="13" s="1"/>
  <c r="AL19" i="13" s="1" a="1"/>
  <c r="AL19" i="13" s="1"/>
  <c r="O19" i="13"/>
  <c r="AG19" i="13"/>
  <c r="U24" i="13"/>
  <c r="Y3" i="13"/>
  <c r="AD3" i="13"/>
  <c r="AM20" i="13"/>
  <c r="AG5" i="13"/>
  <c r="AM5" i="13" s="1"/>
  <c r="O5" i="13"/>
  <c r="AI5" i="13"/>
  <c r="W5" i="13"/>
  <c r="AE5" i="13" s="1"/>
  <c r="AL5" i="13" s="1" a="1"/>
  <c r="AL5" i="13" s="1"/>
  <c r="F44" i="75" l="1"/>
  <c r="E45" i="75"/>
  <c r="F18" i="39"/>
  <c r="E19" i="39"/>
  <c r="F21" i="65"/>
  <c r="E22" i="65"/>
  <c r="G36" i="31"/>
  <c r="G33" i="31"/>
  <c r="E44" i="39"/>
  <c r="F43" i="39"/>
  <c r="F44" i="65"/>
  <c r="E45" i="65"/>
  <c r="E43" i="31"/>
  <c r="F42" i="31"/>
  <c r="E19" i="31"/>
  <c r="F18" i="31"/>
  <c r="F46" i="42"/>
  <c r="E47" i="42"/>
  <c r="E24" i="42"/>
  <c r="F23" i="42"/>
  <c r="G23" i="39"/>
  <c r="G16" i="39"/>
  <c r="G20" i="39"/>
  <c r="G46" i="39"/>
  <c r="G44" i="39"/>
  <c r="G44" i="31"/>
  <c r="G21" i="31"/>
  <c r="G46" i="31"/>
  <c r="M22" i="31"/>
  <c r="G22" i="31" s="1"/>
  <c r="L23" i="31"/>
  <c r="M47" i="39"/>
  <c r="G40" i="39" s="1"/>
  <c r="L48" i="39"/>
  <c r="M24" i="39"/>
  <c r="L25" i="39"/>
  <c r="M25" i="39" s="1"/>
  <c r="G20" i="27"/>
  <c r="G14" i="27"/>
  <c r="G41" i="27"/>
  <c r="X122" i="2"/>
  <c r="V6" i="28"/>
  <c r="X107" i="2"/>
  <c r="P6" i="24"/>
  <c r="V47" i="15"/>
  <c r="M48" i="31"/>
  <c r="G34" i="31" s="1"/>
  <c r="L49" i="31"/>
  <c r="M49" i="31" s="1"/>
  <c r="G47" i="31" s="1"/>
  <c r="G12" i="25"/>
  <c r="G39" i="25"/>
  <c r="M17" i="25"/>
  <c r="L18" i="25"/>
  <c r="G21" i="26"/>
  <c r="M6" i="1" s="1"/>
  <c r="J114" i="2"/>
  <c r="E18" i="28"/>
  <c r="G17" i="26"/>
  <c r="M3" i="1" s="1"/>
  <c r="V5" i="4"/>
  <c r="X119" i="2"/>
  <c r="K13" i="28"/>
  <c r="I6" i="28"/>
  <c r="E13" i="28"/>
  <c r="V47" i="14"/>
  <c r="V24" i="14"/>
  <c r="V49" i="14" s="1"/>
  <c r="AN46" i="14"/>
  <c r="M21" i="27"/>
  <c r="L22" i="27"/>
  <c r="M43" i="27"/>
  <c r="L44" i="27"/>
  <c r="F18" i="27"/>
  <c r="E19" i="27"/>
  <c r="F43" i="27"/>
  <c r="E44" i="27"/>
  <c r="R49" i="6"/>
  <c r="AL10" i="6" a="1"/>
  <c r="AL10" i="6" s="1"/>
  <c r="AL22" i="6" a="1"/>
  <c r="AL22" i="6" s="1"/>
  <c r="AM46" i="17"/>
  <c r="D37" i="18"/>
  <c r="D28" i="18"/>
  <c r="E28" i="18" s="1"/>
  <c r="F28" i="18" s="1"/>
  <c r="AN46" i="17"/>
  <c r="D42" i="18"/>
  <c r="K48" i="18"/>
  <c r="L28" i="18"/>
  <c r="E29" i="18"/>
  <c r="F29" i="18" s="1"/>
  <c r="D32" i="18"/>
  <c r="D46" i="18"/>
  <c r="D30" i="18"/>
  <c r="E30" i="18" s="1"/>
  <c r="D39" i="18"/>
  <c r="D5" i="18"/>
  <c r="D9" i="18"/>
  <c r="E5" i="18"/>
  <c r="F5" i="18" s="1"/>
  <c r="M14" i="23"/>
  <c r="G12" i="23" s="1"/>
  <c r="L15" i="23"/>
  <c r="AN27" i="13"/>
  <c r="V4" i="26"/>
  <c r="X111" i="2"/>
  <c r="AM19" i="13"/>
  <c r="P4" i="26"/>
  <c r="E18" i="26" s="1"/>
  <c r="R111" i="2"/>
  <c r="R114" i="2"/>
  <c r="E11" i="2"/>
  <c r="AD11" i="2"/>
  <c r="M17" i="4"/>
  <c r="N11" i="1" s="1"/>
  <c r="H6" i="26"/>
  <c r="E20" i="26"/>
  <c r="R122" i="2"/>
  <c r="M13" i="4"/>
  <c r="G4" i="4"/>
  <c r="G6" i="4" s="1"/>
  <c r="G6" i="26"/>
  <c r="M21" i="4"/>
  <c r="N14" i="1" s="1"/>
  <c r="E21" i="26"/>
  <c r="L6" i="26"/>
  <c r="AP14" i="13"/>
  <c r="AN35" i="13"/>
  <c r="AM37" i="13"/>
  <c r="AN29" i="13"/>
  <c r="AI46" i="13"/>
  <c r="AI23" i="13"/>
  <c r="M43" i="25"/>
  <c r="L44" i="25"/>
  <c r="F17" i="25"/>
  <c r="E18" i="25"/>
  <c r="F41" i="25"/>
  <c r="E42" i="25"/>
  <c r="AP18" i="13"/>
  <c r="AN18" i="13"/>
  <c r="AP22" i="13"/>
  <c r="AN22" i="13"/>
  <c r="AP30" i="13"/>
  <c r="AN30" i="13"/>
  <c r="AP16" i="13"/>
  <c r="AN16" i="13"/>
  <c r="AP15" i="13"/>
  <c r="AN15" i="13"/>
  <c r="AP40" i="13"/>
  <c r="AN40" i="13"/>
  <c r="AP43" i="13"/>
  <c r="AN43" i="13"/>
  <c r="AP45" i="13"/>
  <c r="AN45" i="13"/>
  <c r="AP41" i="13"/>
  <c r="AN41" i="13"/>
  <c r="AP33" i="13"/>
  <c r="AN33" i="13"/>
  <c r="AP19" i="13"/>
  <c r="AN19" i="13"/>
  <c r="AP31" i="13"/>
  <c r="AN31" i="13"/>
  <c r="AP28" i="13"/>
  <c r="AN28" i="13"/>
  <c r="AP44" i="13"/>
  <c r="AN44" i="13"/>
  <c r="AP17" i="13"/>
  <c r="AN17" i="13"/>
  <c r="AP21" i="13"/>
  <c r="AN21" i="13"/>
  <c r="AP32" i="13"/>
  <c r="AN32" i="13"/>
  <c r="AP39" i="13"/>
  <c r="AN39" i="13"/>
  <c r="AP37" i="13"/>
  <c r="AN37" i="13"/>
  <c r="AP36" i="13"/>
  <c r="AN36" i="13"/>
  <c r="AM26" i="16"/>
  <c r="AM46" i="16" s="1"/>
  <c r="AN26" i="16"/>
  <c r="AN46" i="16" s="1"/>
  <c r="F11" i="23"/>
  <c r="E12" i="23"/>
  <c r="F35" i="23"/>
  <c r="E36" i="23"/>
  <c r="AP47" i="17"/>
  <c r="D13" i="18"/>
  <c r="D7" i="18"/>
  <c r="D17" i="18"/>
  <c r="D22" i="18"/>
  <c r="D19" i="18"/>
  <c r="D10" i="18"/>
  <c r="D15" i="18"/>
  <c r="D18" i="18"/>
  <c r="D16" i="18"/>
  <c r="D8" i="18"/>
  <c r="D12" i="18"/>
  <c r="D14" i="18"/>
  <c r="D6" i="18"/>
  <c r="E6" i="18" s="1"/>
  <c r="F6" i="18" s="1"/>
  <c r="D20" i="18"/>
  <c r="W4" i="24"/>
  <c r="AC7" i="2"/>
  <c r="AA4" i="24" s="1"/>
  <c r="G24" i="24" s="1"/>
  <c r="O8" i="1" s="1"/>
  <c r="AB7" i="2"/>
  <c r="Z4" i="24" s="1"/>
  <c r="G23" i="24" s="1"/>
  <c r="O7" i="1" s="1"/>
  <c r="D21" i="18"/>
  <c r="D40" i="18"/>
  <c r="D33" i="18"/>
  <c r="D36" i="18"/>
  <c r="D31" i="18"/>
  <c r="D44" i="18"/>
  <c r="D41" i="18"/>
  <c r="D43" i="18"/>
  <c r="D47" i="18"/>
  <c r="D45" i="18"/>
  <c r="J6" i="24"/>
  <c r="E15" i="24"/>
  <c r="D35" i="18"/>
  <c r="D11" i="18"/>
  <c r="D23" i="18"/>
  <c r="D38" i="18"/>
  <c r="W5" i="24"/>
  <c r="K14" i="24" s="1"/>
  <c r="O17" i="1" s="1"/>
  <c r="AB8" i="2"/>
  <c r="Z5" i="24" s="1"/>
  <c r="M23" i="24" s="1"/>
  <c r="O15" i="1" s="1"/>
  <c r="AC8" i="2"/>
  <c r="AA5" i="24" s="1"/>
  <c r="M24" i="24" s="1"/>
  <c r="O16" i="1" s="1"/>
  <c r="D34" i="18"/>
  <c r="AP44" i="6"/>
  <c r="AN44" i="6"/>
  <c r="AL43" i="6" a="1"/>
  <c r="AL43" i="6" s="1"/>
  <c r="AP41" i="6"/>
  <c r="AN41" i="6"/>
  <c r="J58" i="6"/>
  <c r="J56" i="6"/>
  <c r="AP39" i="6"/>
  <c r="AN39" i="6"/>
  <c r="AP35" i="6"/>
  <c r="AN35" i="6"/>
  <c r="AP33" i="6"/>
  <c r="AN33" i="6"/>
  <c r="AP32" i="6"/>
  <c r="AN32" i="6"/>
  <c r="AP31" i="6"/>
  <c r="AN31" i="6"/>
  <c r="AP28" i="6"/>
  <c r="AN28" i="6"/>
  <c r="AP20" i="6"/>
  <c r="AN20" i="6"/>
  <c r="AP21" i="6"/>
  <c r="AN21" i="6"/>
  <c r="H27" i="24"/>
  <c r="H27" i="4"/>
  <c r="AP22" i="6"/>
  <c r="AN22" i="6"/>
  <c r="AL15" i="6" a="1"/>
  <c r="AL15" i="6" s="1"/>
  <c r="AM20" i="6"/>
  <c r="G11" i="23"/>
  <c r="G39" i="23"/>
  <c r="G33" i="23"/>
  <c r="L41" i="23"/>
  <c r="M40" i="23"/>
  <c r="J121" i="2"/>
  <c r="J118" i="2"/>
  <c r="H4" i="4"/>
  <c r="AD10" i="2"/>
  <c r="R119" i="2"/>
  <c r="P5" i="4"/>
  <c r="K18" i="4" s="1"/>
  <c r="N121" i="2"/>
  <c r="L4" i="4"/>
  <c r="R121" i="2"/>
  <c r="P4" i="4"/>
  <c r="E17" i="4"/>
  <c r="K6" i="4"/>
  <c r="F6" i="19"/>
  <c r="E7" i="19"/>
  <c r="F31" i="19"/>
  <c r="E32" i="19"/>
  <c r="M6" i="19"/>
  <c r="G4" i="19" s="1"/>
  <c r="L7" i="19"/>
  <c r="M31" i="19"/>
  <c r="G30" i="19" s="1"/>
  <c r="L32" i="19"/>
  <c r="M5" i="18"/>
  <c r="L6" i="18"/>
  <c r="F30" i="18"/>
  <c r="AE49" i="14"/>
  <c r="V49" i="15"/>
  <c r="V47" i="17"/>
  <c r="AM23" i="16"/>
  <c r="V24" i="17"/>
  <c r="V49" i="17" s="1"/>
  <c r="V47" i="16"/>
  <c r="V24" i="16"/>
  <c r="AL23" i="17"/>
  <c r="AP3" i="17"/>
  <c r="AN3" i="17"/>
  <c r="AN23" i="17" s="1"/>
  <c r="AP26" i="16"/>
  <c r="AP47" i="16" s="1"/>
  <c r="AL46" i="16"/>
  <c r="AL23" i="16"/>
  <c r="AP3" i="16"/>
  <c r="AN3" i="16"/>
  <c r="AN23" i="16" s="1"/>
  <c r="AE49" i="16"/>
  <c r="AP26" i="15"/>
  <c r="AP47" i="15" s="1"/>
  <c r="AL46" i="15"/>
  <c r="AL23" i="15"/>
  <c r="AN3" i="15"/>
  <c r="AN23" i="15" s="1"/>
  <c r="AP3" i="15"/>
  <c r="AE49" i="15"/>
  <c r="AP26" i="14"/>
  <c r="AP47" i="14" s="1"/>
  <c r="AL46" i="14"/>
  <c r="AL23" i="14"/>
  <c r="AN3" i="14"/>
  <c r="AN23" i="14" s="1"/>
  <c r="AP3" i="14"/>
  <c r="AE26" i="13"/>
  <c r="AE47" i="13" s="1"/>
  <c r="W24" i="13"/>
  <c r="C43" i="3"/>
  <c r="AL30" i="6" a="1"/>
  <c r="AL30" i="6" s="1"/>
  <c r="AP10" i="13"/>
  <c r="AN10" i="13"/>
  <c r="AP12" i="13"/>
  <c r="AN12" i="13"/>
  <c r="C37" i="3"/>
  <c r="AL37" i="6" a="1"/>
  <c r="AL37" i="6" s="1"/>
  <c r="AP4" i="13"/>
  <c r="AN4" i="13"/>
  <c r="C42" i="3"/>
  <c r="AL29" i="6" a="1"/>
  <c r="AL29" i="6" s="1"/>
  <c r="C46" i="3"/>
  <c r="AL36" i="6" a="1"/>
  <c r="AL36" i="6" s="1"/>
  <c r="AP9" i="13"/>
  <c r="AN9" i="13"/>
  <c r="C38" i="3"/>
  <c r="AL38" i="6" a="1"/>
  <c r="AL38" i="6" s="1"/>
  <c r="AP5" i="13"/>
  <c r="AN5" i="13"/>
  <c r="W47" i="13"/>
  <c r="L12" i="2" s="1"/>
  <c r="E10" i="2"/>
  <c r="AD24" i="6"/>
  <c r="AL13" i="6" a="1"/>
  <c r="AL13" i="6" s="1"/>
  <c r="W47" i="6"/>
  <c r="L10" i="2" s="1"/>
  <c r="AE26" i="6"/>
  <c r="AP5" i="6"/>
  <c r="AN5" i="6"/>
  <c r="W24" i="6"/>
  <c r="AM4" i="13"/>
  <c r="AM43" i="6"/>
  <c r="AG46" i="13"/>
  <c r="AL27" i="6" a="1"/>
  <c r="AL27" i="6" s="1"/>
  <c r="R49" i="13"/>
  <c r="AP13" i="13"/>
  <c r="AN13" i="13"/>
  <c r="AG46" i="6"/>
  <c r="K9" i="2"/>
  <c r="K114" i="2" s="1"/>
  <c r="AP8" i="6"/>
  <c r="AN8" i="6"/>
  <c r="U49" i="13"/>
  <c r="Y49" i="13" s="1"/>
  <c r="Y24" i="13"/>
  <c r="AG23" i="6"/>
  <c r="J24" i="3"/>
  <c r="K13" i="3" s="1"/>
  <c r="AE3" i="6"/>
  <c r="AL17" i="6" a="1"/>
  <c r="AL17" i="6" s="1"/>
  <c r="AG23" i="13"/>
  <c r="AL6" i="6" a="1"/>
  <c r="AL6" i="6" s="1"/>
  <c r="AM43" i="13"/>
  <c r="AL4" i="6" a="1"/>
  <c r="AL4" i="6" s="1"/>
  <c r="AL19" i="6" a="1"/>
  <c r="AL19" i="6" s="1"/>
  <c r="AD47" i="6"/>
  <c r="AL42" i="6" a="1"/>
  <c r="AL42" i="6" s="1"/>
  <c r="AM33" i="13"/>
  <c r="AA50" i="6"/>
  <c r="AK49" i="6" s="1"/>
  <c r="AI23" i="6"/>
  <c r="AL9" i="6" a="1"/>
  <c r="AL9" i="6" s="1"/>
  <c r="AL40" i="6" a="1"/>
  <c r="AL40" i="6" s="1"/>
  <c r="AP10" i="6"/>
  <c r="AN10" i="6"/>
  <c r="AD24" i="13"/>
  <c r="U49" i="6"/>
  <c r="Y49" i="6" s="1"/>
  <c r="Y24" i="6"/>
  <c r="AP14" i="6"/>
  <c r="AN14" i="6"/>
  <c r="AL45" i="6" a="1"/>
  <c r="AL45" i="6" s="1"/>
  <c r="AL34" i="6" a="1"/>
  <c r="AL34" i="6" s="1"/>
  <c r="AL7" i="6" a="1"/>
  <c r="AL7" i="6" s="1"/>
  <c r="AM7" i="6" s="1"/>
  <c r="AM44" i="13"/>
  <c r="AM4" i="6"/>
  <c r="AL18" i="6" a="1"/>
  <c r="AL18" i="6" s="1"/>
  <c r="C19" i="3"/>
  <c r="AL11" i="6" a="1"/>
  <c r="AL11" i="6" s="1"/>
  <c r="J48" i="3"/>
  <c r="K45" i="3" s="1"/>
  <c r="AI46" i="6"/>
  <c r="AP8" i="13"/>
  <c r="AN8" i="13"/>
  <c r="AP12" i="6"/>
  <c r="AN12" i="6"/>
  <c r="F45" i="75" l="1"/>
  <c r="E46" i="75"/>
  <c r="F19" i="39"/>
  <c r="E20" i="39"/>
  <c r="E23" i="65"/>
  <c r="F22" i="65"/>
  <c r="F44" i="39"/>
  <c r="E45" i="39"/>
  <c r="F45" i="65"/>
  <c r="E46" i="65"/>
  <c r="F43" i="31"/>
  <c r="E44" i="31"/>
  <c r="F19" i="31"/>
  <c r="E20" i="31"/>
  <c r="F47" i="42"/>
  <c r="E48" i="42"/>
  <c r="F24" i="42"/>
  <c r="E25" i="42"/>
  <c r="F25" i="42" s="1"/>
  <c r="G17" i="39"/>
  <c r="G18" i="39"/>
  <c r="G47" i="39"/>
  <c r="G45" i="39"/>
  <c r="G14" i="31"/>
  <c r="G48" i="31"/>
  <c r="G37" i="31"/>
  <c r="G49" i="31"/>
  <c r="G38" i="31"/>
  <c r="L24" i="31"/>
  <c r="M23" i="31"/>
  <c r="M48" i="39"/>
  <c r="L49" i="39"/>
  <c r="M49" i="39" s="1"/>
  <c r="G21" i="27"/>
  <c r="G15" i="27"/>
  <c r="G42" i="27"/>
  <c r="K15" i="28"/>
  <c r="L108" i="2"/>
  <c r="G13" i="25"/>
  <c r="G40" i="25"/>
  <c r="M18" i="25"/>
  <c r="L19" i="25"/>
  <c r="G13" i="26"/>
  <c r="AB4" i="26"/>
  <c r="F4" i="26"/>
  <c r="G18" i="26"/>
  <c r="M4" i="1" s="1"/>
  <c r="F44" i="27"/>
  <c r="E45" i="27"/>
  <c r="F19" i="27"/>
  <c r="E20" i="27"/>
  <c r="M44" i="27"/>
  <c r="L45" i="27"/>
  <c r="M22" i="27"/>
  <c r="L23" i="27"/>
  <c r="M23" i="27" s="1"/>
  <c r="K29" i="3"/>
  <c r="K20" i="3"/>
  <c r="K10" i="3"/>
  <c r="K4" i="3"/>
  <c r="K6" i="3"/>
  <c r="K23" i="3"/>
  <c r="K16" i="3"/>
  <c r="M28" i="18"/>
  <c r="L29" i="18"/>
  <c r="E31" i="18"/>
  <c r="E7" i="18"/>
  <c r="D24" i="18"/>
  <c r="M15" i="23"/>
  <c r="G7" i="23" s="1"/>
  <c r="L16" i="23"/>
  <c r="J5" i="26"/>
  <c r="K15" i="26" s="1"/>
  <c r="L115" i="2"/>
  <c r="L112" i="2"/>
  <c r="AA12" i="2"/>
  <c r="AK49" i="13"/>
  <c r="R12" i="2"/>
  <c r="R108" i="2" s="1"/>
  <c r="W49" i="13"/>
  <c r="L11" i="2"/>
  <c r="L107" i="2" s="1"/>
  <c r="F5" i="4"/>
  <c r="M18" i="4"/>
  <c r="N12" i="1" s="1"/>
  <c r="AB5" i="4"/>
  <c r="G20" i="4"/>
  <c r="N5" i="1" s="1"/>
  <c r="E9" i="2"/>
  <c r="V49" i="16"/>
  <c r="F42" i="25"/>
  <c r="E43" i="25"/>
  <c r="F18" i="25"/>
  <c r="E19" i="25"/>
  <c r="M44" i="25"/>
  <c r="L45" i="25"/>
  <c r="AL26" i="13" a="1"/>
  <c r="AL26" i="13" s="1"/>
  <c r="AP26" i="13" s="1"/>
  <c r="AP47" i="13" s="1"/>
  <c r="E37" i="23"/>
  <c r="F36" i="23"/>
  <c r="F12" i="23"/>
  <c r="E13" i="23"/>
  <c r="W6" i="24"/>
  <c r="E14" i="24"/>
  <c r="O9" i="1" s="1"/>
  <c r="D48" i="18"/>
  <c r="AP45" i="6"/>
  <c r="AN45" i="6"/>
  <c r="AP43" i="6"/>
  <c r="AN43" i="6"/>
  <c r="AP42" i="6"/>
  <c r="AN42" i="6"/>
  <c r="AP40" i="6"/>
  <c r="AN40" i="6"/>
  <c r="AP38" i="6"/>
  <c r="AN38" i="6"/>
  <c r="AP37" i="6"/>
  <c r="AN37" i="6"/>
  <c r="AP36" i="6"/>
  <c r="AN36" i="6"/>
  <c r="AP34" i="6"/>
  <c r="AN34" i="6"/>
  <c r="AP30" i="6"/>
  <c r="AN30" i="6"/>
  <c r="AP29" i="6"/>
  <c r="AN29" i="6"/>
  <c r="AP27" i="6"/>
  <c r="AN27" i="6"/>
  <c r="AP19" i="6"/>
  <c r="AN19" i="6"/>
  <c r="AP15" i="6"/>
  <c r="AN15" i="6"/>
  <c r="AP18" i="6"/>
  <c r="AN18" i="6"/>
  <c r="AP17" i="6"/>
  <c r="AN17" i="6"/>
  <c r="M41" i="23"/>
  <c r="L42" i="23"/>
  <c r="R118" i="2"/>
  <c r="N118" i="2"/>
  <c r="L119" i="2"/>
  <c r="L122" i="2"/>
  <c r="J5" i="4"/>
  <c r="K15" i="4" s="1"/>
  <c r="E18" i="4"/>
  <c r="P6" i="4"/>
  <c r="E20" i="4"/>
  <c r="H6" i="4"/>
  <c r="E21" i="4"/>
  <c r="L6" i="4"/>
  <c r="U118" i="2"/>
  <c r="V118" i="2"/>
  <c r="O118" i="2"/>
  <c r="W118" i="2"/>
  <c r="P118" i="2"/>
  <c r="Q118" i="2"/>
  <c r="T118" i="2"/>
  <c r="K121" i="2"/>
  <c r="S118" i="2"/>
  <c r="I4" i="4"/>
  <c r="M118" i="2"/>
  <c r="F7" i="19"/>
  <c r="E8" i="19"/>
  <c r="M32" i="19"/>
  <c r="G32" i="19" s="1"/>
  <c r="L33" i="19"/>
  <c r="M7" i="19"/>
  <c r="G6" i="19" s="1"/>
  <c r="L8" i="19"/>
  <c r="F32" i="19"/>
  <c r="E33" i="19"/>
  <c r="F31" i="18"/>
  <c r="E32" i="18"/>
  <c r="M6" i="18"/>
  <c r="G4" i="18" s="1"/>
  <c r="L7" i="18"/>
  <c r="F7" i="18"/>
  <c r="E8" i="18"/>
  <c r="AP24" i="17"/>
  <c r="AP49" i="17" s="1"/>
  <c r="K57" i="17" s="1"/>
  <c r="L57" i="17" s="1"/>
  <c r="AP24" i="16"/>
  <c r="AP49" i="16" s="1"/>
  <c r="K57" i="16" s="1"/>
  <c r="L57" i="16" s="1"/>
  <c r="AP24" i="15"/>
  <c r="AP49" i="15" s="1"/>
  <c r="K57" i="15" s="1"/>
  <c r="L57" i="15" s="1"/>
  <c r="AP24" i="14"/>
  <c r="AP49" i="14" s="1"/>
  <c r="K57" i="14" s="1"/>
  <c r="L57" i="14" s="1"/>
  <c r="AL3" i="13"/>
  <c r="AE24" i="6"/>
  <c r="C22" i="3"/>
  <c r="C24" i="3" s="1"/>
  <c r="AL3" i="6"/>
  <c r="V39" i="13"/>
  <c r="V45" i="13"/>
  <c r="V18" i="13"/>
  <c r="V7" i="13"/>
  <c r="V10" i="13"/>
  <c r="V15" i="13"/>
  <c r="V12" i="13"/>
  <c r="V37" i="13"/>
  <c r="V6" i="13"/>
  <c r="V30" i="13"/>
  <c r="V11" i="13"/>
  <c r="V4" i="13"/>
  <c r="V38" i="13"/>
  <c r="V14" i="13"/>
  <c r="V35" i="13"/>
  <c r="V43" i="13"/>
  <c r="V41" i="13"/>
  <c r="V32" i="13"/>
  <c r="V5" i="13"/>
  <c r="V17" i="13"/>
  <c r="V19" i="13"/>
  <c r="V9" i="13"/>
  <c r="V34" i="13"/>
  <c r="V27" i="13"/>
  <c r="V31" i="13"/>
  <c r="V21" i="13"/>
  <c r="V29" i="13"/>
  <c r="V22" i="13"/>
  <c r="V20" i="13"/>
  <c r="V13" i="13"/>
  <c r="V40" i="13"/>
  <c r="V28" i="13"/>
  <c r="V42" i="13"/>
  <c r="V33" i="13"/>
  <c r="V44" i="13"/>
  <c r="V8" i="13"/>
  <c r="V36" i="13"/>
  <c r="V16" i="13"/>
  <c r="V3" i="13"/>
  <c r="V26" i="13"/>
  <c r="AH6" i="2"/>
  <c r="M37" i="2"/>
  <c r="AG6" i="2"/>
  <c r="AP13" i="6"/>
  <c r="AN13" i="6"/>
  <c r="AP4" i="6"/>
  <c r="AN4" i="6"/>
  <c r="K8" i="3"/>
  <c r="K5" i="3"/>
  <c r="K22" i="3"/>
  <c r="K18" i="3"/>
  <c r="K15" i="3"/>
  <c r="K14" i="3"/>
  <c r="K9" i="3"/>
  <c r="K11" i="3"/>
  <c r="K19" i="3"/>
  <c r="K7" i="3"/>
  <c r="K32" i="3"/>
  <c r="L4" i="3"/>
  <c r="M4" i="3" s="1"/>
  <c r="G22" i="3" s="1"/>
  <c r="W49" i="6"/>
  <c r="L9" i="2"/>
  <c r="AM42" i="6"/>
  <c r="AL46" i="13"/>
  <c r="K33" i="3"/>
  <c r="K43" i="3"/>
  <c r="K47" i="3"/>
  <c r="K17" i="3"/>
  <c r="K42" i="3"/>
  <c r="K41" i="3"/>
  <c r="K34" i="3"/>
  <c r="K36" i="3"/>
  <c r="K44" i="3"/>
  <c r="K28" i="3"/>
  <c r="K35" i="3"/>
  <c r="K30" i="3"/>
  <c r="K39" i="3"/>
  <c r="K46" i="3"/>
  <c r="AN6" i="6"/>
  <c r="AP6" i="6"/>
  <c r="AP7" i="6"/>
  <c r="AN7" i="6"/>
  <c r="K12" i="3"/>
  <c r="K40" i="3"/>
  <c r="AP11" i="6"/>
  <c r="AN11" i="6"/>
  <c r="V32" i="6"/>
  <c r="V27" i="6"/>
  <c r="V12" i="6"/>
  <c r="V19" i="6"/>
  <c r="V22" i="6"/>
  <c r="V34" i="6"/>
  <c r="V44" i="6"/>
  <c r="V42" i="6"/>
  <c r="V21" i="6"/>
  <c r="V14" i="6"/>
  <c r="V4" i="6"/>
  <c r="V16" i="6"/>
  <c r="V31" i="6"/>
  <c r="V35" i="6"/>
  <c r="V7" i="6"/>
  <c r="V9" i="6"/>
  <c r="V39" i="6"/>
  <c r="V41" i="6"/>
  <c r="V45" i="6"/>
  <c r="V6" i="6"/>
  <c r="V8" i="6"/>
  <c r="V10" i="6"/>
  <c r="V28" i="6"/>
  <c r="V26" i="6"/>
  <c r="V20" i="6"/>
  <c r="V17" i="6"/>
  <c r="V33" i="6"/>
  <c r="V43" i="6"/>
  <c r="V5" i="6"/>
  <c r="V18" i="6"/>
  <c r="V15" i="6"/>
  <c r="V13" i="6"/>
  <c r="V40" i="6"/>
  <c r="V30" i="6"/>
  <c r="V29" i="6"/>
  <c r="V37" i="6"/>
  <c r="V38" i="6"/>
  <c r="V36" i="6"/>
  <c r="V11" i="6"/>
  <c r="V3" i="6"/>
  <c r="K37" i="3"/>
  <c r="AD9" i="2"/>
  <c r="J37" i="2"/>
  <c r="AE47" i="6"/>
  <c r="C32" i="3"/>
  <c r="AL26" i="6" a="1"/>
  <c r="AL26" i="6" s="1"/>
  <c r="AN26" i="6" s="1"/>
  <c r="K31" i="3"/>
  <c r="K38" i="3"/>
  <c r="AP9" i="6"/>
  <c r="AN9" i="6"/>
  <c r="K21" i="3"/>
  <c r="AA10" i="2"/>
  <c r="Y10" i="2"/>
  <c r="F46" i="75" l="1"/>
  <c r="E47" i="75"/>
  <c r="F20" i="39"/>
  <c r="E21" i="39"/>
  <c r="E24" i="65"/>
  <c r="F23" i="65"/>
  <c r="G48" i="39"/>
  <c r="G41" i="39"/>
  <c r="E46" i="39"/>
  <c r="F45" i="39"/>
  <c r="G49" i="39"/>
  <c r="G42" i="39"/>
  <c r="F46" i="65"/>
  <c r="E47" i="65"/>
  <c r="F44" i="31"/>
  <c r="E45" i="31"/>
  <c r="F20" i="31"/>
  <c r="E21" i="31"/>
  <c r="F48" i="42"/>
  <c r="E49" i="42"/>
  <c r="F49" i="42" s="1"/>
  <c r="G23" i="31"/>
  <c r="G15" i="31"/>
  <c r="M24" i="31"/>
  <c r="L25" i="31"/>
  <c r="M25" i="31" s="1"/>
  <c r="G22" i="27"/>
  <c r="G16" i="27"/>
  <c r="G23" i="27"/>
  <c r="G17" i="27"/>
  <c r="G43" i="27"/>
  <c r="G15" i="28"/>
  <c r="M15" i="28"/>
  <c r="G14" i="25"/>
  <c r="G44" i="25"/>
  <c r="G41" i="25"/>
  <c r="M19" i="25"/>
  <c r="L20" i="25"/>
  <c r="M15" i="26"/>
  <c r="Y11" i="2"/>
  <c r="Y107" i="2" s="1"/>
  <c r="K18" i="28"/>
  <c r="P6" i="28"/>
  <c r="Y5" i="26"/>
  <c r="M25" i="26" s="1"/>
  <c r="M25" i="28"/>
  <c r="V6" i="26"/>
  <c r="X114" i="2"/>
  <c r="M45" i="27"/>
  <c r="L46" i="27"/>
  <c r="F20" i="27"/>
  <c r="E21" i="27"/>
  <c r="F45" i="27"/>
  <c r="E46" i="27"/>
  <c r="M29" i="18"/>
  <c r="L30" i="18"/>
  <c r="L17" i="23"/>
  <c r="M16" i="23"/>
  <c r="L114" i="2"/>
  <c r="L111" i="2"/>
  <c r="J4" i="26"/>
  <c r="J6" i="26" s="1"/>
  <c r="AA11" i="2"/>
  <c r="R112" i="2"/>
  <c r="R115" i="2"/>
  <c r="P5" i="26"/>
  <c r="E12" i="2"/>
  <c r="Y12" i="2"/>
  <c r="Y108" i="2" s="1"/>
  <c r="AD12" i="2"/>
  <c r="AD35" i="2"/>
  <c r="G21" i="4"/>
  <c r="N6" i="1" s="1"/>
  <c r="G18" i="4"/>
  <c r="N4" i="1" s="1"/>
  <c r="Y5" i="4"/>
  <c r="M25" i="4" s="1"/>
  <c r="G17" i="4"/>
  <c r="N3" i="1" s="1"/>
  <c r="AB4" i="4"/>
  <c r="M15" i="4"/>
  <c r="K13" i="26"/>
  <c r="E13" i="26"/>
  <c r="I6" i="26"/>
  <c r="G13" i="4"/>
  <c r="AP3" i="13"/>
  <c r="AM3" i="13"/>
  <c r="AM23" i="13" s="1"/>
  <c r="V47" i="13"/>
  <c r="M45" i="25"/>
  <c r="L46" i="25"/>
  <c r="F19" i="25"/>
  <c r="E20" i="25"/>
  <c r="F43" i="25"/>
  <c r="E44" i="25"/>
  <c r="AM26" i="13"/>
  <c r="AM46" i="13" s="1"/>
  <c r="AN26" i="13"/>
  <c r="AN46" i="13" s="1"/>
  <c r="E14" i="23"/>
  <c r="F13" i="23"/>
  <c r="E38" i="23"/>
  <c r="F37" i="23"/>
  <c r="AN46" i="6"/>
  <c r="G34" i="23"/>
  <c r="M42" i="23"/>
  <c r="L43" i="23"/>
  <c r="F4" i="4"/>
  <c r="F6" i="4" s="1"/>
  <c r="X118" i="2"/>
  <c r="X121" i="2"/>
  <c r="V4" i="4"/>
  <c r="V6" i="4" s="1"/>
  <c r="Y9" i="2"/>
  <c r="L121" i="2"/>
  <c r="L118" i="2"/>
  <c r="J4" i="4"/>
  <c r="Y122" i="2"/>
  <c r="AB10" i="2"/>
  <c r="W5" i="4"/>
  <c r="K14" i="4" s="1"/>
  <c r="N17" i="1" s="1"/>
  <c r="K13" i="4"/>
  <c r="E13" i="4"/>
  <c r="I6" i="4"/>
  <c r="E9" i="19"/>
  <c r="F8" i="19"/>
  <c r="F33" i="19"/>
  <c r="E34" i="19"/>
  <c r="M8" i="19"/>
  <c r="G5" i="19" s="1"/>
  <c r="L9" i="19"/>
  <c r="M33" i="19"/>
  <c r="L34" i="19"/>
  <c r="F8" i="18"/>
  <c r="E9" i="18"/>
  <c r="M7" i="18"/>
  <c r="G6" i="18" s="1"/>
  <c r="L8" i="18"/>
  <c r="F32" i="18"/>
  <c r="E33" i="18"/>
  <c r="N37" i="2"/>
  <c r="AL23" i="13"/>
  <c r="AN3" i="13"/>
  <c r="AN23" i="13" s="1"/>
  <c r="C48" i="3"/>
  <c r="AL46" i="6"/>
  <c r="AP26" i="6"/>
  <c r="AP47" i="6" s="1"/>
  <c r="AM26" i="6"/>
  <c r="AM46" i="6" s="1"/>
  <c r="K48" i="3"/>
  <c r="L28" i="3"/>
  <c r="AP24" i="13"/>
  <c r="AP49" i="13" s="1"/>
  <c r="K57" i="13" s="1"/>
  <c r="L57" i="13" s="1"/>
  <c r="L5" i="3"/>
  <c r="K24" i="3"/>
  <c r="AL23" i="6"/>
  <c r="AP3" i="6"/>
  <c r="AN3" i="6"/>
  <c r="AN23" i="6" s="1"/>
  <c r="AM3" i="6"/>
  <c r="AM23" i="6" s="1"/>
  <c r="D7" i="3"/>
  <c r="D15" i="3"/>
  <c r="D20" i="3"/>
  <c r="D12" i="3"/>
  <c r="D17" i="3"/>
  <c r="D13" i="3"/>
  <c r="D6" i="3"/>
  <c r="D5" i="3"/>
  <c r="D14" i="3"/>
  <c r="D18" i="3"/>
  <c r="D8" i="3"/>
  <c r="D16" i="3"/>
  <c r="D23" i="3"/>
  <c r="D9" i="3"/>
  <c r="D10" i="3"/>
  <c r="D21" i="3"/>
  <c r="D11" i="3"/>
  <c r="D4" i="3"/>
  <c r="V24" i="13"/>
  <c r="V49" i="13" s="1"/>
  <c r="D22" i="3"/>
  <c r="AE49" i="6"/>
  <c r="D19" i="3"/>
  <c r="V24" i="6"/>
  <c r="V47" i="6"/>
  <c r="AC10" i="2"/>
  <c r="AA9" i="2"/>
  <c r="Y35" i="2" l="1"/>
  <c r="AE53" i="74" s="1"/>
  <c r="AE54" i="74" s="1"/>
  <c r="E48" i="75"/>
  <c r="F47" i="75"/>
  <c r="E22" i="39"/>
  <c r="F21" i="39"/>
  <c r="E24" i="39"/>
  <c r="F24" i="65"/>
  <c r="E25" i="65"/>
  <c r="F25" i="65" s="1"/>
  <c r="E47" i="39"/>
  <c r="F46" i="39"/>
  <c r="E48" i="65"/>
  <c r="F47" i="65"/>
  <c r="F45" i="31"/>
  <c r="E46" i="31"/>
  <c r="E22" i="31"/>
  <c r="F21" i="31"/>
  <c r="Z7" i="2"/>
  <c r="Z35" i="2" s="1"/>
  <c r="G25" i="31"/>
  <c r="G17" i="31"/>
  <c r="G24" i="31"/>
  <c r="G16" i="31"/>
  <c r="G44" i="27"/>
  <c r="M14" i="28"/>
  <c r="E15" i="26"/>
  <c r="G14" i="28"/>
  <c r="G19" i="25"/>
  <c r="G15" i="25"/>
  <c r="G42" i="25"/>
  <c r="M20" i="25"/>
  <c r="L21" i="25"/>
  <c r="AB5" i="26"/>
  <c r="Y115" i="2"/>
  <c r="K14" i="28"/>
  <c r="L17" i="1" s="1"/>
  <c r="G15" i="26"/>
  <c r="Y114" i="2"/>
  <c r="G14" i="26" s="1"/>
  <c r="F5" i="26"/>
  <c r="F6" i="26" s="1"/>
  <c r="F6" i="28"/>
  <c r="M18" i="26"/>
  <c r="M12" i="1" s="1"/>
  <c r="J6" i="28"/>
  <c r="E15" i="28"/>
  <c r="Y4" i="26"/>
  <c r="G25" i="26" s="1"/>
  <c r="G25" i="28"/>
  <c r="F46" i="27"/>
  <c r="E47" i="27"/>
  <c r="F47" i="27" s="1"/>
  <c r="F21" i="27"/>
  <c r="E22" i="27"/>
  <c r="M46" i="27"/>
  <c r="G46" i="27" s="1"/>
  <c r="L47" i="27"/>
  <c r="M47" i="27" s="1"/>
  <c r="G47" i="27" s="1"/>
  <c r="L31" i="18"/>
  <c r="M30" i="18"/>
  <c r="M17" i="23"/>
  <c r="L18" i="23"/>
  <c r="W4" i="26"/>
  <c r="E14" i="26" s="1"/>
  <c r="M9" i="1" s="1"/>
  <c r="AB11" i="2"/>
  <c r="AC11" i="2"/>
  <c r="W5" i="26"/>
  <c r="K14" i="26" s="1"/>
  <c r="M17" i="1" s="1"/>
  <c r="AC12" i="2"/>
  <c r="AB12" i="2"/>
  <c r="R37" i="2"/>
  <c r="K18" i="26"/>
  <c r="P6" i="26"/>
  <c r="Y4" i="4"/>
  <c r="G25" i="4" s="1"/>
  <c r="AA5" i="4"/>
  <c r="M24" i="4" s="1"/>
  <c r="N16" i="1" s="1"/>
  <c r="Z5" i="4"/>
  <c r="M23" i="4" s="1"/>
  <c r="N15" i="1" s="1"/>
  <c r="G15" i="4"/>
  <c r="M14" i="4"/>
  <c r="F44" i="25"/>
  <c r="E45" i="25"/>
  <c r="E21" i="25"/>
  <c r="F20" i="25"/>
  <c r="M46" i="25"/>
  <c r="L47" i="25"/>
  <c r="M47" i="25" s="1"/>
  <c r="G47" i="25" s="1"/>
  <c r="F38" i="23"/>
  <c r="E39" i="23"/>
  <c r="F14" i="23"/>
  <c r="E15" i="23"/>
  <c r="G42" i="23"/>
  <c r="G35" i="23"/>
  <c r="M43" i="23"/>
  <c r="L44" i="23"/>
  <c r="Y37" i="2"/>
  <c r="Y121" i="2"/>
  <c r="X37" i="2"/>
  <c r="W4" i="4"/>
  <c r="AC9" i="2"/>
  <c r="AB9" i="2"/>
  <c r="E15" i="4"/>
  <c r="J6" i="4"/>
  <c r="G28" i="18"/>
  <c r="F9" i="19"/>
  <c r="E10" i="19"/>
  <c r="M34" i="19"/>
  <c r="G31" i="19" s="1"/>
  <c r="L35" i="19"/>
  <c r="M9" i="19"/>
  <c r="L10" i="19"/>
  <c r="F34" i="19"/>
  <c r="E35" i="19"/>
  <c r="F33" i="18"/>
  <c r="E34" i="18"/>
  <c r="F9" i="18"/>
  <c r="E10" i="18"/>
  <c r="M8" i="18"/>
  <c r="G5" i="18" s="1"/>
  <c r="L9" i="18"/>
  <c r="L37" i="2"/>
  <c r="AA35" i="2"/>
  <c r="D35" i="3"/>
  <c r="D31" i="3"/>
  <c r="D30" i="3"/>
  <c r="D45" i="3"/>
  <c r="D29" i="3"/>
  <c r="D44" i="3"/>
  <c r="D34" i="3"/>
  <c r="D47" i="3"/>
  <c r="D41" i="3"/>
  <c r="D33" i="3"/>
  <c r="D40" i="3"/>
  <c r="D39" i="3"/>
  <c r="D36" i="3"/>
  <c r="D28" i="3"/>
  <c r="D42" i="3"/>
  <c r="D37" i="3"/>
  <c r="D43" i="3"/>
  <c r="D46" i="3"/>
  <c r="D38" i="3"/>
  <c r="D24" i="3"/>
  <c r="E4" i="3"/>
  <c r="F4" i="3" s="1"/>
  <c r="D32" i="3"/>
  <c r="M5" i="3"/>
  <c r="G20" i="3" s="1"/>
  <c r="L6" i="3"/>
  <c r="M28" i="3"/>
  <c r="G28" i="3" s="1"/>
  <c r="L29" i="3"/>
  <c r="V49" i="6"/>
  <c r="AP24" i="6"/>
  <c r="AP49" i="6" s="1"/>
  <c r="K57" i="6" s="1"/>
  <c r="L57" i="6" s="1"/>
  <c r="F48" i="75" l="1"/>
  <c r="E49" i="75"/>
  <c r="F49" i="75" s="1"/>
  <c r="F24" i="39"/>
  <c r="E25" i="39"/>
  <c r="F25" i="39" s="1"/>
  <c r="F22" i="39"/>
  <c r="E23" i="39"/>
  <c r="F23" i="39" s="1"/>
  <c r="F47" i="39"/>
  <c r="E48" i="39"/>
  <c r="E49" i="65"/>
  <c r="F49" i="65" s="1"/>
  <c r="F48" i="65"/>
  <c r="F46" i="31"/>
  <c r="E47" i="31"/>
  <c r="E23" i="31"/>
  <c r="F22" i="31"/>
  <c r="G45" i="27"/>
  <c r="G16" i="25"/>
  <c r="G46" i="25"/>
  <c r="G43" i="25"/>
  <c r="G45" i="25"/>
  <c r="M21" i="25"/>
  <c r="G21" i="25" s="1"/>
  <c r="L22" i="25"/>
  <c r="E14" i="28"/>
  <c r="L9" i="1" s="1"/>
  <c r="W6" i="28"/>
  <c r="AA4" i="26"/>
  <c r="G24" i="26" s="1"/>
  <c r="M8" i="1" s="1"/>
  <c r="G24" i="28"/>
  <c r="L8" i="1" s="1"/>
  <c r="Z4" i="26"/>
  <c r="G23" i="28"/>
  <c r="L7" i="1" s="1"/>
  <c r="Z5" i="26"/>
  <c r="M23" i="26" s="1"/>
  <c r="M15" i="1" s="1"/>
  <c r="M23" i="28"/>
  <c r="L15" i="1" s="1"/>
  <c r="AA5" i="26"/>
  <c r="M24" i="26" s="1"/>
  <c r="M16" i="1" s="1"/>
  <c r="M24" i="28"/>
  <c r="L16" i="1" s="1"/>
  <c r="M14" i="26"/>
  <c r="F22" i="27"/>
  <c r="E23" i="27"/>
  <c r="F23" i="27" s="1"/>
  <c r="G7" i="19"/>
  <c r="M31" i="18"/>
  <c r="L32" i="18"/>
  <c r="M18" i="23"/>
  <c r="G17" i="23" s="1"/>
  <c r="L19" i="23"/>
  <c r="W6" i="26"/>
  <c r="AA4" i="4"/>
  <c r="G24" i="4" s="1"/>
  <c r="N8" i="1" s="1"/>
  <c r="Z4" i="4"/>
  <c r="G23" i="4" s="1"/>
  <c r="N7" i="1" s="1"/>
  <c r="G23" i="26"/>
  <c r="M7" i="1" s="1"/>
  <c r="G14" i="4"/>
  <c r="F21" i="25"/>
  <c r="E22" i="25"/>
  <c r="F45" i="25"/>
  <c r="E46" i="25"/>
  <c r="E40" i="23"/>
  <c r="F39" i="23"/>
  <c r="F15" i="23"/>
  <c r="E16" i="23"/>
  <c r="AC35" i="2"/>
  <c r="AB35" i="2"/>
  <c r="Y38" i="2"/>
  <c r="G18" i="23"/>
  <c r="G43" i="23"/>
  <c r="G36" i="23"/>
  <c r="M44" i="23"/>
  <c r="L45" i="23"/>
  <c r="E14" i="4"/>
  <c r="N9" i="1" s="1"/>
  <c r="W6" i="4"/>
  <c r="F10" i="19"/>
  <c r="E11" i="19"/>
  <c r="F35" i="19"/>
  <c r="E36" i="19"/>
  <c r="M10" i="19"/>
  <c r="G8" i="19" s="1"/>
  <c r="L11" i="19"/>
  <c r="M35" i="19"/>
  <c r="L36" i="19"/>
  <c r="F34" i="18"/>
  <c r="E35" i="18"/>
  <c r="M9" i="18"/>
  <c r="G7" i="18" s="1"/>
  <c r="L10" i="18"/>
  <c r="F10" i="18"/>
  <c r="E11" i="18"/>
  <c r="M29" i="3"/>
  <c r="G29" i="3" s="1"/>
  <c r="L30" i="3"/>
  <c r="E28" i="3"/>
  <c r="F28" i="3" s="1"/>
  <c r="D48" i="3"/>
  <c r="M6" i="3"/>
  <c r="G4" i="3" s="1"/>
  <c r="L7" i="3"/>
  <c r="E5" i="3"/>
  <c r="E49" i="39" l="1"/>
  <c r="F49" i="39" s="1"/>
  <c r="F48" i="39"/>
  <c r="E48" i="31"/>
  <c r="F47" i="31"/>
  <c r="F23" i="31"/>
  <c r="E24" i="31"/>
  <c r="G20" i="25"/>
  <c r="M22" i="25"/>
  <c r="L23" i="25"/>
  <c r="M23" i="25" s="1"/>
  <c r="M32" i="18"/>
  <c r="L33" i="18"/>
  <c r="M19" i="23"/>
  <c r="G19" i="23" s="1"/>
  <c r="L20" i="23"/>
  <c r="F46" i="25"/>
  <c r="E47" i="25"/>
  <c r="F47" i="25" s="1"/>
  <c r="F22" i="25"/>
  <c r="E23" i="25"/>
  <c r="F23" i="25" s="1"/>
  <c r="E17" i="23"/>
  <c r="F16" i="23"/>
  <c r="F40" i="23"/>
  <c r="E41" i="23"/>
  <c r="E29" i="3"/>
  <c r="F29" i="3" s="1"/>
  <c r="G44" i="23"/>
  <c r="G37" i="23"/>
  <c r="M45" i="23"/>
  <c r="L46" i="23"/>
  <c r="F11" i="19"/>
  <c r="E12" i="19"/>
  <c r="F36" i="19"/>
  <c r="E37" i="19"/>
  <c r="M36" i="19"/>
  <c r="L37" i="19"/>
  <c r="M11" i="19"/>
  <c r="L12" i="19"/>
  <c r="F11" i="18"/>
  <c r="E12" i="18"/>
  <c r="M10" i="18"/>
  <c r="G8" i="18" s="1"/>
  <c r="L11" i="18"/>
  <c r="F35" i="18"/>
  <c r="E36" i="18"/>
  <c r="M7" i="3"/>
  <c r="G6" i="3" s="1"/>
  <c r="L8" i="3"/>
  <c r="F5" i="3"/>
  <c r="E6" i="3"/>
  <c r="M30" i="3"/>
  <c r="G45" i="3" s="1"/>
  <c r="L31" i="3"/>
  <c r="F48" i="31" l="1"/>
  <c r="E49" i="31"/>
  <c r="F49" i="31" s="1"/>
  <c r="F24" i="31"/>
  <c r="E25" i="31"/>
  <c r="F25" i="31" s="1"/>
  <c r="G23" i="25"/>
  <c r="G18" i="25"/>
  <c r="G22" i="25"/>
  <c r="G17" i="25"/>
  <c r="L34" i="18"/>
  <c r="M33" i="18"/>
  <c r="G29" i="18" s="1"/>
  <c r="L21" i="23"/>
  <c r="M20" i="23"/>
  <c r="F41" i="23"/>
  <c r="E42" i="23"/>
  <c r="E18" i="23"/>
  <c r="F17" i="23"/>
  <c r="E30" i="3"/>
  <c r="F30" i="3" s="1"/>
  <c r="G45" i="23"/>
  <c r="G40" i="23"/>
  <c r="M46" i="23"/>
  <c r="L47" i="23"/>
  <c r="M47" i="23" s="1"/>
  <c r="G30" i="18"/>
  <c r="F12" i="19"/>
  <c r="E13" i="19"/>
  <c r="F37" i="19"/>
  <c r="E38" i="19"/>
  <c r="M12" i="19"/>
  <c r="G9" i="19" s="1"/>
  <c r="L13" i="19"/>
  <c r="M37" i="19"/>
  <c r="G33" i="19" s="1"/>
  <c r="L38" i="19"/>
  <c r="F36" i="18"/>
  <c r="E37" i="18"/>
  <c r="M11" i="18"/>
  <c r="L12" i="18"/>
  <c r="F12" i="18"/>
  <c r="E13" i="18"/>
  <c r="M31" i="3"/>
  <c r="G30" i="3" s="1"/>
  <c r="L32" i="3"/>
  <c r="F6" i="3"/>
  <c r="E7" i="3"/>
  <c r="M8" i="3"/>
  <c r="G5" i="3" s="1"/>
  <c r="L9" i="3"/>
  <c r="L35" i="18" l="1"/>
  <c r="M34" i="18"/>
  <c r="G20" i="23"/>
  <c r="G13" i="23"/>
  <c r="M21" i="23"/>
  <c r="L22" i="23"/>
  <c r="F18" i="23"/>
  <c r="E19" i="23"/>
  <c r="E43" i="23"/>
  <c r="F42" i="23"/>
  <c r="E31" i="3"/>
  <c r="E32" i="3" s="1"/>
  <c r="G47" i="23"/>
  <c r="G41" i="23"/>
  <c r="G46" i="23"/>
  <c r="G38" i="23"/>
  <c r="G31" i="18"/>
  <c r="F13" i="19"/>
  <c r="E14" i="19"/>
  <c r="F38" i="19"/>
  <c r="E39" i="19"/>
  <c r="M38" i="19"/>
  <c r="G34" i="19" s="1"/>
  <c r="L39" i="19"/>
  <c r="M13" i="19"/>
  <c r="L14" i="19"/>
  <c r="M12" i="18"/>
  <c r="G9" i="18" s="1"/>
  <c r="L13" i="18"/>
  <c r="F13" i="18"/>
  <c r="E14" i="18"/>
  <c r="F37" i="18"/>
  <c r="E38" i="18"/>
  <c r="F7" i="3"/>
  <c r="E8" i="3"/>
  <c r="M9" i="3"/>
  <c r="G7" i="3" s="1"/>
  <c r="L10" i="3"/>
  <c r="M32" i="3"/>
  <c r="G32" i="3" s="1"/>
  <c r="L33" i="3"/>
  <c r="L36" i="18" l="1"/>
  <c r="M35" i="18"/>
  <c r="M22" i="23"/>
  <c r="L23" i="23"/>
  <c r="M23" i="23" s="1"/>
  <c r="G21" i="23"/>
  <c r="G14" i="23"/>
  <c r="E44" i="23"/>
  <c r="F43" i="23"/>
  <c r="F19" i="23"/>
  <c r="E20" i="23"/>
  <c r="F31" i="3"/>
  <c r="G10" i="19"/>
  <c r="F14" i="19"/>
  <c r="E15" i="19"/>
  <c r="F39" i="19"/>
  <c r="E40" i="19"/>
  <c r="M14" i="19"/>
  <c r="L15" i="19"/>
  <c r="M39" i="19"/>
  <c r="G35" i="19" s="1"/>
  <c r="L40" i="19"/>
  <c r="F38" i="18"/>
  <c r="E39" i="18"/>
  <c r="F14" i="18"/>
  <c r="E15" i="18"/>
  <c r="M13" i="18"/>
  <c r="L14" i="18"/>
  <c r="M33" i="3"/>
  <c r="G47" i="3" s="1"/>
  <c r="L34" i="3"/>
  <c r="M10" i="3"/>
  <c r="G8" i="3" s="1"/>
  <c r="L11" i="3"/>
  <c r="F32" i="3"/>
  <c r="E33" i="3"/>
  <c r="F8" i="3"/>
  <c r="E9" i="3"/>
  <c r="L37" i="18" l="1"/>
  <c r="M36" i="18"/>
  <c r="G32" i="18" s="1"/>
  <c r="G23" i="23"/>
  <c r="G16" i="23"/>
  <c r="G22" i="23"/>
  <c r="G15" i="23"/>
  <c r="E21" i="23"/>
  <c r="F20" i="23"/>
  <c r="E45" i="23"/>
  <c r="F44" i="23"/>
  <c r="G10" i="18"/>
  <c r="F15" i="19"/>
  <c r="E16" i="19"/>
  <c r="M40" i="19"/>
  <c r="L41" i="19"/>
  <c r="M15" i="19"/>
  <c r="L16" i="19"/>
  <c r="F40" i="19"/>
  <c r="E41" i="19"/>
  <c r="M14" i="18"/>
  <c r="L15" i="18"/>
  <c r="F15" i="18"/>
  <c r="E16" i="18"/>
  <c r="F39" i="18"/>
  <c r="E40" i="18"/>
  <c r="F9" i="3"/>
  <c r="E10" i="3"/>
  <c r="F33" i="3"/>
  <c r="E34" i="3"/>
  <c r="M11" i="3"/>
  <c r="G13" i="3" s="1"/>
  <c r="L12" i="3"/>
  <c r="M34" i="3"/>
  <c r="G31" i="3" s="1"/>
  <c r="L35" i="3"/>
  <c r="G11" i="19" l="1"/>
  <c r="G13" i="19"/>
  <c r="M37" i="18"/>
  <c r="G33" i="18" s="1"/>
  <c r="L38" i="18"/>
  <c r="F45" i="23"/>
  <c r="E46" i="23"/>
  <c r="E22" i="23"/>
  <c r="F21" i="23"/>
  <c r="F16" i="19"/>
  <c r="E17" i="19"/>
  <c r="F41" i="19"/>
  <c r="E42" i="19"/>
  <c r="M16" i="19"/>
  <c r="L17" i="19"/>
  <c r="M41" i="19"/>
  <c r="G36" i="19" s="1"/>
  <c r="L42" i="19"/>
  <c r="F40" i="18"/>
  <c r="E41" i="18"/>
  <c r="F16" i="18"/>
  <c r="E17" i="18"/>
  <c r="M15" i="18"/>
  <c r="G11" i="18" s="1"/>
  <c r="L16" i="18"/>
  <c r="M12" i="3"/>
  <c r="G9" i="3" s="1"/>
  <c r="L13" i="3"/>
  <c r="M35" i="3"/>
  <c r="G33" i="3" s="1"/>
  <c r="L36" i="3"/>
  <c r="F34" i="3"/>
  <c r="E35" i="3"/>
  <c r="F10" i="3"/>
  <c r="E11" i="3"/>
  <c r="M38" i="18" l="1"/>
  <c r="G34" i="18" s="1"/>
  <c r="L39" i="18"/>
  <c r="F22" i="23"/>
  <c r="E23" i="23"/>
  <c r="F23" i="23" s="1"/>
  <c r="F46" i="23"/>
  <c r="E47" i="23"/>
  <c r="F47" i="23" s="1"/>
  <c r="F17" i="19"/>
  <c r="E18" i="19"/>
  <c r="M42" i="19"/>
  <c r="L43" i="19"/>
  <c r="M17" i="19"/>
  <c r="L18" i="19"/>
  <c r="F42" i="19"/>
  <c r="E43" i="19"/>
  <c r="M16" i="18"/>
  <c r="L17" i="18"/>
  <c r="F17" i="18"/>
  <c r="E18" i="18"/>
  <c r="F41" i="18"/>
  <c r="E42" i="18"/>
  <c r="F11" i="3"/>
  <c r="E12" i="3"/>
  <c r="F35" i="3"/>
  <c r="E36" i="3"/>
  <c r="M36" i="3"/>
  <c r="G42" i="3" s="1"/>
  <c r="L37" i="3"/>
  <c r="M13" i="3"/>
  <c r="G10" i="3" s="1"/>
  <c r="L14" i="3"/>
  <c r="M39" i="18" l="1"/>
  <c r="G35" i="18" s="1"/>
  <c r="L40" i="18"/>
  <c r="G37" i="19"/>
  <c r="F18" i="19"/>
  <c r="E19" i="19"/>
  <c r="F43" i="19"/>
  <c r="E44" i="19"/>
  <c r="M18" i="19"/>
  <c r="L19" i="19"/>
  <c r="M43" i="19"/>
  <c r="L44" i="19"/>
  <c r="F42" i="18"/>
  <c r="E43" i="18"/>
  <c r="F18" i="18"/>
  <c r="E19" i="18"/>
  <c r="M17" i="18"/>
  <c r="L18" i="18"/>
  <c r="M14" i="3"/>
  <c r="G19" i="3" s="1"/>
  <c r="L15" i="3"/>
  <c r="M37" i="3"/>
  <c r="G43" i="3" s="1"/>
  <c r="L38" i="3"/>
  <c r="F36" i="3"/>
  <c r="E37" i="3"/>
  <c r="F12" i="3"/>
  <c r="E13" i="3"/>
  <c r="M40" i="18" l="1"/>
  <c r="G36" i="18" s="1"/>
  <c r="L41" i="18"/>
  <c r="G38" i="19"/>
  <c r="G43" i="19"/>
  <c r="G12" i="19"/>
  <c r="G18" i="19"/>
  <c r="F19" i="19"/>
  <c r="E20" i="19"/>
  <c r="M44" i="19"/>
  <c r="L45" i="19"/>
  <c r="M19" i="19"/>
  <c r="L20" i="19"/>
  <c r="F44" i="19"/>
  <c r="E45" i="19"/>
  <c r="M18" i="18"/>
  <c r="G13" i="18" s="1"/>
  <c r="L19" i="18"/>
  <c r="F19" i="18"/>
  <c r="E20" i="18"/>
  <c r="F43" i="18"/>
  <c r="E44" i="18"/>
  <c r="F13" i="3"/>
  <c r="E14" i="3"/>
  <c r="F37" i="3"/>
  <c r="E38" i="3"/>
  <c r="M38" i="3"/>
  <c r="G34" i="3" s="1"/>
  <c r="L39" i="3"/>
  <c r="M15" i="3"/>
  <c r="G11" i="3" s="1"/>
  <c r="L16" i="3"/>
  <c r="M41" i="18" l="1"/>
  <c r="L42" i="18"/>
  <c r="G37" i="18"/>
  <c r="G12" i="18"/>
  <c r="G19" i="19"/>
  <c r="E21" i="19"/>
  <c r="F20" i="19"/>
  <c r="F45" i="19"/>
  <c r="E46" i="19"/>
  <c r="M20" i="19"/>
  <c r="L21" i="19"/>
  <c r="M45" i="19"/>
  <c r="G39" i="19" s="1"/>
  <c r="L46" i="19"/>
  <c r="F44" i="18"/>
  <c r="E45" i="18"/>
  <c r="F20" i="18"/>
  <c r="E21" i="18"/>
  <c r="M19" i="18"/>
  <c r="L20" i="18"/>
  <c r="M16" i="3"/>
  <c r="G18" i="3" s="1"/>
  <c r="L17" i="3"/>
  <c r="M39" i="3"/>
  <c r="G35" i="3" s="1"/>
  <c r="L40" i="3"/>
  <c r="F38" i="3"/>
  <c r="E39" i="3"/>
  <c r="F14" i="3"/>
  <c r="E15" i="3"/>
  <c r="M42" i="18" l="1"/>
  <c r="L43" i="18"/>
  <c r="G45" i="19"/>
  <c r="G38" i="18"/>
  <c r="G16" i="18"/>
  <c r="G20" i="19"/>
  <c r="F21" i="19"/>
  <c r="E22" i="19"/>
  <c r="M46" i="19"/>
  <c r="G42" i="19" s="1"/>
  <c r="L47" i="19"/>
  <c r="M47" i="19" s="1"/>
  <c r="G40" i="19" s="1"/>
  <c r="F46" i="19"/>
  <c r="E47" i="19"/>
  <c r="F47" i="19" s="1"/>
  <c r="M21" i="19"/>
  <c r="L22" i="19"/>
  <c r="M20" i="18"/>
  <c r="L21" i="18"/>
  <c r="F21" i="18"/>
  <c r="E22" i="18"/>
  <c r="F45" i="18"/>
  <c r="E46" i="18"/>
  <c r="F15" i="3"/>
  <c r="E16" i="3"/>
  <c r="F39" i="3"/>
  <c r="E40" i="3"/>
  <c r="M40" i="3"/>
  <c r="G36" i="3" s="1"/>
  <c r="L41" i="3"/>
  <c r="M17" i="3"/>
  <c r="G23" i="3" s="1"/>
  <c r="L18" i="3"/>
  <c r="M43" i="18" l="1"/>
  <c r="L44" i="18"/>
  <c r="G44" i="19"/>
  <c r="G47" i="19"/>
  <c r="G41" i="19"/>
  <c r="G46" i="19"/>
  <c r="G20" i="18"/>
  <c r="G21" i="19"/>
  <c r="F22" i="19"/>
  <c r="E23" i="19"/>
  <c r="F23" i="19" s="1"/>
  <c r="M22" i="19"/>
  <c r="G17" i="19" s="1"/>
  <c r="L23" i="19"/>
  <c r="M23" i="19" s="1"/>
  <c r="G16" i="19" s="1"/>
  <c r="F46" i="18"/>
  <c r="E47" i="18"/>
  <c r="F47" i="18" s="1"/>
  <c r="F22" i="18"/>
  <c r="E23" i="18"/>
  <c r="F23" i="18" s="1"/>
  <c r="M21" i="18"/>
  <c r="L22" i="18"/>
  <c r="M18" i="3"/>
  <c r="G12" i="3" s="1"/>
  <c r="L19" i="3"/>
  <c r="M41" i="3"/>
  <c r="G46" i="3" s="1"/>
  <c r="L42" i="3"/>
  <c r="F40" i="3"/>
  <c r="E41" i="3"/>
  <c r="F16" i="3"/>
  <c r="E17" i="3"/>
  <c r="M44" i="18" l="1"/>
  <c r="G39" i="18" s="1"/>
  <c r="L45" i="18"/>
  <c r="G17" i="18"/>
  <c r="G19" i="18"/>
  <c r="G40" i="18"/>
  <c r="G45" i="18"/>
  <c r="G21" i="18"/>
  <c r="G15" i="19"/>
  <c r="G22" i="19"/>
  <c r="G14" i="19"/>
  <c r="G23" i="19"/>
  <c r="M22" i="18"/>
  <c r="L23" i="18"/>
  <c r="M23" i="18" s="1"/>
  <c r="G18" i="18" s="1"/>
  <c r="F17" i="3"/>
  <c r="E18" i="3"/>
  <c r="F41" i="3"/>
  <c r="E42" i="3"/>
  <c r="M42" i="3"/>
  <c r="G37" i="3" s="1"/>
  <c r="L43" i="3"/>
  <c r="M19" i="3"/>
  <c r="G16" i="3" s="1"/>
  <c r="L20" i="3"/>
  <c r="L46" i="18" l="1"/>
  <c r="M45" i="18"/>
  <c r="G42" i="18" s="1"/>
  <c r="G47" i="18"/>
  <c r="G41" i="18"/>
  <c r="G46" i="18"/>
  <c r="G14" i="18"/>
  <c r="G23" i="18"/>
  <c r="G15" i="18"/>
  <c r="G22" i="18"/>
  <c r="M20" i="3"/>
  <c r="G21" i="3" s="1"/>
  <c r="L21" i="3"/>
  <c r="F18" i="3"/>
  <c r="E19" i="3"/>
  <c r="M43" i="3"/>
  <c r="G38" i="3" s="1"/>
  <c r="L44" i="3"/>
  <c r="F42" i="3"/>
  <c r="E43" i="3"/>
  <c r="M46" i="18" l="1"/>
  <c r="G43" i="18" s="1"/>
  <c r="L47" i="18"/>
  <c r="M47" i="18" s="1"/>
  <c r="G44" i="18" s="1"/>
  <c r="F43" i="3"/>
  <c r="E44" i="3"/>
  <c r="M44" i="3"/>
  <c r="G39" i="3" s="1"/>
  <c r="L45" i="3"/>
  <c r="F19" i="3"/>
  <c r="E20" i="3"/>
  <c r="M21" i="3"/>
  <c r="G17" i="3" s="1"/>
  <c r="L22" i="3"/>
  <c r="M22" i="3" l="1"/>
  <c r="G15" i="3" s="1"/>
  <c r="L23" i="3"/>
  <c r="M23" i="3" s="1"/>
  <c r="G14" i="3" s="1"/>
  <c r="F20" i="3"/>
  <c r="E21" i="3"/>
  <c r="M45" i="3"/>
  <c r="G40" i="3" s="1"/>
  <c r="L46" i="3"/>
  <c r="F44" i="3"/>
  <c r="E45" i="3"/>
  <c r="F21" i="3" l="1"/>
  <c r="E22" i="3"/>
  <c r="F45" i="3"/>
  <c r="E46" i="3"/>
  <c r="M46" i="3"/>
  <c r="G41" i="3" s="1"/>
  <c r="L47" i="3"/>
  <c r="M47" i="3" s="1"/>
  <c r="G44" i="3" s="1"/>
  <c r="F22" i="3" l="1"/>
  <c r="E23" i="3"/>
  <c r="F23" i="3" s="1"/>
  <c r="F46" i="3"/>
  <c r="E47" i="3"/>
  <c r="F4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FAD95EA-C91B-4D35-83DF-C6103654FF2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7923B1F-F1E2-4F28-BFFC-0280366318C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50AE765-DB9E-49DA-AA2A-356BA08B717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E6F1542-0739-4F0F-B3A2-90D64F6EAC75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D6AC18C-701B-4DCC-B655-5288BB64B6C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ED68745-EBEA-453E-8B94-40C2EFFF360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BF1C143-36D9-4F3F-B18E-168F77D0B1E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2739700-7597-4D61-9476-16C5F216185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837371B-2222-43F9-9EF6-2DDCC28C5E0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7025584-BFC5-4AED-9ACA-B9DF32FAA69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25F1693-0F80-448B-9C77-6CE8BC20EF1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6024D40-383D-4C68-8955-E6B65A5669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24BED6A-F0A8-49ED-9FB6-6A3102DDDF0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8A8488B-6EC7-4699-9F1F-F9C3C7DF77B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16D4660B-DBCD-4E90-AE2B-49E31D88FC0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4D276F0-23FB-484E-9E8A-8423E0D1E3F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940AB61-D4C1-4A2E-8A4A-3018ED60A12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6B2818F-F601-4F1E-8474-E7536FEDDB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61CFE4B-D43A-4EFE-A658-C7C10DEEA2C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8707C9E-0AFA-48D3-8501-11D4DF9CA5B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7004645-A3BD-4BEB-B12D-CE7EC7CFB9A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3184586-2229-4E38-811B-D8702D7E705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CF94C85-DD21-4BD8-B070-EC02C3ECDF4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4ED653A-918F-4FD5-9750-363C21707B3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6088E8A-B45F-4F72-8D2E-9219B6B85C8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D9A9513-5BEE-4C1E-8D9C-81D1347BFE7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28BFC02-D471-49F0-92E9-FCE3D90D005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2620B3D-F127-44C1-9A1B-44D64FF7E6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94F1D45-FDC8-453C-B0EB-969B814927F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E578BDA-161D-4422-B5B3-486B79FB8B2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218CD31-AD65-4B6F-B9FB-B60798B937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34653F1-21DF-4B81-876F-EC14A32F6D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6EEB121-A247-46B3-8B0C-FE253C6AB2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DA81336-DD90-47E4-A866-7E80083BA8B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C490C02-BCAC-43D9-BD66-23E7A845F7E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28BA3D6-AD95-413B-A6B0-84C22A2BFA4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06E7586-770A-44F2-8F67-B5D252CEC0D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997EB01-DE68-44EB-B00E-368E25CEA1B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9E77937-F02F-4DBE-8D76-8DBF49B11B2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FD4C7CC-7E13-4E57-B1AF-85F54E7CDAC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307122F-8055-4B71-8A4A-3400B8D1711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4A2E3FC-ECCE-47B8-A5E9-5495CBDA6FD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45F2B88-FC76-4C70-99E9-EA9F91B8C94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C45E95A-5FF1-4BE6-A07C-4311C8039D0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33D6CFF-66F4-49B6-8169-34DB4DE6C68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6A3D123-199C-437E-8781-E6B724B17CB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73189CB0-7E2B-41B8-A586-CAF9D5A0FD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56D271C-5480-418F-B797-F2B82E8FBB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5D88901-87E6-4D0A-8798-A33DE7E26E3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29161D-6B2A-42D8-9300-C685975D81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CEEE2E16-FD01-4542-8C57-F09E0DC9BFF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D4E37A8-94B2-44BD-873C-886FD1D574A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C18E52F-9F1F-432B-A6B6-FE682D34F2A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DFD4842-FEF1-49D4-ACAD-7FEE47A5C68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FFAC4EF-0B13-4D0B-8B2D-3CF1BEB5E08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A3C20F-A41F-4ECA-A7F8-3FF5E8702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577E5A6-E775-4922-9373-D3F126977E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A0F5657-47DC-4924-A173-48057629B17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BA0DC25-BCA0-4F2E-A81D-1E3985C8503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3202398-9EE2-456C-93F2-BA5A8A6A444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9F9942B-33A0-4597-9994-885228E2595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E64BA-0AAD-458D-A5A0-7672EB56F0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083C9AD-C341-4BB8-AF8A-B42598EB42A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97492CD-3D2F-442B-9490-746D25AC99E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83B9E9-DD18-4D03-8AEB-99553FC0252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79E476E-FCE1-4A3E-905E-100B6601B7E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A95FF17-7D9B-45C1-8608-1E8D4B3DAD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27C61BA-FDC3-414A-AEE4-2341D158D2A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1E757C-6869-457B-9E6B-66A8C6055A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C6A59BB-6EF3-466A-A772-0B0B7DE2CC8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B217D70-9ACF-41D9-BEBD-077B5D2BA2C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3AF9126-858E-4F5A-BC18-EF8FFC2C611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5CE9F1-EB1A-492C-9526-05A891AF37B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FF3F21B-8F29-4397-BA89-0545B9D240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42E2973-628A-42D8-A633-802363E3F9E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61F43EE-F9CB-4E64-B972-4C9C68568B3F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52C12B85-769C-4407-B749-50786E36BD6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D74859B-D268-4C05-A675-E2033825120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341C33C-ED66-4BA1-A39F-18425488FF6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FBE8A23-4B82-41A4-BF10-2A60ECA0A51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55A8B50-9527-45C4-94A7-F1A18556ED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D171DE9-D541-47DC-89FB-E902ACB2A35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CAF1275-00A4-46F4-AED8-686A41FFF91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A26169D-1FE8-4709-8723-0A160B4B1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5C742B6-C1FC-406F-9348-927E59FB2DC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14083FA-DCED-416F-83F6-8C07248C74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96CDA95-8BFA-4958-BCD8-4567040415C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EA80A44-09D1-42E4-A789-37500ECFBB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68DBFD5-2DA1-48FD-9271-39836FACD6A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9CA0389-7F8E-4BEA-A2AD-13925A1155A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93AEEC1-5BF0-44D0-A41B-0D3B36B092C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81A55BD-AB80-4A1E-8AC9-97226F3D523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CDFCDDC-4F1F-4D3C-BE47-EA31C063BAD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EB1FFF-5116-4E4C-A1BE-89E0F1AA9EB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5C587662-3214-4C3D-BBD6-44A7677D07F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50D26E9-E13C-4F5E-A08C-E075F47EA94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8D5923-BF97-4257-8A1F-09666AACBEF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98C2EB5-394E-42A9-8D4C-B6C3D3939F9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0E85250-FE77-4B8A-B999-EF95CE75693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4DA8CB7-9A9B-44D4-A184-D4E8AFFAC09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37870A1-4834-4097-8DBC-5F79719285A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3B4D5EF-FA08-4071-A520-0913DCFAECC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F42FCEE-78AB-473E-8589-BBF0394EAD9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89DCF40-AAE4-413B-8FE3-1FC84B8ADA1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CE40E019-D74B-409C-A3DF-6746168525F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70AA27-2E43-4F72-BB14-0B9C37D4780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02E297-017A-4BF7-A38C-C8E85DD8C00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38265D7-CD23-4375-B37A-FB030419586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0A3A294-3288-4523-B00B-3DAD7E04782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C29FA4E-F3C1-459D-A379-725D0F4187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E38EA0-B2B9-4587-B1C6-E0A1240498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683BC87-CA4A-4182-B013-089FD30A048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EED13AA-2A6F-4629-8E70-CAD0A7B5A05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9DE752D-114F-4504-82E3-4A8CBAA80A1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3B8D58F-3132-4BA0-8786-63223048E65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E028EF4-B3C9-4FBD-810F-598973BCB54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7840330-5DE9-4CA5-86E6-D53467C9346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752499E-C2CE-4DAB-A917-7046F6B3ED3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F090C36-B6C0-4C33-835B-4E205F159C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045DC03-9088-4D4C-BE24-D54249D440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7B17D38-CE58-4B83-AE89-6A2A60AB951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53B1913-4CE7-410F-B541-BE13CE44C1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8F611AA-131E-4AAC-BF93-B32DDC5A9A7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F6111E5-22FA-4DC2-A7F2-0343C6BC810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A58CC43-4375-4079-BBA5-D9C9BFA03A0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6F15DBE-4A67-4DC3-BD79-D26A2BEE9F5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B53D30B-8894-438D-9F0B-B40DADD1E0D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8369930-60E7-4399-BF48-50EB702146E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4963B0C-3ED8-409F-80C1-58A3B8CE72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2B8BCB5-1780-4FAC-B98E-4D553E2E6CB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4F5EAA78-2F34-4E02-BEC2-CBD39D43E0A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92E35E7-A01C-4471-809E-D84EA1274B0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7A642D6-55B4-45BB-9DF0-63EBDF6BE33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B43411E-1DD8-42D2-833A-A3041507332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622EF6C-127F-4EC1-A727-81EC19B67F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E5E2708B-B065-462D-AF70-F65B6F7642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50F773D-5DDF-433D-9D4F-B8D3236E832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DA8F644-A99D-40F1-A6BE-85D2AD08BA4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7EA7FE4-704D-4F7E-ABBA-89C0B725DF1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02F1255-9905-4790-A946-C023F834D6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6712489-FBC4-4592-AF8D-EFF638BD926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B6224012-D8E7-4A3D-B96E-9B1D20EC1CA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A9DE989-8F2D-4808-9CAC-175E3F351A3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1931C40-E041-48C3-AF2E-74A93703036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B5E293B-4902-4C0E-9CBF-0E2B9CC1C3E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C92C0F3-1D99-4920-8527-B96AD4E3E63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8CA42D7-DE57-4581-B257-C2479F8F385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E33FBD8-1A62-4D3E-9A22-209F5D9D48A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50996578-34E0-4577-A069-860033E6743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0264A93-502D-4AA7-AB3C-90A296130FB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7521F2A-1244-4A98-8B8A-F69D3F7C1C9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46EF3CC-5F1C-4655-85EC-35343E06CC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4F1EBDD-BF09-40C9-B599-85D6F26DB08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15D916D-A0DC-4862-97B9-74BE805D2E9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02066A3-C0F1-4E3D-A4E7-A8FE64660C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C521AA8-BDA1-48CE-8BBD-767AF0A856D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6EE305C-DF20-4822-9BE7-1A59DB16ED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69BFEE6-5E95-4C08-B269-ED14E7039C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C102AA5D-C39B-4475-B55A-89507015393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25FBBDE-4136-47B4-8C4C-DA0B8A214CA1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D2C9943-3EF9-466C-8E48-9154DC1ACF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0E4B251-2290-4FDB-B732-9218EECE3A6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B054252-F4B3-46B2-96F8-8E225E9DA73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E77FC52-A462-46EB-9D45-300D56248E9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1430B8C-0710-47E6-B068-E3E960F870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E3FE1BE-A340-4BA5-A072-0BA604AF8E4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D3E05D9-A5EB-4440-BDB5-C1A9C11BD25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19C1788-143E-45AF-ABFC-9A3B183BECB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5040FC2-5068-447A-839C-A6A71B9F78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69A54CB-6A6C-4615-A439-71608EF2E45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85C6BAF-10A2-474A-8CDE-8A058B009DB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584F008-02F7-4C08-B931-72E5CF5B055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C62D279-1BED-4297-991B-68CAC0CD71A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4D87397-4BB0-47F7-8C2C-0413F8D376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D09809-E26D-407C-B9B0-EA68E2DFF3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ABD93AE-9A30-4505-BE9D-6FC5CE8164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8BD31B1-EFE5-4C6A-A81B-61D4D14521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B9F3068-63C6-45E0-B5CB-1A1F319C811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8BBA968D-98AC-4331-ABB6-6C9D830F00E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41BA0FE-6A49-4825-9A15-37F8CAFEE25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9BB99E5-67DF-405D-987B-40FAE050579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742C541-9789-4B46-BE2E-CB6B4C9ABFD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8776137-2D8A-4C3A-8FC0-4AEAFA4027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E9BC639-FA12-48DD-8FA9-4BA950F18F1A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08530D-FC82-42CF-BF73-5A14913B9AF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EBD2C44-F35A-4473-A798-78AC1946B80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924F5AD-AFA2-4605-B037-D7FBAB25F49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34FFA4A-3C68-4073-9270-41D5F06BE4A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8A36E85-971F-48FB-B19F-39821624D8F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9C146FC-0980-428E-8A1F-16B8BB0C881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D101A23-C610-43FF-8D8E-25A744879C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E7A57B1-8B22-4B4D-A0C7-324B7879EFD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64D38E0-EFA9-4C67-9F32-F7CE24FC20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EFFDFB4-B987-4CB0-8482-64664310E0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7E87D-DB1C-49EA-B6B6-D3D82363565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73343D9-D936-42EA-BA78-1D500E76937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15084CD-C319-4B09-8EC8-473FFD618D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2623E1A-02EF-4F4C-8458-AE5C9267B9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5926219-FD98-4BFF-86FE-ACF673E8EA9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8017548-6F29-4BC2-85D6-4667D1709A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8011FED-690C-4193-B4FF-01F54EAE535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FDAB373-4F98-4AD5-A752-2D44BAE885F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7FFA646-F539-49AB-B066-39CE9B01F16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0DEF61-B479-4D38-9EC8-0B2C295EA72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57C4EF-7268-469B-A5CC-AE488628780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DCF41DB-1A32-4B0F-97CF-49BD91B4E9B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F929B4-BA89-48BE-8BD4-6C83BDCF15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D276FE5-0B6E-4AD7-91E6-202710BD9F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9372423-ACB4-44D1-8355-E6888CB72B6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E24DB6C-0DF6-451F-B163-E835033FBE0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DF85AFB-69FC-4BC9-9E36-1BFDB22474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8D6BB1-CBC7-4C28-AEE2-E5C24D0120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C4F15F3-E66A-4DEE-B341-D65EAACD0E5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EA7EF69-BE8A-41AE-A678-A2BF9448846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6DA9058-DC89-4030-9685-4E901B2B090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CC8B3C7-9BE9-4D3B-A6CB-98DC48D8056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DD0C43A-2988-4D6A-927F-3EB75F723E4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61AD961-2E64-4EE7-87B4-26FB958B1F0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9F11E8E-43EE-4EB4-B0B6-2A48213E0D6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AAE5D18-E119-44ED-8732-FB9C535839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2581B8-E93A-40EB-B4C0-10D398397FF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E095B06-701A-4CF7-81AD-A625ED782B7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B9E30FF-7A55-43C6-B44B-3FB6E9DE054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EFFBDA6-2C7F-46D3-B747-CDF94D6E327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DB6C3BB-DAA2-4286-92A1-3C2D073F6D8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EB692D8-2CD0-4CE8-9096-AC426AE9D8A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841A07D-1EA6-4E48-A2C4-07533B6BE3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6371CED-CE36-4ECF-880C-80265849BB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2CD01D0-FED4-4071-B09C-45FE41353E7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596D5D2-77D3-4550-8260-839F5D3C6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9BFB5C-52FA-4175-99FE-53EC688839B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584572A-394C-4D0C-B3F8-B39206D3440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11FDF9C-2803-4D77-AF29-FFD3D386B70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A35EB81-F69C-4D14-992C-5ACA0E2701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B409EC-559E-4115-92F9-ACBA4017382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E7C1747-8AD1-493F-AA7C-95EB533E99D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53393B1-0BD0-488D-A129-E7FA8294F2B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2EC784A-2BD5-4BA2-8BD8-FBC44324C7A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AF33A4E-C597-465D-92FC-01163A2DBE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B53A49-070E-4DFE-9629-1C1AB795E92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4A0ACD54-D1EF-47B1-BE9A-D34DD97F56B8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03F2C64-478F-48D6-8101-2D3C6CD3C1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8A4168-1D82-4968-B579-2504533A86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90E3032-9969-45A5-99A7-D796B16B40F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6A14E8F-76B8-4168-9465-F0FB31B962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0B79916-AB63-4BB5-8465-DCE3BCC706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120A077-4323-41DC-A094-A308745D64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B2B0FF5-45F3-466D-B78C-572CB80959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B40B88C-F426-46A2-B3ED-8DD9780892D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AD6B2B-C791-42C0-B467-FEFA14252BA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136B2EB-8671-462A-8C61-5814DC8BB31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D7E902F5-ED44-43DC-A430-E691A1C6BD7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60D61C8-2530-421E-B4B6-BC6D565904F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17D9A79-2AB6-4336-B7DC-775C744CAAA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53DA304-EFCA-40C6-99E8-5A0FF6F1602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300353D-D61F-4613-86DC-01DF8758C11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501D5DFA-2C10-432E-BBB1-950948AFB12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FFCF328-1806-4C70-ABCB-BE5FA011314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81F215E-506C-49D7-AD72-4A6429FD597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25FFCD9-98D7-4B02-9123-1F2D45A0CFA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2D89C35-EF0B-448F-B27E-F8930FB5C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E820FF0-3B7D-4346-9795-DC3895F999D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A6167F-EB3B-4DC5-A51A-6A5F2D718F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979461E-CC1F-4077-BFE3-39CD4C442E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25D40E1-B2AC-415D-A7BE-47AD521F7F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924672D-7B23-463C-AEF0-8F40B7611E4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36DC9F7-8697-41FC-A85D-50B1F14ED6C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5DC90D0-B793-4FA9-9287-EFE80132C88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770A6FA-AC33-4459-81CC-C9AAB157F80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591916E-8C81-4430-9BD2-629A341E750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B473072-DAA1-412B-AEBD-465A5AFC137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3447CA0-56EF-49BB-A38A-7EBBF1FD0D8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1DD49EC-3317-41B3-BFB7-B4C7D7E5A45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29F1278-7380-45EC-9FE8-2E968E69F51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4CC670-C027-4405-AEC5-F0F3C78A3F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3DDE4D0-AD20-43C5-B9CF-2E1D28E1526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63E5594-21EE-4AEA-94B2-8A2AE7FE6FA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417C2CB-35AF-4167-8543-64843734ADC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00A63AC-B241-4FB4-ACA5-332B024AA7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68FA8A9-39B2-4643-9771-185E305FD1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4A42DC0-B76D-4296-AE4C-4A129A08207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7307C4D-B32A-4197-B17B-740B645525E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29D3E78-9B13-4077-8870-8EEF503C66C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A1728A-04FE-437F-AA01-03B80950F38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16F4043-0C27-42D5-9B70-ACD211437C1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8C39BD1-8ACD-4AEF-9D19-B379AAFC29A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7F8472B-C58E-4E99-ABF3-4B245C381FA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FA5CF6F-AC2D-4D06-89AB-6040D9048D3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8C927C9-032A-4F17-8469-49420D0EFAF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B509D9-E1F7-4462-9277-466D96A512D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AD3FF8C-9439-4618-8284-2A36D0D290F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6B13D055-80A2-4C13-8510-8B5317E2D46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A9BC263-417C-47E0-A839-1D7BE7EB1A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AE1414-9E16-4302-96F5-7C473B68664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A49548F-9DCC-41EF-A6A8-F9A0D7A53EA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3C40153-EAE9-4013-8167-D753DB9A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5D9E730-C59A-4E51-97EA-2E4DC35825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15E58CC-3CC5-4A7C-9510-8F3012ABF2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7E3F7A5D-C7C8-41A3-B0C9-227C7FC6957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D9EA671-1F95-4FF9-869A-69AAED95FA7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DA2A32-F9B6-4A46-B229-EC8955F760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63F6C53-F9B9-4B22-828B-531AE0C974B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24D6521D-3662-466C-AA3F-77D28C5459F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17438C3-21AB-42BA-B900-F1B64D02B1F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541AED9-06B7-4FEC-8384-7DD5D45F905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5A04DF2-5ADB-4602-BDF8-7A7A11EA166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0FC6C5F-B1D2-4E39-B239-71DBF311C08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867DC85-911C-436C-AE55-D4A1C13233D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2FB58C6-9711-4331-B075-DEA1DBD1F3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386D0D8-82A2-40B0-99FF-1B1B8772B99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8A69CE-8D23-41E2-9779-A6DC7150D07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1CA32F7-F1A3-4E6B-9F40-781C24C19CC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6D847AE-61B9-4FD1-A011-08786DEA36A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4F1CEF5-BCF5-41F6-A148-4D94008FC1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B566B79-DFA2-4200-9762-A6BD226A65D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348B364-8309-489C-AA8A-A07514B05E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BBE3A66-02AF-42B5-A841-FB32E6E815C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DE875EF-724E-4353-8801-67262816D75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940592E-E9B8-460D-891B-3C5292CAE8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2937397-DD15-45B4-B996-AE92361CC7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45EBED5-66DE-4EA0-9AA2-70AF3381F27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48367DF-8885-491F-A6C2-A291F0F0A9F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218917A-CC61-45C5-9241-9C3BCE22B5E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FC35742-472F-40B8-8527-48B7FB9CC1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BCDF2DA-C8DB-4E4F-81C1-60F1A9C6FAB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3E113B4-D38D-47D5-94B4-327117A2321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ABC4BB5-7BAA-43A6-8265-1D9873E552C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19CE07B-1BD3-4B8E-9A67-69128502000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D971580-0606-46E0-8C4A-779F53AE1163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272C8FB-8121-4460-BCD2-25CDE613A6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75DE782-2959-4A75-8FCB-CFEB7635C8D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BFAAE20-7FEA-4B1E-BCB1-7B113B5F2F1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EEC625A-F469-4F0B-9E2A-D1AE788DC3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3E3A62F-BB33-41A8-AD6C-471DA1ED7FC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195F03D-E937-4F0B-AA31-C21F3A0E2C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33E4E8E-40F6-4565-A5FD-9735E86280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345EA11-F138-4B84-9F35-609926D2D2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8606FA9-CE7C-40B8-B3E4-DAA822DBD6F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74F17B3-7565-440A-9D51-D5439099484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C4A702A-0E0F-4C2C-909C-25C6F9A7002B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F54371A-4020-4B0E-A8DA-8047A981B2C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FF53F76-51D7-4C00-BFB2-BC802FD5CFF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56FF620-0E8D-4195-97EC-5E187BFA210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5512C10-CC48-43FA-B337-04EA72909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79224B5-C125-4BFF-B870-D92FBC706E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3CDF8A1-6439-4B43-8906-D53C43BDBCE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D8C70B5-FD4B-43B7-9710-3EA804F4126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578D722-9627-48D1-AEE5-EECD31BA571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5788036-A394-4C29-A893-FD9BAA98A07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09E76AD-56B7-4F7C-9591-040C59DA010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8988C38-B20F-426E-9A38-EC145802CB1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4646FF-4811-4653-BD72-9D235B69E6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C2E2112-B936-4A08-A5C3-9B3E1846089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38A8018-DC2E-41DA-90F4-58944439050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FD20DA-4C77-4363-8B09-FA08019279D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891F273-A38D-4F7A-A317-B39CA95F04C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7056AEC-0045-45D3-97F3-2BFCFE4C73B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8CC37A2-7010-47DD-835E-CDE43AF2BBA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A76F17E-61EB-435C-BC51-3D2799E9A49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220B1D-0F86-405E-A70D-F6BFCDB638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9280239-FB33-474B-9E3A-3904CE45296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389ECDE-34C8-4B49-8822-41333973FA8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B576DF3-AD8F-4B5A-AF71-32DA67F366F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9550C7F-8E9E-45AB-9F81-55DDD33BAF1F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8C929948-501F-4059-AB32-EE3180C87B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4A81CA0-59AC-43DE-B77E-9D44A739BA8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6030C47-A60F-4025-B057-9150322FDC5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8612EE8-DF48-4DB0-AFF9-F74848B4AB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E2BF16E-6EF0-478C-A570-BC12A6EB93E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4346B3C-C92D-4047-896A-163F51F3608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ACE75B6-D9B0-4611-B8F7-0D51C29F21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6BD0DF5-EE37-4E5E-AA3F-5BC87D712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EBD36BA-71E2-4E1C-842A-355916B6872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BF855BC-BF47-496E-A14D-9645CB1328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F5EDDB8-F749-4B8D-B0E4-1B172EA9F1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0502E45-8EF1-4063-8CF2-83C0077423A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B3C42FB-416C-4470-813B-C191C3F8738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399284D-B906-4591-803D-D72023CF0A8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<sst xmlns="http://schemas.openxmlformats.org/spreadsheetml/2006/main" count="62717" uniqueCount="1997">
  <si>
    <t>Период: 06.10.2025-12.10.2025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</si>
  <si>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</si>
  <si>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</si>
  <si>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</si>
  <si>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</si>
  <si>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</si>
  <si>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</si>
  <si>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</si>
  <si>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</si>
  <si>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</si>
  <si>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</si>
  <si>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</si>
  <si>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</si>
  <si>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</si>
  <si>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</si>
  <si>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</si>
  <si>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0198503989-0029</t>
  </si>
  <si>
    <t>Услуги агентов</t>
  </si>
  <si>
    <t>Эквайринг</t>
  </si>
  <si>
    <t>MR Р1886 корич</t>
  </si>
  <si>
    <t>2730129805</t>
  </si>
  <si>
    <t>Очки солнцезащитные</t>
  </si>
  <si>
    <t/>
  </si>
  <si>
    <t>29719531-0233</t>
  </si>
  <si>
    <t>0148768283-0051</t>
  </si>
  <si>
    <t>черные с железкой классика</t>
  </si>
  <si>
    <t>2638219896</t>
  </si>
  <si>
    <t>67130864-0308-1</t>
  </si>
  <si>
    <t>Услуги доставки</t>
  </si>
  <si>
    <t>Логистика</t>
  </si>
  <si>
    <t>FBO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</si>
  <si>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</si>
  <si>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</si>
  <si>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</si>
  <si>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</si>
  <si>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</si>
  <si>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</si>
  <si>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Доставка до места выдачи</t>
  </si>
  <si>
    <t>47937254-0435-5</t>
  </si>
  <si>
    <t>tunika06 черная</t>
  </si>
  <si>
    <t>2774718470</t>
  </si>
  <si>
    <t>Платье пляжное туника</t>
  </si>
  <si>
    <t>47937254-0435-3</t>
  </si>
  <si>
    <t>tunika03 черная распашная</t>
  </si>
  <si>
    <t>2774708622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</si>
  <si>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</si>
  <si>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</si>
  <si>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</si>
  <si>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91473006-1467</t>
  </si>
  <si>
    <t>63859491-0293-1</t>
  </si>
  <si>
    <t>04452110-0195-1</t>
  </si>
  <si>
    <t>tunika15 кимоно бирюза</t>
  </si>
  <si>
    <t>2774722656</t>
  </si>
  <si>
    <t>67513756-0271-3</t>
  </si>
  <si>
    <t>qs коричневые</t>
  </si>
  <si>
    <t>2638569317</t>
  </si>
  <si>
    <t>0131844550-0197-4</t>
  </si>
  <si>
    <t>0158140239-0030</t>
  </si>
  <si>
    <t>70325305-0091</t>
  </si>
  <si>
    <t>14422852-0837-5</t>
  </si>
  <si>
    <t>Обработка возвратов Ozon</t>
  </si>
  <si>
    <t>15693807-0611-1</t>
  </si>
  <si>
    <t>tunika09 кимоно</t>
  </si>
  <si>
    <t>2774712116</t>
  </si>
  <si>
    <t>0180565399-0120-1</t>
  </si>
  <si>
    <t>48297602-0327-39</t>
  </si>
  <si>
    <t>tunika16 сетка белая</t>
  </si>
  <si>
    <t>2774718796</t>
  </si>
  <si>
    <t>80592063-0757-11</t>
  </si>
  <si>
    <t>32838891-0098-1</t>
  </si>
  <si>
    <t>tunika15 кимоно песочная</t>
  </si>
  <si>
    <t>2774721190</t>
  </si>
  <si>
    <t>32838891-0098-3</t>
  </si>
  <si>
    <t>18466561-0024-2</t>
  </si>
  <si>
    <t>Другие услуги</t>
  </si>
  <si>
    <t>Обеспечение материалами для упаковки товара</t>
  </si>
  <si>
    <t>Упаковка товара партнёрами</t>
  </si>
  <si>
    <t>Продвижение и реклама</t>
  </si>
  <si>
    <t>Закрепление отзыва</t>
  </si>
  <si>
    <t>За товары с закрепленным отзывом 05.10.2025</t>
  </si>
  <si>
    <t>Баллы за отзывы</t>
  </si>
  <si>
    <t>16934513</t>
  </si>
  <si>
    <t>Оплата за клик</t>
  </si>
  <si>
    <t>16934514</t>
  </si>
  <si>
    <t>Продвижение с оплатой за заказ</t>
  </si>
  <si>
    <t>17396667</t>
  </si>
  <si>
    <t>17796833</t>
  </si>
  <si>
    <t>0111281304-0447-1</t>
  </si>
  <si>
    <t>MR8854 C2</t>
  </si>
  <si>
    <t>2638291563</t>
  </si>
  <si>
    <t>0111281304-0446-1</t>
  </si>
  <si>
    <t>0111281304-0445-1</t>
  </si>
  <si>
    <t>qs черные</t>
  </si>
  <si>
    <t>2638638550</t>
  </si>
  <si>
    <t>56624247-0344-2</t>
  </si>
  <si>
    <t>12592445-0265-2</t>
  </si>
  <si>
    <t>0147319371-0025</t>
  </si>
  <si>
    <t>05704989-0355</t>
  </si>
  <si>
    <t>tunika02 оливковая с руч вышивкой</t>
  </si>
  <si>
    <t>2774708536</t>
  </si>
  <si>
    <t>49800525-0120-1</t>
  </si>
  <si>
    <t>29719531-0233-5</t>
  </si>
  <si>
    <t>04046625-0377-3</t>
  </si>
  <si>
    <t>52723517-0319-1</t>
  </si>
  <si>
    <t>52067798-0109-2</t>
  </si>
  <si>
    <t>За товары с закрепленным отзывом 06.10.2025</t>
  </si>
  <si>
    <t>89608685-0105</t>
  </si>
  <si>
    <t>36585431-0254-3</t>
  </si>
  <si>
    <t>0186941275-0009-1</t>
  </si>
  <si>
    <t>56312149-0134-1</t>
  </si>
  <si>
    <t>0181722631-0039-2</t>
  </si>
  <si>
    <t>lux4</t>
  </si>
  <si>
    <t>2807226072</t>
  </si>
  <si>
    <t>FBS</t>
  </si>
  <si>
    <t>62600519-0094-1</t>
  </si>
  <si>
    <t>28048369-0243-1</t>
  </si>
  <si>
    <t>68619175-0104-1</t>
  </si>
  <si>
    <t>0198503989-0029-19</t>
  </si>
  <si>
    <t>89608685-0105-1</t>
  </si>
  <si>
    <t>02796362-1998-2</t>
  </si>
  <si>
    <t>44400816-0027</t>
  </si>
  <si>
    <t>За товары с закрепленным отзывом 07.10.2025</t>
  </si>
  <si>
    <t>43768736-0287</t>
  </si>
  <si>
    <t>90391971-0038-2</t>
  </si>
  <si>
    <t>38430811-0175-2</t>
  </si>
  <si>
    <t>91473006-1467-1</t>
  </si>
  <si>
    <t>Возвраты</t>
  </si>
  <si>
    <t>Возврат выручки</t>
  </si>
  <si>
    <t>Возврат вознаграждения</t>
  </si>
  <si>
    <t>08445789-0103-1</t>
  </si>
  <si>
    <t>07864678-1829-3</t>
  </si>
  <si>
    <t>44400816-0027-2</t>
  </si>
  <si>
    <t>0207653856-0007</t>
  </si>
  <si>
    <t>0147319371-0025-1</t>
  </si>
  <si>
    <t>42481848-0382-1</t>
  </si>
  <si>
    <t>Обработка отправления Drop-off (ПВЗ)</t>
  </si>
  <si>
    <t>lux6</t>
  </si>
  <si>
    <t>2807226341</t>
  </si>
  <si>
    <t>Обработка отправления Drop-off партнёрами (АПВЗ)</t>
  </si>
  <si>
    <t>49975746-0117-1</t>
  </si>
  <si>
    <t>47239104-0228-5</t>
  </si>
  <si>
    <t>76413973-0077-1</t>
  </si>
  <si>
    <t>tunika08 черная</t>
  </si>
  <si>
    <t>2774714412</t>
  </si>
  <si>
    <t>0143890162-0209-4</t>
  </si>
  <si>
    <t>17901542</t>
  </si>
  <si>
    <t>77718088-0114-1</t>
  </si>
  <si>
    <t>70325305-0091-1</t>
  </si>
  <si>
    <t>74615162-0241-2</t>
  </si>
  <si>
    <t>90384019-0037-1</t>
  </si>
  <si>
    <t>За товары с закрепленным отзывом 08.10.2025</t>
  </si>
  <si>
    <t>За товары с закрепленным отзывом 09.10.2025</t>
  </si>
  <si>
    <t>62177594-0102-1</t>
  </si>
  <si>
    <t>62698460-0025-5</t>
  </si>
  <si>
    <t>0132084418-0214-1</t>
  </si>
  <si>
    <t>99465556-0353-1</t>
  </si>
  <si>
    <t>44581592-0452-2</t>
  </si>
  <si>
    <t>50336638-0062</t>
  </si>
  <si>
    <t>0197499956-0022-1</t>
  </si>
  <si>
    <t>17200850-0323-2</t>
  </si>
  <si>
    <t>0111876415-0334-1</t>
  </si>
  <si>
    <t>0195972967-0004</t>
  </si>
  <si>
    <t>34643444-0631-1</t>
  </si>
  <si>
    <t>0112256067-0690</t>
  </si>
  <si>
    <t>05704989-0355-11</t>
  </si>
  <si>
    <t>0112606151-0080-3</t>
  </si>
  <si>
    <t>81989811-0014-1</t>
  </si>
  <si>
    <t>47239104-0228-3</t>
  </si>
  <si>
    <t>За товары с закрепленным отзывом 10.10.2025</t>
  </si>
  <si>
    <t>47239104-0228-1</t>
  </si>
  <si>
    <t>0120843251-0088-5</t>
  </si>
  <si>
    <t>tunika06 белая</t>
  </si>
  <si>
    <t>2774720465</t>
  </si>
  <si>
    <t>33325701-0087-3</t>
  </si>
  <si>
    <t>80897620-0261-1</t>
  </si>
  <si>
    <t>95096479-0079-2</t>
  </si>
  <si>
    <t>0112256067-0690-1</t>
  </si>
  <si>
    <t>37344698-0312-1</t>
  </si>
  <si>
    <t>86586773-0161</t>
  </si>
  <si>
    <t>80672135-0203</t>
  </si>
  <si>
    <t>58002448-0148</t>
  </si>
  <si>
    <t>За товары с закрепленным отзывом 11.10.2025</t>
  </si>
  <si>
    <t>06-12.10</t>
  </si>
  <si>
    <t>на 1 единицу проданного товара</t>
  </si>
  <si>
    <t>Артикул поставщика</t>
  </si>
  <si>
    <r>
      <t xml:space="preserve">Остаток на 14.10
</t>
    </r>
    <r>
      <rPr>
        <i/>
        <sz val="9"/>
        <rFont val="Calibri"/>
        <family val="2"/>
        <charset val="204"/>
      </rPr>
      <t>Отчет 23</t>
    </r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</si>
  <si>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</si>
  <si>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</si>
  <si>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</si>
  <si>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</si>
  <si>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</si>
  <si>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</si>
  <si>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</si>
  <si>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</si>
  <si>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</si>
  <si>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</si>
  <si>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</si>
  <si>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</si>
  <si>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</si>
  <si>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</si>
  <si>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</si>
  <si>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</si>
  <si>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</si>
  <si>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</si>
  <si>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</si>
  <si>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</si>
  <si>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</si>
  <si>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</si>
  <si>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Реклама</t>
  </si>
  <si>
    <t>Хранение</t>
  </si>
  <si>
    <t>Штрафы</t>
  </si>
  <si>
    <t>Налог 1%+
НДС 5%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</si>
  <si>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</si>
  <si>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</si>
  <si>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</si>
  <si>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</si>
  <si>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</si>
  <si>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</si>
  <si>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</si>
  <si>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</si>
  <si>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</si>
  <si>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</si>
  <si>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qs синие</t>
  </si>
  <si>
    <t>qs желтые</t>
  </si>
  <si>
    <t>MR 1819 черн</t>
  </si>
  <si>
    <t>MR 1819 корич</t>
  </si>
  <si>
    <t>MR Р1874 черн</t>
  </si>
  <si>
    <t>MR Р1874 корич</t>
  </si>
  <si>
    <t>MR Р1886 черн глянец</t>
  </si>
  <si>
    <t>lux1</t>
  </si>
  <si>
    <t>lux2</t>
  </si>
  <si>
    <t>lux3</t>
  </si>
  <si>
    <t>lux5</t>
  </si>
  <si>
    <t>lux7</t>
  </si>
  <si>
    <t>lux8</t>
  </si>
  <si>
    <t>tunika05 белая распашная</t>
  </si>
  <si>
    <t>tunika07 кружево</t>
  </si>
  <si>
    <t>tunika08 белая</t>
  </si>
  <si>
    <t>tunika08 зеленая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</si>
  <si>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</si>
  <si>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</si>
  <si>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</si>
  <si>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</si>
  <si>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</si>
  <si>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графит</t>
  </si>
  <si>
    <t>tunika16 сетка черная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</si>
  <si>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</si>
  <si>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</si>
  <si>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</si>
  <si>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</si>
  <si>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</si>
  <si>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Период</t>
  </si>
  <si>
    <t>Дата поступления дс</t>
  </si>
  <si>
    <t>Итого к перечислению на счет, руб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</si>
  <si>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</si>
  <si>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</si>
  <si>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</si>
  <si>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</si>
  <si>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</si>
  <si>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Прочее</t>
  </si>
  <si>
    <t>Доп. услуги</t>
  </si>
  <si>
    <t>Услуги FBO</t>
  </si>
  <si>
    <t>Компенсировано</t>
  </si>
  <si>
    <t>Прочие начисления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</si>
  <si>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</si>
  <si>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</si>
  <si>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</si>
  <si>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</si>
  <si>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</si>
  <si>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</si>
  <si>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</si>
  <si>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</si>
  <si>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Общая</t>
  </si>
  <si>
    <t xml:space="preserve">Август </t>
  </si>
  <si>
    <t>Сентябрь</t>
  </si>
  <si>
    <t>Октябрь</t>
  </si>
  <si>
    <t>% от выручки за весь период</t>
  </si>
  <si>
    <t>% от выручки за последнюю неделю</t>
  </si>
  <si>
    <t>Изменение относительно прошлой недели</t>
  </si>
  <si>
    <t>Изменение прибыли за неделю</t>
  </si>
  <si>
    <t>Август</t>
  </si>
  <si>
    <t>01-31.08 очки</t>
  </si>
  <si>
    <t>01-30.09 очки</t>
  </si>
  <si>
    <t>01-30.09 туники</t>
  </si>
  <si>
    <t>01-05.10 очки</t>
  </si>
  <si>
    <t>01-05.10 туники</t>
  </si>
  <si>
    <t>06-12.10 очки</t>
  </si>
  <si>
    <t>06-12.10 туники</t>
  </si>
  <si>
    <t>13-19.10 очки</t>
  </si>
  <si>
    <t>13-19.10 туники</t>
  </si>
  <si>
    <t>20-26.10 очки</t>
  </si>
  <si>
    <t>20-26.10 туники</t>
  </si>
  <si>
    <t>27-31.10 очки</t>
  </si>
  <si>
    <t>27-31.10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</si>
  <si>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</si>
  <si>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</si>
  <si>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</si>
  <si>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</si>
  <si>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</si>
  <si>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</si>
  <si>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</si>
  <si>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</si>
  <si>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</si>
  <si>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</si>
  <si>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</si>
  <si>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Итого очки</t>
  </si>
  <si>
    <t>Итого туники</t>
  </si>
  <si>
    <t>ИТОГО</t>
  </si>
  <si>
    <t>очки</t>
  </si>
  <si>
    <t>туники</t>
  </si>
  <si>
    <t>Неделя</t>
  </si>
  <si>
    <t>Комиссия</t>
  </si>
  <si>
    <t>Маржинальность</t>
  </si>
  <si>
    <t>Рентабельность</t>
  </si>
  <si>
    <t>август</t>
  </si>
  <si>
    <t>Данные для построения диаграмм</t>
  </si>
  <si>
    <t>По магазину</t>
  </si>
  <si>
    <t>По очкам</t>
  </si>
  <si>
    <t xml:space="preserve">сентябрь </t>
  </si>
  <si>
    <t>40</t>
  </si>
  <si>
    <t>41</t>
  </si>
  <si>
    <t>По туникам</t>
  </si>
  <si>
    <t>13-19.10</t>
  </si>
  <si>
    <r>
      <t xml:space="preserve">Остаток на 20.10
</t>
    </r>
    <r>
      <rPr>
        <i/>
        <sz val="9"/>
        <rFont val="Calibri"/>
        <family val="2"/>
        <charset val="204"/>
      </rPr>
      <t>Отчет 23</t>
    </r>
  </si>
  <si>
    <t>Период: 05.08.2025-31.08.2025</t>
  </si>
  <si>
    <t>2000027423417</t>
  </si>
  <si>
    <t>Кросс-докинг</t>
  </si>
  <si>
    <t>2000027415389</t>
  </si>
  <si>
    <t>2000027422865</t>
  </si>
  <si>
    <t>Бронирование места и персонала для поставки с неполным составом в составе грузоместа</t>
  </si>
  <si>
    <t>Трафареты</t>
  </si>
  <si>
    <t>Заказ №16934513. Электронная услуга в Интернете на сайте и/или в приложении www.ozon.ru для кампании в формате "Трафареты" в период 18.08.2025 - 18.08.2025</t>
  </si>
  <si>
    <t>Заказ №16934513. Электронная услуга в Интернете на сайте и/или в приложении www.ozon.ru для кампании в формате "Трафареты" в период 19.08.2025 - 19.08.2025</t>
  </si>
  <si>
    <t>2000027414144</t>
  </si>
  <si>
    <t>87817025-0053</t>
  </si>
  <si>
    <t>2000027424022</t>
  </si>
  <si>
    <t>Заказ №16934513. Электронная услуга в Интернете на сайте и/или в приложении www.ozon.ru для кампании в формате "Трафареты" в период 20.08.2025 - 20.08.2025</t>
  </si>
  <si>
    <t>Заказ №16934513. Электронная услуга в Интернете на сайте и/или в приложении www.ozon.ru для кампании в формате "Трафареты" в период 21.08.2025 - 21.08.2025</t>
  </si>
  <si>
    <t>Заказ №16934513. Электронная услуга в Интернете на сайте и/или в приложении www.ozon.ru для кампании в формате "Трафареты" в период 22.08.2025 - 22.08.2025</t>
  </si>
  <si>
    <t>74154292-0053</t>
  </si>
  <si>
    <t>Заказ №16934513. Электронная услуга в Интернете на сайте и/или в приложении www.ozon.ru для кампании в формате "Трафареты" в период 23.08.2025 - 23.08.2025</t>
  </si>
  <si>
    <t>0129302963-0005</t>
  </si>
  <si>
    <t>0106982715-0091</t>
  </si>
  <si>
    <t>70830233-0362-2</t>
  </si>
  <si>
    <t>70830233-0362</t>
  </si>
  <si>
    <t>Заказ №16934513. Электронная услуга в Интернете на сайте и/или в приложении www.ozon.ru для кампании в формате "Трафареты" в период 24.08.2025 - 24.08.2025</t>
  </si>
  <si>
    <t>34454448-0051-1</t>
  </si>
  <si>
    <t>34454448-0051</t>
  </si>
  <si>
    <t>Заказ №16934513. Электронная услуга в Интернете на сайте и/или в приложении www.ozon.ru для кампании в формате "Трафареты" в период 25.08.2025 - 25.08.2025</t>
  </si>
  <si>
    <t>87817025-0053-3</t>
  </si>
  <si>
    <t>Заказ №16934513. Электронная услуга в Интернете на сайте и/или в приложении www.ozon.ru для кампании в формате "Трафареты" в период 26.08.2025 - 26.08.2025</t>
  </si>
  <si>
    <t>Заказ №16934513. Электронная услуга в Интернете на сайте и/или в приложении www.ozon.ru для кампании в формате "Трафареты" в период 27.08.2025 - 27.08.2025</t>
  </si>
  <si>
    <t>67594314-0064</t>
  </si>
  <si>
    <t>0106982715-0091-1</t>
  </si>
  <si>
    <t>Заказ №16934513. Электронная услуга в Интернете на сайте и/или в приложении www.ozon.ru для кампании в формате "Трафареты" в период 28.08.2025 - 28.08.2025</t>
  </si>
  <si>
    <t>0167759803-0219-1</t>
  </si>
  <si>
    <t>Обработка частичного невыкупа</t>
  </si>
  <si>
    <t>32959605-0362-6</t>
  </si>
  <si>
    <t>Заказ №16934513. Электронная услуга в Интернете на сайте и/или в приложении www.ozon.ru для кампании в формате "Трафареты" в период 29.08.2025 - 29.08.2025</t>
  </si>
  <si>
    <t>11279007-0098-1</t>
  </si>
  <si>
    <t>28892704-0017-2</t>
  </si>
  <si>
    <t>Заказ №16934513. Электронная услуга в Интернете на сайте и/или в приложении www.ozon.ru для кампании в формате "Трафареты" в период 30.08.2025 - 30.08.2025</t>
  </si>
  <si>
    <t>0128288760-0049</t>
  </si>
  <si>
    <t>Заказ №16934513. Электронная услуга в Интернете на сайте и/или в приложении www.ozon.ru для кампании в формате "Трафареты" в период 31.08.2025 - 31.08.2025</t>
  </si>
  <si>
    <t>Период: 01.09.2025-30.09.2025</t>
  </si>
  <si>
    <t>35938403-0308-13</t>
  </si>
  <si>
    <t>0115603796-0156</t>
  </si>
  <si>
    <t>93291215-0157-2</t>
  </si>
  <si>
    <t>2000028463692</t>
  </si>
  <si>
    <t>0108128737-0306-1</t>
  </si>
  <si>
    <t>12426876-0219-2</t>
  </si>
  <si>
    <t>0213823048-0003</t>
  </si>
  <si>
    <t>0115603796-0156-1</t>
  </si>
  <si>
    <t>45535904-0155-1</t>
  </si>
  <si>
    <t>67594314-0064-1</t>
  </si>
  <si>
    <t>0128288760-0049-1</t>
  </si>
  <si>
    <t>0213823048-0003-1</t>
  </si>
  <si>
    <t>2000028464557</t>
  </si>
  <si>
    <t>12426876-0219-3</t>
  </si>
  <si>
    <t>74154292-0053-2</t>
  </si>
  <si>
    <t>35722777-0390-1</t>
  </si>
  <si>
    <t>0129302963-0005-1</t>
  </si>
  <si>
    <t>62362717-0055-1</t>
  </si>
  <si>
    <t>21488822-4157</t>
  </si>
  <si>
    <t>69925567-0121</t>
  </si>
  <si>
    <t>0146134774-0042</t>
  </si>
  <si>
    <t>0197394972-0024</t>
  </si>
  <si>
    <t>0110557122-0041</t>
  </si>
  <si>
    <t>68200441-0118</t>
  </si>
  <si>
    <t>0120804382-1659</t>
  </si>
  <si>
    <t>62730992-0346-3</t>
  </si>
  <si>
    <t>05347421-0684</t>
  </si>
  <si>
    <t>0104983636-0044-9</t>
  </si>
  <si>
    <t>2730130141</t>
  </si>
  <si>
    <t>03461413-0412-5</t>
  </si>
  <si>
    <t>2638382749</t>
  </si>
  <si>
    <t>35627448-0109</t>
  </si>
  <si>
    <t>21488822-4157-1</t>
  </si>
  <si>
    <t>0197394972-0024-1</t>
  </si>
  <si>
    <t>0152055966-0017</t>
  </si>
  <si>
    <t>72851557-0035-5</t>
  </si>
  <si>
    <t>0146564987-0418</t>
  </si>
  <si>
    <t>2730129638</t>
  </si>
  <si>
    <t>75519902-0271</t>
  </si>
  <si>
    <t>0134699645-0229</t>
  </si>
  <si>
    <t>18473814-0133-1</t>
  </si>
  <si>
    <t>0152055966-0017-3</t>
  </si>
  <si>
    <t>0139215202-0121-1</t>
  </si>
  <si>
    <t>57751519-0482-1</t>
  </si>
  <si>
    <t>0146134774-0042-1</t>
  </si>
  <si>
    <t>69925567-0121-1</t>
  </si>
  <si>
    <t>87491029-0118</t>
  </si>
  <si>
    <t>2638691131</t>
  </si>
  <si>
    <t>0200784333-0010-1</t>
  </si>
  <si>
    <t>81654760-0012</t>
  </si>
  <si>
    <t>0143821204-0034</t>
  </si>
  <si>
    <t>0159879925-0154-6</t>
  </si>
  <si>
    <t>0195569524-0065</t>
  </si>
  <si>
    <t>35629819-0259</t>
  </si>
  <si>
    <t>77711471-0015-1</t>
  </si>
  <si>
    <t>0209895297-0018</t>
  </si>
  <si>
    <t>0134699645-0229-1</t>
  </si>
  <si>
    <t>0130569432-0310</t>
  </si>
  <si>
    <t>83345045-0086-1</t>
  </si>
  <si>
    <t>05347421-0684-1</t>
  </si>
  <si>
    <t>68200441-0118-1</t>
  </si>
  <si>
    <t>38175197-0199-1</t>
  </si>
  <si>
    <t>25894001-0050-1</t>
  </si>
  <si>
    <t>2730130553</t>
  </si>
  <si>
    <t>0126053750-0107-1</t>
  </si>
  <si>
    <t>81654760-0012-1</t>
  </si>
  <si>
    <t>0121800258-0057-1</t>
  </si>
  <si>
    <t>0144603502-0031-1</t>
  </si>
  <si>
    <t>87491029-0118-1</t>
  </si>
  <si>
    <t>0143821204-0034-1</t>
  </si>
  <si>
    <t>0132981880-0089-7</t>
  </si>
  <si>
    <t>14846401-0174</t>
  </si>
  <si>
    <t>04975156-1536</t>
  </si>
  <si>
    <t>68820446-0340-1</t>
  </si>
  <si>
    <t>47030667-0081-3</t>
  </si>
  <si>
    <t>63981486-0512</t>
  </si>
  <si>
    <t>0130995049-0081</t>
  </si>
  <si>
    <t>0210556527-0003</t>
  </si>
  <si>
    <t>35627448-0109-2</t>
  </si>
  <si>
    <t>89239466-0073</t>
  </si>
  <si>
    <t>04975156-1536-1</t>
  </si>
  <si>
    <t>0209509132-0004-1</t>
  </si>
  <si>
    <t>47784654-0162</t>
  </si>
  <si>
    <t>14846401-0174-2</t>
  </si>
  <si>
    <t>35629819-0259-1</t>
  </si>
  <si>
    <t>0130569432-0310-1</t>
  </si>
  <si>
    <t>0134006260-0014</t>
  </si>
  <si>
    <t>0134006260-0015</t>
  </si>
  <si>
    <t>За товары с закрепленным отзывом 16.09.2025</t>
  </si>
  <si>
    <t>17505056</t>
  </si>
  <si>
    <t>51237497-0159</t>
  </si>
  <si>
    <t>0127374946-0052-3</t>
  </si>
  <si>
    <t>42469717-0257</t>
  </si>
  <si>
    <t>0146564987-0418-1</t>
  </si>
  <si>
    <t>40929439-0775</t>
  </si>
  <si>
    <t>39153053-0676</t>
  </si>
  <si>
    <t>2730130733</t>
  </si>
  <si>
    <t>0195569524-0065-1</t>
  </si>
  <si>
    <t>0156138736-0059</t>
  </si>
  <si>
    <t>2807226201</t>
  </si>
  <si>
    <t>46543946-0226</t>
  </si>
  <si>
    <t>0184165839-0013</t>
  </si>
  <si>
    <t>0130256826-0325-2</t>
  </si>
  <si>
    <t>63981486-0512-3</t>
  </si>
  <si>
    <t>63981486-0512-5</t>
  </si>
  <si>
    <t>41669815-0158-1</t>
  </si>
  <si>
    <t>0209316001-0042</t>
  </si>
  <si>
    <t>0131163262-0198-3</t>
  </si>
  <si>
    <t>За товары с закрепленным отзывом 17.09.2025</t>
  </si>
  <si>
    <t>0106883745-0046</t>
  </si>
  <si>
    <t>0129223091-0019</t>
  </si>
  <si>
    <t>81512041-0389</t>
  </si>
  <si>
    <t>33211985-0132</t>
  </si>
  <si>
    <t>0130671091-0254-1</t>
  </si>
  <si>
    <t>0130671091-0254-7</t>
  </si>
  <si>
    <t>0130671091-0254-5</t>
  </si>
  <si>
    <t>0154280588-0027-1</t>
  </si>
  <si>
    <t>0130671091-0254-2</t>
  </si>
  <si>
    <t>0210556527-0003-1</t>
  </si>
  <si>
    <t>0210556527-0003-3</t>
  </si>
  <si>
    <t>0184165839-0013-1</t>
  </si>
  <si>
    <t>0186941275-0009</t>
  </si>
  <si>
    <t>0212811188-0004</t>
  </si>
  <si>
    <t>0127374946-0052-1</t>
  </si>
  <si>
    <t>0209895297-0018-3</t>
  </si>
  <si>
    <t>0141672081-0051-4</t>
  </si>
  <si>
    <t>2730131249</t>
  </si>
  <si>
    <t>84469698-0131-7</t>
  </si>
  <si>
    <t>0134170934-0034-1</t>
  </si>
  <si>
    <t>32126036-0177-25</t>
  </si>
  <si>
    <t>0131481807-0259-1</t>
  </si>
  <si>
    <t>За товары с закрепленным отзывом 18.09.2025</t>
  </si>
  <si>
    <t>0120804382-1659-1</t>
  </si>
  <si>
    <t>72728744-0247-7</t>
  </si>
  <si>
    <t>0110557122-0041-1</t>
  </si>
  <si>
    <t>34705010-0021-1</t>
  </si>
  <si>
    <t>0110287199-0069</t>
  </si>
  <si>
    <t>33211985-0132-3</t>
  </si>
  <si>
    <t>51237497-0159-2</t>
  </si>
  <si>
    <t>81512041-0389-1</t>
  </si>
  <si>
    <t>73796025-0145-3</t>
  </si>
  <si>
    <t>0209316001-0042-1</t>
  </si>
  <si>
    <t>0129223091-0019-4</t>
  </si>
  <si>
    <t>45962007-0406-1</t>
  </si>
  <si>
    <t>0170542007-0429</t>
  </si>
  <si>
    <t>42469717-0257-2</t>
  </si>
  <si>
    <t>57094465-0387-3</t>
  </si>
  <si>
    <t>За товары с закрепленным отзывом 19.09.2025</t>
  </si>
  <si>
    <t>29478696-0290-1</t>
  </si>
  <si>
    <t>62052392-0766</t>
  </si>
  <si>
    <t>2774719500</t>
  </si>
  <si>
    <t>0138905262-0197</t>
  </si>
  <si>
    <t>89239466-0073-1</t>
  </si>
  <si>
    <t>0130995049-0081-3</t>
  </si>
  <si>
    <t>0146950149-0091-1</t>
  </si>
  <si>
    <t>69537600-0092-3</t>
  </si>
  <si>
    <t>69097858-0518</t>
  </si>
  <si>
    <t>0157280675-0159</t>
  </si>
  <si>
    <t>32635647-0497</t>
  </si>
  <si>
    <t>17482654-0170-1</t>
  </si>
  <si>
    <t>34077351-0380-5</t>
  </si>
  <si>
    <t>39153053-0676-1</t>
  </si>
  <si>
    <t>36417819-0559</t>
  </si>
  <si>
    <t>2774709606</t>
  </si>
  <si>
    <t>24139720-0089-1</t>
  </si>
  <si>
    <t>04080953-0628</t>
  </si>
  <si>
    <t>0146348818-0150</t>
  </si>
  <si>
    <t>0106883745-0046-9</t>
  </si>
  <si>
    <t>За товары с закрепленным отзывом 20.09.2025</t>
  </si>
  <si>
    <t>42870237-0473-2</t>
  </si>
  <si>
    <t>10986518-0077</t>
  </si>
  <si>
    <t>24212579-0071</t>
  </si>
  <si>
    <t>46543946-0226-1</t>
  </si>
  <si>
    <t>75519902-0271-1</t>
  </si>
  <si>
    <t>79992252-0172-5</t>
  </si>
  <si>
    <t>2807226228</t>
  </si>
  <si>
    <t>71144495-0224</t>
  </si>
  <si>
    <t>32635647-0497-1</t>
  </si>
  <si>
    <t>2000029277614</t>
  </si>
  <si>
    <t>0117935673-0185-2</t>
  </si>
  <si>
    <t>0146348818-0150-1</t>
  </si>
  <si>
    <t>95394716-0021-1</t>
  </si>
  <si>
    <t>0116276436-0027-1</t>
  </si>
  <si>
    <t>92780468-0299-1</t>
  </si>
  <si>
    <t>40929439-0775-1</t>
  </si>
  <si>
    <t>0110287199-0069-1</t>
  </si>
  <si>
    <t>За товары с закрепленным отзывом 21.09.2025</t>
  </si>
  <si>
    <t>36417819-0559-1</t>
  </si>
  <si>
    <t>35374897-0263-2</t>
  </si>
  <si>
    <t>09494420-0259-5</t>
  </si>
  <si>
    <t>0133537656-0066-1</t>
  </si>
  <si>
    <t>69097858-0518-1</t>
  </si>
  <si>
    <t>31702768-0186</t>
  </si>
  <si>
    <t>45780462-0113-1</t>
  </si>
  <si>
    <t>47535985-0043-6</t>
  </si>
  <si>
    <t>0149701699-0134</t>
  </si>
  <si>
    <t>60313092-0256-7</t>
  </si>
  <si>
    <t>0124096049-0229</t>
  </si>
  <si>
    <t>37428721-0232</t>
  </si>
  <si>
    <t>36637517-0095-9</t>
  </si>
  <si>
    <t>0124509935-0035-2</t>
  </si>
  <si>
    <t>За товары с закрепленным отзывом 22.09.2025</t>
  </si>
  <si>
    <t>46117745-0162-1</t>
  </si>
  <si>
    <t>62594868-0250-1</t>
  </si>
  <si>
    <t>0124096049-0229-3</t>
  </si>
  <si>
    <t>0124096049-0229-1</t>
  </si>
  <si>
    <t>0104337306-0195</t>
  </si>
  <si>
    <t>04080953-0628-1</t>
  </si>
  <si>
    <t>За товары с закрепленным отзывом 23.09.2025</t>
  </si>
  <si>
    <t>32126036-0177-27</t>
  </si>
  <si>
    <t>32126036-0177-7</t>
  </si>
  <si>
    <t>32126036-0177-2</t>
  </si>
  <si>
    <t>0123685271-0054-1</t>
  </si>
  <si>
    <t>84614241-0446-4</t>
  </si>
  <si>
    <t>28920037-0146-5</t>
  </si>
  <si>
    <t>28920037-0146-7</t>
  </si>
  <si>
    <t>Обработка товара в составе грузоместа: Поштучная приёмка</t>
  </si>
  <si>
    <t>33754005-0044</t>
  </si>
  <si>
    <t>32908194-0191-1</t>
  </si>
  <si>
    <t>0149701699-0134-1</t>
  </si>
  <si>
    <t>45684794-0107</t>
  </si>
  <si>
    <t>17653222-0385-3</t>
  </si>
  <si>
    <t>00306501-0440</t>
  </si>
  <si>
    <t>24212579-0071-1</t>
  </si>
  <si>
    <t>40296616-0269-3</t>
  </si>
  <si>
    <t>49626210-0292-2</t>
  </si>
  <si>
    <t>56980993-0075</t>
  </si>
  <si>
    <t>37428721-0232-2</t>
  </si>
  <si>
    <t>0213597896-0040-1</t>
  </si>
  <si>
    <t>99765644-0323</t>
  </si>
  <si>
    <t>За товары с закрепленным отзывом 24.09.2025</t>
  </si>
  <si>
    <t>32450389-0354</t>
  </si>
  <si>
    <t>0124610367-0137</t>
  </si>
  <si>
    <t>47645980-0110-1</t>
  </si>
  <si>
    <t>36621851-0264-3</t>
  </si>
  <si>
    <t>0118514788-0242-1</t>
  </si>
  <si>
    <t>73522965-0319</t>
  </si>
  <si>
    <t>04922310-0934-2</t>
  </si>
  <si>
    <t>2774710913</t>
  </si>
  <si>
    <t>0212811188-0004-1</t>
  </si>
  <si>
    <t>37894097-0169</t>
  </si>
  <si>
    <t>38964239-0173-1</t>
  </si>
  <si>
    <t>31702768-0186-27</t>
  </si>
  <si>
    <t>0101692512-0237-1</t>
  </si>
  <si>
    <t>00306501-0440-1</t>
  </si>
  <si>
    <t>За товары с закрепленным отзывом 25.09.2025</t>
  </si>
  <si>
    <t>0110684319-0186</t>
  </si>
  <si>
    <t>32450389-0354-9</t>
  </si>
  <si>
    <t>32450389-0354-11</t>
  </si>
  <si>
    <t>32450389-0354-15</t>
  </si>
  <si>
    <t>32450389-0354-3</t>
  </si>
  <si>
    <t>32450389-0354-1</t>
  </si>
  <si>
    <t>32450389-0354-13</t>
  </si>
  <si>
    <t>0103684594-0068</t>
  </si>
  <si>
    <t>32450389-0354-7</t>
  </si>
  <si>
    <t>28219883-0052-1</t>
  </si>
  <si>
    <t>0150586712-0064-1</t>
  </si>
  <si>
    <t>0180565399-0120</t>
  </si>
  <si>
    <t>33754005-0044-1</t>
  </si>
  <si>
    <t>0102071840-0276-5</t>
  </si>
  <si>
    <t>17653222-0385-5</t>
  </si>
  <si>
    <t>0170542007-0429-1</t>
  </si>
  <si>
    <t>58468306-0648-3</t>
  </si>
  <si>
    <t>0138905262-0197-1</t>
  </si>
  <si>
    <t>47784654-0162-1</t>
  </si>
  <si>
    <t>56980993-0075-4</t>
  </si>
  <si>
    <t>46117745-0162-9</t>
  </si>
  <si>
    <t>45684794-0107-3</t>
  </si>
  <si>
    <t>37894097-0169-1</t>
  </si>
  <si>
    <t>0124610367-0137-3</t>
  </si>
  <si>
    <t>За товары с закрепленным отзывом 26.09.2025</t>
  </si>
  <si>
    <t>0149630956-0275-1</t>
  </si>
  <si>
    <t>89293479-0195-11</t>
  </si>
  <si>
    <t>92807021-0093-3</t>
  </si>
  <si>
    <t>80048540-0134</t>
  </si>
  <si>
    <t>46731413-0654-1</t>
  </si>
  <si>
    <t>99765644-0323-1</t>
  </si>
  <si>
    <t>0123286996-0050</t>
  </si>
  <si>
    <t>46216184-0076</t>
  </si>
  <si>
    <t>73522965-0319-2</t>
  </si>
  <si>
    <t>47322352-0316-15</t>
  </si>
  <si>
    <t>13357440-0051</t>
  </si>
  <si>
    <t>0104337306-0195-3</t>
  </si>
  <si>
    <t>За товары с закрепленным отзывом 27.09.2025</t>
  </si>
  <si>
    <t>63134122-0074</t>
  </si>
  <si>
    <t>0130790367-0109-3</t>
  </si>
  <si>
    <t>62052392-0766-1</t>
  </si>
  <si>
    <t>46567459-0072-21</t>
  </si>
  <si>
    <t>38200685-1131-1</t>
  </si>
  <si>
    <t>89235412-0463-2</t>
  </si>
  <si>
    <t>0123286996-0050-1</t>
  </si>
  <si>
    <t>73842529-0212-3</t>
  </si>
  <si>
    <t>17082505-0548-3</t>
  </si>
  <si>
    <t>95738658-0345-1</t>
  </si>
  <si>
    <t>61978460-0037-3</t>
  </si>
  <si>
    <t>0100715583-0501-13</t>
  </si>
  <si>
    <t>40785512-0189-5</t>
  </si>
  <si>
    <t>За товары с закрепленным отзывом 28.09.2025</t>
  </si>
  <si>
    <t>40933960-0453-1</t>
  </si>
  <si>
    <t>0151775058-0025-1</t>
  </si>
  <si>
    <t>32450389-0357</t>
  </si>
  <si>
    <t>69200867-0069-7</t>
  </si>
  <si>
    <t>46216184-0076-2</t>
  </si>
  <si>
    <t>07920023-0131</t>
  </si>
  <si>
    <t>0203698469-0020-1</t>
  </si>
  <si>
    <t>04012770-1091</t>
  </si>
  <si>
    <t>58154924-0148-1</t>
  </si>
  <si>
    <t>58468306-0648-1</t>
  </si>
  <si>
    <t>За товары с закрепленным отзывом 29.09.2025</t>
  </si>
  <si>
    <t>Период: 01.10.2025-05.10.2025</t>
  </si>
  <si>
    <t>0110684319-0186-3</t>
  </si>
  <si>
    <t>41850653-0091-2</t>
  </si>
  <si>
    <t>73522965-0319-3</t>
  </si>
  <si>
    <t>86920117-0169-1</t>
  </si>
  <si>
    <t>10986518-0077-11</t>
  </si>
  <si>
    <t>0188229761-0060-3</t>
  </si>
  <si>
    <t>63134122-0074-1</t>
  </si>
  <si>
    <t>36585431-0254</t>
  </si>
  <si>
    <t>34796461-0183-1</t>
  </si>
  <si>
    <t>13357440-0051-1</t>
  </si>
  <si>
    <t>99070860-0658-1</t>
  </si>
  <si>
    <t>51572287-0159</t>
  </si>
  <si>
    <t>04012770-1091-1</t>
  </si>
  <si>
    <t>62341128-0320</t>
  </si>
  <si>
    <t>За товары с закрепленным отзывом 30.09.2025</t>
  </si>
  <si>
    <t>07864678-1829</t>
  </si>
  <si>
    <t>0139450705-0039</t>
  </si>
  <si>
    <t>0129879746-0022-1</t>
  </si>
  <si>
    <t>0126936909-0127</t>
  </si>
  <si>
    <t>09356124-0202</t>
  </si>
  <si>
    <t>0103684594-0068-1</t>
  </si>
  <si>
    <t>80048540-0134-1</t>
  </si>
  <si>
    <t>56031448-0058</t>
  </si>
  <si>
    <t>0187836756-0009</t>
  </si>
  <si>
    <t>82292687-0025-1</t>
  </si>
  <si>
    <t>71587817-0033</t>
  </si>
  <si>
    <t>0192726407-0032</t>
  </si>
  <si>
    <t>0192726407-0033</t>
  </si>
  <si>
    <t>43355528-0471-1</t>
  </si>
  <si>
    <t>62600519-0094</t>
  </si>
  <si>
    <t>За товары с закрепленным отзывом 01.10.2025</t>
  </si>
  <si>
    <t>0134106558-0083</t>
  </si>
  <si>
    <t>49800525-0120</t>
  </si>
  <si>
    <t>0215444393-0005</t>
  </si>
  <si>
    <t>66035997-0493-2</t>
  </si>
  <si>
    <t>59879952-0165-17</t>
  </si>
  <si>
    <t>0157280675-0159-2</t>
  </si>
  <si>
    <t>0197499956-0022</t>
  </si>
  <si>
    <t>41266544-0342-2</t>
  </si>
  <si>
    <t>0126936909-0127-1</t>
  </si>
  <si>
    <t>96098415-0523-5</t>
  </si>
  <si>
    <t>37849672-0649-8</t>
  </si>
  <si>
    <t>09356124-0202-1</t>
  </si>
  <si>
    <t>0139450705-0039-1</t>
  </si>
  <si>
    <t>66788302-0136-2</t>
  </si>
  <si>
    <t>0187836756-0009-1</t>
  </si>
  <si>
    <t>56031448-0058-2</t>
  </si>
  <si>
    <t>0107679030-0199</t>
  </si>
  <si>
    <t>За товары с закрепленным отзывом 02.10.2025</t>
  </si>
  <si>
    <t>41196247-0051-2</t>
  </si>
  <si>
    <t>96951333-0246-3</t>
  </si>
  <si>
    <t>0112606151-0080</t>
  </si>
  <si>
    <t>46404943-0023-1</t>
  </si>
  <si>
    <t>0187707677-0178-1</t>
  </si>
  <si>
    <t>07920023-0131-1</t>
  </si>
  <si>
    <t>58609078-0154-3</t>
  </si>
  <si>
    <t>61270071-0171-2</t>
  </si>
  <si>
    <t>0144242290-0005</t>
  </si>
  <si>
    <t>2774719012</t>
  </si>
  <si>
    <t>0144897659-0227-2</t>
  </si>
  <si>
    <t>0134106558-0083-3</t>
  </si>
  <si>
    <t>29490829-1902-1</t>
  </si>
  <si>
    <t>19013331-0300-2</t>
  </si>
  <si>
    <t>За товары с закрепленным отзывом 03.10.2025</t>
  </si>
  <si>
    <t>32450389-0357-4</t>
  </si>
  <si>
    <t>0209898279-0011-1</t>
  </si>
  <si>
    <t>0134006260-0015-3</t>
  </si>
  <si>
    <t>0135693944-0048-3</t>
  </si>
  <si>
    <t>55527640-0017-1</t>
  </si>
  <si>
    <t>55527640-0018-1</t>
  </si>
  <si>
    <t>41196247-0051-7</t>
  </si>
  <si>
    <t>0215444393-0005-3</t>
  </si>
  <si>
    <t>80592063-0757</t>
  </si>
  <si>
    <t>67497985-0394-1</t>
  </si>
  <si>
    <t>49291767-0699-1</t>
  </si>
  <si>
    <t>47151375-0138-1</t>
  </si>
  <si>
    <t>0107679030-0199-1</t>
  </si>
  <si>
    <t>0183635673-0014-1</t>
  </si>
  <si>
    <t>71587817-0033-1</t>
  </si>
  <si>
    <t>64679411-0169-1</t>
  </si>
  <si>
    <t>За товары с закрепленным отзывом 04.10.2025</t>
  </si>
  <si>
    <t>20-26.10</t>
  </si>
  <si>
    <r>
      <t xml:space="preserve">Остаток на 27.10
</t>
    </r>
    <r>
      <rPr>
        <i/>
        <sz val="9"/>
        <rFont val="Calibri"/>
        <family val="2"/>
        <charset val="204"/>
      </rPr>
      <t>Отчет 23</t>
    </r>
  </si>
  <si>
    <t>27-31.10</t>
  </si>
  <si>
    <r>
      <t xml:space="preserve">Остаток на
</t>
    </r>
    <r>
      <rPr>
        <i/>
        <sz val="9"/>
        <rFont val="Calibri"/>
        <family val="2"/>
        <charset val="204"/>
      </rPr>
      <t>Отчет 23</t>
    </r>
  </si>
  <si>
    <t>01-31.10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</si>
  <si>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</si>
  <si>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01-05.10</t>
  </si>
  <si>
    <t>АНАЛИЗ ФИНАНСОВЫХ ПОКАЗАТЕЛЕЙ ЗА</t>
  </si>
  <si>
    <t>руб.</t>
  </si>
  <si>
    <t>На остатках товара на</t>
  </si>
  <si>
    <t>% от выручки</t>
  </si>
  <si>
    <t>% себестоимости</t>
  </si>
  <si>
    <t>01-31.08</t>
  </si>
  <si>
    <t>01-30.09</t>
  </si>
  <si>
    <t>01-31.08 туники</t>
  </si>
  <si>
    <t>tunika14 халат с разрезами черный</t>
  </si>
  <si>
    <t>Период: 13.10.2025-19.10.2025</t>
  </si>
  <si>
    <t>77625028-0224-1</t>
  </si>
  <si>
    <t>75076117-0349</t>
  </si>
  <si>
    <t>61150057-0231-13</t>
  </si>
  <si>
    <t>0197513991-0023-1</t>
  </si>
  <si>
    <t>0217944999-0009</t>
  </si>
  <si>
    <t>0210269135-0057-1</t>
  </si>
  <si>
    <t>75290465-0198-1</t>
  </si>
  <si>
    <t>33454733-0030-7</t>
  </si>
  <si>
    <t>11002282-0455</t>
  </si>
  <si>
    <t>0148768283-0051-1</t>
  </si>
  <si>
    <t>22714924360</t>
  </si>
  <si>
    <t>Временное размещение товара в СЦ/ПВЗ</t>
  </si>
  <si>
    <t>0156994717-0112-2</t>
  </si>
  <si>
    <t>86586773-0161-1</t>
  </si>
  <si>
    <t>23255475-0117-1</t>
  </si>
  <si>
    <t>За товары с закрепленным отзывом 12.10.2025</t>
  </si>
  <si>
    <t>60116181-0107-5</t>
  </si>
  <si>
    <t>2774719029</t>
  </si>
  <si>
    <t>60116181-0107-2</t>
  </si>
  <si>
    <t>2774719501</t>
  </si>
  <si>
    <t>62076961-0031</t>
  </si>
  <si>
    <t>09173815-0726-1</t>
  </si>
  <si>
    <t>80672135-0203-3</t>
  </si>
  <si>
    <t>0195972967-0004-2</t>
  </si>
  <si>
    <t>66302884-0033-1</t>
  </si>
  <si>
    <t>0102865287-0075-1</t>
  </si>
  <si>
    <t>70571559-0361-1</t>
  </si>
  <si>
    <t>11002282-0455-4</t>
  </si>
  <si>
    <t>50052897-0687-19</t>
  </si>
  <si>
    <t>2774719433</t>
  </si>
  <si>
    <t>38502366-0129-2</t>
  </si>
  <si>
    <t>0152547235-0006</t>
  </si>
  <si>
    <t>За товары с закрепленным отзывом 13.10.2025</t>
  </si>
  <si>
    <t>80733106-0802-1</t>
  </si>
  <si>
    <t>17991919</t>
  </si>
  <si>
    <t>17991926</t>
  </si>
  <si>
    <t>17991935</t>
  </si>
  <si>
    <t>17991950</t>
  </si>
  <si>
    <t>17991945</t>
  </si>
  <si>
    <t>57708824-0498-1</t>
  </si>
  <si>
    <t>0122958845-0031-2</t>
  </si>
  <si>
    <t>0146820858-0118</t>
  </si>
  <si>
    <t>0141685864-0015-1</t>
  </si>
  <si>
    <t>42953028-0170-1</t>
  </si>
  <si>
    <t>49433295-0242-5</t>
  </si>
  <si>
    <t>51572287-0159-1</t>
  </si>
  <si>
    <t>За товары с закрепленным отзывом 14.10.2025</t>
  </si>
  <si>
    <t>88277187-0229</t>
  </si>
  <si>
    <t>0143963011-0276</t>
  </si>
  <si>
    <t>85974707-0386-2</t>
  </si>
  <si>
    <t>2807226223</t>
  </si>
  <si>
    <t>0170651169-0018-1</t>
  </si>
  <si>
    <t>0217944999-0009-3</t>
  </si>
  <si>
    <t>72890267-0214-4</t>
  </si>
  <si>
    <t>85974707-0386-1</t>
  </si>
  <si>
    <t>39930467-0332-1</t>
  </si>
  <si>
    <t>0177822822-0005-1</t>
  </si>
  <si>
    <t>05376934-0560-3</t>
  </si>
  <si>
    <t>64393621-0212-3</t>
  </si>
  <si>
    <t>73461193-0596-1</t>
  </si>
  <si>
    <t>0133900606-0101</t>
  </si>
  <si>
    <t>76185254-0069-1</t>
  </si>
  <si>
    <t>За товары с закрепленным отзывом 15.10.2025</t>
  </si>
  <si>
    <t>87490768-0109-1</t>
  </si>
  <si>
    <t>45673823-0369-1</t>
  </si>
  <si>
    <t>Утилизация товара: Вы не забрали в срок</t>
  </si>
  <si>
    <t>43768736-0287-1</t>
  </si>
  <si>
    <t>14816005-0216</t>
  </si>
  <si>
    <t>2807226016</t>
  </si>
  <si>
    <t>62076961-0031-3</t>
  </si>
  <si>
    <t>16781669-0189-3</t>
  </si>
  <si>
    <t>0113531235-0188-1</t>
  </si>
  <si>
    <t>31812929-0214-1</t>
  </si>
  <si>
    <t>50169991-0223-2</t>
  </si>
  <si>
    <t>За товары с закрепленным отзывом 16.10.2025</t>
  </si>
  <si>
    <t>17633464-0556-1</t>
  </si>
  <si>
    <t>58002448-0148-1</t>
  </si>
  <si>
    <t>11466931-0065-6</t>
  </si>
  <si>
    <t>2774721668</t>
  </si>
  <si>
    <t>73355269-0095</t>
  </si>
  <si>
    <t>50646174-0110-1</t>
  </si>
  <si>
    <t>40218408-0046-1</t>
  </si>
  <si>
    <t>83834833-0105-1</t>
  </si>
  <si>
    <t>0144242290-0005-4</t>
  </si>
  <si>
    <t>31912483-0329-3</t>
  </si>
  <si>
    <t>65138887-0021-43</t>
  </si>
  <si>
    <t>31015636-0508-9</t>
  </si>
  <si>
    <t>За товары с закрепленным отзывом 17.10.2025</t>
  </si>
  <si>
    <t>62134036-0911-17</t>
  </si>
  <si>
    <t>51538676-0150-1</t>
  </si>
  <si>
    <t>36933993-0447-1</t>
  </si>
  <si>
    <t>0146820858-0118-1</t>
  </si>
  <si>
    <t>05300996-0521-7</t>
  </si>
  <si>
    <t>0125593320-0116-1</t>
  </si>
  <si>
    <t>0152547235-0006-1</t>
  </si>
  <si>
    <t>14429069-0336-1</t>
  </si>
  <si>
    <t>14816005-0216-1</t>
  </si>
  <si>
    <t>50336638-0062-1</t>
  </si>
  <si>
    <t>26214894-0513-1</t>
  </si>
  <si>
    <t>За товары с закрепленным отзывом 18.10.2025</t>
  </si>
  <si>
    <t>74198039-0369</t>
  </si>
  <si>
    <t>Период: 20.10.2025-26.10.2025</t>
  </si>
  <si>
    <t>78651717-0399-5</t>
  </si>
  <si>
    <t>0160695172-0145-3</t>
  </si>
  <si>
    <t>51514502-0105-2</t>
  </si>
  <si>
    <t>06332576-0499</t>
  </si>
  <si>
    <t>0156184768-0617-1</t>
  </si>
  <si>
    <t>0133900606-0101-1</t>
  </si>
  <si>
    <t>88277187-0229-5</t>
  </si>
  <si>
    <t>73355269-0095-1</t>
  </si>
  <si>
    <t>74198039-0369-1</t>
  </si>
  <si>
    <t>65435357-0349-25</t>
  </si>
  <si>
    <t>За товары с закрепленным отзывом 19.10.2025</t>
  </si>
  <si>
    <t>0177895802-0019-1</t>
  </si>
  <si>
    <t>0164651461-0029-1</t>
  </si>
  <si>
    <t>72786275-0235-2</t>
  </si>
  <si>
    <t>18797956-0117-1</t>
  </si>
  <si>
    <t>43400409-0285-2</t>
  </si>
  <si>
    <t>0111929090-0169-1</t>
  </si>
  <si>
    <t>07915786-0128-4</t>
  </si>
  <si>
    <t>68050348-2444-1</t>
  </si>
  <si>
    <t>77133513-0199-1</t>
  </si>
  <si>
    <t>32780896-2993</t>
  </si>
  <si>
    <t>За товары с закрепленным отзывом 20.10.2025</t>
  </si>
  <si>
    <t>0146480538-0501-1</t>
  </si>
  <si>
    <t>80767838-0116-1</t>
  </si>
  <si>
    <t>0158140239-0030-1</t>
  </si>
  <si>
    <t>32780896-2993-2</t>
  </si>
  <si>
    <t>06160903-1200-1</t>
  </si>
  <si>
    <t>0130445112-0015-1</t>
  </si>
  <si>
    <t>41300658-0150</t>
  </si>
  <si>
    <t>0113028416-0133</t>
  </si>
  <si>
    <t>За товары с закрепленным отзывом 21.10.2025</t>
  </si>
  <si>
    <t>10302993-0157-11</t>
  </si>
  <si>
    <t>62341128-0320-1</t>
  </si>
  <si>
    <t>39345181-0026</t>
  </si>
  <si>
    <t>0110541094-0194</t>
  </si>
  <si>
    <t>29708050-0985-5</t>
  </si>
  <si>
    <t>0113028416-0133-1</t>
  </si>
  <si>
    <t>41300658-0150-1</t>
  </si>
  <si>
    <t>44633727-0478-2</t>
  </si>
  <si>
    <t>За товары с закрепленным отзывом 22.10.2025</t>
  </si>
  <si>
    <t>0212377932-0021</t>
  </si>
  <si>
    <t>0110541094-0194-3</t>
  </si>
  <si>
    <t>95482469-0121-1</t>
  </si>
  <si>
    <t>29665539-0692-5</t>
  </si>
  <si>
    <t>37073872-0226-4</t>
  </si>
  <si>
    <t>14039929-0355-1</t>
  </si>
  <si>
    <t>2774710430</t>
  </si>
  <si>
    <t>0142852001-0014-13</t>
  </si>
  <si>
    <t>За товары с закрепленным отзывом 23.10.2025</t>
  </si>
  <si>
    <t>0143963011-0276-1</t>
  </si>
  <si>
    <t>06332576-0499-2</t>
  </si>
  <si>
    <t>68050348-2501-1</t>
  </si>
  <si>
    <t>68050348-2501-3</t>
  </si>
  <si>
    <t>68050348-2502-1</t>
  </si>
  <si>
    <t>68050348-2502-3</t>
  </si>
  <si>
    <t>45461654-0107-1</t>
  </si>
  <si>
    <t>0118206336-0105</t>
  </si>
  <si>
    <t>83569680-0146</t>
  </si>
  <si>
    <t>32959374-0195</t>
  </si>
  <si>
    <t>За товары с закрепленным отзывом 24.10.2025</t>
  </si>
  <si>
    <t>58625778-0310-7</t>
  </si>
  <si>
    <t>78289313-0025-3</t>
  </si>
  <si>
    <t>87928879-0066-2</t>
  </si>
  <si>
    <t>40728117-0037-3</t>
  </si>
  <si>
    <t>28615355-0007</t>
  </si>
  <si>
    <t>0212377932-0021-1</t>
  </si>
  <si>
    <t>0156510674-0010-1</t>
  </si>
  <si>
    <t>45507687-0386-15</t>
  </si>
  <si>
    <t>За товары с закрепленным отзывом 25.10.2025</t>
  </si>
  <si>
    <t>Иные электронные услуги</t>
  </si>
  <si>
    <t>Заказ №18270899. Иная электронная услуга на сайте и/или в приложении www.ozon.ru для кампании в формате "Спецразмещение" в период 26.10.2025 - 26.10.2025</t>
  </si>
  <si>
    <t>Заказ №18270861. Иная электронная услуга на сайте и/или в приложении www.ozon.ru для кампании в формате "Спецразмещение" в период 26.10.2025 - 26.10.2025</t>
  </si>
  <si>
    <t>42</t>
  </si>
  <si>
    <t>43</t>
  </si>
  <si>
    <t>01-02.11</t>
  </si>
  <si>
    <r>
      <t xml:space="preserve">Остаток на 03.11
</t>
    </r>
    <r>
      <rPr>
        <i/>
        <sz val="9"/>
        <rFont val="Calibri"/>
        <family val="2"/>
        <charset val="204"/>
      </rPr>
      <t>Отчет 23</t>
    </r>
  </si>
  <si>
    <t>27.10-02.11</t>
  </si>
  <si>
    <t>Заказы, шт
5 дней</t>
  </si>
  <si>
    <t>Заказы, шт
2 дней</t>
  </si>
  <si>
    <t>Период: 27.10.2025-31.10.2025</t>
  </si>
  <si>
    <t>Платформа продажи</t>
  </si>
  <si>
    <t>0221043651-0002-3</t>
  </si>
  <si>
    <t>Ozon</t>
  </si>
  <si>
    <t>47155404-1868</t>
  </si>
  <si>
    <t>Платье туника</t>
  </si>
  <si>
    <t>47239104-0229-1</t>
  </si>
  <si>
    <t>45321676-0017-2</t>
  </si>
  <si>
    <t>28280238-0222</t>
  </si>
  <si>
    <t>32959374-0195-3</t>
  </si>
  <si>
    <t>29526453-0392-1</t>
  </si>
  <si>
    <t>70434758-0006-5</t>
  </si>
  <si>
    <t>0183055708-0059</t>
  </si>
  <si>
    <t>За товары с закрепленным отзывом 26.10.2025</t>
  </si>
  <si>
    <t>Заказ №18270899. Иная электронная услуга на сайте и/или в приложении www.ozon.ru для кампании в формате "Спецразмещение" в период 27.10.2025 - 27.10.2025</t>
  </si>
  <si>
    <t>Заказ №18270834. Иная электронная услуга на сайте и/или в приложении www.ozon.ru для кампании в формате "Спецразмещение" в период 27.10.2025 - 27.10.2025</t>
  </si>
  <si>
    <t>Заказ №18270861. Иная электронная услуга на сайте и/или в приложении www.ozon.ru для кампании в формате "Спецразмещение" в период 27.10.2025 - 27.10.2025</t>
  </si>
  <si>
    <t>0157826661-0013</t>
  </si>
  <si>
    <t>0157826661-0014</t>
  </si>
  <si>
    <t>78224608-0247-1</t>
  </si>
  <si>
    <t>33973648-0128-2</t>
  </si>
  <si>
    <t>38608880-0528-1</t>
  </si>
  <si>
    <t>0136547113-0539</t>
  </si>
  <si>
    <t>39345181-0026-2</t>
  </si>
  <si>
    <t>0106539512-0087-2</t>
  </si>
  <si>
    <t>0149897733-0190</t>
  </si>
  <si>
    <t>0136985866-0073-1</t>
  </si>
  <si>
    <t>18242180-0224-2</t>
  </si>
  <si>
    <t>За товары с закрепленным отзывом 27.10.2025</t>
  </si>
  <si>
    <t>0108205843-0175</t>
  </si>
  <si>
    <t>Заказ №18270861. Иная электронная услуга на сайте и/или в приложении www.ozon.ru для кампании в формате "Спецразмещение" в период 28.10.2025 - 28.10.2025</t>
  </si>
  <si>
    <t>Заказ №18270899. Иная электронная услуга на сайте и/или в приложении www.ozon.ru для кампании в формате "Спецразмещение" в период 28.10.2025 - 28.10.2025</t>
  </si>
  <si>
    <t>Заказ №18270834. Иная электронная услуга на сайте и/или в приложении www.ozon.ru для кампании в формате "Спецразмещение" в период 28.10.2025 - 28.10.2025</t>
  </si>
  <si>
    <t>0100109393-0092</t>
  </si>
  <si>
    <t>80074452-0054-3</t>
  </si>
  <si>
    <t>28280238-0222-1</t>
  </si>
  <si>
    <t>45321676-0017-1</t>
  </si>
  <si>
    <t>0157826661-0016</t>
  </si>
  <si>
    <t>81874795-0056-1</t>
  </si>
  <si>
    <t>18350654</t>
  </si>
  <si>
    <t>Заказ №18270834. Иная электронная услуга на сайте и/или в приложении www.ozon.ru для кампании в формате "Спецразмещение" в период 29.10.2025 - 29.10.2025</t>
  </si>
  <si>
    <t>Заказ №18270899. Иная электронная услуга на сайте и/или в приложении www.ozon.ru для кампании в формате "Спецразмещение" в период 29.10.2025 - 29.10.2025</t>
  </si>
  <si>
    <t>Заказ №18270861. Иная электронная услуга на сайте и/или в приложении www.ozon.ru для кампании в формате "Спецразмещение" в период 29.10.2025 - 29.10.2025</t>
  </si>
  <si>
    <t>28918268-0243</t>
  </si>
  <si>
    <t>0129727906-0051-1</t>
  </si>
  <si>
    <t>0157826661-0016-1</t>
  </si>
  <si>
    <t>07510585-0852</t>
  </si>
  <si>
    <t>За товары с закрепленным отзывом 28.10.2025</t>
  </si>
  <si>
    <t>За товары с закрепленным отзывом 29.10.2025</t>
  </si>
  <si>
    <t>Заказ №18270899. Иная электронная услуга на сайте и/или в приложении www.ozon.ru для кампании в формате "Спецразмещение" в период 30.10.2025 - 30.10.2025</t>
  </si>
  <si>
    <t>Заказ №18270834. Иная электронная услуга на сайте и/или в приложении www.ozon.ru для кампании в формате "Спецразмещение" в период 30.10.2025 - 30.10.2025</t>
  </si>
  <si>
    <t>Заказ №18270861. Иная электронная услуга на сайте и/или в приложении www.ozon.ru для кампании в формате "Спецразмещение" в период 30.10.2025 - 30.10.2025</t>
  </si>
  <si>
    <t>0157826661-0014-1</t>
  </si>
  <si>
    <t>36590557-0165</t>
  </si>
  <si>
    <t>0118206336-0105-1</t>
  </si>
  <si>
    <t>0108205843-0175-1</t>
  </si>
  <si>
    <t>07510585-0852-1</t>
  </si>
  <si>
    <t>46353122-0372-1</t>
  </si>
  <si>
    <t>0127367508-0323</t>
  </si>
  <si>
    <t>43235072-0239</t>
  </si>
  <si>
    <t>За товары с закрепленным отзывом 30.10.2025</t>
  </si>
  <si>
    <t>0136547113-0539-1</t>
  </si>
  <si>
    <t>03171976-0715-7</t>
  </si>
  <si>
    <t>Заказ №18270899. Иная электронная услуга на сайте и/или в приложении www.ozon.ru для кампании в формате "Спецразмещение" в период 31.10.2025 - 31.10.2025</t>
  </si>
  <si>
    <t>Заказ №18270861. Иная электронная услуга на сайте и/или в приложении www.ozon.ru для кампании в формате "Спецразмещение" в период 31.10.2025 - 31.10.2025</t>
  </si>
  <si>
    <t>Период: 01.11.2025-02.11.2025</t>
  </si>
  <si>
    <t>35824269-0573-1</t>
  </si>
  <si>
    <t>52369647-1041-1</t>
  </si>
  <si>
    <t>36590557-0165-1</t>
  </si>
  <si>
    <t>0106848130-0433-1</t>
  </si>
  <si>
    <t>0149897733-0190-5</t>
  </si>
  <si>
    <t>0149897733-0190-21</t>
  </si>
  <si>
    <t>За товары с закрепленным отзывом 31.10.2025</t>
  </si>
  <si>
    <t>Заказ №18270899. Иная электронная услуга на сайте и/или в приложении www.ozon.ru для кампании в формате "Спецразмещение" в период 01.11.2025 - 01.11.2025</t>
  </si>
  <si>
    <t>0140915890-0058-5</t>
  </si>
  <si>
    <t>43375707-0150-2</t>
  </si>
  <si>
    <t>11466931-0066-2</t>
  </si>
  <si>
    <t>11466931-0066-3</t>
  </si>
  <si>
    <t>0183055708-0059-1</t>
  </si>
  <si>
    <t>60300291-0390-3</t>
  </si>
  <si>
    <t>За товары с закрепленным отзывом 01.11.2025</t>
  </si>
  <si>
    <t>47903871-0069-2</t>
  </si>
  <si>
    <t>Заказ №18270899. Иная электронная услуга на сайте и/или в приложении www.ozon.ru для кампании в формате "Спецразмещение" в период 02.11.2025 - 02.11.2025</t>
  </si>
  <si>
    <t>Заказ №18461619. Иная электронная услуга на сайте и/или в приложении www.ozon.ru для кампании в формате "Спецразмещение" в период 02.11.2025 - 02.11.2025</t>
  </si>
  <si>
    <t>Заказ №18270861. Иная электронная услуга на сайте и/или в приложении www.ozon.ru для кампании в формате "Спецразмещение" в период 02.11.2025 - 02.11.2025</t>
  </si>
  <si>
    <t>Заказ №18270834. Иная электронная услуга на сайте и/или в приложении www.ozon.ru для кампании в формате "Спецразмещение" в период 02.11.2025 - 02.11.2025</t>
  </si>
  <si>
    <t>Ноябрь</t>
  </si>
  <si>
    <t>01-02.11 очки</t>
  </si>
  <si>
    <t>01-02.11 туники</t>
  </si>
  <si>
    <t>03-09.11 туники</t>
  </si>
  <si>
    <t>03-09.11 очки</t>
  </si>
  <si>
    <t>10-16.11 очки</t>
  </si>
  <si>
    <t>10-16.11 туники</t>
  </si>
  <si>
    <t>17-23.11 очки</t>
  </si>
  <si>
    <t>17-23.11 туники</t>
  </si>
  <si>
    <t>24-30.11 очки</t>
  </si>
  <si>
    <t>24-30.11 туники</t>
  </si>
  <si>
    <t>44</t>
  </si>
  <si>
    <t>03-09.11</t>
  </si>
  <si>
    <r>
      <t xml:space="preserve">Остаток на 10.11
</t>
    </r>
    <r>
      <rPr>
        <i/>
        <sz val="9"/>
        <rFont val="Calibri"/>
        <family val="2"/>
        <charset val="204"/>
      </rPr>
      <t>Отчет 23</t>
    </r>
  </si>
  <si>
    <t>th желтый Сул</t>
  </si>
  <si>
    <t>flip желтые Сул</t>
  </si>
  <si>
    <t>Период: 03.11.2025-09.11.2025</t>
  </si>
  <si>
    <t>83569680-0146-1</t>
  </si>
  <si>
    <t>61775142-0244-2</t>
  </si>
  <si>
    <t>43235072-0239-1</t>
  </si>
  <si>
    <t>За товары с закрепленным отзывом 02.11.2025</t>
  </si>
  <si>
    <t>61398128-1075-2</t>
  </si>
  <si>
    <t>61398128-1075-1</t>
  </si>
  <si>
    <t>61398128-1075-3</t>
  </si>
  <si>
    <t>2774719022</t>
  </si>
  <si>
    <t>61398128-1075-5</t>
  </si>
  <si>
    <t>18487233</t>
  </si>
  <si>
    <t>Заказ №18270861. Иная электронная услуга на сайте и/или в приложении www.ozon.ru для кампании в формате "Спецразмещение" в период 03.11.2025 - 03.11.2025</t>
  </si>
  <si>
    <t>Заказ №18270834. Иная электронная услуга на сайте и/или в приложении www.ozon.ru для кампании в формате "Спецразмещение" в период 03.11.2025 - 03.11.2025</t>
  </si>
  <si>
    <t>Заказ №18461619. Иная электронная услуга на сайте и/или в приложении www.ozon.ru для кампании в формате "Спецразмещение" в период 03.11.2025 - 03.11.2025</t>
  </si>
  <si>
    <t>0100109393-0092-3</t>
  </si>
  <si>
    <t>0157826661-0013-1</t>
  </si>
  <si>
    <t>28918268-0243-1</t>
  </si>
  <si>
    <t>44070367-0245-5</t>
  </si>
  <si>
    <t>За товары с закрепленным отзывом 03.11.2025</t>
  </si>
  <si>
    <t>18511336</t>
  </si>
  <si>
    <t>Заказ №18270861. Иная электронная услуга на сайте и/или в приложении www.ozon.ru для кампании в формате "Спецразмещение" в период 04.11.2025 - 04.11.2025</t>
  </si>
  <si>
    <t>Заказ №18461619. Иная электронная услуга на сайте и/или в приложении www.ozon.ru для кампании в формате "Спецразмещение" в период 04.11.2025 - 04.11.2025</t>
  </si>
  <si>
    <t>35503782-0513-1</t>
  </si>
  <si>
    <t>53113168-0018-1</t>
  </si>
  <si>
    <t>0127367508-0323-1</t>
  </si>
  <si>
    <t>01729971-0456-5</t>
  </si>
  <si>
    <t>За товары с закрепленным отзывом 04.11.2025</t>
  </si>
  <si>
    <t>50213920-0300</t>
  </si>
  <si>
    <t>92054621-0133-3</t>
  </si>
  <si>
    <t>92054621-0133-2</t>
  </si>
  <si>
    <t>Заказ №18270861. Иная электронная услуга на сайте и/или в приложении www.ozon.ru для кампании в формате "Спецразмещение" в период 05.11.2025 - 05.11.2025</t>
  </si>
  <si>
    <t>Заказ №18461619. Иная электронная услуга на сайте и/или в приложении www.ozon.ru для кампании в формате "Спецразмещение" в период 05.11.2025 - 05.11.2025</t>
  </si>
  <si>
    <t>49542091-0434-3</t>
  </si>
  <si>
    <t>09948581-0538-3</t>
  </si>
  <si>
    <t>26787215-0178-2</t>
  </si>
  <si>
    <t>51548876-0476-5</t>
  </si>
  <si>
    <t>57157276-0080-7</t>
  </si>
  <si>
    <t>47224238-0089-2</t>
  </si>
  <si>
    <t>За товары с закрепленным отзывом 05.11.2025</t>
  </si>
  <si>
    <t>Заказ №18461619. Иная электронная услуга на сайте и/или в приложении www.ozon.ru для кампании в формате "Спецразмещение" в период 06.11.2025 - 06.11.2025</t>
  </si>
  <si>
    <t>Заказ №18270861. Иная электронная услуга на сайте и/или в приложении www.ozon.ru для кампании в формате "Спецразмещение" в период 06.11.2025 - 06.11.2025</t>
  </si>
  <si>
    <t>18595670</t>
  </si>
  <si>
    <t>0211493762-0015-1</t>
  </si>
  <si>
    <t>За товары с закрепленным отзывом 06.11.2025</t>
  </si>
  <si>
    <t>04483078-0307-3</t>
  </si>
  <si>
    <t>2774719553</t>
  </si>
  <si>
    <t>04483078-0307-5</t>
  </si>
  <si>
    <t>0151038112-0069</t>
  </si>
  <si>
    <t>10148603-0114-2</t>
  </si>
  <si>
    <t>18605511</t>
  </si>
  <si>
    <t>18605649</t>
  </si>
  <si>
    <t>18605614</t>
  </si>
  <si>
    <t>Заказ №18461619. Иная электронная услуга на сайте и/или в приложении www.ozon.ru для кампании в формате "Спецразмещение" в период 07.11.2025 - 07.11.2025</t>
  </si>
  <si>
    <t>Заказ №18270861. Иная электронная услуга на сайте и/или в приложении www.ozon.ru для кампании в формате "Спецразмещение" в период 07.11.2025 - 07.11.2025</t>
  </si>
  <si>
    <t>50213920-0300-1</t>
  </si>
  <si>
    <t>0127665870-0278-1</t>
  </si>
  <si>
    <t>36874039-0084-1</t>
  </si>
  <si>
    <t>25733731-0033-1</t>
  </si>
  <si>
    <t>23173632-0116-2</t>
  </si>
  <si>
    <t>37359903-0331</t>
  </si>
  <si>
    <t>За товары с закрепленным отзывом 07.11.2025</t>
  </si>
  <si>
    <t>2000033822704</t>
  </si>
  <si>
    <t>86970690-0374-1</t>
  </si>
  <si>
    <t>0159456412-0117-1</t>
  </si>
  <si>
    <t>04357906-0363-2</t>
  </si>
  <si>
    <t>92119554-0033-1</t>
  </si>
  <si>
    <t>63859491-0319-1</t>
  </si>
  <si>
    <t>87526284-0222-1</t>
  </si>
  <si>
    <t>47104108-0213-4</t>
  </si>
  <si>
    <t>57790882-0377</t>
  </si>
  <si>
    <t>За товары с закрепленным отзывом 08.11.2025</t>
  </si>
  <si>
    <t>18657870</t>
  </si>
  <si>
    <t>45</t>
  </si>
  <si>
    <t>10-16.11</t>
  </si>
  <si>
    <r>
      <t xml:space="preserve">Остаток на 17.11
</t>
    </r>
    <r>
      <rPr>
        <i/>
        <sz val="9"/>
        <rFont val="Calibri"/>
        <family val="2"/>
        <charset val="204"/>
      </rPr>
      <t>Отчет 23</t>
    </r>
  </si>
  <si>
    <t>Период: 10.11.2025-16.11.2025</t>
  </si>
  <si>
    <t>0128453225-0055</t>
  </si>
  <si>
    <t>Туника туника</t>
  </si>
  <si>
    <t>46718125-0106-1</t>
  </si>
  <si>
    <t>63859491-0319-5</t>
  </si>
  <si>
    <t>0148313536-0076</t>
  </si>
  <si>
    <t>0136499824-0211</t>
  </si>
  <si>
    <t>2000033822703</t>
  </si>
  <si>
    <t>57764998-0156</t>
  </si>
  <si>
    <t>0151891542-0075</t>
  </si>
  <si>
    <t>57790882-0377-1</t>
  </si>
  <si>
    <t>0128672016-0113-1</t>
  </si>
  <si>
    <t>62592328-0479-1</t>
  </si>
  <si>
    <t>44708911-0109-1</t>
  </si>
  <si>
    <t>За товары с закрепленным отзывом 09.11.2025</t>
  </si>
  <si>
    <t>2000033822705</t>
  </si>
  <si>
    <t>39596510-0466</t>
  </si>
  <si>
    <t>0155135182-0055-1</t>
  </si>
  <si>
    <t>55871694-0124</t>
  </si>
  <si>
    <t>0182776728-0015</t>
  </si>
  <si>
    <t>69022742-0198</t>
  </si>
  <si>
    <t>52722778-0232-7</t>
  </si>
  <si>
    <t>0118587503-0033</t>
  </si>
  <si>
    <t>За товары с закрепленным отзывом 10.11.2025</t>
  </si>
  <si>
    <t>0213495529-0080-1</t>
  </si>
  <si>
    <t>0136499824-0211-1</t>
  </si>
  <si>
    <t>0151038112-0069-9</t>
  </si>
  <si>
    <t>57764998-0156-4</t>
  </si>
  <si>
    <t>66454893-0151</t>
  </si>
  <si>
    <t>0104837173-0096</t>
  </si>
  <si>
    <t>0204170219-0088-1</t>
  </si>
  <si>
    <t>0180457135-0021</t>
  </si>
  <si>
    <t>11387533-0537-1</t>
  </si>
  <si>
    <t>0118587503-0033-1</t>
  </si>
  <si>
    <t>55871694-0124-5</t>
  </si>
  <si>
    <t>0123514937-0049-1</t>
  </si>
  <si>
    <t>За товары с закрепленным отзывом 11.11.2025</t>
  </si>
  <si>
    <t>48308570-0329-1</t>
  </si>
  <si>
    <t>18755523</t>
  </si>
  <si>
    <t>15830284-1764</t>
  </si>
  <si>
    <t>0137124100-0327-1</t>
  </si>
  <si>
    <t>0116583598-0066-1</t>
  </si>
  <si>
    <t>0128453225-0055-9</t>
  </si>
  <si>
    <t>22348287-0379-1</t>
  </si>
  <si>
    <t>0148313536-0076-1</t>
  </si>
  <si>
    <t>0105710290-0312-1</t>
  </si>
  <si>
    <t>0138466373-0043</t>
  </si>
  <si>
    <t>0148481449-0078-1</t>
  </si>
  <si>
    <t>27605073-1108-1</t>
  </si>
  <si>
    <t>69674393-0271-2</t>
  </si>
  <si>
    <t>За товары с закрепленным отзывом 12.11.2025</t>
  </si>
  <si>
    <t>47155404-1949</t>
  </si>
  <si>
    <t>18792107</t>
  </si>
  <si>
    <t>19239833-0687-3</t>
  </si>
  <si>
    <t>0151891542-0075-1</t>
  </si>
  <si>
    <t>89786229-0029</t>
  </si>
  <si>
    <t>39596510-0466-1</t>
  </si>
  <si>
    <t>69022742-0198-2</t>
  </si>
  <si>
    <t>47229144-0325-3</t>
  </si>
  <si>
    <t>55163654-0643-1</t>
  </si>
  <si>
    <t>60887512-0138-1</t>
  </si>
  <si>
    <t>83388905-0081-2</t>
  </si>
  <si>
    <t>0180457135-0021-1</t>
  </si>
  <si>
    <t>За товары с закрепленным отзывом 13.11.2025</t>
  </si>
  <si>
    <t>56211220-0200</t>
  </si>
  <si>
    <t>03237113-0608-1</t>
  </si>
  <si>
    <t>63859491-0334-1</t>
  </si>
  <si>
    <t>63859491-0334-3</t>
  </si>
  <si>
    <t>47155404-1868-1</t>
  </si>
  <si>
    <t>28660624-0424-3</t>
  </si>
  <si>
    <t>83617825-0298-1</t>
  </si>
  <si>
    <t>39990671-0629</t>
  </si>
  <si>
    <t>15830284-1764-5</t>
  </si>
  <si>
    <t>0108690528-0141</t>
  </si>
  <si>
    <t>За товары с закрепленным отзывом 14.11.2025</t>
  </si>
  <si>
    <t>35684342-0408-1</t>
  </si>
  <si>
    <t>50123440-0098-3</t>
  </si>
  <si>
    <t>50123440-0098-1</t>
  </si>
  <si>
    <t>44836357-0065</t>
  </si>
  <si>
    <t>87002109-0275-1</t>
  </si>
  <si>
    <t>30170427-0599</t>
  </si>
  <si>
    <t>63859491-0338-1</t>
  </si>
  <si>
    <t>89786229-0029-1</t>
  </si>
  <si>
    <t>49616885-0477-1</t>
  </si>
  <si>
    <t>50431593-0091-7</t>
  </si>
  <si>
    <t>13881858-0279-1</t>
  </si>
  <si>
    <t>0165449296-0072-1</t>
  </si>
  <si>
    <t>44642121-0383-1</t>
  </si>
  <si>
    <t>17847639-0252</t>
  </si>
  <si>
    <t>За товары с закрепленным отзывом 15.11.2025</t>
  </si>
  <si>
    <t>46</t>
  </si>
  <si>
    <t>24-30.11</t>
  </si>
  <si>
    <t>17-23.11</t>
  </si>
  <si>
    <t>Период: 17.11.2025-23.11.2025</t>
  </si>
  <si>
    <t>63888153-0158-1</t>
  </si>
  <si>
    <t>50590553-0085-1</t>
  </si>
  <si>
    <t>50590553-0085-4</t>
  </si>
  <si>
    <t>0106642819-0276-1</t>
  </si>
  <si>
    <t>Очки солнцезащитные мужские поляризационные Anti UV антибликовые антифары для водителя унисекс</t>
  </si>
  <si>
    <t>0138466373-0043-1</t>
  </si>
  <si>
    <t>Очки солнцезащитные поляризационные Anti UV антибликовые антифары для водителя унисекс</t>
  </si>
  <si>
    <t>0150410534-0166</t>
  </si>
  <si>
    <t>0101521468-0006-7</t>
  </si>
  <si>
    <t>28874469-0457-11</t>
  </si>
  <si>
    <t>31483888-0226-1</t>
  </si>
  <si>
    <t>66869983-0137</t>
  </si>
  <si>
    <t>32394087-0359-1</t>
  </si>
  <si>
    <t>0115506582-0168</t>
  </si>
  <si>
    <t>0143122975-0158-1</t>
  </si>
  <si>
    <t>За товары с закрепленным отзывом 16.11.2025</t>
  </si>
  <si>
    <t>97280102-0813</t>
  </si>
  <si>
    <t>18865577</t>
  </si>
  <si>
    <t>0222012246-0021</t>
  </si>
  <si>
    <t>28418227-0234</t>
  </si>
  <si>
    <t>42970199-0220-4</t>
  </si>
  <si>
    <t>59964226-0139</t>
  </si>
  <si>
    <t>17847639-0252-1</t>
  </si>
  <si>
    <t>85171305-0090</t>
  </si>
  <si>
    <t>0135176859-0528-5</t>
  </si>
  <si>
    <t>0104837173-0096-1</t>
  </si>
  <si>
    <t>28615355-0007-2</t>
  </si>
  <si>
    <t>30170427-0599-1</t>
  </si>
  <si>
    <t>50789042-0260-1</t>
  </si>
  <si>
    <t>06247138-0141-4</t>
  </si>
  <si>
    <t>0153800060-0038-1</t>
  </si>
  <si>
    <t>98110190-0431-4</t>
  </si>
  <si>
    <t>Saint Laurent Очки солнцезащитные</t>
  </si>
  <si>
    <t>0108690528-0141-1</t>
  </si>
  <si>
    <t>За товары с закрепленным отзывом 17.11.2025</t>
  </si>
  <si>
    <t>Заказ №18884509. Иная электронная услуга на сайте и/или в приложении www.ozon.ru для кампании в формате "Спецразмещение" в период 18.11.2025 - 18.11.2025</t>
  </si>
  <si>
    <t>34603050-0129-1</t>
  </si>
  <si>
    <t>0125896933-0064</t>
  </si>
  <si>
    <t>28418227-0234-1</t>
  </si>
  <si>
    <t>0189265917-0004-1</t>
  </si>
  <si>
    <t>51154899-0240</t>
  </si>
  <si>
    <t>0101616592-0300-1</t>
  </si>
  <si>
    <t>68520226-0093</t>
  </si>
  <si>
    <t>За товары с закрепленным отзывом 18.11.2025</t>
  </si>
  <si>
    <t>Заказ №18884509. Иная электронная услуга на сайте и/или в приложении www.ozon.ru для кампании в формате "Спецразмещение" в период 19.11.2025 - 19.11.2025</t>
  </si>
  <si>
    <t>18916771</t>
  </si>
  <si>
    <t>28874469-0457-19</t>
  </si>
  <si>
    <t>0138383470-0057</t>
  </si>
  <si>
    <t>48317403-0010-1</t>
  </si>
  <si>
    <t>0116373201-0015-1</t>
  </si>
  <si>
    <t>30515751-0084</t>
  </si>
  <si>
    <t>57969347-0431</t>
  </si>
  <si>
    <t>0206102240-0021-1</t>
  </si>
  <si>
    <t>56211220-0200-3</t>
  </si>
  <si>
    <t>За товары с закрепленным отзывом 19.11.2025</t>
  </si>
  <si>
    <t>47377781-0254</t>
  </si>
  <si>
    <t>0134992099-0034</t>
  </si>
  <si>
    <t>18951172</t>
  </si>
  <si>
    <t>Заказ №18884509. Иная электронная услуга на сайте и/или в приложении www.ozon.ru для кампании в формате "Спецразмещение" в период 20.11.2025 - 20.11.2025</t>
  </si>
  <si>
    <t>0157368804-0080-1</t>
  </si>
  <si>
    <t>92047350-0066-1</t>
  </si>
  <si>
    <t>07290369-0531-3</t>
  </si>
  <si>
    <t>96394542-0075-1</t>
  </si>
  <si>
    <t>97280102-0813-1</t>
  </si>
  <si>
    <t>47377781-0254-27</t>
  </si>
  <si>
    <t>74444210-0313-1</t>
  </si>
  <si>
    <t>0125896933-0064-1</t>
  </si>
  <si>
    <t>0119513792-0035-5</t>
  </si>
  <si>
    <t>58191374-0237-5</t>
  </si>
  <si>
    <t>0204731466-0006</t>
  </si>
  <si>
    <t>За товары с закрепленным отзывом 20.11.2025</t>
  </si>
  <si>
    <t>44543451-0357-2</t>
  </si>
  <si>
    <t>3064334128</t>
  </si>
  <si>
    <t>Очки солнцезащитные мужские поляризационные polarized. Очки для вождения антибликовые. Антифары.</t>
  </si>
  <si>
    <t>63755865-0126</t>
  </si>
  <si>
    <t>0145552832-0016-3</t>
  </si>
  <si>
    <t>0125526613-0031-1</t>
  </si>
  <si>
    <t>68520226-0093-4</t>
  </si>
  <si>
    <t>70548043-0006-2</t>
  </si>
  <si>
    <t>0160645515-0108-3</t>
  </si>
  <si>
    <t>0134321044-0034</t>
  </si>
  <si>
    <t>0115506582-0168-1</t>
  </si>
  <si>
    <t>0140099940-0020-3</t>
  </si>
  <si>
    <t>0112594271-0246-1</t>
  </si>
  <si>
    <t>66454893-0151-3</t>
  </si>
  <si>
    <t>62452333-0201-1</t>
  </si>
  <si>
    <t>62452333-0201-3</t>
  </si>
  <si>
    <t>19239833-0695-1</t>
  </si>
  <si>
    <t>39990671-0629-1</t>
  </si>
  <si>
    <t>За товары с закрепленным отзывом 21.11.2025</t>
  </si>
  <si>
    <t>47715187-0093-1</t>
  </si>
  <si>
    <t>46200853-0353</t>
  </si>
  <si>
    <t>3064334311</t>
  </si>
  <si>
    <t>92706368-0133</t>
  </si>
  <si>
    <t>71922139-0564-1</t>
  </si>
  <si>
    <t>0222012246-0021-3</t>
  </si>
  <si>
    <t>59964226-0139-2</t>
  </si>
  <si>
    <t>0134321044-0034-1</t>
  </si>
  <si>
    <t>0102310854-0120</t>
  </si>
  <si>
    <t>0204731466-0006-1</t>
  </si>
  <si>
    <t>05474495-0746-1</t>
  </si>
  <si>
    <t>0110277320-0777</t>
  </si>
  <si>
    <t>За товары с закрепленным отзывом 22.11.2025</t>
  </si>
  <si>
    <r>
      <t xml:space="preserve">Остаток на 24.11
</t>
    </r>
    <r>
      <rPr>
        <i/>
        <sz val="9"/>
        <rFont val="Calibri"/>
        <family val="2"/>
        <charset val="204"/>
      </rPr>
      <t>Отчет 23</t>
    </r>
  </si>
  <si>
    <t>шт.</t>
  </si>
  <si>
    <t>Заказы</t>
  </si>
  <si>
    <t>47</t>
  </si>
  <si>
    <t>01-07.12</t>
  </si>
  <si>
    <t>08-14.12</t>
  </si>
  <si>
    <t>15-21.12</t>
  </si>
  <si>
    <t>01-31.12</t>
  </si>
  <si>
    <t>01-30.11</t>
  </si>
  <si>
    <r>
      <t xml:space="preserve">Остаток на 01.12
</t>
    </r>
    <r>
      <rPr>
        <i/>
        <sz val="9"/>
        <rFont val="Calibri"/>
        <family val="2"/>
        <charset val="204"/>
      </rPr>
      <t>Отчет 23</t>
    </r>
  </si>
  <si>
    <t>Заказы, шт
30 дней</t>
  </si>
  <si>
    <r>
      <t xml:space="preserve">Остаток на 29.12
</t>
    </r>
    <r>
      <rPr>
        <i/>
        <sz val="9"/>
        <rFont val="Calibri"/>
        <family val="2"/>
        <charset val="204"/>
      </rPr>
      <t>Отчет 23</t>
    </r>
  </si>
  <si>
    <t>Заказы, шт
31 день</t>
  </si>
  <si>
    <t>Период: 24.11.2025-30.11.2025</t>
  </si>
  <si>
    <t>0134992099-0034-1</t>
  </si>
  <si>
    <t>39892854-0181-5</t>
  </si>
  <si>
    <t>49584888-0159</t>
  </si>
  <si>
    <t>85405479-0890-1</t>
  </si>
  <si>
    <t>0127148144-0069-3</t>
  </si>
  <si>
    <t>0216406161-0002</t>
  </si>
  <si>
    <t>0102310854-0120-1</t>
  </si>
  <si>
    <t>0101981675-0020-1</t>
  </si>
  <si>
    <t>60202684-0221</t>
  </si>
  <si>
    <t>41710271-0183-2</t>
  </si>
  <si>
    <t>0188160378-0243</t>
  </si>
  <si>
    <t>За товары с закрепленным отзывом 23.11.2025</t>
  </si>
  <si>
    <t>47712236-0197-1</t>
  </si>
  <si>
    <t>99386041-0430</t>
  </si>
  <si>
    <t>44862544-0132-1</t>
  </si>
  <si>
    <t>23967618-0007-1</t>
  </si>
  <si>
    <t>48498104-0031-3</t>
  </si>
  <si>
    <t>0229406970-0001-9</t>
  </si>
  <si>
    <t>82410861-0014-1</t>
  </si>
  <si>
    <t>56557091-0103-4</t>
  </si>
  <si>
    <t>0141461115-0185-1</t>
  </si>
  <si>
    <t>0138383470-0057-1</t>
  </si>
  <si>
    <t>60374877-0044-1</t>
  </si>
  <si>
    <t>0108530629-0047</t>
  </si>
  <si>
    <t>63740187-0383-1</t>
  </si>
  <si>
    <t>51154899-0240-1</t>
  </si>
  <si>
    <t>За товары с закрепленным отзывом 24.11.2025</t>
  </si>
  <si>
    <t>50545249-0742</t>
  </si>
  <si>
    <t>0175255954-0257</t>
  </si>
  <si>
    <t>0189801759-0034-1</t>
  </si>
  <si>
    <t>0108530629-0047-1</t>
  </si>
  <si>
    <t>77259308-0133-1</t>
  </si>
  <si>
    <t>46200853-0353-2</t>
  </si>
  <si>
    <t>За товары с закрепленным отзывом 25.11.2025</t>
  </si>
  <si>
    <t>19111971</t>
  </si>
  <si>
    <t>0108081090-0911-1</t>
  </si>
  <si>
    <t>0136567118-0270-1</t>
  </si>
  <si>
    <t>90864771-0373-5</t>
  </si>
  <si>
    <t>68947613-0067-1</t>
  </si>
  <si>
    <t>85171305-0090-1</t>
  </si>
  <si>
    <t>43514280-0289-1</t>
  </si>
  <si>
    <t>17063753-0310-3</t>
  </si>
  <si>
    <t>0189801759-0033-1</t>
  </si>
  <si>
    <t>99386041-0430-1</t>
  </si>
  <si>
    <t>73785297-0089-1</t>
  </si>
  <si>
    <t>68916587-0052-1</t>
  </si>
  <si>
    <t>70594996-0050-6</t>
  </si>
  <si>
    <t>За товары с закрепленным отзывом 26.11.2025</t>
  </si>
  <si>
    <t>83665288-0026-1</t>
  </si>
  <si>
    <t>0182776728-0016-5</t>
  </si>
  <si>
    <t>58106748-0238</t>
  </si>
  <si>
    <t>83608357-0049</t>
  </si>
  <si>
    <t>0142584538-0006-1</t>
  </si>
  <si>
    <t>70492695-0188</t>
  </si>
  <si>
    <t>60202684-0221-1</t>
  </si>
  <si>
    <t>67418519-0160</t>
  </si>
  <si>
    <t>0222177082-0013</t>
  </si>
  <si>
    <t>47155404-1949-1</t>
  </si>
  <si>
    <t>19491300-0488</t>
  </si>
  <si>
    <t>92150190-0012</t>
  </si>
  <si>
    <t>0111219275-0253-1</t>
  </si>
  <si>
    <t>0152225671-0057</t>
  </si>
  <si>
    <t>43307816-0078-3</t>
  </si>
  <si>
    <t>За товары с закрепленным отзывом 27.11.2025</t>
  </si>
  <si>
    <t>63755865-0126-2</t>
  </si>
  <si>
    <t>0229406970-0001-3</t>
  </si>
  <si>
    <t>0232233317-0001</t>
  </si>
  <si>
    <t>0121541760-0119</t>
  </si>
  <si>
    <t>0110277320-0777-1</t>
  </si>
  <si>
    <t>50545249-0742-1</t>
  </si>
  <si>
    <t>0156184768-0692-1</t>
  </si>
  <si>
    <t>0148004357-0123-1</t>
  </si>
  <si>
    <t>58420781-0229</t>
  </si>
  <si>
    <t>За товары с закрепленным отзывом 28.11.2025</t>
  </si>
  <si>
    <t>37601057-0103-7</t>
  </si>
  <si>
    <t>66456785-0058-1</t>
  </si>
  <si>
    <t>73782524-0608</t>
  </si>
  <si>
    <t>0161158650-1316</t>
  </si>
  <si>
    <t>46474871-0498-1</t>
  </si>
  <si>
    <t>80353615-0098</t>
  </si>
  <si>
    <t>17019899-0357</t>
  </si>
  <si>
    <t>19491300-0488-1</t>
  </si>
  <si>
    <t>70492695-0188-1</t>
  </si>
  <si>
    <t>56557091-0103-5</t>
  </si>
  <si>
    <t>86946095-0085</t>
  </si>
  <si>
    <t>0232233317-0001-1</t>
  </si>
  <si>
    <t>0157690326-0040-1</t>
  </si>
  <si>
    <t>За товары с закрепленным отзывом 29.11.2025</t>
  </si>
  <si>
    <t>43562675-0008</t>
  </si>
  <si>
    <t>48</t>
  </si>
  <si>
    <r>
      <t xml:space="preserve">Остаток на 08.12
</t>
    </r>
    <r>
      <rPr>
        <i/>
        <sz val="9"/>
        <rFont val="Calibri"/>
        <family val="2"/>
        <charset val="204"/>
      </rPr>
      <t>Отчет 23</t>
    </r>
  </si>
  <si>
    <t>Период: 01.12.2025-07.12.2025</t>
  </si>
  <si>
    <t>82088130-0396</t>
  </si>
  <si>
    <t>0168096738-0127-1</t>
  </si>
  <si>
    <t>20120536-0038-1</t>
  </si>
  <si>
    <t>58106748-0238-1</t>
  </si>
  <si>
    <t>0142606419-0062</t>
  </si>
  <si>
    <t>0185791758-0049-3</t>
  </si>
  <si>
    <t>0180247398-0120-1</t>
  </si>
  <si>
    <t>86010146-0176</t>
  </si>
  <si>
    <t>0146646693-0055-1</t>
  </si>
  <si>
    <t>64353396-0099-5</t>
  </si>
  <si>
    <t>0222177082-0013-1</t>
  </si>
  <si>
    <t>80353615-0098-1</t>
  </si>
  <si>
    <t>0188160378-0243-1</t>
  </si>
  <si>
    <t>90440334-0037-3</t>
  </si>
  <si>
    <t>30515751-0084-1</t>
  </si>
  <si>
    <t>07263352-1062-1</t>
  </si>
  <si>
    <t>За товары с закрепленным отзывом 30.11.2025</t>
  </si>
  <si>
    <t>0206202484-0027-1</t>
  </si>
  <si>
    <t>28917619-0117-3</t>
  </si>
  <si>
    <t>0123378011-0127-9</t>
  </si>
  <si>
    <t>0150410534-0166-1</t>
  </si>
  <si>
    <t>0152225671-0057-1</t>
  </si>
  <si>
    <t>23391047-0152</t>
  </si>
  <si>
    <t>38201120-0185-1</t>
  </si>
  <si>
    <t>40039505-0246-2</t>
  </si>
  <si>
    <t>49035368-0866-1</t>
  </si>
  <si>
    <t>43836426-0419-1</t>
  </si>
  <si>
    <t>58420781-0229-1</t>
  </si>
  <si>
    <t>0122585122-0125-11</t>
  </si>
  <si>
    <t>35452077-0544-1</t>
  </si>
  <si>
    <t>0193105614-0017-1</t>
  </si>
  <si>
    <t>64315455-0013-2</t>
  </si>
  <si>
    <t>За товары с закрепленным отзывом 01.12.2025</t>
  </si>
  <si>
    <t>82088130-0396-1</t>
  </si>
  <si>
    <t>81591650-0040-4</t>
  </si>
  <si>
    <t>20420418-0151</t>
  </si>
  <si>
    <t>35876535-0638</t>
  </si>
  <si>
    <t>77146989-0153</t>
  </si>
  <si>
    <t>78279720-0117</t>
  </si>
  <si>
    <t>0139268725-0012</t>
  </si>
  <si>
    <t>0203570545-0011</t>
  </si>
  <si>
    <t>0121541760-0119-1</t>
  </si>
  <si>
    <t>0199323005-0014</t>
  </si>
  <si>
    <t>0175255954-0257-1</t>
  </si>
  <si>
    <t>0123300209-0207</t>
  </si>
  <si>
    <t>35876535-0638-5</t>
  </si>
  <si>
    <t>0134648656-0160-1</t>
  </si>
  <si>
    <t>86010146-0176-1</t>
  </si>
  <si>
    <t>0161158650-1316-1</t>
  </si>
  <si>
    <t>За товары с закрепленным отзывом 02.12.2025</t>
  </si>
  <si>
    <t>49736500-0388-1</t>
  </si>
  <si>
    <t>0101359866-0009</t>
  </si>
  <si>
    <t>68325235-0330</t>
  </si>
  <si>
    <t>0215117309-0024</t>
  </si>
  <si>
    <t>92706368-0133-1</t>
  </si>
  <si>
    <t>0123300209-0209</t>
  </si>
  <si>
    <t>85663451-0748</t>
  </si>
  <si>
    <t>72847876-0332</t>
  </si>
  <si>
    <t>0197724918-0041-5</t>
  </si>
  <si>
    <t>44836357-0067</t>
  </si>
  <si>
    <t>0180880269-0005</t>
  </si>
  <si>
    <t>35876535-0638-2</t>
  </si>
  <si>
    <t>49035368-0865-1</t>
  </si>
  <si>
    <t>86946095-0085-1</t>
  </si>
  <si>
    <t>0149313499-0090</t>
  </si>
  <si>
    <t>78279720-0117-1</t>
  </si>
  <si>
    <t>28486635-0791-1</t>
  </si>
  <si>
    <t>0181468404-0062</t>
  </si>
  <si>
    <t>17019899-0357-2</t>
  </si>
  <si>
    <t>0221046923-0002</t>
  </si>
  <si>
    <t>За товары с закрепленным отзывом 03.12.2025</t>
  </si>
  <si>
    <t>32907216-0164</t>
  </si>
  <si>
    <t>48433653-0302</t>
  </si>
  <si>
    <t>73785297-0094-1</t>
  </si>
  <si>
    <t>0189152299-0082-1</t>
  </si>
  <si>
    <t>0210133540-0013-11</t>
  </si>
  <si>
    <t>0179637870-0021-1</t>
  </si>
  <si>
    <t>25212325242</t>
  </si>
  <si>
    <t>Временное размещение товара партнерами</t>
  </si>
  <si>
    <t>92150190-0012-2</t>
  </si>
  <si>
    <t>0124129523-0214-1</t>
  </si>
  <si>
    <t>0125810712-0157</t>
  </si>
  <si>
    <t>0199323005-0014-1</t>
  </si>
  <si>
    <t>0142606419-0062-1</t>
  </si>
  <si>
    <t>0111540676-0188-3</t>
  </si>
  <si>
    <t>0149313499-0090-1</t>
  </si>
  <si>
    <t>04438235-0636-2</t>
  </si>
  <si>
    <t>04438235-0636-1</t>
  </si>
  <si>
    <t>0176777741-0141-1</t>
  </si>
  <si>
    <t>0181468404-0062-1</t>
  </si>
  <si>
    <t>50569994-0136-2</t>
  </si>
  <si>
    <t>77146989-0153-1</t>
  </si>
  <si>
    <t>За товары с закрепленным отзывом 04.12.2025</t>
  </si>
  <si>
    <t>48170113-0820-5</t>
  </si>
  <si>
    <t>0123300209-0207-1</t>
  </si>
  <si>
    <t>23391047-0152-3</t>
  </si>
  <si>
    <t>0126701140-0180-1</t>
  </si>
  <si>
    <t>66456785-0060-1</t>
  </si>
  <si>
    <t>0134499534-0011-1</t>
  </si>
  <si>
    <t>0164469803-0468</t>
  </si>
  <si>
    <t>72847876-0332-1</t>
  </si>
  <si>
    <t>20420418-0151-1</t>
  </si>
  <si>
    <t>34220607-0137-1</t>
  </si>
  <si>
    <t>0101359866-0009-5</t>
  </si>
  <si>
    <t>88711201-0052</t>
  </si>
  <si>
    <t>0213664613-0013-1</t>
  </si>
  <si>
    <t>48433653-0302-1</t>
  </si>
  <si>
    <t>48433653-0302-3</t>
  </si>
  <si>
    <t>За товары с закрепленным отзывом 05.12.2025</t>
  </si>
  <si>
    <t>50725225-0701</t>
  </si>
  <si>
    <t>41585264-0126-3</t>
  </si>
  <si>
    <t>0216406161-0002-2</t>
  </si>
  <si>
    <t>51239580-0318-5</t>
  </si>
  <si>
    <t>2000036147473</t>
  </si>
  <si>
    <t>88706435-0603</t>
  </si>
  <si>
    <t>0230608638-0003-1</t>
  </si>
  <si>
    <t>0123300209-0209-1</t>
  </si>
  <si>
    <t>08982121-0201-1</t>
  </si>
  <si>
    <t>0195783288-0563</t>
  </si>
  <si>
    <t>41086804-0106-3</t>
  </si>
  <si>
    <t>68325235-0330-1</t>
  </si>
  <si>
    <t>0125810712-0157-1</t>
  </si>
  <si>
    <t>44953967-0255-1</t>
  </si>
  <si>
    <t>32907216-0164-1</t>
  </si>
  <si>
    <t>За товары с закрепленным отзывом 06.12.2025</t>
  </si>
  <si>
    <t>0101938945-0099</t>
  </si>
  <si>
    <t>Период: 08.12.2025-14.12.2025</t>
  </si>
  <si>
    <t>73782524-0608-1</t>
  </si>
  <si>
    <t>73782524-0608-3</t>
  </si>
  <si>
    <t>57244517-0142-1</t>
  </si>
  <si>
    <t>0180546182-0012-1</t>
  </si>
  <si>
    <t>88711201-0052-9</t>
  </si>
  <si>
    <t>59807685-0169-1</t>
  </si>
  <si>
    <t>0221865519-0016</t>
  </si>
  <si>
    <t>94132549-0081</t>
  </si>
  <si>
    <t>83881738-0134-1</t>
  </si>
  <si>
    <t>2000036157387</t>
  </si>
  <si>
    <t>0221046923-0002-1</t>
  </si>
  <si>
    <t>За товары с закрепленным отзывом 07.12.2025</t>
  </si>
  <si>
    <t>0106781193-0673</t>
  </si>
  <si>
    <t>30932103-0247-3</t>
  </si>
  <si>
    <t>43381269-0319-1</t>
  </si>
  <si>
    <t>0203779398-0126-1</t>
  </si>
  <si>
    <t>46979286-0364-1</t>
  </si>
  <si>
    <t>0203570545-0011-1</t>
  </si>
  <si>
    <t>56330787-0397-1</t>
  </si>
  <si>
    <t>0165028483-0101-1</t>
  </si>
  <si>
    <t>69882150-0369-1</t>
  </si>
  <si>
    <t>88706435-0603-1</t>
  </si>
  <si>
    <t>50972986-0127-1</t>
  </si>
  <si>
    <t>2000036156494</t>
  </si>
  <si>
    <t>0124478960-0010-9</t>
  </si>
  <si>
    <t>За товары с закрепленным отзывом 08.12.2025</t>
  </si>
  <si>
    <t>0145732243-0097-7</t>
  </si>
  <si>
    <t>41218324-0547-1</t>
  </si>
  <si>
    <t>85027108-0209-1</t>
  </si>
  <si>
    <t>87464024-0164-1</t>
  </si>
  <si>
    <t>0127353421-0227-2</t>
  </si>
  <si>
    <t>67418519-0160-4</t>
  </si>
  <si>
    <t>66869983-0137-1</t>
  </si>
  <si>
    <t>24385811-0622-2</t>
  </si>
  <si>
    <t>42438049-0473-4</t>
  </si>
  <si>
    <t>0157080893-0021</t>
  </si>
  <si>
    <t>0115213412-0119-1</t>
  </si>
  <si>
    <t>0136792575-0160-1</t>
  </si>
  <si>
    <t>94132549-0081-1</t>
  </si>
  <si>
    <t>91325076-0350</t>
  </si>
  <si>
    <t>0101938945-0099-1</t>
  </si>
  <si>
    <t>За товары с закрепленным отзывом 09.12.2025</t>
  </si>
  <si>
    <t>92407650-0062</t>
  </si>
  <si>
    <t>65424011-0347-9</t>
  </si>
  <si>
    <t>50713928-0272</t>
  </si>
  <si>
    <t>49584888-0159-1</t>
  </si>
  <si>
    <t>0173756686-0252-1</t>
  </si>
  <si>
    <t>38209995-0395-1</t>
  </si>
  <si>
    <t>0195783288-0563-1</t>
  </si>
  <si>
    <t>34702350-0527</t>
  </si>
  <si>
    <t>08888570-0303-1</t>
  </si>
  <si>
    <t>0106781193-0673-1</t>
  </si>
  <si>
    <t>44068944-0069</t>
  </si>
  <si>
    <t>0133125827-0027</t>
  </si>
  <si>
    <t>0134738398-0076-1</t>
  </si>
  <si>
    <t>0161931185-0313</t>
  </si>
  <si>
    <t>42628449-0817</t>
  </si>
  <si>
    <t>За товары с закрепленным отзывом 10.12.2025</t>
  </si>
  <si>
    <t>05776602-0311</t>
  </si>
  <si>
    <t>2000036169764</t>
  </si>
  <si>
    <t>80737611-0137</t>
  </si>
  <si>
    <t>06790347-0112</t>
  </si>
  <si>
    <t>94186219-0264-4</t>
  </si>
  <si>
    <t>92407650-0062-1</t>
  </si>
  <si>
    <t>35256057-1054-2</t>
  </si>
  <si>
    <t>0173756686-0249-1</t>
  </si>
  <si>
    <t>0164469803-0468-1</t>
  </si>
  <si>
    <t>84397804-0038</t>
  </si>
  <si>
    <t>81623072-0169-3</t>
  </si>
  <si>
    <t>39389903-0016-17</t>
  </si>
  <si>
    <t>0224338121-0004</t>
  </si>
  <si>
    <t>69711232-0142-1</t>
  </si>
  <si>
    <t>91325076-0350-1</t>
  </si>
  <si>
    <t>0120407163-0339-1</t>
  </si>
  <si>
    <t>0145141588-0195-1</t>
  </si>
  <si>
    <t>За товары с закрепленным отзывом 11.12.2025</t>
  </si>
  <si>
    <t>19542458</t>
  </si>
  <si>
    <t>18971802-0666-1</t>
  </si>
  <si>
    <t>0139268725-0012-1</t>
  </si>
  <si>
    <t>85663451-0748-1</t>
  </si>
  <si>
    <t>0142589833-0033</t>
  </si>
  <si>
    <t>0217180423-0013</t>
  </si>
  <si>
    <t>0215117309-0024-1</t>
  </si>
  <si>
    <t>05776602-0311-33</t>
  </si>
  <si>
    <t>42790504-0662-5</t>
  </si>
  <si>
    <t>0221865519-0016-1</t>
  </si>
  <si>
    <t>34702350-0527-9</t>
  </si>
  <si>
    <t>За товары с закрепленным отзывом 12.12.2025</t>
  </si>
  <si>
    <t>44341668-0301</t>
  </si>
  <si>
    <t>64409273-0168-5</t>
  </si>
  <si>
    <t>82514271-0175</t>
  </si>
  <si>
    <t>0161931185-0313-1</t>
  </si>
  <si>
    <t>50725225-0701-1</t>
  </si>
  <si>
    <t>80737611-0137-4</t>
  </si>
  <si>
    <t>63513522-0077-4</t>
  </si>
  <si>
    <t>0217180423-0013-1</t>
  </si>
  <si>
    <t>0133125827-0027-2</t>
  </si>
  <si>
    <t>82931844-0152-1</t>
  </si>
  <si>
    <t>06790347-0112-31</t>
  </si>
  <si>
    <t>44957572-0481-4</t>
  </si>
  <si>
    <t>42628449-0817-7</t>
  </si>
  <si>
    <t>За товары с закрепленным отзывом 13.12.2025</t>
  </si>
  <si>
    <t>0125924857-0053</t>
  </si>
  <si>
    <t>05201826-0687</t>
  </si>
  <si>
    <t>Декабрь</t>
  </si>
  <si>
    <t>01-07.12 очки</t>
  </si>
  <si>
    <t>01-07.12 туники</t>
  </si>
  <si>
    <t>08-14.12 очки</t>
  </si>
  <si>
    <t>08-14.12 туники</t>
  </si>
  <si>
    <t>49</t>
  </si>
  <si>
    <t>50</t>
  </si>
  <si>
    <r>
      <t xml:space="preserve">Остаток на 15.12
</t>
    </r>
    <r>
      <rPr>
        <i/>
        <sz val="9"/>
        <rFont val="Calibri"/>
        <family val="2"/>
        <charset val="204"/>
      </rPr>
      <t>Отчет 23</t>
    </r>
  </si>
  <si>
    <r>
      <t xml:space="preserve">Остаток на 22.12
</t>
    </r>
    <r>
      <rPr>
        <i/>
        <sz val="9"/>
        <rFont val="Calibri"/>
        <family val="2"/>
        <charset val="204"/>
      </rPr>
      <t>Отчет 23</t>
    </r>
  </si>
  <si>
    <t>Период: 15.12.2025-21.12.2025</t>
  </si>
  <si>
    <t>87076710-0069</t>
  </si>
  <si>
    <t>0155057320-0149</t>
  </si>
  <si>
    <t>2000036170161</t>
  </si>
  <si>
    <t>0137909815-0033-1</t>
  </si>
  <si>
    <t>99318054-0076-1</t>
  </si>
  <si>
    <t>55547404-0940-1</t>
  </si>
  <si>
    <t>41072062-0677</t>
  </si>
  <si>
    <t>55087229-0088</t>
  </si>
  <si>
    <t>0105505495-0051-1</t>
  </si>
  <si>
    <t>44341668-0301-1</t>
  </si>
  <si>
    <t>За товары с закрепленным отзывом 14.12.2025</t>
  </si>
  <si>
    <t>0156541030-0099</t>
  </si>
  <si>
    <t>81233949-0142</t>
  </si>
  <si>
    <t>83608357-0049-2</t>
  </si>
  <si>
    <t>0123462059-0039</t>
  </si>
  <si>
    <t>0224745042-0003-1</t>
  </si>
  <si>
    <t>48532236-0433-1</t>
  </si>
  <si>
    <t>0182541022-0044</t>
  </si>
  <si>
    <t>44263489-0050</t>
  </si>
  <si>
    <t>0224942384-0001-1</t>
  </si>
  <si>
    <t>37072629-0166</t>
  </si>
  <si>
    <t>05201826-0687-3</t>
  </si>
  <si>
    <t>48577422-0194</t>
  </si>
  <si>
    <t>0125924857-0053-1</t>
  </si>
  <si>
    <t>0145141588-0193-1</t>
  </si>
  <si>
    <t>За товары с закрепленным отзывом 15.12.2025</t>
  </si>
  <si>
    <t>0172680701-0097</t>
  </si>
  <si>
    <t>0164725659-0118</t>
  </si>
  <si>
    <t>0149240462-0089</t>
  </si>
  <si>
    <t>PRADA Очки солнцезащитные</t>
  </si>
  <si>
    <t>0150240119-0092</t>
  </si>
  <si>
    <t>0155057320-0149-3</t>
  </si>
  <si>
    <t>07506106-0154</t>
  </si>
  <si>
    <t>36349621-0043</t>
  </si>
  <si>
    <t>55087229-0088-1</t>
  </si>
  <si>
    <t>67558189-0238</t>
  </si>
  <si>
    <t>81233949-0142-2</t>
  </si>
  <si>
    <t>0140094134-0102-2</t>
  </si>
  <si>
    <t>0194156783-0018-1</t>
  </si>
  <si>
    <t>0210036110-0031-1</t>
  </si>
  <si>
    <t>За товары с закрепленным отзывом 16.12.2025</t>
  </si>
  <si>
    <t>63610521-0247-1</t>
  </si>
  <si>
    <t>92004203-0248-1</t>
  </si>
  <si>
    <t>31464316-1087-1</t>
  </si>
  <si>
    <t>47982892-0087</t>
  </si>
  <si>
    <t>24608269-0410-3</t>
  </si>
  <si>
    <t>07215471-0284</t>
  </si>
  <si>
    <t>0141775965-0055-1</t>
  </si>
  <si>
    <t>92255984-0661-1</t>
  </si>
  <si>
    <t>0224338121-0004-7</t>
  </si>
  <si>
    <t>0182681000-0057-1</t>
  </si>
  <si>
    <t>0222533236-0004-1</t>
  </si>
  <si>
    <t>44966465-0138-1</t>
  </si>
  <si>
    <t>04311315-0083-1</t>
  </si>
  <si>
    <t>57062324-0705-1</t>
  </si>
  <si>
    <t>82514271-0175-2</t>
  </si>
  <si>
    <t>16331469-0396</t>
  </si>
  <si>
    <t>За товары с закрепленным отзывом 17.12.2025</t>
  </si>
  <si>
    <t>0139479210-0170</t>
  </si>
  <si>
    <t>68232409-0015-1</t>
  </si>
  <si>
    <t>31007409-0256</t>
  </si>
  <si>
    <t>25235451-1163-4</t>
  </si>
  <si>
    <t>0164867845-0012-2</t>
  </si>
  <si>
    <t>44836357-0067-1</t>
  </si>
  <si>
    <t>68032405-0068</t>
  </si>
  <si>
    <t>47678740-0184-1</t>
  </si>
  <si>
    <t>81159331-0352-1</t>
  </si>
  <si>
    <t>28196628-0500-1</t>
  </si>
  <si>
    <t>07506106-0154-1</t>
  </si>
  <si>
    <t>48577422-0194-3</t>
  </si>
  <si>
    <t>0221059743-0023-1</t>
  </si>
  <si>
    <t>50206665-0018</t>
  </si>
  <si>
    <t>46568047-0256-4</t>
  </si>
  <si>
    <t>63975410-0129-2</t>
  </si>
  <si>
    <t>47982892-0087-1</t>
  </si>
  <si>
    <t>73753188-0189-1</t>
  </si>
  <si>
    <t>За товары с закрепленным отзывом 18.12.2025</t>
  </si>
  <si>
    <t>0118612650-0125</t>
  </si>
  <si>
    <t>42757825-0163-2</t>
  </si>
  <si>
    <t>40250196-0161-1</t>
  </si>
  <si>
    <t>79073232-0083-3</t>
  </si>
  <si>
    <t>48109792-0111-5</t>
  </si>
  <si>
    <t>63557831-0032-1</t>
  </si>
  <si>
    <t>45405397-0151</t>
  </si>
  <si>
    <t>43239999-0317-1</t>
  </si>
  <si>
    <t>38209995-0414-1</t>
  </si>
  <si>
    <t>65185367-0408-1</t>
  </si>
  <si>
    <t>47072413-0365-4</t>
  </si>
  <si>
    <t>0138590802-0057-1</t>
  </si>
  <si>
    <t>44263489-0050-1</t>
  </si>
  <si>
    <t>31007409-0256-3</t>
  </si>
  <si>
    <t>31007409-0256-1</t>
  </si>
  <si>
    <t>0167799992-0016</t>
  </si>
  <si>
    <t>0127163535-0033-7</t>
  </si>
  <si>
    <t>За товары с закрепленным отзывом 19.12.2025</t>
  </si>
  <si>
    <t>28643953-0409-2</t>
  </si>
  <si>
    <t>79942650-0155-1</t>
  </si>
  <si>
    <t>41981457-0184-3</t>
  </si>
  <si>
    <t>41072062-0677-1</t>
  </si>
  <si>
    <t>0128624453-0139-4</t>
  </si>
  <si>
    <t>82763796-0476-1</t>
  </si>
  <si>
    <t>07215471-0287</t>
  </si>
  <si>
    <t>85058011-0032-1</t>
  </si>
  <si>
    <t>19243552-0762-1</t>
  </si>
  <si>
    <t>58920646-0192-1</t>
  </si>
  <si>
    <t>0182541022-0044-2</t>
  </si>
  <si>
    <t>0105753404-0003-1</t>
  </si>
  <si>
    <t>0105144143-0190-1</t>
  </si>
  <si>
    <t>25012086-0824-1</t>
  </si>
  <si>
    <t>16331469-0396-1</t>
  </si>
  <si>
    <t>94219513-0448</t>
  </si>
  <si>
    <t>67558189-0238-1</t>
  </si>
  <si>
    <t>35204876-0473-1</t>
  </si>
  <si>
    <t>44179084-0149</t>
  </si>
  <si>
    <t>39024757-0550-2</t>
  </si>
  <si>
    <t>За товары с закрепленным отзывом 20.12.2025</t>
  </si>
  <si>
    <t>34032244-0345-1</t>
  </si>
  <si>
    <t>15-21.12 очки</t>
  </si>
  <si>
    <t>15-21.12 туники</t>
  </si>
  <si>
    <t>51</t>
  </si>
  <si>
    <t>Период: 22.12.2025-31.12.2025</t>
  </si>
  <si>
    <t>37803333-0224-3</t>
  </si>
  <si>
    <t>53043040-0381-1</t>
  </si>
  <si>
    <t>37479775-0976-3</t>
  </si>
  <si>
    <t>50713928-0272-1</t>
  </si>
  <si>
    <t>70581418-0329</t>
  </si>
  <si>
    <t>0102702310-0167</t>
  </si>
  <si>
    <t>0150240119-0092-1</t>
  </si>
  <si>
    <t>36349621-0043-1</t>
  </si>
  <si>
    <t>0139986916-0165-1</t>
  </si>
  <si>
    <t>66929317-0113-1</t>
  </si>
  <si>
    <t>0118612650-0125-7</t>
  </si>
  <si>
    <t>0214932139-0024</t>
  </si>
  <si>
    <t>За товары с закрепленным отзывом 21.12.2025</t>
  </si>
  <si>
    <t>0132111762-0033-1</t>
  </si>
  <si>
    <t>0144821163-0089-11</t>
  </si>
  <si>
    <t>0144821163-0089-9</t>
  </si>
  <si>
    <t>66620133-0299</t>
  </si>
  <si>
    <t>0167799992-0016-1</t>
  </si>
  <si>
    <t>37072629-0166-3</t>
  </si>
  <si>
    <t>0199888078-0047</t>
  </si>
  <si>
    <t>0208738904-0013</t>
  </si>
  <si>
    <t>0223941634-0011-7</t>
  </si>
  <si>
    <t>05682239-0601</t>
  </si>
  <si>
    <t>0138207724-0428-3</t>
  </si>
  <si>
    <t>0131481764-0296-1</t>
  </si>
  <si>
    <t>39017694-0202-1</t>
  </si>
  <si>
    <t>48060224-0184-1</t>
  </si>
  <si>
    <t>За товары с закрепленным отзывом 22.12.2025</t>
  </si>
  <si>
    <t>84727904-0087-1</t>
  </si>
  <si>
    <t>0111827137-0297</t>
  </si>
  <si>
    <t>41006233-0100</t>
  </si>
  <si>
    <t>84397804-0038-2</t>
  </si>
  <si>
    <t>87076710-0069-1</t>
  </si>
  <si>
    <t>0130620811-0096</t>
  </si>
  <si>
    <t>61568797-0905-1</t>
  </si>
  <si>
    <t>0164725659-0118-1</t>
  </si>
  <si>
    <t>07215471-0287-1</t>
  </si>
  <si>
    <t>49171039-0396-1</t>
  </si>
  <si>
    <t>84930105-0052-1</t>
  </si>
  <si>
    <t>39883522-0057</t>
  </si>
  <si>
    <t>46034247-0271-1</t>
  </si>
  <si>
    <t>0144755540-0037-1</t>
  </si>
  <si>
    <t>72352476-0330-3</t>
  </si>
  <si>
    <t>0173430458-0008-1</t>
  </si>
  <si>
    <t>0104932340-0151-1</t>
  </si>
  <si>
    <t>0193163725-0016</t>
  </si>
  <si>
    <t>0200880615-0123-1</t>
  </si>
  <si>
    <t>63421818-0042</t>
  </si>
  <si>
    <t>28508058-0160-9</t>
  </si>
  <si>
    <t>За товары с закрепленным отзывом 23.12.2025</t>
  </si>
  <si>
    <t>34262836-0063</t>
  </si>
  <si>
    <t>20378056</t>
  </si>
  <si>
    <t>0208367993-0016</t>
  </si>
  <si>
    <t>0214932139-0024-1</t>
  </si>
  <si>
    <t>48216453-0158</t>
  </si>
  <si>
    <t>68032405-0068-2</t>
  </si>
  <si>
    <t>0130462677-0090</t>
  </si>
  <si>
    <t>0101545710-0147-3</t>
  </si>
  <si>
    <t>38475831-0196</t>
  </si>
  <si>
    <t>05682239-0601-5</t>
  </si>
  <si>
    <t>0210742408-0034-1</t>
  </si>
  <si>
    <t>41647934-0272-1</t>
  </si>
  <si>
    <t>62811293-0333</t>
  </si>
  <si>
    <t>56225651-0336-1</t>
  </si>
  <si>
    <t>0121802710-0267</t>
  </si>
  <si>
    <t>83022126-0049</t>
  </si>
  <si>
    <t>55842521-0162</t>
  </si>
  <si>
    <t>39435823-0335-1</t>
  </si>
  <si>
    <t>31027929-0067-1</t>
  </si>
  <si>
    <t>0121582631-0030-1</t>
  </si>
  <si>
    <t>73300143-0619-3</t>
  </si>
  <si>
    <t>0101385529-0183-1</t>
  </si>
  <si>
    <t>22714872226</t>
  </si>
  <si>
    <t>Утилизация товара: Автоутилизация со стока</t>
  </si>
  <si>
    <t>27933314-1039-9</t>
  </si>
  <si>
    <t>0199888078-0047-1</t>
  </si>
  <si>
    <t>0139479210-0170-1</t>
  </si>
  <si>
    <t>91997310-0655-5</t>
  </si>
  <si>
    <t>97279763-0055</t>
  </si>
  <si>
    <t>39883522-0057-4</t>
  </si>
  <si>
    <t>0146129844-0135-9</t>
  </si>
  <si>
    <t>62881040-0344-1</t>
  </si>
  <si>
    <t>0236893741-0004</t>
  </si>
  <si>
    <t>38004067-0287-2</t>
  </si>
  <si>
    <t>34262836-0063-2</t>
  </si>
  <si>
    <t>41006233-0100-1</t>
  </si>
  <si>
    <t>86637976-0036-1</t>
  </si>
  <si>
    <t>38475831-0196-1</t>
  </si>
  <si>
    <t>0149682090-0034-1</t>
  </si>
  <si>
    <t>04921244-0326</t>
  </si>
  <si>
    <t>70581418-0329-1</t>
  </si>
  <si>
    <t>0165897670-0232</t>
  </si>
  <si>
    <t>0108303748-0050-1</t>
  </si>
  <si>
    <t>74469522-0154-2</t>
  </si>
  <si>
    <t>0223103017-0006</t>
  </si>
  <si>
    <t>0222990733-0016</t>
  </si>
  <si>
    <t>76903332-0061-1</t>
  </si>
  <si>
    <t>67406862-0263-1</t>
  </si>
  <si>
    <t>0130462677-0090-1</t>
  </si>
  <si>
    <t>69898273-0275-1</t>
  </si>
  <si>
    <t>0124489002-0285-1</t>
  </si>
  <si>
    <t>2000038310897</t>
  </si>
  <si>
    <t>2000038312605</t>
  </si>
  <si>
    <t>48573456-0072-1</t>
  </si>
  <si>
    <t>29433232-0205-2</t>
  </si>
  <si>
    <t>0124767106-0121</t>
  </si>
  <si>
    <t>0134073374-0051</t>
  </si>
  <si>
    <t>65973410-0439</t>
  </si>
  <si>
    <t>20052815-0185-1</t>
  </si>
  <si>
    <t>49975256-0193-1</t>
  </si>
  <si>
    <t>85223103-0133-1</t>
  </si>
  <si>
    <t>23862466-0382</t>
  </si>
  <si>
    <t>20438351</t>
  </si>
  <si>
    <t>20438344</t>
  </si>
  <si>
    <t>20438348</t>
  </si>
  <si>
    <t>16216051-0206-3</t>
  </si>
  <si>
    <t>0169358263-0215</t>
  </si>
  <si>
    <t>81226656-0213-1</t>
  </si>
  <si>
    <t>0103197848-0059-2</t>
  </si>
  <si>
    <t>49698780-0104-13</t>
  </si>
  <si>
    <t>29634528-0190-3</t>
  </si>
  <si>
    <t>55842521-0162-5</t>
  </si>
  <si>
    <t>0149081967-0021</t>
  </si>
  <si>
    <t>0169138340-0056-1</t>
  </si>
  <si>
    <t>45405397-0151-2</t>
  </si>
  <si>
    <t>0121802710-0267-1</t>
  </si>
  <si>
    <t>0235273493-0014</t>
  </si>
  <si>
    <t>45216896-0291-1</t>
  </si>
  <si>
    <t>62811293-0333-2</t>
  </si>
  <si>
    <t>56264767-0214-1</t>
  </si>
  <si>
    <t>47958828-0177-1</t>
  </si>
  <si>
    <t>0133579775-0008-1</t>
  </si>
  <si>
    <t>0236045866-0002-1</t>
  </si>
  <si>
    <t>0178868239-0034-1</t>
  </si>
  <si>
    <t>86529916-0013-5</t>
  </si>
  <si>
    <t>0236893741-0004-1</t>
  </si>
  <si>
    <t>0128255874-0025-7</t>
  </si>
  <si>
    <t>98759900-0289</t>
  </si>
  <si>
    <t>04921244-0326-5</t>
  </si>
  <si>
    <t>50206665-0018-4</t>
  </si>
  <si>
    <t>46761374-0249</t>
  </si>
  <si>
    <t>60611070-0087-1</t>
  </si>
  <si>
    <t>23862466-0382-1</t>
  </si>
  <si>
    <t>0102702310-0167-1</t>
  </si>
  <si>
    <t>0169358263-0215-1</t>
  </si>
  <si>
    <t>95518644-0179-1</t>
  </si>
  <si>
    <t>71366230-0954-1</t>
  </si>
  <si>
    <t>44179084-0149-2</t>
  </si>
  <si>
    <t>11053019-0080-1</t>
  </si>
  <si>
    <t>0235273493-0014-1</t>
  </si>
  <si>
    <t>05268094-0159-13</t>
  </si>
  <si>
    <t>97279763-0055-3</t>
  </si>
  <si>
    <t>93077837-0169-1</t>
  </si>
  <si>
    <t>65804880-0149</t>
  </si>
  <si>
    <t>0171945135-0037-1</t>
  </si>
  <si>
    <t>67155194-0020</t>
  </si>
  <si>
    <t>0177642063-0076</t>
  </si>
  <si>
    <t>0132100573-0033</t>
  </si>
  <si>
    <t>48216453-0158-1</t>
  </si>
  <si>
    <t>0156541030-0099-1</t>
  </si>
  <si>
    <t>0196598611-0009-1</t>
  </si>
  <si>
    <t>20406355-0078</t>
  </si>
  <si>
    <t>20406355-0079</t>
  </si>
  <si>
    <t>83022126-0049-2</t>
  </si>
  <si>
    <t>0117432861-0024-5</t>
  </si>
  <si>
    <t>31964382-0196-2</t>
  </si>
  <si>
    <t>0116254902-0256-1</t>
  </si>
  <si>
    <t>0188699056-0211</t>
  </si>
  <si>
    <t>0212943554-0002-1</t>
  </si>
  <si>
    <t>0183816176-0211</t>
  </si>
  <si>
    <t>09292915-0658-1</t>
  </si>
  <si>
    <t>49698780-0104-15</t>
  </si>
  <si>
    <t>32173682-0170-1</t>
  </si>
  <si>
    <t>97034028-0075</t>
  </si>
  <si>
    <t>94219513-0448-1</t>
  </si>
  <si>
    <t>97850500-0030-1</t>
  </si>
  <si>
    <t>0124767106-0121-1</t>
  </si>
  <si>
    <t>0196047710-0007-1</t>
  </si>
  <si>
    <t>0176747399-0052-5</t>
  </si>
  <si>
    <t>0195609370-0008-3</t>
  </si>
  <si>
    <t>41241518-0224-1</t>
  </si>
  <si>
    <t>0130764969-0077</t>
  </si>
  <si>
    <t>0132664304-0118-1</t>
  </si>
  <si>
    <t>65973410-0439-3</t>
  </si>
  <si>
    <t>0144529110-0097-1</t>
  </si>
  <si>
    <t>42220147-0294-1</t>
  </si>
  <si>
    <t>37280125-0117-1</t>
  </si>
  <si>
    <t>62111598-0190</t>
  </si>
  <si>
    <t>0177642063-0076-7</t>
  </si>
  <si>
    <t>97780479-0433</t>
  </si>
  <si>
    <t>42700756-0153</t>
  </si>
  <si>
    <t>0222990733-0016-1</t>
  </si>
  <si>
    <t>15183950-0046</t>
  </si>
  <si>
    <t>0105810442-0014</t>
  </si>
  <si>
    <t>22-31.12</t>
  </si>
  <si>
    <t>22-31.12 очки</t>
  </si>
  <si>
    <t>22-31.12 туники</t>
  </si>
  <si>
    <t>52</t>
  </si>
  <si>
    <t xml:space="preserve">Заказы, шт
</t>
  </si>
  <si>
    <t>АВГУСТ-ДЕКАБРЬ</t>
  </si>
  <si>
    <t>Налог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</si>
</sst>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dd\.mm\.yyyy"/>
    <numFmt numFmtId="165" formatCode="#,##0.00\ &quot;₽&quot;"/>
    <numFmt numFmtId="166" formatCode="_-* #,##0_-;\-* #,##0_-;_-* &quot;-&quot;??_-;_-@_-"/>
    <numFmt numFmtId="167" formatCode="_-* #,##0.00\ _₽_-;\-* #,##0.00\ _₽_-;_-* &quot;-&quot;??\ _₽_-;_-@_-"/>
    <numFmt numFmtId="168" formatCode="_-* #,##0\ _₽_-;\-* #,##0\ _₽_-;_-* &quot;-&quot;??\ _₽_-;_-@_-"/>
    <numFmt numFmtId="169" formatCode="#,##0.00_ ;\-#,##0.00\ "/>
    <numFmt numFmtId="170" formatCode="[$-419]d\ mmm;@"/>
    <numFmt numFmtId="171" formatCode="_-* #,##0\ &quot;₽&quot;_-;\-* #,##0\ &quot;₽&quot;_-;_-* &quot;-&quot;??\ &quot;₽&quot;_-;_-@_-"/>
    <numFmt numFmtId="172" formatCode="#,##0_ ;\-#,##0\ 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2"/>
      <name val="Verdana"/>
      <family val="2"/>
      <charset val="204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2"/>
      <name val="Verdana"/>
      <family val="2"/>
    </font>
    <font>
      <b/>
      <sz val="11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i/>
      <sz val="11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color theme="9"/>
      <name val="Calibri"/>
      <family val="2"/>
      <charset val="204"/>
    </font>
    <font>
      <b/>
      <sz val="12"/>
      <color theme="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0"/>
      <color rgb="FFFF0000"/>
      <name val="Verdana"/>
      <family val="2"/>
      <charset val="204"/>
    </font>
    <font>
      <b/>
      <sz val="8"/>
      <color theme="0"/>
      <name val="Verdana"/>
      <family val="2"/>
      <charset val="204"/>
    </font>
    <font>
      <b/>
      <sz val="8"/>
      <color rgb="FFFFFFFF"/>
      <name val="Verdana"/>
      <family val="2"/>
      <charset val="204"/>
    </font>
    <font>
      <sz val="8"/>
      <name val="Verdana"/>
      <family val="2"/>
      <charset val="204"/>
    </font>
    <font>
      <sz val="10"/>
      <name val="Calibri"/>
      <family val="2"/>
      <charset val="204"/>
    </font>
    <font>
      <b/>
      <sz val="12"/>
      <color rgb="FFFFFFFF"/>
      <name val="Montserrat"/>
    </font>
    <font>
      <b/>
      <sz val="10"/>
      <color theme="0"/>
      <name val="Montserrat"/>
      <charset val="204"/>
    </font>
    <font>
      <b/>
      <sz val="12"/>
      <color theme="0"/>
      <name val="Montserrat"/>
    </font>
    <font>
      <sz val="12"/>
      <color theme="0"/>
      <name val="Montserrat"/>
    </font>
    <font>
      <b/>
      <sz val="12"/>
      <name val="Montserrat"/>
      <charset val="204"/>
    </font>
    <font>
      <b/>
      <sz val="12"/>
      <color theme="0"/>
      <name val="Montserrat"/>
      <charset val="204"/>
    </font>
    <font>
      <sz val="12"/>
      <color theme="0"/>
      <name val="Montserrat"/>
      <charset val="204"/>
    </font>
    <font>
      <sz val="12"/>
      <name val="Montserrat"/>
    </font>
    <font>
      <sz val="12"/>
      <color rgb="FF48525A"/>
      <name val="Arial"/>
    </font>
    <font>
      <b/>
      <sz val="12"/>
      <color rgb="FF48525A"/>
      <name val="Arial"/>
    </font>
    <font>
      <b/>
      <sz val="12"/>
      <color rgb="FF255AF6"/>
      <name val="Arial"/>
    </font>
    <font>
      <b/>
      <i/>
      <sz val="11"/>
      <name val="Calibri"/>
      <family val="2"/>
      <charset val="204"/>
    </font>
    <font>
      <i/>
      <sz val="11"/>
      <color rgb="FF00B050"/>
      <name val="Calibri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5F4E78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6A448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7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/>
      <diagonal/>
    </border>
    <border>
      <left style="medium">
        <color theme="2" tint="-9.9978637043366805E-2"/>
      </left>
      <right/>
      <top style="medium">
        <color theme="2" tint="-9.9978637043366805E-2"/>
      </top>
      <bottom/>
      <diagonal/>
    </border>
    <border>
      <left/>
      <right style="medium">
        <color theme="2" tint="-9.9978637043366805E-2"/>
      </right>
      <top style="medium">
        <color theme="2" tint="-9.9978637043366805E-2"/>
      </top>
      <bottom/>
      <diagonal/>
    </border>
    <border>
      <left style="thin">
        <color auto="1"/>
      </left>
      <right style="thin">
        <color auto="1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</cellStyleXfs>
  <cellXfs count="519">
    <xf numFmtId="0" fontId="0" fillId="0" borderId="0" xfId="0"/>
    <xf numFmtId="0" fontId="3" fillId="2" borderId="1" xfId="0" applyFont="1" applyFill="1" applyBorder="1" applyAlignment="1">
      <alignment horizontal="left" vertical="top"/>
    </xf>
    <xf numFmtId="2" fontId="0" fillId="0" borderId="0" xfId="0" applyNumberFormat="1"/>
    <xf numFmtId="0" fontId="4" fillId="3" borderId="2" xfId="0" applyFont="1" applyFill="1" applyBorder="1" applyAlignment="1">
      <alignment horizontal="left" vertical="top" wrapText="1"/>
    </xf>
    <xf numFmtId="2" fontId="5" fillId="3" borderId="2" xfId="0" applyNumberFormat="1" applyFont="1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right" vertical="top"/>
    </xf>
    <xf numFmtId="1" fontId="3" fillId="2" borderId="1" xfId="0" applyNumberFormat="1" applyFont="1" applyFill="1" applyBorder="1" applyAlignment="1">
      <alignment horizontal="right" vertical="top"/>
    </xf>
    <xf numFmtId="165" fontId="3" fillId="2" borderId="1" xfId="0" applyNumberFormat="1" applyFont="1" applyFill="1" applyBorder="1" applyAlignment="1">
      <alignment horizontal="right" vertical="top"/>
    </xf>
    <xf numFmtId="9" fontId="3" fillId="2" borderId="1" xfId="0" applyNumberFormat="1" applyFont="1" applyFill="1" applyBorder="1" applyAlignment="1">
      <alignment horizontal="right" vertical="top"/>
    </xf>
    <xf numFmtId="2" fontId="3" fillId="2" borderId="1" xfId="0" applyNumberFormat="1" applyFont="1" applyFill="1" applyBorder="1" applyAlignment="1">
      <alignment horizontal="right" vertical="top"/>
    </xf>
    <xf numFmtId="0" fontId="7" fillId="0" borderId="0" xfId="4" applyFont="1" applyAlignment="1">
      <alignment vertical="center"/>
    </xf>
    <xf numFmtId="49" fontId="7" fillId="0" borderId="0" xfId="4" applyNumberFormat="1" applyFont="1" applyAlignment="1">
      <alignment horizontal="left" vertical="center"/>
    </xf>
    <xf numFmtId="2" fontId="8" fillId="0" borderId="0" xfId="4" applyNumberFormat="1" applyFont="1" applyAlignment="1">
      <alignment vertical="center"/>
    </xf>
    <xf numFmtId="0" fontId="8" fillId="0" borderId="0" xfId="4" applyFont="1" applyAlignment="1">
      <alignment vertical="center"/>
    </xf>
    <xf numFmtId="0" fontId="7" fillId="4" borderId="0" xfId="4" applyFont="1" applyFill="1" applyAlignment="1">
      <alignment vertical="center" wrapText="1"/>
    </xf>
    <xf numFmtId="166" fontId="10" fillId="0" borderId="0" xfId="1" applyNumberFormat="1" applyFont="1" applyFill="1" applyAlignment="1">
      <alignment horizontal="center" vertical="center"/>
    </xf>
    <xf numFmtId="0" fontId="7" fillId="0" borderId="0" xfId="4" applyFont="1" applyAlignment="1">
      <alignment vertical="center" wrapText="1"/>
    </xf>
    <xf numFmtId="166" fontId="7" fillId="0" borderId="0" xfId="1" applyNumberFormat="1" applyFont="1" applyAlignment="1">
      <alignment vertical="center"/>
    </xf>
    <xf numFmtId="0" fontId="7" fillId="0" borderId="3" xfId="4" applyFont="1" applyBorder="1" applyAlignment="1">
      <alignment vertical="center"/>
    </xf>
    <xf numFmtId="0" fontId="11" fillId="0" borderId="0" xfId="4" applyFont="1" applyAlignment="1">
      <alignment horizontal="center" vertical="center" wrapText="1"/>
    </xf>
    <xf numFmtId="0" fontId="11" fillId="0" borderId="4" xfId="4" applyFont="1" applyBorder="1" applyAlignment="1">
      <alignment horizontal="center" vertical="center" wrapText="1"/>
    </xf>
    <xf numFmtId="2" fontId="11" fillId="0" borderId="5" xfId="4" applyNumberFormat="1" applyFont="1" applyBorder="1" applyAlignment="1">
      <alignment horizontal="center" vertical="center" wrapText="1"/>
    </xf>
    <xf numFmtId="0" fontId="11" fillId="5" borderId="5" xfId="4" applyFont="1" applyFill="1" applyBorder="1" applyAlignment="1">
      <alignment horizontal="center" vertical="center" wrapText="1"/>
    </xf>
    <xf numFmtId="1" fontId="11" fillId="5" borderId="5" xfId="4" applyNumberFormat="1" applyFont="1" applyFill="1" applyBorder="1" applyAlignment="1">
      <alignment horizontal="center" vertical="center" wrapText="1"/>
    </xf>
    <xf numFmtId="1" fontId="11" fillId="0" borderId="5" xfId="4" applyNumberFormat="1" applyFont="1" applyBorder="1" applyAlignment="1">
      <alignment horizontal="center" vertical="center" wrapText="1"/>
    </xf>
    <xf numFmtId="1" fontId="11" fillId="5" borderId="6" xfId="4" applyNumberFormat="1" applyFont="1" applyFill="1" applyBorder="1" applyAlignment="1">
      <alignment horizontal="center" vertical="center" wrapText="1"/>
    </xf>
    <xf numFmtId="0" fontId="11" fillId="5" borderId="6" xfId="4" applyFont="1" applyFill="1" applyBorder="1" applyAlignment="1">
      <alignment horizontal="center" vertical="center" wrapText="1"/>
    </xf>
    <xf numFmtId="0" fontId="11" fillId="5" borderId="4" xfId="4" applyFont="1" applyFill="1" applyBorder="1" applyAlignment="1">
      <alignment horizontal="center" vertical="center" wrapText="1"/>
    </xf>
    <xf numFmtId="166" fontId="11" fillId="5" borderId="6" xfId="5" applyNumberFormat="1" applyFont="1" applyFill="1" applyBorder="1" applyAlignment="1">
      <alignment horizontal="center" vertical="center" wrapText="1"/>
    </xf>
    <xf numFmtId="166" fontId="11" fillId="5" borderId="7" xfId="5" applyNumberFormat="1" applyFont="1" applyFill="1" applyBorder="1" applyAlignment="1">
      <alignment horizontal="center" vertical="center" wrapText="1"/>
    </xf>
    <xf numFmtId="166" fontId="11" fillId="5" borderId="5" xfId="5" applyNumberFormat="1" applyFont="1" applyFill="1" applyBorder="1" applyAlignment="1">
      <alignment horizontal="center" vertical="center" wrapText="1"/>
    </xf>
    <xf numFmtId="9" fontId="11" fillId="5" borderId="5" xfId="6" applyFont="1" applyFill="1" applyBorder="1" applyAlignment="1">
      <alignment horizontal="center" vertical="center" wrapText="1"/>
    </xf>
    <xf numFmtId="0" fontId="11" fillId="6" borderId="5" xfId="4" applyFont="1" applyFill="1" applyBorder="1" applyAlignment="1">
      <alignment horizontal="center" vertical="center" wrapText="1"/>
    </xf>
    <xf numFmtId="0" fontId="14" fillId="5" borderId="7" xfId="4" applyFont="1" applyFill="1" applyBorder="1" applyAlignment="1">
      <alignment horizontal="center" vertical="center" wrapText="1"/>
    </xf>
    <xf numFmtId="166" fontId="11" fillId="0" borderId="8" xfId="1" applyNumberFormat="1" applyFont="1" applyBorder="1" applyAlignment="1">
      <alignment horizontal="center" vertical="center" wrapText="1"/>
    </xf>
    <xf numFmtId="9" fontId="11" fillId="5" borderId="4" xfId="6" applyFont="1" applyFill="1" applyBorder="1" applyAlignment="1">
      <alignment horizontal="center" vertical="center" wrapText="1"/>
    </xf>
    <xf numFmtId="9" fontId="11" fillId="6" borderId="5" xfId="6" applyFont="1" applyFill="1" applyBorder="1" applyAlignment="1">
      <alignment horizontal="center" vertical="center" wrapText="1"/>
    </xf>
    <xf numFmtId="9" fontId="11" fillId="6" borderId="6" xfId="6" applyFont="1" applyFill="1" applyBorder="1" applyAlignment="1">
      <alignment horizontal="center" vertical="center" wrapText="1"/>
    </xf>
    <xf numFmtId="0" fontId="11" fillId="5" borderId="7" xfId="4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left" vertical="top"/>
    </xf>
    <xf numFmtId="1" fontId="16" fillId="0" borderId="0" xfId="1" applyNumberFormat="1" applyFont="1" applyFill="1" applyBorder="1"/>
    <xf numFmtId="166" fontId="16" fillId="0" borderId="0" xfId="1" applyNumberFormat="1" applyFont="1"/>
    <xf numFmtId="166" fontId="16" fillId="0" borderId="0" xfId="1" applyNumberFormat="1" applyFont="1" applyFill="1"/>
    <xf numFmtId="166" fontId="17" fillId="0" borderId="10" xfId="7" applyNumberFormat="1" applyFont="1" applyBorder="1"/>
    <xf numFmtId="0" fontId="16" fillId="0" borderId="0" xfId="0" applyFont="1"/>
    <xf numFmtId="43" fontId="16" fillId="0" borderId="0" xfId="1" applyFont="1"/>
    <xf numFmtId="166" fontId="16" fillId="0" borderId="9" xfId="1" applyNumberFormat="1" applyFont="1" applyBorder="1"/>
    <xf numFmtId="166" fontId="16" fillId="0" borderId="0" xfId="1" applyNumberFormat="1" applyFont="1" applyFill="1" applyBorder="1"/>
    <xf numFmtId="166" fontId="10" fillId="0" borderId="9" xfId="1" applyNumberFormat="1" applyFont="1" applyBorder="1"/>
    <xf numFmtId="166" fontId="10" fillId="0" borderId="11" xfId="1" applyNumberFormat="1" applyFont="1" applyFill="1" applyBorder="1"/>
    <xf numFmtId="166" fontId="10" fillId="0" borderId="0" xfId="1" applyNumberFormat="1" applyFont="1" applyFill="1"/>
    <xf numFmtId="9" fontId="10" fillId="0" borderId="8" xfId="3" applyFont="1" applyBorder="1"/>
    <xf numFmtId="166" fontId="10" fillId="0" borderId="0" xfId="1" applyNumberFormat="1" applyFont="1"/>
    <xf numFmtId="9" fontId="10" fillId="0" borderId="0" xfId="3" applyFont="1"/>
    <xf numFmtId="166" fontId="10" fillId="0" borderId="0" xfId="8" applyNumberFormat="1" applyFont="1"/>
    <xf numFmtId="166" fontId="19" fillId="0" borderId="8" xfId="8" applyNumberFormat="1" applyFont="1" applyBorder="1"/>
    <xf numFmtId="1" fontId="10" fillId="0" borderId="11" xfId="9" applyNumberFormat="1" applyFont="1" applyBorder="1"/>
    <xf numFmtId="1" fontId="10" fillId="0" borderId="0" xfId="4" applyNumberFormat="1" applyFont="1"/>
    <xf numFmtId="9" fontId="10" fillId="0" borderId="0" xfId="3" applyFont="1" applyBorder="1"/>
    <xf numFmtId="9" fontId="10" fillId="0" borderId="9" xfId="3" applyFont="1" applyBorder="1"/>
    <xf numFmtId="0" fontId="10" fillId="0" borderId="0" xfId="4" applyFont="1"/>
    <xf numFmtId="166" fontId="10" fillId="0" borderId="8" xfId="8" applyNumberFormat="1" applyFont="1" applyBorder="1"/>
    <xf numFmtId="166" fontId="16" fillId="0" borderId="0" xfId="1" applyNumberFormat="1" applyFont="1" applyBorder="1"/>
    <xf numFmtId="166" fontId="10" fillId="0" borderId="0" xfId="1" applyNumberFormat="1" applyFont="1" applyFill="1" applyBorder="1"/>
    <xf numFmtId="166" fontId="16" fillId="0" borderId="0" xfId="7" applyNumberFormat="1" applyFont="1" applyBorder="1"/>
    <xf numFmtId="0" fontId="10" fillId="0" borderId="9" xfId="4" applyFont="1" applyBorder="1"/>
    <xf numFmtId="0" fontId="15" fillId="0" borderId="3" xfId="0" applyFont="1" applyBorder="1" applyAlignment="1">
      <alignment horizontal="left" vertical="top"/>
    </xf>
    <xf numFmtId="2" fontId="10" fillId="0" borderId="0" xfId="1" applyNumberFormat="1" applyFont="1" applyFill="1"/>
    <xf numFmtId="0" fontId="10" fillId="0" borderId="0" xfId="1" applyNumberFormat="1" applyFont="1"/>
    <xf numFmtId="0" fontId="10" fillId="0" borderId="0" xfId="1" applyNumberFormat="1" applyFont="1" applyFill="1"/>
    <xf numFmtId="0" fontId="10" fillId="0" borderId="9" xfId="1" applyNumberFormat="1" applyFont="1" applyBorder="1"/>
    <xf numFmtId="168" fontId="10" fillId="0" borderId="11" xfId="9" applyNumberFormat="1" applyFont="1" applyBorder="1"/>
    <xf numFmtId="166" fontId="10" fillId="0" borderId="0" xfId="4" applyNumberFormat="1" applyFont="1"/>
    <xf numFmtId="168" fontId="19" fillId="0" borderId="5" xfId="10" applyNumberFormat="1" applyFont="1" applyFill="1" applyBorder="1"/>
    <xf numFmtId="167" fontId="20" fillId="6" borderId="5" xfId="10" applyFont="1" applyFill="1" applyBorder="1"/>
    <xf numFmtId="166" fontId="19" fillId="0" borderId="0" xfId="1" applyNumberFormat="1" applyFont="1" applyFill="1"/>
    <xf numFmtId="168" fontId="19" fillId="0" borderId="0" xfId="10" applyNumberFormat="1" applyFont="1" applyFill="1"/>
    <xf numFmtId="168" fontId="10" fillId="0" borderId="0" xfId="10" applyNumberFormat="1" applyFont="1" applyAlignment="1">
      <alignment horizontal="center" vertical="center"/>
    </xf>
    <xf numFmtId="168" fontId="10" fillId="0" borderId="0" xfId="10" applyNumberFormat="1" applyFont="1" applyFill="1" applyAlignment="1">
      <alignment horizontal="left" vertical="center" indent="1"/>
    </xf>
    <xf numFmtId="2" fontId="10" fillId="0" borderId="0" xfId="10" applyNumberFormat="1" applyFont="1" applyFill="1" applyAlignment="1">
      <alignment horizontal="center" vertical="center"/>
    </xf>
    <xf numFmtId="168" fontId="10" fillId="0" borderId="0" xfId="10" applyNumberFormat="1" applyFont="1" applyFill="1" applyAlignment="1">
      <alignment horizontal="center" vertical="center"/>
    </xf>
    <xf numFmtId="168" fontId="21" fillId="0" borderId="0" xfId="10" applyNumberFormat="1" applyFont="1" applyAlignment="1">
      <alignment horizontal="center" vertical="center"/>
    </xf>
    <xf numFmtId="168" fontId="22" fillId="0" borderId="0" xfId="10" applyNumberFormat="1" applyFont="1" applyFill="1" applyAlignment="1">
      <alignment horizontal="center" vertical="center"/>
    </xf>
    <xf numFmtId="168" fontId="22" fillId="0" borderId="0" xfId="10" applyNumberFormat="1" applyFont="1" applyAlignment="1">
      <alignment horizontal="center" vertical="center"/>
    </xf>
    <xf numFmtId="167" fontId="22" fillId="0" borderId="0" xfId="10" applyFont="1" applyFill="1" applyAlignment="1">
      <alignment horizontal="center" vertical="center"/>
    </xf>
    <xf numFmtId="168" fontId="23" fillId="0" borderId="0" xfId="10" applyNumberFormat="1" applyFont="1" applyFill="1" applyAlignment="1">
      <alignment horizontal="center" vertical="center"/>
    </xf>
    <xf numFmtId="166" fontId="10" fillId="0" borderId="0" xfId="1" applyNumberFormat="1" applyFont="1" applyAlignment="1">
      <alignment horizontal="center" vertical="center"/>
    </xf>
    <xf numFmtId="166" fontId="21" fillId="0" borderId="0" xfId="1" applyNumberFormat="1" applyFont="1" applyFill="1" applyAlignment="1">
      <alignment horizontal="center" vertical="center"/>
    </xf>
    <xf numFmtId="168" fontId="24" fillId="0" borderId="0" xfId="10" applyNumberFormat="1" applyFont="1" applyAlignment="1">
      <alignment horizontal="center" vertical="center"/>
    </xf>
    <xf numFmtId="168" fontId="21" fillId="0" borderId="0" xfId="10" applyNumberFormat="1" applyFont="1" applyFill="1" applyAlignment="1">
      <alignment horizontal="left" vertical="top"/>
    </xf>
    <xf numFmtId="168" fontId="25" fillId="0" borderId="0" xfId="10" applyNumberFormat="1" applyFont="1" applyFill="1" applyAlignment="1">
      <alignment horizontal="center" vertical="center"/>
    </xf>
    <xf numFmtId="168" fontId="25" fillId="0" borderId="0" xfId="10" applyNumberFormat="1" applyFont="1" applyFill="1" applyAlignment="1">
      <alignment horizontal="left" vertical="top"/>
    </xf>
    <xf numFmtId="0" fontId="9" fillId="0" borderId="0" xfId="0" applyFont="1" applyAlignment="1">
      <alignment horizontal="left" indent="1"/>
    </xf>
    <xf numFmtId="2" fontId="10" fillId="0" borderId="0" xfId="4" applyNumberFormat="1" applyFont="1"/>
    <xf numFmtId="168" fontId="19" fillId="0" borderId="0" xfId="10" applyNumberFormat="1" applyFont="1" applyAlignment="1">
      <alignment horizontal="center" vertical="center"/>
    </xf>
    <xf numFmtId="168" fontId="19" fillId="0" borderId="0" xfId="10" applyNumberFormat="1" applyFont="1" applyAlignment="1">
      <alignment horizontal="center" vertical="center" wrapText="1"/>
    </xf>
    <xf numFmtId="168" fontId="19" fillId="0" borderId="0" xfId="10" applyNumberFormat="1" applyFont="1" applyFill="1" applyAlignment="1">
      <alignment horizontal="center" vertical="center" wrapText="1"/>
    </xf>
    <xf numFmtId="166" fontId="10" fillId="0" borderId="0" xfId="5" applyNumberFormat="1" applyFont="1"/>
    <xf numFmtId="9" fontId="10" fillId="0" borderId="0" xfId="6" applyFont="1"/>
    <xf numFmtId="167" fontId="10" fillId="0" borderId="0" xfId="4" applyNumberFormat="1" applyFont="1"/>
    <xf numFmtId="0" fontId="25" fillId="0" borderId="0" xfId="4" applyFont="1"/>
    <xf numFmtId="0" fontId="19" fillId="7" borderId="0" xfId="4" applyFont="1" applyFill="1"/>
    <xf numFmtId="166" fontId="10" fillId="7" borderId="0" xfId="11" applyNumberFormat="1" applyFont="1" applyFill="1"/>
    <xf numFmtId="9" fontId="10" fillId="7" borderId="0" xfId="12" applyFont="1" applyFill="1" applyAlignment="1">
      <alignment horizontal="center"/>
    </xf>
    <xf numFmtId="166" fontId="10" fillId="0" borderId="0" xfId="1" applyNumberFormat="1" applyFont="1" applyFill="1" applyAlignment="1">
      <alignment horizontal="center"/>
    </xf>
    <xf numFmtId="9" fontId="10" fillId="0" borderId="0" xfId="12" applyFont="1" applyFill="1" applyAlignment="1">
      <alignment horizontal="center"/>
    </xf>
    <xf numFmtId="0" fontId="19" fillId="8" borderId="0" xfId="4" applyFont="1" applyFill="1"/>
    <xf numFmtId="166" fontId="10" fillId="8" borderId="0" xfId="11" applyNumberFormat="1" applyFont="1" applyFill="1"/>
    <xf numFmtId="9" fontId="10" fillId="8" borderId="0" xfId="12" applyFont="1" applyFill="1" applyAlignment="1">
      <alignment horizontal="center"/>
    </xf>
    <xf numFmtId="2" fontId="21" fillId="0" borderId="0" xfId="4" applyNumberFormat="1" applyFont="1"/>
    <xf numFmtId="0" fontId="21" fillId="0" borderId="0" xfId="4" applyFont="1"/>
    <xf numFmtId="0" fontId="19" fillId="9" borderId="0" xfId="4" applyFont="1" applyFill="1"/>
    <xf numFmtId="166" fontId="10" fillId="9" borderId="0" xfId="11" applyNumberFormat="1" applyFont="1" applyFill="1"/>
    <xf numFmtId="9" fontId="10" fillId="9" borderId="0" xfId="12" applyFont="1" applyFill="1" applyAlignment="1">
      <alignment horizontal="center"/>
    </xf>
    <xf numFmtId="0" fontId="10" fillId="0" borderId="0" xfId="4" applyFont="1" applyAlignment="1">
      <alignment horizontal="left" indent="1"/>
    </xf>
    <xf numFmtId="0" fontId="29" fillId="0" borderId="0" xfId="0" applyFont="1" applyAlignment="1">
      <alignment horizontal="center" vertical="center" wrapText="1"/>
    </xf>
    <xf numFmtId="49" fontId="29" fillId="5" borderId="16" xfId="0" applyNumberFormat="1" applyFont="1" applyFill="1" applyBorder="1" applyAlignment="1">
      <alignment horizontal="center" vertical="center" wrapText="1"/>
    </xf>
    <xf numFmtId="1" fontId="29" fillId="5" borderId="16" xfId="0" applyNumberFormat="1" applyFont="1" applyFill="1" applyBorder="1" applyAlignment="1">
      <alignment horizontal="center" vertical="center" wrapText="1"/>
    </xf>
    <xf numFmtId="0" fontId="29" fillId="10" borderId="16" xfId="0" applyFont="1" applyFill="1" applyBorder="1" applyAlignment="1">
      <alignment horizontal="center" vertical="center" wrapText="1"/>
    </xf>
    <xf numFmtId="49" fontId="31" fillId="4" borderId="14" xfId="0" applyNumberFormat="1" applyFont="1" applyFill="1" applyBorder="1"/>
    <xf numFmtId="14" fontId="31" fillId="4" borderId="13" xfId="13" applyNumberFormat="1" applyFont="1" applyFill="1" applyBorder="1" applyAlignment="1">
      <alignment horizontal="center"/>
    </xf>
    <xf numFmtId="9" fontId="31" fillId="0" borderId="0" xfId="12" applyFont="1" applyBorder="1"/>
    <xf numFmtId="171" fontId="31" fillId="0" borderId="0" xfId="2" applyNumberFormat="1" applyFont="1" applyBorder="1"/>
    <xf numFmtId="49" fontId="31" fillId="4" borderId="20" xfId="13" applyNumberFormat="1" applyFont="1" applyFill="1" applyBorder="1" applyAlignment="1">
      <alignment horizontal="center"/>
    </xf>
    <xf numFmtId="49" fontId="31" fillId="4" borderId="16" xfId="0" applyNumberFormat="1" applyFont="1" applyFill="1" applyBorder="1"/>
    <xf numFmtId="49" fontId="31" fillId="4" borderId="16" xfId="13" applyNumberFormat="1" applyFont="1" applyFill="1" applyBorder="1" applyAlignment="1">
      <alignment horizontal="center"/>
    </xf>
    <xf numFmtId="14" fontId="31" fillId="4" borderId="16" xfId="13" applyNumberFormat="1" applyFont="1" applyFill="1" applyBorder="1" applyAlignment="1">
      <alignment horizontal="center"/>
    </xf>
    <xf numFmtId="49" fontId="31" fillId="4" borderId="8" xfId="0" applyNumberFormat="1" applyFont="1" applyFill="1" applyBorder="1"/>
    <xf numFmtId="49" fontId="31" fillId="4" borderId="8" xfId="13" applyNumberFormat="1" applyFont="1" applyFill="1" applyBorder="1" applyAlignment="1">
      <alignment horizontal="center"/>
    </xf>
    <xf numFmtId="14" fontId="31" fillId="4" borderId="8" xfId="13" applyNumberFormat="1" applyFont="1" applyFill="1" applyBorder="1" applyAlignment="1">
      <alignment horizontal="center"/>
    </xf>
    <xf numFmtId="49" fontId="31" fillId="4" borderId="23" xfId="0" applyNumberFormat="1" applyFont="1" applyFill="1" applyBorder="1"/>
    <xf numFmtId="49" fontId="31" fillId="4" borderId="23" xfId="13" applyNumberFormat="1" applyFont="1" applyFill="1" applyBorder="1" applyAlignment="1">
      <alignment horizontal="center"/>
    </xf>
    <xf numFmtId="14" fontId="31" fillId="4" borderId="23" xfId="13" applyNumberFormat="1" applyFont="1" applyFill="1" applyBorder="1" applyAlignment="1">
      <alignment horizontal="center"/>
    </xf>
    <xf numFmtId="169" fontId="32" fillId="0" borderId="23" xfId="7" applyNumberFormat="1" applyFont="1" applyFill="1" applyBorder="1"/>
    <xf numFmtId="3" fontId="31" fillId="0" borderId="23" xfId="7" applyNumberFormat="1" applyFont="1" applyFill="1" applyBorder="1"/>
    <xf numFmtId="3" fontId="31" fillId="0" borderId="23" xfId="7" applyNumberFormat="1" applyFont="1" applyBorder="1"/>
    <xf numFmtId="4" fontId="31" fillId="0" borderId="23" xfId="7" applyNumberFormat="1" applyFont="1" applyFill="1" applyBorder="1"/>
    <xf numFmtId="4" fontId="31" fillId="0" borderId="23" xfId="7" applyNumberFormat="1" applyFont="1" applyBorder="1"/>
    <xf numFmtId="4" fontId="29" fillId="0" borderId="23" xfId="7" applyNumberFormat="1" applyFont="1" applyBorder="1"/>
    <xf numFmtId="4" fontId="31" fillId="4" borderId="23" xfId="7" applyNumberFormat="1" applyFont="1" applyFill="1" applyBorder="1"/>
    <xf numFmtId="4" fontId="29" fillId="9" borderId="23" xfId="7" applyNumberFormat="1" applyFont="1" applyFill="1" applyBorder="1"/>
    <xf numFmtId="49" fontId="31" fillId="4" borderId="17" xfId="0" applyNumberFormat="1" applyFont="1" applyFill="1" applyBorder="1"/>
    <xf numFmtId="14" fontId="31" fillId="4" borderId="17" xfId="13" applyNumberFormat="1" applyFont="1" applyFill="1" applyBorder="1" applyAlignment="1">
      <alignment horizontal="center"/>
    </xf>
    <xf numFmtId="49" fontId="31" fillId="4" borderId="13" xfId="0" applyNumberFormat="1" applyFont="1" applyFill="1" applyBorder="1"/>
    <xf numFmtId="49" fontId="31" fillId="4" borderId="13" xfId="13" applyNumberFormat="1" applyFont="1" applyFill="1" applyBorder="1" applyAlignment="1">
      <alignment horizontal="center"/>
    </xf>
    <xf numFmtId="49" fontId="29" fillId="0" borderId="27" xfId="0" applyNumberFormat="1" applyFont="1" applyBorder="1" applyAlignment="1">
      <alignment horizontal="left" vertical="center"/>
    </xf>
    <xf numFmtId="49" fontId="33" fillId="0" borderId="27" xfId="0" applyNumberFormat="1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170" fontId="33" fillId="0" borderId="27" xfId="0" applyNumberFormat="1" applyFont="1" applyBorder="1" applyAlignment="1">
      <alignment horizontal="center" vertical="center"/>
    </xf>
    <xf numFmtId="171" fontId="29" fillId="0" borderId="27" xfId="0" applyNumberFormat="1" applyFont="1" applyBorder="1" applyAlignment="1">
      <alignment horizontal="center" vertical="center"/>
    </xf>
    <xf numFmtId="171" fontId="29" fillId="9" borderId="27" xfId="0" applyNumberFormat="1" applyFont="1" applyFill="1" applyBorder="1" applyAlignment="1">
      <alignment horizontal="center" vertical="center"/>
    </xf>
    <xf numFmtId="171" fontId="29" fillId="9" borderId="28" xfId="0" applyNumberFormat="1" applyFont="1" applyFill="1" applyBorder="1" applyAlignment="1">
      <alignment horizontal="center" vertical="center"/>
    </xf>
    <xf numFmtId="9" fontId="29" fillId="0" borderId="0" xfId="12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9" fontId="31" fillId="0" borderId="0" xfId="0" applyNumberFormat="1" applyFont="1"/>
    <xf numFmtId="0" fontId="31" fillId="0" borderId="0" xfId="0" applyFont="1" applyAlignment="1">
      <alignment horizontal="center"/>
    </xf>
    <xf numFmtId="170" fontId="31" fillId="0" borderId="0" xfId="0" applyNumberFormat="1" applyFont="1"/>
    <xf numFmtId="0" fontId="31" fillId="0" borderId="0" xfId="0" applyFont="1"/>
    <xf numFmtId="0" fontId="29" fillId="0" borderId="0" xfId="13" applyFont="1" applyAlignment="1">
      <alignment horizontal="left" vertical="center"/>
    </xf>
    <xf numFmtId="171" fontId="31" fillId="0" borderId="0" xfId="0" applyNumberFormat="1" applyFont="1"/>
    <xf numFmtId="49" fontId="31" fillId="0" borderId="0" xfId="0" applyNumberFormat="1" applyFont="1" applyAlignment="1">
      <alignment horizontal="center"/>
    </xf>
    <xf numFmtId="170" fontId="31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9" fontId="29" fillId="0" borderId="0" xfId="12" applyFont="1" applyAlignment="1">
      <alignment horizontal="center" vertical="center"/>
    </xf>
    <xf numFmtId="166" fontId="31" fillId="0" borderId="0" xfId="12" applyNumberFormat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9" fontId="31" fillId="0" borderId="0" xfId="12" applyFont="1" applyBorder="1" applyAlignment="1">
      <alignment horizontal="center"/>
    </xf>
    <xf numFmtId="49" fontId="31" fillId="0" borderId="3" xfId="0" applyNumberFormat="1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2" fontId="31" fillId="0" borderId="3" xfId="0" applyNumberFormat="1" applyFont="1" applyBorder="1" applyAlignment="1">
      <alignment horizontal="right" vertical="center"/>
    </xf>
    <xf numFmtId="0" fontId="31" fillId="0" borderId="3" xfId="0" applyFont="1" applyBorder="1" applyAlignment="1">
      <alignment horizontal="right" vertical="center"/>
    </xf>
    <xf numFmtId="9" fontId="29" fillId="0" borderId="3" xfId="12" applyFont="1" applyBorder="1" applyAlignment="1">
      <alignment horizontal="center" vertical="center"/>
    </xf>
    <xf numFmtId="166" fontId="31" fillId="0" borderId="3" xfId="12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9" fontId="31" fillId="0" borderId="3" xfId="12" applyFont="1" applyFill="1" applyBorder="1" applyAlignment="1">
      <alignment horizontal="center" vertical="center"/>
    </xf>
    <xf numFmtId="9" fontId="29" fillId="0" borderId="3" xfId="12" applyFont="1" applyFill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49" fontId="34" fillId="0" borderId="0" xfId="13" applyNumberFormat="1" applyFont="1" applyAlignment="1">
      <alignment vertical="center" wrapText="1"/>
    </xf>
    <xf numFmtId="9" fontId="29" fillId="14" borderId="0" xfId="12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9" fontId="31" fillId="0" borderId="0" xfId="12" applyFont="1" applyFill="1" applyBorder="1" applyAlignment="1">
      <alignment horizontal="center" vertical="center"/>
    </xf>
    <xf numFmtId="0" fontId="34" fillId="0" borderId="0" xfId="13" applyFont="1" applyAlignment="1">
      <alignment horizontal="left" vertical="center"/>
    </xf>
    <xf numFmtId="9" fontId="34" fillId="0" borderId="0" xfId="12" applyFont="1" applyBorder="1" applyAlignment="1">
      <alignment horizontal="center" vertical="center"/>
    </xf>
    <xf numFmtId="9" fontId="29" fillId="14" borderId="0" xfId="12" applyFont="1" applyFill="1" applyAlignment="1">
      <alignment horizontal="center" vertical="center"/>
    </xf>
    <xf numFmtId="9" fontId="31" fillId="0" borderId="0" xfId="12" applyFont="1" applyFill="1" applyAlignment="1">
      <alignment horizontal="center" vertical="center"/>
    </xf>
    <xf numFmtId="9" fontId="31" fillId="0" borderId="0" xfId="12" applyFont="1" applyAlignment="1">
      <alignment horizontal="left" vertical="center"/>
    </xf>
    <xf numFmtId="0" fontId="31" fillId="0" borderId="0" xfId="12" applyNumberFormat="1" applyFont="1" applyFill="1" applyAlignment="1">
      <alignment horizontal="center" vertical="center"/>
    </xf>
    <xf numFmtId="9" fontId="31" fillId="0" borderId="0" xfId="12" applyFont="1" applyAlignment="1">
      <alignment horizontal="center"/>
    </xf>
    <xf numFmtId="43" fontId="31" fillId="0" borderId="0" xfId="7" applyFont="1"/>
    <xf numFmtId="9" fontId="31" fillId="0" borderId="0" xfId="12" applyFont="1" applyBorder="1" applyAlignment="1">
      <alignment wrapText="1"/>
    </xf>
    <xf numFmtId="4" fontId="31" fillId="6" borderId="23" xfId="7" applyNumberFormat="1" applyFont="1" applyFill="1" applyBorder="1"/>
    <xf numFmtId="0" fontId="36" fillId="0" borderId="32" xfId="0" applyFont="1" applyBorder="1" applyAlignment="1">
      <alignment horizontal="center" vertical="center" wrapText="1"/>
    </xf>
    <xf numFmtId="0" fontId="35" fillId="16" borderId="33" xfId="0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5" fillId="17" borderId="33" xfId="0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vertical="top" wrapText="1"/>
    </xf>
    <xf numFmtId="1" fontId="37" fillId="0" borderId="0" xfId="0" applyNumberFormat="1" applyFont="1" applyAlignment="1">
      <alignment horizontal="center" vertical="center" wrapText="1"/>
    </xf>
    <xf numFmtId="9" fontId="37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7" fillId="18" borderId="34" xfId="0" applyFont="1" applyFill="1" applyBorder="1" applyAlignment="1">
      <alignment horizontal="center" wrapText="1"/>
    </xf>
    <xf numFmtId="9" fontId="37" fillId="0" borderId="34" xfId="0" applyNumberFormat="1" applyFont="1" applyBorder="1" applyAlignment="1">
      <alignment horizontal="center" vertical="center" wrapText="1"/>
    </xf>
    <xf numFmtId="0" fontId="37" fillId="19" borderId="34" xfId="0" applyFont="1" applyFill="1" applyBorder="1" applyAlignment="1">
      <alignment horizontal="center" wrapText="1"/>
    </xf>
    <xf numFmtId="0" fontId="37" fillId="20" borderId="34" xfId="0" applyFont="1" applyFill="1" applyBorder="1" applyAlignment="1">
      <alignment horizontal="center" wrapText="1"/>
    </xf>
    <xf numFmtId="0" fontId="37" fillId="0" borderId="0" xfId="0" applyFont="1" applyAlignment="1">
      <alignment horizontal="center" wrapText="1"/>
    </xf>
    <xf numFmtId="1" fontId="36" fillId="0" borderId="0" xfId="0" applyNumberFormat="1" applyFont="1" applyAlignment="1">
      <alignment horizontal="center" vertical="center" wrapText="1"/>
    </xf>
    <xf numFmtId="9" fontId="36" fillId="0" borderId="0" xfId="0" applyNumberFormat="1" applyFont="1" applyAlignment="1">
      <alignment horizontal="center" vertical="center" wrapText="1"/>
    </xf>
    <xf numFmtId="166" fontId="17" fillId="0" borderId="0" xfId="7" applyNumberFormat="1" applyFont="1" applyBorder="1"/>
    <xf numFmtId="168" fontId="20" fillId="15" borderId="10" xfId="10" applyNumberFormat="1" applyFont="1" applyFill="1" applyBorder="1" applyAlignment="1">
      <alignment horizontal="center" vertical="center"/>
    </xf>
    <xf numFmtId="0" fontId="15" fillId="15" borderId="0" xfId="0" applyFont="1" applyFill="1" applyAlignment="1">
      <alignment horizontal="left" vertical="top"/>
    </xf>
    <xf numFmtId="166" fontId="16" fillId="15" borderId="0" xfId="1" applyNumberFormat="1" applyFont="1" applyFill="1"/>
    <xf numFmtId="166" fontId="17" fillId="15" borderId="0" xfId="7" applyNumberFormat="1" applyFont="1" applyFill="1" applyBorder="1"/>
    <xf numFmtId="0" fontId="16" fillId="15" borderId="0" xfId="0" applyFont="1" applyFill="1"/>
    <xf numFmtId="43" fontId="16" fillId="15" borderId="0" xfId="1" applyFont="1" applyFill="1"/>
    <xf numFmtId="166" fontId="16" fillId="15" borderId="9" xfId="1" applyNumberFormat="1" applyFont="1" applyFill="1" applyBorder="1"/>
    <xf numFmtId="9" fontId="10" fillId="15" borderId="0" xfId="3" applyFont="1" applyFill="1"/>
    <xf numFmtId="0" fontId="39" fillId="15" borderId="9" xfId="0" applyFont="1" applyFill="1" applyBorder="1" applyAlignment="1">
      <alignment horizontal="center" vertical="center"/>
    </xf>
    <xf numFmtId="1" fontId="19" fillId="15" borderId="0" xfId="1" applyNumberFormat="1" applyFont="1" applyFill="1" applyBorder="1"/>
    <xf numFmtId="0" fontId="39" fillId="22" borderId="9" xfId="0" applyFont="1" applyFill="1" applyBorder="1" applyAlignment="1">
      <alignment horizontal="center" vertical="center"/>
    </xf>
    <xf numFmtId="0" fontId="15" fillId="22" borderId="0" xfId="0" applyFont="1" applyFill="1" applyAlignment="1">
      <alignment horizontal="left" vertical="top"/>
    </xf>
    <xf numFmtId="1" fontId="16" fillId="22" borderId="0" xfId="1" applyNumberFormat="1" applyFont="1" applyFill="1" applyBorder="1"/>
    <xf numFmtId="166" fontId="16" fillId="22" borderId="0" xfId="1" applyNumberFormat="1" applyFont="1" applyFill="1"/>
    <xf numFmtId="166" fontId="16" fillId="22" borderId="0" xfId="7" applyNumberFormat="1" applyFont="1" applyFill="1" applyBorder="1"/>
    <xf numFmtId="0" fontId="16" fillId="22" borderId="0" xfId="0" applyFont="1" applyFill="1"/>
    <xf numFmtId="43" fontId="16" fillId="22" borderId="0" xfId="1" applyFont="1" applyFill="1"/>
    <xf numFmtId="166" fontId="16" fillId="22" borderId="9" xfId="1" applyNumberFormat="1" applyFont="1" applyFill="1" applyBorder="1"/>
    <xf numFmtId="9" fontId="10" fillId="22" borderId="0" xfId="3" applyFont="1" applyFill="1"/>
    <xf numFmtId="168" fontId="19" fillId="23" borderId="9" xfId="10" applyNumberFormat="1" applyFont="1" applyFill="1" applyBorder="1" applyAlignment="1">
      <alignment horizontal="center" vertical="center"/>
    </xf>
    <xf numFmtId="168" fontId="19" fillId="23" borderId="5" xfId="10" applyNumberFormat="1" applyFont="1" applyFill="1" applyBorder="1" applyAlignment="1">
      <alignment horizontal="left" indent="1"/>
    </xf>
    <xf numFmtId="2" fontId="19" fillId="23" borderId="5" xfId="10" applyNumberFormat="1" applyFont="1" applyFill="1" applyBorder="1"/>
    <xf numFmtId="168" fontId="19" fillId="23" borderId="5" xfId="10" applyNumberFormat="1" applyFont="1" applyFill="1" applyBorder="1"/>
    <xf numFmtId="168" fontId="19" fillId="23" borderId="6" xfId="10" applyNumberFormat="1" applyFont="1" applyFill="1" applyBorder="1"/>
    <xf numFmtId="9" fontId="19" fillId="23" borderId="5" xfId="3" applyFont="1" applyFill="1" applyBorder="1"/>
    <xf numFmtId="168" fontId="19" fillId="23" borderId="7" xfId="10" applyNumberFormat="1" applyFont="1" applyFill="1" applyBorder="1"/>
    <xf numFmtId="168" fontId="19" fillId="23" borderId="4" xfId="10" applyNumberFormat="1" applyFont="1" applyFill="1" applyBorder="1" applyAlignment="1"/>
    <xf numFmtId="168" fontId="19" fillId="23" borderId="5" xfId="10" applyNumberFormat="1" applyFont="1" applyFill="1" applyBorder="1" applyAlignment="1"/>
    <xf numFmtId="168" fontId="19" fillId="23" borderId="6" xfId="10" applyNumberFormat="1" applyFont="1" applyFill="1" applyBorder="1" applyAlignment="1"/>
    <xf numFmtId="1" fontId="19" fillId="15" borderId="11" xfId="1" applyNumberFormat="1" applyFont="1" applyFill="1" applyBorder="1"/>
    <xf numFmtId="1" fontId="19" fillId="15" borderId="9" xfId="1" applyNumberFormat="1" applyFont="1" applyFill="1" applyBorder="1"/>
    <xf numFmtId="1" fontId="19" fillId="15" borderId="8" xfId="1" applyNumberFormat="1" applyFont="1" applyFill="1" applyBorder="1"/>
    <xf numFmtId="0" fontId="2" fillId="0" borderId="35" xfId="4" applyFont="1" applyFill="1" applyBorder="1"/>
    <xf numFmtId="166" fontId="2" fillId="0" borderId="35" xfId="8" applyNumberFormat="1" applyFont="1" applyBorder="1"/>
    <xf numFmtId="168" fontId="20" fillId="15" borderId="36" xfId="10" applyNumberFormat="1" applyFont="1" applyFill="1" applyBorder="1" applyAlignment="1">
      <alignment horizontal="center" vertical="center"/>
    </xf>
    <xf numFmtId="168" fontId="20" fillId="15" borderId="35" xfId="10" applyNumberFormat="1" applyFont="1" applyFill="1" applyBorder="1" applyAlignment="1">
      <alignment horizontal="center" vertical="center"/>
    </xf>
    <xf numFmtId="168" fontId="20" fillId="15" borderId="37" xfId="10" applyNumberFormat="1" applyFont="1" applyFill="1" applyBorder="1" applyAlignment="1">
      <alignment horizontal="center" vertical="center"/>
    </xf>
    <xf numFmtId="168" fontId="20" fillId="15" borderId="38" xfId="10" applyNumberFormat="1" applyFont="1" applyFill="1" applyBorder="1" applyAlignment="1">
      <alignment horizontal="center" vertical="center"/>
    </xf>
    <xf numFmtId="1" fontId="20" fillId="15" borderId="38" xfId="10" applyNumberFormat="1" applyFont="1" applyFill="1" applyBorder="1" applyAlignment="1">
      <alignment horizontal="center" vertical="center"/>
    </xf>
    <xf numFmtId="168" fontId="40" fillId="12" borderId="0" xfId="9" applyNumberFormat="1" applyFont="1" applyFill="1" applyBorder="1"/>
    <xf numFmtId="168" fontId="40" fillId="12" borderId="11" xfId="9" applyNumberFormat="1" applyFont="1" applyFill="1" applyBorder="1"/>
    <xf numFmtId="9" fontId="40" fillId="12" borderId="0" xfId="3" applyFont="1" applyFill="1" applyBorder="1"/>
    <xf numFmtId="1" fontId="16" fillId="22" borderId="9" xfId="1" applyNumberFormat="1" applyFont="1" applyFill="1" applyBorder="1"/>
    <xf numFmtId="0" fontId="10" fillId="0" borderId="9" xfId="1" applyNumberFormat="1" applyFont="1" applyFill="1" applyBorder="1"/>
    <xf numFmtId="2" fontId="19" fillId="23" borderId="6" xfId="10" applyNumberFormat="1" applyFont="1" applyFill="1" applyBorder="1"/>
    <xf numFmtId="9" fontId="16" fillId="22" borderId="8" xfId="3" applyFont="1" applyFill="1" applyBorder="1"/>
    <xf numFmtId="0" fontId="10" fillId="0" borderId="8" xfId="1" applyNumberFormat="1" applyFont="1" applyFill="1" applyBorder="1"/>
    <xf numFmtId="9" fontId="19" fillId="23" borderId="7" xfId="3" applyFont="1" applyFill="1" applyBorder="1"/>
    <xf numFmtId="9" fontId="19" fillId="15" borderId="8" xfId="3" applyFont="1" applyFill="1" applyBorder="1"/>
    <xf numFmtId="166" fontId="10" fillId="0" borderId="0" xfId="8" applyNumberFormat="1" applyFont="1" applyFill="1"/>
    <xf numFmtId="168" fontId="40" fillId="10" borderId="11" xfId="9" applyNumberFormat="1" applyFont="1" applyFill="1" applyBorder="1"/>
    <xf numFmtId="168" fontId="40" fillId="10" borderId="0" xfId="9" applyNumberFormat="1" applyFont="1" applyFill="1" applyBorder="1"/>
    <xf numFmtId="9" fontId="40" fillId="10" borderId="0" xfId="3" applyFont="1" applyFill="1" applyBorder="1"/>
    <xf numFmtId="168" fontId="20" fillId="22" borderId="37" xfId="10" applyNumberFormat="1" applyFont="1" applyFill="1" applyBorder="1" applyAlignment="1">
      <alignment horizontal="center" vertical="center"/>
    </xf>
    <xf numFmtId="168" fontId="20" fillId="22" borderId="38" xfId="10" applyNumberFormat="1" applyFont="1" applyFill="1" applyBorder="1" applyAlignment="1">
      <alignment horizontal="center" vertical="center"/>
    </xf>
    <xf numFmtId="1" fontId="20" fillId="22" borderId="38" xfId="10" applyNumberFormat="1" applyFont="1" applyFill="1" applyBorder="1" applyAlignment="1">
      <alignment horizontal="center" vertical="center"/>
    </xf>
    <xf numFmtId="168" fontId="20" fillId="22" borderId="10" xfId="10" applyNumberFormat="1" applyFont="1" applyFill="1" applyBorder="1" applyAlignment="1">
      <alignment horizontal="center" vertical="center"/>
    </xf>
    <xf numFmtId="168" fontId="20" fillId="22" borderId="35" xfId="10" applyNumberFormat="1" applyFont="1" applyFill="1" applyBorder="1" applyAlignment="1">
      <alignment horizontal="center" vertical="center"/>
    </xf>
    <xf numFmtId="0" fontId="10" fillId="0" borderId="0" xfId="4" applyFont="1" applyFill="1"/>
    <xf numFmtId="168" fontId="38" fillId="0" borderId="39" xfId="10" applyNumberFormat="1" applyFont="1" applyFill="1" applyBorder="1" applyAlignment="1">
      <alignment horizontal="center" vertical="center"/>
    </xf>
    <xf numFmtId="168" fontId="20" fillId="22" borderId="36" xfId="10" applyNumberFormat="1" applyFont="1" applyFill="1" applyBorder="1" applyAlignment="1">
      <alignment horizontal="center" vertical="center"/>
    </xf>
    <xf numFmtId="2" fontId="19" fillId="23" borderId="4" xfId="10" applyNumberFormat="1" applyFont="1" applyFill="1" applyBorder="1"/>
    <xf numFmtId="49" fontId="31" fillId="4" borderId="40" xfId="13" applyNumberFormat="1" applyFont="1" applyFill="1" applyBorder="1" applyAlignment="1">
      <alignment horizontal="center"/>
    </xf>
    <xf numFmtId="14" fontId="31" fillId="4" borderId="40" xfId="13" applyNumberFormat="1" applyFont="1" applyFill="1" applyBorder="1" applyAlignment="1">
      <alignment horizontal="center"/>
    </xf>
    <xf numFmtId="49" fontId="31" fillId="4" borderId="41" xfId="0" applyNumberFormat="1" applyFont="1" applyFill="1" applyBorder="1"/>
    <xf numFmtId="49" fontId="31" fillId="4" borderId="41" xfId="13" applyNumberFormat="1" applyFont="1" applyFill="1" applyBorder="1" applyAlignment="1">
      <alignment horizontal="center"/>
    </xf>
    <xf numFmtId="49" fontId="31" fillId="4" borderId="42" xfId="0" applyNumberFormat="1" applyFont="1" applyFill="1" applyBorder="1"/>
    <xf numFmtId="169" fontId="32" fillId="0" borderId="42" xfId="7" applyNumberFormat="1" applyFont="1" applyFill="1" applyBorder="1"/>
    <xf numFmtId="3" fontId="31" fillId="0" borderId="42" xfId="7" applyNumberFormat="1" applyFont="1" applyFill="1" applyBorder="1"/>
    <xf numFmtId="3" fontId="31" fillId="0" borderId="42" xfId="7" applyNumberFormat="1" applyFont="1" applyBorder="1"/>
    <xf numFmtId="4" fontId="31" fillId="0" borderId="42" xfId="7" applyNumberFormat="1" applyFont="1" applyBorder="1"/>
    <xf numFmtId="4" fontId="31" fillId="0" borderId="42" xfId="7" applyNumberFormat="1" applyFont="1" applyFill="1" applyBorder="1"/>
    <xf numFmtId="4" fontId="29" fillId="0" borderId="42" xfId="7" applyNumberFormat="1" applyFont="1" applyBorder="1"/>
    <xf numFmtId="4" fontId="31" fillId="4" borderId="42" xfId="7" applyNumberFormat="1" applyFont="1" applyFill="1" applyBorder="1"/>
    <xf numFmtId="4" fontId="31" fillId="6" borderId="42" xfId="7" applyNumberFormat="1" applyFont="1" applyFill="1" applyBorder="1"/>
    <xf numFmtId="1" fontId="41" fillId="0" borderId="0" xfId="1" applyNumberFormat="1" applyFont="1" applyFill="1" applyBorder="1"/>
    <xf numFmtId="166" fontId="23" fillId="0" borderId="0" xfId="1" applyNumberFormat="1" applyFont="1"/>
    <xf numFmtId="168" fontId="42" fillId="0" borderId="0" xfId="10" applyNumberFormat="1" applyFont="1" applyFill="1" applyAlignment="1">
      <alignment horizontal="center" vertical="center"/>
    </xf>
    <xf numFmtId="14" fontId="31" fillId="4" borderId="42" xfId="13" applyNumberFormat="1" applyFont="1" applyFill="1" applyBorder="1" applyAlignment="1">
      <alignment horizontal="center"/>
    </xf>
    <xf numFmtId="4" fontId="29" fillId="9" borderId="42" xfId="7" applyNumberFormat="1" applyFont="1" applyFill="1" applyBorder="1"/>
    <xf numFmtId="49" fontId="31" fillId="4" borderId="42" xfId="13" applyNumberFormat="1" applyFont="1" applyFill="1" applyBorder="1" applyAlignment="1">
      <alignment horizontal="center"/>
    </xf>
    <xf numFmtId="49" fontId="31" fillId="4" borderId="17" xfId="13" applyNumberFormat="1" applyFont="1" applyFill="1" applyBorder="1" applyAlignment="1">
      <alignment horizontal="center"/>
    </xf>
    <xf numFmtId="0" fontId="43" fillId="0" borderId="0" xfId="0" applyFont="1" applyAlignment="1">
      <alignment horizontal="center" vertical="center"/>
    </xf>
    <xf numFmtId="0" fontId="44" fillId="0" borderId="0" xfId="0" applyFont="1"/>
    <xf numFmtId="0" fontId="45" fillId="0" borderId="0" xfId="0" applyFont="1" applyAlignment="1">
      <alignment horizontal="right" vertical="center"/>
    </xf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right" vertical="center" wrapText="1"/>
    </xf>
    <xf numFmtId="9" fontId="4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right"/>
    </xf>
    <xf numFmtId="0" fontId="44" fillId="0" borderId="0" xfId="0" applyFont="1" applyAlignment="1">
      <alignment horizontal="right" vertical="top" wrapText="1"/>
    </xf>
    <xf numFmtId="9" fontId="44" fillId="0" borderId="0" xfId="0" applyNumberFormat="1" applyFont="1" applyAlignment="1">
      <alignment horizontal="center" vertical="top" wrapText="1"/>
    </xf>
    <xf numFmtId="4" fontId="44" fillId="0" borderId="0" xfId="0" applyNumberFormat="1" applyFont="1" applyAlignment="1">
      <alignment horizontal="center"/>
    </xf>
    <xf numFmtId="1" fontId="29" fillId="5" borderId="43" xfId="0" applyNumberFormat="1" applyFont="1" applyFill="1" applyBorder="1" applyAlignment="1">
      <alignment horizontal="center" vertical="center" wrapText="1"/>
    </xf>
    <xf numFmtId="0" fontId="29" fillId="24" borderId="28" xfId="0" applyFont="1" applyFill="1" applyBorder="1" applyAlignment="1">
      <alignment horizontal="center" vertical="center" wrapText="1"/>
    </xf>
    <xf numFmtId="0" fontId="29" fillId="15" borderId="28" xfId="0" applyFont="1" applyFill="1" applyBorder="1" applyAlignment="1">
      <alignment horizontal="center" vertical="center" wrapText="1"/>
    </xf>
    <xf numFmtId="0" fontId="29" fillId="25" borderId="28" xfId="0" applyFont="1" applyFill="1" applyBorder="1" applyAlignment="1">
      <alignment horizontal="center" vertical="center" wrapText="1"/>
    </xf>
    <xf numFmtId="49" fontId="31" fillId="4" borderId="44" xfId="13" applyNumberFormat="1" applyFont="1" applyFill="1" applyBorder="1" applyAlignment="1">
      <alignment horizontal="center"/>
    </xf>
    <xf numFmtId="3" fontId="31" fillId="0" borderId="45" xfId="7" applyNumberFormat="1" applyFont="1" applyFill="1" applyBorder="1"/>
    <xf numFmtId="49" fontId="31" fillId="4" borderId="46" xfId="13" applyNumberFormat="1" applyFont="1" applyFill="1" applyBorder="1" applyAlignment="1">
      <alignment horizontal="center"/>
    </xf>
    <xf numFmtId="169" fontId="32" fillId="0" borderId="47" xfId="7" applyNumberFormat="1" applyFont="1" applyFill="1" applyBorder="1"/>
    <xf numFmtId="3" fontId="31" fillId="0" borderId="47" xfId="7" applyNumberFormat="1" applyFont="1" applyFill="1" applyBorder="1"/>
    <xf numFmtId="3" fontId="31" fillId="0" borderId="47" xfId="7" applyNumberFormat="1" applyFont="1" applyBorder="1"/>
    <xf numFmtId="4" fontId="31" fillId="0" borderId="47" xfId="7" applyNumberFormat="1" applyFont="1" applyBorder="1"/>
    <xf numFmtId="4" fontId="31" fillId="0" borderId="47" xfId="7" applyNumberFormat="1" applyFont="1" applyFill="1" applyBorder="1"/>
    <xf numFmtId="4" fontId="29" fillId="0" borderId="47" xfId="7" applyNumberFormat="1" applyFont="1" applyBorder="1"/>
    <xf numFmtId="4" fontId="31" fillId="4" borderId="47" xfId="7" applyNumberFormat="1" applyFont="1" applyFill="1" applyBorder="1"/>
    <xf numFmtId="4" fontId="31" fillId="6" borderId="47" xfId="7" applyNumberFormat="1" applyFont="1" applyFill="1" applyBorder="1"/>
    <xf numFmtId="4" fontId="29" fillId="9" borderId="47" xfId="7" applyNumberFormat="1" applyFont="1" applyFill="1" applyBorder="1"/>
    <xf numFmtId="4" fontId="46" fillId="0" borderId="42" xfId="7" applyNumberFormat="1" applyFont="1" applyFill="1" applyBorder="1"/>
    <xf numFmtId="49" fontId="30" fillId="5" borderId="7" xfId="0" applyNumberFormat="1" applyFont="1" applyFill="1" applyBorder="1" applyAlignment="1">
      <alignment horizontal="center" vertical="center" wrapText="1"/>
    </xf>
    <xf numFmtId="1" fontId="30" fillId="5" borderId="7" xfId="0" applyNumberFormat="1" applyFont="1" applyFill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28" borderId="7" xfId="0" applyFont="1" applyFill="1" applyBorder="1" applyAlignment="1">
      <alignment horizontal="center" vertical="center" wrapText="1"/>
    </xf>
    <xf numFmtId="0" fontId="47" fillId="26" borderId="7" xfId="0" applyFont="1" applyFill="1" applyBorder="1" applyAlignment="1">
      <alignment horizontal="center" vertical="center" wrapText="1"/>
    </xf>
    <xf numFmtId="2" fontId="49" fillId="0" borderId="7" xfId="0" applyNumberFormat="1" applyFont="1" applyBorder="1" applyAlignment="1">
      <alignment horizontal="center" vertical="center" wrapText="1"/>
    </xf>
    <xf numFmtId="4" fontId="49" fillId="0" borderId="0" xfId="0" applyNumberFormat="1" applyFont="1" applyAlignment="1">
      <alignment horizontal="center" vertical="center" wrapText="1"/>
    </xf>
    <xf numFmtId="9" fontId="30" fillId="0" borderId="0" xfId="0" applyNumberFormat="1" applyFont="1" applyAlignment="1">
      <alignment horizontal="center" vertical="center" wrapText="1"/>
    </xf>
    <xf numFmtId="2" fontId="30" fillId="0" borderId="7" xfId="0" applyNumberFormat="1" applyFont="1" applyBorder="1" applyAlignment="1">
      <alignment horizontal="center" vertical="center" wrapText="1"/>
    </xf>
    <xf numFmtId="49" fontId="49" fillId="0" borderId="0" xfId="0" applyNumberFormat="1" applyFont="1" applyAlignment="1">
      <alignment horizontal="center" vertical="center" wrapText="1"/>
    </xf>
    <xf numFmtId="9" fontId="48" fillId="0" borderId="0" xfId="0" applyNumberFormat="1" applyFont="1" applyAlignment="1">
      <alignment horizontal="center" vertical="center" wrapText="1"/>
    </xf>
    <xf numFmtId="9" fontId="49" fillId="0" borderId="0" xfId="0" applyNumberFormat="1" applyFont="1" applyAlignment="1">
      <alignment horizontal="center" vertical="center" wrapText="1"/>
    </xf>
    <xf numFmtId="0" fontId="50" fillId="29" borderId="0" xfId="0" applyFont="1" applyFill="1" applyAlignment="1">
      <alignment wrapText="1"/>
    </xf>
    <xf numFmtId="0" fontId="50" fillId="29" borderId="48" xfId="0" applyFont="1" applyFill="1" applyBorder="1" applyAlignment="1">
      <alignment wrapText="1"/>
    </xf>
    <xf numFmtId="49" fontId="51" fillId="25" borderId="50" xfId="0" applyNumberFormat="1" applyFont="1" applyFill="1" applyBorder="1" applyAlignment="1">
      <alignment horizontal="right" vertical="center"/>
    </xf>
    <xf numFmtId="4" fontId="53" fillId="26" borderId="50" xfId="0" applyNumberFormat="1" applyFont="1" applyFill="1" applyBorder="1" applyAlignment="1">
      <alignment horizontal="right" vertical="center" wrapText="1"/>
    </xf>
    <xf numFmtId="166" fontId="54" fillId="26" borderId="51" xfId="0" applyNumberFormat="1" applyFont="1" applyFill="1" applyBorder="1" applyAlignment="1">
      <alignment horizontal="left" vertical="center" wrapText="1"/>
    </xf>
    <xf numFmtId="4" fontId="55" fillId="5" borderId="53" xfId="0" applyNumberFormat="1" applyFont="1" applyFill="1" applyBorder="1" applyAlignment="1">
      <alignment vertical="top" wrapText="1"/>
    </xf>
    <xf numFmtId="0" fontId="55" fillId="5" borderId="53" xfId="0" applyFont="1" applyFill="1" applyBorder="1" applyAlignment="1">
      <alignment vertical="top" wrapText="1"/>
    </xf>
    <xf numFmtId="0" fontId="50" fillId="5" borderId="54" xfId="0" applyFont="1" applyFill="1" applyBorder="1" applyAlignment="1">
      <alignment wrapText="1"/>
    </xf>
    <xf numFmtId="4" fontId="53" fillId="30" borderId="0" xfId="0" applyNumberFormat="1" applyFont="1" applyFill="1" applyAlignment="1">
      <alignment horizontal="right" vertical="center" wrapText="1"/>
    </xf>
    <xf numFmtId="166" fontId="54" fillId="30" borderId="55" xfId="0" applyNumberFormat="1" applyFont="1" applyFill="1" applyBorder="1" applyAlignment="1">
      <alignment horizontal="left" vertical="center" wrapText="1"/>
    </xf>
    <xf numFmtId="4" fontId="56" fillId="31" borderId="50" xfId="0" applyNumberFormat="1" applyFont="1" applyFill="1" applyBorder="1" applyAlignment="1">
      <alignment horizontal="right" vertical="center" wrapText="1"/>
    </xf>
    <xf numFmtId="166" fontId="57" fillId="31" borderId="51" xfId="0" applyNumberFormat="1" applyFont="1" applyFill="1" applyBorder="1" applyAlignment="1">
      <alignment horizontal="left" vertical="center" wrapText="1"/>
    </xf>
    <xf numFmtId="9" fontId="52" fillId="29" borderId="0" xfId="0" applyNumberFormat="1" applyFont="1" applyFill="1" applyAlignment="1">
      <alignment horizontal="center" vertical="center" wrapText="1"/>
    </xf>
    <xf numFmtId="4" fontId="58" fillId="32" borderId="29" xfId="0" applyNumberFormat="1" applyFont="1" applyFill="1" applyBorder="1" applyAlignment="1">
      <alignment horizontal="right" vertical="center" wrapText="1"/>
    </xf>
    <xf numFmtId="166" fontId="58" fillId="0" borderId="31" xfId="0" applyNumberFormat="1" applyFont="1" applyBorder="1" applyAlignment="1">
      <alignment horizontal="left" vertical="center" wrapText="1"/>
    </xf>
    <xf numFmtId="9" fontId="55" fillId="0" borderId="57" xfId="0" applyNumberFormat="1" applyFont="1" applyBorder="1" applyAlignment="1">
      <alignment horizontal="center" vertical="center" wrapText="1"/>
    </xf>
    <xf numFmtId="4" fontId="58" fillId="28" borderId="29" xfId="0" applyNumberFormat="1" applyFont="1" applyFill="1" applyBorder="1" applyAlignment="1">
      <alignment horizontal="right" vertical="center" wrapText="1"/>
    </xf>
    <xf numFmtId="166" fontId="58" fillId="33" borderId="31" xfId="0" applyNumberFormat="1" applyFont="1" applyFill="1" applyBorder="1" applyAlignment="1">
      <alignment horizontal="left" vertical="center" wrapText="1"/>
    </xf>
    <xf numFmtId="9" fontId="55" fillId="33" borderId="57" xfId="0" applyNumberFormat="1" applyFont="1" applyFill="1" applyBorder="1" applyAlignment="1">
      <alignment horizontal="center" vertical="center" wrapText="1"/>
    </xf>
    <xf numFmtId="9" fontId="55" fillId="33" borderId="60" xfId="0" applyNumberFormat="1" applyFont="1" applyFill="1" applyBorder="1" applyAlignment="1">
      <alignment horizontal="center" vertical="center" wrapText="1"/>
    </xf>
    <xf numFmtId="0" fontId="50" fillId="29" borderId="61" xfId="0" applyFont="1" applyFill="1" applyBorder="1" applyAlignment="1">
      <alignment wrapText="1"/>
    </xf>
    <xf numFmtId="0" fontId="50" fillId="29" borderId="62" xfId="0" applyFont="1" applyFill="1" applyBorder="1" applyAlignment="1">
      <alignment wrapText="1"/>
    </xf>
    <xf numFmtId="0" fontId="51" fillId="26" borderId="49" xfId="0" applyFont="1" applyFill="1" applyBorder="1" applyAlignment="1">
      <alignment horizontal="right" vertical="top" wrapText="1" indent="1"/>
    </xf>
    <xf numFmtId="0" fontId="51" fillId="26" borderId="50" xfId="0" applyFont="1" applyFill="1" applyBorder="1" applyAlignment="1">
      <alignment horizontal="right" vertical="top" wrapText="1" indent="1"/>
    </xf>
    <xf numFmtId="9" fontId="58" fillId="30" borderId="51" xfId="0" applyNumberFormat="1" applyFont="1" applyFill="1" applyBorder="1" applyAlignment="1">
      <alignment horizontal="center" vertical="center" wrapText="1"/>
    </xf>
    <xf numFmtId="0" fontId="51" fillId="30" borderId="48" xfId="0" applyFont="1" applyFill="1" applyBorder="1" applyAlignment="1">
      <alignment horizontal="right" vertical="top" wrapText="1" indent="1"/>
    </xf>
    <xf numFmtId="0" fontId="51" fillId="30" borderId="0" xfId="0" applyFont="1" applyFill="1" applyAlignment="1">
      <alignment horizontal="right" vertical="top" wrapText="1" indent="1"/>
    </xf>
    <xf numFmtId="9" fontId="58" fillId="30" borderId="56" xfId="0" applyNumberFormat="1" applyFont="1" applyFill="1" applyBorder="1" applyAlignment="1">
      <alignment horizontal="center" vertical="center" wrapText="1"/>
    </xf>
    <xf numFmtId="0" fontId="51" fillId="31" borderId="50" xfId="0" applyFont="1" applyFill="1" applyBorder="1" applyAlignment="1">
      <alignment horizontal="right" vertical="top" wrapText="1"/>
    </xf>
    <xf numFmtId="4" fontId="58" fillId="32" borderId="64" xfId="0" applyNumberFormat="1" applyFont="1" applyFill="1" applyBorder="1" applyAlignment="1">
      <alignment horizontal="right" vertical="center" wrapText="1"/>
    </xf>
    <xf numFmtId="166" fontId="58" fillId="0" borderId="65" xfId="0" applyNumberFormat="1" applyFont="1" applyBorder="1" applyAlignment="1">
      <alignment horizontal="left" vertical="center" wrapText="1"/>
    </xf>
    <xf numFmtId="9" fontId="55" fillId="0" borderId="63" xfId="0" applyNumberFormat="1" applyFont="1" applyBorder="1" applyAlignment="1">
      <alignment horizontal="center" vertical="center" wrapText="1"/>
    </xf>
    <xf numFmtId="0" fontId="51" fillId="31" borderId="49" xfId="0" applyFont="1" applyFill="1" applyBorder="1" applyAlignment="1">
      <alignment horizontal="right" vertical="top"/>
    </xf>
    <xf numFmtId="0" fontId="43" fillId="15" borderId="0" xfId="0" applyFont="1" applyFill="1" applyAlignment="1">
      <alignment horizontal="center" vertical="center"/>
    </xf>
    <xf numFmtId="0" fontId="43" fillId="22" borderId="0" xfId="0" applyFont="1" applyFill="1" applyAlignment="1">
      <alignment horizontal="center" vertical="center"/>
    </xf>
    <xf numFmtId="169" fontId="32" fillId="0" borderId="66" xfId="7" applyNumberFormat="1" applyFont="1" applyFill="1" applyBorder="1"/>
    <xf numFmtId="3" fontId="31" fillId="0" borderId="66" xfId="7" applyNumberFormat="1" applyFont="1" applyFill="1" applyBorder="1"/>
    <xf numFmtId="3" fontId="31" fillId="0" borderId="66" xfId="7" applyNumberFormat="1" applyFont="1" applyBorder="1"/>
    <xf numFmtId="4" fontId="31" fillId="0" borderId="66" xfId="7" applyNumberFormat="1" applyFont="1" applyBorder="1"/>
    <xf numFmtId="4" fontId="31" fillId="0" borderId="66" xfId="7" applyNumberFormat="1" applyFont="1" applyFill="1" applyBorder="1"/>
    <xf numFmtId="4" fontId="29" fillId="0" borderId="66" xfId="7" applyNumberFormat="1" applyFont="1" applyBorder="1"/>
    <xf numFmtId="4" fontId="31" fillId="4" borderId="66" xfId="7" applyNumberFormat="1" applyFont="1" applyFill="1" applyBorder="1"/>
    <xf numFmtId="4" fontId="31" fillId="6" borderId="66" xfId="7" applyNumberFormat="1" applyFont="1" applyFill="1" applyBorder="1"/>
    <xf numFmtId="4" fontId="29" fillId="9" borderId="66" xfId="7" applyNumberFormat="1" applyFont="1" applyFill="1" applyBorder="1"/>
    <xf numFmtId="4" fontId="46" fillId="0" borderId="47" xfId="7" applyNumberFormat="1" applyFont="1" applyFill="1" applyBorder="1"/>
    <xf numFmtId="0" fontId="15" fillId="0" borderId="0" xfId="0" applyFont="1" applyFill="1" applyAlignment="1">
      <alignment horizontal="left" vertical="top"/>
    </xf>
    <xf numFmtId="49" fontId="31" fillId="4" borderId="0" xfId="13" applyNumberFormat="1" applyFont="1" applyFill="1" applyBorder="1" applyAlignment="1">
      <alignment horizontal="center"/>
    </xf>
    <xf numFmtId="3" fontId="31" fillId="0" borderId="0" xfId="7" applyNumberFormat="1" applyFont="1" applyFill="1" applyBorder="1"/>
    <xf numFmtId="0" fontId="59" fillId="2" borderId="1" xfId="0" applyFont="1" applyFill="1" applyBorder="1" applyAlignment="1">
      <alignment horizontal="left" vertical="top"/>
    </xf>
    <xf numFmtId="0" fontId="60" fillId="3" borderId="2" xfId="0" applyFont="1" applyFill="1" applyBorder="1" applyAlignment="1">
      <alignment horizontal="left" vertical="top" wrapText="1"/>
    </xf>
    <xf numFmtId="0" fontId="61" fillId="3" borderId="2" xfId="0" applyFont="1" applyFill="1" applyBorder="1" applyAlignment="1">
      <alignment horizontal="left" vertical="top" wrapText="1"/>
    </xf>
    <xf numFmtId="164" fontId="59" fillId="2" borderId="1" xfId="0" applyNumberFormat="1" applyFont="1" applyFill="1" applyBorder="1" applyAlignment="1">
      <alignment horizontal="right" vertical="top"/>
    </xf>
    <xf numFmtId="1" fontId="59" fillId="2" borderId="1" xfId="0" applyNumberFormat="1" applyFont="1" applyFill="1" applyBorder="1" applyAlignment="1">
      <alignment horizontal="right" vertical="top"/>
    </xf>
    <xf numFmtId="165" fontId="59" fillId="2" borderId="1" xfId="0" applyNumberFormat="1" applyFont="1" applyFill="1" applyBorder="1" applyAlignment="1">
      <alignment horizontal="right" vertical="top"/>
    </xf>
    <xf numFmtId="9" fontId="59" fillId="2" borderId="1" xfId="0" applyNumberFormat="1" applyFont="1" applyFill="1" applyBorder="1" applyAlignment="1">
      <alignment horizontal="right" vertical="top"/>
    </xf>
    <xf numFmtId="4" fontId="59" fillId="2" borderId="1" xfId="0" applyNumberFormat="1" applyFont="1" applyFill="1" applyBorder="1" applyAlignment="1">
      <alignment horizontal="right" vertical="top"/>
    </xf>
    <xf numFmtId="49" fontId="51" fillId="25" borderId="50" xfId="0" applyNumberFormat="1" applyFont="1" applyFill="1" applyBorder="1" applyAlignment="1">
      <alignment horizontal="center" vertical="center"/>
    </xf>
    <xf numFmtId="2" fontId="61" fillId="3" borderId="2" xfId="0" applyNumberFormat="1" applyFont="1" applyFill="1" applyBorder="1" applyAlignment="1">
      <alignment horizontal="left" vertical="top" wrapText="1"/>
    </xf>
    <xf numFmtId="2" fontId="59" fillId="2" borderId="1" xfId="0" applyNumberFormat="1" applyFont="1" applyFill="1" applyBorder="1" applyAlignment="1">
      <alignment horizontal="right" vertical="top"/>
    </xf>
    <xf numFmtId="0" fontId="29" fillId="14" borderId="16" xfId="0" applyFont="1" applyFill="1" applyBorder="1" applyAlignment="1">
      <alignment horizontal="center" vertical="center" wrapText="1"/>
    </xf>
    <xf numFmtId="166" fontId="10" fillId="14" borderId="0" xfId="1" applyNumberFormat="1" applyFont="1" applyFill="1"/>
    <xf numFmtId="172" fontId="29" fillId="0" borderId="27" xfId="0" applyNumberFormat="1" applyFont="1" applyBorder="1" applyAlignment="1">
      <alignment horizontal="center" vertical="center"/>
    </xf>
    <xf numFmtId="172" fontId="31" fillId="0" borderId="47" xfId="7" applyNumberFormat="1" applyFont="1" applyFill="1" applyBorder="1"/>
    <xf numFmtId="172" fontId="31" fillId="0" borderId="66" xfId="7" applyNumberFormat="1" applyFont="1" applyFill="1" applyBorder="1"/>
    <xf numFmtId="172" fontId="31" fillId="0" borderId="23" xfId="7" applyNumberFormat="1" applyFont="1" applyFill="1" applyBorder="1"/>
    <xf numFmtId="172" fontId="31" fillId="0" borderId="42" xfId="7" applyNumberFormat="1" applyFont="1" applyFill="1" applyBorder="1"/>
    <xf numFmtId="169" fontId="32" fillId="0" borderId="17" xfId="7" applyNumberFormat="1" applyFont="1" applyFill="1" applyBorder="1"/>
    <xf numFmtId="172" fontId="31" fillId="0" borderId="17" xfId="7" applyNumberFormat="1" applyFont="1" applyFill="1" applyBorder="1"/>
    <xf numFmtId="3" fontId="31" fillId="0" borderId="17" xfId="7" applyNumberFormat="1" applyFont="1" applyFill="1" applyBorder="1"/>
    <xf numFmtId="3" fontId="31" fillId="0" borderId="17" xfId="7" applyNumberFormat="1" applyFont="1" applyBorder="1"/>
    <xf numFmtId="4" fontId="31" fillId="0" borderId="17" xfId="7" applyNumberFormat="1" applyFont="1" applyBorder="1"/>
    <xf numFmtId="4" fontId="31" fillId="0" borderId="17" xfId="7" applyNumberFormat="1" applyFont="1" applyFill="1" applyBorder="1"/>
    <xf numFmtId="4" fontId="29" fillId="0" borderId="17" xfId="7" applyNumberFormat="1" applyFont="1" applyBorder="1"/>
    <xf numFmtId="4" fontId="31" fillId="4" borderId="17" xfId="7" applyNumberFormat="1" applyFont="1" applyFill="1" applyBorder="1"/>
    <xf numFmtId="4" fontId="31" fillId="6" borderId="17" xfId="7" applyNumberFormat="1" applyFont="1" applyFill="1" applyBorder="1"/>
    <xf numFmtId="4" fontId="29" fillId="9" borderId="17" xfId="7" applyNumberFormat="1" applyFont="1" applyFill="1" applyBorder="1"/>
    <xf numFmtId="4" fontId="29" fillId="9" borderId="40" xfId="7" applyNumberFormat="1" applyFont="1" applyFill="1" applyBorder="1"/>
    <xf numFmtId="49" fontId="31" fillId="4" borderId="47" xfId="13" applyNumberFormat="1" applyFont="1" applyFill="1" applyBorder="1" applyAlignment="1">
      <alignment horizontal="center"/>
    </xf>
    <xf numFmtId="14" fontId="31" fillId="4" borderId="47" xfId="13" applyNumberFormat="1" applyFont="1" applyFill="1" applyBorder="1" applyAlignment="1">
      <alignment horizontal="center"/>
    </xf>
    <xf numFmtId="169" fontId="32" fillId="0" borderId="40" xfId="7" applyNumberFormat="1" applyFont="1" applyFill="1" applyBorder="1"/>
    <xf numFmtId="172" fontId="31" fillId="0" borderId="40" xfId="7" applyNumberFormat="1" applyFont="1" applyFill="1" applyBorder="1"/>
    <xf numFmtId="3" fontId="31" fillId="0" borderId="40" xfId="7" applyNumberFormat="1" applyFont="1" applyFill="1" applyBorder="1"/>
    <xf numFmtId="3" fontId="31" fillId="0" borderId="40" xfId="7" applyNumberFormat="1" applyFont="1" applyBorder="1"/>
    <xf numFmtId="4" fontId="31" fillId="0" borderId="40" xfId="7" applyNumberFormat="1" applyFont="1" applyBorder="1"/>
    <xf numFmtId="4" fontId="31" fillId="0" borderId="40" xfId="7" applyNumberFormat="1" applyFont="1" applyFill="1" applyBorder="1"/>
    <xf numFmtId="4" fontId="29" fillId="0" borderId="40" xfId="7" applyNumberFormat="1" applyFont="1" applyBorder="1"/>
    <xf numFmtId="4" fontId="31" fillId="4" borderId="40" xfId="7" applyNumberFormat="1" applyFont="1" applyFill="1" applyBorder="1"/>
    <xf numFmtId="4" fontId="31" fillId="6" borderId="40" xfId="7" applyNumberFormat="1" applyFont="1" applyFill="1" applyBorder="1"/>
    <xf numFmtId="49" fontId="31" fillId="4" borderId="47" xfId="0" applyNumberFormat="1" applyFont="1" applyFill="1" applyBorder="1"/>
    <xf numFmtId="14" fontId="31" fillId="4" borderId="41" xfId="13" applyNumberFormat="1" applyFont="1" applyFill="1" applyBorder="1" applyAlignment="1">
      <alignment horizontal="center"/>
    </xf>
    <xf numFmtId="169" fontId="32" fillId="0" borderId="41" xfId="7" applyNumberFormat="1" applyFont="1" applyFill="1" applyBorder="1"/>
    <xf numFmtId="172" fontId="31" fillId="0" borderId="41" xfId="7" applyNumberFormat="1" applyFont="1" applyFill="1" applyBorder="1"/>
    <xf numFmtId="3" fontId="31" fillId="0" borderId="41" xfId="7" applyNumberFormat="1" applyFont="1" applyFill="1" applyBorder="1"/>
    <xf numFmtId="3" fontId="31" fillId="0" borderId="41" xfId="7" applyNumberFormat="1" applyFont="1" applyBorder="1"/>
    <xf numFmtId="4" fontId="31" fillId="0" borderId="41" xfId="7" applyNumberFormat="1" applyFont="1" applyBorder="1"/>
    <xf numFmtId="4" fontId="31" fillId="0" borderId="41" xfId="7" applyNumberFormat="1" applyFont="1" applyFill="1" applyBorder="1"/>
    <xf numFmtId="4" fontId="29" fillId="0" borderId="41" xfId="7" applyNumberFormat="1" applyFont="1" applyBorder="1"/>
    <xf numFmtId="4" fontId="31" fillId="4" borderId="41" xfId="7" applyNumberFormat="1" applyFont="1" applyFill="1" applyBorder="1"/>
    <xf numFmtId="4" fontId="31" fillId="6" borderId="41" xfId="7" applyNumberFormat="1" applyFont="1" applyFill="1" applyBorder="1"/>
    <xf numFmtId="4" fontId="29" fillId="9" borderId="41" xfId="7" applyNumberFormat="1" applyFont="1" applyFill="1" applyBorder="1"/>
    <xf numFmtId="9" fontId="16" fillId="0" borderId="0" xfId="3" applyFont="1" applyFill="1" applyBorder="1"/>
    <xf numFmtId="168" fontId="19" fillId="0" borderId="0" xfId="10" applyNumberFormat="1" applyFont="1" applyFill="1" applyAlignment="1">
      <alignment horizontal="left" vertical="center" indent="1"/>
    </xf>
    <xf numFmtId="2" fontId="19" fillId="0" borderId="0" xfId="10" applyNumberFormat="1" applyFont="1" applyFill="1" applyAlignment="1">
      <alignment horizontal="center" vertical="center"/>
    </xf>
    <xf numFmtId="168" fontId="19" fillId="0" borderId="0" xfId="10" applyNumberFormat="1" applyFont="1" applyFill="1" applyAlignment="1">
      <alignment horizontal="center" vertical="center"/>
    </xf>
    <xf numFmtId="168" fontId="19" fillId="0" borderId="0" xfId="10" applyNumberFormat="1" applyFont="1" applyFill="1" applyAlignment="1">
      <alignment horizontal="left" vertical="top"/>
    </xf>
    <xf numFmtId="168" fontId="62" fillId="0" borderId="0" xfId="10" applyNumberFormat="1" applyFont="1" applyFill="1" applyAlignment="1">
      <alignment horizontal="center" vertical="center"/>
    </xf>
    <xf numFmtId="166" fontId="19" fillId="0" borderId="0" xfId="1" applyNumberFormat="1" applyFont="1" applyAlignment="1">
      <alignment horizontal="center" vertical="center"/>
    </xf>
    <xf numFmtId="166" fontId="19" fillId="0" borderId="0" xfId="1" applyNumberFormat="1" applyFont="1" applyFill="1" applyAlignment="1">
      <alignment horizontal="center" vertical="center"/>
    </xf>
    <xf numFmtId="168" fontId="41" fillId="0" borderId="0" xfId="10" applyNumberFormat="1" applyFont="1" applyAlignment="1">
      <alignment horizontal="center" vertical="center"/>
    </xf>
    <xf numFmtId="168" fontId="41" fillId="0" borderId="0" xfId="10" applyNumberFormat="1" applyFont="1" applyFill="1" applyAlignment="1">
      <alignment horizontal="left" vertical="center" indent="1"/>
    </xf>
    <xf numFmtId="2" fontId="41" fillId="0" borderId="0" xfId="10" applyNumberFormat="1" applyFont="1" applyFill="1" applyAlignment="1">
      <alignment horizontal="center" vertical="center"/>
    </xf>
    <xf numFmtId="168" fontId="63" fillId="0" borderId="0" xfId="10" applyNumberFormat="1" applyFont="1" applyAlignment="1">
      <alignment horizontal="center" vertical="center"/>
    </xf>
    <xf numFmtId="168" fontId="41" fillId="0" borderId="0" xfId="10" applyNumberFormat="1" applyFont="1" applyFill="1" applyAlignment="1">
      <alignment horizontal="center" vertical="center"/>
    </xf>
    <xf numFmtId="2" fontId="19" fillId="6" borderId="4" xfId="10" applyNumberFormat="1" applyFont="1" applyFill="1" applyBorder="1"/>
    <xf numFmtId="2" fontId="19" fillId="6" borderId="5" xfId="10" applyNumberFormat="1" applyFont="1" applyFill="1" applyBorder="1"/>
    <xf numFmtId="0" fontId="29" fillId="9" borderId="13" xfId="0" applyFont="1" applyFill="1" applyBorder="1" applyAlignment="1">
      <alignment horizontal="center" vertical="center" wrapText="1"/>
    </xf>
    <xf numFmtId="0" fontId="29" fillId="9" borderId="16" xfId="0" applyFont="1" applyFill="1" applyBorder="1" applyAlignment="1">
      <alignment horizontal="center" vertical="center" wrapText="1"/>
    </xf>
    <xf numFmtId="0" fontId="29" fillId="12" borderId="13" xfId="0" applyFont="1" applyFill="1" applyBorder="1" applyAlignment="1">
      <alignment horizontal="center" vertical="center" wrapText="1"/>
    </xf>
    <xf numFmtId="0" fontId="29" fillId="12" borderId="16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170" fontId="30" fillId="5" borderId="13" xfId="0" applyNumberFormat="1" applyFont="1" applyFill="1" applyBorder="1" applyAlignment="1">
      <alignment horizontal="center" vertical="center" wrapText="1"/>
    </xf>
    <xf numFmtId="170" fontId="30" fillId="5" borderId="16" xfId="0" applyNumberFormat="1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center" vertical="center" wrapText="1"/>
    </xf>
    <xf numFmtId="0" fontId="30" fillId="5" borderId="16" xfId="0" applyFont="1" applyFill="1" applyBorder="1" applyAlignment="1">
      <alignment horizontal="center" vertical="center" wrapText="1"/>
    </xf>
    <xf numFmtId="0" fontId="29" fillId="10" borderId="13" xfId="0" applyFont="1" applyFill="1" applyBorder="1" applyAlignment="1">
      <alignment horizontal="center" vertical="center" wrapText="1"/>
    </xf>
    <xf numFmtId="0" fontId="29" fillId="11" borderId="13" xfId="0" applyFont="1" applyFill="1" applyBorder="1" applyAlignment="1">
      <alignment horizontal="center" vertical="center" wrapText="1"/>
    </xf>
    <xf numFmtId="0" fontId="29" fillId="11" borderId="16" xfId="0" applyFont="1" applyFill="1" applyBorder="1" applyAlignment="1">
      <alignment horizontal="center" vertical="center" wrapText="1"/>
    </xf>
    <xf numFmtId="9" fontId="29" fillId="0" borderId="0" xfId="12" applyFont="1" applyBorder="1" applyAlignment="1">
      <alignment horizontal="center" vertical="center" wrapText="1"/>
    </xf>
    <xf numFmtId="166" fontId="29" fillId="9" borderId="19" xfId="7" applyNumberFormat="1" applyFont="1" applyFill="1" applyBorder="1" applyAlignment="1">
      <alignment horizontal="center" vertical="center"/>
    </xf>
    <xf numFmtId="166" fontId="29" fillId="9" borderId="22" xfId="7" applyNumberFormat="1" applyFont="1" applyFill="1" applyBorder="1" applyAlignment="1">
      <alignment horizontal="center" vertical="center"/>
    </xf>
    <xf numFmtId="49" fontId="31" fillId="4" borderId="24" xfId="0" applyNumberFormat="1" applyFont="1" applyFill="1" applyBorder="1" applyAlignment="1">
      <alignment horizontal="center" vertical="center"/>
    </xf>
    <xf numFmtId="49" fontId="31" fillId="4" borderId="26" xfId="0" applyNumberFormat="1" applyFont="1" applyFill="1" applyBorder="1" applyAlignment="1">
      <alignment horizontal="center" vertical="center"/>
    </xf>
    <xf numFmtId="49" fontId="31" fillId="4" borderId="25" xfId="0" applyNumberFormat="1" applyFont="1" applyFill="1" applyBorder="1" applyAlignment="1">
      <alignment horizontal="center" vertical="center"/>
    </xf>
    <xf numFmtId="0" fontId="29" fillId="14" borderId="67" xfId="0" applyFont="1" applyFill="1" applyBorder="1" applyAlignment="1">
      <alignment horizontal="center" vertical="center" wrapText="1"/>
    </xf>
    <xf numFmtId="0" fontId="29" fillId="14" borderId="68" xfId="0" applyFont="1" applyFill="1" applyBorder="1" applyAlignment="1">
      <alignment horizontal="center" vertical="center" wrapText="1"/>
    </xf>
    <xf numFmtId="0" fontId="29" fillId="14" borderId="69" xfId="0" applyFont="1" applyFill="1" applyBorder="1" applyAlignment="1">
      <alignment horizontal="center" vertical="center" wrapText="1"/>
    </xf>
    <xf numFmtId="0" fontId="29" fillId="9" borderId="15" xfId="0" applyFont="1" applyFill="1" applyBorder="1" applyAlignment="1">
      <alignment horizontal="center" vertical="center" wrapText="1"/>
    </xf>
    <xf numFmtId="0" fontId="29" fillId="9" borderId="18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13" borderId="14" xfId="0" applyFont="1" applyFill="1" applyBorder="1" applyAlignment="1">
      <alignment horizontal="center" vertical="center" wrapText="1"/>
    </xf>
    <xf numFmtId="0" fontId="29" fillId="13" borderId="17" xfId="0" applyFont="1" applyFill="1" applyBorder="1" applyAlignment="1">
      <alignment horizontal="center" vertical="center" wrapText="1"/>
    </xf>
    <xf numFmtId="0" fontId="29" fillId="13" borderId="13" xfId="0" applyFont="1" applyFill="1" applyBorder="1" applyAlignment="1">
      <alignment horizontal="center" vertical="center" wrapText="1"/>
    </xf>
    <xf numFmtId="0" fontId="29" fillId="13" borderId="16" xfId="0" applyFont="1" applyFill="1" applyBorder="1" applyAlignment="1">
      <alignment horizontal="center" vertical="center" wrapText="1"/>
    </xf>
    <xf numFmtId="166" fontId="29" fillId="9" borderId="21" xfId="7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34" fillId="0" borderId="0" xfId="13" applyFont="1" applyAlignment="1">
      <alignment horizontal="left" vertical="center" wrapText="1"/>
    </xf>
    <xf numFmtId="49" fontId="31" fillId="4" borderId="70" xfId="0" applyNumberFormat="1" applyFont="1" applyFill="1" applyBorder="1" applyAlignment="1">
      <alignment horizontal="center" vertical="center"/>
    </xf>
    <xf numFmtId="49" fontId="31" fillId="4" borderId="9" xfId="0" applyNumberFormat="1" applyFont="1" applyFill="1" applyBorder="1" applyAlignment="1">
      <alignment horizontal="center" vertical="center"/>
    </xf>
    <xf numFmtId="2" fontId="29" fillId="9" borderId="19" xfId="0" applyNumberFormat="1" applyFont="1" applyFill="1" applyBorder="1" applyAlignment="1">
      <alignment horizontal="center" vertical="center"/>
    </xf>
    <xf numFmtId="2" fontId="29" fillId="9" borderId="21" xfId="0" applyNumberFormat="1" applyFont="1" applyFill="1" applyBorder="1" applyAlignment="1">
      <alignment horizontal="center" vertical="center"/>
    </xf>
    <xf numFmtId="0" fontId="53" fillId="16" borderId="58" xfId="0" applyFont="1" applyFill="1" applyBorder="1" applyAlignment="1">
      <alignment horizontal="left" vertical="top" wrapText="1"/>
    </xf>
    <xf numFmtId="0" fontId="53" fillId="16" borderId="59" xfId="0" applyFont="1" applyFill="1" applyBorder="1" applyAlignment="1">
      <alignment horizontal="left" vertical="top" wrapText="1"/>
    </xf>
    <xf numFmtId="0" fontId="51" fillId="16" borderId="58" xfId="0" applyFont="1" applyFill="1" applyBorder="1" applyAlignment="1">
      <alignment horizontal="left" vertical="top" wrapText="1"/>
    </xf>
    <xf numFmtId="0" fontId="51" fillId="16" borderId="59" xfId="0" applyFont="1" applyFill="1" applyBorder="1" applyAlignment="1">
      <alignment horizontal="left" vertical="top" wrapText="1"/>
    </xf>
    <xf numFmtId="0" fontId="55" fillId="5" borderId="52" xfId="0" applyFont="1" applyFill="1" applyBorder="1" applyAlignment="1">
      <alignment horizontal="left" vertical="top" wrapText="1"/>
    </xf>
    <xf numFmtId="0" fontId="55" fillId="5" borderId="53" xfId="0" applyFont="1" applyFill="1" applyBorder="1" applyAlignment="1">
      <alignment horizontal="left" vertical="top" wrapText="1"/>
    </xf>
    <xf numFmtId="0" fontId="58" fillId="28" borderId="57" xfId="0" applyFont="1" applyFill="1" applyBorder="1" applyAlignment="1">
      <alignment horizontal="right" vertical="center" wrapText="1"/>
    </xf>
    <xf numFmtId="0" fontId="58" fillId="32" borderId="63" xfId="0" applyFont="1" applyFill="1" applyBorder="1" applyAlignment="1">
      <alignment horizontal="right" vertical="center" wrapText="1"/>
    </xf>
    <xf numFmtId="0" fontId="51" fillId="34" borderId="49" xfId="0" applyFont="1" applyFill="1" applyBorder="1" applyAlignment="1">
      <alignment horizontal="center" vertical="center"/>
    </xf>
    <xf numFmtId="0" fontId="51" fillId="34" borderId="50" xfId="0" applyFont="1" applyFill="1" applyBorder="1" applyAlignment="1">
      <alignment horizontal="center" vertical="center"/>
    </xf>
    <xf numFmtId="0" fontId="51" fillId="34" borderId="51" xfId="0" applyFont="1" applyFill="1" applyBorder="1" applyAlignment="1">
      <alignment horizontal="center" vertical="center"/>
    </xf>
    <xf numFmtId="0" fontId="51" fillId="22" borderId="49" xfId="0" applyFont="1" applyFill="1" applyBorder="1" applyAlignment="1">
      <alignment horizontal="center" vertical="center"/>
    </xf>
    <xf numFmtId="0" fontId="51" fillId="22" borderId="50" xfId="0" applyFont="1" applyFill="1" applyBorder="1" applyAlignment="1">
      <alignment horizontal="center" vertical="center"/>
    </xf>
    <xf numFmtId="0" fontId="51" fillId="22" borderId="51" xfId="0" applyFont="1" applyFill="1" applyBorder="1" applyAlignment="1">
      <alignment horizontal="center" vertical="center"/>
    </xf>
    <xf numFmtId="0" fontId="58" fillId="32" borderId="57" xfId="0" applyFont="1" applyFill="1" applyBorder="1" applyAlignment="1">
      <alignment horizontal="right" vertical="center" wrapText="1"/>
    </xf>
    <xf numFmtId="0" fontId="47" fillId="0" borderId="11" xfId="0" applyFont="1" applyBorder="1" applyAlignment="1">
      <alignment horizontal="center" vertical="center" wrapText="1"/>
    </xf>
    <xf numFmtId="0" fontId="48" fillId="16" borderId="0" xfId="0" applyFont="1" applyFill="1" applyAlignment="1">
      <alignment horizontal="center" vertical="center" wrapText="1"/>
    </xf>
    <xf numFmtId="9" fontId="30" fillId="0" borderId="0" xfId="12" applyFont="1" applyBorder="1" applyAlignment="1">
      <alignment horizontal="center" vertical="center" wrapText="1"/>
    </xf>
    <xf numFmtId="0" fontId="51" fillId="25" borderId="49" xfId="0" applyFont="1" applyFill="1" applyBorder="1" applyAlignment="1">
      <alignment horizontal="center" vertical="center"/>
    </xf>
    <xf numFmtId="0" fontId="51" fillId="25" borderId="50" xfId="0" applyFont="1" applyFill="1" applyBorder="1" applyAlignment="1">
      <alignment horizontal="center" vertical="center"/>
    </xf>
    <xf numFmtId="2" fontId="51" fillId="25" borderId="50" xfId="0" applyNumberFormat="1" applyFont="1" applyFill="1" applyBorder="1" applyAlignment="1">
      <alignment horizontal="center" vertical="center"/>
    </xf>
    <xf numFmtId="2" fontId="51" fillId="25" borderId="51" xfId="0" applyNumberFormat="1" applyFont="1" applyFill="1" applyBorder="1" applyAlignment="1">
      <alignment horizontal="center" vertical="center"/>
    </xf>
    <xf numFmtId="0" fontId="30" fillId="28" borderId="20" xfId="0" applyFont="1" applyFill="1" applyBorder="1" applyAlignment="1">
      <alignment horizontal="center" vertical="center" wrapText="1"/>
    </xf>
    <xf numFmtId="0" fontId="30" fillId="28" borderId="23" xfId="0" applyFont="1" applyFill="1" applyBorder="1" applyAlignment="1">
      <alignment horizontal="center" vertical="center" wrapText="1"/>
    </xf>
    <xf numFmtId="0" fontId="30" fillId="5" borderId="7" xfId="0" applyFont="1" applyFill="1" applyBorder="1" applyAlignment="1">
      <alignment horizontal="center" vertical="center" wrapText="1"/>
    </xf>
    <xf numFmtId="170" fontId="30" fillId="5" borderId="7" xfId="0" applyNumberFormat="1" applyFont="1" applyFill="1" applyBorder="1" applyAlignment="1">
      <alignment horizontal="center" vertical="center" wrapText="1"/>
    </xf>
    <xf numFmtId="0" fontId="47" fillId="26" borderId="4" xfId="0" applyFont="1" applyFill="1" applyBorder="1" applyAlignment="1">
      <alignment horizontal="center" vertical="center" wrapText="1"/>
    </xf>
    <xf numFmtId="0" fontId="47" fillId="26" borderId="5" xfId="0" applyFont="1" applyFill="1" applyBorder="1" applyAlignment="1">
      <alignment horizontal="center" vertical="center" wrapText="1"/>
    </xf>
    <xf numFmtId="0" fontId="47" fillId="26" borderId="6" xfId="0" applyFont="1" applyFill="1" applyBorder="1" applyAlignment="1">
      <alignment horizontal="center" vertical="center" wrapText="1"/>
    </xf>
    <xf numFmtId="0" fontId="47" fillId="27" borderId="20" xfId="0" applyFont="1" applyFill="1" applyBorder="1" applyAlignment="1">
      <alignment horizontal="center" vertical="center" wrapText="1"/>
    </xf>
    <xf numFmtId="0" fontId="47" fillId="27" borderId="23" xfId="0" applyFont="1" applyFill="1" applyBorder="1" applyAlignment="1">
      <alignment horizontal="center" vertical="center" wrapText="1"/>
    </xf>
    <xf numFmtId="0" fontId="35" fillId="15" borderId="29" xfId="0" applyFont="1" applyFill="1" applyBorder="1" applyAlignment="1">
      <alignment horizontal="center" vertical="center" wrapText="1"/>
    </xf>
    <xf numFmtId="0" fontId="35" fillId="15" borderId="30" xfId="0" applyFont="1" applyFill="1" applyBorder="1" applyAlignment="1">
      <alignment horizontal="center" vertical="center" wrapText="1"/>
    </xf>
    <xf numFmtId="0" fontId="35" fillId="15" borderId="31" xfId="0" applyFont="1" applyFill="1" applyBorder="1" applyAlignment="1">
      <alignment horizontal="center" vertical="center" wrapText="1"/>
    </xf>
    <xf numFmtId="0" fontId="35" fillId="21" borderId="29" xfId="0" applyFont="1" applyFill="1" applyBorder="1" applyAlignment="1">
      <alignment horizontal="center" vertical="center" wrapText="1"/>
    </xf>
    <xf numFmtId="0" fontId="35" fillId="21" borderId="30" xfId="0" applyFont="1" applyFill="1" applyBorder="1" applyAlignment="1">
      <alignment horizontal="center" vertical="center" wrapText="1"/>
    </xf>
    <xf numFmtId="0" fontId="35" fillId="21" borderId="31" xfId="0" applyFont="1" applyFill="1" applyBorder="1" applyAlignment="1">
      <alignment horizontal="center" vertical="center" wrapText="1"/>
    </xf>
  </cellXfs>
  <cellStyles count="14">
    <cellStyle name="Денежный" xfId="2" builtinId="4"/>
    <cellStyle name="Обычный" xfId="0" builtinId="0"/>
    <cellStyle name="Обычный 2 2" xfId="4" xr:uid="{96BC7A0B-31B0-4F86-A88B-F7B7DBDE9A73}"/>
    <cellStyle name="Обычный 4" xfId="13" xr:uid="{783D1177-79FE-4250-A32C-62B0110E4B5B}"/>
    <cellStyle name="Процентный" xfId="3" builtinId="5"/>
    <cellStyle name="Процентный 2" xfId="12" xr:uid="{137861C8-EBB0-4382-A334-FBDC5CC08FDF}"/>
    <cellStyle name="Процентный 2 2" xfId="6" xr:uid="{5593E41F-162D-4DC5-B417-13941C8FC04A}"/>
    <cellStyle name="Финансовый" xfId="1" builtinId="3"/>
    <cellStyle name="Финансовый 2" xfId="7" xr:uid="{D47965C1-FC7D-4E39-A980-482A16921452}"/>
    <cellStyle name="Финансовый 2 2" xfId="5" xr:uid="{F351324D-8397-4A98-AAB7-C8C85CC058C9}"/>
    <cellStyle name="Финансовый 3" xfId="9" xr:uid="{DAF5E599-43C1-4928-B7F8-18496D80A2E5}"/>
    <cellStyle name="Финансовый 3 2" xfId="10" xr:uid="{1CB2489D-A3CE-4BA1-9CFF-64F4D18CFEFB}"/>
    <cellStyle name="Финансовый 8 2" xfId="8" xr:uid="{ADCE4AE1-191D-497B-8D33-E112BF03C6C5}"/>
    <cellStyle name="Финансовый 8 2 2 2" xfId="11" xr:uid="{5CE4D6AB-BBB6-465D-BDE8-042A3D3F24AD}"/>
  </cellStyles>
  <dxfs count="4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00B050"/>
      </font>
      <fill>
        <patternFill patternType="solid"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 b="1"/>
              <a:t>Динамика общей</a:t>
            </a:r>
            <a:r>
              <a:rPr lang="ru-RU" b="1" baseline="0"/>
              <a:t> выручки по магазину в тыс. руб.</a:t>
            </a:r>
            <a:endParaRPr lang="en-US" b="1"/>
          </a:p>
        </c:rich>
      </c:tx>
      <c:layout>
        <c:manualLayout>
          <c:xMode val="edge"/>
          <c:yMode val="edge"/>
          <c:x val="0.40624500682802106"/>
          <c:y val="3.9964647695222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2518761997587575E-2"/>
          <c:y val="0.14175559437635818"/>
          <c:w val="0.97478990535116294"/>
          <c:h val="0.768888530245075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'Динамика финансы'!$AF$3:$AF$17</c:f>
              <c:strCache>
                <c:ptCount val="15"/>
                <c:pt idx="0">
                  <c:v>август</c:v>
                </c:pt>
                <c:pt idx="1">
                  <c:v>сентябрь 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  <c:pt idx="12">
                  <c:v>50</c:v>
                </c:pt>
                <c:pt idx="13">
                  <c:v>51</c:v>
                </c:pt>
                <c:pt idx="14">
                  <c:v>52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'Динамика финансы'!$AF$3:$AF$17</c:f>
              <c:strCache>
                <c:ptCount val="15"/>
                <c:pt idx="0">
                  <c:v>август</c:v>
                </c:pt>
                <c:pt idx="1">
                  <c:v>сентябрь 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  <c:pt idx="12">
                  <c:v>50</c:v>
                </c:pt>
                <c:pt idx="13">
                  <c:v>51</c:v>
                </c:pt>
                <c:pt idx="14">
                  <c:v>52</c:v>
                </c:pt>
              </c:strCache>
            </c:strRef>
          </c:cat>
          <c:val>
            <c:numRef>
              <c:f>'Динамика финансы'!$AG$3:$AG$17</c:f>
              <c:numCache>
                <c:formatCode>#,##0</c:formatCode>
                <c:ptCount val="15"/>
                <c:pt idx="0">
                  <c:v>8.5129999999999999</c:v>
                </c:pt>
                <c:pt idx="1">
                  <c:v>164.68199999999996</c:v>
                </c:pt>
                <c:pt idx="2">
                  <c:v>68.519000000000005</c:v>
                </c:pt>
                <c:pt idx="3">
                  <c:v>67.921999999999997</c:v>
                </c:pt>
                <c:pt idx="4">
                  <c:v>66.834000000000003</c:v>
                </c:pt>
                <c:pt idx="5">
                  <c:v>44.252000000000002</c:v>
                </c:pt>
                <c:pt idx="6">
                  <c:v>63.99</c:v>
                </c:pt>
                <c:pt idx="7">
                  <c:v>34.414000000000001</c:v>
                </c:pt>
                <c:pt idx="8">
                  <c:v>58.853999999999992</c:v>
                </c:pt>
                <c:pt idx="9">
                  <c:v>56.924999999999997</c:v>
                </c:pt>
                <c:pt idx="10">
                  <c:v>56.475999999999999</c:v>
                </c:pt>
                <c:pt idx="11">
                  <c:v>81.320999999999998</c:v>
                </c:pt>
                <c:pt idx="12">
                  <c:v>64.296000000000006</c:v>
                </c:pt>
                <c:pt idx="13">
                  <c:v>64.222999999999999</c:v>
                </c:pt>
                <c:pt idx="14">
                  <c:v>133.70000000000002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70-4E15-ABFA-848A5AEFC5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322770176"/>
        <c:axId val="-1322756032"/>
      </c:barChart>
      <c:catAx>
        <c:axId val="-132277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322756032"/>
        <c:crosses val="autoZero"/>
        <c:auto val="1"/>
        <c:lblAlgn val="ctr"/>
        <c:lblOffset val="100"/>
        <c:noMultiLvlLbl val="0"/>
      </c:catAx>
      <c:valAx>
        <c:axId val="-132275603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-1322770176"/>
        <c:crosses val="autoZero"/>
        <c:crossBetween val="between"/>
      </c:valAx>
      <c:spPr>
        <a:solidFill>
          <a:schemeClr val="bg1">
            <a:lumMod val="95000"/>
          </a:schemeClr>
        </a:solidFill>
        <a:ln w="12700" cap="flat" cmpd="sng" algn="ctr">
          <a:solidFill>
            <a:schemeClr val="accent5">
              <a:lumMod val="20000"/>
              <a:lumOff val="80000"/>
            </a:schemeClr>
          </a:solidFill>
          <a:prstDash val="solid"/>
          <a:miter lim="800000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 b="1"/>
              <a:t>Динамика общей</a:t>
            </a:r>
            <a:r>
              <a:rPr lang="ru-RU" b="1" baseline="0"/>
              <a:t> выручки по очкам в тыс. руб.</a:t>
            </a:r>
            <a:endParaRPr lang="en-US" b="1"/>
          </a:p>
        </c:rich>
      </c:tx>
      <c:layout>
        <c:manualLayout>
          <c:xMode val="edge"/>
          <c:yMode val="edge"/>
          <c:x val="0.40624500682802106"/>
          <c:y val="3.9964647695222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2518761997587575E-2"/>
          <c:y val="0.14175559437635818"/>
          <c:w val="0.97478990535116294"/>
          <c:h val="0.768888530245075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'Динамика финансы'!$AF$3:$AF$14</c:f>
              <c:strCache>
                <c:ptCount val="12"/>
                <c:pt idx="0">
                  <c:v>август</c:v>
                </c:pt>
                <c:pt idx="1">
                  <c:v>сентябрь 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'Динамика финансы'!$AF$3:$AF$14</c:f>
              <c:strCache>
                <c:ptCount val="12"/>
                <c:pt idx="0">
                  <c:v>август</c:v>
                </c:pt>
                <c:pt idx="1">
                  <c:v>сентябрь 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</c:strCache>
            </c:strRef>
          </c:cat>
          <c:val>
            <c:numRef>
              <c:f>'Динамика финансы'!$AH$3:$AH$14</c:f>
              <c:numCache>
                <c:formatCode>#,##0</c:formatCode>
                <c:ptCount val="12"/>
                <c:pt idx="0">
                  <c:v>8.5129999999999999</c:v>
                </c:pt>
                <c:pt idx="1">
                  <c:v>133.33199999999997</c:v>
                </c:pt>
                <c:pt idx="2">
                  <c:v>28.258999999999997</c:v>
                </c:pt>
                <c:pt idx="3">
                  <c:v>23.391999999999999</c:v>
                </c:pt>
                <c:pt idx="4">
                  <c:v>18.085999999999999</c:v>
                </c:pt>
                <c:pt idx="5">
                  <c:v>17.776</c:v>
                </c:pt>
                <c:pt idx="6">
                  <c:v>20.25</c:v>
                </c:pt>
                <c:pt idx="7">
                  <c:v>14.318</c:v>
                </c:pt>
                <c:pt idx="8">
                  <c:v>39.077999999999996</c:v>
                </c:pt>
                <c:pt idx="9">
                  <c:v>49.100999999999999</c:v>
                </c:pt>
                <c:pt idx="10">
                  <c:v>50.475999999999999</c:v>
                </c:pt>
                <c:pt idx="11">
                  <c:v>86.820999999999998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F-456E-A561-A7666F43F5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322762560"/>
        <c:axId val="-1322770720"/>
      </c:barChart>
      <c:catAx>
        <c:axId val="-132276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322770720"/>
        <c:crosses val="autoZero"/>
        <c:auto val="1"/>
        <c:lblAlgn val="ctr"/>
        <c:lblOffset val="100"/>
        <c:noMultiLvlLbl val="0"/>
      </c:catAx>
      <c:valAx>
        <c:axId val="-13227707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-1322762560"/>
        <c:crosses val="autoZero"/>
        <c:crossBetween val="between"/>
      </c:valAx>
      <c:spPr>
        <a:solidFill>
          <a:schemeClr val="bg1">
            <a:lumMod val="95000"/>
          </a:schemeClr>
        </a:solidFill>
        <a:ln w="12700" cap="flat" cmpd="sng" algn="ctr">
          <a:solidFill>
            <a:schemeClr val="accent5">
              <a:lumMod val="20000"/>
              <a:lumOff val="80000"/>
            </a:schemeClr>
          </a:solidFill>
          <a:prstDash val="solid"/>
          <a:miter lim="800000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ru-RU" b="1"/>
              <a:t>Динамика общей</a:t>
            </a:r>
            <a:r>
              <a:rPr lang="ru-RU" b="1" baseline="0"/>
              <a:t> выручки по туникам в тыс. руб.</a:t>
            </a:r>
            <a:endParaRPr lang="en-US" b="1"/>
          </a:p>
        </c:rich>
      </c:tx>
      <c:layout>
        <c:manualLayout>
          <c:xMode val="edge"/>
          <c:yMode val="edge"/>
          <c:x val="0.40624500682802106"/>
          <c:y val="3.9964647695222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1.2518761997587575E-2"/>
          <c:y val="0.14175559437635818"/>
          <c:w val="0.97478990535116294"/>
          <c:h val="0.768888530245075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'Динамика финансы'!$AF$3:$AF$14</c:f>
              <c:strCache>
                <c:ptCount val="12"/>
                <c:pt idx="0">
                  <c:v>август</c:v>
                </c:pt>
                <c:pt idx="1">
                  <c:v>сентябрь 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'Динамика финансы'!$AF$3:$AF$14</c:f>
              <c:strCache>
                <c:ptCount val="12"/>
                <c:pt idx="0">
                  <c:v>август</c:v>
                </c:pt>
                <c:pt idx="1">
                  <c:v>сентябрь 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</c:strCache>
            </c:strRef>
          </c:cat>
          <c:val>
            <c:numRef>
              <c:f>'Динамика финансы'!$AI$3:$AI$14</c:f>
              <c:numCache>
                <c:formatCode>#,##0</c:formatCode>
                <c:ptCount val="12"/>
                <c:pt idx="0">
                  <c:v>0</c:v>
                </c:pt>
                <c:pt idx="1">
                  <c:v>31.35</c:v>
                </c:pt>
                <c:pt idx="2">
                  <c:v>40.26</c:v>
                </c:pt>
                <c:pt idx="3">
                  <c:v>44.53</c:v>
                </c:pt>
                <c:pt idx="4">
                  <c:v>48.747999999999998</c:v>
                </c:pt>
                <c:pt idx="5">
                  <c:v>26.475999999999999</c:v>
                </c:pt>
                <c:pt idx="6">
                  <c:v>43.74</c:v>
                </c:pt>
                <c:pt idx="7">
                  <c:v>20.096</c:v>
                </c:pt>
                <c:pt idx="8">
                  <c:v>19.776</c:v>
                </c:pt>
                <c:pt idx="9">
                  <c:v>7.8239999999999998</c:v>
                </c:pt>
                <c:pt idx="10">
                  <c:v>6</c:v>
                </c:pt>
                <c:pt idx="11">
                  <c:v>-5.5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02-47B8-8CD0-CAF1145DB80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-1322760384"/>
        <c:axId val="-1236419120"/>
      </c:barChart>
      <c:catAx>
        <c:axId val="-132276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236419120"/>
        <c:crosses val="autoZero"/>
        <c:auto val="1"/>
        <c:lblAlgn val="ctr"/>
        <c:lblOffset val="100"/>
        <c:noMultiLvlLbl val="0"/>
      </c:catAx>
      <c:valAx>
        <c:axId val="-12364191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-1322760384"/>
        <c:crosses val="autoZero"/>
        <c:crossBetween val="between"/>
      </c:valAx>
      <c:spPr>
        <a:solidFill>
          <a:schemeClr val="bg1">
            <a:lumMod val="95000"/>
          </a:schemeClr>
        </a:solidFill>
        <a:ln w="12700" cap="flat" cmpd="sng" algn="ctr">
          <a:solidFill>
            <a:schemeClr val="accent5">
              <a:lumMod val="20000"/>
              <a:lumOff val="80000"/>
            </a:schemeClr>
          </a:solidFill>
          <a:prstDash val="solid"/>
          <a:miter lim="800000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139</xdr:row>
      <xdr:rowOff>0</xdr:rowOff>
    </xdr:from>
    <xdr:to>
      <xdr:col>28</xdr:col>
      <xdr:colOff>63500</xdr:colOff>
      <xdr:row>154</xdr:row>
      <xdr:rowOff>130932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00A8E4A-07E5-4410-9565-0646AD625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158</xdr:row>
      <xdr:rowOff>0</xdr:rowOff>
    </xdr:from>
    <xdr:to>
      <xdr:col>28</xdr:col>
      <xdr:colOff>76200</xdr:colOff>
      <xdr:row>183</xdr:row>
      <xdr:rowOff>3932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2165525-3483-4317-B0A0-005DD0988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187</xdr:row>
      <xdr:rowOff>0</xdr:rowOff>
    </xdr:from>
    <xdr:to>
      <xdr:col>28</xdr:col>
      <xdr:colOff>76200</xdr:colOff>
      <xdr:row>212</xdr:row>
      <xdr:rowOff>3932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7265924-5253-4AD5-A2B5-AD6CF58CF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3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7"/>
  <sheetViews>
    <sheetView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G12" sqref="G12"/>
    </sheetView>
  </sheetViews>
  <sheetFormatPr defaultRowHeight="15.5"/>
  <cols>
    <col min="1" max="1" width="4.08984375" style="291" customWidth="1"/>
    <col min="2" max="2" width="18.08984375" style="291" customWidth="1"/>
    <col min="3" max="14" width="13.7265625" style="291" customWidth="1"/>
    <col min="15" max="15" width="10.453125" style="291" customWidth="1"/>
    <col min="16" max="16384" width="8.7265625" style="291"/>
  </cols>
  <sheetData>
    <row r="1" spans="2:15" s="294" customFormat="1">
      <c r="B1" s="292" t="s">
        <v>310</v>
      </c>
      <c r="C1" s="293">
        <v>52</v>
      </c>
      <c r="D1" s="293">
        <v>51</v>
      </c>
      <c r="E1" s="293">
        <v>50</v>
      </c>
      <c r="F1" s="293">
        <v>49</v>
      </c>
      <c r="G1" s="293">
        <v>48</v>
      </c>
      <c r="H1" s="293">
        <v>47</v>
      </c>
      <c r="I1" s="293">
        <v>46</v>
      </c>
      <c r="J1" s="293">
        <v>45</v>
      </c>
      <c r="K1" s="293">
        <v>44</v>
      </c>
      <c r="L1" s="293">
        <v>43</v>
      </c>
      <c r="M1" s="293">
        <v>42</v>
      </c>
      <c r="N1" s="293">
        <v>41</v>
      </c>
      <c r="O1" s="293">
        <v>40</v>
      </c>
    </row>
    <row r="2" spans="2:15">
      <c r="B2" s="364" t="s">
        <v>294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</row>
    <row r="3" spans="2:15">
      <c r="B3" s="296" t="s">
        <v>29</v>
      </c>
      <c r="C3" s="297">
        <f>'Дашборд 22-31.12'!$G$19</f>
        <v>9.963612565445025E-2</v>
      </c>
      <c r="D3" s="297">
        <f>'Дашборд 15-21.12'!$G$19</f>
        <v>0.12768272612303586</v>
      </c>
      <c r="E3" s="297">
        <f>'Дашборд 08-14.12'!$G$19</f>
        <v>0.11649218413882119</v>
      </c>
      <c r="F3" s="297">
        <f>'Дашборд 01-07.12'!$G$19</f>
        <v>0.10242164914018498</v>
      </c>
      <c r="G3" s="297">
        <f>'Дашборд 24-30.11'!$G$19</f>
        <v>0.11386342023932168</v>
      </c>
      <c r="H3" s="297">
        <f>'Дашборд 17-23.11'!$G$19</f>
        <v>0.11274963850023423</v>
      </c>
      <c r="I3" s="297">
        <f>'Дашборд 10-16.11'!$G$19</f>
        <v>7.3365320640769754E-2</v>
      </c>
      <c r="J3" s="297">
        <f>'Дашборд 03-09.11'!$G$19</f>
        <v>8.4928062578572425E-2</v>
      </c>
      <c r="K3" s="297">
        <f>'Дашборд 27.10-02.11'!$G$19</f>
        <v>6.4888888888888885E-2</v>
      </c>
      <c r="L3" s="297">
        <f>'Дашборд 20-26.10'!$G$17</f>
        <v>0.12556255625562557</v>
      </c>
      <c r="M3" s="297">
        <f>'Дашборд 13-19.10'!$G$17</f>
        <v>0.15547937631317041</v>
      </c>
      <c r="N3" s="297">
        <f>'Дашборд 06-12.10'!G17</f>
        <v>8.9603283173734616E-2</v>
      </c>
      <c r="O3" s="297">
        <f>'Дашборд 01-05.10'!G17</f>
        <v>8.6414947450369803E-2</v>
      </c>
    </row>
    <row r="4" spans="2:15">
      <c r="B4" s="296" t="s">
        <v>208</v>
      </c>
      <c r="C4" s="297">
        <f>'Дашборд 22-31.12'!$G$20</f>
        <v>0.32953964098728489</v>
      </c>
      <c r="D4" s="297">
        <f>'Дашборд 15-21.12'!$G$20</f>
        <v>0.34210081280237176</v>
      </c>
      <c r="E4" s="297">
        <f>'Дашборд 08-14.12'!$G$20</f>
        <v>0.18201156571450924</v>
      </c>
      <c r="F4" s="297">
        <f>'Дашборд 01-07.12'!$G$20</f>
        <v>0.15322395444826184</v>
      </c>
      <c r="G4" s="297">
        <f>'Дашборд 24-30.11'!$G$20</f>
        <v>0.42733380324573217</v>
      </c>
      <c r="H4" s="297">
        <f>'Дашборд 17-23.11'!$G$20</f>
        <v>0.56864193193621315</v>
      </c>
      <c r="I4" s="297">
        <f>'Дашборд 10-16.11'!$G$20</f>
        <v>0.63833040649470296</v>
      </c>
      <c r="J4" s="297">
        <f>'Дашборд 03-09.11'!$G$20</f>
        <v>0.74072085322465342</v>
      </c>
      <c r="K4" s="297">
        <f>'Дашборд 27.10-02.11'!$G$20</f>
        <v>0.69204074622770928</v>
      </c>
      <c r="L4" s="297">
        <f>'Дашборд 20-26.10'!$G$18</f>
        <v>0.69204481162401954</v>
      </c>
      <c r="M4" s="297">
        <f>'Дашборд 13-19.10'!$G$18</f>
        <v>0.55619482709593848</v>
      </c>
      <c r="N4" s="297">
        <f>'Дашборд 06-12.10'!G18</f>
        <v>1.0468865156891243</v>
      </c>
      <c r="O4" s="297">
        <f>'Дашборд 01-05.10'!G18</f>
        <v>0.64043643912853732</v>
      </c>
    </row>
    <row r="5" spans="2:15">
      <c r="B5" s="296" t="s">
        <v>126</v>
      </c>
      <c r="C5" s="297">
        <f>'Дашборд 22-31.12'!$G$22</f>
        <v>3.9055874193223789E-2</v>
      </c>
      <c r="D5" s="297">
        <f>'Дашборд 15-21.12'!$G$22</f>
        <v>5.5486467912425959E-2</v>
      </c>
      <c r="E5" s="297">
        <f>'Дашборд 08-14.12'!$G$22</f>
        <v>6.7593768803904525E-2</v>
      </c>
      <c r="F5" s="297">
        <f>'Дашборд 01-07.12'!$G$22</f>
        <v>0</v>
      </c>
      <c r="G5" s="297">
        <f>'Дашборд 24-30.11'!$G$22</f>
        <v>0.10751984723376416</v>
      </c>
      <c r="H5" s="297">
        <f>'Дашборд 17-23.11'!$G$22</f>
        <v>5.8502070869765305E-2</v>
      </c>
      <c r="I5" s="297">
        <f>'Дашборд 10-16.11'!$G$22</f>
        <v>3.3727313189258701E-2</v>
      </c>
      <c r="J5" s="297">
        <f>'Дашборд 03-09.11'!$G$22</f>
        <v>0</v>
      </c>
      <c r="K5" s="297">
        <f>'Дашборд 27.10-02.11'!$G$22</f>
        <v>0</v>
      </c>
      <c r="L5" s="297">
        <f>'Дашборд 20-26.10'!$G$20</f>
        <v>0</v>
      </c>
      <c r="M5" s="297">
        <f>'Дашборд 13-19.10'!$G$20</f>
        <v>0</v>
      </c>
      <c r="N5" s="297">
        <f>'Дашборд 06-12.10'!G20</f>
        <v>4.8796356538711776E-2</v>
      </c>
      <c r="O5" s="297">
        <f>'Дашборд 01-05.10'!G20</f>
        <v>0.13485794758755817</v>
      </c>
    </row>
    <row r="6" spans="2:15">
      <c r="B6" s="296" t="s">
        <v>311</v>
      </c>
      <c r="C6" s="297">
        <f>'Дашборд 22-31.12'!$G$23</f>
        <v>0.4300000000000001</v>
      </c>
      <c r="D6" s="297">
        <f>'Дашборд 15-21.12'!$G$23</f>
        <v>0.42999999999999994</v>
      </c>
      <c r="E6" s="297">
        <f>'Дашборд 08-14.12'!$G$23</f>
        <v>0.42999999999999994</v>
      </c>
      <c r="F6" s="297">
        <f>'Дашборд 01-07.12'!$G$23</f>
        <v>0.42999999999999988</v>
      </c>
      <c r="G6" s="297">
        <f>'Дашборд 24-30.11'!$G$23</f>
        <v>0.43</v>
      </c>
      <c r="H6" s="297">
        <f>'Дашборд 17-23.11'!$G$23</f>
        <v>0.42795258752367554</v>
      </c>
      <c r="I6" s="297">
        <f>'Дашборд 10-16.11'!$G$23</f>
        <v>0.41578228159066488</v>
      </c>
      <c r="J6" s="297">
        <f>'Дашборд 03-09.11'!$G$23</f>
        <v>0.38</v>
      </c>
      <c r="K6" s="297">
        <f>'Дашборд 27.10-02.11'!$G$23</f>
        <v>0.35771456790123457</v>
      </c>
      <c r="L6" s="297">
        <f>'Дашборд 20-26.10'!$G$21</f>
        <v>0.33486048604860491</v>
      </c>
      <c r="M6" s="297">
        <f>'Дашборд 13-19.10'!$G$21</f>
        <v>0.29973017803826163</v>
      </c>
      <c r="N6" s="297">
        <f>'Дашборд 06-12.10'!G21</f>
        <v>0.261265817373461</v>
      </c>
      <c r="O6" s="297">
        <f>'Дашборд 01-05.10'!G21</f>
        <v>0.25220142255564604</v>
      </c>
    </row>
    <row r="7" spans="2:15">
      <c r="B7" s="299" t="s">
        <v>312</v>
      </c>
      <c r="C7" s="297">
        <f>'Дашборд 22-31.12'!$G$25</f>
        <v>-0.11642302829200396</v>
      </c>
      <c r="D7" s="297">
        <f>'Дашборд 15-21.12'!$G$25</f>
        <v>-1.057916219306384</v>
      </c>
      <c r="E7" s="297">
        <f>'Дашборд 08-14.12'!$G$25</f>
        <v>0.24679927052014666</v>
      </c>
      <c r="F7" s="297">
        <f>'Дашборд 01-07.12'!$G$25</f>
        <v>2.0890589493970713</v>
      </c>
      <c r="G7" s="297">
        <f>'Дашборд 24-30.11'!$G$25</f>
        <v>-1.0637453842551152</v>
      </c>
      <c r="H7" s="297">
        <f>'Дашборд 17-23.11'!$G$25</f>
        <v>-2.7480702762253304</v>
      </c>
      <c r="I7" s="297">
        <f>'Дашборд 10-16.11'!$G$25</f>
        <v>-3.8926561334863847</v>
      </c>
      <c r="J7" s="297">
        <f>'Дашборд 03-09.11'!$G$25</f>
        <v>-5.0291454597493752</v>
      </c>
      <c r="K7" s="297">
        <f>'Дашборд 27.10-02.11'!$G$25</f>
        <v>-0.6563013384321229</v>
      </c>
      <c r="L7" s="297">
        <f>'Дашборд 20-26.10'!$G$23</f>
        <v>-2.5798193903023439</v>
      </c>
      <c r="M7" s="297">
        <f>'Дашборд 13-19.10'!$G$23</f>
        <v>4.0584497631641741</v>
      </c>
      <c r="N7" s="300">
        <f>'Дашборд 06-12.10'!G23</f>
        <v>0.29139813677200055</v>
      </c>
      <c r="O7" s="300">
        <f>'Дашборд 01-05.10'!G23</f>
        <v>-1.1880959232440311</v>
      </c>
    </row>
    <row r="8" spans="2:15">
      <c r="B8" s="299" t="s">
        <v>313</v>
      </c>
      <c r="C8" s="297">
        <f>'Дашборд 22-31.12'!$G$26</f>
        <v>-1.1163575168287193E-2</v>
      </c>
      <c r="D8" s="297">
        <f>'Дашборд 15-21.12'!$G$26</f>
        <v>-0.10426805982695461</v>
      </c>
      <c r="E8" s="297">
        <f>'Дашборд 08-14.12'!$G$26</f>
        <v>2.2814907826291024E-2</v>
      </c>
      <c r="F8" s="297">
        <f>'Дашборд 01-07.12'!$G$26</f>
        <v>0.18559349755067858</v>
      </c>
      <c r="G8" s="297">
        <f>'Дашборд 24-30.11'!$G$26</f>
        <v>-9.0846165556533423E-2</v>
      </c>
      <c r="H8" s="297">
        <f>'Дашборд 17-23.11'!$G$26</f>
        <v>-0.23673667542412583</v>
      </c>
      <c r="I8" s="297">
        <f>'Дашборд 10-16.11'!$G$26</f>
        <v>-0.35667141678182129</v>
      </c>
      <c r="J8" s="297">
        <f>'Дашборд 03-09.11'!$G$26</f>
        <v>-0.49810247076900327</v>
      </c>
      <c r="K8" s="297">
        <f>'Дашборд 27.10-02.11'!$G$26</f>
        <v>-0.13668588722523109</v>
      </c>
      <c r="L8" s="297">
        <f>'Дашборд 20-26.10'!$G$24</f>
        <v>-0.38894231387424466</v>
      </c>
      <c r="M8" s="297">
        <f>'Дашборд 13-19.10'!$G$24</f>
        <v>0.61004204119998107</v>
      </c>
      <c r="N8" s="300">
        <f>'Дашборд 06-12.10'!G24</f>
        <v>4.4814920699384718E-2</v>
      </c>
      <c r="O8" s="300">
        <f>'Дашборд 01-05.10'!G24</f>
        <v>-0.2323045165551979</v>
      </c>
    </row>
    <row r="9" spans="2:15">
      <c r="B9" s="298" t="s">
        <v>212</v>
      </c>
      <c r="C9" s="301">
        <f>'Дашборд 22-31.12'!$E$16</f>
        <v>-1492.5699999999981</v>
      </c>
      <c r="D9" s="301">
        <f>'Дашборд 15-21.12'!$E$16</f>
        <v>-6018.6652173913008</v>
      </c>
      <c r="E9" s="301">
        <f>'Дашборд 08-14.12'!$E$16</f>
        <v>1272.7068181818186</v>
      </c>
      <c r="F9" s="301">
        <f>'Дашборд 01-07.12'!$E$16</f>
        <v>16113.413050847466</v>
      </c>
      <c r="G9" s="301">
        <f>'Дашборд 24-30.11'!$E$16</f>
        <v>-4585.5510526315811</v>
      </c>
      <c r="H9" s="301">
        <f>'Дашборд 17-23.11'!$E$16</f>
        <v>-11624.007500000002</v>
      </c>
      <c r="I9" s="301">
        <f>'Дашборд 10-16.11'!$E$16</f>
        <v>-13938.005625000011</v>
      </c>
      <c r="J9" s="301">
        <f>'Дашборд 03-09.11'!$E$16</f>
        <v>-7131.8311764705886</v>
      </c>
      <c r="K9" s="301">
        <f>'Дашборд 27.10-02.11'!$E$16</f>
        <v>-7332.4751111111109</v>
      </c>
      <c r="L9" s="301">
        <f>'Дашборд 20-26.10'!$E$14</f>
        <v>-6913.8385714285732</v>
      </c>
      <c r="M9" s="301">
        <f>'Дашборд 13-19.10'!$E$14</f>
        <v>11033.220357142858</v>
      </c>
      <c r="N9" s="301">
        <f>'Дашборд 06-12.10'!E14</f>
        <v>1048.3106250000073</v>
      </c>
      <c r="O9" s="301">
        <f>'Дашборд 01-05.10'!E14</f>
        <v>-6564.6933333333363</v>
      </c>
    </row>
    <row r="10" spans="2:15">
      <c r="B10" s="365" t="s">
        <v>304</v>
      </c>
      <c r="C10" s="290"/>
      <c r="D10" s="290"/>
      <c r="E10" s="290"/>
      <c r="F10" s="290"/>
      <c r="G10" s="290"/>
      <c r="H10" s="290"/>
      <c r="I10" s="290"/>
      <c r="J10" s="290"/>
      <c r="K10" s="290"/>
      <c r="L10" s="290"/>
      <c r="M10" s="290"/>
      <c r="N10" s="290"/>
      <c r="O10" s="290"/>
    </row>
    <row r="11" spans="2:15">
      <c r="B11" s="296" t="s">
        <v>29</v>
      </c>
      <c r="C11" s="297" t="e">
        <f>'Дашборд 22-31.12'!$M$19</f>
        <v>#DIV/0!</v>
      </c>
      <c r="D11" s="297">
        <f>'Дашборд 15-21.12'!$M$19</f>
        <v>9.3010769230769244E-2</v>
      </c>
      <c r="E11" s="297">
        <f>'Дашборд 08-14.12'!$M$19</f>
        <v>9.4414943609022556E-2</v>
      </c>
      <c r="F11" s="297">
        <f>'Дашборд 01-07.12'!$M$19</f>
        <v>-0.17600545454545455</v>
      </c>
      <c r="G11" s="297">
        <f>'Дашборд 24-30.11'!$M$19</f>
        <v>0.15342000000000003</v>
      </c>
      <c r="H11" s="297">
        <f>'Дашборд 17-23.11'!$M$19</f>
        <v>0.19407336400817993</v>
      </c>
      <c r="I11" s="297">
        <f>'Дашборд 10-16.11'!$M$19</f>
        <v>8.5996662621359229E-2</v>
      </c>
      <c r="J11" s="297">
        <f>'Дашборд 03-09.11'!$M$19</f>
        <v>9.1958598726114643E-2</v>
      </c>
      <c r="K11" s="297">
        <f>'Дашборд 27.10-02.11'!$M$19</f>
        <v>4.7370827617741196E-2</v>
      </c>
      <c r="L11" s="297">
        <f>'Дашборд 20-26.10'!$M$17</f>
        <v>6.9799063302613693E-2</v>
      </c>
      <c r="M11" s="297">
        <f>'Дашборд 13-19.10'!$M$17</f>
        <v>6.2033314187248709E-2</v>
      </c>
      <c r="N11" s="297">
        <f>'Дашборд 06-12.10'!M17</f>
        <v>7.6712328767123292E-2</v>
      </c>
      <c r="O11" s="297">
        <f>'Дашборд 01-05.10'!M17</f>
        <v>3.4773969200198707E-2</v>
      </c>
    </row>
    <row r="12" spans="2:15">
      <c r="B12" s="296" t="s">
        <v>208</v>
      </c>
      <c r="C12" s="297" t="e">
        <f>'Дашборд 22-31.12'!$M$20</f>
        <v>#DIV/0!</v>
      </c>
      <c r="D12" s="297">
        <f>'Дашборд 15-21.12'!$M$20</f>
        <v>0.1380915050167224</v>
      </c>
      <c r="E12" s="297">
        <f>'Дашборд 08-14.12'!$M$20</f>
        <v>8.7279936346548181E-2</v>
      </c>
      <c r="F12" s="297">
        <f>'Дашборд 01-07.12'!$M$20</f>
        <v>-4.1702372881355934E-2</v>
      </c>
      <c r="G12" s="297">
        <f>'Дашборд 24-30.11'!$M$20</f>
        <v>0.19972315789473685</v>
      </c>
      <c r="H12" s="297">
        <f>'Дашборд 17-23.11'!$M$20</f>
        <v>0.32442005368098165</v>
      </c>
      <c r="I12" s="297">
        <f>'Дашборд 10-16.11'!$M$20</f>
        <v>0.23358537494943368</v>
      </c>
      <c r="J12" s="297">
        <f>'Дашборд 03-09.11'!$M$20</f>
        <v>0.36942420499250656</v>
      </c>
      <c r="K12" s="297">
        <f>'Дашборд 27.10-02.11'!$M$20</f>
        <v>0.24762288269064675</v>
      </c>
      <c r="L12" s="297">
        <f>'Дашборд 20-26.10'!$M$18</f>
        <v>0.28593184123626786</v>
      </c>
      <c r="M12" s="297">
        <f>'Дашборд 13-19.10'!$M$18</f>
        <v>0.23810064735256539</v>
      </c>
      <c r="N12" s="297">
        <f>'Дашборд 06-12.10'!M18</f>
        <v>0.42773008365147092</v>
      </c>
      <c r="O12" s="297">
        <f>'Дашборд 01-05.10'!M18</f>
        <v>0.22476519291273392</v>
      </c>
    </row>
    <row r="13" spans="2:15">
      <c r="B13" s="296" t="s">
        <v>126</v>
      </c>
      <c r="C13" s="297" t="e">
        <f>'Дашборд 22-31.12'!$M$22</f>
        <v>#DIV/0!</v>
      </c>
      <c r="D13" s="297">
        <f>'Дашборд 15-21.12'!$M$22</f>
        <v>0.32150313152400833</v>
      </c>
      <c r="E13" s="297">
        <f>'Дашборд 08-14.12'!$M$22</f>
        <v>0</v>
      </c>
      <c r="F13" s="297">
        <f>'Дашборд 01-07.12'!$M$22</f>
        <v>1.8461538461538463</v>
      </c>
      <c r="G13" s="297">
        <f>'Дашборд 24-30.11'!$M$22</f>
        <v>0.5</v>
      </c>
      <c r="H13" s="297">
        <f>'Дашборд 17-23.11'!$M$22</f>
        <v>0.41278895226658663</v>
      </c>
      <c r="I13" s="297">
        <f>'Дашборд 10-16.11'!$M$22</f>
        <v>0.21759772115841114</v>
      </c>
      <c r="J13" s="297">
        <f>'Дашборд 03-09.11'!$M$22</f>
        <v>0.43621826343105624</v>
      </c>
      <c r="K13" s="297">
        <f>'Дашборд 27.10-02.11'!$M$22</f>
        <v>0.10258514567090685</v>
      </c>
      <c r="L13" s="297">
        <f>'Дашборд 20-26.10'!$M$20</f>
        <v>0.26504552520541863</v>
      </c>
      <c r="M13" s="297">
        <f>'Дашборд 13-19.10'!$M$20</f>
        <v>0.16951173804899655</v>
      </c>
      <c r="N13" s="297">
        <f>'Дашборд 06-12.10'!M20</f>
        <v>7.6524263790958114E-2</v>
      </c>
      <c r="O13" s="297">
        <f>'Дашборд 01-05.10'!M20</f>
        <v>8.3959044368600688E-2</v>
      </c>
    </row>
    <row r="14" spans="2:15">
      <c r="B14" s="296" t="s">
        <v>311</v>
      </c>
      <c r="C14" s="297" t="e">
        <f>'Дашборд 22-31.12'!$M$23</f>
        <v>#DIV/0!</v>
      </c>
      <c r="D14" s="297">
        <f>'Дашборд 15-21.12'!$M$23</f>
        <v>0.43</v>
      </c>
      <c r="E14" s="297">
        <f>'Дашборд 08-14.12'!$M$23</f>
        <v>0.43000000000000005</v>
      </c>
      <c r="F14" s="297">
        <f>'Дашборд 01-07.12'!$M$23</f>
        <v>0.43</v>
      </c>
      <c r="G14" s="297">
        <f>'Дашборд 24-30.11'!$M$23</f>
        <v>0.43</v>
      </c>
      <c r="H14" s="297">
        <f>'Дашборд 17-23.11'!$M$23</f>
        <v>0.46514826175869123</v>
      </c>
      <c r="I14" s="297">
        <f>'Дашборд 10-16.11'!$M$23</f>
        <v>0.43</v>
      </c>
      <c r="J14" s="297">
        <f>'Дашборд 03-09.11'!$M$23</f>
        <v>0.38</v>
      </c>
      <c r="K14" s="297">
        <f>'Дашборд 27.10-02.11'!$M$23</f>
        <v>0.36710928212162774</v>
      </c>
      <c r="L14" s="297">
        <f>'Дашборд 20-26.10'!$M$21</f>
        <v>0.31212569874603413</v>
      </c>
      <c r="M14" s="297">
        <f>'Дашборд 13-19.10'!$M$21</f>
        <v>0.26984327562156396</v>
      </c>
      <c r="N14" s="297">
        <f>'Дашборд 06-12.10'!M21</f>
        <v>0.24000000000000002</v>
      </c>
      <c r="O14" s="297">
        <f>'Дашборд 01-05.10'!M21</f>
        <v>0.24</v>
      </c>
    </row>
    <row r="15" spans="2:15">
      <c r="B15" s="299" t="s">
        <v>312</v>
      </c>
      <c r="C15" s="297" t="e">
        <f>'Дашборд 22-31.12'!$M$25</f>
        <v>#DIV/0!</v>
      </c>
      <c r="D15" s="297">
        <f>'Дашборд 15-21.12'!$M$25</f>
        <v>2.1118416555914186</v>
      </c>
      <c r="E15" s="297">
        <f>'Дашборд 08-14.12'!$M$25</f>
        <v>0.68505137719423426</v>
      </c>
      <c r="F15" s="297">
        <f>'Дашборд 01-07.12'!$M$25</f>
        <v>6.1648124804815039</v>
      </c>
      <c r="G15" s="297">
        <f>'Дашборд 24-30.11'!$M$25</f>
        <v>0.97949131201208839</v>
      </c>
      <c r="H15" s="297">
        <f>'Дашборд 17-23.11'!$M$25</f>
        <v>-0.95935661764705937</v>
      </c>
      <c r="I15" s="297">
        <f>'Дашборд 10-16.11'!$M$25</f>
        <v>0.87332766942474382</v>
      </c>
      <c r="J15" s="297">
        <f>'Дашборд 03-09.11'!$M$25</f>
        <v>8.6830850244027799E-2</v>
      </c>
      <c r="K15" s="297">
        <f>'Дашборд 27.10-02.11'!$M$25</f>
        <v>1.2618751902587524</v>
      </c>
      <c r="L15" s="297">
        <f>'Дашборд 20-26.10'!$M$23</f>
        <v>0.37676651677620238</v>
      </c>
      <c r="M15" s="297">
        <f>'Дашборд 13-19.10'!$M$23</f>
        <v>0.78107773511283429</v>
      </c>
      <c r="N15" s="300">
        <f>'Дашборд 06-12.10'!M23</f>
        <v>0.15162499999999951</v>
      </c>
      <c r="O15" s="300">
        <f>'Дашборд 01-05.10'!M23</f>
        <v>1.1157134183363691</v>
      </c>
    </row>
    <row r="16" spans="2:15">
      <c r="B16" s="299" t="s">
        <v>313</v>
      </c>
      <c r="C16" s="297" t="e">
        <f>'Дашборд 22-31.12'!$M$26</f>
        <v>#DIV/0!</v>
      </c>
      <c r="D16" s="297">
        <f>'Дашборд 15-21.12'!$M$26</f>
        <v>0.22320541806020069</v>
      </c>
      <c r="E16" s="297">
        <f>'Дашборд 08-14.12'!$M$26</f>
        <v>0.15379854109706081</v>
      </c>
      <c r="F16" s="297">
        <f>'Дашборд 01-07.12'!$M$26</f>
        <v>0.66916237288135594</v>
      </c>
      <c r="G16" s="297">
        <f>'Дашборд 24-30.11'!$M$26</f>
        <v>0.10235684210526325</v>
      </c>
      <c r="H16" s="297">
        <f>'Дашборд 17-23.11'!$M$26</f>
        <v>-0.15008339723926389</v>
      </c>
      <c r="I16" s="297">
        <f>'Дашборд 10-16.11'!$M$26</f>
        <v>0.11208058378843042</v>
      </c>
      <c r="J16" s="297">
        <f>'Дашборд 03-09.11'!$M$26</f>
        <v>1.1873565708130394E-2</v>
      </c>
      <c r="K16" s="297">
        <f>'Дашборд 27.10-02.11'!$M$26</f>
        <v>0.1736598240469209</v>
      </c>
      <c r="L16" s="297">
        <f>'Дашборд 20-26.10'!$M$24</f>
        <v>8.8157900416549848E-2</v>
      </c>
      <c r="M16" s="297">
        <f>'Дашборд 13-19.10'!$M$24</f>
        <v>0.18419770334900187</v>
      </c>
      <c r="N16" s="300">
        <f>'Дашборд 06-12.10'!M24</f>
        <v>3.2330549629463183E-2</v>
      </c>
      <c r="O16" s="300">
        <f>'Дашборд 01-05.10'!M24</f>
        <v>0.25864265606888559</v>
      </c>
    </row>
    <row r="17" spans="2:15">
      <c r="B17" s="298" t="s">
        <v>212</v>
      </c>
      <c r="C17" s="301">
        <f>'Дашборд 22-31.12'!$K$16</f>
        <v>-284.7</v>
      </c>
      <c r="D17" s="301">
        <f>'Дашборд 15-21.12'!$K$16</f>
        <v>1450.8352173913045</v>
      </c>
      <c r="E17" s="301">
        <f>'Дашборд 08-14.12'!$K$16</f>
        <v>1309.1331818181816</v>
      </c>
      <c r="F17" s="301">
        <f>'Дашборд 01-07.12'!$K$16</f>
        <v>-3680.3930508474577</v>
      </c>
      <c r="G17" s="301">
        <f>'Дашборд 24-30.11'!$K$16</f>
        <v>614.14105263157944</v>
      </c>
      <c r="H17" s="301">
        <f>'Дашборд 17-23.11'!$K$16</f>
        <v>-1174.2525000000007</v>
      </c>
      <c r="I17" s="301">
        <f>'Дашборд 10-16.11'!$K$16</f>
        <v>2216.5056249999998</v>
      </c>
      <c r="J17" s="301">
        <f>'Дашборд 03-09.11'!$K$16</f>
        <v>238.61117647058839</v>
      </c>
      <c r="K17" s="301">
        <f>'Дашборд 27.10-02.11'!$K$16</f>
        <v>7220.2151111111125</v>
      </c>
      <c r="L17" s="301">
        <f>'Дашборд 20-26.10'!$K$14</f>
        <v>2334.0685714285737</v>
      </c>
      <c r="M17" s="301">
        <f>'Дашборд 13-19.10'!$K$14</f>
        <v>8979.2696428571435</v>
      </c>
      <c r="N17" s="301">
        <f>'Дашборд 06-12.10'!K14</f>
        <v>1439.6793749999954</v>
      </c>
      <c r="O17" s="301">
        <f>'Дашборд 01-05.10'!K14</f>
        <v>10412.953333333333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F30B-9F7C-43BB-81B0-5BE39F7B45B5}">
  <dimension ref="A1:AI153"/>
  <sheetViews>
    <sheetView zoomScale="50" zoomScaleNormal="50" workbookViewId="0">
      <pane xSplit="3" ySplit="2" topLeftCell="F30" activePane="bottomRight" state="frozen"/>
      <selection pane="topRight" activeCell="D1" sqref="D1"/>
      <selection pane="bottomLeft" activeCell="A3" sqref="A3"/>
      <selection pane="bottomRight" activeCell="V9" sqref="V9"/>
    </sheetView>
  </sheetViews>
  <sheetFormatPr defaultColWidth="12.08984375" defaultRowHeight="13.5" outlineLevelRow="1" outlineLevelCol="1"/>
  <cols>
    <col min="1" max="1" width="12.453125" style="155" customWidth="1"/>
    <col min="2" max="2" width="13.81640625" style="155" customWidth="1"/>
    <col min="3" max="3" width="5.7265625" style="156" customWidth="1"/>
    <col min="4" max="4" width="13.6328125" style="157" customWidth="1"/>
    <col min="5" max="5" width="17" style="158" customWidth="1"/>
    <col min="6" max="6" width="10.453125" style="158" customWidth="1"/>
    <col min="7" max="7" width="11.1796875" style="158" customWidth="1"/>
    <col min="8" max="8" width="12.08984375" style="158" customWidth="1"/>
    <col min="9" max="9" width="18.36328125" style="158" customWidth="1"/>
    <col min="10" max="10" width="20.81640625" style="158" customWidth="1"/>
    <col min="11" max="11" width="17.90625" style="158" customWidth="1"/>
    <col min="12" max="14" width="16.54296875" style="158" customWidth="1"/>
    <col min="15" max="15" width="11.36328125" style="158" hidden="1" customWidth="1" outlineLevel="1"/>
    <col min="16" max="16" width="19.7265625" style="158" hidden="1" customWidth="1" outlineLevel="1"/>
    <col min="17" max="17" width="10.26953125" style="158" hidden="1" customWidth="1" outlineLevel="1"/>
    <col min="18" max="18" width="15.81640625" style="158" bestFit="1" customWidth="1" collapsed="1"/>
    <col min="19" max="19" width="14.453125" style="158" customWidth="1"/>
    <col min="20" max="21" width="17.36328125" style="158" customWidth="1"/>
    <col min="22" max="22" width="22.81640625" style="158" customWidth="1"/>
    <col min="23" max="23" width="16.81640625" style="158" customWidth="1"/>
    <col min="24" max="24" width="15.7265625" style="158" customWidth="1"/>
    <col min="25" max="26" width="16.90625" style="158" customWidth="1"/>
    <col min="27" max="27" width="18.26953125" style="158" customWidth="1"/>
    <col min="28" max="28" width="19.54296875" style="122" customWidth="1"/>
    <col min="29" max="30" width="18.26953125" style="122" customWidth="1"/>
    <col min="31" max="16384" width="12.08984375" style="158"/>
  </cols>
  <sheetData>
    <row r="1" spans="1:35" s="116" customFormat="1" ht="19.25" customHeight="1" thickBot="1">
      <c r="A1" s="450" t="s">
        <v>251</v>
      </c>
      <c r="B1" s="451"/>
      <c r="C1" s="451"/>
      <c r="D1" s="452" t="s">
        <v>252</v>
      </c>
      <c r="E1" s="454" t="s">
        <v>253</v>
      </c>
      <c r="F1" s="465" t="s">
        <v>1329</v>
      </c>
      <c r="G1" s="466"/>
      <c r="H1" s="467"/>
      <c r="I1" s="456" t="s">
        <v>32</v>
      </c>
      <c r="J1" s="456"/>
      <c r="K1" s="456"/>
      <c r="L1" s="457" t="s">
        <v>205</v>
      </c>
      <c r="M1" s="448" t="s">
        <v>254</v>
      </c>
      <c r="N1" s="448" t="s">
        <v>255</v>
      </c>
      <c r="O1" s="448" t="s">
        <v>256</v>
      </c>
      <c r="P1" s="448" t="s">
        <v>257</v>
      </c>
      <c r="Q1" s="448" t="s">
        <v>210</v>
      </c>
      <c r="R1" s="448" t="s">
        <v>258</v>
      </c>
      <c r="S1" s="471" t="s">
        <v>259</v>
      </c>
      <c r="T1" s="473" t="s">
        <v>260</v>
      </c>
      <c r="U1" s="471" t="s">
        <v>261</v>
      </c>
      <c r="V1" s="473" t="s">
        <v>262</v>
      </c>
      <c r="W1" s="471" t="s">
        <v>263</v>
      </c>
      <c r="X1" s="457" t="s">
        <v>264</v>
      </c>
      <c r="Y1" s="446" t="s">
        <v>265</v>
      </c>
      <c r="Z1" s="468" t="s">
        <v>266</v>
      </c>
      <c r="AA1" s="470" t="s">
        <v>267</v>
      </c>
      <c r="AB1" s="459" t="s">
        <v>219</v>
      </c>
      <c r="AC1" s="459" t="s">
        <v>220</v>
      </c>
      <c r="AD1" s="459" t="s">
        <v>268</v>
      </c>
      <c r="AF1" s="166" t="s">
        <v>315</v>
      </c>
    </row>
    <row r="2" spans="1:35" s="116" customFormat="1" ht="31" customHeight="1" thickBot="1">
      <c r="A2" s="117" t="s">
        <v>269</v>
      </c>
      <c r="B2" s="117" t="s">
        <v>270</v>
      </c>
      <c r="C2" s="118" t="s">
        <v>271</v>
      </c>
      <c r="D2" s="453"/>
      <c r="E2" s="455"/>
      <c r="F2" s="390" t="s">
        <v>1330</v>
      </c>
      <c r="G2" s="390" t="s">
        <v>31</v>
      </c>
      <c r="H2" s="390" t="s">
        <v>126</v>
      </c>
      <c r="I2" s="119" t="s">
        <v>31</v>
      </c>
      <c r="J2" s="119" t="s">
        <v>126</v>
      </c>
      <c r="K2" s="119" t="s">
        <v>272</v>
      </c>
      <c r="L2" s="458"/>
      <c r="M2" s="449"/>
      <c r="N2" s="449"/>
      <c r="O2" s="449"/>
      <c r="P2" s="449"/>
      <c r="Q2" s="449"/>
      <c r="R2" s="449"/>
      <c r="S2" s="472"/>
      <c r="T2" s="474"/>
      <c r="U2" s="472"/>
      <c r="V2" s="474"/>
      <c r="W2" s="472"/>
      <c r="X2" s="458"/>
      <c r="Y2" s="447"/>
      <c r="Z2" s="469"/>
      <c r="AA2" s="470"/>
      <c r="AB2" s="459"/>
      <c r="AC2" s="459"/>
      <c r="AD2" s="459"/>
      <c r="AF2" s="302" t="s">
        <v>271</v>
      </c>
      <c r="AG2" s="303" t="s">
        <v>316</v>
      </c>
      <c r="AH2" s="304" t="s">
        <v>317</v>
      </c>
      <c r="AI2" s="305" t="s">
        <v>321</v>
      </c>
    </row>
    <row r="3" spans="1:35" s="123" customFormat="1" ht="25.5" customHeight="1">
      <c r="A3" s="462" t="s">
        <v>273</v>
      </c>
      <c r="B3" s="144" t="s">
        <v>281</v>
      </c>
      <c r="C3" s="145"/>
      <c r="D3" s="121"/>
      <c r="E3" s="309">
        <f t="shared" ref="E3:E10" si="0">K3-SUM(M3:U3)+V3+W3</f>
        <v>1314.4500000000044</v>
      </c>
      <c r="F3" s="393">
        <f>АВГУСТ!K$24</f>
        <v>19</v>
      </c>
      <c r="G3" s="393">
        <f>АВГУСТ!P$24</f>
        <v>5</v>
      </c>
      <c r="H3" s="393">
        <f>АВГУСТ!Q$24</f>
        <v>0</v>
      </c>
      <c r="I3" s="310">
        <f>АВГУСТ!S$24</f>
        <v>8513</v>
      </c>
      <c r="J3" s="311">
        <f>АВГУСТ!T$24</f>
        <v>0</v>
      </c>
      <c r="K3" s="311">
        <f t="shared" ref="K3" si="1">I3+J3</f>
        <v>8513</v>
      </c>
      <c r="L3" s="312">
        <f>АВГУСТ!W$24</f>
        <v>649.38</v>
      </c>
      <c r="M3" s="313">
        <f>АВГУСТ!Z$24</f>
        <v>506</v>
      </c>
      <c r="N3" s="312">
        <f>АВГУСТ!X$24</f>
        <v>1702.6</v>
      </c>
      <c r="O3" s="312"/>
      <c r="P3" s="314"/>
      <c r="Q3" s="312"/>
      <c r="R3" s="315">
        <f>АВГУСТ!AA$24</f>
        <v>15668.719999999998</v>
      </c>
      <c r="S3" s="313">
        <v>0</v>
      </c>
      <c r="T3" s="313">
        <v>284.73</v>
      </c>
      <c r="U3" s="313">
        <v>15426.5</v>
      </c>
      <c r="V3" s="315"/>
      <c r="W3" s="375">
        <v>26390</v>
      </c>
      <c r="X3" s="316">
        <f>(K3)*0.01</f>
        <v>85.13</v>
      </c>
      <c r="Y3" s="317">
        <f>K3-SUM(M3:U3)-L3-X3+V3+W3</f>
        <v>579.94000000000233</v>
      </c>
      <c r="Z3" s="460">
        <f>SUM(Y3:Y4)</f>
        <v>579.94000000000233</v>
      </c>
      <c r="AA3" s="122">
        <f>L3/K3</f>
        <v>7.6280982027487371E-2</v>
      </c>
      <c r="AB3" s="122">
        <f>Y3/L3</f>
        <v>0.89306723336105565</v>
      </c>
      <c r="AC3" s="122">
        <f>Y3/K3</f>
        <v>6.8124045577352563E-2</v>
      </c>
      <c r="AD3" s="122">
        <f t="shared" ref="AD3:AD35" si="2">R3/K3</f>
        <v>1.8405638435334193</v>
      </c>
      <c r="AF3" s="306" t="s">
        <v>314</v>
      </c>
      <c r="AG3" s="307">
        <f>(K3+K4)/1000</f>
        <v>8.5129999999999999</v>
      </c>
      <c r="AH3" s="307">
        <f>K3/1000</f>
        <v>8.5129999999999999</v>
      </c>
      <c r="AI3" s="307">
        <f>K4/1000</f>
        <v>0</v>
      </c>
    </row>
    <row r="4" spans="1:35" s="123" customFormat="1" ht="25.75" customHeight="1" thickBot="1">
      <c r="A4" s="463"/>
      <c r="B4" s="125" t="s">
        <v>770</v>
      </c>
      <c r="C4" s="126"/>
      <c r="D4" s="127"/>
      <c r="E4" s="366">
        <f t="shared" si="0"/>
        <v>0</v>
      </c>
      <c r="F4" s="394">
        <f>АВГУСТ!K$47</f>
        <v>0</v>
      </c>
      <c r="G4" s="394">
        <f>АВГУСТ!P$47</f>
        <v>0</v>
      </c>
      <c r="H4" s="394">
        <f>АВГУСТ!Q$47</f>
        <v>0</v>
      </c>
      <c r="I4" s="367">
        <f>АВГУСТ!S$47</f>
        <v>0</v>
      </c>
      <c r="J4" s="368">
        <f>АВГУСТ!T$47</f>
        <v>0</v>
      </c>
      <c r="K4" s="368">
        <f>I4+J4</f>
        <v>0</v>
      </c>
      <c r="L4" s="369">
        <f>АВГУСТ!W$47</f>
        <v>0</v>
      </c>
      <c r="M4" s="370">
        <f>АВГУСТ!Z$47</f>
        <v>0</v>
      </c>
      <c r="N4" s="369">
        <f>АВГУСТ!X$47</f>
        <v>0</v>
      </c>
      <c r="O4" s="369"/>
      <c r="P4" s="371"/>
      <c r="Q4" s="369"/>
      <c r="R4" s="372">
        <f>АВГУСТ!AA$47</f>
        <v>0</v>
      </c>
      <c r="S4" s="370"/>
      <c r="T4" s="370"/>
      <c r="U4" s="370"/>
      <c r="V4" s="372"/>
      <c r="W4" s="370"/>
      <c r="X4" s="373">
        <f>(K4)*0.01</f>
        <v>0</v>
      </c>
      <c r="Y4" s="374">
        <f t="shared" ref="Y4:Y10" si="3">K4-SUM(M4:U4)-L4-X4+V4+W4</f>
        <v>0</v>
      </c>
      <c r="Z4" s="461"/>
      <c r="AA4" s="122" t="e">
        <f>L4/K4</f>
        <v>#DIV/0!</v>
      </c>
      <c r="AB4" s="122" t="e">
        <f>Y4/L4</f>
        <v>#DIV/0!</v>
      </c>
      <c r="AC4" s="122" t="e">
        <f>Y4/K4</f>
        <v>#DIV/0!</v>
      </c>
      <c r="AD4" s="122" t="e">
        <f t="shared" si="2"/>
        <v>#DIV/0!</v>
      </c>
      <c r="AF4" s="308" t="s">
        <v>318</v>
      </c>
      <c r="AG4" s="307">
        <f>(K5+K6)/1000</f>
        <v>164.68199999999996</v>
      </c>
      <c r="AH4" s="307">
        <f>K5/1000</f>
        <v>133.33199999999997</v>
      </c>
      <c r="AI4" s="307">
        <f>K6/1000</f>
        <v>31.35</v>
      </c>
    </row>
    <row r="5" spans="1:35" s="123" customFormat="1" ht="25.75" customHeight="1">
      <c r="A5" s="462" t="s">
        <v>274</v>
      </c>
      <c r="B5" s="144" t="s">
        <v>282</v>
      </c>
      <c r="C5" s="145"/>
      <c r="D5" s="121"/>
      <c r="E5" s="309">
        <f t="shared" si="0"/>
        <v>59471.660847457562</v>
      </c>
      <c r="F5" s="393">
        <f>СЕНТЯБРЬ!K$24</f>
        <v>197</v>
      </c>
      <c r="G5" s="393">
        <f>СЕНТЯБРЬ!P$24</f>
        <v>108</v>
      </c>
      <c r="H5" s="393">
        <f>СЕНТЯБРЬ!Q$24</f>
        <v>5</v>
      </c>
      <c r="I5" s="310">
        <f>СЕНТЯБРЬ!S$24</f>
        <v>139999.99999999997</v>
      </c>
      <c r="J5" s="311">
        <f>СЕНТЯБРЬ!T$24</f>
        <v>-6668</v>
      </c>
      <c r="K5" s="311">
        <f t="shared" ref="K5" si="4">I5+J5</f>
        <v>133331.99999999997</v>
      </c>
      <c r="L5" s="312">
        <f>СЕНТЯБРЬ!W$24</f>
        <v>17238.88</v>
      </c>
      <c r="M5" s="313">
        <f>СЕНТЯБРЬ!Z$24</f>
        <v>10852</v>
      </c>
      <c r="N5" s="312">
        <f>СЕНТЯБРЬ!X$24</f>
        <v>28418.520000000011</v>
      </c>
      <c r="O5" s="312"/>
      <c r="P5" s="314"/>
      <c r="Q5" s="312"/>
      <c r="R5" s="315">
        <f>СЕНТЯБРЬ!AA$24</f>
        <v>94178.709152542389</v>
      </c>
      <c r="S5" s="313">
        <v>10</v>
      </c>
      <c r="T5" s="313">
        <v>3767.91</v>
      </c>
      <c r="U5" s="313">
        <v>14633.2</v>
      </c>
      <c r="V5" s="315"/>
      <c r="W5" s="375">
        <v>78000</v>
      </c>
      <c r="X5" s="316">
        <f>(K5)*0.01</f>
        <v>1333.3199999999997</v>
      </c>
      <c r="Y5" s="317">
        <f t="shared" si="3"/>
        <v>40899.460847457558</v>
      </c>
      <c r="Z5" s="460">
        <f>SUM(Y5:Y6)</f>
        <v>47356.309999999925</v>
      </c>
      <c r="AA5" s="122">
        <f>L5/K5</f>
        <v>0.12929289292892931</v>
      </c>
      <c r="AB5" s="122">
        <f>Y5/L5</f>
        <v>2.3725126485860772</v>
      </c>
      <c r="AC5" s="122">
        <f>Y5/K5</f>
        <v>0.3067490238461702</v>
      </c>
      <c r="AD5" s="122">
        <f t="shared" si="2"/>
        <v>0.70634738211788928</v>
      </c>
      <c r="AF5" s="308" t="s">
        <v>319</v>
      </c>
      <c r="AG5" s="307">
        <f>(K7+K8)/1000</f>
        <v>68.519000000000005</v>
      </c>
      <c r="AH5" s="307">
        <f>K7/1000</f>
        <v>28.258999999999997</v>
      </c>
      <c r="AI5" s="307">
        <f>K8/1000</f>
        <v>40.26</v>
      </c>
    </row>
    <row r="6" spans="1:35" s="123" customFormat="1" ht="25.75" customHeight="1" thickBot="1">
      <c r="A6" s="463"/>
      <c r="B6" s="125" t="s">
        <v>283</v>
      </c>
      <c r="C6" s="126"/>
      <c r="D6" s="127"/>
      <c r="E6" s="366">
        <f t="shared" si="0"/>
        <v>13757.349152542371</v>
      </c>
      <c r="F6" s="394">
        <f>СЕНТЯБРЬ!K$47</f>
        <v>42</v>
      </c>
      <c r="G6" s="394">
        <f>СЕНТЯБРЬ!P$47</f>
        <v>10</v>
      </c>
      <c r="H6" s="394">
        <f>СЕНТЯБРЬ!Q$47</f>
        <v>1</v>
      </c>
      <c r="I6" s="367">
        <f>СЕНТЯБРЬ!S$47</f>
        <v>35040</v>
      </c>
      <c r="J6" s="368">
        <f>СЕНТЯБРЬ!T$47</f>
        <v>-3690</v>
      </c>
      <c r="K6" s="368">
        <f>I6+J6</f>
        <v>31350</v>
      </c>
      <c r="L6" s="369">
        <f>СЕНТЯБРЬ!W$47</f>
        <v>6987</v>
      </c>
      <c r="M6" s="370">
        <f>СЕНТЯБРЬ!Z$47</f>
        <v>2408</v>
      </c>
      <c r="N6" s="369">
        <f>СЕНТЯБРЬ!X$47</f>
        <v>6464.4000000000005</v>
      </c>
      <c r="O6" s="369"/>
      <c r="P6" s="371"/>
      <c r="Q6" s="369"/>
      <c r="R6" s="372">
        <f>СЕНТЯБРЬ!AA$47</f>
        <v>8720.250847457628</v>
      </c>
      <c r="S6" s="370"/>
      <c r="T6" s="370"/>
      <c r="U6" s="370"/>
      <c r="V6" s="372"/>
      <c r="W6" s="370"/>
      <c r="X6" s="373">
        <f>(K6)*0.01</f>
        <v>313.5</v>
      </c>
      <c r="Y6" s="374">
        <f t="shared" si="3"/>
        <v>6456.8491525423706</v>
      </c>
      <c r="Z6" s="461"/>
      <c r="AA6" s="122">
        <f>L6/K6</f>
        <v>0.22287081339712919</v>
      </c>
      <c r="AB6" s="122">
        <f>Y6/L6</f>
        <v>0.92412325068589818</v>
      </c>
      <c r="AC6" s="122">
        <f>Y6/K6</f>
        <v>0.20596010055956526</v>
      </c>
      <c r="AD6" s="122">
        <f t="shared" si="2"/>
        <v>0.27815792176898335</v>
      </c>
      <c r="AF6" s="308" t="s">
        <v>320</v>
      </c>
      <c r="AG6" s="307">
        <f>(K9+K10)/1000</f>
        <v>67.921999999999997</v>
      </c>
      <c r="AH6" s="307">
        <f>K9/1000</f>
        <v>23.391999999999999</v>
      </c>
      <c r="AI6" s="307">
        <f>K10/1000</f>
        <v>44.53</v>
      </c>
    </row>
    <row r="7" spans="1:35" s="123" customFormat="1" ht="25.75" customHeight="1">
      <c r="A7" s="462" t="s">
        <v>275</v>
      </c>
      <c r="B7" s="120" t="s">
        <v>284</v>
      </c>
      <c r="C7" s="270"/>
      <c r="D7" s="271"/>
      <c r="E7" s="309">
        <f t="shared" si="0"/>
        <v>-756.71333333333678</v>
      </c>
      <c r="F7" s="393">
        <f>'Юнит 01-05.10'!K$24</f>
        <v>25</v>
      </c>
      <c r="G7" s="393">
        <f>'Юнит 01-05.10'!P$24</f>
        <v>26</v>
      </c>
      <c r="H7" s="393">
        <f>'Юнит 01-05.10'!Q$24</f>
        <v>2</v>
      </c>
      <c r="I7" s="310">
        <f>'Юнит 01-05.10'!S$24</f>
        <v>32663.999999999996</v>
      </c>
      <c r="J7" s="311">
        <f>'Юнит 01-05.10'!T$24</f>
        <v>-4405</v>
      </c>
      <c r="K7" s="311">
        <f t="shared" ref="K7" si="5">I7+J7</f>
        <v>28258.999999999996</v>
      </c>
      <c r="L7" s="312">
        <f>'Юнит 01-05.10'!W$24</f>
        <v>5525.3899999999994</v>
      </c>
      <c r="M7" s="313">
        <f>'Юнит 01-05.10'!Z$24</f>
        <v>2442</v>
      </c>
      <c r="N7" s="312">
        <f>'Юнит 01-05.10'!X$24</f>
        <v>7126.96</v>
      </c>
      <c r="O7" s="312"/>
      <c r="P7" s="314"/>
      <c r="Q7" s="312"/>
      <c r="R7" s="315">
        <f>'Юнит 01-05.10'!AA$24</f>
        <v>18098.093333333334</v>
      </c>
      <c r="S7" s="313">
        <v>10</v>
      </c>
      <c r="T7" s="313">
        <v>1338.66</v>
      </c>
      <c r="U7" s="313">
        <v>0</v>
      </c>
      <c r="V7" s="315"/>
      <c r="W7" s="313"/>
      <c r="X7" s="316">
        <f>(K7)*0.01</f>
        <v>282.58999999999997</v>
      </c>
      <c r="Y7" s="317">
        <f t="shared" si="3"/>
        <v>-6564.6933333333363</v>
      </c>
      <c r="Z7" s="460">
        <f>SUM(Y7:Y16)</f>
        <v>20856.72</v>
      </c>
      <c r="AA7" s="122">
        <f>L7/K7</f>
        <v>0.19552673484553593</v>
      </c>
      <c r="AB7" s="122">
        <f>Y7/L7</f>
        <v>-1.1880959232440311</v>
      </c>
      <c r="AC7" s="122">
        <f>Y7/K7</f>
        <v>-0.2323045165551979</v>
      </c>
      <c r="AD7" s="122">
        <f t="shared" si="2"/>
        <v>0.64043643912853732</v>
      </c>
      <c r="AF7" s="308" t="s">
        <v>947</v>
      </c>
      <c r="AG7" s="307">
        <f>(K11+K12)/1000</f>
        <v>66.834000000000003</v>
      </c>
      <c r="AH7" s="307">
        <f>K11/1000</f>
        <v>18.085999999999999</v>
      </c>
      <c r="AI7" s="307">
        <f>K12/1000</f>
        <v>48.747999999999998</v>
      </c>
    </row>
    <row r="8" spans="1:35" s="123" customFormat="1" ht="25.75" customHeight="1">
      <c r="A8" s="464"/>
      <c r="B8" s="272" t="s">
        <v>285</v>
      </c>
      <c r="C8" s="132"/>
      <c r="D8" s="133"/>
      <c r="E8" s="134">
        <f t="shared" si="0"/>
        <v>20148.553333333333</v>
      </c>
      <c r="F8" s="395">
        <f>'Юнит 01-05.10'!K$47</f>
        <v>44</v>
      </c>
      <c r="G8" s="395">
        <f>'Юнит 01-05.10'!P$47</f>
        <v>13</v>
      </c>
      <c r="H8" s="395">
        <f>'Юнит 01-05.10'!Q$47</f>
        <v>1</v>
      </c>
      <c r="I8" s="135">
        <f>'Юнит 01-05.10'!S$47</f>
        <v>43950</v>
      </c>
      <c r="J8" s="136">
        <f>'Юнит 01-05.10'!T$47</f>
        <v>-3690</v>
      </c>
      <c r="K8" s="136">
        <f>I8+J8</f>
        <v>40260</v>
      </c>
      <c r="L8" s="138">
        <f>'Юнит 01-05.10'!W$47</f>
        <v>9333</v>
      </c>
      <c r="M8" s="137">
        <f>'Юнит 01-05.10'!Z$47</f>
        <v>1400</v>
      </c>
      <c r="N8" s="138">
        <f>'Юнит 01-05.10'!X$47</f>
        <v>9662.4</v>
      </c>
      <c r="O8" s="138"/>
      <c r="P8" s="139"/>
      <c r="Q8" s="138"/>
      <c r="R8" s="140">
        <f>'Юнит 01-05.10'!AA$47</f>
        <v>9049.0466666666671</v>
      </c>
      <c r="S8" s="137"/>
      <c r="T8" s="137"/>
      <c r="U8" s="137"/>
      <c r="V8" s="140"/>
      <c r="W8" s="137"/>
      <c r="X8" s="191">
        <f>(K8)*0.01</f>
        <v>402.6</v>
      </c>
      <c r="Y8" s="141">
        <f t="shared" si="3"/>
        <v>10412.953333333333</v>
      </c>
      <c r="Z8" s="475"/>
      <c r="AA8" s="122">
        <f t="shared" ref="AA8:AA14" si="6">L8/K8</f>
        <v>0.23181818181818181</v>
      </c>
      <c r="AB8" s="122">
        <f t="shared" ref="AB8:AB14" si="7">Y8/L8</f>
        <v>1.1157134183363691</v>
      </c>
      <c r="AC8" s="122">
        <f t="shared" ref="AC8:AC14" si="8">Y8/K8</f>
        <v>0.25864265606888559</v>
      </c>
      <c r="AD8" s="122">
        <f t="shared" ref="AD8:AD14" si="9">R8/K8</f>
        <v>0.22476519291273392</v>
      </c>
      <c r="AF8" s="308" t="s">
        <v>948</v>
      </c>
      <c r="AG8" s="307">
        <f>(K13+K14)/1000</f>
        <v>44.252000000000002</v>
      </c>
      <c r="AH8" s="307">
        <f>K13/1000</f>
        <v>17.776</v>
      </c>
      <c r="AI8" s="307">
        <f>K14/1000</f>
        <v>26.475999999999999</v>
      </c>
    </row>
    <row r="9" spans="1:35" s="123" customFormat="1" ht="25.75" customHeight="1">
      <c r="A9" s="464"/>
      <c r="B9" s="274" t="s">
        <v>286</v>
      </c>
      <c r="C9" s="124"/>
      <c r="D9" s="286"/>
      <c r="E9" s="275">
        <f t="shared" si="0"/>
        <v>4879.7506250000079</v>
      </c>
      <c r="F9" s="393">
        <f>'Юнит 06-12.10'!K$24</f>
        <v>41</v>
      </c>
      <c r="G9" s="393">
        <f>'Юнит 06-12.10'!P$24</f>
        <v>18</v>
      </c>
      <c r="H9" s="393">
        <f>'Юнит 06-12.10'!Q$24</f>
        <v>1</v>
      </c>
      <c r="I9" s="276">
        <f>'Юнит 06-12.10'!S$24</f>
        <v>24592</v>
      </c>
      <c r="J9" s="277">
        <f>'Юнит 06-12.10'!T$24</f>
        <v>-1200</v>
      </c>
      <c r="K9" s="277">
        <f t="shared" ref="K9" si="10">I9+J9</f>
        <v>23392</v>
      </c>
      <c r="L9" s="278">
        <f>'Юнит 06-12.10'!W$24</f>
        <v>3597.5199999999995</v>
      </c>
      <c r="M9" s="279">
        <f>'Юнит 06-12.10'!Z$24</f>
        <v>2096</v>
      </c>
      <c r="N9" s="278">
        <f>'Юнит 06-12.10'!X$24</f>
        <v>6111.53</v>
      </c>
      <c r="O9" s="278"/>
      <c r="P9" s="280"/>
      <c r="Q9" s="278"/>
      <c r="R9" s="281">
        <f>'Юнит 06-12.10'!AA$24</f>
        <v>24488.769374999996</v>
      </c>
      <c r="S9" s="279">
        <v>10</v>
      </c>
      <c r="T9" s="279">
        <v>1805.95</v>
      </c>
      <c r="U9" s="279">
        <v>0</v>
      </c>
      <c r="V9" s="281"/>
      <c r="W9" s="318">
        <v>16000</v>
      </c>
      <c r="X9" s="282">
        <f>(K9)*0.01</f>
        <v>233.92000000000002</v>
      </c>
      <c r="Y9" s="287">
        <f t="shared" si="3"/>
        <v>1048.3106250000073</v>
      </c>
      <c r="Z9" s="475"/>
      <c r="AA9" s="122">
        <f t="shared" si="6"/>
        <v>0.15379274965800271</v>
      </c>
      <c r="AB9" s="122">
        <f t="shared" si="7"/>
        <v>0.29139813677200055</v>
      </c>
      <c r="AC9" s="122">
        <f t="shared" si="8"/>
        <v>4.4814920699384718E-2</v>
      </c>
      <c r="AD9" s="122">
        <f t="shared" si="9"/>
        <v>1.0468865156891243</v>
      </c>
      <c r="AF9" s="308" t="s">
        <v>1051</v>
      </c>
      <c r="AG9" s="307">
        <f>(K15+K16+K17+K18)/1000</f>
        <v>63.99</v>
      </c>
      <c r="AH9" s="307">
        <f>(K15+K17)/1000</f>
        <v>20.25</v>
      </c>
      <c r="AI9" s="307">
        <f>(K16+K18)/1000</f>
        <v>43.74</v>
      </c>
    </row>
    <row r="10" spans="1:35" s="123" customFormat="1" ht="25.75" customHeight="1">
      <c r="A10" s="464"/>
      <c r="B10" s="131" t="s">
        <v>287</v>
      </c>
      <c r="C10" s="273"/>
      <c r="D10" s="133"/>
      <c r="E10" s="134">
        <f t="shared" si="0"/>
        <v>11379.979374999995</v>
      </c>
      <c r="F10" s="395">
        <f>'Юнит 06-12.10'!K$47</f>
        <v>32</v>
      </c>
      <c r="G10" s="395">
        <f>'Юнит 06-12.10'!P$47</f>
        <v>14</v>
      </c>
      <c r="H10" s="395">
        <f>'Юнит 06-12.10'!Q$47</f>
        <v>1</v>
      </c>
      <c r="I10" s="135">
        <f>'Юнит 06-12.10'!S$47</f>
        <v>48220</v>
      </c>
      <c r="J10" s="136">
        <f>'Юнит 06-12.10'!T$47</f>
        <v>-3690</v>
      </c>
      <c r="K10" s="136">
        <f>I10+J10</f>
        <v>44530</v>
      </c>
      <c r="L10" s="138">
        <f>'Юнит 06-12.10'!W$47</f>
        <v>9495</v>
      </c>
      <c r="M10" s="137">
        <f>'Юнит 06-12.10'!Z$47</f>
        <v>3416</v>
      </c>
      <c r="N10" s="138">
        <f>'Юнит 06-12.10'!X$47</f>
        <v>10687.2</v>
      </c>
      <c r="O10" s="138"/>
      <c r="P10" s="139"/>
      <c r="Q10" s="138"/>
      <c r="R10" s="140">
        <f>'Юнит 06-12.10'!AA$47</f>
        <v>19046.820625</v>
      </c>
      <c r="S10" s="137"/>
      <c r="T10" s="137"/>
      <c r="U10" s="137"/>
      <c r="V10" s="140"/>
      <c r="W10" s="137"/>
      <c r="X10" s="191">
        <f>(K10)*0.01</f>
        <v>445.3</v>
      </c>
      <c r="Y10" s="141">
        <f t="shared" si="3"/>
        <v>1439.6793749999954</v>
      </c>
      <c r="Z10" s="475"/>
      <c r="AA10" s="122">
        <f t="shared" si="6"/>
        <v>0.21322703795194251</v>
      </c>
      <c r="AB10" s="122">
        <f>Y10/L10</f>
        <v>0.15162499999999951</v>
      </c>
      <c r="AC10" s="122">
        <f t="shared" si="8"/>
        <v>3.2330549629463183E-2</v>
      </c>
      <c r="AD10" s="122">
        <f t="shared" si="9"/>
        <v>0.42773008365147092</v>
      </c>
      <c r="AF10" s="308" t="s">
        <v>1128</v>
      </c>
      <c r="AG10" s="307">
        <f>(K19+K20)/1000</f>
        <v>34.414000000000001</v>
      </c>
      <c r="AH10" s="307">
        <f>(K19)/1000</f>
        <v>14.318</v>
      </c>
      <c r="AI10" s="307">
        <f>(K20)/1000</f>
        <v>20.096</v>
      </c>
    </row>
    <row r="11" spans="1:35" s="123" customFormat="1" ht="25.75" customHeight="1">
      <c r="A11" s="464"/>
      <c r="B11" s="274" t="s">
        <v>288</v>
      </c>
      <c r="C11" s="288"/>
      <c r="D11" s="286"/>
      <c r="E11" s="275">
        <f t="shared" ref="E11:E12" si="11">K11-SUM(M11:U11)+V11+W11</f>
        <v>13932.660357142857</v>
      </c>
      <c r="F11" s="393">
        <f>'Юнит 13-19.10'!K$24</f>
        <v>26</v>
      </c>
      <c r="G11" s="393">
        <f>'Юнит 13-19.10'!P$24</f>
        <v>13</v>
      </c>
      <c r="H11" s="393">
        <f>'Юнит 13-19.10'!Q$24</f>
        <v>0</v>
      </c>
      <c r="I11" s="276">
        <f>'Юнит 13-19.10'!S$24</f>
        <v>18086</v>
      </c>
      <c r="J11" s="277">
        <f>'Юнит 13-19.10'!T$24</f>
        <v>0</v>
      </c>
      <c r="K11" s="277">
        <f t="shared" ref="K11" si="12">I11+J11</f>
        <v>18086</v>
      </c>
      <c r="L11" s="278">
        <f>'Юнит 13-19.10'!W$24</f>
        <v>2718.5799999999995</v>
      </c>
      <c r="M11" s="279">
        <f>'Юнит 13-19.10'!Z$24</f>
        <v>2812</v>
      </c>
      <c r="N11" s="278">
        <f>'Юнит 13-19.10'!X$24</f>
        <v>5420.92</v>
      </c>
      <c r="O11" s="278"/>
      <c r="P11" s="280"/>
      <c r="Q11" s="278"/>
      <c r="R11" s="281">
        <f>'Юнит 13-19.10'!AA$24</f>
        <v>10059.339642857143</v>
      </c>
      <c r="S11" s="279">
        <v>174</v>
      </c>
      <c r="T11" s="279">
        <v>1687.08</v>
      </c>
      <c r="U11" s="279">
        <v>0</v>
      </c>
      <c r="V11" s="281"/>
      <c r="W11" s="318">
        <v>16000</v>
      </c>
      <c r="X11" s="282">
        <f>(K11)*0.01</f>
        <v>180.86</v>
      </c>
      <c r="Y11" s="287">
        <f>K11-SUM(M11:U11)-L11-X11+V11+W11</f>
        <v>11033.220357142858</v>
      </c>
      <c r="Z11" s="475"/>
      <c r="AA11" s="122">
        <f t="shared" si="6"/>
        <v>0.15031405507022003</v>
      </c>
      <c r="AB11" s="122">
        <f t="shared" si="7"/>
        <v>4.0584497631641741</v>
      </c>
      <c r="AC11" s="122">
        <f t="shared" si="8"/>
        <v>0.61004204119998107</v>
      </c>
      <c r="AD11" s="122">
        <f t="shared" si="9"/>
        <v>0.55619482709593848</v>
      </c>
      <c r="AF11" s="308" t="s">
        <v>1221</v>
      </c>
      <c r="AG11" s="307">
        <f>(K21+K22)/1000</f>
        <v>58.853999999999992</v>
      </c>
      <c r="AH11" s="307">
        <f>(K21)/1000</f>
        <v>39.077999999999996</v>
      </c>
      <c r="AI11" s="307">
        <f>(K22)/1000</f>
        <v>19.776</v>
      </c>
    </row>
    <row r="12" spans="1:35" s="123" customFormat="1" ht="25.75" customHeight="1">
      <c r="A12" s="464"/>
      <c r="B12" s="131" t="s">
        <v>289</v>
      </c>
      <c r="C12" s="132"/>
      <c r="D12" s="133"/>
      <c r="E12" s="134">
        <f t="shared" si="11"/>
        <v>20962.749642857143</v>
      </c>
      <c r="F12" s="395">
        <f>'Юнит 13-19.10'!K$47</f>
        <v>17</v>
      </c>
      <c r="G12" s="395">
        <f>'Юнит 13-19.10'!P$47</f>
        <v>15</v>
      </c>
      <c r="H12" s="395">
        <f>'Юнит 13-19.10'!Q$47</f>
        <v>3</v>
      </c>
      <c r="I12" s="135">
        <f>'Юнит 13-19.10'!S$47</f>
        <v>58698</v>
      </c>
      <c r="J12" s="136">
        <f>'Юнит 13-19.10'!T$47</f>
        <v>-9950</v>
      </c>
      <c r="K12" s="136">
        <f>I12+J12</f>
        <v>48748</v>
      </c>
      <c r="L12" s="138">
        <f>'Юнит 13-19.10'!W$47</f>
        <v>11496</v>
      </c>
      <c r="M12" s="137">
        <f>'Юнит 13-19.10'!Z$47</f>
        <v>3024</v>
      </c>
      <c r="N12" s="138">
        <f>'Юнит 13-19.10'!X$47</f>
        <v>13154.32</v>
      </c>
      <c r="O12" s="138"/>
      <c r="P12" s="139"/>
      <c r="Q12" s="138"/>
      <c r="R12" s="140">
        <f>'Юнит 13-19.10'!AA$47</f>
        <v>11606.930357142857</v>
      </c>
      <c r="S12" s="137"/>
      <c r="T12" s="137"/>
      <c r="U12" s="137"/>
      <c r="V12" s="140"/>
      <c r="W12" s="137"/>
      <c r="X12" s="191">
        <f>(K12)*0.01</f>
        <v>487.48</v>
      </c>
      <c r="Y12" s="141">
        <f t="shared" ref="Y12" si="13">K12-SUM(M12:U12)-L12-X12+V12+W12</f>
        <v>8979.2696428571435</v>
      </c>
      <c r="Z12" s="475"/>
      <c r="AA12" s="122">
        <f t="shared" si="6"/>
        <v>0.2358250594896201</v>
      </c>
      <c r="AB12" s="122">
        <f t="shared" si="7"/>
        <v>0.78107773511283429</v>
      </c>
      <c r="AC12" s="122">
        <f t="shared" si="8"/>
        <v>0.18419770334900187</v>
      </c>
      <c r="AD12" s="122">
        <f t="shared" si="9"/>
        <v>0.23810064735256539</v>
      </c>
      <c r="AF12" s="308" t="s">
        <v>1331</v>
      </c>
      <c r="AG12" s="307">
        <f>(K23+K24)/1000</f>
        <v>56.924999999999997</v>
      </c>
      <c r="AH12" s="307">
        <f>(K23)/1000</f>
        <v>49.100999999999999</v>
      </c>
      <c r="AI12" s="307">
        <f>(K24)/1000</f>
        <v>7.8239999999999998</v>
      </c>
    </row>
    <row r="13" spans="1:35" s="123" customFormat="1" ht="25.75" customHeight="1">
      <c r="A13" s="464"/>
      <c r="B13" s="274" t="s">
        <v>290</v>
      </c>
      <c r="C13" s="288"/>
      <c r="D13" s="286"/>
      <c r="E13" s="275">
        <f t="shared" ref="E13:E14" si="14">K13-SUM(M13:U13)+V13+W13</f>
        <v>-4056.1085714285728</v>
      </c>
      <c r="F13" s="393">
        <f>'Юнит 20-26.10'!K$24</f>
        <v>20</v>
      </c>
      <c r="G13" s="393">
        <f>'Юнит 20-26.10'!P$24</f>
        <v>13</v>
      </c>
      <c r="H13" s="393">
        <f>'Юнит 20-26.10'!Q$24</f>
        <v>0</v>
      </c>
      <c r="I13" s="276">
        <f>'Юнит 20-26.10'!S$24</f>
        <v>17776</v>
      </c>
      <c r="J13" s="277">
        <f>'Юнит 20-26.10'!T$24</f>
        <v>0</v>
      </c>
      <c r="K13" s="277">
        <f t="shared" ref="K13" si="15">I13+J13</f>
        <v>17776</v>
      </c>
      <c r="L13" s="278">
        <f>'Юнит 20-26.10'!W$24</f>
        <v>2679.9700000000003</v>
      </c>
      <c r="M13" s="279">
        <f>'Юнит 20-26.10'!Z$24</f>
        <v>2232</v>
      </c>
      <c r="N13" s="278">
        <f>'Юнит 20-26.10'!X$24</f>
        <v>5952.4800000000005</v>
      </c>
      <c r="O13" s="278"/>
      <c r="P13" s="280"/>
      <c r="Q13" s="278"/>
      <c r="R13" s="281">
        <f>'Юнит 20-26.10'!AA$24</f>
        <v>12301.788571428571</v>
      </c>
      <c r="S13" s="279">
        <v>20</v>
      </c>
      <c r="T13" s="279">
        <v>1325.84</v>
      </c>
      <c r="U13" s="279">
        <v>0</v>
      </c>
      <c r="V13" s="281"/>
      <c r="W13" s="318"/>
      <c r="X13" s="282">
        <f>(K13)*0.01</f>
        <v>177.76</v>
      </c>
      <c r="Y13" s="287">
        <f>K13-SUM(M13:U13)-L13-X13+V13+W13</f>
        <v>-6913.8385714285732</v>
      </c>
      <c r="Z13" s="475"/>
      <c r="AA13" s="122">
        <f t="shared" si="6"/>
        <v>0.1507633888388839</v>
      </c>
      <c r="AB13" s="122">
        <f t="shared" si="7"/>
        <v>-2.5798193903023439</v>
      </c>
      <c r="AC13" s="122">
        <f t="shared" si="8"/>
        <v>-0.38894231387424466</v>
      </c>
      <c r="AD13" s="122">
        <f t="shared" si="9"/>
        <v>0.69204481162401954</v>
      </c>
      <c r="AF13" s="308" t="s">
        <v>1431</v>
      </c>
      <c r="AG13" s="307">
        <f>(K25+K26)/1000</f>
        <v>56.475999999999999</v>
      </c>
      <c r="AH13" s="307">
        <f>(K25)/1000</f>
        <v>50.475999999999999</v>
      </c>
      <c r="AI13" s="307">
        <f>(K26)/1000</f>
        <v>6</v>
      </c>
    </row>
    <row r="14" spans="1:35" s="123" customFormat="1" ht="25.75" customHeight="1">
      <c r="A14" s="464"/>
      <c r="B14" s="128" t="s">
        <v>291</v>
      </c>
      <c r="C14" s="129"/>
      <c r="D14" s="130"/>
      <c r="E14" s="134">
        <f t="shared" si="14"/>
        <v>8793.8285714285739</v>
      </c>
      <c r="F14" s="395">
        <f>'Юнит 20-26.10'!K$47</f>
        <v>0</v>
      </c>
      <c r="G14" s="395">
        <f>'Юнит 20-26.10'!P$47</f>
        <v>8</v>
      </c>
      <c r="H14" s="395">
        <f>'Юнит 20-26.10'!Q$47</f>
        <v>2</v>
      </c>
      <c r="I14" s="135">
        <f>'Юнит 20-26.10'!S$47</f>
        <v>36024</v>
      </c>
      <c r="J14" s="136">
        <f>'Юнит 20-26.10'!T$47</f>
        <v>-9548</v>
      </c>
      <c r="K14" s="136">
        <f>I14+J14</f>
        <v>26476</v>
      </c>
      <c r="L14" s="138">
        <f>'Юнит 20-26.10'!W$47</f>
        <v>6195</v>
      </c>
      <c r="M14" s="137">
        <f>'Юнит 20-26.10'!Z$47</f>
        <v>1848</v>
      </c>
      <c r="N14" s="138">
        <f>'Юнит 20-26.10'!X$47</f>
        <v>8263.84</v>
      </c>
      <c r="O14" s="138"/>
      <c r="P14" s="139"/>
      <c r="Q14" s="138"/>
      <c r="R14" s="140">
        <f>'Юнит 20-26.10'!AA$47</f>
        <v>7570.3314285714278</v>
      </c>
      <c r="S14" s="137"/>
      <c r="T14" s="137"/>
      <c r="U14" s="137"/>
      <c r="V14" s="140"/>
      <c r="W14" s="137"/>
      <c r="X14" s="191">
        <f>(K14)*0.01</f>
        <v>264.76</v>
      </c>
      <c r="Y14" s="141">
        <f t="shared" ref="Y14" si="16">K14-SUM(M14:U14)-L14-X14+V14+W14</f>
        <v>2334.0685714285737</v>
      </c>
      <c r="Z14" s="475"/>
      <c r="AA14" s="122">
        <f t="shared" si="6"/>
        <v>0.23398549629853452</v>
      </c>
      <c r="AB14" s="122">
        <f t="shared" si="7"/>
        <v>0.37676651677620238</v>
      </c>
      <c r="AC14" s="122">
        <f t="shared" si="8"/>
        <v>8.8157900416549848E-2</v>
      </c>
      <c r="AD14" s="122">
        <f t="shared" si="9"/>
        <v>0.28593184123626786</v>
      </c>
      <c r="AF14" s="308" t="s">
        <v>1670</v>
      </c>
      <c r="AG14" s="307">
        <f>(K27+K28)/1000</f>
        <v>81.320999999999998</v>
      </c>
      <c r="AH14" s="307">
        <f>(K27)/1000</f>
        <v>86.820999999999998</v>
      </c>
      <c r="AI14" s="307">
        <f>(K28)/1000</f>
        <v>-5.5</v>
      </c>
    </row>
    <row r="15" spans="1:35" s="123" customFormat="1" ht="25.75" customHeight="1">
      <c r="A15" s="464"/>
      <c r="B15" s="274" t="s">
        <v>292</v>
      </c>
      <c r="C15" s="288"/>
      <c r="D15" s="286"/>
      <c r="E15" s="275">
        <f t="shared" ref="E15:E16" si="17">K15-SUM(M15:U15)+V15+W15</f>
        <v>-4016.9211111111108</v>
      </c>
      <c r="F15" s="393">
        <f>'Юнит 27-31.10'!K$24</f>
        <v>13</v>
      </c>
      <c r="G15" s="393">
        <f>'Юнит 27-31.10'!P$24</f>
        <v>10</v>
      </c>
      <c r="H15" s="393">
        <f>'Юнит 27-31.10'!Q$24</f>
        <v>0</v>
      </c>
      <c r="I15" s="276">
        <f>'Юнит 27-31.10'!S$24</f>
        <v>13972</v>
      </c>
      <c r="J15" s="277">
        <f>'Юнит 27-31.10'!T$24</f>
        <v>0</v>
      </c>
      <c r="K15" s="277">
        <f t="shared" ref="K15" si="18">I15+J15</f>
        <v>13972</v>
      </c>
      <c r="L15" s="278">
        <f>'Юнит 27-31.10'!W$24</f>
        <v>2317.7199999999998</v>
      </c>
      <c r="M15" s="279">
        <f>'Юнит 27-31.10'!Z$24</f>
        <v>1074</v>
      </c>
      <c r="N15" s="278">
        <f>'Юнит 27-31.10'!X$24</f>
        <v>4858.08</v>
      </c>
      <c r="O15" s="278"/>
      <c r="P15" s="280"/>
      <c r="Q15" s="278"/>
      <c r="R15" s="281">
        <f>'Юнит 27-31.10'!AA$24</f>
        <v>11163.561111111112</v>
      </c>
      <c r="S15" s="279">
        <v>5</v>
      </c>
      <c r="T15" s="279">
        <v>888.28</v>
      </c>
      <c r="U15" s="279">
        <v>0</v>
      </c>
      <c r="V15" s="281"/>
      <c r="W15" s="318"/>
      <c r="X15" s="282">
        <f>(K15)*0.01</f>
        <v>139.72</v>
      </c>
      <c r="Y15" s="287">
        <f>K15-SUM(M15:U15)-L15-X15+V15+W15</f>
        <v>-6474.3611111111104</v>
      </c>
      <c r="Z15" s="475"/>
      <c r="AA15" s="122">
        <f t="shared" ref="AA15:AA26" si="19">L15/K15</f>
        <v>0.16588319496135126</v>
      </c>
      <c r="AB15" s="122">
        <f t="shared" ref="AB15:AB26" si="20">Y15/L15</f>
        <v>-2.7934181484869227</v>
      </c>
      <c r="AC15" s="122">
        <f t="shared" ref="AC15:AC26" si="21">Y15/K15</f>
        <v>-0.46338112733403308</v>
      </c>
      <c r="AD15" s="122">
        <f t="shared" ref="AD15:AD26" si="22">R15/K15</f>
        <v>0.79899521264751727</v>
      </c>
      <c r="AF15" s="308" t="s">
        <v>1671</v>
      </c>
      <c r="AG15" s="307">
        <f>(K29+K30)/1000</f>
        <v>64.296000000000006</v>
      </c>
      <c r="AH15" s="307">
        <f>(K29)/1000</f>
        <v>55.783999999999999</v>
      </c>
      <c r="AI15" s="307">
        <f>(K30)/1000</f>
        <v>8.5120000000000005</v>
      </c>
    </row>
    <row r="16" spans="1:35" s="123" customFormat="1" ht="25.75" customHeight="1" thickBot="1">
      <c r="A16" s="463"/>
      <c r="B16" s="142" t="s">
        <v>293</v>
      </c>
      <c r="C16" s="289"/>
      <c r="D16" s="143"/>
      <c r="E16" s="366">
        <f t="shared" si="17"/>
        <v>11712.031111111111</v>
      </c>
      <c r="F16" s="394">
        <f>'Юнит 27-31.10'!K$47</f>
        <v>24</v>
      </c>
      <c r="G16" s="394">
        <f>'Юнит 27-31.10'!P$47</f>
        <v>8</v>
      </c>
      <c r="H16" s="394">
        <f>'Юнит 27-31.10'!Q$47</f>
        <v>1</v>
      </c>
      <c r="I16" s="367">
        <f>'Юнит 27-31.10'!S$47</f>
        <v>39192</v>
      </c>
      <c r="J16" s="368">
        <f>'Юнит 27-31.10'!T$47</f>
        <v>-5000</v>
      </c>
      <c r="K16" s="368">
        <f>I16+J16</f>
        <v>34192</v>
      </c>
      <c r="L16" s="369">
        <f>'Юнит 27-31.10'!W$47</f>
        <v>5808</v>
      </c>
      <c r="M16" s="370">
        <f>'Юнит 27-31.10'!Z$47</f>
        <v>1120</v>
      </c>
      <c r="N16" s="369">
        <f>'Юнит 27-31.10'!X$47</f>
        <v>12429.119999999999</v>
      </c>
      <c r="O16" s="369"/>
      <c r="P16" s="371"/>
      <c r="Q16" s="369"/>
      <c r="R16" s="372">
        <f>'Юнит 27-31.10'!AA$47</f>
        <v>8930.8488888888896</v>
      </c>
      <c r="S16" s="370"/>
      <c r="T16" s="370"/>
      <c r="U16" s="370"/>
      <c r="V16" s="372"/>
      <c r="W16" s="370"/>
      <c r="X16" s="373">
        <f>(K16)*0.01</f>
        <v>341.92</v>
      </c>
      <c r="Y16" s="374">
        <f t="shared" ref="Y16" si="23">K16-SUM(M16:U16)-L16-X16+V16+W16</f>
        <v>5562.1111111111113</v>
      </c>
      <c r="Z16" s="461"/>
      <c r="AA16" s="122">
        <f t="shared" si="19"/>
        <v>0.16986429574169395</v>
      </c>
      <c r="AB16" s="122">
        <f t="shared" si="20"/>
        <v>0.95766375880012244</v>
      </c>
      <c r="AC16" s="122">
        <f t="shared" si="21"/>
        <v>0.16267287994592627</v>
      </c>
      <c r="AD16" s="122">
        <f t="shared" si="22"/>
        <v>0.26119703114438725</v>
      </c>
      <c r="AF16" s="308" t="s">
        <v>1794</v>
      </c>
      <c r="AG16" s="307">
        <f>(K31+K32)/1000</f>
        <v>64.222999999999999</v>
      </c>
      <c r="AH16" s="307">
        <f>(K31)/1000</f>
        <v>57.722999999999999</v>
      </c>
      <c r="AI16" s="307">
        <f>(K32)/1000</f>
        <v>6.5</v>
      </c>
    </row>
    <row r="17" spans="1:35" s="123" customFormat="1" ht="25.75" customHeight="1">
      <c r="A17" s="462" t="s">
        <v>1040</v>
      </c>
      <c r="B17" s="120" t="s">
        <v>1041</v>
      </c>
      <c r="C17" s="270"/>
      <c r="D17" s="271"/>
      <c r="E17" s="309">
        <f t="shared" ref="E17:E18" si="24">K17-SUM(M17:U17)+V17+W17</f>
        <v>512.16599999999926</v>
      </c>
      <c r="F17" s="393">
        <f>'Юнит 01-02.11'!K$24</f>
        <v>4</v>
      </c>
      <c r="G17" s="393">
        <f>'Юнит 01-02.11'!P$24</f>
        <v>3</v>
      </c>
      <c r="H17" s="393">
        <f>'Юнит 01-02.11'!Q$24</f>
        <v>0</v>
      </c>
      <c r="I17" s="310">
        <f>'Юнит 01-02.11'!S$24</f>
        <v>6278</v>
      </c>
      <c r="J17" s="311">
        <f>'Юнит 01-02.11'!T$24</f>
        <v>0</v>
      </c>
      <c r="K17" s="311">
        <f>I17+J17</f>
        <v>6278</v>
      </c>
      <c r="L17" s="312">
        <f>'Юнит 01-02.11'!W$24</f>
        <v>1307.5</v>
      </c>
      <c r="M17" s="313">
        <f>'Юнит 01-02.11'!Z$24</f>
        <v>240</v>
      </c>
      <c r="N17" s="312">
        <f>'Юнит 01-02.11'!X$24</f>
        <v>2385.6400000000003</v>
      </c>
      <c r="O17" s="312"/>
      <c r="P17" s="314"/>
      <c r="Q17" s="312"/>
      <c r="R17" s="315">
        <f>'Юнит 01-02.11'!AA$24</f>
        <v>2850.2640000000001</v>
      </c>
      <c r="S17" s="313">
        <v>0</v>
      </c>
      <c r="T17" s="313">
        <v>289.93</v>
      </c>
      <c r="U17" s="313">
        <v>0</v>
      </c>
      <c r="V17" s="315"/>
      <c r="W17" s="313"/>
      <c r="X17" s="316">
        <f>(K17)*0.01</f>
        <v>62.78</v>
      </c>
      <c r="Y17" s="317">
        <f t="shared" ref="Y17:Y18" si="25">K17-SUM(M17:U17)-L17-X17+V17+W17</f>
        <v>-858.11400000000071</v>
      </c>
      <c r="Z17" s="475">
        <f>SUM(Y17:Y26)</f>
        <v>-34584.400000000016</v>
      </c>
      <c r="AA17" s="122">
        <f t="shared" si="19"/>
        <v>0.20826696400127429</v>
      </c>
      <c r="AB17" s="122">
        <f t="shared" si="20"/>
        <v>-0.6563013384321229</v>
      </c>
      <c r="AC17" s="122">
        <f t="shared" si="21"/>
        <v>-0.13668588722523109</v>
      </c>
      <c r="AD17" s="122">
        <f t="shared" si="22"/>
        <v>0.454008282892641</v>
      </c>
      <c r="AF17" s="308" t="s">
        <v>1993</v>
      </c>
      <c r="AG17" s="307">
        <f>(K33+K34)/1000</f>
        <v>133.70000000000002</v>
      </c>
      <c r="AH17" s="307">
        <f>(K33)/1000</f>
        <v>133.70000000000002</v>
      </c>
      <c r="AI17" s="307">
        <f>(K34)/1000</f>
        <v>0</v>
      </c>
    </row>
    <row r="18" spans="1:35" s="123" customFormat="1" ht="25.75" customHeight="1">
      <c r="A18" s="464"/>
      <c r="B18" s="272" t="s">
        <v>1042</v>
      </c>
      <c r="C18" s="132"/>
      <c r="D18" s="133"/>
      <c r="E18" s="134">
        <f t="shared" si="24"/>
        <v>3067.5840000000007</v>
      </c>
      <c r="F18" s="395">
        <f>'Юнит 01-02.11'!K$47</f>
        <v>3</v>
      </c>
      <c r="G18" s="395">
        <f>'Юнит 01-02.11'!P$47</f>
        <v>2</v>
      </c>
      <c r="H18" s="395">
        <f>'Юнит 01-02.11'!Q$47</f>
        <v>0</v>
      </c>
      <c r="I18" s="135">
        <f>'Юнит 01-02.11'!S$47</f>
        <v>9548</v>
      </c>
      <c r="J18" s="136">
        <f>'Юнит 01-02.11'!T$47</f>
        <v>0</v>
      </c>
      <c r="K18" s="136">
        <f>I18+J18</f>
        <v>9548</v>
      </c>
      <c r="L18" s="138">
        <f>'Юнит 01-02.11'!W$47</f>
        <v>1314</v>
      </c>
      <c r="M18" s="137">
        <f>'Юнит 01-02.11'!Z$47</f>
        <v>952</v>
      </c>
      <c r="N18" s="138">
        <f>'Юнит 01-02.11'!X$47</f>
        <v>3628.24</v>
      </c>
      <c r="O18" s="138"/>
      <c r="P18" s="139"/>
      <c r="Q18" s="138"/>
      <c r="R18" s="140">
        <f>'Юнит 01-02.11'!AA$47</f>
        <v>1900.1759999999999</v>
      </c>
      <c r="S18" s="137"/>
      <c r="T18" s="137"/>
      <c r="U18" s="137"/>
      <c r="V18" s="140"/>
      <c r="W18" s="137"/>
      <c r="X18" s="191">
        <f>(K18)*0.01</f>
        <v>95.48</v>
      </c>
      <c r="Y18" s="141">
        <f t="shared" si="25"/>
        <v>1658.1040000000007</v>
      </c>
      <c r="Z18" s="475"/>
      <c r="AA18" s="122">
        <f t="shared" si="19"/>
        <v>0.13762044407205698</v>
      </c>
      <c r="AB18" s="122">
        <f t="shared" si="20"/>
        <v>1.2618751902587524</v>
      </c>
      <c r="AC18" s="122">
        <f t="shared" si="21"/>
        <v>0.1736598240469209</v>
      </c>
      <c r="AD18" s="122">
        <f t="shared" si="22"/>
        <v>0.199012987012987</v>
      </c>
      <c r="AF18" s="377"/>
      <c r="AG18" s="378"/>
      <c r="AH18" s="378"/>
      <c r="AI18" s="378"/>
    </row>
    <row r="19" spans="1:35" s="123" customFormat="1" ht="25.75" customHeight="1">
      <c r="A19" s="464"/>
      <c r="B19" s="274" t="s">
        <v>1044</v>
      </c>
      <c r="C19" s="124"/>
      <c r="D19" s="286"/>
      <c r="E19" s="309">
        <f t="shared" ref="E19:E20" si="26">K19-SUM(M19:U19)+V19+W19</f>
        <v>-5570.551176470588</v>
      </c>
      <c r="F19" s="393">
        <f>'Юнит 03-09.11'!K$26</f>
        <v>20</v>
      </c>
      <c r="G19" s="393">
        <f>'Юнит 03-09.11'!P$26</f>
        <v>10</v>
      </c>
      <c r="H19" s="393">
        <f>'Юнит 03-09.11'!Q$26</f>
        <v>0</v>
      </c>
      <c r="I19" s="310">
        <f>'Юнит 03-09.11'!S$26</f>
        <v>14318</v>
      </c>
      <c r="J19" s="311">
        <f>'Юнит 03-09.11'!T$26</f>
        <v>0</v>
      </c>
      <c r="K19" s="311">
        <f t="shared" ref="K19" si="27">I19+J19</f>
        <v>14318</v>
      </c>
      <c r="L19" s="312">
        <f>'Юнит 03-09.11'!W$26</f>
        <v>1418.1</v>
      </c>
      <c r="M19" s="313">
        <f>'Юнит 03-09.11'!Z$26</f>
        <v>1216</v>
      </c>
      <c r="N19" s="312">
        <f>'Юнит 03-09.11'!X$26</f>
        <v>5440.84</v>
      </c>
      <c r="O19" s="312"/>
      <c r="P19" s="314"/>
      <c r="Q19" s="312"/>
      <c r="R19" s="315">
        <f>'Юнит 03-09.11'!AA$26</f>
        <v>10605.641176470588</v>
      </c>
      <c r="S19" s="313">
        <v>5</v>
      </c>
      <c r="T19" s="313">
        <v>924.97</v>
      </c>
      <c r="U19" s="313">
        <v>1696.1</v>
      </c>
      <c r="V19" s="315"/>
      <c r="W19" s="313"/>
      <c r="X19" s="316">
        <f>(K19)*0.01</f>
        <v>143.18</v>
      </c>
      <c r="Y19" s="317">
        <f t="shared" ref="Y19:Y20" si="28">K19-SUM(M19:U19)-L19-X19+V19+W19</f>
        <v>-7131.8311764705886</v>
      </c>
      <c r="Z19" s="475"/>
      <c r="AA19" s="122">
        <f t="shared" si="19"/>
        <v>9.9043162452856534E-2</v>
      </c>
      <c r="AB19" s="122">
        <f t="shared" si="20"/>
        <v>-5.0291454597493752</v>
      </c>
      <c r="AC19" s="122">
        <f t="shared" si="21"/>
        <v>-0.49810247076900327</v>
      </c>
      <c r="AD19" s="122">
        <f>R19/K19</f>
        <v>0.74072085322465342</v>
      </c>
      <c r="AF19" s="377"/>
      <c r="AG19" s="378"/>
      <c r="AH19" s="378"/>
      <c r="AI19" s="378"/>
    </row>
    <row r="20" spans="1:35" s="123" customFormat="1" ht="25.75" customHeight="1">
      <c r="A20" s="464"/>
      <c r="B20" s="131" t="s">
        <v>1043</v>
      </c>
      <c r="C20" s="273"/>
      <c r="D20" s="133"/>
      <c r="E20" s="134">
        <f t="shared" si="26"/>
        <v>3187.5711764705884</v>
      </c>
      <c r="F20" s="395">
        <f>'Юнит 03-09.11'!K$49</f>
        <v>16</v>
      </c>
      <c r="G20" s="395">
        <f>'Юнит 03-09.11'!P$49</f>
        <v>7</v>
      </c>
      <c r="H20" s="395">
        <f>'Юнит 03-09.11'!Q$49</f>
        <v>3</v>
      </c>
      <c r="I20" s="135">
        <f>'Юнит 03-09.11'!S$49</f>
        <v>35645</v>
      </c>
      <c r="J20" s="136">
        <f>'Юнит 03-09.11'!T$49</f>
        <v>-15549</v>
      </c>
      <c r="K20" s="136">
        <f>I20+J20</f>
        <v>20096</v>
      </c>
      <c r="L20" s="138">
        <f>'Юнит 03-09.11'!W$49</f>
        <v>2748</v>
      </c>
      <c r="M20" s="137">
        <f>'Юнит 03-09.11'!Z$49</f>
        <v>1848</v>
      </c>
      <c r="N20" s="138">
        <f>'Юнит 03-09.11'!X$49</f>
        <v>7636.48</v>
      </c>
      <c r="O20" s="138"/>
      <c r="P20" s="139"/>
      <c r="Q20" s="138"/>
      <c r="R20" s="140">
        <f>'Юнит 03-09.11'!AA$49</f>
        <v>7423.948823529412</v>
      </c>
      <c r="S20" s="137"/>
      <c r="T20" s="137"/>
      <c r="U20" s="137"/>
      <c r="V20" s="140"/>
      <c r="W20" s="137"/>
      <c r="X20" s="191">
        <f>(K20)*0.01</f>
        <v>200.96</v>
      </c>
      <c r="Y20" s="141">
        <f t="shared" si="28"/>
        <v>238.61117647058839</v>
      </c>
      <c r="Z20" s="475"/>
      <c r="AA20" s="122">
        <f t="shared" si="19"/>
        <v>0.1367436305732484</v>
      </c>
      <c r="AB20" s="122">
        <f t="shared" si="20"/>
        <v>8.6830850244027799E-2</v>
      </c>
      <c r="AC20" s="122">
        <f t="shared" si="21"/>
        <v>1.1873565708130394E-2</v>
      </c>
      <c r="AD20" s="122">
        <f t="shared" si="22"/>
        <v>0.36942420499250656</v>
      </c>
      <c r="AF20" s="377"/>
      <c r="AG20" s="378"/>
      <c r="AH20" s="378"/>
      <c r="AI20" s="378"/>
    </row>
    <row r="21" spans="1:35" s="123" customFormat="1" ht="25.75" customHeight="1">
      <c r="A21" s="464"/>
      <c r="B21" s="274" t="s">
        <v>1045</v>
      </c>
      <c r="C21" s="288"/>
      <c r="D21" s="286"/>
      <c r="E21" s="309">
        <f t="shared" ref="E21:E22" si="29">K21-SUM(M21:U21)+V21+W21</f>
        <v>-9966.6356250000099</v>
      </c>
      <c r="F21" s="393">
        <f>'Юнит 10-16.11'!K$26</f>
        <v>53</v>
      </c>
      <c r="G21" s="393">
        <f>'Юнит 10-16.11'!P$26</f>
        <v>27</v>
      </c>
      <c r="H21" s="393">
        <f>'Юнит 10-16.11'!Q$26</f>
        <v>1</v>
      </c>
      <c r="I21" s="310">
        <f>'Юнит 10-16.11'!S$26</f>
        <v>40441.999999999993</v>
      </c>
      <c r="J21" s="311">
        <f>'Юнит 10-16.11'!T$26</f>
        <v>-1364</v>
      </c>
      <c r="K21" s="311">
        <f t="shared" ref="K21" si="30">I21+J21</f>
        <v>39077.999999999993</v>
      </c>
      <c r="L21" s="312">
        <f>'Юнит 10-16.11'!W$26</f>
        <v>3580.5899999999992</v>
      </c>
      <c r="M21" s="313">
        <f>'Юнит 10-16.11'!Z$26</f>
        <v>2866.97</v>
      </c>
      <c r="N21" s="312">
        <f>'Юнит 10-16.11'!X$26</f>
        <v>16247.939999999999</v>
      </c>
      <c r="O21" s="312"/>
      <c r="P21" s="314"/>
      <c r="Q21" s="312"/>
      <c r="R21" s="315">
        <f>'Юнит 10-16.11'!AA$26</f>
        <v>24944.675625</v>
      </c>
      <c r="S21" s="313">
        <v>5</v>
      </c>
      <c r="T21" s="313">
        <v>1416.75</v>
      </c>
      <c r="U21" s="313">
        <v>3563.3</v>
      </c>
      <c r="V21" s="315"/>
      <c r="W21" s="313"/>
      <c r="X21" s="316">
        <f>(K21)*0.01</f>
        <v>390.77999999999992</v>
      </c>
      <c r="Y21" s="317">
        <f t="shared" ref="Y21:Y22" si="31">K21-SUM(M21:U21)-L21-X21+V21+W21</f>
        <v>-13938.005625000011</v>
      </c>
      <c r="Z21" s="475"/>
      <c r="AA21" s="122">
        <f t="shared" si="19"/>
        <v>9.1626746506986032E-2</v>
      </c>
      <c r="AB21" s="122">
        <f t="shared" si="20"/>
        <v>-3.8926561334863847</v>
      </c>
      <c r="AC21" s="122">
        <f t="shared" si="21"/>
        <v>-0.35667141678182129</v>
      </c>
      <c r="AD21" s="122">
        <f t="shared" si="22"/>
        <v>0.63833040649470296</v>
      </c>
      <c r="AF21" s="377"/>
      <c r="AG21" s="378"/>
      <c r="AH21" s="378"/>
      <c r="AI21" s="378"/>
    </row>
    <row r="22" spans="1:35" s="123" customFormat="1" ht="25.75" customHeight="1">
      <c r="A22" s="464"/>
      <c r="B22" s="131" t="s">
        <v>1046</v>
      </c>
      <c r="C22" s="132"/>
      <c r="D22" s="133"/>
      <c r="E22" s="134">
        <f t="shared" si="29"/>
        <v>4952.265625</v>
      </c>
      <c r="F22" s="395">
        <f>'Юнит 10-16.11'!K$49</f>
        <v>18</v>
      </c>
      <c r="G22" s="395">
        <f>'Юнит 10-16.11'!P$49</f>
        <v>5</v>
      </c>
      <c r="H22" s="395">
        <f>'Юнит 10-16.11'!Q$49</f>
        <v>1</v>
      </c>
      <c r="I22" s="135">
        <f>'Юнит 10-16.11'!S$49</f>
        <v>25276</v>
      </c>
      <c r="J22" s="136">
        <f>'Юнит 10-16.11'!T$49</f>
        <v>-5500</v>
      </c>
      <c r="K22" s="136">
        <f>I22+J22</f>
        <v>19776</v>
      </c>
      <c r="L22" s="138">
        <f>'Юнит 10-16.11'!W$49</f>
        <v>2538</v>
      </c>
      <c r="M22" s="137">
        <f>'Юнит 10-16.11'!Z$49</f>
        <v>1700.67</v>
      </c>
      <c r="N22" s="138">
        <f>'Юнит 10-16.11'!X$49</f>
        <v>8503.68</v>
      </c>
      <c r="O22" s="138"/>
      <c r="P22" s="139"/>
      <c r="Q22" s="138"/>
      <c r="R22" s="140">
        <f>'Юнит 10-16.11'!AA$49</f>
        <v>4619.3843750000005</v>
      </c>
      <c r="S22" s="137"/>
      <c r="T22" s="137"/>
      <c r="U22" s="137"/>
      <c r="V22" s="140"/>
      <c r="W22" s="137"/>
      <c r="X22" s="191">
        <f>(K22)*0.01</f>
        <v>197.76</v>
      </c>
      <c r="Y22" s="141">
        <f t="shared" si="31"/>
        <v>2216.5056249999998</v>
      </c>
      <c r="Z22" s="475"/>
      <c r="AA22" s="122">
        <f t="shared" si="19"/>
        <v>0.12833737864077671</v>
      </c>
      <c r="AB22" s="122">
        <f t="shared" si="20"/>
        <v>0.87332766942474382</v>
      </c>
      <c r="AC22" s="122">
        <f t="shared" si="21"/>
        <v>0.11208058378843042</v>
      </c>
      <c r="AD22" s="122">
        <f t="shared" si="22"/>
        <v>0.23358537494943368</v>
      </c>
      <c r="AF22" s="377"/>
      <c r="AG22" s="378"/>
      <c r="AH22" s="378"/>
      <c r="AI22" s="378"/>
    </row>
    <row r="23" spans="1:35" s="123" customFormat="1" ht="25.75" customHeight="1">
      <c r="A23" s="464"/>
      <c r="B23" s="274" t="s">
        <v>1047</v>
      </c>
      <c r="C23" s="288"/>
      <c r="D23" s="286"/>
      <c r="E23" s="309">
        <f t="shared" ref="E23:E24" si="32">K23-SUM(M23:U23)+V23+W23</f>
        <v>-6903.1175000000003</v>
      </c>
      <c r="F23" s="393">
        <f>'Юнит 17-23.11'!K$26</f>
        <v>68</v>
      </c>
      <c r="G23" s="393">
        <f>'Юнит 17-23.11'!P$26</f>
        <v>33</v>
      </c>
      <c r="H23" s="393">
        <f>'Юнит 17-23.11'!Q$26</f>
        <v>2</v>
      </c>
      <c r="I23" s="310">
        <f>'Юнит 17-23.11'!S$26</f>
        <v>52152</v>
      </c>
      <c r="J23" s="311">
        <f>'Юнит 17-23.11'!T$26</f>
        <v>-3051</v>
      </c>
      <c r="K23" s="311">
        <f t="shared" ref="K23" si="33">I23+J23</f>
        <v>49101</v>
      </c>
      <c r="L23" s="312">
        <f>'Юнит 17-23.11'!W$26</f>
        <v>4229.88</v>
      </c>
      <c r="M23" s="313">
        <f>'Юнит 17-23.11'!Z$26</f>
        <v>5536.1200000000008</v>
      </c>
      <c r="N23" s="312">
        <f>'Юнит 17-23.11'!X$26</f>
        <v>21012.899999999994</v>
      </c>
      <c r="O23" s="312"/>
      <c r="P23" s="314"/>
      <c r="Q23" s="312"/>
      <c r="R23" s="315">
        <f>'Юнит 17-23.11'!AA$26</f>
        <v>27920.887500000001</v>
      </c>
      <c r="S23" s="313">
        <v>5</v>
      </c>
      <c r="T23" s="313">
        <v>1529.21</v>
      </c>
      <c r="U23" s="313">
        <v>0</v>
      </c>
      <c r="V23" s="315"/>
      <c r="W23" s="313"/>
      <c r="X23" s="316">
        <f>(K23)*0.01</f>
        <v>491.01</v>
      </c>
      <c r="Y23" s="317">
        <f t="shared" ref="Y23:Y24" si="34">K23-SUM(M23:U23)-L23-X23+V23+W23</f>
        <v>-11624.007500000002</v>
      </c>
      <c r="Z23" s="475"/>
      <c r="AA23" s="122">
        <f t="shared" si="19"/>
        <v>8.6146514327610432E-2</v>
      </c>
      <c r="AB23" s="122">
        <f t="shared" si="20"/>
        <v>-2.7480702762253304</v>
      </c>
      <c r="AC23" s="122">
        <f t="shared" si="21"/>
        <v>-0.23673667542412583</v>
      </c>
      <c r="AD23" s="122">
        <f t="shared" si="22"/>
        <v>0.56864193193621315</v>
      </c>
      <c r="AF23" s="377"/>
      <c r="AG23" s="378"/>
      <c r="AH23" s="378"/>
      <c r="AI23" s="378"/>
    </row>
    <row r="24" spans="1:35" s="123" customFormat="1" ht="25.75" customHeight="1">
      <c r="A24" s="464"/>
      <c r="B24" s="131" t="s">
        <v>1048</v>
      </c>
      <c r="C24" s="132"/>
      <c r="D24" s="133"/>
      <c r="E24" s="134">
        <f t="shared" si="32"/>
        <v>127.98749999999927</v>
      </c>
      <c r="F24" s="395">
        <f>'Юнит 17-23.11'!K$49</f>
        <v>5</v>
      </c>
      <c r="G24" s="395">
        <f>'Юнит 17-23.11'!P$49</f>
        <v>3</v>
      </c>
      <c r="H24" s="395">
        <f>'Юнит 17-23.11'!Q$49</f>
        <v>1</v>
      </c>
      <c r="I24" s="135">
        <f>'Юнит 17-23.11'!S$49</f>
        <v>13324</v>
      </c>
      <c r="J24" s="136">
        <f>'Юнит 17-23.11'!T$49</f>
        <v>-5500</v>
      </c>
      <c r="K24" s="136">
        <f>I24+J24</f>
        <v>7824</v>
      </c>
      <c r="L24" s="138">
        <f>'Юнит 17-23.11'!W$49</f>
        <v>1224</v>
      </c>
      <c r="M24" s="137">
        <f>'Юнит 17-23.11'!Z$49</f>
        <v>1518.4299999999998</v>
      </c>
      <c r="N24" s="138">
        <f>'Юнит 17-23.11'!X$49</f>
        <v>3639.32</v>
      </c>
      <c r="O24" s="138"/>
      <c r="P24" s="139"/>
      <c r="Q24" s="138"/>
      <c r="R24" s="140">
        <f>'Юнит 17-23.11'!AA$49</f>
        <v>2538.2625000000003</v>
      </c>
      <c r="S24" s="137"/>
      <c r="T24" s="137"/>
      <c r="U24" s="137"/>
      <c r="V24" s="140"/>
      <c r="W24" s="137"/>
      <c r="X24" s="191">
        <f>(K24)*0.01</f>
        <v>78.239999999999995</v>
      </c>
      <c r="Y24" s="141">
        <f t="shared" si="34"/>
        <v>-1174.2525000000007</v>
      </c>
      <c r="Z24" s="475"/>
      <c r="AA24" s="122">
        <f t="shared" si="19"/>
        <v>0.15644171779141106</v>
      </c>
      <c r="AB24" s="122">
        <f t="shared" si="20"/>
        <v>-0.95935661764705937</v>
      </c>
      <c r="AC24" s="122">
        <f t="shared" si="21"/>
        <v>-0.15008339723926389</v>
      </c>
      <c r="AD24" s="122">
        <f t="shared" si="22"/>
        <v>0.32442005368098165</v>
      </c>
      <c r="AF24" s="377"/>
      <c r="AG24" s="378"/>
      <c r="AH24" s="378"/>
      <c r="AI24" s="378"/>
    </row>
    <row r="25" spans="1:35" s="123" customFormat="1" ht="25.75" customHeight="1">
      <c r="A25" s="464"/>
      <c r="B25" s="274" t="s">
        <v>1049</v>
      </c>
      <c r="C25" s="288"/>
      <c r="D25" s="286"/>
      <c r="E25" s="275">
        <f t="shared" ref="E25:E28" si="35">K25-SUM(M25:U25)+V25+W25</f>
        <v>229.96894736841932</v>
      </c>
      <c r="F25" s="396">
        <f>'Юнит 24-30.11'!K$26</f>
        <v>69</v>
      </c>
      <c r="G25" s="396">
        <f>'Юнит 24-30.11'!P$26</f>
        <v>36</v>
      </c>
      <c r="H25" s="396">
        <f>'Юнит 24-30.11'!Q$26</f>
        <v>4</v>
      </c>
      <c r="I25" s="276">
        <f>'Юнит 24-30.11'!S$26</f>
        <v>56557</v>
      </c>
      <c r="J25" s="277">
        <f>'Юнит 24-30.11'!T$26</f>
        <v>-6081</v>
      </c>
      <c r="K25" s="277">
        <f t="shared" ref="K25" si="36">I25+J25</f>
        <v>50476</v>
      </c>
      <c r="L25" s="278">
        <f>'Юнит 24-30.11'!W$26</f>
        <v>4310.76</v>
      </c>
      <c r="M25" s="279">
        <f>'Юнит 24-30.11'!Z$26</f>
        <v>5747.3700000000008</v>
      </c>
      <c r="N25" s="278">
        <f>'Юнит 24-30.11'!X$26</f>
        <v>21704.68</v>
      </c>
      <c r="O25" s="278"/>
      <c r="P25" s="280"/>
      <c r="Q25" s="278"/>
      <c r="R25" s="281">
        <f>'Юнит 24-30.11'!AA$26</f>
        <v>21570.101052631577</v>
      </c>
      <c r="S25" s="279">
        <v>5</v>
      </c>
      <c r="T25" s="279">
        <v>1218.8800000000001</v>
      </c>
      <c r="U25" s="279">
        <v>0</v>
      </c>
      <c r="V25" s="281"/>
      <c r="W25" s="279"/>
      <c r="X25" s="282">
        <f>(K25)*0.01</f>
        <v>504.76</v>
      </c>
      <c r="Y25" s="287">
        <f t="shared" ref="Y25:Y28" si="37">K25-SUM(M25:U25)-L25-X25+V25+W25</f>
        <v>-4585.5510526315811</v>
      </c>
      <c r="Z25" s="475"/>
      <c r="AA25" s="122">
        <f t="shared" si="19"/>
        <v>8.5402171328948409E-2</v>
      </c>
      <c r="AB25" s="122">
        <f t="shared" si="20"/>
        <v>-1.0637453842551152</v>
      </c>
      <c r="AC25" s="122">
        <f t="shared" si="21"/>
        <v>-9.0846165556533423E-2</v>
      </c>
      <c r="AD25" s="122">
        <f t="shared" si="22"/>
        <v>0.42733380324573217</v>
      </c>
    </row>
    <row r="26" spans="1:35" s="123" customFormat="1" ht="27" customHeight="1" thickBot="1">
      <c r="A26" s="463"/>
      <c r="B26" s="142" t="s">
        <v>1050</v>
      </c>
      <c r="C26" s="289"/>
      <c r="D26" s="143"/>
      <c r="E26" s="397">
        <f t="shared" si="35"/>
        <v>1301.1410526315794</v>
      </c>
      <c r="F26" s="398">
        <f>'Юнит 24-30.11'!K$49</f>
        <v>7</v>
      </c>
      <c r="G26" s="398">
        <f>'Юнит 24-30.11'!P$49</f>
        <v>2</v>
      </c>
      <c r="H26" s="398">
        <f>'Юнит 24-30.11'!Q$49</f>
        <v>1</v>
      </c>
      <c r="I26" s="399">
        <f>'Юнит 24-30.11'!S$49</f>
        <v>12000</v>
      </c>
      <c r="J26" s="400">
        <f>'Юнит 24-30.11'!T$49</f>
        <v>-6000</v>
      </c>
      <c r="K26" s="400">
        <f>I26+J26</f>
        <v>6000</v>
      </c>
      <c r="L26" s="401">
        <f>'Юнит 24-30.11'!W$49</f>
        <v>627</v>
      </c>
      <c r="M26" s="402">
        <f>'Юнит 24-30.11'!Z$49</f>
        <v>920.5200000000001</v>
      </c>
      <c r="N26" s="401">
        <f>'Юнит 24-30.11'!X$49</f>
        <v>2580</v>
      </c>
      <c r="O26" s="401"/>
      <c r="P26" s="403"/>
      <c r="Q26" s="401"/>
      <c r="R26" s="404">
        <f>'Юнит 24-30.11'!AA$49</f>
        <v>1198.338947368421</v>
      </c>
      <c r="S26" s="402"/>
      <c r="T26" s="402"/>
      <c r="U26" s="402"/>
      <c r="V26" s="404"/>
      <c r="W26" s="402"/>
      <c r="X26" s="405">
        <f>(K26)*0.01</f>
        <v>60</v>
      </c>
      <c r="Y26" s="406">
        <f t="shared" si="37"/>
        <v>614.14105263157944</v>
      </c>
      <c r="Z26" s="461"/>
      <c r="AA26" s="122">
        <f t="shared" si="19"/>
        <v>0.1045</v>
      </c>
      <c r="AB26" s="122">
        <f t="shared" si="20"/>
        <v>0.97949131201208839</v>
      </c>
      <c r="AC26" s="122">
        <f t="shared" si="21"/>
        <v>0.10235684210526325</v>
      </c>
      <c r="AD26" s="122">
        <f t="shared" si="22"/>
        <v>0.19972315789473685</v>
      </c>
    </row>
    <row r="27" spans="1:35" s="123" customFormat="1" ht="27" customHeight="1">
      <c r="A27" s="478" t="s">
        <v>1665</v>
      </c>
      <c r="B27" s="274" t="s">
        <v>1666</v>
      </c>
      <c r="C27" s="270"/>
      <c r="D27" s="271"/>
      <c r="E27" s="410">
        <f t="shared" si="35"/>
        <v>24694.863050847467</v>
      </c>
      <c r="F27" s="411">
        <f>'Юнит 01-07.12'!K$26</f>
        <v>79</v>
      </c>
      <c r="G27" s="411">
        <f>'Юнит 01-07.12'!P$26</f>
        <v>58</v>
      </c>
      <c r="H27" s="411">
        <f>'Юнит 01-07.12'!Q$26</f>
        <v>0</v>
      </c>
      <c r="I27" s="412">
        <f>'Юнит 01-07.12'!S$26</f>
        <v>86821</v>
      </c>
      <c r="J27" s="413">
        <f>'Юнит 01-07.12'!T$26</f>
        <v>0</v>
      </c>
      <c r="K27" s="413">
        <f t="shared" ref="K27" si="38">I27+J27</f>
        <v>86821</v>
      </c>
      <c r="L27" s="414">
        <f>'Юнит 01-07.12'!W$26</f>
        <v>7713.2400000000007</v>
      </c>
      <c r="M27" s="415">
        <f>'Юнит 01-07.12'!Z$26</f>
        <v>8892.35</v>
      </c>
      <c r="N27" s="414">
        <f>'Юнит 01-07.12'!X$26</f>
        <v>37333.029999999992</v>
      </c>
      <c r="O27" s="414"/>
      <c r="P27" s="416"/>
      <c r="Q27" s="414"/>
      <c r="R27" s="417">
        <f>'Юнит 01-07.12'!AA$26</f>
        <v>13303.056949152542</v>
      </c>
      <c r="S27" s="415">
        <v>10</v>
      </c>
      <c r="T27" s="415">
        <v>1682.9</v>
      </c>
      <c r="U27" s="415">
        <v>904.8</v>
      </c>
      <c r="V27" s="417"/>
      <c r="W27" s="415"/>
      <c r="X27" s="418">
        <f>(K27)*0.01</f>
        <v>868.21</v>
      </c>
      <c r="Y27" s="407">
        <f t="shared" si="37"/>
        <v>16113.413050847466</v>
      </c>
      <c r="Z27" s="480">
        <f>SUM(Y27:Y34)</f>
        <v>8669.760000000013</v>
      </c>
      <c r="AA27" s="122">
        <f t="shared" ref="AA27:AA30" si="39">L27/K27</f>
        <v>8.88407182594073E-2</v>
      </c>
      <c r="AB27" s="122">
        <f t="shared" ref="AB27:AB30" si="40">Y27/L27</f>
        <v>2.0890589493970713</v>
      </c>
      <c r="AC27" s="122">
        <f t="shared" ref="AC27:AC30" si="41">Y27/K27</f>
        <v>0.18559349755067858</v>
      </c>
      <c r="AD27" s="122">
        <f t="shared" ref="AD27:AD30" si="42">R27/K27</f>
        <v>0.15322395444826184</v>
      </c>
    </row>
    <row r="28" spans="1:35" s="123" customFormat="1" ht="27" customHeight="1">
      <c r="A28" s="479"/>
      <c r="B28" s="131" t="s">
        <v>1667</v>
      </c>
      <c r="C28" s="132"/>
      <c r="D28" s="133"/>
      <c r="E28" s="134">
        <f t="shared" si="35"/>
        <v>-4332.3930508474577</v>
      </c>
      <c r="F28" s="395">
        <f>'Юнит 01-07.12'!K$49</f>
        <v>1</v>
      </c>
      <c r="G28" s="395">
        <f>'Юнит 01-07.12'!P$49</f>
        <v>1</v>
      </c>
      <c r="H28" s="395">
        <f>'Юнит 01-07.12'!Q$49</f>
        <v>2</v>
      </c>
      <c r="I28" s="135">
        <f>'Юнит 01-07.12'!S$49</f>
        <v>6500</v>
      </c>
      <c r="J28" s="136">
        <f>'Юнит 01-07.12'!T$49</f>
        <v>-12000</v>
      </c>
      <c r="K28" s="136">
        <f>I28+J28</f>
        <v>-5500</v>
      </c>
      <c r="L28" s="138">
        <f>'Юнит 01-07.12'!W$49</f>
        <v>-597</v>
      </c>
      <c r="M28" s="137">
        <f>'Юнит 01-07.12'!Z$49</f>
        <v>968.03</v>
      </c>
      <c r="N28" s="138">
        <f>'Юнит 01-07.12'!X$49</f>
        <v>-2365</v>
      </c>
      <c r="O28" s="138"/>
      <c r="P28" s="139"/>
      <c r="Q28" s="138"/>
      <c r="R28" s="140">
        <f>'Юнит 01-07.12'!AA$49</f>
        <v>229.36305084745763</v>
      </c>
      <c r="S28" s="137"/>
      <c r="T28" s="137"/>
      <c r="U28" s="137"/>
      <c r="V28" s="140"/>
      <c r="W28" s="137"/>
      <c r="X28" s="191">
        <f>(K28)*0.01</f>
        <v>-55</v>
      </c>
      <c r="Y28" s="141">
        <f t="shared" si="37"/>
        <v>-3680.3930508474577</v>
      </c>
      <c r="Z28" s="481"/>
      <c r="AA28" s="122">
        <f t="shared" si="39"/>
        <v>0.10854545454545454</v>
      </c>
      <c r="AB28" s="122">
        <f t="shared" si="40"/>
        <v>6.1648124804815039</v>
      </c>
      <c r="AC28" s="122">
        <f t="shared" si="41"/>
        <v>0.66916237288135594</v>
      </c>
      <c r="AD28" s="122">
        <f t="shared" si="42"/>
        <v>-4.1702372881355934E-2</v>
      </c>
    </row>
    <row r="29" spans="1:35" s="123" customFormat="1" ht="27" customHeight="1">
      <c r="A29" s="479"/>
      <c r="B29" s="274" t="s">
        <v>1668</v>
      </c>
      <c r="C29" s="288"/>
      <c r="D29" s="286"/>
      <c r="E29" s="275">
        <f t="shared" ref="E29:E34" si="43">K29-SUM(M29:U29)+V29+W29</f>
        <v>6987.39681818182</v>
      </c>
      <c r="F29" s="396">
        <f>'Юнит 08-14.12'!K$26</f>
        <v>58</v>
      </c>
      <c r="G29" s="396">
        <f>'Юнит 08-14.12'!P$26</f>
        <v>41</v>
      </c>
      <c r="H29" s="396">
        <f>'Юнит 08-14.12'!Q$26</f>
        <v>3</v>
      </c>
      <c r="I29" s="276">
        <f>'Юнит 08-14.12'!S$26</f>
        <v>59828</v>
      </c>
      <c r="J29" s="277">
        <f>'Юнит 08-14.12'!T$26</f>
        <v>-4044</v>
      </c>
      <c r="K29" s="277">
        <f t="shared" ref="K29" si="44">I29+J29</f>
        <v>55784</v>
      </c>
      <c r="L29" s="278">
        <f>'Юнит 08-14.12'!W$26</f>
        <v>5156.8500000000013</v>
      </c>
      <c r="M29" s="279">
        <f>'Юнит 08-14.12'!Z$26</f>
        <v>6498.4000000000015</v>
      </c>
      <c r="N29" s="278">
        <f>'Юнит 08-14.12'!X$26</f>
        <v>23987.119999999995</v>
      </c>
      <c r="O29" s="278"/>
      <c r="P29" s="280"/>
      <c r="Q29" s="278"/>
      <c r="R29" s="281">
        <f>'Юнит 08-14.12'!AA$26</f>
        <v>10153.333181818183</v>
      </c>
      <c r="S29" s="279">
        <v>0</v>
      </c>
      <c r="T29" s="279">
        <v>1409.05</v>
      </c>
      <c r="U29" s="279">
        <v>6748.7</v>
      </c>
      <c r="V29" s="281"/>
      <c r="W29" s="279"/>
      <c r="X29" s="282">
        <f>(K29)*0.01</f>
        <v>557.84</v>
      </c>
      <c r="Y29" s="287">
        <f t="shared" ref="Y29:Y34" si="45">K29-SUM(M29:U29)-L29-X29+V29+W29</f>
        <v>1272.7068181818186</v>
      </c>
      <c r="Z29" s="481"/>
      <c r="AA29" s="122">
        <f t="shared" si="39"/>
        <v>9.2443173669869524E-2</v>
      </c>
      <c r="AB29" s="122">
        <f t="shared" si="40"/>
        <v>0.24679927052014666</v>
      </c>
      <c r="AC29" s="122">
        <f t="shared" si="41"/>
        <v>2.2814907826291024E-2</v>
      </c>
      <c r="AD29" s="122">
        <f t="shared" si="42"/>
        <v>0.18201156571450924</v>
      </c>
    </row>
    <row r="30" spans="1:35" s="123" customFormat="1" ht="27" customHeight="1">
      <c r="A30" s="479"/>
      <c r="B30" s="272" t="s">
        <v>1669</v>
      </c>
      <c r="C30" s="132"/>
      <c r="D30" s="133"/>
      <c r="E30" s="134">
        <f t="shared" si="43"/>
        <v>3305.2531818181815</v>
      </c>
      <c r="F30" s="395">
        <f>'Юнит 08-14.12'!K$49</f>
        <v>6</v>
      </c>
      <c r="G30" s="395">
        <f>'Юнит 08-14.12'!P$49</f>
        <v>3</v>
      </c>
      <c r="H30" s="395">
        <f>'Юнит 08-14.12'!Q$49</f>
        <v>0</v>
      </c>
      <c r="I30" s="135">
        <f>'Юнит 08-14.12'!S$49</f>
        <v>8512</v>
      </c>
      <c r="J30" s="136">
        <f>'Юнит 08-14.12'!T$49</f>
        <v>0</v>
      </c>
      <c r="K30" s="136">
        <f>I30+J30</f>
        <v>8512</v>
      </c>
      <c r="L30" s="138">
        <f>'Юнит 08-14.12'!W$49</f>
        <v>1911</v>
      </c>
      <c r="M30" s="137">
        <f>'Юнит 08-14.12'!Z$49</f>
        <v>803.66</v>
      </c>
      <c r="N30" s="138">
        <f>'Юнит 08-14.12'!X$49</f>
        <v>3660.1600000000003</v>
      </c>
      <c r="O30" s="138"/>
      <c r="P30" s="139"/>
      <c r="Q30" s="138"/>
      <c r="R30" s="140">
        <f>'Юнит 08-14.12'!AA$49</f>
        <v>742.92681818181813</v>
      </c>
      <c r="S30" s="137"/>
      <c r="T30" s="137"/>
      <c r="U30" s="137"/>
      <c r="V30" s="140"/>
      <c r="W30" s="137"/>
      <c r="X30" s="191">
        <f>(K30)*0.01</f>
        <v>85.12</v>
      </c>
      <c r="Y30" s="141">
        <f>K30-SUM(M30:U30)-L30-X30+V30+W30</f>
        <v>1309.1331818181816</v>
      </c>
      <c r="Z30" s="481"/>
      <c r="AA30" s="122">
        <f t="shared" si="39"/>
        <v>0.22450657894736842</v>
      </c>
      <c r="AB30" s="122">
        <f t="shared" si="40"/>
        <v>0.68505137719423426</v>
      </c>
      <c r="AC30" s="122">
        <f t="shared" si="41"/>
        <v>0.15379854109706081</v>
      </c>
      <c r="AD30" s="122">
        <f t="shared" si="42"/>
        <v>8.7279936346548181E-2</v>
      </c>
    </row>
    <row r="31" spans="1:35" s="123" customFormat="1" ht="27" customHeight="1">
      <c r="A31" s="479"/>
      <c r="B31" s="419" t="s">
        <v>1792</v>
      </c>
      <c r="C31" s="408"/>
      <c r="D31" s="409"/>
      <c r="E31" s="309">
        <f t="shared" si="43"/>
        <v>247.73478260869888</v>
      </c>
      <c r="F31" s="393">
        <f>'Юнит 15-21.12'!K$26</f>
        <v>95</v>
      </c>
      <c r="G31" s="393">
        <f>'Юнит 15-21.12'!P$26</f>
        <v>44</v>
      </c>
      <c r="H31" s="393">
        <f>'Юнит 15-21.12'!Q$26</f>
        <v>2</v>
      </c>
      <c r="I31" s="310">
        <f>'Юнит 15-21.12'!S$26</f>
        <v>61114</v>
      </c>
      <c r="J31" s="311">
        <f>'Юнит 15-21.12'!T$26</f>
        <v>-3391</v>
      </c>
      <c r="K31" s="311">
        <f>I31+J31</f>
        <v>57723</v>
      </c>
      <c r="L31" s="312">
        <f>'Юнит 15-21.12'!W$26</f>
        <v>5689.17</v>
      </c>
      <c r="M31" s="313">
        <f>'Юнит 15-21.12'!Z$26</f>
        <v>7370.2299999999987</v>
      </c>
      <c r="N31" s="312">
        <f>'Юнит 15-21.12'!X$26</f>
        <v>24820.889999999996</v>
      </c>
      <c r="O31" s="312"/>
      <c r="P31" s="314"/>
      <c r="Q31" s="312"/>
      <c r="R31" s="315">
        <f>'Юнит 15-21.12'!AA$26</f>
        <v>19747.085217391304</v>
      </c>
      <c r="S31" s="313">
        <v>0</v>
      </c>
      <c r="T31" s="313">
        <v>1553.66</v>
      </c>
      <c r="U31" s="313">
        <v>3983.4</v>
      </c>
      <c r="V31" s="315"/>
      <c r="W31" s="313"/>
      <c r="X31" s="316">
        <f>(K31)*0.01</f>
        <v>577.23</v>
      </c>
      <c r="Y31" s="317">
        <f t="shared" si="45"/>
        <v>-6018.6652173913008</v>
      </c>
      <c r="Z31" s="481"/>
      <c r="AA31" s="122">
        <f t="shared" ref="AA31:AA34" si="46">L31/K31</f>
        <v>9.8559846161841907E-2</v>
      </c>
      <c r="AB31" s="122">
        <f t="shared" ref="AB31:AB34" si="47">Y31/L31</f>
        <v>-1.057916219306384</v>
      </c>
      <c r="AC31" s="122">
        <f t="shared" ref="AC31:AC34" si="48">Y31/K31</f>
        <v>-0.10426805982695461</v>
      </c>
      <c r="AD31" s="122">
        <f t="shared" ref="AD31:AD34" si="49">R31/K31</f>
        <v>0.34210081280237176</v>
      </c>
    </row>
    <row r="32" spans="1:35" s="123" customFormat="1" ht="27" customHeight="1">
      <c r="A32" s="479"/>
      <c r="B32" s="131" t="s">
        <v>1793</v>
      </c>
      <c r="C32" s="132"/>
      <c r="D32" s="133"/>
      <c r="E32" s="134">
        <f t="shared" si="43"/>
        <v>2202.8352173913045</v>
      </c>
      <c r="F32" s="395">
        <f>'Юнит 15-21.12'!K$49</f>
        <v>2</v>
      </c>
      <c r="G32" s="395">
        <f>'Юнит 15-21.12'!P$49</f>
        <v>2</v>
      </c>
      <c r="H32" s="395">
        <f>'Юнит 15-21.12'!Q$49</f>
        <v>1</v>
      </c>
      <c r="I32" s="135">
        <f>'Юнит 15-21.12'!S$49</f>
        <v>9580</v>
      </c>
      <c r="J32" s="136">
        <f>'Юнит 15-21.12'!T$49</f>
        <v>-3080</v>
      </c>
      <c r="K32" s="136">
        <f>I32+J32</f>
        <v>6500</v>
      </c>
      <c r="L32" s="138">
        <f>'Юнит 15-21.12'!W$49</f>
        <v>687</v>
      </c>
      <c r="M32" s="137">
        <f>'Юнит 15-21.12'!Z$49</f>
        <v>604.57000000000005</v>
      </c>
      <c r="N32" s="138">
        <f>'Юнит 15-21.12'!X$49</f>
        <v>2795</v>
      </c>
      <c r="O32" s="138"/>
      <c r="P32" s="139"/>
      <c r="Q32" s="138"/>
      <c r="R32" s="140">
        <f>'Юнит 15-21.12'!AA$49</f>
        <v>897.59478260869571</v>
      </c>
      <c r="S32" s="137"/>
      <c r="T32" s="137"/>
      <c r="U32" s="137"/>
      <c r="V32" s="140"/>
      <c r="W32" s="137"/>
      <c r="X32" s="191">
        <f>(K32)*0.01</f>
        <v>65</v>
      </c>
      <c r="Y32" s="141">
        <f t="shared" si="45"/>
        <v>1450.8352173913045</v>
      </c>
      <c r="Z32" s="481"/>
      <c r="AA32" s="122">
        <f t="shared" si="46"/>
        <v>0.1056923076923077</v>
      </c>
      <c r="AB32" s="122">
        <f t="shared" si="47"/>
        <v>2.1118416555914186</v>
      </c>
      <c r="AC32" s="122">
        <f t="shared" si="48"/>
        <v>0.22320541806020069</v>
      </c>
      <c r="AD32" s="122">
        <f t="shared" si="49"/>
        <v>0.1380915050167224</v>
      </c>
    </row>
    <row r="33" spans="1:30" s="123" customFormat="1" ht="27" customHeight="1">
      <c r="A33" s="479"/>
      <c r="B33" s="274" t="s">
        <v>1991</v>
      </c>
      <c r="C33" s="288"/>
      <c r="D33" s="286"/>
      <c r="E33" s="275">
        <f t="shared" si="43"/>
        <v>12664.660000000003</v>
      </c>
      <c r="F33" s="396">
        <f>'Юнит 22-31.12'!K$26</f>
        <v>152</v>
      </c>
      <c r="G33" s="396">
        <f>'Юнит 22-31.12'!P$26</f>
        <v>94</v>
      </c>
      <c r="H33" s="396">
        <f>'Юнит 22-31.12'!Q$26</f>
        <v>4</v>
      </c>
      <c r="I33" s="276">
        <f>'Юнит 22-31.12'!S$26</f>
        <v>139134.00000000003</v>
      </c>
      <c r="J33" s="277">
        <f>'Юнит 22-31.12'!T$26</f>
        <v>-5434</v>
      </c>
      <c r="K33" s="277">
        <f t="shared" ref="K33" si="50">I33+J33</f>
        <v>133700.00000000003</v>
      </c>
      <c r="L33" s="278">
        <f>'Юнит 22-31.12'!W$26</f>
        <v>12820.230000000001</v>
      </c>
      <c r="M33" s="279">
        <f>'Юнит 22-31.12'!Z$26</f>
        <v>13321.350000000002</v>
      </c>
      <c r="N33" s="278">
        <f>'Юнит 22-31.12'!X$26</f>
        <v>57491.000000000029</v>
      </c>
      <c r="O33" s="278"/>
      <c r="P33" s="280"/>
      <c r="Q33" s="278"/>
      <c r="R33" s="281">
        <f>'Юнит 22-31.12'!AA$26</f>
        <v>44059.45</v>
      </c>
      <c r="S33" s="279">
        <v>25</v>
      </c>
      <c r="T33" s="279">
        <v>2416.34</v>
      </c>
      <c r="U33" s="279">
        <v>3722.2</v>
      </c>
      <c r="V33" s="281"/>
      <c r="W33" s="279"/>
      <c r="X33" s="282">
        <f>(K33)*0.01</f>
        <v>1337.0000000000002</v>
      </c>
      <c r="Y33" s="287">
        <f t="shared" si="45"/>
        <v>-1492.5699999999981</v>
      </c>
      <c r="Z33" s="481"/>
      <c r="AA33" s="122">
        <f t="shared" si="46"/>
        <v>9.5888032909498863E-2</v>
      </c>
      <c r="AB33" s="122">
        <f t="shared" si="47"/>
        <v>-0.11642302829200396</v>
      </c>
      <c r="AC33" s="122">
        <f t="shared" si="48"/>
        <v>-1.1163575168287193E-2</v>
      </c>
      <c r="AD33" s="122">
        <f t="shared" si="49"/>
        <v>0.32953964098728489</v>
      </c>
    </row>
    <row r="34" spans="1:30" s="123" customFormat="1" ht="27" customHeight="1" thickBot="1">
      <c r="A34" s="479"/>
      <c r="B34" s="272" t="s">
        <v>1992</v>
      </c>
      <c r="C34" s="273"/>
      <c r="D34" s="420"/>
      <c r="E34" s="421">
        <f t="shared" si="43"/>
        <v>-284.7</v>
      </c>
      <c r="F34" s="422">
        <f>'Юнит 22-31.12'!K$49</f>
        <v>3</v>
      </c>
      <c r="G34" s="422">
        <f>'Юнит 22-31.12'!P$49</f>
        <v>0</v>
      </c>
      <c r="H34" s="422">
        <f>'Юнит 22-31.12'!Q$49</f>
        <v>0</v>
      </c>
      <c r="I34" s="423">
        <f>'Юнит 22-31.12'!S$49</f>
        <v>0</v>
      </c>
      <c r="J34" s="424">
        <f>'Юнит 22-31.12'!T$49</f>
        <v>0</v>
      </c>
      <c r="K34" s="424">
        <f>I34+J34</f>
        <v>0</v>
      </c>
      <c r="L34" s="425">
        <f>'Юнит 22-31.12'!W$49</f>
        <v>0</v>
      </c>
      <c r="M34" s="426">
        <f>'Юнит 22-31.12'!Z$49</f>
        <v>284.7</v>
      </c>
      <c r="N34" s="425">
        <f>'Юнит 22-31.12'!X$49</f>
        <v>0</v>
      </c>
      <c r="O34" s="425"/>
      <c r="P34" s="427"/>
      <c r="Q34" s="425"/>
      <c r="R34" s="428">
        <f>'Юнит 22-31.12'!AA$49</f>
        <v>0</v>
      </c>
      <c r="S34" s="426"/>
      <c r="T34" s="426"/>
      <c r="U34" s="426"/>
      <c r="V34" s="428"/>
      <c r="W34" s="426"/>
      <c r="X34" s="429">
        <f>(K34)*0.01</f>
        <v>0</v>
      </c>
      <c r="Y34" s="430">
        <f t="shared" si="45"/>
        <v>-284.7</v>
      </c>
      <c r="Z34" s="481"/>
      <c r="AA34" s="122" t="e">
        <f t="shared" si="46"/>
        <v>#DIV/0!</v>
      </c>
      <c r="AB34" s="122" t="e">
        <f t="shared" si="47"/>
        <v>#DIV/0!</v>
      </c>
      <c r="AC34" s="122" t="e">
        <f t="shared" si="48"/>
        <v>#DIV/0!</v>
      </c>
      <c r="AD34" s="122" t="e">
        <f t="shared" si="49"/>
        <v>#DIV/0!</v>
      </c>
    </row>
    <row r="35" spans="1:30" s="154" customFormat="1" ht="22" customHeight="1" thickBot="1">
      <c r="A35" s="146" t="s">
        <v>265</v>
      </c>
      <c r="B35" s="147"/>
      <c r="C35" s="148"/>
      <c r="D35" s="149"/>
      <c r="E35" s="150">
        <f t="shared" ref="E35:Z35" si="51">SUM(E3:E34)</f>
        <v>193947.2999999999</v>
      </c>
      <c r="F35" s="392">
        <f t="shared" si="51"/>
        <v>1159</v>
      </c>
      <c r="G35" s="392">
        <f t="shared" si="51"/>
        <v>632</v>
      </c>
      <c r="H35" s="392">
        <f t="shared" si="51"/>
        <v>42</v>
      </c>
      <c r="I35" s="150">
        <f t="shared" si="51"/>
        <v>1153756</v>
      </c>
      <c r="J35" s="150">
        <f t="shared" si="51"/>
        <v>-118835</v>
      </c>
      <c r="K35" s="150">
        <f t="shared" si="51"/>
        <v>1034921</v>
      </c>
      <c r="L35" s="150">
        <f t="shared" si="51"/>
        <v>140719.76</v>
      </c>
      <c r="M35" s="150">
        <f t="shared" si="51"/>
        <v>96519.370000000024</v>
      </c>
      <c r="N35" s="150">
        <f t="shared" si="51"/>
        <v>360754.29000000004</v>
      </c>
      <c r="O35" s="150">
        <f t="shared" si="51"/>
        <v>0</v>
      </c>
      <c r="P35" s="150">
        <f t="shared" si="51"/>
        <v>0</v>
      </c>
      <c r="Q35" s="150">
        <f t="shared" si="51"/>
        <v>0</v>
      </c>
      <c r="R35" s="150">
        <f t="shared" si="51"/>
        <v>445587.7</v>
      </c>
      <c r="S35" s="150">
        <f t="shared" si="51"/>
        <v>284</v>
      </c>
      <c r="T35" s="150">
        <f t="shared" si="51"/>
        <v>23540.140000000003</v>
      </c>
      <c r="U35" s="150">
        <f t="shared" si="51"/>
        <v>50678.2</v>
      </c>
      <c r="V35" s="150">
        <f t="shared" si="51"/>
        <v>0</v>
      </c>
      <c r="W35" s="150">
        <f t="shared" si="51"/>
        <v>136390</v>
      </c>
      <c r="X35" s="150">
        <f t="shared" si="51"/>
        <v>10349.210000000001</v>
      </c>
      <c r="Y35" s="151">
        <f t="shared" si="51"/>
        <v>42878.329999999936</v>
      </c>
      <c r="Z35" s="152">
        <f t="shared" si="51"/>
        <v>42878.329999999929</v>
      </c>
      <c r="AA35" s="153">
        <f>L35/K35</f>
        <v>0.13597149927385763</v>
      </c>
      <c r="AB35" s="153">
        <f>Y35/L35</f>
        <v>0.30470724225226031</v>
      </c>
      <c r="AC35" s="153">
        <f>Y35/K35</f>
        <v>4.1431500568642379E-2</v>
      </c>
      <c r="AD35" s="153">
        <f t="shared" si="2"/>
        <v>0.4305523803266143</v>
      </c>
    </row>
    <row r="36" spans="1:30">
      <c r="I36" s="159" t="s">
        <v>276</v>
      </c>
      <c r="K36" s="160"/>
      <c r="N36" s="160"/>
      <c r="S36" s="160"/>
      <c r="T36" s="160"/>
      <c r="U36" s="160"/>
      <c r="X36" s="160"/>
    </row>
    <row r="37" spans="1:30" s="156" customFormat="1">
      <c r="A37" s="161"/>
      <c r="B37" s="161"/>
      <c r="D37" s="162"/>
      <c r="E37" s="163"/>
      <c r="F37" s="163"/>
      <c r="G37" s="163"/>
      <c r="H37" s="163"/>
      <c r="J37" s="164">
        <f>-J35/I35</f>
        <v>0.10299838094016413</v>
      </c>
      <c r="K37" s="165">
        <v>0</v>
      </c>
      <c r="L37" s="164">
        <f>L35/$K$35</f>
        <v>0.13597149927385763</v>
      </c>
      <c r="M37" s="164">
        <f>M35/$K$35</f>
        <v>9.3262548542352539E-2</v>
      </c>
      <c r="N37" s="164">
        <f>N35/$K$35</f>
        <v>0.34858147626727065</v>
      </c>
      <c r="O37" s="164"/>
      <c r="P37" s="164"/>
      <c r="Q37" s="164"/>
      <c r="R37" s="164">
        <f>R35/$K$35</f>
        <v>0.4305523803266143</v>
      </c>
      <c r="S37" s="164"/>
      <c r="T37" s="164"/>
      <c r="U37" s="164"/>
      <c r="V37" s="154"/>
      <c r="W37" s="154"/>
      <c r="X37" s="164">
        <f>X35/$K$35</f>
        <v>0.01</v>
      </c>
      <c r="Y37" s="164">
        <f>Y35/L35</f>
        <v>0.30470724225226031</v>
      </c>
      <c r="Z37" s="166" t="s">
        <v>219</v>
      </c>
      <c r="AA37" s="154"/>
      <c r="AB37" s="167"/>
      <c r="AC37" s="167"/>
      <c r="AD37" s="167"/>
    </row>
    <row r="38" spans="1:30" s="156" customFormat="1">
      <c r="A38" s="168"/>
      <c r="B38" s="168"/>
      <c r="C38" s="169"/>
      <c r="D38" s="170"/>
      <c r="E38" s="171"/>
      <c r="F38" s="171"/>
      <c r="G38" s="171"/>
      <c r="H38" s="171"/>
      <c r="I38" s="169"/>
      <c r="J38" s="172"/>
      <c r="K38" s="173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4"/>
      <c r="W38" s="174"/>
      <c r="X38" s="175"/>
      <c r="Y38" s="176">
        <f>Y35/$K$35</f>
        <v>4.1431500568642379E-2</v>
      </c>
      <c r="Z38" s="177" t="s">
        <v>220</v>
      </c>
      <c r="AA38" s="154"/>
      <c r="AB38" s="167"/>
      <c r="AC38" s="167"/>
      <c r="AD38" s="167"/>
    </row>
    <row r="39" spans="1:30" s="156" customFormat="1">
      <c r="A39" s="161"/>
      <c r="B39" s="161"/>
      <c r="D39" s="162"/>
      <c r="E39" s="163"/>
      <c r="F39" s="163"/>
      <c r="G39" s="163"/>
      <c r="H39" s="163"/>
      <c r="I39" s="178" t="s">
        <v>1990</v>
      </c>
      <c r="J39" s="178"/>
      <c r="K39" s="178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54"/>
      <c r="W39" s="154"/>
      <c r="X39" s="164"/>
      <c r="Y39" s="164"/>
      <c r="Z39" s="166"/>
      <c r="AA39" s="154"/>
      <c r="AB39" s="167"/>
      <c r="AC39" s="167"/>
      <c r="AD39" s="167"/>
    </row>
    <row r="40" spans="1:30" s="156" customFormat="1" ht="14.5" customHeight="1" outlineLevel="1">
      <c r="A40" s="161"/>
      <c r="B40" s="161"/>
      <c r="D40" s="162"/>
      <c r="E40" s="163"/>
      <c r="F40" s="163"/>
      <c r="G40" s="163"/>
      <c r="H40" s="163"/>
      <c r="I40" s="477" t="s">
        <v>277</v>
      </c>
      <c r="J40" s="477"/>
      <c r="K40" s="477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54"/>
      <c r="W40" s="154"/>
      <c r="X40" s="164"/>
      <c r="Y40" s="164"/>
      <c r="Z40" s="166"/>
      <c r="AA40" s="154"/>
      <c r="AB40" s="167"/>
      <c r="AC40" s="167"/>
      <c r="AD40" s="167"/>
    </row>
    <row r="41" spans="1:30" s="156" customFormat="1" ht="14.5" customHeight="1" outlineLevel="1">
      <c r="A41" s="161"/>
      <c r="B41" s="161"/>
      <c r="D41" s="162"/>
      <c r="E41" s="163"/>
      <c r="F41" s="163"/>
      <c r="G41" s="163"/>
      <c r="H41" s="163"/>
      <c r="I41" s="158" t="s">
        <v>308</v>
      </c>
      <c r="J41" s="179">
        <f>-(J33)/(I33)</f>
        <v>3.9055874193223789E-2</v>
      </c>
      <c r="K41" s="180"/>
      <c r="L41" s="181">
        <f>(L33)/($K$33)</f>
        <v>9.5888032909498863E-2</v>
      </c>
      <c r="M41" s="181">
        <f t="shared" ref="M41:X41" si="52">(M33)/($K$33)</f>
        <v>9.963612565445025E-2</v>
      </c>
      <c r="N41" s="181">
        <f t="shared" si="52"/>
        <v>0.4300000000000001</v>
      </c>
      <c r="O41" s="181">
        <f t="shared" si="52"/>
        <v>0</v>
      </c>
      <c r="P41" s="181">
        <f t="shared" si="52"/>
        <v>0</v>
      </c>
      <c r="Q41" s="181">
        <f t="shared" si="52"/>
        <v>0</v>
      </c>
      <c r="R41" s="181">
        <f t="shared" si="52"/>
        <v>0.32953964098728489</v>
      </c>
      <c r="S41" s="181">
        <f t="shared" si="52"/>
        <v>1.8698578908002989E-4</v>
      </c>
      <c r="T41" s="181">
        <f t="shared" si="52"/>
        <v>1.8072849663425577E-2</v>
      </c>
      <c r="U41" s="181">
        <f t="shared" si="52"/>
        <v>2.7839940164547487E-2</v>
      </c>
      <c r="V41" s="181">
        <f t="shared" si="52"/>
        <v>0</v>
      </c>
      <c r="W41" s="181">
        <f t="shared" si="52"/>
        <v>0</v>
      </c>
      <c r="X41" s="181">
        <f t="shared" si="52"/>
        <v>0.01</v>
      </c>
      <c r="Y41" s="164"/>
      <c r="Z41" s="166"/>
      <c r="AA41" s="154"/>
      <c r="AB41" s="167"/>
      <c r="AC41" s="167"/>
      <c r="AD41" s="167"/>
    </row>
    <row r="42" spans="1:30" s="156" customFormat="1" outlineLevel="1">
      <c r="A42" s="161"/>
      <c r="B42" s="161"/>
      <c r="D42" s="162"/>
      <c r="E42" s="163"/>
      <c r="F42" s="163"/>
      <c r="G42" s="163"/>
      <c r="H42" s="163"/>
      <c r="I42" s="158" t="s">
        <v>309</v>
      </c>
      <c r="J42" s="179" t="e">
        <f>-(J34)/(I34)</f>
        <v>#DIV/0!</v>
      </c>
      <c r="K42" s="180"/>
      <c r="L42" s="181" t="e">
        <f>(L34)/($K$34)</f>
        <v>#DIV/0!</v>
      </c>
      <c r="M42" s="181" t="e">
        <f t="shared" ref="M42:X42" si="53">(M34)/($K$34)</f>
        <v>#DIV/0!</v>
      </c>
      <c r="N42" s="181" t="e">
        <f t="shared" si="53"/>
        <v>#DIV/0!</v>
      </c>
      <c r="O42" s="181" t="e">
        <f t="shared" si="53"/>
        <v>#DIV/0!</v>
      </c>
      <c r="P42" s="181" t="e">
        <f t="shared" si="53"/>
        <v>#DIV/0!</v>
      </c>
      <c r="Q42" s="181" t="e">
        <f t="shared" si="53"/>
        <v>#DIV/0!</v>
      </c>
      <c r="R42" s="181" t="e">
        <f t="shared" si="53"/>
        <v>#DIV/0!</v>
      </c>
      <c r="S42" s="181" t="e">
        <f t="shared" si="53"/>
        <v>#DIV/0!</v>
      </c>
      <c r="T42" s="181" t="e">
        <f t="shared" si="53"/>
        <v>#DIV/0!</v>
      </c>
      <c r="U42" s="181" t="e">
        <f t="shared" si="53"/>
        <v>#DIV/0!</v>
      </c>
      <c r="V42" s="181" t="e">
        <f t="shared" si="53"/>
        <v>#DIV/0!</v>
      </c>
      <c r="W42" s="181" t="e">
        <f t="shared" si="53"/>
        <v>#DIV/0!</v>
      </c>
      <c r="X42" s="181" t="e">
        <f t="shared" si="53"/>
        <v>#DIV/0!</v>
      </c>
      <c r="Y42" s="181"/>
      <c r="Z42" s="158"/>
      <c r="AA42" s="154"/>
      <c r="AB42" s="167"/>
      <c r="AC42" s="167"/>
      <c r="AD42" s="167"/>
    </row>
    <row r="43" spans="1:30" s="156" customFormat="1" outlineLevel="1">
      <c r="A43" s="161"/>
      <c r="B43" s="161"/>
      <c r="D43" s="162"/>
      <c r="E43" s="163"/>
      <c r="F43" s="163"/>
      <c r="G43" s="163"/>
      <c r="H43" s="163"/>
      <c r="I43" s="182" t="s">
        <v>278</v>
      </c>
      <c r="J43" s="183"/>
      <c r="K43" s="180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66"/>
      <c r="AA43" s="154"/>
      <c r="AB43" s="167"/>
      <c r="AC43" s="167"/>
      <c r="AD43" s="167"/>
    </row>
    <row r="44" spans="1:30" s="156" customFormat="1" outlineLevel="1">
      <c r="A44" s="161"/>
      <c r="B44" s="161"/>
      <c r="D44" s="162"/>
      <c r="E44" s="163"/>
      <c r="F44" s="163"/>
      <c r="G44" s="163"/>
      <c r="H44" s="163"/>
      <c r="I44" s="158" t="s">
        <v>308</v>
      </c>
      <c r="J44" s="184">
        <f>-(J33)/(I33)+(J31)/(I31)</f>
        <v>-1.643059371920217E-2</v>
      </c>
      <c r="K44" s="185">
        <f>(K33)/(K31)-1</f>
        <v>1.316234429949934</v>
      </c>
      <c r="L44" s="185">
        <f t="shared" ref="L44:X44" si="54">(L33)/(L31)-1</f>
        <v>1.2534447028301141</v>
      </c>
      <c r="M44" s="185">
        <f t="shared" si="54"/>
        <v>0.8074537700994413</v>
      </c>
      <c r="N44" s="185">
        <f t="shared" si="54"/>
        <v>1.3162344299499349</v>
      </c>
      <c r="O44" s="185" t="e">
        <f t="shared" si="54"/>
        <v>#DIV/0!</v>
      </c>
      <c r="P44" s="185" t="e">
        <f t="shared" si="54"/>
        <v>#DIV/0!</v>
      </c>
      <c r="Q44" s="185" t="e">
        <f t="shared" si="54"/>
        <v>#DIV/0!</v>
      </c>
      <c r="R44" s="185">
        <f t="shared" si="54"/>
        <v>1.2311875152691769</v>
      </c>
      <c r="S44" s="185" t="e">
        <f t="shared" si="54"/>
        <v>#DIV/0!</v>
      </c>
      <c r="T44" s="185">
        <f t="shared" si="54"/>
        <v>0.55525661985247732</v>
      </c>
      <c r="U44" s="185">
        <f t="shared" si="54"/>
        <v>-6.5572124315911084E-2</v>
      </c>
      <c r="V44" s="185" t="e">
        <f t="shared" si="54"/>
        <v>#DIV/0!</v>
      </c>
      <c r="W44" s="185" t="e">
        <f t="shared" si="54"/>
        <v>#DIV/0!</v>
      </c>
      <c r="X44" s="185">
        <f t="shared" si="54"/>
        <v>1.3162344299499336</v>
      </c>
      <c r="Y44" s="185">
        <f>-((Y33)/(Y31)-1)</f>
        <v>0.75200979850364069</v>
      </c>
      <c r="Z44" s="166"/>
      <c r="AA44" s="154"/>
      <c r="AB44" s="167"/>
      <c r="AC44" s="167"/>
      <c r="AD44" s="167"/>
    </row>
    <row r="45" spans="1:30" s="156" customFormat="1" outlineLevel="1">
      <c r="A45" s="161"/>
      <c r="B45" s="161"/>
      <c r="D45" s="162"/>
      <c r="E45" s="163"/>
      <c r="F45" s="163"/>
      <c r="G45" s="163"/>
      <c r="H45" s="163"/>
      <c r="I45" s="158" t="s">
        <v>309</v>
      </c>
      <c r="J45" s="184" t="e">
        <f>-(J34)/(I34)+(J32)/(I32)</f>
        <v>#DIV/0!</v>
      </c>
      <c r="K45" s="185">
        <f>(K34)/(K32)-1</f>
        <v>-1</v>
      </c>
      <c r="L45" s="185">
        <f t="shared" ref="L45:Y45" si="55">(L34)/(L32)-1</f>
        <v>-1</v>
      </c>
      <c r="M45" s="185">
        <f t="shared" si="55"/>
        <v>-0.52908678895744088</v>
      </c>
      <c r="N45" s="185">
        <f t="shared" si="55"/>
        <v>-1</v>
      </c>
      <c r="O45" s="185" t="e">
        <f t="shared" si="55"/>
        <v>#DIV/0!</v>
      </c>
      <c r="P45" s="185" t="e">
        <f t="shared" si="55"/>
        <v>#DIV/0!</v>
      </c>
      <c r="Q45" s="185" t="e">
        <f t="shared" si="55"/>
        <v>#DIV/0!</v>
      </c>
      <c r="R45" s="185">
        <f t="shared" si="55"/>
        <v>-1</v>
      </c>
      <c r="S45" s="185" t="e">
        <f t="shared" si="55"/>
        <v>#DIV/0!</v>
      </c>
      <c r="T45" s="185" t="e">
        <f t="shared" si="55"/>
        <v>#DIV/0!</v>
      </c>
      <c r="U45" s="185" t="e">
        <f t="shared" si="55"/>
        <v>#DIV/0!</v>
      </c>
      <c r="V45" s="185" t="e">
        <f t="shared" si="55"/>
        <v>#DIV/0!</v>
      </c>
      <c r="W45" s="185" t="e">
        <f t="shared" si="55"/>
        <v>#DIV/0!</v>
      </c>
      <c r="X45" s="185">
        <f t="shared" si="55"/>
        <v>-1</v>
      </c>
      <c r="Y45" s="185">
        <f t="shared" si="55"/>
        <v>-1.1962317957182684</v>
      </c>
      <c r="Z45" s="186" t="s">
        <v>279</v>
      </c>
      <c r="AA45" s="154"/>
      <c r="AB45" s="167"/>
      <c r="AC45" s="167"/>
      <c r="AD45" s="167"/>
    </row>
    <row r="46" spans="1:30" s="156" customFormat="1">
      <c r="A46" s="161"/>
      <c r="B46" s="161"/>
      <c r="D46" s="162"/>
      <c r="E46" s="163"/>
      <c r="F46" s="163"/>
      <c r="G46" s="163"/>
      <c r="H46" s="163"/>
      <c r="I46" s="178" t="s">
        <v>1334</v>
      </c>
      <c r="J46" s="178"/>
      <c r="K46" s="178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54"/>
      <c r="W46" s="154"/>
      <c r="X46" s="164"/>
      <c r="Y46" s="164"/>
      <c r="Z46" s="166"/>
      <c r="AA46" s="154"/>
      <c r="AB46" s="167"/>
      <c r="AC46" s="167"/>
      <c r="AD46" s="167"/>
    </row>
    <row r="47" spans="1:30" s="156" customFormat="1" ht="14.5" hidden="1" customHeight="1" outlineLevel="1">
      <c r="A47" s="161"/>
      <c r="B47" s="161"/>
      <c r="D47" s="162"/>
      <c r="E47" s="163"/>
      <c r="F47" s="163"/>
      <c r="G47" s="163"/>
      <c r="H47" s="163"/>
      <c r="I47" s="477" t="s">
        <v>277</v>
      </c>
      <c r="J47" s="477"/>
      <c r="K47" s="477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54"/>
      <c r="W47" s="154"/>
      <c r="X47" s="164"/>
      <c r="Y47" s="164"/>
      <c r="Z47" s="166"/>
      <c r="AA47" s="154"/>
      <c r="AB47" s="167"/>
      <c r="AC47" s="167"/>
      <c r="AD47" s="167"/>
    </row>
    <row r="48" spans="1:30" s="156" customFormat="1" ht="14.5" hidden="1" customHeight="1" outlineLevel="1">
      <c r="A48" s="161"/>
      <c r="B48" s="161"/>
      <c r="D48" s="162"/>
      <c r="E48" s="163"/>
      <c r="F48" s="163"/>
      <c r="G48" s="163"/>
      <c r="H48" s="163"/>
      <c r="I48" s="158" t="s">
        <v>308</v>
      </c>
      <c r="J48" s="179">
        <f>-(J31)/(I31)</f>
        <v>5.5486467912425959E-2</v>
      </c>
      <c r="K48" s="180"/>
      <c r="L48" s="181">
        <f>(L31)/($K$31)</f>
        <v>9.8559846161841907E-2</v>
      </c>
      <c r="M48" s="181">
        <f t="shared" ref="M48:X48" si="56">(M31)/($K$31)</f>
        <v>0.12768272612303586</v>
      </c>
      <c r="N48" s="181">
        <f t="shared" si="56"/>
        <v>0.42999999999999994</v>
      </c>
      <c r="O48" s="181">
        <f t="shared" si="56"/>
        <v>0</v>
      </c>
      <c r="P48" s="181">
        <f t="shared" si="56"/>
        <v>0</v>
      </c>
      <c r="Q48" s="181">
        <f t="shared" si="56"/>
        <v>0</v>
      </c>
      <c r="R48" s="181">
        <f t="shared" si="56"/>
        <v>0.34210081280237176</v>
      </c>
      <c r="S48" s="181">
        <f t="shared" si="56"/>
        <v>0</v>
      </c>
      <c r="T48" s="181">
        <f t="shared" si="56"/>
        <v>2.6915787467733834E-2</v>
      </c>
      <c r="U48" s="181">
        <f t="shared" si="56"/>
        <v>6.9008887271971311E-2</v>
      </c>
      <c r="V48" s="181">
        <f t="shared" si="56"/>
        <v>0</v>
      </c>
      <c r="W48" s="181">
        <f t="shared" si="56"/>
        <v>0</v>
      </c>
      <c r="X48" s="181">
        <f t="shared" si="56"/>
        <v>0.01</v>
      </c>
      <c r="Y48" s="164"/>
      <c r="Z48" s="166"/>
      <c r="AA48" s="154"/>
      <c r="AB48" s="167"/>
      <c r="AC48" s="167"/>
      <c r="AD48" s="167"/>
    </row>
    <row r="49" spans="1:30" s="156" customFormat="1" hidden="1" outlineLevel="1">
      <c r="A49" s="161"/>
      <c r="B49" s="161"/>
      <c r="D49" s="162"/>
      <c r="E49" s="163"/>
      <c r="F49" s="163"/>
      <c r="G49" s="163"/>
      <c r="H49" s="163"/>
      <c r="I49" s="158" t="s">
        <v>309</v>
      </c>
      <c r="J49" s="179">
        <f>-(J32)/(I32)</f>
        <v>0.32150313152400833</v>
      </c>
      <c r="K49" s="180"/>
      <c r="L49" s="181">
        <f>(L32)/($K$32)</f>
        <v>0.1056923076923077</v>
      </c>
      <c r="M49" s="181">
        <f t="shared" ref="M49:X49" si="57">(M32)/($K$32)</f>
        <v>9.3010769230769244E-2</v>
      </c>
      <c r="N49" s="181">
        <f t="shared" si="57"/>
        <v>0.43</v>
      </c>
      <c r="O49" s="181">
        <f t="shared" si="57"/>
        <v>0</v>
      </c>
      <c r="P49" s="181">
        <f t="shared" si="57"/>
        <v>0</v>
      </c>
      <c r="Q49" s="181">
        <f t="shared" si="57"/>
        <v>0</v>
      </c>
      <c r="R49" s="181">
        <f t="shared" si="57"/>
        <v>0.1380915050167224</v>
      </c>
      <c r="S49" s="181">
        <f t="shared" si="57"/>
        <v>0</v>
      </c>
      <c r="T49" s="181">
        <f t="shared" si="57"/>
        <v>0</v>
      </c>
      <c r="U49" s="181">
        <f t="shared" si="57"/>
        <v>0</v>
      </c>
      <c r="V49" s="181">
        <f t="shared" si="57"/>
        <v>0</v>
      </c>
      <c r="W49" s="181">
        <f t="shared" si="57"/>
        <v>0</v>
      </c>
      <c r="X49" s="181">
        <f t="shared" si="57"/>
        <v>0.01</v>
      </c>
      <c r="Y49" s="181"/>
      <c r="Z49" s="158"/>
      <c r="AA49" s="154"/>
      <c r="AB49" s="167"/>
      <c r="AC49" s="167"/>
      <c r="AD49" s="167"/>
    </row>
    <row r="50" spans="1:30" s="156" customFormat="1" hidden="1" outlineLevel="1">
      <c r="A50" s="161"/>
      <c r="B50" s="161"/>
      <c r="D50" s="162"/>
      <c r="E50" s="163"/>
      <c r="F50" s="163"/>
      <c r="G50" s="163"/>
      <c r="H50" s="163"/>
      <c r="I50" s="182" t="s">
        <v>278</v>
      </c>
      <c r="J50" s="183"/>
      <c r="K50" s="180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66"/>
      <c r="AA50" s="154"/>
      <c r="AB50" s="167"/>
      <c r="AC50" s="167"/>
      <c r="AD50" s="167"/>
    </row>
    <row r="51" spans="1:30" s="156" customFormat="1" hidden="1" outlineLevel="1">
      <c r="A51" s="161"/>
      <c r="B51" s="161"/>
      <c r="D51" s="162"/>
      <c r="E51" s="163"/>
      <c r="F51" s="163"/>
      <c r="G51" s="163"/>
      <c r="H51" s="163"/>
      <c r="I51" s="158" t="s">
        <v>308</v>
      </c>
      <c r="J51" s="184">
        <f>-(J31)/(I31)+(J29)/(I29)</f>
        <v>-1.2107300891478566E-2</v>
      </c>
      <c r="K51" s="185">
        <f>(K31)/(K29)-1</f>
        <v>3.4759070701276373E-2</v>
      </c>
      <c r="L51" s="185">
        <f t="shared" ref="L51:Y51" si="58">(L31)/(L29)-1</f>
        <v>0.10322580645161272</v>
      </c>
      <c r="M51" s="185">
        <f t="shared" si="58"/>
        <v>0.13416071648405725</v>
      </c>
      <c r="N51" s="185">
        <f t="shared" si="58"/>
        <v>3.4759070701276373E-2</v>
      </c>
      <c r="O51" s="185" t="e">
        <f t="shared" si="58"/>
        <v>#DIV/0!</v>
      </c>
      <c r="P51" s="185" t="e">
        <f t="shared" si="58"/>
        <v>#DIV/0!</v>
      </c>
      <c r="Q51" s="185" t="e">
        <f t="shared" si="58"/>
        <v>#DIV/0!</v>
      </c>
      <c r="R51" s="185">
        <f t="shared" si="58"/>
        <v>0.94488695128737454</v>
      </c>
      <c r="S51" s="185" t="e">
        <f t="shared" si="58"/>
        <v>#DIV/0!</v>
      </c>
      <c r="T51" s="185">
        <f t="shared" si="58"/>
        <v>0.10262943117703416</v>
      </c>
      <c r="U51" s="185">
        <f t="shared" si="58"/>
        <v>-0.40975298946463756</v>
      </c>
      <c r="V51" s="185" t="e">
        <f t="shared" si="58"/>
        <v>#DIV/0!</v>
      </c>
      <c r="W51" s="185" t="e">
        <f t="shared" si="58"/>
        <v>#DIV/0!</v>
      </c>
      <c r="X51" s="185">
        <f t="shared" si="58"/>
        <v>3.4759070701276373E-2</v>
      </c>
      <c r="Y51" s="185">
        <f t="shared" si="58"/>
        <v>-5.7290272444595924</v>
      </c>
      <c r="Z51" s="166"/>
      <c r="AA51" s="154"/>
      <c r="AB51" s="167"/>
      <c r="AC51" s="167"/>
      <c r="AD51" s="167"/>
    </row>
    <row r="52" spans="1:30" s="156" customFormat="1" hidden="1" outlineLevel="1">
      <c r="A52" s="161"/>
      <c r="B52" s="161"/>
      <c r="D52" s="162"/>
      <c r="E52" s="163"/>
      <c r="F52" s="163"/>
      <c r="G52" s="163"/>
      <c r="H52" s="163"/>
      <c r="I52" s="158" t="s">
        <v>309</v>
      </c>
      <c r="J52" s="184">
        <f>-(J32)/(I32)+(J30)/(I30)</f>
        <v>0.32150313152400833</v>
      </c>
      <c r="K52" s="185">
        <f>(K32)/(K30)-1</f>
        <v>-0.23637218045112784</v>
      </c>
      <c r="L52" s="185">
        <f t="shared" ref="L52:Y52" si="59">(L32)/(L30)-1</f>
        <v>-0.64050235478806905</v>
      </c>
      <c r="M52" s="185">
        <f t="shared" si="59"/>
        <v>-0.24772913918821382</v>
      </c>
      <c r="N52" s="185">
        <f t="shared" si="59"/>
        <v>-0.23637218045112784</v>
      </c>
      <c r="O52" s="185" t="e">
        <f t="shared" si="59"/>
        <v>#DIV/0!</v>
      </c>
      <c r="P52" s="185" t="e">
        <f t="shared" si="59"/>
        <v>#DIV/0!</v>
      </c>
      <c r="Q52" s="185" t="e">
        <f t="shared" si="59"/>
        <v>#DIV/0!</v>
      </c>
      <c r="R52" s="185">
        <f t="shared" si="59"/>
        <v>0.2081873485270056</v>
      </c>
      <c r="S52" s="185" t="e">
        <f t="shared" si="59"/>
        <v>#DIV/0!</v>
      </c>
      <c r="T52" s="185" t="e">
        <f t="shared" si="59"/>
        <v>#DIV/0!</v>
      </c>
      <c r="U52" s="185" t="e">
        <f t="shared" si="59"/>
        <v>#DIV/0!</v>
      </c>
      <c r="V52" s="185" t="e">
        <f t="shared" si="59"/>
        <v>#DIV/0!</v>
      </c>
      <c r="W52" s="185" t="e">
        <f t="shared" si="59"/>
        <v>#DIV/0!</v>
      </c>
      <c r="X52" s="185">
        <f t="shared" si="59"/>
        <v>-0.23637218045112784</v>
      </c>
      <c r="Y52" s="185">
        <f t="shared" si="59"/>
        <v>0.10824111522123436</v>
      </c>
      <c r="Z52" s="186" t="s">
        <v>279</v>
      </c>
      <c r="AA52" s="154"/>
      <c r="AB52" s="167"/>
      <c r="AC52" s="167"/>
      <c r="AD52" s="167"/>
    </row>
    <row r="53" spans="1:30" s="156" customFormat="1" collapsed="1">
      <c r="A53" s="161"/>
      <c r="B53" s="161"/>
      <c r="D53" s="162"/>
      <c r="E53" s="163"/>
      <c r="F53" s="163"/>
      <c r="G53" s="163"/>
      <c r="H53" s="163"/>
      <c r="I53" s="178" t="s">
        <v>1333</v>
      </c>
      <c r="J53" s="178"/>
      <c r="K53" s="178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54"/>
      <c r="W53" s="154"/>
      <c r="X53" s="164"/>
      <c r="Y53" s="164"/>
      <c r="Z53" s="166"/>
      <c r="AA53" s="154"/>
      <c r="AB53" s="167"/>
      <c r="AC53" s="167"/>
      <c r="AD53" s="167"/>
    </row>
    <row r="54" spans="1:30" s="156" customFormat="1" ht="14.5" hidden="1" customHeight="1" outlineLevel="1">
      <c r="A54" s="161"/>
      <c r="B54" s="161"/>
      <c r="D54" s="162"/>
      <c r="E54" s="163"/>
      <c r="F54" s="163"/>
      <c r="G54" s="163"/>
      <c r="H54" s="163"/>
      <c r="I54" s="477" t="s">
        <v>277</v>
      </c>
      <c r="J54" s="477"/>
      <c r="K54" s="477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54"/>
      <c r="W54" s="154"/>
      <c r="X54" s="164"/>
      <c r="Y54" s="164"/>
      <c r="Z54" s="166"/>
      <c r="AA54" s="154"/>
      <c r="AB54" s="167"/>
      <c r="AC54" s="167"/>
      <c r="AD54" s="167"/>
    </row>
    <row r="55" spans="1:30" s="156" customFormat="1" ht="14.5" hidden="1" customHeight="1" outlineLevel="1">
      <c r="A55" s="161"/>
      <c r="B55" s="161"/>
      <c r="D55" s="162"/>
      <c r="E55" s="163"/>
      <c r="F55" s="163"/>
      <c r="G55" s="163"/>
      <c r="H55" s="163"/>
      <c r="I55" s="158" t="s">
        <v>308</v>
      </c>
      <c r="J55" s="179">
        <f>-(J29)/(I29)</f>
        <v>6.7593768803904525E-2</v>
      </c>
      <c r="K55" s="180"/>
      <c r="L55" s="181">
        <f>(L29)/($K$29)</f>
        <v>9.2443173669869524E-2</v>
      </c>
      <c r="M55" s="181">
        <f t="shared" ref="M55:X55" si="60">(M29)/($K$29)</f>
        <v>0.11649218413882119</v>
      </c>
      <c r="N55" s="181">
        <f t="shared" si="60"/>
        <v>0.42999999999999994</v>
      </c>
      <c r="O55" s="181">
        <f t="shared" si="60"/>
        <v>0</v>
      </c>
      <c r="P55" s="181">
        <f t="shared" si="60"/>
        <v>0</v>
      </c>
      <c r="Q55" s="181">
        <f t="shared" si="60"/>
        <v>0</v>
      </c>
      <c r="R55" s="181">
        <f t="shared" si="60"/>
        <v>0.18201156571450924</v>
      </c>
      <c r="S55" s="181">
        <f t="shared" si="60"/>
        <v>0</v>
      </c>
      <c r="T55" s="181">
        <f t="shared" si="60"/>
        <v>2.5259034848702136E-2</v>
      </c>
      <c r="U55" s="181">
        <f t="shared" si="60"/>
        <v>0.12097913380180697</v>
      </c>
      <c r="V55" s="181">
        <f t="shared" si="60"/>
        <v>0</v>
      </c>
      <c r="W55" s="181">
        <f t="shared" si="60"/>
        <v>0</v>
      </c>
      <c r="X55" s="181">
        <f t="shared" si="60"/>
        <v>0.01</v>
      </c>
      <c r="Y55" s="164"/>
      <c r="Z55" s="166"/>
      <c r="AA55" s="154"/>
      <c r="AB55" s="167"/>
      <c r="AC55" s="167"/>
      <c r="AD55" s="167"/>
    </row>
    <row r="56" spans="1:30" s="156" customFormat="1" hidden="1" outlineLevel="1">
      <c r="A56" s="161"/>
      <c r="B56" s="161"/>
      <c r="D56" s="162"/>
      <c r="E56" s="163"/>
      <c r="F56" s="163"/>
      <c r="G56" s="163"/>
      <c r="H56" s="163"/>
      <c r="I56" s="158" t="s">
        <v>309</v>
      </c>
      <c r="J56" s="179">
        <f>-(J30)/(I30)</f>
        <v>0</v>
      </c>
      <c r="K56" s="180"/>
      <c r="L56" s="181">
        <f>(L30)/($K$30)</f>
        <v>0.22450657894736842</v>
      </c>
      <c r="M56" s="181">
        <f t="shared" ref="M56:X56" si="61">(M30)/($K$30)</f>
        <v>9.4414943609022556E-2</v>
      </c>
      <c r="N56" s="181">
        <f t="shared" si="61"/>
        <v>0.43000000000000005</v>
      </c>
      <c r="O56" s="181">
        <f t="shared" si="61"/>
        <v>0</v>
      </c>
      <c r="P56" s="181">
        <f t="shared" si="61"/>
        <v>0</v>
      </c>
      <c r="Q56" s="181">
        <f t="shared" si="61"/>
        <v>0</v>
      </c>
      <c r="R56" s="181">
        <f t="shared" si="61"/>
        <v>8.7279936346548181E-2</v>
      </c>
      <c r="S56" s="181">
        <f t="shared" si="61"/>
        <v>0</v>
      </c>
      <c r="T56" s="181">
        <f t="shared" si="61"/>
        <v>0</v>
      </c>
      <c r="U56" s="181">
        <f t="shared" si="61"/>
        <v>0</v>
      </c>
      <c r="V56" s="181">
        <f t="shared" si="61"/>
        <v>0</v>
      </c>
      <c r="W56" s="181">
        <f t="shared" si="61"/>
        <v>0</v>
      </c>
      <c r="X56" s="181">
        <f t="shared" si="61"/>
        <v>0.01</v>
      </c>
      <c r="Y56" s="181"/>
      <c r="Z56" s="158"/>
      <c r="AA56" s="154"/>
      <c r="AB56" s="167"/>
      <c r="AC56" s="167"/>
      <c r="AD56" s="167"/>
    </row>
    <row r="57" spans="1:30" s="156" customFormat="1" hidden="1" outlineLevel="1">
      <c r="A57" s="161"/>
      <c r="B57" s="161"/>
      <c r="D57" s="162"/>
      <c r="E57" s="163"/>
      <c r="F57" s="163"/>
      <c r="G57" s="163"/>
      <c r="H57" s="163"/>
      <c r="I57" s="182" t="s">
        <v>278</v>
      </c>
      <c r="J57" s="183"/>
      <c r="K57" s="180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66"/>
      <c r="AA57" s="154"/>
      <c r="AB57" s="167"/>
      <c r="AC57" s="167"/>
      <c r="AD57" s="167"/>
    </row>
    <row r="58" spans="1:30" s="156" customFormat="1" hidden="1" outlineLevel="1">
      <c r="A58" s="161"/>
      <c r="B58" s="161"/>
      <c r="D58" s="162"/>
      <c r="E58" s="163"/>
      <c r="F58" s="163"/>
      <c r="G58" s="163"/>
      <c r="H58" s="163"/>
      <c r="I58" s="158" t="s">
        <v>308</v>
      </c>
      <c r="J58" s="184">
        <f>-(J29)/(I29)+(J27)/(I27)</f>
        <v>6.7593768803904525E-2</v>
      </c>
      <c r="K58" s="185">
        <f t="shared" ref="K58:Y58" si="62">(K29)/(K27)-1</f>
        <v>-0.35748263668928026</v>
      </c>
      <c r="L58" s="185">
        <f t="shared" si="62"/>
        <v>-0.33142881590615603</v>
      </c>
      <c r="M58" s="185">
        <f t="shared" si="62"/>
        <v>-0.26921454958475532</v>
      </c>
      <c r="N58" s="185">
        <f t="shared" si="62"/>
        <v>-0.35748263668928026</v>
      </c>
      <c r="O58" s="185" t="e">
        <f t="shared" si="62"/>
        <v>#DIV/0!</v>
      </c>
      <c r="P58" s="185" t="e">
        <f t="shared" si="62"/>
        <v>#DIV/0!</v>
      </c>
      <c r="Q58" s="185" t="e">
        <f t="shared" si="62"/>
        <v>#DIV/0!</v>
      </c>
      <c r="R58" s="185">
        <f t="shared" si="62"/>
        <v>-0.23676691600835464</v>
      </c>
      <c r="S58" s="185">
        <f t="shared" si="62"/>
        <v>-1</v>
      </c>
      <c r="T58" s="185">
        <f t="shared" si="62"/>
        <v>-0.16272505793570624</v>
      </c>
      <c r="U58" s="185">
        <f t="shared" si="62"/>
        <v>6.4587754199823166</v>
      </c>
      <c r="V58" s="185" t="e">
        <f t="shared" si="62"/>
        <v>#DIV/0!</v>
      </c>
      <c r="W58" s="185" t="e">
        <f t="shared" si="62"/>
        <v>#DIV/0!</v>
      </c>
      <c r="X58" s="185">
        <f t="shared" si="62"/>
        <v>-0.35748263668928026</v>
      </c>
      <c r="Y58" s="185">
        <f t="shared" si="62"/>
        <v>-0.92101568958943292</v>
      </c>
      <c r="Z58" s="166"/>
      <c r="AA58" s="154"/>
      <c r="AB58" s="167"/>
      <c r="AC58" s="167"/>
      <c r="AD58" s="167"/>
    </row>
    <row r="59" spans="1:30" s="156" customFormat="1" hidden="1" outlineLevel="1">
      <c r="A59" s="161"/>
      <c r="B59" s="161"/>
      <c r="D59" s="162"/>
      <c r="E59" s="163"/>
      <c r="F59" s="163"/>
      <c r="G59" s="163"/>
      <c r="H59" s="163"/>
      <c r="I59" s="158" t="s">
        <v>309</v>
      </c>
      <c r="J59" s="184">
        <f>-(J30)/(I30)+(J28)/(I28)</f>
        <v>-1.8461538461538463</v>
      </c>
      <c r="K59" s="185">
        <f t="shared" ref="K59:X59" si="63">(K30)/(K28)-1</f>
        <v>-2.5476363636363635</v>
      </c>
      <c r="L59" s="185">
        <f t="shared" si="63"/>
        <v>-4.2010050251256281</v>
      </c>
      <c r="M59" s="185">
        <f t="shared" si="63"/>
        <v>-0.16979845665940108</v>
      </c>
      <c r="N59" s="185">
        <f t="shared" si="63"/>
        <v>-2.5476363636363635</v>
      </c>
      <c r="O59" s="185" t="e">
        <f t="shared" si="63"/>
        <v>#DIV/0!</v>
      </c>
      <c r="P59" s="185" t="e">
        <f t="shared" si="63"/>
        <v>#DIV/0!</v>
      </c>
      <c r="Q59" s="185" t="e">
        <f t="shared" si="63"/>
        <v>#DIV/0!</v>
      </c>
      <c r="R59" s="185">
        <f t="shared" si="63"/>
        <v>2.2390867466962501</v>
      </c>
      <c r="S59" s="185" t="e">
        <f t="shared" si="63"/>
        <v>#DIV/0!</v>
      </c>
      <c r="T59" s="185" t="e">
        <f t="shared" si="63"/>
        <v>#DIV/0!</v>
      </c>
      <c r="U59" s="185" t="e">
        <f t="shared" si="63"/>
        <v>#DIV/0!</v>
      </c>
      <c r="V59" s="185" t="e">
        <f t="shared" si="63"/>
        <v>#DIV/0!</v>
      </c>
      <c r="W59" s="185" t="e">
        <f t="shared" si="63"/>
        <v>#DIV/0!</v>
      </c>
      <c r="X59" s="185">
        <f t="shared" si="63"/>
        <v>-2.5476363636363635</v>
      </c>
      <c r="Y59" s="185">
        <f>-((Y30)/(Y28)-1)</f>
        <v>1.3557047205913881</v>
      </c>
      <c r="Z59" s="186" t="s">
        <v>279</v>
      </c>
      <c r="AA59" s="154"/>
      <c r="AB59" s="167"/>
      <c r="AC59" s="167"/>
      <c r="AD59" s="167"/>
    </row>
    <row r="60" spans="1:30" s="156" customFormat="1" collapsed="1">
      <c r="A60" s="161"/>
      <c r="B60" s="161"/>
      <c r="D60" s="162"/>
      <c r="E60" s="163"/>
      <c r="F60" s="163"/>
      <c r="G60" s="163"/>
      <c r="H60" s="163"/>
      <c r="I60" s="178" t="s">
        <v>1332</v>
      </c>
      <c r="J60" s="178"/>
      <c r="K60" s="178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54"/>
      <c r="W60" s="154"/>
      <c r="X60" s="164"/>
      <c r="Y60" s="164"/>
      <c r="Z60" s="166"/>
      <c r="AA60" s="154"/>
      <c r="AB60" s="167"/>
      <c r="AC60" s="167"/>
      <c r="AD60" s="167"/>
    </row>
    <row r="61" spans="1:30" s="156" customFormat="1" ht="14.5" hidden="1" customHeight="1" outlineLevel="1">
      <c r="A61" s="161"/>
      <c r="B61" s="161"/>
      <c r="D61" s="162"/>
      <c r="E61" s="163"/>
      <c r="F61" s="163"/>
      <c r="G61" s="163"/>
      <c r="H61" s="163"/>
      <c r="I61" s="477" t="s">
        <v>277</v>
      </c>
      <c r="J61" s="477"/>
      <c r="K61" s="477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54"/>
      <c r="W61" s="154"/>
      <c r="X61" s="164"/>
      <c r="Y61" s="164"/>
      <c r="Z61" s="166"/>
      <c r="AA61" s="154"/>
      <c r="AB61" s="167"/>
      <c r="AC61" s="167"/>
      <c r="AD61" s="167"/>
    </row>
    <row r="62" spans="1:30" s="156" customFormat="1" ht="14.5" hidden="1" customHeight="1" outlineLevel="1">
      <c r="A62" s="161"/>
      <c r="B62" s="161"/>
      <c r="D62" s="162"/>
      <c r="E62" s="163"/>
      <c r="F62" s="163"/>
      <c r="G62" s="163"/>
      <c r="H62" s="163"/>
      <c r="I62" s="158" t="s">
        <v>308</v>
      </c>
      <c r="J62" s="179">
        <f>-(J27)/(I27)</f>
        <v>0</v>
      </c>
      <c r="K62" s="180"/>
      <c r="L62" s="181">
        <f>(L27)/($K$27)</f>
        <v>8.88407182594073E-2</v>
      </c>
      <c r="M62" s="181">
        <f t="shared" ref="M62:X62" si="64">(M27)/($K$27)</f>
        <v>0.10242164914018498</v>
      </c>
      <c r="N62" s="181">
        <f t="shared" si="64"/>
        <v>0.42999999999999988</v>
      </c>
      <c r="O62" s="181">
        <f t="shared" si="64"/>
        <v>0</v>
      </c>
      <c r="P62" s="181">
        <f t="shared" si="64"/>
        <v>0</v>
      </c>
      <c r="Q62" s="181">
        <f t="shared" si="64"/>
        <v>0</v>
      </c>
      <c r="R62" s="181">
        <f t="shared" si="64"/>
        <v>0.15322395444826184</v>
      </c>
      <c r="S62" s="181">
        <f t="shared" si="64"/>
        <v>1.1517950726206794E-4</v>
      </c>
      <c r="T62" s="181">
        <f t="shared" si="64"/>
        <v>1.9383559277133415E-2</v>
      </c>
      <c r="U62" s="181">
        <f t="shared" si="64"/>
        <v>1.0421441817071907E-2</v>
      </c>
      <c r="V62" s="181">
        <f t="shared" si="64"/>
        <v>0</v>
      </c>
      <c r="W62" s="181">
        <f t="shared" si="64"/>
        <v>0</v>
      </c>
      <c r="X62" s="181">
        <f t="shared" si="64"/>
        <v>0.01</v>
      </c>
      <c r="Y62" s="164"/>
      <c r="Z62" s="166"/>
      <c r="AA62" s="154"/>
      <c r="AB62" s="167"/>
      <c r="AC62" s="167"/>
      <c r="AD62" s="167"/>
    </row>
    <row r="63" spans="1:30" s="156" customFormat="1" hidden="1" outlineLevel="1">
      <c r="A63" s="161"/>
      <c r="B63" s="161"/>
      <c r="D63" s="162"/>
      <c r="E63" s="163"/>
      <c r="F63" s="163"/>
      <c r="G63" s="163"/>
      <c r="H63" s="163"/>
      <c r="I63" s="158" t="s">
        <v>309</v>
      </c>
      <c r="J63" s="179">
        <f>-(J28)/(I28)</f>
        <v>1.8461538461538463</v>
      </c>
      <c r="K63" s="180"/>
      <c r="L63" s="181">
        <f>(L28)/($K$28)</f>
        <v>0.10854545454545454</v>
      </c>
      <c r="M63" s="181">
        <f t="shared" ref="M63:X63" si="65">(M28)/($K$28)</f>
        <v>-0.17600545454545455</v>
      </c>
      <c r="N63" s="181">
        <f t="shared" si="65"/>
        <v>0.43</v>
      </c>
      <c r="O63" s="181">
        <f t="shared" si="65"/>
        <v>0</v>
      </c>
      <c r="P63" s="181">
        <f t="shared" si="65"/>
        <v>0</v>
      </c>
      <c r="Q63" s="181">
        <f t="shared" si="65"/>
        <v>0</v>
      </c>
      <c r="R63" s="181">
        <f t="shared" si="65"/>
        <v>-4.1702372881355934E-2</v>
      </c>
      <c r="S63" s="181">
        <f t="shared" si="65"/>
        <v>0</v>
      </c>
      <c r="T63" s="181">
        <f t="shared" si="65"/>
        <v>0</v>
      </c>
      <c r="U63" s="181">
        <f t="shared" si="65"/>
        <v>0</v>
      </c>
      <c r="V63" s="181">
        <f t="shared" si="65"/>
        <v>0</v>
      </c>
      <c r="W63" s="181">
        <f t="shared" si="65"/>
        <v>0</v>
      </c>
      <c r="X63" s="181">
        <f t="shared" si="65"/>
        <v>0.01</v>
      </c>
      <c r="Y63" s="181"/>
      <c r="Z63" s="158"/>
      <c r="AA63" s="154"/>
      <c r="AB63" s="167"/>
      <c r="AC63" s="167"/>
      <c r="AD63" s="167"/>
    </row>
    <row r="64" spans="1:30" s="156" customFormat="1" hidden="1" outlineLevel="1">
      <c r="A64" s="161"/>
      <c r="B64" s="161"/>
      <c r="D64" s="162"/>
      <c r="E64" s="163"/>
      <c r="F64" s="163"/>
      <c r="G64" s="163"/>
      <c r="H64" s="163"/>
      <c r="I64" s="182" t="s">
        <v>278</v>
      </c>
      <c r="J64" s="183"/>
      <c r="K64" s="180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66"/>
      <c r="AA64" s="154"/>
      <c r="AB64" s="167"/>
      <c r="AC64" s="167"/>
      <c r="AD64" s="167"/>
    </row>
    <row r="65" spans="1:30" s="156" customFormat="1" hidden="1" outlineLevel="1">
      <c r="A65" s="161"/>
      <c r="B65" s="161"/>
      <c r="D65" s="162"/>
      <c r="E65" s="163"/>
      <c r="F65" s="163"/>
      <c r="G65" s="163"/>
      <c r="H65" s="163"/>
      <c r="I65" s="158" t="s">
        <v>308</v>
      </c>
      <c r="J65" s="184">
        <f>-(J27)/(I27)+(J25)/(I25)</f>
        <v>-0.10751984723376416</v>
      </c>
      <c r="K65" s="185">
        <f>(K27)/(K25)-1</f>
        <v>0.72004516998177359</v>
      </c>
      <c r="L65" s="185">
        <f t="shared" ref="L65:X65" si="66">(L27)/(L25)-1</f>
        <v>0.789299334688083</v>
      </c>
      <c r="M65" s="185">
        <f t="shared" si="66"/>
        <v>0.54720332952289463</v>
      </c>
      <c r="N65" s="185">
        <f t="shared" si="66"/>
        <v>0.72004516998177315</v>
      </c>
      <c r="O65" s="185" t="e">
        <f t="shared" si="66"/>
        <v>#DIV/0!</v>
      </c>
      <c r="P65" s="185" t="e">
        <f t="shared" si="66"/>
        <v>#DIV/0!</v>
      </c>
      <c r="Q65" s="185" t="e">
        <f t="shared" si="66"/>
        <v>#DIV/0!</v>
      </c>
      <c r="R65" s="185">
        <f t="shared" si="66"/>
        <v>-0.38326404142971993</v>
      </c>
      <c r="S65" s="185">
        <f t="shared" si="66"/>
        <v>1</v>
      </c>
      <c r="T65" s="185">
        <f t="shared" si="66"/>
        <v>0.38069375164085062</v>
      </c>
      <c r="U65" s="185" t="e">
        <f t="shared" si="66"/>
        <v>#DIV/0!</v>
      </c>
      <c r="V65" s="185" t="e">
        <f t="shared" si="66"/>
        <v>#DIV/0!</v>
      </c>
      <c r="W65" s="185" t="e">
        <f t="shared" si="66"/>
        <v>#DIV/0!</v>
      </c>
      <c r="X65" s="185">
        <f t="shared" si="66"/>
        <v>0.72004516998177359</v>
      </c>
      <c r="Y65" s="185">
        <f>-((Y27)/(Y25)-1)</f>
        <v>4.5139534738360858</v>
      </c>
      <c r="Z65" s="166"/>
      <c r="AA65" s="154"/>
      <c r="AB65" s="167"/>
      <c r="AC65" s="167"/>
      <c r="AD65" s="167"/>
    </row>
    <row r="66" spans="1:30" s="156" customFormat="1" hidden="1" outlineLevel="1">
      <c r="A66" s="161"/>
      <c r="B66" s="161"/>
      <c r="D66" s="162"/>
      <c r="E66" s="163"/>
      <c r="F66" s="163"/>
      <c r="G66" s="163"/>
      <c r="H66" s="163"/>
      <c r="I66" s="158" t="s">
        <v>309</v>
      </c>
      <c r="J66" s="184">
        <f>-(J28)/(I28)+(J26)/(I26)</f>
        <v>1.3461538461538463</v>
      </c>
      <c r="K66" s="185">
        <f>(K28)/(K26)-1</f>
        <v>-1.9166666666666665</v>
      </c>
      <c r="L66" s="185">
        <f t="shared" ref="L66:Y66" si="67">(L28)/(L26)-1</f>
        <v>-1.9521531100478469</v>
      </c>
      <c r="M66" s="185">
        <f t="shared" si="67"/>
        <v>5.1612132273062938E-2</v>
      </c>
      <c r="N66" s="185">
        <f t="shared" si="67"/>
        <v>-1.9166666666666665</v>
      </c>
      <c r="O66" s="185" t="e">
        <f t="shared" si="67"/>
        <v>#DIV/0!</v>
      </c>
      <c r="P66" s="185" t="e">
        <f t="shared" si="67"/>
        <v>#DIV/0!</v>
      </c>
      <c r="Q66" s="185" t="e">
        <f t="shared" si="67"/>
        <v>#DIV/0!</v>
      </c>
      <c r="R66" s="185">
        <f t="shared" si="67"/>
        <v>-0.80859918527129238</v>
      </c>
      <c r="S66" s="185" t="e">
        <f t="shared" si="67"/>
        <v>#DIV/0!</v>
      </c>
      <c r="T66" s="185" t="e">
        <f t="shared" si="67"/>
        <v>#DIV/0!</v>
      </c>
      <c r="U66" s="185" t="e">
        <f t="shared" si="67"/>
        <v>#DIV/0!</v>
      </c>
      <c r="V66" s="185" t="e">
        <f t="shared" si="67"/>
        <v>#DIV/0!</v>
      </c>
      <c r="W66" s="185" t="e">
        <f t="shared" si="67"/>
        <v>#DIV/0!</v>
      </c>
      <c r="X66" s="185">
        <f t="shared" si="67"/>
        <v>-1.9166666666666665</v>
      </c>
      <c r="Y66" s="185">
        <f t="shared" si="67"/>
        <v>-6.9927487913030131</v>
      </c>
      <c r="Z66" s="186" t="s">
        <v>279</v>
      </c>
      <c r="AA66" s="154"/>
      <c r="AB66" s="167"/>
      <c r="AC66" s="167"/>
      <c r="AD66" s="167"/>
    </row>
    <row r="67" spans="1:30" s="156" customFormat="1" collapsed="1">
      <c r="A67" s="161"/>
      <c r="B67" s="161"/>
      <c r="D67" s="162"/>
      <c r="E67" s="163"/>
      <c r="F67" s="163"/>
      <c r="G67" s="163"/>
      <c r="H67" s="163"/>
      <c r="I67" s="178" t="s">
        <v>1222</v>
      </c>
      <c r="J67" s="178"/>
      <c r="K67" s="178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54"/>
      <c r="W67" s="154"/>
      <c r="X67" s="164"/>
      <c r="Y67" s="164"/>
      <c r="Z67" s="166"/>
      <c r="AA67" s="154"/>
      <c r="AB67" s="167"/>
      <c r="AC67" s="167"/>
      <c r="AD67" s="167"/>
    </row>
    <row r="68" spans="1:30" s="156" customFormat="1" ht="14.5" hidden="1" customHeight="1" outlineLevel="1">
      <c r="A68" s="161"/>
      <c r="B68" s="161"/>
      <c r="D68" s="162"/>
      <c r="E68" s="163"/>
      <c r="F68" s="163"/>
      <c r="G68" s="163"/>
      <c r="H68" s="163"/>
      <c r="I68" s="477" t="s">
        <v>277</v>
      </c>
      <c r="J68" s="477"/>
      <c r="K68" s="477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54"/>
      <c r="W68" s="154"/>
      <c r="X68" s="164"/>
      <c r="Y68" s="164"/>
      <c r="Z68" s="166"/>
      <c r="AA68" s="154"/>
      <c r="AB68" s="167"/>
      <c r="AC68" s="167"/>
      <c r="AD68" s="167"/>
    </row>
    <row r="69" spans="1:30" s="156" customFormat="1" ht="14.5" hidden="1" customHeight="1" outlineLevel="1">
      <c r="A69" s="161"/>
      <c r="B69" s="161"/>
      <c r="D69" s="162"/>
      <c r="E69" s="163"/>
      <c r="F69" s="163"/>
      <c r="G69" s="163"/>
      <c r="H69" s="163"/>
      <c r="I69" s="158" t="s">
        <v>308</v>
      </c>
      <c r="J69" s="179">
        <f>-(J25)/(I25)</f>
        <v>0.10751984723376416</v>
      </c>
      <c r="K69" s="180"/>
      <c r="L69" s="181">
        <f>(L25)/($K$25)</f>
        <v>8.5402171328948409E-2</v>
      </c>
      <c r="M69" s="181">
        <f t="shared" ref="M69:X69" si="68">(M25)/($K$25)</f>
        <v>0.11386342023932168</v>
      </c>
      <c r="N69" s="181">
        <f t="shared" si="68"/>
        <v>0.43</v>
      </c>
      <c r="O69" s="181">
        <f t="shared" si="68"/>
        <v>0</v>
      </c>
      <c r="P69" s="181">
        <f t="shared" si="68"/>
        <v>0</v>
      </c>
      <c r="Q69" s="181">
        <f t="shared" si="68"/>
        <v>0</v>
      </c>
      <c r="R69" s="181">
        <f t="shared" si="68"/>
        <v>0.42733380324573217</v>
      </c>
      <c r="S69" s="181">
        <f t="shared" si="68"/>
        <v>9.905697757350028E-5</v>
      </c>
      <c r="T69" s="181">
        <f t="shared" si="68"/>
        <v>2.4147713764957605E-2</v>
      </c>
      <c r="U69" s="181">
        <f t="shared" si="68"/>
        <v>0</v>
      </c>
      <c r="V69" s="181">
        <f t="shared" si="68"/>
        <v>0</v>
      </c>
      <c r="W69" s="181">
        <f t="shared" si="68"/>
        <v>0</v>
      </c>
      <c r="X69" s="181">
        <f t="shared" si="68"/>
        <v>0.01</v>
      </c>
      <c r="Y69" s="164"/>
      <c r="Z69" s="166"/>
      <c r="AA69" s="154"/>
      <c r="AB69" s="167"/>
      <c r="AC69" s="167"/>
      <c r="AD69" s="167"/>
    </row>
    <row r="70" spans="1:30" s="156" customFormat="1" hidden="1" outlineLevel="1">
      <c r="A70" s="161"/>
      <c r="B70" s="161"/>
      <c r="D70" s="162"/>
      <c r="E70" s="163"/>
      <c r="F70" s="163"/>
      <c r="G70" s="163"/>
      <c r="H70" s="163"/>
      <c r="I70" s="158" t="s">
        <v>309</v>
      </c>
      <c r="J70" s="179">
        <f>-(J26)/(I26)</f>
        <v>0.5</v>
      </c>
      <c r="K70" s="180"/>
      <c r="L70" s="181">
        <f>(L26)/($K$26)</f>
        <v>0.1045</v>
      </c>
      <c r="M70" s="181">
        <f t="shared" ref="M70:X70" si="69">(M26)/($K$26)</f>
        <v>0.15342000000000003</v>
      </c>
      <c r="N70" s="181">
        <f t="shared" si="69"/>
        <v>0.43</v>
      </c>
      <c r="O70" s="181">
        <f t="shared" si="69"/>
        <v>0</v>
      </c>
      <c r="P70" s="181">
        <f t="shared" si="69"/>
        <v>0</v>
      </c>
      <c r="Q70" s="181">
        <f t="shared" si="69"/>
        <v>0</v>
      </c>
      <c r="R70" s="181">
        <f t="shared" si="69"/>
        <v>0.19972315789473685</v>
      </c>
      <c r="S70" s="181">
        <f t="shared" si="69"/>
        <v>0</v>
      </c>
      <c r="T70" s="181">
        <f t="shared" si="69"/>
        <v>0</v>
      </c>
      <c r="U70" s="181">
        <f t="shared" si="69"/>
        <v>0</v>
      </c>
      <c r="V70" s="181">
        <f t="shared" si="69"/>
        <v>0</v>
      </c>
      <c r="W70" s="181">
        <f t="shared" si="69"/>
        <v>0</v>
      </c>
      <c r="X70" s="181">
        <f t="shared" si="69"/>
        <v>0.01</v>
      </c>
      <c r="Y70" s="181"/>
      <c r="Z70" s="158"/>
      <c r="AA70" s="154"/>
      <c r="AB70" s="167"/>
      <c r="AC70" s="167"/>
      <c r="AD70" s="167"/>
    </row>
    <row r="71" spans="1:30" s="156" customFormat="1" hidden="1" outlineLevel="1">
      <c r="A71" s="161"/>
      <c r="B71" s="161"/>
      <c r="D71" s="162"/>
      <c r="E71" s="163"/>
      <c r="F71" s="163"/>
      <c r="G71" s="163"/>
      <c r="H71" s="163"/>
      <c r="I71" s="182" t="s">
        <v>278</v>
      </c>
      <c r="J71" s="183"/>
      <c r="K71" s="180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66"/>
      <c r="AA71" s="154"/>
      <c r="AB71" s="167"/>
      <c r="AC71" s="167"/>
      <c r="AD71" s="167"/>
    </row>
    <row r="72" spans="1:30" s="156" customFormat="1" hidden="1" outlineLevel="1">
      <c r="A72" s="161"/>
      <c r="B72" s="161"/>
      <c r="D72" s="162"/>
      <c r="E72" s="163"/>
      <c r="F72" s="163"/>
      <c r="G72" s="163"/>
      <c r="H72" s="163"/>
      <c r="I72" s="158" t="s">
        <v>308</v>
      </c>
      <c r="J72" s="184">
        <f>-(J25)/(I25)+(J23)/(I23)</f>
        <v>4.9017776363998858E-2</v>
      </c>
      <c r="K72" s="185">
        <f>(K25)/(K23)-1</f>
        <v>2.8003502983645845E-2</v>
      </c>
      <c r="L72" s="185">
        <f t="shared" ref="L72:X72" si="70">(L25)/(L23)-1</f>
        <v>1.9121109818718285E-2</v>
      </c>
      <c r="M72" s="185">
        <f t="shared" si="70"/>
        <v>3.8158493674270044E-2</v>
      </c>
      <c r="N72" s="185">
        <f t="shared" si="70"/>
        <v>3.2921681443304207E-2</v>
      </c>
      <c r="O72" s="185" t="e">
        <f t="shared" si="70"/>
        <v>#DIV/0!</v>
      </c>
      <c r="P72" s="185" t="e">
        <f t="shared" si="70"/>
        <v>#DIV/0!</v>
      </c>
      <c r="Q72" s="185" t="e">
        <f t="shared" si="70"/>
        <v>#DIV/0!</v>
      </c>
      <c r="R72" s="185">
        <f t="shared" si="70"/>
        <v>-0.22745646775620665</v>
      </c>
      <c r="S72" s="185">
        <f t="shared" si="70"/>
        <v>0</v>
      </c>
      <c r="T72" s="185">
        <f t="shared" si="70"/>
        <v>-0.20293484871273393</v>
      </c>
      <c r="U72" s="185" t="e">
        <f t="shared" si="70"/>
        <v>#DIV/0!</v>
      </c>
      <c r="V72" s="185" t="e">
        <f t="shared" si="70"/>
        <v>#DIV/0!</v>
      </c>
      <c r="W72" s="185" t="e">
        <f t="shared" si="70"/>
        <v>#DIV/0!</v>
      </c>
      <c r="X72" s="185">
        <f t="shared" si="70"/>
        <v>2.8003502983645845E-2</v>
      </c>
      <c r="Y72" s="185">
        <f>-((Y25)/(Y23)-1)</f>
        <v>0.60551031538550015</v>
      </c>
      <c r="Z72" s="166"/>
      <c r="AA72" s="154"/>
      <c r="AB72" s="167"/>
      <c r="AC72" s="167"/>
      <c r="AD72" s="167"/>
    </row>
    <row r="73" spans="1:30" s="156" customFormat="1" hidden="1" outlineLevel="1">
      <c r="A73" s="161"/>
      <c r="B73" s="161"/>
      <c r="D73" s="162"/>
      <c r="E73" s="163"/>
      <c r="F73" s="163"/>
      <c r="G73" s="163"/>
      <c r="H73" s="163"/>
      <c r="I73" s="158" t="s">
        <v>309</v>
      </c>
      <c r="J73" s="184">
        <f>-(J26)/(I26)+(J24)/(I24)</f>
        <v>8.7211047733413372E-2</v>
      </c>
      <c r="K73" s="185">
        <f>(K26)/(K24)-1</f>
        <v>-0.23312883435582821</v>
      </c>
      <c r="L73" s="185">
        <f t="shared" ref="L73:X73" si="71">(L26)/(L24)-1</f>
        <v>-0.48774509803921573</v>
      </c>
      <c r="M73" s="185">
        <f t="shared" si="71"/>
        <v>-0.39376856358212087</v>
      </c>
      <c r="N73" s="185">
        <f t="shared" si="71"/>
        <v>-0.2910763549234473</v>
      </c>
      <c r="O73" s="185" t="e">
        <f t="shared" si="71"/>
        <v>#DIV/0!</v>
      </c>
      <c r="P73" s="185" t="e">
        <f t="shared" si="71"/>
        <v>#DIV/0!</v>
      </c>
      <c r="Q73" s="185" t="e">
        <f t="shared" si="71"/>
        <v>#DIV/0!</v>
      </c>
      <c r="R73" s="185">
        <f t="shared" si="71"/>
        <v>-0.52789006362879298</v>
      </c>
      <c r="S73" s="185" t="e">
        <f t="shared" si="71"/>
        <v>#DIV/0!</v>
      </c>
      <c r="T73" s="185" t="e">
        <f t="shared" si="71"/>
        <v>#DIV/0!</v>
      </c>
      <c r="U73" s="185" t="e">
        <f t="shared" si="71"/>
        <v>#DIV/0!</v>
      </c>
      <c r="V73" s="185" t="e">
        <f t="shared" si="71"/>
        <v>#DIV/0!</v>
      </c>
      <c r="W73" s="185" t="e">
        <f t="shared" si="71"/>
        <v>#DIV/0!</v>
      </c>
      <c r="X73" s="185">
        <f t="shared" si="71"/>
        <v>-0.23312883435582821</v>
      </c>
      <c r="Y73" s="185">
        <f>-((Y26)/(Y24)-1)</f>
        <v>1.5230059570931966</v>
      </c>
      <c r="Z73" s="186" t="s">
        <v>279</v>
      </c>
      <c r="AA73" s="154"/>
      <c r="AB73" s="167"/>
      <c r="AC73" s="167"/>
      <c r="AD73" s="167"/>
    </row>
    <row r="74" spans="1:30" s="156" customFormat="1" collapsed="1">
      <c r="A74" s="161"/>
      <c r="B74" s="161"/>
      <c r="D74" s="162"/>
      <c r="E74" s="163"/>
      <c r="F74" s="163"/>
      <c r="G74" s="163"/>
      <c r="H74" s="163"/>
      <c r="I74" s="178" t="s">
        <v>1223</v>
      </c>
      <c r="J74" s="178"/>
      <c r="K74" s="178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54"/>
      <c r="W74" s="154"/>
      <c r="X74" s="164"/>
      <c r="Y74" s="164"/>
      <c r="Z74" s="166"/>
      <c r="AA74" s="154"/>
      <c r="AB74" s="167"/>
      <c r="AC74" s="167"/>
      <c r="AD74" s="167"/>
    </row>
    <row r="75" spans="1:30" s="156" customFormat="1" ht="14.5" hidden="1" customHeight="1" outlineLevel="1">
      <c r="A75" s="161"/>
      <c r="B75" s="161"/>
      <c r="D75" s="162"/>
      <c r="E75" s="163"/>
      <c r="F75" s="163"/>
      <c r="G75" s="163"/>
      <c r="H75" s="163"/>
      <c r="I75" s="477" t="s">
        <v>277</v>
      </c>
      <c r="J75" s="477"/>
      <c r="K75" s="477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54"/>
      <c r="W75" s="154"/>
      <c r="X75" s="164"/>
      <c r="Y75" s="164"/>
      <c r="Z75" s="166"/>
      <c r="AA75" s="154"/>
      <c r="AB75" s="167"/>
      <c r="AC75" s="167"/>
      <c r="AD75" s="167"/>
    </row>
    <row r="76" spans="1:30" s="156" customFormat="1" ht="14.5" hidden="1" customHeight="1" outlineLevel="1">
      <c r="A76" s="161"/>
      <c r="B76" s="161"/>
      <c r="D76" s="162"/>
      <c r="E76" s="163"/>
      <c r="F76" s="163"/>
      <c r="G76" s="163"/>
      <c r="H76" s="163"/>
      <c r="I76" s="158" t="s">
        <v>308</v>
      </c>
      <c r="J76" s="179">
        <f>-(J23)/(I23)</f>
        <v>5.8502070869765305E-2</v>
      </c>
      <c r="K76" s="180"/>
      <c r="L76" s="181">
        <f>(L23)/($K$23)</f>
        <v>8.6146514327610432E-2</v>
      </c>
      <c r="M76" s="181">
        <f t="shared" ref="M76:X76" si="72">(M23)/($K$23)</f>
        <v>0.11274963850023423</v>
      </c>
      <c r="N76" s="181">
        <f>(N23)/($K$23)</f>
        <v>0.42795258752367554</v>
      </c>
      <c r="O76" s="181">
        <f t="shared" si="72"/>
        <v>0</v>
      </c>
      <c r="P76" s="181">
        <f t="shared" si="72"/>
        <v>0</v>
      </c>
      <c r="Q76" s="181">
        <f t="shared" si="72"/>
        <v>0</v>
      </c>
      <c r="R76" s="181">
        <f t="shared" si="72"/>
        <v>0.56864193193621315</v>
      </c>
      <c r="S76" s="181">
        <f t="shared" si="72"/>
        <v>1.0183091994053074E-4</v>
      </c>
      <c r="T76" s="181">
        <f t="shared" si="72"/>
        <v>3.1144172216451806E-2</v>
      </c>
      <c r="U76" s="181">
        <f t="shared" si="72"/>
        <v>0</v>
      </c>
      <c r="V76" s="181">
        <f t="shared" si="72"/>
        <v>0</v>
      </c>
      <c r="W76" s="181">
        <f t="shared" si="72"/>
        <v>0</v>
      </c>
      <c r="X76" s="181">
        <f t="shared" si="72"/>
        <v>0.01</v>
      </c>
      <c r="Y76" s="164"/>
      <c r="Z76" s="166"/>
      <c r="AA76" s="154"/>
      <c r="AB76" s="167"/>
      <c r="AC76" s="167"/>
      <c r="AD76" s="167"/>
    </row>
    <row r="77" spans="1:30" s="156" customFormat="1" hidden="1" outlineLevel="1">
      <c r="A77" s="161"/>
      <c r="B77" s="161"/>
      <c r="D77" s="162"/>
      <c r="E77" s="163"/>
      <c r="F77" s="163"/>
      <c r="G77" s="163"/>
      <c r="H77" s="163"/>
      <c r="I77" s="158" t="s">
        <v>309</v>
      </c>
      <c r="J77" s="179">
        <f>-(J24)/(I24)</f>
        <v>0.41278895226658663</v>
      </c>
      <c r="K77" s="180"/>
      <c r="L77" s="181">
        <f>(L24)/($K$24)</f>
        <v>0.15644171779141106</v>
      </c>
      <c r="M77" s="181">
        <f t="shared" ref="M77:X77" si="73">(M24)/($K$24)</f>
        <v>0.19407336400817993</v>
      </c>
      <c r="N77" s="181">
        <f>(N24)/($K$24)</f>
        <v>0.46514826175869123</v>
      </c>
      <c r="O77" s="181">
        <f t="shared" si="73"/>
        <v>0</v>
      </c>
      <c r="P77" s="181">
        <f t="shared" si="73"/>
        <v>0</v>
      </c>
      <c r="Q77" s="181">
        <f t="shared" si="73"/>
        <v>0</v>
      </c>
      <c r="R77" s="181">
        <f t="shared" si="73"/>
        <v>0.32442005368098165</v>
      </c>
      <c r="S77" s="181">
        <f t="shared" si="73"/>
        <v>0</v>
      </c>
      <c r="T77" s="181">
        <f t="shared" si="73"/>
        <v>0</v>
      </c>
      <c r="U77" s="181">
        <f t="shared" si="73"/>
        <v>0</v>
      </c>
      <c r="V77" s="181">
        <f t="shared" si="73"/>
        <v>0</v>
      </c>
      <c r="W77" s="181">
        <f t="shared" si="73"/>
        <v>0</v>
      </c>
      <c r="X77" s="181">
        <f t="shared" si="73"/>
        <v>0.01</v>
      </c>
      <c r="Y77" s="181"/>
      <c r="Z77" s="158"/>
      <c r="AA77" s="154"/>
      <c r="AB77" s="167"/>
      <c r="AC77" s="167"/>
      <c r="AD77" s="167"/>
    </row>
    <row r="78" spans="1:30" s="156" customFormat="1" hidden="1" outlineLevel="1">
      <c r="A78" s="161"/>
      <c r="B78" s="161"/>
      <c r="D78" s="162"/>
      <c r="E78" s="163"/>
      <c r="F78" s="163"/>
      <c r="G78" s="163"/>
      <c r="H78" s="163"/>
      <c r="I78" s="182" t="s">
        <v>278</v>
      </c>
      <c r="J78" s="183"/>
      <c r="K78" s="180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66"/>
      <c r="AA78" s="154"/>
      <c r="AB78" s="167"/>
      <c r="AC78" s="167"/>
      <c r="AD78" s="167"/>
    </row>
    <row r="79" spans="1:30" s="156" customFormat="1" hidden="1" outlineLevel="1">
      <c r="A79" s="161"/>
      <c r="B79" s="161"/>
      <c r="D79" s="162"/>
      <c r="E79" s="163"/>
      <c r="F79" s="163"/>
      <c r="G79" s="163"/>
      <c r="H79" s="163"/>
      <c r="I79" s="158" t="s">
        <v>308</v>
      </c>
      <c r="J79" s="184">
        <f>-(J23)/(I23)+(J21)/(I21)</f>
        <v>2.4774757680506604E-2</v>
      </c>
      <c r="K79" s="185">
        <f>(K23)/(K21)-1</f>
        <v>0.25648702594810402</v>
      </c>
      <c r="L79" s="185">
        <f t="shared" ref="L79:X79" si="74">(L23)/(L21)-1</f>
        <v>0.18133603679840493</v>
      </c>
      <c r="M79" s="185">
        <f t="shared" si="74"/>
        <v>0.9310003243842806</v>
      </c>
      <c r="N79" s="185">
        <f t="shared" si="74"/>
        <v>0.29326548473221803</v>
      </c>
      <c r="O79" s="185" t="e">
        <f t="shared" si="74"/>
        <v>#DIV/0!</v>
      </c>
      <c r="P79" s="185" t="e">
        <f t="shared" si="74"/>
        <v>#DIV/0!</v>
      </c>
      <c r="Q79" s="185" t="e">
        <f t="shared" si="74"/>
        <v>#DIV/0!</v>
      </c>
      <c r="R79" s="185">
        <f t="shared" si="74"/>
        <v>0.11931251060315207</v>
      </c>
      <c r="S79" s="185">
        <f t="shared" si="74"/>
        <v>0</v>
      </c>
      <c r="T79" s="185">
        <f t="shared" si="74"/>
        <v>7.9378860067054857E-2</v>
      </c>
      <c r="U79" s="185">
        <f t="shared" si="74"/>
        <v>-1</v>
      </c>
      <c r="V79" s="185" t="e">
        <f t="shared" si="74"/>
        <v>#DIV/0!</v>
      </c>
      <c r="W79" s="185" t="e">
        <f t="shared" si="74"/>
        <v>#DIV/0!</v>
      </c>
      <c r="X79" s="185">
        <f t="shared" si="74"/>
        <v>0.25648702594810402</v>
      </c>
      <c r="Y79" s="185">
        <f>-((Y23)/(Y21)-1)</f>
        <v>0.1660207483952717</v>
      </c>
      <c r="Z79" s="166"/>
      <c r="AA79" s="154"/>
      <c r="AB79" s="167"/>
      <c r="AC79" s="167"/>
      <c r="AD79" s="167"/>
    </row>
    <row r="80" spans="1:30" s="156" customFormat="1" hidden="1" outlineLevel="1">
      <c r="A80" s="161"/>
      <c r="B80" s="161"/>
      <c r="D80" s="162"/>
      <c r="E80" s="163"/>
      <c r="F80" s="163"/>
      <c r="G80" s="163"/>
      <c r="H80" s="163"/>
      <c r="I80" s="158" t="s">
        <v>309</v>
      </c>
      <c r="J80" s="184">
        <f>-(J24)/(I24)+(J22)/(I22)</f>
        <v>0.19519123110817549</v>
      </c>
      <c r="K80" s="185">
        <f>(K24)/(K22)-1</f>
        <v>-0.60436893203883502</v>
      </c>
      <c r="L80" s="185">
        <f t="shared" ref="L80:X80" si="75">(L24)/(L22)-1</f>
        <v>-0.51773049645390068</v>
      </c>
      <c r="M80" s="185">
        <f t="shared" si="75"/>
        <v>-0.10715776723291426</v>
      </c>
      <c r="N80" s="185">
        <f t="shared" si="75"/>
        <v>-0.57202999172123126</v>
      </c>
      <c r="O80" s="185" t="e">
        <f t="shared" si="75"/>
        <v>#DIV/0!</v>
      </c>
      <c r="P80" s="185" t="e">
        <f t="shared" si="75"/>
        <v>#DIV/0!</v>
      </c>
      <c r="Q80" s="185" t="e">
        <f t="shared" si="75"/>
        <v>#DIV/0!</v>
      </c>
      <c r="R80" s="185">
        <f t="shared" si="75"/>
        <v>-0.4505193129766345</v>
      </c>
      <c r="S80" s="185" t="e">
        <f t="shared" si="75"/>
        <v>#DIV/0!</v>
      </c>
      <c r="T80" s="185" t="e">
        <f t="shared" si="75"/>
        <v>#DIV/0!</v>
      </c>
      <c r="U80" s="185" t="e">
        <f t="shared" si="75"/>
        <v>#DIV/0!</v>
      </c>
      <c r="V80" s="185" t="e">
        <f t="shared" si="75"/>
        <v>#DIV/0!</v>
      </c>
      <c r="W80" s="185" t="e">
        <f t="shared" si="75"/>
        <v>#DIV/0!</v>
      </c>
      <c r="X80" s="185">
        <f t="shared" si="75"/>
        <v>-0.60436893203883502</v>
      </c>
      <c r="Y80" s="185">
        <f>-((Y24)/(Y22)-1)</f>
        <v>1.5297764583836782</v>
      </c>
      <c r="Z80" s="186" t="s">
        <v>279</v>
      </c>
      <c r="AA80" s="154"/>
      <c r="AB80" s="167"/>
      <c r="AC80" s="167"/>
      <c r="AD80" s="167"/>
    </row>
    <row r="81" spans="1:30" s="156" customFormat="1" collapsed="1">
      <c r="A81" s="161"/>
      <c r="B81" s="161"/>
      <c r="D81" s="162"/>
      <c r="E81" s="163"/>
      <c r="F81" s="163"/>
      <c r="G81" s="163"/>
      <c r="H81" s="163"/>
      <c r="I81" s="178" t="s">
        <v>1129</v>
      </c>
      <c r="J81" s="178"/>
      <c r="K81" s="178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54"/>
      <c r="W81" s="154"/>
      <c r="X81" s="164"/>
      <c r="Y81" s="164"/>
      <c r="Z81" s="166"/>
      <c r="AA81" s="154"/>
      <c r="AB81" s="167"/>
      <c r="AC81" s="167"/>
      <c r="AD81" s="167"/>
    </row>
    <row r="82" spans="1:30" s="156" customFormat="1" ht="14.5" hidden="1" customHeight="1" outlineLevel="1">
      <c r="A82" s="161"/>
      <c r="B82" s="161"/>
      <c r="D82" s="162"/>
      <c r="E82" s="163"/>
      <c r="F82" s="163"/>
      <c r="G82" s="163"/>
      <c r="H82" s="163"/>
      <c r="I82" s="477" t="s">
        <v>277</v>
      </c>
      <c r="J82" s="477"/>
      <c r="K82" s="477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54"/>
      <c r="W82" s="154"/>
      <c r="X82" s="164"/>
      <c r="Y82" s="164"/>
      <c r="Z82" s="166"/>
      <c r="AA82" s="154"/>
      <c r="AB82" s="167"/>
      <c r="AC82" s="167"/>
      <c r="AD82" s="167"/>
    </row>
    <row r="83" spans="1:30" s="156" customFormat="1" ht="14.5" hidden="1" customHeight="1" outlineLevel="1">
      <c r="A83" s="161"/>
      <c r="B83" s="161"/>
      <c r="D83" s="162"/>
      <c r="E83" s="163"/>
      <c r="F83" s="163"/>
      <c r="G83" s="163"/>
      <c r="H83" s="163"/>
      <c r="I83" s="158" t="s">
        <v>308</v>
      </c>
      <c r="J83" s="179">
        <f>-(J21)/(I21)</f>
        <v>3.3727313189258701E-2</v>
      </c>
      <c r="K83" s="180"/>
      <c r="L83" s="181">
        <f>(L21)/($K$21)</f>
        <v>9.1626746506986032E-2</v>
      </c>
      <c r="M83" s="181">
        <f t="shared" ref="M83:X83" si="76">(M21)/($K$21)</f>
        <v>7.3365320640769754E-2</v>
      </c>
      <c r="N83" s="181">
        <f t="shared" si="76"/>
        <v>0.41578228159066488</v>
      </c>
      <c r="O83" s="181">
        <f t="shared" si="76"/>
        <v>0</v>
      </c>
      <c r="P83" s="181">
        <f t="shared" si="76"/>
        <v>0</v>
      </c>
      <c r="Q83" s="181">
        <f t="shared" si="76"/>
        <v>0</v>
      </c>
      <c r="R83" s="181">
        <f t="shared" si="76"/>
        <v>0.63833040649470296</v>
      </c>
      <c r="S83" s="181">
        <f t="shared" si="76"/>
        <v>1.2794922974563696E-4</v>
      </c>
      <c r="T83" s="181">
        <f t="shared" si="76"/>
        <v>3.625441424842623E-2</v>
      </c>
      <c r="U83" s="181">
        <f t="shared" si="76"/>
        <v>9.1184298070525638E-2</v>
      </c>
      <c r="V83" s="181">
        <f t="shared" si="76"/>
        <v>0</v>
      </c>
      <c r="W83" s="181">
        <f t="shared" si="76"/>
        <v>0</v>
      </c>
      <c r="X83" s="181">
        <f t="shared" si="76"/>
        <v>0.01</v>
      </c>
      <c r="Y83" s="164"/>
      <c r="Z83" s="166"/>
      <c r="AA83" s="154"/>
      <c r="AB83" s="167"/>
      <c r="AC83" s="167"/>
      <c r="AD83" s="167"/>
    </row>
    <row r="84" spans="1:30" s="156" customFormat="1" hidden="1" outlineLevel="1">
      <c r="A84" s="161"/>
      <c r="B84" s="161"/>
      <c r="D84" s="162"/>
      <c r="E84" s="163"/>
      <c r="F84" s="163"/>
      <c r="G84" s="163"/>
      <c r="H84" s="163"/>
      <c r="I84" s="158" t="s">
        <v>309</v>
      </c>
      <c r="J84" s="179">
        <f>-(J22)/(I22)</f>
        <v>0.21759772115841114</v>
      </c>
      <c r="K84" s="180"/>
      <c r="L84" s="181">
        <f>(L22)/($K$22)</f>
        <v>0.12833737864077671</v>
      </c>
      <c r="M84" s="181">
        <f t="shared" ref="M84:W84" si="77">(M22)/($K$22)</f>
        <v>8.5996662621359229E-2</v>
      </c>
      <c r="N84" s="181">
        <f t="shared" si="77"/>
        <v>0.43</v>
      </c>
      <c r="O84" s="181">
        <f t="shared" si="77"/>
        <v>0</v>
      </c>
      <c r="P84" s="181">
        <f t="shared" si="77"/>
        <v>0</v>
      </c>
      <c r="Q84" s="181">
        <f t="shared" si="77"/>
        <v>0</v>
      </c>
      <c r="R84" s="181">
        <f t="shared" si="77"/>
        <v>0.23358537494943368</v>
      </c>
      <c r="S84" s="181">
        <f t="shared" si="77"/>
        <v>0</v>
      </c>
      <c r="T84" s="181">
        <f t="shared" si="77"/>
        <v>0</v>
      </c>
      <c r="U84" s="181">
        <f t="shared" si="77"/>
        <v>0</v>
      </c>
      <c r="V84" s="181">
        <f t="shared" si="77"/>
        <v>0</v>
      </c>
      <c r="W84" s="181">
        <f t="shared" si="77"/>
        <v>0</v>
      </c>
      <c r="X84" s="181">
        <f>(X22)/($K$22)</f>
        <v>0.01</v>
      </c>
      <c r="Y84" s="181"/>
      <c r="Z84" s="158"/>
      <c r="AA84" s="154"/>
      <c r="AB84" s="167"/>
      <c r="AC84" s="167"/>
      <c r="AD84" s="167"/>
    </row>
    <row r="85" spans="1:30" s="156" customFormat="1" hidden="1" outlineLevel="1">
      <c r="A85" s="161"/>
      <c r="B85" s="161"/>
      <c r="D85" s="162"/>
      <c r="E85" s="163"/>
      <c r="F85" s="163"/>
      <c r="G85" s="163"/>
      <c r="H85" s="163"/>
      <c r="I85" s="182" t="s">
        <v>278</v>
      </c>
      <c r="J85" s="183"/>
      <c r="K85" s="180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66"/>
      <c r="AA85" s="154"/>
      <c r="AB85" s="167"/>
      <c r="AC85" s="167"/>
      <c r="AD85" s="167"/>
    </row>
    <row r="86" spans="1:30" s="156" customFormat="1" hidden="1" outlineLevel="1">
      <c r="A86" s="161"/>
      <c r="B86" s="161"/>
      <c r="D86" s="162"/>
      <c r="E86" s="163"/>
      <c r="F86" s="163"/>
      <c r="G86" s="163"/>
      <c r="H86" s="163"/>
      <c r="I86" s="158" t="s">
        <v>308</v>
      </c>
      <c r="J86" s="184">
        <f>-(J21)/(I21)+(J19)/(I19)</f>
        <v>3.3727313189258701E-2</v>
      </c>
      <c r="K86" s="185">
        <f>(K21)/(K19)-1</f>
        <v>1.7292918005307998</v>
      </c>
      <c r="L86" s="185">
        <f t="shared" ref="L86:X86" si="78">(L21)/(L19)-1</f>
        <v>1.5249206685001053</v>
      </c>
      <c r="M86" s="185">
        <f t="shared" si="78"/>
        <v>1.3577055921052632</v>
      </c>
      <c r="N86" s="185">
        <f t="shared" si="78"/>
        <v>1.9862925577668151</v>
      </c>
      <c r="O86" s="185" t="e">
        <f t="shared" si="78"/>
        <v>#DIV/0!</v>
      </c>
      <c r="P86" s="185" t="e">
        <f t="shared" si="78"/>
        <v>#DIV/0!</v>
      </c>
      <c r="Q86" s="185" t="e">
        <f t="shared" si="78"/>
        <v>#DIV/0!</v>
      </c>
      <c r="R86" s="185">
        <f t="shared" si="78"/>
        <v>1.3520195724084685</v>
      </c>
      <c r="S86" s="185">
        <f t="shared" si="78"/>
        <v>0</v>
      </c>
      <c r="T86" s="185">
        <f t="shared" si="78"/>
        <v>0.53167129744748465</v>
      </c>
      <c r="U86" s="185">
        <f t="shared" si="78"/>
        <v>1.1008784859383294</v>
      </c>
      <c r="V86" s="185" t="e">
        <f t="shared" si="78"/>
        <v>#DIV/0!</v>
      </c>
      <c r="W86" s="185" t="e">
        <f t="shared" si="78"/>
        <v>#DIV/0!</v>
      </c>
      <c r="X86" s="185">
        <f t="shared" si="78"/>
        <v>1.7292918005307998</v>
      </c>
      <c r="Y86" s="185">
        <f>-((Y21)/(Y19)-1)</f>
        <v>-0.95433757195268765</v>
      </c>
      <c r="Z86" s="166"/>
      <c r="AA86" s="154"/>
      <c r="AB86" s="167"/>
      <c r="AC86" s="167"/>
      <c r="AD86" s="167"/>
    </row>
    <row r="87" spans="1:30" s="156" customFormat="1" hidden="1" outlineLevel="1">
      <c r="A87" s="161"/>
      <c r="B87" s="161"/>
      <c r="D87" s="162"/>
      <c r="E87" s="163"/>
      <c r="F87" s="163"/>
      <c r="G87" s="163"/>
      <c r="H87" s="163"/>
      <c r="I87" s="158" t="s">
        <v>309</v>
      </c>
      <c r="J87" s="184">
        <f>-(J22)/(I22)+(J20)/(I20)</f>
        <v>-0.2186205422726451</v>
      </c>
      <c r="K87" s="185">
        <f>(K22)/(K20)-1</f>
        <v>-1.5923566878980888E-2</v>
      </c>
      <c r="L87" s="185">
        <f t="shared" ref="L87:X87" si="79">(L22)/(L20)-1</f>
        <v>-7.6419213973799138E-2</v>
      </c>
      <c r="M87" s="185">
        <f t="shared" si="79"/>
        <v>-7.9724025974025947E-2</v>
      </c>
      <c r="N87" s="185">
        <f t="shared" si="79"/>
        <v>0.1135601743211534</v>
      </c>
      <c r="O87" s="185" t="e">
        <f t="shared" si="79"/>
        <v>#DIV/0!</v>
      </c>
      <c r="P87" s="185" t="e">
        <f t="shared" si="79"/>
        <v>#DIV/0!</v>
      </c>
      <c r="Q87" s="185" t="e">
        <f t="shared" si="79"/>
        <v>#DIV/0!</v>
      </c>
      <c r="R87" s="185">
        <f t="shared" si="79"/>
        <v>-0.37777259989193945</v>
      </c>
      <c r="S87" s="185" t="e">
        <f t="shared" si="79"/>
        <v>#DIV/0!</v>
      </c>
      <c r="T87" s="185" t="e">
        <f t="shared" si="79"/>
        <v>#DIV/0!</v>
      </c>
      <c r="U87" s="185" t="e">
        <f t="shared" si="79"/>
        <v>#DIV/0!</v>
      </c>
      <c r="V87" s="185" t="e">
        <f t="shared" si="79"/>
        <v>#DIV/0!</v>
      </c>
      <c r="W87" s="185" t="e">
        <f t="shared" si="79"/>
        <v>#DIV/0!</v>
      </c>
      <c r="X87" s="185">
        <f t="shared" si="79"/>
        <v>-1.5923566878980999E-2</v>
      </c>
      <c r="Y87" s="185">
        <f>-((Y22)/(Y20)-1)</f>
        <v>-8.2891944869699348</v>
      </c>
      <c r="Z87" s="186" t="s">
        <v>279</v>
      </c>
      <c r="AA87" s="154"/>
      <c r="AB87" s="167"/>
      <c r="AC87" s="167"/>
      <c r="AD87" s="167"/>
    </row>
    <row r="88" spans="1:30" s="156" customFormat="1" collapsed="1">
      <c r="A88" s="161"/>
      <c r="B88" s="161"/>
      <c r="D88" s="162"/>
      <c r="E88" s="163"/>
      <c r="F88" s="163"/>
      <c r="G88" s="163"/>
      <c r="H88" s="163"/>
      <c r="I88" s="178" t="s">
        <v>1052</v>
      </c>
      <c r="J88" s="178"/>
      <c r="K88" s="178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54"/>
      <c r="W88" s="154"/>
      <c r="X88" s="164"/>
      <c r="Y88" s="164"/>
      <c r="Z88" s="166"/>
      <c r="AA88" s="154"/>
      <c r="AB88" s="167"/>
      <c r="AC88" s="167"/>
      <c r="AD88" s="167"/>
    </row>
    <row r="89" spans="1:30" s="156" customFormat="1" ht="14.5" hidden="1" customHeight="1" outlineLevel="1">
      <c r="A89" s="161"/>
      <c r="B89" s="161"/>
      <c r="D89" s="162"/>
      <c r="E89" s="163"/>
      <c r="F89" s="163"/>
      <c r="G89" s="163"/>
      <c r="H89" s="163"/>
      <c r="I89" s="477" t="s">
        <v>277</v>
      </c>
      <c r="J89" s="477"/>
      <c r="K89" s="477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54"/>
      <c r="W89" s="154"/>
      <c r="X89" s="164"/>
      <c r="Y89" s="164"/>
      <c r="Z89" s="166"/>
      <c r="AA89" s="154"/>
      <c r="AB89" s="167"/>
      <c r="AC89" s="167"/>
      <c r="AD89" s="167"/>
    </row>
    <row r="90" spans="1:30" s="156" customFormat="1" ht="14.5" hidden="1" customHeight="1" outlineLevel="1">
      <c r="A90" s="161"/>
      <c r="B90" s="161"/>
      <c r="D90" s="162"/>
      <c r="E90" s="163"/>
      <c r="F90" s="163"/>
      <c r="G90" s="163"/>
      <c r="H90" s="163"/>
      <c r="I90" s="158" t="s">
        <v>308</v>
      </c>
      <c r="J90" s="179">
        <f>-(J19)/(I19)</f>
        <v>0</v>
      </c>
      <c r="K90" s="180"/>
      <c r="L90" s="181">
        <f>(L19)/($K$19)</f>
        <v>9.9043162452856534E-2</v>
      </c>
      <c r="M90" s="181">
        <f t="shared" ref="M90:X90" si="80">(M19)/($K$19)</f>
        <v>8.4928062578572425E-2</v>
      </c>
      <c r="N90" s="181">
        <f t="shared" si="80"/>
        <v>0.38</v>
      </c>
      <c r="O90" s="181">
        <f t="shared" si="80"/>
        <v>0</v>
      </c>
      <c r="P90" s="181">
        <f t="shared" si="80"/>
        <v>0</v>
      </c>
      <c r="Q90" s="181">
        <f t="shared" si="80"/>
        <v>0</v>
      </c>
      <c r="R90" s="181">
        <f t="shared" si="80"/>
        <v>0.74072085322465342</v>
      </c>
      <c r="S90" s="181">
        <f t="shared" si="80"/>
        <v>3.4921078362899847E-4</v>
      </c>
      <c r="T90" s="181">
        <f t="shared" si="80"/>
        <v>6.4601899706662941E-2</v>
      </c>
      <c r="U90" s="181">
        <f t="shared" si="80"/>
        <v>0.11845928202262886</v>
      </c>
      <c r="V90" s="181">
        <f t="shared" si="80"/>
        <v>0</v>
      </c>
      <c r="W90" s="181">
        <f t="shared" si="80"/>
        <v>0</v>
      </c>
      <c r="X90" s="181">
        <f t="shared" si="80"/>
        <v>0.01</v>
      </c>
      <c r="Y90" s="164"/>
      <c r="Z90" s="166"/>
      <c r="AA90" s="154"/>
      <c r="AB90" s="167"/>
      <c r="AC90" s="167"/>
      <c r="AD90" s="167"/>
    </row>
    <row r="91" spans="1:30" s="156" customFormat="1" hidden="1" outlineLevel="1">
      <c r="A91" s="161"/>
      <c r="B91" s="161"/>
      <c r="D91" s="162"/>
      <c r="E91" s="163"/>
      <c r="F91" s="163"/>
      <c r="G91" s="163"/>
      <c r="H91" s="163"/>
      <c r="I91" s="158" t="s">
        <v>309</v>
      </c>
      <c r="J91" s="179">
        <f>-(J20)/(I20)</f>
        <v>0.43621826343105624</v>
      </c>
      <c r="K91" s="180"/>
      <c r="L91" s="181">
        <f>(L20)/($K$20)</f>
        <v>0.1367436305732484</v>
      </c>
      <c r="M91" s="181">
        <f t="shared" ref="M91:X91" si="81">(M20)/($K$20)</f>
        <v>9.1958598726114643E-2</v>
      </c>
      <c r="N91" s="181">
        <f t="shared" si="81"/>
        <v>0.38</v>
      </c>
      <c r="O91" s="181">
        <f t="shared" si="81"/>
        <v>0</v>
      </c>
      <c r="P91" s="181">
        <f t="shared" si="81"/>
        <v>0</v>
      </c>
      <c r="Q91" s="181">
        <f t="shared" si="81"/>
        <v>0</v>
      </c>
      <c r="R91" s="181">
        <f t="shared" si="81"/>
        <v>0.36942420499250656</v>
      </c>
      <c r="S91" s="181">
        <f t="shared" si="81"/>
        <v>0</v>
      </c>
      <c r="T91" s="181">
        <f t="shared" si="81"/>
        <v>0</v>
      </c>
      <c r="U91" s="181">
        <f t="shared" si="81"/>
        <v>0</v>
      </c>
      <c r="V91" s="181">
        <f t="shared" si="81"/>
        <v>0</v>
      </c>
      <c r="W91" s="181">
        <f t="shared" si="81"/>
        <v>0</v>
      </c>
      <c r="X91" s="181">
        <f t="shared" si="81"/>
        <v>0.01</v>
      </c>
      <c r="Y91" s="181"/>
      <c r="Z91" s="158"/>
      <c r="AA91" s="154"/>
      <c r="AB91" s="167"/>
      <c r="AC91" s="167"/>
      <c r="AD91" s="167"/>
    </row>
    <row r="92" spans="1:30" s="156" customFormat="1" hidden="1" outlineLevel="1">
      <c r="A92" s="161"/>
      <c r="B92" s="161"/>
      <c r="D92" s="162"/>
      <c r="E92" s="163"/>
      <c r="F92" s="163"/>
      <c r="G92" s="163"/>
      <c r="H92" s="163"/>
      <c r="I92" s="182" t="s">
        <v>278</v>
      </c>
      <c r="J92" s="183"/>
      <c r="K92" s="180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66"/>
      <c r="AA92" s="154"/>
      <c r="AB92" s="167"/>
      <c r="AC92" s="167"/>
      <c r="AD92" s="167"/>
    </row>
    <row r="93" spans="1:30" s="156" customFormat="1" hidden="1" outlineLevel="1">
      <c r="A93" s="161"/>
      <c r="B93" s="161"/>
      <c r="D93" s="162"/>
      <c r="E93" s="163"/>
      <c r="F93" s="163"/>
      <c r="G93" s="163"/>
      <c r="H93" s="163"/>
      <c r="I93" s="158" t="s">
        <v>308</v>
      </c>
      <c r="J93" s="184">
        <f>-(J19)/(I19)+(J17+J15)/(I17+I15)</f>
        <v>0</v>
      </c>
      <c r="K93" s="185">
        <f>(K19)/(K17+K15)-1</f>
        <v>-0.29293827160493824</v>
      </c>
      <c r="L93" s="185">
        <f t="shared" ref="L93:Y93" si="82">(L19)/(L17+L15)-1</f>
        <v>-0.60882374035230968</v>
      </c>
      <c r="M93" s="185">
        <f t="shared" si="82"/>
        <v>-7.4581430745814359E-2</v>
      </c>
      <c r="N93" s="185">
        <f t="shared" si="82"/>
        <v>-0.2488886925502366</v>
      </c>
      <c r="O93" s="185" t="e">
        <f t="shared" si="82"/>
        <v>#DIV/0!</v>
      </c>
      <c r="P93" s="185" t="e">
        <f t="shared" si="82"/>
        <v>#DIV/0!</v>
      </c>
      <c r="Q93" s="185" t="e">
        <f t="shared" si="82"/>
        <v>#DIV/0!</v>
      </c>
      <c r="R93" s="185">
        <f t="shared" si="82"/>
        <v>-0.2432015461601762</v>
      </c>
      <c r="S93" s="185">
        <f t="shared" si="82"/>
        <v>0</v>
      </c>
      <c r="T93" s="185">
        <f t="shared" si="82"/>
        <v>-0.21493621680345609</v>
      </c>
      <c r="U93" s="185" t="e">
        <f t="shared" si="82"/>
        <v>#DIV/0!</v>
      </c>
      <c r="V93" s="185" t="e">
        <f t="shared" si="82"/>
        <v>#DIV/0!</v>
      </c>
      <c r="W93" s="185" t="e">
        <f t="shared" si="82"/>
        <v>#DIV/0!</v>
      </c>
      <c r="X93" s="185">
        <f t="shared" si="82"/>
        <v>-0.29293827160493824</v>
      </c>
      <c r="Y93" s="185">
        <f t="shared" si="82"/>
        <v>-2.7363738928548265E-2</v>
      </c>
      <c r="Z93" s="166"/>
      <c r="AA93" s="154"/>
      <c r="AB93" s="167"/>
      <c r="AC93" s="167"/>
      <c r="AD93" s="167"/>
    </row>
    <row r="94" spans="1:30" s="156" customFormat="1" hidden="1" outlineLevel="1">
      <c r="A94" s="161"/>
      <c r="B94" s="161"/>
      <c r="D94" s="162"/>
      <c r="E94" s="163"/>
      <c r="F94" s="163"/>
      <c r="G94" s="163"/>
      <c r="H94" s="163"/>
      <c r="I94" s="158" t="s">
        <v>309</v>
      </c>
      <c r="J94" s="184">
        <f>-(J20)/(I20)+(J18+J16)/(I18+I16)</f>
        <v>0.33363311776014937</v>
      </c>
      <c r="K94" s="185">
        <f>(K20)/(K18+K16)-1</f>
        <v>-0.54055784179240973</v>
      </c>
      <c r="L94" s="185">
        <f t="shared" ref="L94:Y94" si="83">(L20)/(L18+L16)-1</f>
        <v>-0.61415332771693343</v>
      </c>
      <c r="M94" s="185">
        <f t="shared" si="83"/>
        <v>-0.10810810810810811</v>
      </c>
      <c r="N94" s="185">
        <f t="shared" si="83"/>
        <v>-0.52442493660228084</v>
      </c>
      <c r="O94" s="185" t="e">
        <f t="shared" si="83"/>
        <v>#DIV/0!</v>
      </c>
      <c r="P94" s="185" t="e">
        <f t="shared" si="83"/>
        <v>#DIV/0!</v>
      </c>
      <c r="Q94" s="185" t="e">
        <f t="shared" si="83"/>
        <v>#DIV/0!</v>
      </c>
      <c r="R94" s="185">
        <f t="shared" si="83"/>
        <v>-0.3145663591683423</v>
      </c>
      <c r="S94" s="185" t="e">
        <f t="shared" si="83"/>
        <v>#DIV/0!</v>
      </c>
      <c r="T94" s="185" t="e">
        <f t="shared" si="83"/>
        <v>#DIV/0!</v>
      </c>
      <c r="U94" s="185" t="e">
        <f t="shared" si="83"/>
        <v>#DIV/0!</v>
      </c>
      <c r="V94" s="185" t="e">
        <f t="shared" si="83"/>
        <v>#DIV/0!</v>
      </c>
      <c r="W94" s="185" t="e">
        <f t="shared" si="83"/>
        <v>#DIV/0!</v>
      </c>
      <c r="X94" s="185">
        <f t="shared" si="83"/>
        <v>-0.54055784179240973</v>
      </c>
      <c r="Y94" s="185">
        <f t="shared" si="83"/>
        <v>-0.96695234521428697</v>
      </c>
      <c r="Z94" s="186" t="s">
        <v>279</v>
      </c>
      <c r="AA94" s="154"/>
      <c r="AB94" s="167"/>
      <c r="AC94" s="167"/>
      <c r="AD94" s="167"/>
    </row>
    <row r="95" spans="1:30" s="156" customFormat="1" collapsed="1">
      <c r="A95" s="161"/>
      <c r="B95" s="161"/>
      <c r="D95" s="162"/>
      <c r="E95" s="163"/>
      <c r="F95" s="163"/>
      <c r="G95" s="163"/>
      <c r="H95" s="163"/>
      <c r="I95" s="178" t="s">
        <v>951</v>
      </c>
      <c r="J95" s="178"/>
      <c r="K95" s="178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54"/>
      <c r="W95" s="154"/>
      <c r="X95" s="164"/>
      <c r="Y95" s="164"/>
      <c r="Z95" s="166"/>
      <c r="AA95" s="154"/>
      <c r="AB95" s="167"/>
      <c r="AC95" s="167"/>
      <c r="AD95" s="167"/>
    </row>
    <row r="96" spans="1:30" s="156" customFormat="1" ht="14.5" hidden="1" customHeight="1" outlineLevel="1">
      <c r="A96" s="161"/>
      <c r="B96" s="161"/>
      <c r="D96" s="162"/>
      <c r="E96" s="163"/>
      <c r="F96" s="163"/>
      <c r="G96" s="163"/>
      <c r="H96" s="163"/>
      <c r="I96" s="477" t="s">
        <v>277</v>
      </c>
      <c r="J96" s="477"/>
      <c r="K96" s="477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54"/>
      <c r="W96" s="154"/>
      <c r="X96" s="164"/>
      <c r="Y96" s="164"/>
      <c r="Z96" s="166"/>
      <c r="AA96" s="154"/>
      <c r="AB96" s="167"/>
      <c r="AC96" s="167"/>
      <c r="AD96" s="167"/>
    </row>
    <row r="97" spans="1:30" s="156" customFormat="1" ht="14.5" hidden="1" customHeight="1" outlineLevel="1">
      <c r="A97" s="161"/>
      <c r="B97" s="161"/>
      <c r="D97" s="162"/>
      <c r="E97" s="163"/>
      <c r="F97" s="163"/>
      <c r="G97" s="163"/>
      <c r="H97" s="163"/>
      <c r="I97" s="158" t="s">
        <v>308</v>
      </c>
      <c r="J97" s="179">
        <f>-(J17+J15)/(I17+I15)</f>
        <v>0</v>
      </c>
      <c r="K97" s="180"/>
      <c r="L97" s="181">
        <f>(L17+L15)/($K$17+$K$15)</f>
        <v>0.17902320987654319</v>
      </c>
      <c r="M97" s="181">
        <f t="shared" ref="M97:X97" si="84">(M17+M15)/($K$17+$K$15)</f>
        <v>6.4888888888888885E-2</v>
      </c>
      <c r="N97" s="181">
        <f t="shared" si="84"/>
        <v>0.35771456790123457</v>
      </c>
      <c r="O97" s="181">
        <f t="shared" si="84"/>
        <v>0</v>
      </c>
      <c r="P97" s="181">
        <f t="shared" si="84"/>
        <v>0</v>
      </c>
      <c r="Q97" s="181">
        <f t="shared" si="84"/>
        <v>0</v>
      </c>
      <c r="R97" s="181">
        <f t="shared" si="84"/>
        <v>0.69204074622770928</v>
      </c>
      <c r="S97" s="181">
        <f t="shared" si="84"/>
        <v>2.4691358024691359E-4</v>
      </c>
      <c r="T97" s="181">
        <f t="shared" si="84"/>
        <v>5.8183209876543213E-2</v>
      </c>
      <c r="U97" s="181">
        <f t="shared" si="84"/>
        <v>0</v>
      </c>
      <c r="V97" s="181">
        <f t="shared" si="84"/>
        <v>0</v>
      </c>
      <c r="W97" s="181">
        <f t="shared" si="84"/>
        <v>0</v>
      </c>
      <c r="X97" s="181">
        <f t="shared" si="84"/>
        <v>0.01</v>
      </c>
      <c r="Y97" s="164"/>
      <c r="Z97" s="166"/>
      <c r="AA97" s="154"/>
      <c r="AB97" s="167"/>
      <c r="AC97" s="167"/>
      <c r="AD97" s="167"/>
    </row>
    <row r="98" spans="1:30" s="156" customFormat="1" hidden="1" outlineLevel="1">
      <c r="A98" s="161"/>
      <c r="B98" s="161"/>
      <c r="D98" s="162"/>
      <c r="E98" s="163"/>
      <c r="F98" s="163"/>
      <c r="G98" s="163"/>
      <c r="H98" s="163"/>
      <c r="I98" s="158" t="s">
        <v>309</v>
      </c>
      <c r="J98" s="179">
        <f>-(J18+J16)/(I18+I16)</f>
        <v>0.10258514567090685</v>
      </c>
      <c r="K98" s="180"/>
      <c r="L98" s="181">
        <f>(L18+L16)/($K$18+$K$16)</f>
        <v>0.16282578875171469</v>
      </c>
      <c r="M98" s="181">
        <f t="shared" ref="M98:X98" si="85">(M18+M16)/($K$18+$K$16)</f>
        <v>4.7370827617741196E-2</v>
      </c>
      <c r="N98" s="181">
        <f t="shared" si="85"/>
        <v>0.36710928212162774</v>
      </c>
      <c r="O98" s="181">
        <f t="shared" si="85"/>
        <v>0</v>
      </c>
      <c r="P98" s="181">
        <f t="shared" si="85"/>
        <v>0</v>
      </c>
      <c r="Q98" s="181">
        <f t="shared" si="85"/>
        <v>0</v>
      </c>
      <c r="R98" s="181">
        <f t="shared" si="85"/>
        <v>0.24762288269064675</v>
      </c>
      <c r="S98" s="181">
        <f t="shared" si="85"/>
        <v>0</v>
      </c>
      <c r="T98" s="181">
        <f t="shared" si="85"/>
        <v>0</v>
      </c>
      <c r="U98" s="181">
        <f t="shared" si="85"/>
        <v>0</v>
      </c>
      <c r="V98" s="181">
        <f t="shared" si="85"/>
        <v>0</v>
      </c>
      <c r="W98" s="181">
        <f t="shared" si="85"/>
        <v>0</v>
      </c>
      <c r="X98" s="181">
        <f t="shared" si="85"/>
        <v>0.01</v>
      </c>
      <c r="Y98" s="181"/>
      <c r="Z98" s="158"/>
      <c r="AA98" s="154"/>
      <c r="AB98" s="167"/>
      <c r="AC98" s="167"/>
      <c r="AD98" s="167"/>
    </row>
    <row r="99" spans="1:30" s="156" customFormat="1" hidden="1" outlineLevel="1">
      <c r="A99" s="161"/>
      <c r="B99" s="161"/>
      <c r="D99" s="162"/>
      <c r="E99" s="163"/>
      <c r="F99" s="163"/>
      <c r="G99" s="163"/>
      <c r="H99" s="163"/>
      <c r="I99" s="182" t="s">
        <v>278</v>
      </c>
      <c r="J99" s="183"/>
      <c r="K99" s="180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66"/>
      <c r="AA99" s="154"/>
      <c r="AB99" s="167"/>
      <c r="AC99" s="167"/>
      <c r="AD99" s="167"/>
    </row>
    <row r="100" spans="1:30" s="156" customFormat="1" hidden="1" outlineLevel="1">
      <c r="A100" s="161"/>
      <c r="B100" s="161"/>
      <c r="D100" s="162"/>
      <c r="E100" s="163"/>
      <c r="F100" s="163"/>
      <c r="G100" s="163"/>
      <c r="H100" s="163"/>
      <c r="I100" s="158" t="s">
        <v>308</v>
      </c>
      <c r="J100" s="184">
        <f>-(J17+J15)/(I17+I15)+(J13)/(I13)</f>
        <v>0</v>
      </c>
      <c r="K100" s="185">
        <f>(K17+K15)/(K13)-1</f>
        <v>0.13917641764176425</v>
      </c>
      <c r="L100" s="185">
        <f t="shared" ref="L100:X100" si="86">(L17+L15)/(L13)-1</f>
        <v>0.35270917211759811</v>
      </c>
      <c r="M100" s="185">
        <f t="shared" si="86"/>
        <v>-0.41129032258064513</v>
      </c>
      <c r="N100" s="185">
        <f t="shared" si="86"/>
        <v>0.21692471037281935</v>
      </c>
      <c r="O100" s="185" t="e">
        <f t="shared" si="86"/>
        <v>#DIV/0!</v>
      </c>
      <c r="P100" s="185" t="e">
        <f t="shared" si="86"/>
        <v>#DIV/0!</v>
      </c>
      <c r="Q100" s="185" t="e">
        <f t="shared" si="86"/>
        <v>#DIV/0!</v>
      </c>
      <c r="R100" s="185">
        <f t="shared" si="86"/>
        <v>0.13916972558436091</v>
      </c>
      <c r="S100" s="185">
        <f t="shared" si="86"/>
        <v>-0.75</v>
      </c>
      <c r="T100" s="185">
        <f t="shared" si="86"/>
        <v>-0.11134827731853003</v>
      </c>
      <c r="U100" s="185" t="e">
        <f t="shared" si="86"/>
        <v>#DIV/0!</v>
      </c>
      <c r="V100" s="185" t="e">
        <f t="shared" si="86"/>
        <v>#DIV/0!</v>
      </c>
      <c r="W100" s="185" t="e">
        <f t="shared" si="86"/>
        <v>#DIV/0!</v>
      </c>
      <c r="X100" s="185">
        <f t="shared" si="86"/>
        <v>0.13917641764176425</v>
      </c>
      <c r="Y100" s="185">
        <f>(Y17+Y15)/(Y13)-1</f>
        <v>6.0550522746156243E-2</v>
      </c>
      <c r="Z100" s="166"/>
      <c r="AA100" s="154"/>
      <c r="AB100" s="167"/>
      <c r="AC100" s="167"/>
      <c r="AD100" s="167"/>
    </row>
    <row r="101" spans="1:30" s="156" customFormat="1" hidden="1" outlineLevel="1">
      <c r="A101" s="161"/>
      <c r="B101" s="161"/>
      <c r="D101" s="162"/>
      <c r="E101" s="163"/>
      <c r="F101" s="163"/>
      <c r="G101" s="163"/>
      <c r="H101" s="163"/>
      <c r="I101" s="158" t="s">
        <v>309</v>
      </c>
      <c r="J101" s="184">
        <f>-(J18+J16)/(I18+I16)+(J14)/(I14)</f>
        <v>-0.16246037953451178</v>
      </c>
      <c r="K101" s="185">
        <f>(K18+K16)/(K14)-1</f>
        <v>0.65206224505212274</v>
      </c>
      <c r="L101" s="185">
        <f t="shared" ref="L101:X101" si="87">(L18+L16)/(L14)-1</f>
        <v>0.14963680387409206</v>
      </c>
      <c r="M101" s="185">
        <f t="shared" si="87"/>
        <v>0.1212121212121211</v>
      </c>
      <c r="N101" s="185">
        <f t="shared" si="87"/>
        <v>0.94308699103564431</v>
      </c>
      <c r="O101" s="185" t="e">
        <f t="shared" si="87"/>
        <v>#DIV/0!</v>
      </c>
      <c r="P101" s="185" t="e">
        <f t="shared" si="87"/>
        <v>#DIV/0!</v>
      </c>
      <c r="Q101" s="185" t="e">
        <f t="shared" si="87"/>
        <v>#DIV/0!</v>
      </c>
      <c r="R101" s="185">
        <f t="shared" si="87"/>
        <v>0.43072004060630364</v>
      </c>
      <c r="S101" s="185" t="e">
        <f t="shared" si="87"/>
        <v>#DIV/0!</v>
      </c>
      <c r="T101" s="185" t="e">
        <f t="shared" si="87"/>
        <v>#DIV/0!</v>
      </c>
      <c r="U101" s="185" t="e">
        <f t="shared" si="87"/>
        <v>#DIV/0!</v>
      </c>
      <c r="V101" s="185" t="e">
        <f t="shared" si="87"/>
        <v>#DIV/0!</v>
      </c>
      <c r="W101" s="185" t="e">
        <f t="shared" si="87"/>
        <v>#DIV/0!</v>
      </c>
      <c r="X101" s="185">
        <f t="shared" si="87"/>
        <v>0.65206224505212296</v>
      </c>
      <c r="Y101" s="185">
        <f>(Y18+Y16)/(Y14)-1</f>
        <v>2.0934031671108779</v>
      </c>
      <c r="Z101" s="186" t="s">
        <v>279</v>
      </c>
      <c r="AA101" s="154"/>
      <c r="AB101" s="167"/>
      <c r="AC101" s="167"/>
      <c r="AD101" s="167"/>
    </row>
    <row r="102" spans="1:30" s="156" customFormat="1" collapsed="1">
      <c r="A102" s="161"/>
      <c r="B102" s="161"/>
      <c r="D102" s="162"/>
      <c r="E102" s="163"/>
      <c r="F102" s="163"/>
      <c r="G102" s="163"/>
      <c r="H102" s="163"/>
      <c r="I102" s="178" t="s">
        <v>756</v>
      </c>
      <c r="J102" s="178"/>
      <c r="K102" s="178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54"/>
      <c r="W102" s="154"/>
      <c r="X102" s="164"/>
      <c r="Y102" s="164"/>
      <c r="Z102" s="166"/>
      <c r="AA102" s="154"/>
      <c r="AB102" s="167"/>
      <c r="AC102" s="167"/>
      <c r="AD102" s="167"/>
    </row>
    <row r="103" spans="1:30" s="156" customFormat="1" ht="14.5" hidden="1" customHeight="1" outlineLevel="1">
      <c r="A103" s="161"/>
      <c r="B103" s="161"/>
      <c r="D103" s="162"/>
      <c r="E103" s="163"/>
      <c r="F103" s="163"/>
      <c r="G103" s="163"/>
      <c r="H103" s="163"/>
      <c r="I103" s="477" t="s">
        <v>277</v>
      </c>
      <c r="J103" s="477"/>
      <c r="K103" s="477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54"/>
      <c r="W103" s="154"/>
      <c r="X103" s="164"/>
      <c r="Y103" s="164"/>
      <c r="Z103" s="166"/>
      <c r="AA103" s="154"/>
      <c r="AB103" s="167"/>
      <c r="AC103" s="167"/>
      <c r="AD103" s="167"/>
    </row>
    <row r="104" spans="1:30" s="156" customFormat="1" ht="14.5" hidden="1" customHeight="1" outlineLevel="1">
      <c r="A104" s="161"/>
      <c r="B104" s="161"/>
      <c r="D104" s="162"/>
      <c r="E104" s="163"/>
      <c r="F104" s="163"/>
      <c r="G104" s="163"/>
      <c r="H104" s="163"/>
      <c r="I104" s="158" t="s">
        <v>308</v>
      </c>
      <c r="J104" s="179">
        <f>-(J13)/(I13)</f>
        <v>0</v>
      </c>
      <c r="K104" s="180"/>
      <c r="L104" s="181">
        <f>(L13)/($K$13)</f>
        <v>0.1507633888388839</v>
      </c>
      <c r="M104" s="181">
        <f t="shared" ref="M104:X104" si="88">(M13)/($K$13)</f>
        <v>0.12556255625562557</v>
      </c>
      <c r="N104" s="181">
        <f t="shared" si="88"/>
        <v>0.33486048604860491</v>
      </c>
      <c r="O104" s="181">
        <f t="shared" si="88"/>
        <v>0</v>
      </c>
      <c r="P104" s="181">
        <f t="shared" si="88"/>
        <v>0</v>
      </c>
      <c r="Q104" s="181">
        <f t="shared" si="88"/>
        <v>0</v>
      </c>
      <c r="R104" s="181">
        <f t="shared" si="88"/>
        <v>0.69204481162401954</v>
      </c>
      <c r="S104" s="181">
        <f t="shared" si="88"/>
        <v>1.1251125112511251E-3</v>
      </c>
      <c r="T104" s="181">
        <f t="shared" si="88"/>
        <v>7.4585958595859578E-2</v>
      </c>
      <c r="U104" s="181">
        <f t="shared" si="88"/>
        <v>0</v>
      </c>
      <c r="V104" s="181">
        <f t="shared" si="88"/>
        <v>0</v>
      </c>
      <c r="W104" s="181">
        <f t="shared" si="88"/>
        <v>0</v>
      </c>
      <c r="X104" s="181">
        <f t="shared" si="88"/>
        <v>0.01</v>
      </c>
      <c r="Y104" s="164"/>
      <c r="Z104" s="166"/>
      <c r="AA104" s="154"/>
      <c r="AB104" s="167"/>
      <c r="AC104" s="167"/>
      <c r="AD104" s="167"/>
    </row>
    <row r="105" spans="1:30" s="156" customFormat="1" hidden="1" outlineLevel="1">
      <c r="A105" s="161"/>
      <c r="B105" s="161"/>
      <c r="D105" s="162"/>
      <c r="E105" s="163"/>
      <c r="F105" s="163"/>
      <c r="G105" s="163"/>
      <c r="H105" s="163"/>
      <c r="I105" s="158" t="s">
        <v>309</v>
      </c>
      <c r="J105" s="179">
        <f>-(J14)/(I14)</f>
        <v>0.26504552520541863</v>
      </c>
      <c r="K105" s="180"/>
      <c r="L105" s="181">
        <f>(L14)/($K$14)</f>
        <v>0.23398549629853452</v>
      </c>
      <c r="M105" s="181">
        <f t="shared" ref="M105:X105" si="89">(M14)/($K$14)</f>
        <v>6.9799063302613693E-2</v>
      </c>
      <c r="N105" s="181">
        <f t="shared" si="89"/>
        <v>0.31212569874603413</v>
      </c>
      <c r="O105" s="181">
        <f t="shared" si="89"/>
        <v>0</v>
      </c>
      <c r="P105" s="181">
        <f t="shared" si="89"/>
        <v>0</v>
      </c>
      <c r="Q105" s="181">
        <f t="shared" si="89"/>
        <v>0</v>
      </c>
      <c r="R105" s="181">
        <f t="shared" si="89"/>
        <v>0.28593184123626786</v>
      </c>
      <c r="S105" s="181">
        <f t="shared" si="89"/>
        <v>0</v>
      </c>
      <c r="T105" s="181">
        <f t="shared" si="89"/>
        <v>0</v>
      </c>
      <c r="U105" s="181">
        <f t="shared" si="89"/>
        <v>0</v>
      </c>
      <c r="V105" s="181">
        <f t="shared" si="89"/>
        <v>0</v>
      </c>
      <c r="W105" s="181">
        <f t="shared" si="89"/>
        <v>0</v>
      </c>
      <c r="X105" s="181">
        <f t="shared" si="89"/>
        <v>0.01</v>
      </c>
      <c r="Y105" s="181"/>
      <c r="Z105" s="158"/>
      <c r="AA105" s="154"/>
      <c r="AB105" s="167"/>
      <c r="AC105" s="167"/>
      <c r="AD105" s="167"/>
    </row>
    <row r="106" spans="1:30" s="156" customFormat="1" hidden="1" outlineLevel="1">
      <c r="A106" s="161"/>
      <c r="B106" s="161"/>
      <c r="D106" s="162"/>
      <c r="E106" s="163"/>
      <c r="F106" s="163"/>
      <c r="G106" s="163"/>
      <c r="H106" s="163"/>
      <c r="I106" s="182" t="s">
        <v>278</v>
      </c>
      <c r="J106" s="183"/>
      <c r="K106" s="180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66"/>
      <c r="AA106" s="154"/>
      <c r="AB106" s="167"/>
      <c r="AC106" s="167"/>
      <c r="AD106" s="167"/>
    </row>
    <row r="107" spans="1:30" s="156" customFormat="1" hidden="1" outlineLevel="1">
      <c r="A107" s="161"/>
      <c r="B107" s="161"/>
      <c r="D107" s="162"/>
      <c r="E107" s="163"/>
      <c r="F107" s="163"/>
      <c r="G107" s="163"/>
      <c r="H107" s="163"/>
      <c r="I107" s="158" t="s">
        <v>308</v>
      </c>
      <c r="J107" s="184">
        <f>-(J13)/(I13)+(J11)/(I11)</f>
        <v>0</v>
      </c>
      <c r="K107" s="185">
        <f>(K13)/(K11)-1</f>
        <v>-1.7140329536658228E-2</v>
      </c>
      <c r="L107" s="185">
        <f t="shared" ref="L107:Y107" si="90">(L13)/(L11)-1</f>
        <v>-1.4202267360165721E-2</v>
      </c>
      <c r="M107" s="185">
        <f t="shared" si="90"/>
        <v>-0.20625889046941681</v>
      </c>
      <c r="N107" s="185">
        <f t="shared" si="90"/>
        <v>9.8057156349844687E-2</v>
      </c>
      <c r="O107" s="185" t="e">
        <f t="shared" si="90"/>
        <v>#DIV/0!</v>
      </c>
      <c r="P107" s="185" t="e">
        <f t="shared" si="90"/>
        <v>#DIV/0!</v>
      </c>
      <c r="Q107" s="185" t="e">
        <f t="shared" si="90"/>
        <v>#DIV/0!</v>
      </c>
      <c r="R107" s="185">
        <f t="shared" si="90"/>
        <v>0.22292208118887102</v>
      </c>
      <c r="S107" s="185">
        <f t="shared" si="90"/>
        <v>-0.88505747126436785</v>
      </c>
      <c r="T107" s="185">
        <f t="shared" si="90"/>
        <v>-0.21412144059558524</v>
      </c>
      <c r="U107" s="185" t="e">
        <f t="shared" si="90"/>
        <v>#DIV/0!</v>
      </c>
      <c r="V107" s="185" t="e">
        <f t="shared" si="90"/>
        <v>#DIV/0!</v>
      </c>
      <c r="W107" s="185">
        <f t="shared" si="90"/>
        <v>-1</v>
      </c>
      <c r="X107" s="185">
        <f t="shared" si="90"/>
        <v>-1.7140329536658339E-2</v>
      </c>
      <c r="Y107" s="185">
        <f t="shared" si="90"/>
        <v>-1.6266383111756291</v>
      </c>
      <c r="Z107" s="166"/>
      <c r="AA107" s="154"/>
      <c r="AB107" s="167"/>
      <c r="AC107" s="167"/>
      <c r="AD107" s="167"/>
    </row>
    <row r="108" spans="1:30" s="156" customFormat="1" hidden="1" outlineLevel="1">
      <c r="A108" s="161"/>
      <c r="B108" s="161"/>
      <c r="D108" s="162"/>
      <c r="E108" s="163"/>
      <c r="F108" s="163"/>
      <c r="G108" s="163"/>
      <c r="H108" s="163"/>
      <c r="I108" s="158" t="s">
        <v>309</v>
      </c>
      <c r="J108" s="184">
        <f>-(J14)/(I14)+(J12)/(I12)</f>
        <v>9.5533787156422079E-2</v>
      </c>
      <c r="K108" s="185">
        <f>(K14)/(K12)-1</f>
        <v>-0.45688028226799049</v>
      </c>
      <c r="L108" s="185">
        <f t="shared" ref="L108:Y108" si="91">(L14)/(L12)-1</f>
        <v>-0.46111691022964507</v>
      </c>
      <c r="M108" s="185">
        <f t="shared" si="91"/>
        <v>-0.38888888888888884</v>
      </c>
      <c r="N108" s="185">
        <f t="shared" si="91"/>
        <v>-0.37177748450699089</v>
      </c>
      <c r="O108" s="185" t="e">
        <f t="shared" si="91"/>
        <v>#DIV/0!</v>
      </c>
      <c r="P108" s="185" t="e">
        <f t="shared" si="91"/>
        <v>#DIV/0!</v>
      </c>
      <c r="Q108" s="185" t="e">
        <f t="shared" si="91"/>
        <v>#DIV/0!</v>
      </c>
      <c r="R108" s="185">
        <f t="shared" si="91"/>
        <v>-0.3477748900326022</v>
      </c>
      <c r="S108" s="185" t="e">
        <f t="shared" si="91"/>
        <v>#DIV/0!</v>
      </c>
      <c r="T108" s="185" t="e">
        <f t="shared" si="91"/>
        <v>#DIV/0!</v>
      </c>
      <c r="U108" s="185" t="e">
        <f t="shared" si="91"/>
        <v>#DIV/0!</v>
      </c>
      <c r="V108" s="185" t="e">
        <f t="shared" si="91"/>
        <v>#DIV/0!</v>
      </c>
      <c r="W108" s="185" t="e">
        <f t="shared" si="91"/>
        <v>#DIV/0!</v>
      </c>
      <c r="X108" s="185">
        <f t="shared" si="91"/>
        <v>-0.45688028226799049</v>
      </c>
      <c r="Y108" s="185">
        <f t="shared" si="91"/>
        <v>-0.74006030955031121</v>
      </c>
      <c r="Z108" s="186" t="s">
        <v>279</v>
      </c>
      <c r="AA108" s="154"/>
      <c r="AB108" s="167"/>
      <c r="AC108" s="167"/>
      <c r="AD108" s="167"/>
    </row>
    <row r="109" spans="1:30" s="156" customFormat="1" collapsed="1">
      <c r="A109" s="161"/>
      <c r="B109" s="161"/>
      <c r="D109" s="162"/>
      <c r="E109" s="163"/>
      <c r="F109" s="163"/>
      <c r="G109" s="163"/>
      <c r="H109" s="163"/>
      <c r="I109" s="178" t="s">
        <v>322</v>
      </c>
      <c r="J109" s="178"/>
      <c r="K109" s="178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54"/>
      <c r="W109" s="154"/>
      <c r="X109" s="164"/>
      <c r="Y109" s="164"/>
      <c r="Z109" s="166"/>
      <c r="AA109" s="154"/>
      <c r="AB109" s="167"/>
      <c r="AC109" s="167"/>
      <c r="AD109" s="167"/>
    </row>
    <row r="110" spans="1:30" s="156" customFormat="1" ht="14.5" hidden="1" customHeight="1" outlineLevel="1">
      <c r="A110" s="161"/>
      <c r="B110" s="161"/>
      <c r="D110" s="162"/>
      <c r="E110" s="163"/>
      <c r="F110" s="163"/>
      <c r="G110" s="163"/>
      <c r="H110" s="163"/>
      <c r="I110" s="477" t="s">
        <v>277</v>
      </c>
      <c r="J110" s="477"/>
      <c r="K110" s="477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54"/>
      <c r="W110" s="154"/>
      <c r="X110" s="164"/>
      <c r="Y110" s="164"/>
      <c r="Z110" s="166"/>
      <c r="AA110" s="154"/>
      <c r="AB110" s="167"/>
      <c r="AC110" s="167"/>
      <c r="AD110" s="167"/>
    </row>
    <row r="111" spans="1:30" s="156" customFormat="1" ht="14.5" hidden="1" customHeight="1" outlineLevel="1">
      <c r="A111" s="161"/>
      <c r="B111" s="161"/>
      <c r="D111" s="162"/>
      <c r="E111" s="163"/>
      <c r="F111" s="163"/>
      <c r="G111" s="163"/>
      <c r="H111" s="163"/>
      <c r="I111" s="158" t="s">
        <v>308</v>
      </c>
      <c r="J111" s="179">
        <f>-(J11)/(I11)</f>
        <v>0</v>
      </c>
      <c r="K111" s="180"/>
      <c r="L111" s="181">
        <f>(L11)/($K$11)</f>
        <v>0.15031405507022003</v>
      </c>
      <c r="M111" s="181">
        <f t="shared" ref="M111:X111" si="92">(M11)/($K$11)</f>
        <v>0.15547937631317041</v>
      </c>
      <c r="N111" s="181">
        <f t="shared" si="92"/>
        <v>0.29973017803826163</v>
      </c>
      <c r="O111" s="181">
        <f t="shared" si="92"/>
        <v>0</v>
      </c>
      <c r="P111" s="181">
        <f t="shared" si="92"/>
        <v>0</v>
      </c>
      <c r="Q111" s="181">
        <f t="shared" si="92"/>
        <v>0</v>
      </c>
      <c r="R111" s="181">
        <f t="shared" si="92"/>
        <v>0.55619482709593848</v>
      </c>
      <c r="S111" s="181">
        <f t="shared" si="92"/>
        <v>9.6207010947694342E-3</v>
      </c>
      <c r="T111" s="181">
        <f t="shared" si="92"/>
        <v>9.328099082162998E-2</v>
      </c>
      <c r="U111" s="181">
        <f t="shared" si="92"/>
        <v>0</v>
      </c>
      <c r="V111" s="181">
        <f t="shared" si="92"/>
        <v>0</v>
      </c>
      <c r="W111" s="181">
        <f t="shared" si="92"/>
        <v>0.88466216963397104</v>
      </c>
      <c r="X111" s="181">
        <f t="shared" si="92"/>
        <v>0.01</v>
      </c>
      <c r="Y111" s="164"/>
      <c r="Z111" s="166"/>
      <c r="AA111" s="154"/>
      <c r="AB111" s="167"/>
      <c r="AC111" s="167"/>
      <c r="AD111" s="167"/>
    </row>
    <row r="112" spans="1:30" s="156" customFormat="1" hidden="1" outlineLevel="1">
      <c r="A112" s="161"/>
      <c r="B112" s="161"/>
      <c r="D112" s="162"/>
      <c r="E112" s="163"/>
      <c r="F112" s="163"/>
      <c r="G112" s="163"/>
      <c r="H112" s="163"/>
      <c r="I112" s="158" t="s">
        <v>309</v>
      </c>
      <c r="J112" s="179">
        <f>-(J12)/(I12)</f>
        <v>0.16951173804899655</v>
      </c>
      <c r="K112" s="180"/>
      <c r="L112" s="181">
        <f>(L12)/($K$12)</f>
        <v>0.2358250594896201</v>
      </c>
      <c r="M112" s="181">
        <f t="shared" ref="M112:X112" si="93">(M12)/($K$12)</f>
        <v>6.2033314187248709E-2</v>
      </c>
      <c r="N112" s="181">
        <f t="shared" si="93"/>
        <v>0.26984327562156396</v>
      </c>
      <c r="O112" s="181">
        <f t="shared" si="93"/>
        <v>0</v>
      </c>
      <c r="P112" s="181">
        <f t="shared" si="93"/>
        <v>0</v>
      </c>
      <c r="Q112" s="181">
        <f t="shared" si="93"/>
        <v>0</v>
      </c>
      <c r="R112" s="181">
        <f t="shared" si="93"/>
        <v>0.23810064735256539</v>
      </c>
      <c r="S112" s="181">
        <f t="shared" si="93"/>
        <v>0</v>
      </c>
      <c r="T112" s="181">
        <f t="shared" si="93"/>
        <v>0</v>
      </c>
      <c r="U112" s="181">
        <f t="shared" si="93"/>
        <v>0</v>
      </c>
      <c r="V112" s="181">
        <f t="shared" si="93"/>
        <v>0</v>
      </c>
      <c r="W112" s="181">
        <f t="shared" si="93"/>
        <v>0</v>
      </c>
      <c r="X112" s="181">
        <f t="shared" si="93"/>
        <v>0.01</v>
      </c>
      <c r="Y112" s="181"/>
      <c r="Z112" s="158"/>
      <c r="AA112" s="154"/>
      <c r="AB112" s="167"/>
      <c r="AC112" s="167"/>
      <c r="AD112" s="167"/>
    </row>
    <row r="113" spans="1:30" s="156" customFormat="1" hidden="1" outlineLevel="1">
      <c r="A113" s="161"/>
      <c r="B113" s="161"/>
      <c r="D113" s="162"/>
      <c r="E113" s="163"/>
      <c r="F113" s="163"/>
      <c r="G113" s="163"/>
      <c r="H113" s="163"/>
      <c r="I113" s="182" t="s">
        <v>278</v>
      </c>
      <c r="J113" s="183"/>
      <c r="K113" s="180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66"/>
      <c r="AA113" s="154"/>
      <c r="AB113" s="167"/>
      <c r="AC113" s="167"/>
      <c r="AD113" s="167"/>
    </row>
    <row r="114" spans="1:30" s="156" customFormat="1" hidden="1" outlineLevel="1">
      <c r="A114" s="161"/>
      <c r="B114" s="161"/>
      <c r="D114" s="162"/>
      <c r="E114" s="163"/>
      <c r="F114" s="163"/>
      <c r="G114" s="163"/>
      <c r="H114" s="163"/>
      <c r="I114" s="158" t="s">
        <v>308</v>
      </c>
      <c r="J114" s="184">
        <f>-(J11)/(I11)+(J9)/(I9)</f>
        <v>-4.8796356538711776E-2</v>
      </c>
      <c r="K114" s="185">
        <f>(K11)/(K9)-1</f>
        <v>-0.22682968536251713</v>
      </c>
      <c r="L114" s="185">
        <f t="shared" ref="L114:X114" si="94">(L11)/(L9)-1</f>
        <v>-0.24431830816784905</v>
      </c>
      <c r="M114" s="185">
        <f t="shared" si="94"/>
        <v>0.34160305343511443</v>
      </c>
      <c r="N114" s="185">
        <f t="shared" si="94"/>
        <v>-0.11300116337480137</v>
      </c>
      <c r="O114" s="185" t="e">
        <f t="shared" si="94"/>
        <v>#DIV/0!</v>
      </c>
      <c r="P114" s="185" t="e">
        <f t="shared" si="94"/>
        <v>#DIV/0!</v>
      </c>
      <c r="Q114" s="185" t="e">
        <f t="shared" si="94"/>
        <v>#DIV/0!</v>
      </c>
      <c r="R114" s="185">
        <f t="shared" si="94"/>
        <v>-0.58922641277652421</v>
      </c>
      <c r="S114" s="185">
        <f t="shared" si="94"/>
        <v>16.399999999999999</v>
      </c>
      <c r="T114" s="185">
        <f t="shared" si="94"/>
        <v>-6.5821312882416549E-2</v>
      </c>
      <c r="U114" s="185" t="e">
        <f t="shared" si="94"/>
        <v>#DIV/0!</v>
      </c>
      <c r="V114" s="185" t="e">
        <f t="shared" si="94"/>
        <v>#DIV/0!</v>
      </c>
      <c r="W114" s="185">
        <f t="shared" si="94"/>
        <v>0</v>
      </c>
      <c r="X114" s="185">
        <f t="shared" si="94"/>
        <v>-0.22682968536251713</v>
      </c>
      <c r="Y114" s="185">
        <f>-((Y11)/(Y9)-1)</f>
        <v>-9.5247625026625862</v>
      </c>
      <c r="Z114" s="166"/>
      <c r="AA114" s="154"/>
      <c r="AB114" s="167"/>
      <c r="AC114" s="167"/>
      <c r="AD114" s="167"/>
    </row>
    <row r="115" spans="1:30" s="156" customFormat="1" hidden="1" outlineLevel="1">
      <c r="A115" s="161"/>
      <c r="B115" s="161"/>
      <c r="D115" s="162"/>
      <c r="E115" s="163"/>
      <c r="F115" s="163"/>
      <c r="G115" s="163"/>
      <c r="H115" s="163"/>
      <c r="I115" s="158" t="s">
        <v>309</v>
      </c>
      <c r="J115" s="184">
        <f>-(J12)/(I12)+(J10)/(I10)</f>
        <v>9.2987474258038438E-2</v>
      </c>
      <c r="K115" s="185">
        <f>(K12)/(K10)-1</f>
        <v>9.4722658881652766E-2</v>
      </c>
      <c r="L115" s="185">
        <f t="shared" ref="L115:X115" si="95">(L12)/(L10)-1</f>
        <v>0.21074249605055284</v>
      </c>
      <c r="M115" s="185">
        <f t="shared" si="95"/>
        <v>-0.11475409836065575</v>
      </c>
      <c r="N115" s="185">
        <f t="shared" si="95"/>
        <v>0.23084811737405486</v>
      </c>
      <c r="O115" s="185" t="e">
        <f t="shared" si="95"/>
        <v>#DIV/0!</v>
      </c>
      <c r="P115" s="185" t="e">
        <f t="shared" si="95"/>
        <v>#DIV/0!</v>
      </c>
      <c r="Q115" s="185" t="e">
        <f t="shared" si="95"/>
        <v>#DIV/0!</v>
      </c>
      <c r="R115" s="185">
        <f t="shared" si="95"/>
        <v>-0.39061061236077788</v>
      </c>
      <c r="S115" s="185" t="e">
        <f t="shared" si="95"/>
        <v>#DIV/0!</v>
      </c>
      <c r="T115" s="185" t="e">
        <f t="shared" si="95"/>
        <v>#DIV/0!</v>
      </c>
      <c r="U115" s="185" t="e">
        <f t="shared" si="95"/>
        <v>#DIV/0!</v>
      </c>
      <c r="V115" s="185" t="e">
        <f t="shared" si="95"/>
        <v>#DIV/0!</v>
      </c>
      <c r="W115" s="185" t="e">
        <f t="shared" si="95"/>
        <v>#DIV/0!</v>
      </c>
      <c r="X115" s="185">
        <f t="shared" si="95"/>
        <v>9.4722658881652766E-2</v>
      </c>
      <c r="Y115" s="185">
        <f>-((Y12)/(Y10)-1)</f>
        <v>-5.2369926240397602</v>
      </c>
      <c r="Z115" s="186" t="s">
        <v>279</v>
      </c>
      <c r="AA115" s="154"/>
      <c r="AB115" s="167"/>
      <c r="AC115" s="167"/>
      <c r="AD115" s="167"/>
    </row>
    <row r="116" spans="1:30" s="156" customFormat="1" collapsed="1">
      <c r="A116" s="161"/>
      <c r="B116" s="161"/>
      <c r="D116" s="162"/>
      <c r="E116" s="163"/>
      <c r="F116" s="163"/>
      <c r="G116" s="163"/>
      <c r="H116" s="163"/>
      <c r="I116" s="178" t="s">
        <v>182</v>
      </c>
      <c r="J116" s="178"/>
      <c r="K116" s="178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54"/>
      <c r="W116" s="154"/>
      <c r="X116" s="164"/>
      <c r="Y116" s="164"/>
      <c r="Z116" s="166"/>
      <c r="AA116" s="154"/>
      <c r="AB116" s="167"/>
      <c r="AC116" s="167"/>
      <c r="AD116" s="167"/>
    </row>
    <row r="117" spans="1:30" s="156" customFormat="1" ht="14.5" hidden="1" customHeight="1" outlineLevel="1">
      <c r="A117" s="161"/>
      <c r="B117" s="161"/>
      <c r="D117" s="162"/>
      <c r="E117" s="163"/>
      <c r="F117" s="163"/>
      <c r="G117" s="163"/>
      <c r="H117" s="163"/>
      <c r="I117" s="477" t="s">
        <v>277</v>
      </c>
      <c r="J117" s="477"/>
      <c r="K117" s="477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54"/>
      <c r="W117" s="154"/>
      <c r="X117" s="164"/>
      <c r="Y117" s="164"/>
      <c r="Z117" s="166"/>
      <c r="AA117" s="154"/>
      <c r="AB117" s="167"/>
      <c r="AC117" s="167"/>
      <c r="AD117" s="167"/>
    </row>
    <row r="118" spans="1:30" s="156" customFormat="1" ht="14.5" hidden="1" customHeight="1" outlineLevel="1">
      <c r="A118" s="161"/>
      <c r="B118" s="161"/>
      <c r="D118" s="162"/>
      <c r="E118" s="163"/>
      <c r="F118" s="163"/>
      <c r="G118" s="163"/>
      <c r="H118" s="163"/>
      <c r="I118" s="158" t="s">
        <v>308</v>
      </c>
      <c r="J118" s="179">
        <f>-(J9)/(I9)</f>
        <v>4.8796356538711776E-2</v>
      </c>
      <c r="K118" s="180"/>
      <c r="L118" s="181">
        <f>(L9)/($K$9)</f>
        <v>0.15379274965800271</v>
      </c>
      <c r="M118" s="181">
        <f t="shared" ref="M118:X118" si="96">(M9)/($K$9)</f>
        <v>8.9603283173734616E-2</v>
      </c>
      <c r="N118" s="181">
        <f t="shared" si="96"/>
        <v>0.261265817373461</v>
      </c>
      <c r="O118" s="181">
        <f t="shared" si="96"/>
        <v>0</v>
      </c>
      <c r="P118" s="181">
        <f t="shared" si="96"/>
        <v>0</v>
      </c>
      <c r="Q118" s="181">
        <f t="shared" si="96"/>
        <v>0</v>
      </c>
      <c r="R118" s="181">
        <f t="shared" si="96"/>
        <v>1.0468865156891243</v>
      </c>
      <c r="S118" s="181">
        <f t="shared" si="96"/>
        <v>4.2749658002735978E-4</v>
      </c>
      <c r="T118" s="181">
        <f t="shared" si="96"/>
        <v>7.7203744870041044E-2</v>
      </c>
      <c r="U118" s="181">
        <f t="shared" si="96"/>
        <v>0</v>
      </c>
      <c r="V118" s="181">
        <f t="shared" si="96"/>
        <v>0</v>
      </c>
      <c r="W118" s="181">
        <f t="shared" si="96"/>
        <v>0.6839945280437757</v>
      </c>
      <c r="X118" s="181">
        <f t="shared" si="96"/>
        <v>0.01</v>
      </c>
      <c r="Y118" s="164"/>
      <c r="Z118" s="166"/>
      <c r="AA118" s="154"/>
      <c r="AB118" s="167"/>
      <c r="AC118" s="167"/>
      <c r="AD118" s="167"/>
    </row>
    <row r="119" spans="1:30" s="156" customFormat="1" hidden="1" outlineLevel="1">
      <c r="A119" s="161"/>
      <c r="B119" s="161"/>
      <c r="D119" s="162"/>
      <c r="E119" s="163"/>
      <c r="F119" s="163"/>
      <c r="G119" s="163"/>
      <c r="H119" s="163"/>
      <c r="I119" s="158" t="s">
        <v>309</v>
      </c>
      <c r="J119" s="179">
        <f>-(J10)/(I10)</f>
        <v>7.6524263790958114E-2</v>
      </c>
      <c r="K119" s="180"/>
      <c r="L119" s="181">
        <f>(L10)/($K$10)</f>
        <v>0.21322703795194251</v>
      </c>
      <c r="M119" s="181">
        <f t="shared" ref="M119:X119" si="97">(M10)/($K$10)</f>
        <v>7.6712328767123292E-2</v>
      </c>
      <c r="N119" s="181">
        <f t="shared" si="97"/>
        <v>0.24000000000000002</v>
      </c>
      <c r="O119" s="181">
        <f t="shared" si="97"/>
        <v>0</v>
      </c>
      <c r="P119" s="181">
        <f t="shared" si="97"/>
        <v>0</v>
      </c>
      <c r="Q119" s="181">
        <f t="shared" si="97"/>
        <v>0</v>
      </c>
      <c r="R119" s="181">
        <f t="shared" si="97"/>
        <v>0.42773008365147092</v>
      </c>
      <c r="S119" s="181">
        <f t="shared" si="97"/>
        <v>0</v>
      </c>
      <c r="T119" s="181">
        <f t="shared" si="97"/>
        <v>0</v>
      </c>
      <c r="U119" s="181">
        <f t="shared" si="97"/>
        <v>0</v>
      </c>
      <c r="V119" s="181">
        <f t="shared" si="97"/>
        <v>0</v>
      </c>
      <c r="W119" s="181">
        <f t="shared" si="97"/>
        <v>0</v>
      </c>
      <c r="X119" s="181">
        <f t="shared" si="97"/>
        <v>0.01</v>
      </c>
      <c r="Y119" s="181"/>
      <c r="Z119" s="158"/>
      <c r="AA119" s="154"/>
      <c r="AB119" s="167"/>
      <c r="AC119" s="167"/>
      <c r="AD119" s="167"/>
    </row>
    <row r="120" spans="1:30" s="156" customFormat="1" hidden="1" outlineLevel="1">
      <c r="A120" s="161"/>
      <c r="B120" s="161"/>
      <c r="D120" s="162"/>
      <c r="E120" s="163"/>
      <c r="F120" s="163"/>
      <c r="G120" s="163"/>
      <c r="H120" s="163"/>
      <c r="I120" s="182" t="s">
        <v>278</v>
      </c>
      <c r="J120" s="183"/>
      <c r="K120" s="180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66"/>
      <c r="AA120" s="154"/>
      <c r="AB120" s="167"/>
      <c r="AC120" s="167"/>
      <c r="AD120" s="167"/>
    </row>
    <row r="121" spans="1:30" s="156" customFormat="1" hidden="1" outlineLevel="1">
      <c r="A121" s="161"/>
      <c r="B121" s="161"/>
      <c r="D121" s="162"/>
      <c r="E121" s="163"/>
      <c r="F121" s="163"/>
      <c r="G121" s="163"/>
      <c r="H121" s="163"/>
      <c r="I121" s="158" t="s">
        <v>308</v>
      </c>
      <c r="J121" s="184">
        <f>-(J9)/(I9)+(J7)/(I7)</f>
        <v>-8.6061591048846392E-2</v>
      </c>
      <c r="K121" s="185">
        <f>(K9)/(K7)-1</f>
        <v>-0.1722283166424855</v>
      </c>
      <c r="L121" s="185">
        <f t="shared" ref="L121:X121" si="98">(L9)/(L7)-1</f>
        <v>-0.34891111758626991</v>
      </c>
      <c r="M121" s="185">
        <f t="shared" si="98"/>
        <v>-0.14168714168714169</v>
      </c>
      <c r="N121" s="185">
        <f t="shared" si="98"/>
        <v>-0.14247729747325655</v>
      </c>
      <c r="O121" s="185" t="e">
        <f t="shared" si="98"/>
        <v>#DIV/0!</v>
      </c>
      <c r="P121" s="185" t="e">
        <f t="shared" si="98"/>
        <v>#DIV/0!</v>
      </c>
      <c r="Q121" s="185" t="e">
        <f t="shared" si="98"/>
        <v>#DIV/0!</v>
      </c>
      <c r="R121" s="185">
        <f t="shared" si="98"/>
        <v>0.35311322159535008</v>
      </c>
      <c r="S121" s="185">
        <f t="shared" si="98"/>
        <v>0</v>
      </c>
      <c r="T121" s="185">
        <f t="shared" si="98"/>
        <v>0.34907295355056545</v>
      </c>
      <c r="U121" s="185" t="e">
        <f t="shared" si="98"/>
        <v>#DIV/0!</v>
      </c>
      <c r="V121" s="185" t="e">
        <f t="shared" si="98"/>
        <v>#DIV/0!</v>
      </c>
      <c r="W121" s="185" t="e">
        <f t="shared" si="98"/>
        <v>#DIV/0!</v>
      </c>
      <c r="X121" s="185">
        <f t="shared" si="98"/>
        <v>-0.1722283166424855</v>
      </c>
      <c r="Y121" s="185">
        <f>-((Y9)/(Y7)-1)</f>
        <v>1.1596891997493675</v>
      </c>
      <c r="Z121" s="166"/>
      <c r="AA121" s="154"/>
      <c r="AB121" s="167"/>
      <c r="AC121" s="167"/>
      <c r="AD121" s="167"/>
    </row>
    <row r="122" spans="1:30" s="156" customFormat="1" hidden="1" outlineLevel="1">
      <c r="A122" s="161"/>
      <c r="B122" s="161"/>
      <c r="D122" s="162"/>
      <c r="E122" s="163"/>
      <c r="F122" s="163"/>
      <c r="G122" s="163"/>
      <c r="H122" s="163"/>
      <c r="I122" s="158" t="s">
        <v>309</v>
      </c>
      <c r="J122" s="184">
        <f>-(J10)/(I10)+(J8)/(I8)</f>
        <v>-7.4347805776425746E-3</v>
      </c>
      <c r="K122" s="185">
        <f>(K10)/(K8)-1</f>
        <v>0.10606060606060597</v>
      </c>
      <c r="L122" s="185">
        <f t="shared" ref="L122:Y122" si="99">(L10)/(L8)-1</f>
        <v>1.7357762777242103E-2</v>
      </c>
      <c r="M122" s="185">
        <f>(M10)/(M8)-1</f>
        <v>1.44</v>
      </c>
      <c r="N122" s="185">
        <f t="shared" si="99"/>
        <v>0.10606060606060619</v>
      </c>
      <c r="O122" s="185" t="e">
        <f t="shared" si="99"/>
        <v>#DIV/0!</v>
      </c>
      <c r="P122" s="185" t="e">
        <f t="shared" si="99"/>
        <v>#DIV/0!</v>
      </c>
      <c r="Q122" s="185" t="e">
        <f t="shared" si="99"/>
        <v>#DIV/0!</v>
      </c>
      <c r="R122" s="185">
        <f>(R10)/(R8)-1</f>
        <v>1.1048427891483228</v>
      </c>
      <c r="S122" s="185" t="e">
        <f t="shared" si="99"/>
        <v>#DIV/0!</v>
      </c>
      <c r="T122" s="185" t="e">
        <f t="shared" si="99"/>
        <v>#DIV/0!</v>
      </c>
      <c r="U122" s="185" t="e">
        <f t="shared" si="99"/>
        <v>#DIV/0!</v>
      </c>
      <c r="V122" s="185" t="e">
        <f t="shared" si="99"/>
        <v>#DIV/0!</v>
      </c>
      <c r="W122" s="185" t="e">
        <f t="shared" si="99"/>
        <v>#DIV/0!</v>
      </c>
      <c r="X122" s="185">
        <f t="shared" si="99"/>
        <v>0.10606060606060597</v>
      </c>
      <c r="Y122" s="185">
        <f t="shared" si="99"/>
        <v>-0.86174149360764174</v>
      </c>
      <c r="Z122" s="186" t="s">
        <v>279</v>
      </c>
      <c r="AA122" s="154"/>
      <c r="AB122" s="167"/>
      <c r="AC122" s="167"/>
      <c r="AD122" s="167"/>
    </row>
    <row r="123" spans="1:30" s="156" customFormat="1" collapsed="1">
      <c r="A123" s="161"/>
      <c r="B123" s="161"/>
      <c r="D123" s="162"/>
      <c r="E123" s="163"/>
      <c r="F123" s="163"/>
      <c r="G123" s="163"/>
      <c r="H123" s="163"/>
      <c r="I123" s="178" t="s">
        <v>762</v>
      </c>
      <c r="J123" s="178"/>
      <c r="K123" s="178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54"/>
      <c r="W123" s="154"/>
      <c r="X123" s="164"/>
      <c r="Y123" s="164"/>
      <c r="Z123" s="166"/>
      <c r="AA123" s="154"/>
      <c r="AB123" s="167"/>
      <c r="AC123" s="167"/>
      <c r="AD123" s="167"/>
    </row>
    <row r="124" spans="1:30" s="156" customFormat="1" ht="14.5" hidden="1" customHeight="1" outlineLevel="1">
      <c r="A124" s="161"/>
      <c r="B124" s="161"/>
      <c r="D124" s="162"/>
      <c r="E124" s="163"/>
      <c r="F124" s="163"/>
      <c r="G124" s="163"/>
      <c r="H124" s="163"/>
      <c r="I124" s="477" t="s">
        <v>277</v>
      </c>
      <c r="J124" s="477"/>
      <c r="K124" s="477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54"/>
      <c r="W124" s="154"/>
      <c r="X124" s="164"/>
      <c r="Y124" s="164"/>
      <c r="Z124" s="166"/>
      <c r="AA124" s="154"/>
      <c r="AB124" s="167"/>
      <c r="AC124" s="167"/>
      <c r="AD124" s="167"/>
    </row>
    <row r="125" spans="1:30" s="156" customFormat="1" ht="14.5" hidden="1" customHeight="1" outlineLevel="1">
      <c r="A125" s="161"/>
      <c r="B125" s="161"/>
      <c r="D125" s="162"/>
      <c r="E125" s="163"/>
      <c r="F125" s="163"/>
      <c r="G125" s="163"/>
      <c r="H125" s="163"/>
      <c r="I125" s="158" t="s">
        <v>308</v>
      </c>
      <c r="J125" s="179">
        <f>-(J7)/(I7)</f>
        <v>0.13485794758755817</v>
      </c>
      <c r="K125" s="180"/>
      <c r="L125" s="181">
        <f>(L7)/($K$7)</f>
        <v>0.19552673484553593</v>
      </c>
      <c r="M125" s="181">
        <f t="shared" ref="M125:X125" si="100">(M7)/($K$7)</f>
        <v>8.6414947450369803E-2</v>
      </c>
      <c r="N125" s="181">
        <f t="shared" si="100"/>
        <v>0.25220142255564604</v>
      </c>
      <c r="O125" s="181">
        <f t="shared" si="100"/>
        <v>0</v>
      </c>
      <c r="P125" s="181">
        <f t="shared" si="100"/>
        <v>0</v>
      </c>
      <c r="Q125" s="181">
        <f t="shared" si="100"/>
        <v>0</v>
      </c>
      <c r="R125" s="181">
        <f t="shared" si="100"/>
        <v>0.64043643912853732</v>
      </c>
      <c r="S125" s="181">
        <f t="shared" si="100"/>
        <v>3.5386956367882804E-4</v>
      </c>
      <c r="T125" s="181">
        <f t="shared" si="100"/>
        <v>4.7371103011429994E-2</v>
      </c>
      <c r="U125" s="181">
        <f t="shared" si="100"/>
        <v>0</v>
      </c>
      <c r="V125" s="181">
        <f t="shared" si="100"/>
        <v>0</v>
      </c>
      <c r="W125" s="181">
        <f t="shared" si="100"/>
        <v>0</v>
      </c>
      <c r="X125" s="181">
        <f t="shared" si="100"/>
        <v>0.01</v>
      </c>
      <c r="Y125" s="164"/>
      <c r="Z125" s="166"/>
      <c r="AA125" s="154"/>
      <c r="AB125" s="167"/>
      <c r="AC125" s="167"/>
      <c r="AD125" s="167"/>
    </row>
    <row r="126" spans="1:30" s="156" customFormat="1" hidden="1" outlineLevel="1">
      <c r="A126" s="161"/>
      <c r="B126" s="161"/>
      <c r="D126" s="162"/>
      <c r="E126" s="163"/>
      <c r="F126" s="163"/>
      <c r="G126" s="163"/>
      <c r="H126" s="163"/>
      <c r="I126" s="158" t="s">
        <v>309</v>
      </c>
      <c r="J126" s="179">
        <f>-(J8)/(I8)</f>
        <v>8.3959044368600688E-2</v>
      </c>
      <c r="K126" s="180"/>
      <c r="L126" s="181">
        <f>(L8)/($K$8)</f>
        <v>0.23181818181818181</v>
      </c>
      <c r="M126" s="181">
        <f t="shared" ref="M126:X126" si="101">(M8)/($K$8)</f>
        <v>3.4773969200198707E-2</v>
      </c>
      <c r="N126" s="181">
        <f t="shared" si="101"/>
        <v>0.24</v>
      </c>
      <c r="O126" s="181">
        <f t="shared" si="101"/>
        <v>0</v>
      </c>
      <c r="P126" s="181">
        <f t="shared" si="101"/>
        <v>0</v>
      </c>
      <c r="Q126" s="181">
        <f t="shared" si="101"/>
        <v>0</v>
      </c>
      <c r="R126" s="181">
        <f t="shared" si="101"/>
        <v>0.22476519291273392</v>
      </c>
      <c r="S126" s="181">
        <f t="shared" si="101"/>
        <v>0</v>
      </c>
      <c r="T126" s="181">
        <f t="shared" si="101"/>
        <v>0</v>
      </c>
      <c r="U126" s="181">
        <f t="shared" si="101"/>
        <v>0</v>
      </c>
      <c r="V126" s="181">
        <f t="shared" si="101"/>
        <v>0</v>
      </c>
      <c r="W126" s="181">
        <f t="shared" si="101"/>
        <v>0</v>
      </c>
      <c r="X126" s="181">
        <f t="shared" si="101"/>
        <v>0.01</v>
      </c>
      <c r="Y126" s="181"/>
      <c r="Z126" s="158"/>
      <c r="AA126" s="154"/>
      <c r="AB126" s="167"/>
      <c r="AC126" s="167"/>
      <c r="AD126" s="167"/>
    </row>
    <row r="127" spans="1:30" s="156" customFormat="1" ht="14.5" hidden="1" customHeight="1" outlineLevel="1">
      <c r="A127" s="161"/>
      <c r="B127" s="161"/>
      <c r="D127" s="162"/>
      <c r="E127" s="163"/>
      <c r="F127" s="163"/>
      <c r="G127" s="163"/>
      <c r="H127" s="163"/>
      <c r="I127" s="477" t="s">
        <v>277</v>
      </c>
      <c r="J127" s="477"/>
      <c r="K127" s="477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54"/>
      <c r="W127" s="154"/>
      <c r="X127" s="164"/>
      <c r="Y127" s="164"/>
      <c r="Z127" s="166"/>
      <c r="AA127" s="154"/>
      <c r="AB127" s="167"/>
      <c r="AC127" s="167"/>
      <c r="AD127" s="167"/>
    </row>
    <row r="128" spans="1:30" s="156" customFormat="1" hidden="1" outlineLevel="1">
      <c r="A128" s="161"/>
      <c r="B128" s="161"/>
      <c r="D128" s="162"/>
      <c r="E128" s="163"/>
      <c r="F128" s="163"/>
      <c r="G128" s="163"/>
      <c r="H128" s="163"/>
      <c r="I128" s="158"/>
      <c r="J128" s="179" t="e">
        <f>-(#REF!)/(#REF!)</f>
        <v>#REF!</v>
      </c>
      <c r="K128" s="180"/>
      <c r="L128" s="181" t="e">
        <f>(#REF!)/(#REF!)</f>
        <v>#REF!</v>
      </c>
      <c r="M128" s="181" t="e">
        <f>(#REF!)/(#REF!)</f>
        <v>#REF!</v>
      </c>
      <c r="N128" s="181" t="e">
        <f>(#REF!)/(#REF!)</f>
        <v>#REF!</v>
      </c>
      <c r="O128" s="181" t="e">
        <f>(#REF!)/(#REF!)</f>
        <v>#REF!</v>
      </c>
      <c r="P128" s="181" t="e">
        <f>(#REF!)/(#REF!)</f>
        <v>#REF!</v>
      </c>
      <c r="Q128" s="181" t="e">
        <f>(#REF!)/(#REF!)</f>
        <v>#REF!</v>
      </c>
      <c r="R128" s="181" t="e">
        <f>(#REF!)/(#REF!)</f>
        <v>#REF!</v>
      </c>
      <c r="S128" s="181" t="e">
        <f>(#REF!)/(#REF!)</f>
        <v>#REF!</v>
      </c>
      <c r="T128" s="181" t="e">
        <f>(#REF!)/(#REF!)</f>
        <v>#REF!</v>
      </c>
      <c r="U128" s="181" t="e">
        <f>(#REF!)/(#REF!)</f>
        <v>#REF!</v>
      </c>
      <c r="V128" s="181" t="e">
        <f>(#REF!)/(#REF!)</f>
        <v>#REF!</v>
      </c>
      <c r="W128" s="181" t="e">
        <f>(#REF!)/(#REF!)</f>
        <v>#REF!</v>
      </c>
      <c r="X128" s="181" t="e">
        <f>(#REF!)/(#REF!)</f>
        <v>#REF!</v>
      </c>
      <c r="Y128" s="181"/>
      <c r="Z128" s="158"/>
      <c r="AA128" s="154"/>
      <c r="AB128" s="167"/>
      <c r="AC128" s="167"/>
      <c r="AD128" s="167"/>
    </row>
    <row r="129" spans="1:30" s="156" customFormat="1" hidden="1" outlineLevel="1">
      <c r="A129" s="161"/>
      <c r="B129" s="161"/>
      <c r="D129" s="162"/>
      <c r="E129" s="163"/>
      <c r="F129" s="163"/>
      <c r="G129" s="163"/>
      <c r="H129" s="163"/>
      <c r="I129" s="182" t="s">
        <v>278</v>
      </c>
      <c r="J129" s="183"/>
      <c r="K129" s="180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66"/>
      <c r="AA129" s="154"/>
      <c r="AB129" s="167"/>
      <c r="AC129" s="167"/>
      <c r="AD129" s="167"/>
    </row>
    <row r="130" spans="1:30" s="156" customFormat="1" hidden="1" outlineLevel="1">
      <c r="A130" s="161"/>
      <c r="B130" s="161"/>
      <c r="D130" s="162"/>
      <c r="E130" s="163"/>
      <c r="F130" s="163"/>
      <c r="G130" s="163"/>
      <c r="H130" s="163"/>
      <c r="I130" s="158"/>
      <c r="J130" s="184" t="e">
        <f>-(#REF!)/(#REF!)+(#REF!)/(#REF!)</f>
        <v>#REF!</v>
      </c>
      <c r="K130" s="187" t="e">
        <f>(#REF!)/(#REF!)-1</f>
        <v>#REF!</v>
      </c>
      <c r="L130" s="187" t="e">
        <f>(#REF!)/(#REF!)-1</f>
        <v>#REF!</v>
      </c>
      <c r="M130" s="187" t="e">
        <f>(#REF!)/(#REF!)-1</f>
        <v>#REF!</v>
      </c>
      <c r="N130" s="187" t="e">
        <f>(#REF!)/(#REF!)-1</f>
        <v>#REF!</v>
      </c>
      <c r="O130" s="187" t="e">
        <f>(#REF!)/(#REF!)-1</f>
        <v>#REF!</v>
      </c>
      <c r="P130" s="187" t="e">
        <f>(#REF!)/(#REF!)-1</f>
        <v>#REF!</v>
      </c>
      <c r="Q130" s="187" t="e">
        <f>(#REF!)/(#REF!)-1</f>
        <v>#REF!</v>
      </c>
      <c r="R130" s="187" t="e">
        <f>(#REF!)/(#REF!)-1</f>
        <v>#REF!</v>
      </c>
      <c r="S130" s="187" t="e">
        <f>(#REF!)/(#REF!)-1</f>
        <v>#REF!</v>
      </c>
      <c r="T130" s="187" t="e">
        <f>(#REF!)/(#REF!)-1</f>
        <v>#REF!</v>
      </c>
      <c r="U130" s="187" t="e">
        <f>(#REF!)/(#REF!)-1</f>
        <v>#REF!</v>
      </c>
      <c r="V130" s="187" t="e">
        <f>(#REF!)/(#REF!)-1</f>
        <v>#REF!</v>
      </c>
      <c r="W130" s="187" t="e">
        <f>(#REF!)/(#REF!)-1</f>
        <v>#REF!</v>
      </c>
      <c r="X130" s="187" t="e">
        <f>(#REF!)/(#REF!)-1</f>
        <v>#REF!</v>
      </c>
      <c r="Y130" s="187" t="e">
        <f>(#REF!)/(#REF!)-1</f>
        <v>#REF!</v>
      </c>
      <c r="Z130" s="186" t="s">
        <v>279</v>
      </c>
      <c r="AA130" s="154"/>
      <c r="AB130" s="167"/>
      <c r="AC130" s="167"/>
      <c r="AD130" s="167"/>
    </row>
    <row r="131" spans="1:30" s="156" customFormat="1" collapsed="1">
      <c r="A131" s="161"/>
      <c r="B131" s="161"/>
      <c r="D131" s="162"/>
      <c r="E131" s="163"/>
      <c r="F131" s="163"/>
      <c r="G131" s="163"/>
      <c r="H131" s="163"/>
      <c r="I131" s="178" t="s">
        <v>274</v>
      </c>
      <c r="J131" s="178"/>
      <c r="K131" s="178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54"/>
      <c r="W131" s="154"/>
      <c r="X131" s="164"/>
      <c r="Y131" s="164"/>
      <c r="Z131" s="166"/>
      <c r="AA131" s="154"/>
      <c r="AB131" s="167"/>
      <c r="AC131" s="167"/>
      <c r="AD131" s="167"/>
    </row>
    <row r="132" spans="1:30" s="156" customFormat="1" ht="14.5" hidden="1" customHeight="1" outlineLevel="1">
      <c r="A132" s="161"/>
      <c r="B132" s="161"/>
      <c r="D132" s="162"/>
      <c r="E132" s="163"/>
      <c r="F132" s="163"/>
      <c r="G132" s="163"/>
      <c r="H132" s="163"/>
      <c r="I132" s="477" t="s">
        <v>277</v>
      </c>
      <c r="J132" s="477"/>
      <c r="K132" s="477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54"/>
      <c r="W132" s="154"/>
      <c r="X132" s="164"/>
      <c r="Y132" s="164"/>
      <c r="Z132" s="166"/>
      <c r="AA132" s="154"/>
      <c r="AB132" s="167"/>
      <c r="AC132" s="167"/>
      <c r="AD132" s="167"/>
    </row>
    <row r="133" spans="1:30" s="156" customFormat="1" ht="14.5" hidden="1" customHeight="1" outlineLevel="1">
      <c r="A133" s="161"/>
      <c r="B133" s="161"/>
      <c r="D133" s="162"/>
      <c r="E133" s="163"/>
      <c r="F133" s="163"/>
      <c r="G133" s="163"/>
      <c r="H133" s="163"/>
      <c r="I133" s="158" t="s">
        <v>308</v>
      </c>
      <c r="J133" s="179">
        <f>-(J5)/(I5)</f>
        <v>4.7628571428571437E-2</v>
      </c>
      <c r="K133" s="180"/>
      <c r="L133" s="181">
        <f>(L5)/($K$5)</f>
        <v>0.12929289292892931</v>
      </c>
      <c r="M133" s="181">
        <f t="shared" ref="M133:X133" si="102">(M5)/($K$5)</f>
        <v>8.1390813908139098E-2</v>
      </c>
      <c r="N133" s="181">
        <f t="shared" si="102"/>
        <v>0.21314103141031424</v>
      </c>
      <c r="O133" s="181">
        <f t="shared" si="102"/>
        <v>0</v>
      </c>
      <c r="P133" s="181">
        <f t="shared" si="102"/>
        <v>0</v>
      </c>
      <c r="Q133" s="181">
        <f t="shared" si="102"/>
        <v>0</v>
      </c>
      <c r="R133" s="181">
        <f t="shared" si="102"/>
        <v>0.70634738211788928</v>
      </c>
      <c r="S133" s="181">
        <f t="shared" si="102"/>
        <v>7.5000750007500096E-5</v>
      </c>
      <c r="T133" s="181">
        <f t="shared" si="102"/>
        <v>2.8259607596075965E-2</v>
      </c>
      <c r="U133" s="181">
        <f t="shared" si="102"/>
        <v>0.10975009750097504</v>
      </c>
      <c r="V133" s="181">
        <f t="shared" si="102"/>
        <v>0</v>
      </c>
      <c r="W133" s="181">
        <f t="shared" si="102"/>
        <v>0.5850058500585007</v>
      </c>
      <c r="X133" s="181">
        <f t="shared" si="102"/>
        <v>0.01</v>
      </c>
      <c r="Y133" s="164"/>
      <c r="Z133" s="166"/>
      <c r="AA133" s="154"/>
      <c r="AB133" s="167"/>
      <c r="AC133" s="167"/>
      <c r="AD133" s="167"/>
    </row>
    <row r="134" spans="1:30" s="156" customFormat="1" hidden="1" outlineLevel="1">
      <c r="A134" s="161"/>
      <c r="B134" s="161"/>
      <c r="D134" s="162"/>
      <c r="E134" s="163"/>
      <c r="F134" s="163"/>
      <c r="G134" s="163"/>
      <c r="H134" s="163"/>
      <c r="I134" s="158" t="s">
        <v>309</v>
      </c>
      <c r="J134" s="179">
        <f>-(J6)/(I6)</f>
        <v>0.1053082191780822</v>
      </c>
      <c r="K134" s="180"/>
      <c r="L134" s="181">
        <f>(L6)/($K$6)</f>
        <v>0.22287081339712919</v>
      </c>
      <c r="M134" s="181">
        <f t="shared" ref="M134:X134" si="103">(M6)/($K$6)</f>
        <v>7.681020733652312E-2</v>
      </c>
      <c r="N134" s="181">
        <f t="shared" si="103"/>
        <v>0.20620095693779905</v>
      </c>
      <c r="O134" s="181">
        <f t="shared" si="103"/>
        <v>0</v>
      </c>
      <c r="P134" s="181">
        <f t="shared" si="103"/>
        <v>0</v>
      </c>
      <c r="Q134" s="181">
        <f t="shared" si="103"/>
        <v>0</v>
      </c>
      <c r="R134" s="181">
        <f t="shared" si="103"/>
        <v>0.27815792176898335</v>
      </c>
      <c r="S134" s="181">
        <f t="shared" si="103"/>
        <v>0</v>
      </c>
      <c r="T134" s="181">
        <f t="shared" si="103"/>
        <v>0</v>
      </c>
      <c r="U134" s="181">
        <f t="shared" si="103"/>
        <v>0</v>
      </c>
      <c r="V134" s="181">
        <f t="shared" si="103"/>
        <v>0</v>
      </c>
      <c r="W134" s="181">
        <f t="shared" si="103"/>
        <v>0</v>
      </c>
      <c r="X134" s="181">
        <f t="shared" si="103"/>
        <v>0.01</v>
      </c>
      <c r="Y134" s="181"/>
      <c r="Z134" s="158"/>
      <c r="AA134" s="154"/>
      <c r="AB134" s="167"/>
      <c r="AC134" s="167"/>
      <c r="AD134" s="167"/>
    </row>
    <row r="135" spans="1:30" s="156" customFormat="1" collapsed="1">
      <c r="A135" s="161"/>
      <c r="B135" s="161"/>
      <c r="D135" s="162"/>
      <c r="E135" s="163"/>
      <c r="F135" s="163"/>
      <c r="G135" s="163"/>
      <c r="H135" s="163"/>
      <c r="I135" s="178" t="s">
        <v>280</v>
      </c>
      <c r="J135" s="178"/>
      <c r="K135" s="178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54"/>
      <c r="W135" s="154"/>
      <c r="X135" s="164"/>
      <c r="Y135" s="164"/>
      <c r="Z135" s="166"/>
      <c r="AA135" s="154"/>
      <c r="AB135" s="167"/>
      <c r="AC135" s="167"/>
      <c r="AD135" s="167"/>
    </row>
    <row r="136" spans="1:30" s="156" customFormat="1" ht="14.5" hidden="1" customHeight="1" outlineLevel="1">
      <c r="A136" s="161"/>
      <c r="B136" s="161"/>
      <c r="D136" s="162"/>
      <c r="E136" s="163"/>
      <c r="F136" s="163"/>
      <c r="G136" s="163"/>
      <c r="H136" s="163"/>
      <c r="I136" s="477" t="s">
        <v>277</v>
      </c>
      <c r="J136" s="477"/>
      <c r="K136" s="477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54"/>
      <c r="W136" s="154"/>
      <c r="X136" s="164"/>
      <c r="Y136" s="164"/>
      <c r="Z136" s="166"/>
      <c r="AA136" s="154"/>
      <c r="AB136" s="167"/>
      <c r="AC136" s="167"/>
      <c r="AD136" s="167"/>
    </row>
    <row r="137" spans="1:30" s="156" customFormat="1" ht="14.5" hidden="1" customHeight="1" outlineLevel="1">
      <c r="A137" s="161"/>
      <c r="B137" s="161"/>
      <c r="D137" s="162"/>
      <c r="E137" s="163"/>
      <c r="F137" s="163"/>
      <c r="G137" s="163"/>
      <c r="H137" s="163"/>
      <c r="I137" s="158" t="s">
        <v>308</v>
      </c>
      <c r="J137" s="179">
        <f>-(J3)/(I3)</f>
        <v>0</v>
      </c>
      <c r="K137" s="180"/>
      <c r="L137" s="181">
        <f>(L3)/($K$3)</f>
        <v>7.6280982027487371E-2</v>
      </c>
      <c r="M137" s="181">
        <f t="shared" ref="M137:X137" si="104">(M3)/($K$3)</f>
        <v>5.9438505814636437E-2</v>
      </c>
      <c r="N137" s="181">
        <f t="shared" si="104"/>
        <v>0.19999999999999998</v>
      </c>
      <c r="O137" s="181">
        <f t="shared" si="104"/>
        <v>0</v>
      </c>
      <c r="P137" s="181">
        <f t="shared" si="104"/>
        <v>0</v>
      </c>
      <c r="Q137" s="181">
        <f t="shared" si="104"/>
        <v>0</v>
      </c>
      <c r="R137" s="181">
        <f t="shared" si="104"/>
        <v>1.8405638435334193</v>
      </c>
      <c r="S137" s="181">
        <f t="shared" si="104"/>
        <v>0</v>
      </c>
      <c r="T137" s="181">
        <f t="shared" si="104"/>
        <v>3.3446493598026553E-2</v>
      </c>
      <c r="U137" s="181">
        <f t="shared" si="104"/>
        <v>1.8121108892282392</v>
      </c>
      <c r="V137" s="181">
        <f t="shared" si="104"/>
        <v>0</v>
      </c>
      <c r="W137" s="181">
        <f t="shared" si="104"/>
        <v>3.0999647597791613</v>
      </c>
      <c r="X137" s="181">
        <f t="shared" si="104"/>
        <v>0.01</v>
      </c>
      <c r="Y137" s="164"/>
      <c r="Z137" s="166"/>
      <c r="AA137" s="154"/>
      <c r="AB137" s="167"/>
      <c r="AC137" s="167"/>
      <c r="AD137" s="167"/>
    </row>
    <row r="138" spans="1:30" collapsed="1">
      <c r="M138" s="188"/>
      <c r="N138" s="188"/>
    </row>
    <row r="139" spans="1:30" ht="23.5" customHeight="1">
      <c r="S139" s="160"/>
      <c r="T139" s="160"/>
      <c r="U139" s="160"/>
    </row>
    <row r="140" spans="1:30" ht="23.5" customHeight="1">
      <c r="AA140" s="160"/>
    </row>
    <row r="141" spans="1:30" ht="23.5" customHeight="1"/>
    <row r="142" spans="1:30" ht="23.5" customHeight="1"/>
    <row r="143" spans="1:30" ht="23.5" customHeight="1"/>
    <row r="144" spans="1:30" ht="23.5" customHeight="1"/>
    <row r="145" spans="2:29" ht="23.5" customHeight="1"/>
    <row r="146" spans="2:29" ht="23.5" customHeight="1"/>
    <row r="147" spans="2:29" ht="23.5" customHeight="1"/>
    <row r="148" spans="2:29" ht="23.5" customHeight="1"/>
    <row r="149" spans="2:29" ht="23.5" customHeight="1"/>
    <row r="150" spans="2:29" ht="23.5" customHeight="1"/>
    <row r="151" spans="2:29" ht="23.5" customHeight="1">
      <c r="B151" s="189"/>
    </row>
    <row r="152" spans="2:29" ht="23.5" customHeight="1"/>
    <row r="153" spans="2:29">
      <c r="E153" s="476"/>
      <c r="F153" s="476"/>
      <c r="G153" s="476"/>
      <c r="H153" s="476"/>
      <c r="I153" s="476"/>
      <c r="J153" s="476"/>
      <c r="K153" s="476"/>
      <c r="L153" s="476"/>
      <c r="M153" s="476"/>
      <c r="N153" s="476"/>
      <c r="O153" s="476"/>
      <c r="P153" s="476"/>
      <c r="Q153" s="476"/>
      <c r="R153" s="476"/>
      <c r="S153" s="476"/>
      <c r="T153" s="476"/>
      <c r="U153" s="476"/>
      <c r="V153" s="476"/>
      <c r="W153" s="476"/>
      <c r="X153" s="476"/>
      <c r="Y153" s="476"/>
      <c r="Z153" s="476"/>
      <c r="AA153" s="476"/>
      <c r="AB153" s="476"/>
      <c r="AC153" s="190"/>
    </row>
  </sheetData>
  <mergeCells count="51">
    <mergeCell ref="I68:K68"/>
    <mergeCell ref="A27:A34"/>
    <mergeCell ref="Z27:Z34"/>
    <mergeCell ref="I47:K47"/>
    <mergeCell ref="A17:A26"/>
    <mergeCell ref="I61:K61"/>
    <mergeCell ref="I40:K40"/>
    <mergeCell ref="Z7:Z16"/>
    <mergeCell ref="Z17:Z26"/>
    <mergeCell ref="A3:A4"/>
    <mergeCell ref="E153:AB153"/>
    <mergeCell ref="I132:K132"/>
    <mergeCell ref="I136:K136"/>
    <mergeCell ref="I127:K127"/>
    <mergeCell ref="I117:K117"/>
    <mergeCell ref="I124:K124"/>
    <mergeCell ref="I75:K75"/>
    <mergeCell ref="I82:K82"/>
    <mergeCell ref="I110:K110"/>
    <mergeCell ref="I103:K103"/>
    <mergeCell ref="I89:K89"/>
    <mergeCell ref="I96:K96"/>
    <mergeCell ref="I54:K54"/>
    <mergeCell ref="AD1:AD2"/>
    <mergeCell ref="Z3:Z4"/>
    <mergeCell ref="A5:A6"/>
    <mergeCell ref="Z5:Z6"/>
    <mergeCell ref="A7:A16"/>
    <mergeCell ref="F1:H1"/>
    <mergeCell ref="X1:X2"/>
    <mergeCell ref="Z1:Z2"/>
    <mergeCell ref="AA1:AA2"/>
    <mergeCell ref="AB1:AB2"/>
    <mergeCell ref="AC1:AC2"/>
    <mergeCell ref="S1:S2"/>
    <mergeCell ref="T1:T2"/>
    <mergeCell ref="U1:U2"/>
    <mergeCell ref="V1:V2"/>
    <mergeCell ref="W1:W2"/>
    <mergeCell ref="M1:M2"/>
    <mergeCell ref="A1:C1"/>
    <mergeCell ref="D1:D2"/>
    <mergeCell ref="E1:E2"/>
    <mergeCell ref="I1:K1"/>
    <mergeCell ref="L1:L2"/>
    <mergeCell ref="Y1:Y2"/>
    <mergeCell ref="N1:N2"/>
    <mergeCell ref="O1:O2"/>
    <mergeCell ref="P1:P2"/>
    <mergeCell ref="Q1:Q2"/>
    <mergeCell ref="R1:R2"/>
  </mergeCells>
  <conditionalFormatting sqref="K2">
    <cfRule type="dataBar" priority="26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{794DB1DF-9703-4E70-99F6-104F3766E4B7}</x14:id>
        </ext>
      </extLst>
    </cfRule>
  </conditionalFormatting>
  <conditionalFormatting sqref="M9">
    <cfRule type="dataBar" priority="15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{320EFA30-DA7B-4B4D-9C33-D9A13F211D60}</x14:id>
        </ext>
      </extLst>
    </cfRule>
    <cfRule type="dataBar" priority="1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{875DC44E-D0C8-4B82-920D-FBCBF0B74320}</x14:id>
        </ext>
      </extLst>
    </cfRule>
  </conditionalFormatting>
  <conditionalFormatting sqref="N9">
    <cfRule type="dataBar" priority="15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{89E0762D-F301-487F-8C0F-FC4ABF015442}</x14:id>
        </ext>
      </extLst>
    </cfRule>
    <cfRule type="dataBar" priority="15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{2F9EC1DB-2D51-4E81-AE60-6A72F98E78F3}</x14:id>
        </ext>
      </extLst>
    </cfRule>
  </conditionalFormatting>
  <conditionalFormatting sqref="M9">
    <cfRule type="dataBar" priority="15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{94E9500C-DEA0-4769-9A14-6A716520217E}</x14:id>
        </ext>
      </extLst>
    </cfRule>
  </conditionalFormatting>
  <conditionalFormatting sqref="N9">
    <cfRule type="dataBar" priority="15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{19DE5902-A5B3-490A-A34A-5F15B2E2BC46}</x14:id>
        </ext>
      </extLst>
    </cfRule>
  </conditionalFormatting>
  <conditionalFormatting sqref="K9">
    <cfRule type="dataBar" priority="1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{1F88CFB9-067C-4B07-B388-5DD479106C3E}</x14:id>
        </ext>
      </extLst>
    </cfRule>
    <cfRule type="dataBar" priority="1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{D086D08D-5562-4C68-B318-D4C7093248F4}</x14:id>
        </ext>
      </extLst>
    </cfRule>
  </conditionalFormatting>
  <conditionalFormatting sqref="K9">
    <cfRule type="dataBar" priority="1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{3D878C94-0FCE-4225-B35D-B1D99E06F924}</x14:id>
        </ext>
      </extLst>
    </cfRule>
  </conditionalFormatting>
  <conditionalFormatting sqref="K9">
    <cfRule type="dataBar" priority="1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{09173CFD-C8D4-4608-B751-6BBB8B0DB654}</x14:id>
        </ext>
      </extLst>
    </cfRule>
  </conditionalFormatting>
  <conditionalFormatting sqref="M9">
    <cfRule type="dataBar" priority="1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{58FCC015-39B6-4A9E-AE5F-9103D44309FD}</x14:id>
        </ext>
      </extLst>
    </cfRule>
  </conditionalFormatting>
  <conditionalFormatting sqref="N9">
    <cfRule type="dataBar" priority="1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{F584C616-4908-4D70-BFEE-A0E503845B05}</x14:id>
        </ext>
      </extLst>
    </cfRule>
  </conditionalFormatting>
  <conditionalFormatting sqref="M9">
    <cfRule type="dataBar" priority="15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{BE1368D2-911F-4AA5-AA9E-6C777798B357}</x14:id>
        </ext>
      </extLst>
    </cfRule>
  </conditionalFormatting>
  <conditionalFormatting sqref="N9">
    <cfRule type="dataBar" priority="15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{8793B588-56BD-420E-BD25-E8B44F0C3B95}</x14:id>
        </ext>
      </extLst>
    </cfRule>
  </conditionalFormatting>
  <conditionalFormatting sqref="K9">
    <cfRule type="dataBar" priority="1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{64E4101A-2839-4971-B853-80D6C83AF694}</x14:id>
        </ext>
      </extLst>
    </cfRule>
  </conditionalFormatting>
  <conditionalFormatting sqref="K9">
    <cfRule type="dataBar" priority="1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{516CBD26-D7C2-47E7-8058-D47D00611B04}</x14:id>
        </ext>
      </extLst>
    </cfRule>
  </conditionalFormatting>
  <conditionalFormatting sqref="M9">
    <cfRule type="dataBar" priority="1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{97FB4748-696C-4D96-9525-257C68EB6105}</x14:id>
        </ext>
      </extLst>
    </cfRule>
  </conditionalFormatting>
  <conditionalFormatting sqref="N9">
    <cfRule type="dataBar" priority="1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{D867FBC6-85EF-40FF-8F1B-97BFE5A5DBCC}</x14:id>
        </ext>
      </extLst>
    </cfRule>
  </conditionalFormatting>
  <conditionalFormatting sqref="K9">
    <cfRule type="dataBar" priority="1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{69E49ECF-5B3B-4C7B-9537-286282D3A17B}</x14:id>
        </ext>
      </extLst>
    </cfRule>
  </conditionalFormatting>
  <conditionalFormatting sqref="M9">
    <cfRule type="dataBar" priority="1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{3686F372-AD65-4836-9213-4AC8BEB6B550}</x14:id>
        </ext>
      </extLst>
    </cfRule>
  </conditionalFormatting>
  <conditionalFormatting sqref="N9">
    <cfRule type="dataBar" priority="1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{92114466-6157-4E05-AD89-EABDE7A5AF36}</x14:id>
        </ext>
      </extLst>
    </cfRule>
  </conditionalFormatting>
  <conditionalFormatting sqref="M9">
    <cfRule type="dataBar" priority="1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{AEE478D8-5FF9-4222-A3A4-0F3373F25701}</x14:id>
        </ext>
      </extLst>
    </cfRule>
  </conditionalFormatting>
  <conditionalFormatting sqref="N9">
    <cfRule type="dataBar" priority="15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{BDCBE2F0-328E-45DC-92C9-0290EAD19339}</x14:id>
        </ext>
      </extLst>
    </cfRule>
  </conditionalFormatting>
  <conditionalFormatting sqref="K9">
    <cfRule type="dataBar" priority="1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{92E4378A-531C-4D16-A540-DD24776192AB}</x14:id>
        </ext>
      </extLst>
    </cfRule>
  </conditionalFormatting>
  <conditionalFormatting sqref="AB3:AB6 AB35">
    <cfRule type="dataBar" priority="26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{FD357958-786B-42C1-B1EB-DDEAD8E79629}</x14:id>
        </ext>
      </extLst>
    </cfRule>
  </conditionalFormatting>
  <conditionalFormatting sqref="AC3:AC6 AC35">
    <cfRule type="dataBar" priority="2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{CF3586CF-D075-4DEC-B190-C56EFB0F3807}</x14:id>
        </ext>
      </extLst>
    </cfRule>
  </conditionalFormatting>
  <conditionalFormatting sqref="AD3:AD6 AD35">
    <cfRule type="dataBar" priority="2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{686B4650-0639-48A1-9C7C-293C9ED742D5}</x14:id>
        </ext>
      </extLst>
    </cfRule>
  </conditionalFormatting>
  <conditionalFormatting sqref="M10">
    <cfRule type="dataBar" priority="14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{0DA599B8-B0BB-4BBC-BBE8-69AD495A6B3E}</x14:id>
        </ext>
      </extLst>
    </cfRule>
    <cfRule type="dataBar" priority="1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{5FB59E6A-97E8-4B92-BA73-CAF123C424B1}</x14:id>
        </ext>
      </extLst>
    </cfRule>
  </conditionalFormatting>
  <conditionalFormatting sqref="N10">
    <cfRule type="dataBar" priority="14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{B6187D93-00E0-46BB-B636-21663E0A45AD}</x14:id>
        </ext>
      </extLst>
    </cfRule>
    <cfRule type="dataBar" priority="14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{677E176A-D32D-4879-B932-71850A938D9D}</x14:id>
        </ext>
      </extLst>
    </cfRule>
  </conditionalFormatting>
  <conditionalFormatting sqref="M10">
    <cfRule type="dataBar" priority="1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{03D5317C-F4C3-4B99-B63B-8639E5F2D701}</x14:id>
        </ext>
      </extLst>
    </cfRule>
  </conditionalFormatting>
  <conditionalFormatting sqref="N10">
    <cfRule type="dataBar" priority="14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{C3C3A587-7A79-44D4-A972-0D9C35C02688}</x14:id>
        </ext>
      </extLst>
    </cfRule>
  </conditionalFormatting>
  <conditionalFormatting sqref="K10">
    <cfRule type="dataBar" priority="14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{9FB1D9BA-609B-4DAB-9172-717D70686F11}</x14:id>
        </ext>
      </extLst>
    </cfRule>
    <cfRule type="dataBar" priority="1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{28311B32-E542-4F8A-B9FB-F14A652B0A92}</x14:id>
        </ext>
      </extLst>
    </cfRule>
  </conditionalFormatting>
  <conditionalFormatting sqref="K10">
    <cfRule type="dataBar" priority="14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{C3861BFB-2891-4256-905D-0002CFB40974}</x14:id>
        </ext>
      </extLst>
    </cfRule>
  </conditionalFormatting>
  <conditionalFormatting sqref="K10">
    <cfRule type="dataBar" priority="1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{FBA925F4-E3F1-49CB-BCE6-E52A90EE595B}</x14:id>
        </ext>
      </extLst>
    </cfRule>
  </conditionalFormatting>
  <conditionalFormatting sqref="M10">
    <cfRule type="dataBar" priority="1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{63684DCE-20A1-44BB-AF45-6D54E919AC43}</x14:id>
        </ext>
      </extLst>
    </cfRule>
  </conditionalFormatting>
  <conditionalFormatting sqref="N10">
    <cfRule type="dataBar" priority="1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{93623D51-D214-4FA9-8258-7814DC37A55E}</x14:id>
        </ext>
      </extLst>
    </cfRule>
  </conditionalFormatting>
  <conditionalFormatting sqref="M10">
    <cfRule type="dataBar" priority="1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{17B5838F-8DCE-4BF4-A180-350A3496D842}</x14:id>
        </ext>
      </extLst>
    </cfRule>
  </conditionalFormatting>
  <conditionalFormatting sqref="N10">
    <cfRule type="dataBar" priority="14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{3150E33B-BE0F-4620-8F86-68B5990BB0B2}</x14:id>
        </ext>
      </extLst>
    </cfRule>
  </conditionalFormatting>
  <conditionalFormatting sqref="K10">
    <cfRule type="dataBar" priority="14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{F0FFDF00-F86C-4BC6-AA9E-B891C62E0D5D}</x14:id>
        </ext>
      </extLst>
    </cfRule>
  </conditionalFormatting>
  <conditionalFormatting sqref="K10">
    <cfRule type="dataBar" priority="1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{42679908-5B1E-4565-B5C9-19F7D286D409}</x14:id>
        </ext>
      </extLst>
    </cfRule>
  </conditionalFormatting>
  <conditionalFormatting sqref="M10">
    <cfRule type="dataBar" priority="1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{E255896F-C7D5-4F74-AC61-8B26B905F69B}</x14:id>
        </ext>
      </extLst>
    </cfRule>
  </conditionalFormatting>
  <conditionalFormatting sqref="N10">
    <cfRule type="dataBar" priority="14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{3DE250AD-7E88-4EEF-AA2C-64B51B6BC397}</x14:id>
        </ext>
      </extLst>
    </cfRule>
  </conditionalFormatting>
  <conditionalFormatting sqref="K10">
    <cfRule type="dataBar" priority="1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{B5FC5CE2-6E2B-43CB-8B88-377CFEE49B95}</x14:id>
        </ext>
      </extLst>
    </cfRule>
  </conditionalFormatting>
  <conditionalFormatting sqref="M10">
    <cfRule type="dataBar" priority="1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{9FF82AB5-67DD-4BD6-AD73-9AF7F74C69CC}</x14:id>
        </ext>
      </extLst>
    </cfRule>
  </conditionalFormatting>
  <conditionalFormatting sqref="N10">
    <cfRule type="dataBar" priority="1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{65DC6DE2-CEAE-4FA3-A204-D4D2F0A24622}</x14:id>
        </ext>
      </extLst>
    </cfRule>
  </conditionalFormatting>
  <conditionalFormatting sqref="M10">
    <cfRule type="dataBar" priority="1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{14138359-C6E3-4253-A21F-D27A02A339D3}</x14:id>
        </ext>
      </extLst>
    </cfRule>
  </conditionalFormatting>
  <conditionalFormatting sqref="N10">
    <cfRule type="dataBar" priority="1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{18A4DBD6-6EBA-4068-A400-EA8C5ECE3CC7}</x14:id>
        </ext>
      </extLst>
    </cfRule>
  </conditionalFormatting>
  <conditionalFormatting sqref="K10">
    <cfRule type="dataBar" priority="1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{6A24B686-B7D5-4CAC-9A5A-9C5322C0FFC2}</x14:id>
        </ext>
      </extLst>
    </cfRule>
  </conditionalFormatting>
  <conditionalFormatting sqref="AG2">
    <cfRule type="dataBar" priority="1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{90718BD5-0470-47BF-A956-B5DC6D1F0863}</x14:id>
        </ext>
      </extLst>
    </cfRule>
  </conditionalFormatting>
  <conditionalFormatting sqref="AH2">
    <cfRule type="dataBar" priority="1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{1DF55C52-20AD-4A61-9F00-689DCBA4D8AA}</x14:id>
        </ext>
      </extLst>
    </cfRule>
  </conditionalFormatting>
  <conditionalFormatting sqref="AI2">
    <cfRule type="dataBar" priority="14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{1B5E1B8F-D450-4C0C-A0FF-B6E443A568A6}</x14:id>
        </ext>
      </extLst>
    </cfRule>
  </conditionalFormatting>
  <conditionalFormatting sqref="AG3:AG6">
    <cfRule type="dataBar" priority="14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{10C62201-3743-4787-9209-C992F870080B}</x14:id>
        </ext>
      </extLst>
    </cfRule>
  </conditionalFormatting>
  <conditionalFormatting sqref="AG3:AG6">
    <cfRule type="dataBar" priority="1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{E4AD2C51-B0CD-49A4-851C-8A65CED18C0D}</x14:id>
        </ext>
      </extLst>
    </cfRule>
    <cfRule type="dataBar" priority="1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{750338C5-652A-4F61-9EBD-9186164A9175}</x14:id>
        </ext>
      </extLst>
    </cfRule>
  </conditionalFormatting>
  <conditionalFormatting sqref="AH3:AH6 AI4">
    <cfRule type="dataBar" priority="14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{7266BF42-BA46-468A-9713-0A0A5E54A59B}</x14:id>
        </ext>
      </extLst>
    </cfRule>
  </conditionalFormatting>
  <conditionalFormatting sqref="AH3:AH6 AI4">
    <cfRule type="dataBar" priority="1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{A19BABBA-BC9F-4729-B25B-47F5A489EC9E}</x14:id>
        </ext>
      </extLst>
    </cfRule>
    <cfRule type="dataBar" priority="1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{D15DF9AA-659E-4379-A18F-618B8D294818}</x14:id>
        </ext>
      </extLst>
    </cfRule>
  </conditionalFormatting>
  <conditionalFormatting sqref="AI5:AI6 AI3">
    <cfRule type="dataBar" priority="14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{E5C75D80-8C9A-45F2-8E38-179C89137F8D}</x14:id>
        </ext>
      </extLst>
    </cfRule>
  </conditionalFormatting>
  <conditionalFormatting sqref="AI5:AI6 AI3">
    <cfRule type="dataBar" priority="1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{E401BC4D-5A80-4C90-BAF0-A45FC4D95A9D}</x14:id>
        </ext>
      </extLst>
    </cfRule>
    <cfRule type="dataBar" priority="1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{91FF3215-1770-43CD-9725-F15F049F6518}</x14:id>
        </ext>
      </extLst>
    </cfRule>
  </conditionalFormatting>
  <conditionalFormatting sqref="AH18:AH24">
    <cfRule type="dataBar" priority="14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{88E0780E-FF41-4424-91D1-D4584FC4BA28}</x14:id>
        </ext>
      </extLst>
    </cfRule>
  </conditionalFormatting>
  <conditionalFormatting sqref="AH18:AH24">
    <cfRule type="dataBar" priority="1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{3721E392-21EB-4978-BB59-984C444A093F}</x14:id>
        </ext>
      </extLst>
    </cfRule>
    <cfRule type="dataBar" priority="1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{F7E3FFE5-CCB3-4CB5-8B8D-81F43124804F}</x14:id>
        </ext>
      </extLst>
    </cfRule>
  </conditionalFormatting>
  <conditionalFormatting sqref="AI18:AI24">
    <cfRule type="dataBar" priority="14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{4A85114D-9BDF-4C71-903F-60C26B56C935}</x14:id>
        </ext>
      </extLst>
    </cfRule>
  </conditionalFormatting>
  <conditionalFormatting sqref="AI18:AI24">
    <cfRule type="dataBar" priority="1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{DFB5E8D5-8CAE-492E-A273-9978B8513A68}</x14:id>
        </ext>
      </extLst>
    </cfRule>
    <cfRule type="dataBar" priority="1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{8648BE2B-C2DE-4703-85D3-0336223E1701}</x14:id>
        </ext>
      </extLst>
    </cfRule>
  </conditionalFormatting>
  <conditionalFormatting sqref="AG18:AG24">
    <cfRule type="dataBar" priority="14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{B1ADA774-84F6-4241-BC8D-4B30D375C247}</x14:id>
        </ext>
      </extLst>
    </cfRule>
  </conditionalFormatting>
  <conditionalFormatting sqref="AG18:AG24">
    <cfRule type="dataBar" priority="1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{7668DEE5-F257-4125-99F4-F3094070788B}</x14:id>
        </ext>
      </extLst>
    </cfRule>
    <cfRule type="dataBar" priority="1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{EEF0CBF8-8A73-4C40-8D87-31BA0F62169D}</x14:id>
        </ext>
      </extLst>
    </cfRule>
  </conditionalFormatting>
  <conditionalFormatting sqref="AG18:AG24">
    <cfRule type="dataBar" priority="14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{77C7244C-D93F-47DA-A1DA-29BABE1365D6}</x14:id>
        </ext>
      </extLst>
    </cfRule>
  </conditionalFormatting>
  <conditionalFormatting sqref="AG18:AI24">
    <cfRule type="dataBar" priority="14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{E82BAF62-F590-4621-88DC-1F07786C7F67}</x14:id>
        </ext>
      </extLst>
    </cfRule>
  </conditionalFormatting>
  <conditionalFormatting sqref="AI18:AI24">
    <cfRule type="dataBar" priority="1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{D60F93D9-7E13-4AE5-A8EA-AC880A8375D2}</x14:id>
        </ext>
      </extLst>
    </cfRule>
  </conditionalFormatting>
  <conditionalFormatting sqref="AH18:AH24">
    <cfRule type="dataBar" priority="14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{FDEA41C5-1C91-4EFD-9EEF-0A6321E05148}</x14:id>
        </ext>
      </extLst>
    </cfRule>
  </conditionalFormatting>
  <conditionalFormatting sqref="AG3:AG6 AG18:AG24">
    <cfRule type="dataBar" priority="14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{7F70C611-58C1-4B41-9D5C-50F1A027D81F}</x14:id>
        </ext>
      </extLst>
    </cfRule>
  </conditionalFormatting>
  <conditionalFormatting sqref="AH3:AH6 AH18:AH24">
    <cfRule type="dataBar" priority="14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{8AC72486-862A-4E59-9C5B-20CC913C300E}</x14:id>
        </ext>
      </extLst>
    </cfRule>
  </conditionalFormatting>
  <conditionalFormatting sqref="AI3:AI6 AI18:AI24">
    <cfRule type="dataBar" priority="1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{C1F7A5C0-F751-4BB1-B317-C92F0FBEF6E7}</x14:id>
        </ext>
      </extLst>
    </cfRule>
  </conditionalFormatting>
  <conditionalFormatting sqref="AG3:AG6">
    <cfRule type="dataBar" priority="1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{CF7A64D1-BBEC-46F8-988C-364D55A2FA94}</x14:id>
        </ext>
      </extLst>
    </cfRule>
  </conditionalFormatting>
  <conditionalFormatting sqref="AH3:AH6">
    <cfRule type="dataBar" priority="14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{90B85AB9-2C59-4BD3-A27C-5AD2852FF6B0}</x14:id>
        </ext>
      </extLst>
    </cfRule>
  </conditionalFormatting>
  <conditionalFormatting sqref="AI3:AI6">
    <cfRule type="dataBar" priority="1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{6F42C9DB-F82D-41E9-AAAD-ED12C1E45454}</x14:id>
        </ext>
      </extLst>
    </cfRule>
  </conditionalFormatting>
  <conditionalFormatting sqref="AG4:AG6 AG18:AG24">
    <cfRule type="dataBar" priority="14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{F6CF1AA4-2A75-40C8-8FEE-12FE565A16CB}</x14:id>
        </ext>
      </extLst>
    </cfRule>
  </conditionalFormatting>
  <conditionalFormatting sqref="AH4:AH6 AH18:AH24">
    <cfRule type="dataBar" priority="14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{8F57C32C-520E-42BB-A717-DF4E79487561}</x14:id>
        </ext>
      </extLst>
    </cfRule>
  </conditionalFormatting>
  <conditionalFormatting sqref="AI4:AI6 AI18:AI24">
    <cfRule type="dataBar" priority="1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{F1875276-7C58-4B19-AA00-2CD7CEE868DA}</x14:id>
        </ext>
      </extLst>
    </cfRule>
  </conditionalFormatting>
  <conditionalFormatting sqref="AG18:AG24">
    <cfRule type="dataBar" priority="14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{1ACC7C32-2E7B-43B6-8AA5-042F65796D8E}</x14:id>
        </ext>
      </extLst>
    </cfRule>
  </conditionalFormatting>
  <conditionalFormatting sqref="AH18:AH24">
    <cfRule type="dataBar" priority="14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{2C18EC9E-3DDD-41AE-8345-D6DD25907619}</x14:id>
        </ext>
      </extLst>
    </cfRule>
  </conditionalFormatting>
  <conditionalFormatting sqref="AI18:AI24">
    <cfRule type="dataBar" priority="1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{3CBBC575-3514-4997-B8DC-E601920DDC1C}</x14:id>
        </ext>
      </extLst>
    </cfRule>
  </conditionalFormatting>
  <conditionalFormatting sqref="AG18:AG24">
    <cfRule type="dataBar" priority="1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{6A806822-38C8-4AF4-9CE3-44A33CCB1070}</x14:id>
        </ext>
      </extLst>
    </cfRule>
  </conditionalFormatting>
  <conditionalFormatting sqref="AH18:AH24">
    <cfRule type="dataBar" priority="14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{6887CB28-81F2-4CC5-A995-956BEE1C45EF}</x14:id>
        </ext>
      </extLst>
    </cfRule>
  </conditionalFormatting>
  <conditionalFormatting sqref="AI18:AI24">
    <cfRule type="dataBar" priority="1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{96612038-C000-4277-A408-DE37F4F08895}</x14:id>
        </ext>
      </extLst>
    </cfRule>
  </conditionalFormatting>
  <conditionalFormatting sqref="AG3:AG6">
    <cfRule type="dataBar" priority="14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{209AA07F-B290-4CF5-9391-AE82A3C531B1}</x14:id>
        </ext>
      </extLst>
    </cfRule>
  </conditionalFormatting>
  <conditionalFormatting sqref="AH18:AH24">
    <cfRule type="dataBar" priority="14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{39B19156-7EE9-48E1-8B2D-1B2BDE78C58E}</x14:id>
        </ext>
      </extLst>
    </cfRule>
  </conditionalFormatting>
  <conditionalFormatting sqref="AI18:AI24">
    <cfRule type="dataBar" priority="1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{34A76B8A-11D1-4AEF-AB2F-EDFA6F9F7D47}</x14:id>
        </ext>
      </extLst>
    </cfRule>
  </conditionalFormatting>
  <conditionalFormatting sqref="AG3:AI6 AG18:AI24">
    <cfRule type="dataBar" priority="1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{E3A2626A-DD3F-4DEA-A2E9-8D713A1C8EF7}</x14:id>
        </ext>
      </extLst>
    </cfRule>
  </conditionalFormatting>
  <conditionalFormatting sqref="AG3:AG6 AG18:AG24">
    <cfRule type="dataBar" priority="1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{25549DA2-19DD-4924-9626-683FCB15C59C}</x14:id>
        </ext>
      </extLst>
    </cfRule>
  </conditionalFormatting>
  <conditionalFormatting sqref="AH3:AH6">
    <cfRule type="dataBar" priority="14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{6AF061EE-8251-4FB9-B4A9-FB4885BFC4EE}</x14:id>
        </ext>
      </extLst>
    </cfRule>
  </conditionalFormatting>
  <conditionalFormatting sqref="AI3:AI6 AI18:AI24">
    <cfRule type="dataBar" priority="1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{3770FA61-276A-48CD-9948-CBC28BBAE0EC}</x14:id>
        </ext>
      </extLst>
    </cfRule>
  </conditionalFormatting>
  <conditionalFormatting sqref="M7">
    <cfRule type="dataBar" priority="1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{21F4CDBF-5AF5-4194-A0C0-43B1A0C509C6}</x14:id>
        </ext>
      </extLst>
    </cfRule>
    <cfRule type="dataBar" priority="1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{BE931485-0AE4-475F-A1F8-6CAF62659026}</x14:id>
        </ext>
      </extLst>
    </cfRule>
  </conditionalFormatting>
  <conditionalFormatting sqref="N7">
    <cfRule type="dataBar" priority="1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{1F2F2726-7996-4730-8E67-B79CDB04ED2D}</x14:id>
        </ext>
      </extLst>
    </cfRule>
    <cfRule type="dataBar" priority="1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{26F8F356-588C-41E3-BF4A-B20E455F4F70}</x14:id>
        </ext>
      </extLst>
    </cfRule>
  </conditionalFormatting>
  <conditionalFormatting sqref="M7">
    <cfRule type="dataBar" priority="1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{974BEF4F-CF6D-4D45-90CE-992CE060C5AD}</x14:id>
        </ext>
      </extLst>
    </cfRule>
  </conditionalFormatting>
  <conditionalFormatting sqref="N7">
    <cfRule type="dataBar" priority="1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{018CF74C-D023-4D51-A396-CCBDA4D866FB}</x14:id>
        </ext>
      </extLst>
    </cfRule>
  </conditionalFormatting>
  <conditionalFormatting sqref="K7">
    <cfRule type="dataBar" priority="1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{88B4A402-D508-4DFA-B8FD-41191CEDC6E3}</x14:id>
        </ext>
      </extLst>
    </cfRule>
    <cfRule type="dataBar" priority="1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{50B60F37-F23C-45A4-A22A-56C77E5EA7A8}</x14:id>
        </ext>
      </extLst>
    </cfRule>
  </conditionalFormatting>
  <conditionalFormatting sqref="K7">
    <cfRule type="dataBar" priority="1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{7D1BCCA5-F2AC-4682-8152-F555418E6AB1}</x14:id>
        </ext>
      </extLst>
    </cfRule>
  </conditionalFormatting>
  <conditionalFormatting sqref="K7">
    <cfRule type="dataBar" priority="1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{A09964D1-51E9-429D-BBF2-C70C3559F3F6}</x14:id>
        </ext>
      </extLst>
    </cfRule>
  </conditionalFormatting>
  <conditionalFormatting sqref="M7">
    <cfRule type="dataBar" priority="1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{427AB45B-FDEA-42A9-AE1F-65F4A8359B4C}</x14:id>
        </ext>
      </extLst>
    </cfRule>
  </conditionalFormatting>
  <conditionalFormatting sqref="N7">
    <cfRule type="dataBar" priority="1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{75DF22E6-9694-4E61-9310-9DA0BFF0CEBA}</x14:id>
        </ext>
      </extLst>
    </cfRule>
  </conditionalFormatting>
  <conditionalFormatting sqref="M7">
    <cfRule type="dataBar" priority="13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{9ED2256B-8AB4-4E8D-A47D-3750178423C2}</x14:id>
        </ext>
      </extLst>
    </cfRule>
  </conditionalFormatting>
  <conditionalFormatting sqref="N7">
    <cfRule type="dataBar" priority="1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{D6229309-B332-46FE-9E76-1B4AEBDCA3D6}</x14:id>
        </ext>
      </extLst>
    </cfRule>
  </conditionalFormatting>
  <conditionalFormatting sqref="K7">
    <cfRule type="dataBar" priority="1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{754690BF-ADF6-4772-988D-FF59639C165B}</x14:id>
        </ext>
      </extLst>
    </cfRule>
  </conditionalFormatting>
  <conditionalFormatting sqref="K7">
    <cfRule type="dataBar" priority="1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{61E9B1EE-1B43-4295-AAEB-67949CF20F3A}</x14:id>
        </ext>
      </extLst>
    </cfRule>
  </conditionalFormatting>
  <conditionalFormatting sqref="M7">
    <cfRule type="dataBar" priority="13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{7543D99B-5476-4E9D-A260-6541292041CE}</x14:id>
        </ext>
      </extLst>
    </cfRule>
  </conditionalFormatting>
  <conditionalFormatting sqref="N7">
    <cfRule type="dataBar" priority="13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{9C24DC71-382D-4DFC-A1C5-D14C0A2DD1CD}</x14:id>
        </ext>
      </extLst>
    </cfRule>
  </conditionalFormatting>
  <conditionalFormatting sqref="K7">
    <cfRule type="dataBar" priority="1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{4397477C-C3E6-48C2-A477-8351D6FBA52D}</x14:id>
        </ext>
      </extLst>
    </cfRule>
  </conditionalFormatting>
  <conditionalFormatting sqref="M7">
    <cfRule type="dataBar" priority="1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{77F2C1D2-00CC-4B9D-9680-34ED17130E38}</x14:id>
        </ext>
      </extLst>
    </cfRule>
  </conditionalFormatting>
  <conditionalFormatting sqref="N7">
    <cfRule type="dataBar" priority="1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{C6EDB06A-90C3-46F3-BDB4-099A2E198515}</x14:id>
        </ext>
      </extLst>
    </cfRule>
  </conditionalFormatting>
  <conditionalFormatting sqref="M7">
    <cfRule type="dataBar" priority="1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{DBE6CFDA-3B1B-4DEE-B291-C56DEA7E2BF6}</x14:id>
        </ext>
      </extLst>
    </cfRule>
  </conditionalFormatting>
  <conditionalFormatting sqref="N7">
    <cfRule type="dataBar" priority="14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{A53C8FE4-9832-48AE-8962-8732A0CC653F}</x14:id>
        </ext>
      </extLst>
    </cfRule>
  </conditionalFormatting>
  <conditionalFormatting sqref="K7">
    <cfRule type="dataBar" priority="1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{9A544B1F-D4BB-4B20-9F7C-F86BD9DD4BCC}</x14:id>
        </ext>
      </extLst>
    </cfRule>
  </conditionalFormatting>
  <conditionalFormatting sqref="M8">
    <cfRule type="dataBar" priority="1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{6891A271-2B72-4E0D-8E0E-381492DFAB5E}</x14:id>
        </ext>
      </extLst>
    </cfRule>
    <cfRule type="dataBar" priority="1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{7CEC7B6B-2664-430F-B1D2-1A151C4804FB}</x14:id>
        </ext>
      </extLst>
    </cfRule>
  </conditionalFormatting>
  <conditionalFormatting sqref="N8">
    <cfRule type="dataBar" priority="1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{F0289284-A1E8-4F3C-B08F-C5FBC0B9FB0C}</x14:id>
        </ext>
      </extLst>
    </cfRule>
    <cfRule type="dataBar" priority="1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{9D6E8CDC-422A-4C22-92C2-74375F46D70A}</x14:id>
        </ext>
      </extLst>
    </cfRule>
  </conditionalFormatting>
  <conditionalFormatting sqref="M8">
    <cfRule type="dataBar" priority="1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{0206F071-465E-4873-9F67-54A968FBFDDC}</x14:id>
        </ext>
      </extLst>
    </cfRule>
  </conditionalFormatting>
  <conditionalFormatting sqref="N8">
    <cfRule type="dataBar" priority="1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{00C07537-BB15-4C74-97B4-BF60A37B776E}</x14:id>
        </ext>
      </extLst>
    </cfRule>
  </conditionalFormatting>
  <conditionalFormatting sqref="K8">
    <cfRule type="dataBar" priority="1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{8E68E89A-CDB3-45A6-A50C-3D8D7990BAD4}</x14:id>
        </ext>
      </extLst>
    </cfRule>
    <cfRule type="dataBar" priority="1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{7E1E4F4F-C385-44AC-A894-2589DB35F2DC}</x14:id>
        </ext>
      </extLst>
    </cfRule>
  </conditionalFormatting>
  <conditionalFormatting sqref="K8">
    <cfRule type="dataBar" priority="1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{82CD83D9-D9FA-437B-A245-4F4E5A3BBDA4}</x14:id>
        </ext>
      </extLst>
    </cfRule>
  </conditionalFormatting>
  <conditionalFormatting sqref="K8">
    <cfRule type="dataBar" priority="1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{9EC458B2-0572-4700-B2F2-FFA43C3BDBE0}</x14:id>
        </ext>
      </extLst>
    </cfRule>
  </conditionalFormatting>
  <conditionalFormatting sqref="M8">
    <cfRule type="dataBar" priority="1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{3F98B493-D0BF-4941-8B87-652066B59245}</x14:id>
        </ext>
      </extLst>
    </cfRule>
  </conditionalFormatting>
  <conditionalFormatting sqref="N8">
    <cfRule type="dataBar" priority="1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{69D49276-D8DE-4F74-8753-96D7A5D0A3FD}</x14:id>
        </ext>
      </extLst>
    </cfRule>
  </conditionalFormatting>
  <conditionalFormatting sqref="M8">
    <cfRule type="dataBar" priority="1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{EA9880A3-C681-4031-A7F0-CE7EBF06D25D}</x14:id>
        </ext>
      </extLst>
    </cfRule>
  </conditionalFormatting>
  <conditionalFormatting sqref="N8">
    <cfRule type="dataBar" priority="1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{625FE5BB-AF76-4D8B-A2F9-A39448FC0DDB}</x14:id>
        </ext>
      </extLst>
    </cfRule>
  </conditionalFormatting>
  <conditionalFormatting sqref="K8">
    <cfRule type="dataBar" priority="1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{05AD7C20-CB43-4699-B883-E8563DE33804}</x14:id>
        </ext>
      </extLst>
    </cfRule>
  </conditionalFormatting>
  <conditionalFormatting sqref="K8">
    <cfRule type="dataBar" priority="1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{41BCE8EE-3A4A-4BA0-9EAF-22E8E224D50C}</x14:id>
        </ext>
      </extLst>
    </cfRule>
  </conditionalFormatting>
  <conditionalFormatting sqref="M8">
    <cfRule type="dataBar" priority="1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{ACD2B0B7-85F0-42B7-8740-D58D9838D310}</x14:id>
        </ext>
      </extLst>
    </cfRule>
  </conditionalFormatting>
  <conditionalFormatting sqref="N8">
    <cfRule type="dataBar" priority="1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{89D4300E-EFA5-43E5-AAFE-2B1DA4C2ED9D}</x14:id>
        </ext>
      </extLst>
    </cfRule>
  </conditionalFormatting>
  <conditionalFormatting sqref="K8">
    <cfRule type="dataBar" priority="1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{EC5059C0-10F2-445C-BAC8-790B4F24220F}</x14:id>
        </ext>
      </extLst>
    </cfRule>
  </conditionalFormatting>
  <conditionalFormatting sqref="M8">
    <cfRule type="dataBar" priority="1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{1C127219-574F-48AB-AA2F-6DC285714BAF}</x14:id>
        </ext>
      </extLst>
    </cfRule>
  </conditionalFormatting>
  <conditionalFormatting sqref="N8">
    <cfRule type="dataBar" priority="1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{99A6ACE5-7573-4B9A-8597-054D01CA15E0}</x14:id>
        </ext>
      </extLst>
    </cfRule>
  </conditionalFormatting>
  <conditionalFormatting sqref="M8">
    <cfRule type="dataBar" priority="1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{B6DABC0E-259A-4142-947B-992A43DA0252}</x14:id>
        </ext>
      </extLst>
    </cfRule>
  </conditionalFormatting>
  <conditionalFormatting sqref="N8">
    <cfRule type="dataBar" priority="1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{AC61836B-74C9-4672-B84F-B599F1DE928F}</x14:id>
        </ext>
      </extLst>
    </cfRule>
  </conditionalFormatting>
  <conditionalFormatting sqref="K8">
    <cfRule type="dataBar" priority="1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{04D25104-E8E4-4719-B3A7-5DB708EE7D81}</x14:id>
        </ext>
      </extLst>
    </cfRule>
  </conditionalFormatting>
  <conditionalFormatting sqref="M5">
    <cfRule type="dataBar" priority="1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{DC06B512-B071-4738-B539-B573240E2636}</x14:id>
        </ext>
      </extLst>
    </cfRule>
    <cfRule type="dataBar" priority="1359">
      <dataBar>
        <cfvo type="min"/>
        <cfvo type="max"/>
        <color rgb="FF63C384"/>
      </dataBar>
    </cfRule>
  </conditionalFormatting>
  <conditionalFormatting sqref="N5">
    <cfRule type="dataBar" priority="1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{8CB64B28-22C8-4BCE-BB93-DD8259E89728}</x14:id>
        </ext>
      </extLst>
    </cfRule>
    <cfRule type="dataBar" priority="1357">
      <dataBar>
        <cfvo type="min"/>
        <cfvo type="max"/>
        <color rgb="FFD6007B"/>
      </dataBar>
    </cfRule>
  </conditionalFormatting>
  <conditionalFormatting sqref="M5">
    <cfRule type="dataBar" priority="1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{4037C40B-7889-4384-8011-CE3CF0D30746}</x14:id>
        </ext>
      </extLst>
    </cfRule>
  </conditionalFormatting>
  <conditionalFormatting sqref="N5">
    <cfRule type="dataBar" priority="1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{CB0E9187-E834-4FBD-9B02-8D60186F6051}</x14:id>
        </ext>
      </extLst>
    </cfRule>
  </conditionalFormatting>
  <conditionalFormatting sqref="K5">
    <cfRule type="dataBar" priority="1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{828741BB-D583-4394-8E63-277BD544684B}</x14:id>
        </ext>
      </extLst>
    </cfRule>
    <cfRule type="dataBar" priority="1353">
      <dataBar>
        <cfvo type="min"/>
        <cfvo type="max"/>
        <color rgb="FF638EC6"/>
      </dataBar>
    </cfRule>
  </conditionalFormatting>
  <conditionalFormatting sqref="K5">
    <cfRule type="dataBar" priority="1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{16A5CB2D-676B-488B-841C-1BF818936058}</x14:id>
        </ext>
      </extLst>
    </cfRule>
  </conditionalFormatting>
  <conditionalFormatting sqref="K5">
    <cfRule type="dataBar" priority="1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{4E121812-FD64-417D-950E-44955A68A402}</x14:id>
        </ext>
      </extLst>
    </cfRule>
  </conditionalFormatting>
  <conditionalFormatting sqref="M5">
    <cfRule type="dataBar" priority="1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{9B5837F0-7C29-4B5A-A7E1-8A56570BDDD7}</x14:id>
        </ext>
      </extLst>
    </cfRule>
  </conditionalFormatting>
  <conditionalFormatting sqref="N5">
    <cfRule type="dataBar" priority="1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{3621BA72-0DAD-48F0-9F18-DACB717F9C9D}</x14:id>
        </ext>
      </extLst>
    </cfRule>
  </conditionalFormatting>
  <conditionalFormatting sqref="M5">
    <cfRule type="dataBar" priority="1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{D52B0503-9D82-44B2-A2B0-D86964238A70}</x14:id>
        </ext>
      </extLst>
    </cfRule>
  </conditionalFormatting>
  <conditionalFormatting sqref="N5">
    <cfRule type="dataBar" priority="1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{F90B5C1D-957B-4A75-ABBC-DDF149134DCA}</x14:id>
        </ext>
      </extLst>
    </cfRule>
  </conditionalFormatting>
  <conditionalFormatting sqref="K5">
    <cfRule type="dataBar" priority="13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{52E2923C-7483-4D73-A26D-254692DA7FCE}</x14:id>
        </ext>
      </extLst>
    </cfRule>
  </conditionalFormatting>
  <conditionalFormatting sqref="K5">
    <cfRule type="dataBar" priority="1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{BAF27ECC-143B-46AE-8BBC-C105C51E892E}</x14:id>
        </ext>
      </extLst>
    </cfRule>
  </conditionalFormatting>
  <conditionalFormatting sqref="M5">
    <cfRule type="dataBar" priority="1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{EFF547C7-D628-4821-8DFA-D9899C948E9F}</x14:id>
        </ext>
      </extLst>
    </cfRule>
  </conditionalFormatting>
  <conditionalFormatting sqref="N5">
    <cfRule type="dataBar" priority="1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{247E8314-9127-4C17-A975-48B0E0AA022C}</x14:id>
        </ext>
      </extLst>
    </cfRule>
  </conditionalFormatting>
  <conditionalFormatting sqref="K5">
    <cfRule type="dataBar" priority="1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{5FE9303F-5142-4D57-9E40-3A0631EC69EE}</x14:id>
        </ext>
      </extLst>
    </cfRule>
  </conditionalFormatting>
  <conditionalFormatting sqref="M5">
    <cfRule type="dataBar" priority="1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{98A4A122-98F5-4024-A288-BB47F6A06B89}</x14:id>
        </ext>
      </extLst>
    </cfRule>
  </conditionalFormatting>
  <conditionalFormatting sqref="N5">
    <cfRule type="dataBar" priority="1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{217B5FBD-9038-4BDE-B6A2-FE3AC462DB6F}</x14:id>
        </ext>
      </extLst>
    </cfRule>
  </conditionalFormatting>
  <conditionalFormatting sqref="M5">
    <cfRule type="dataBar" priority="1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{B9A8C0E1-57EF-467D-833A-A84EDB41D595}</x14:id>
        </ext>
      </extLst>
    </cfRule>
  </conditionalFormatting>
  <conditionalFormatting sqref="N5">
    <cfRule type="dataBar" priority="2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{CA138506-8CC8-428C-B91D-20DC745BE9AF}</x14:id>
        </ext>
      </extLst>
    </cfRule>
  </conditionalFormatting>
  <conditionalFormatting sqref="K5">
    <cfRule type="dataBar" priority="1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{B596EBE1-B595-4DF9-A6B2-1BEAA1CA929B}</x14:id>
        </ext>
      </extLst>
    </cfRule>
  </conditionalFormatting>
  <conditionalFormatting sqref="M6">
    <cfRule type="dataBar" priority="1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{F8094FA4-095C-4039-A58F-2F0341F96A06}</x14:id>
        </ext>
      </extLst>
    </cfRule>
    <cfRule type="dataBar" priority="1335">
      <dataBar>
        <cfvo type="min"/>
        <cfvo type="max"/>
        <color rgb="FF63C384"/>
      </dataBar>
    </cfRule>
  </conditionalFormatting>
  <conditionalFormatting sqref="N6">
    <cfRule type="dataBar" priority="1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{CCF92BBC-5FBF-432C-B6FA-3FC311CE930F}</x14:id>
        </ext>
      </extLst>
    </cfRule>
    <cfRule type="dataBar" priority="1333">
      <dataBar>
        <cfvo type="min"/>
        <cfvo type="max"/>
        <color rgb="FFD6007B"/>
      </dataBar>
    </cfRule>
  </conditionalFormatting>
  <conditionalFormatting sqref="M6">
    <cfRule type="dataBar" priority="1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{51134DB5-0AEE-454E-8E9E-FDFA6A6261A6}</x14:id>
        </ext>
      </extLst>
    </cfRule>
  </conditionalFormatting>
  <conditionalFormatting sqref="N6">
    <cfRule type="dataBar" priority="1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{C61D6C65-4CA2-49B0-9940-1891E4090C02}</x14:id>
        </ext>
      </extLst>
    </cfRule>
  </conditionalFormatting>
  <conditionalFormatting sqref="K6">
    <cfRule type="dataBar" priority="1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{67355C0B-747B-4D2B-B7BB-C1C9CA94395E}</x14:id>
        </ext>
      </extLst>
    </cfRule>
    <cfRule type="dataBar" priority="1329">
      <dataBar>
        <cfvo type="min"/>
        <cfvo type="max"/>
        <color rgb="FF638EC6"/>
      </dataBar>
    </cfRule>
  </conditionalFormatting>
  <conditionalFormatting sqref="K6">
    <cfRule type="dataBar" priority="1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{22324630-AF33-46D7-B7F6-F2DA96F17178}</x14:id>
        </ext>
      </extLst>
    </cfRule>
  </conditionalFormatting>
  <conditionalFormatting sqref="K6">
    <cfRule type="dataBar" priority="1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{C19D84EA-B009-4127-AFA4-EAB91CB99EEA}</x14:id>
        </ext>
      </extLst>
    </cfRule>
  </conditionalFormatting>
  <conditionalFormatting sqref="M6">
    <cfRule type="dataBar" priority="1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{84C18484-8D9B-4AAA-9F6D-DBB9A11659EB}</x14:id>
        </ext>
      </extLst>
    </cfRule>
  </conditionalFormatting>
  <conditionalFormatting sqref="N6">
    <cfRule type="dataBar" priority="1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{7B943762-3341-4F90-A571-9A1445C1DC31}</x14:id>
        </ext>
      </extLst>
    </cfRule>
  </conditionalFormatting>
  <conditionalFormatting sqref="M6">
    <cfRule type="dataBar" priority="1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{9C73A6E6-A484-484F-B980-E1A267038B28}</x14:id>
        </ext>
      </extLst>
    </cfRule>
  </conditionalFormatting>
  <conditionalFormatting sqref="N6">
    <cfRule type="dataBar" priority="1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{8949AEB9-092F-42B3-A58C-A26BDBA98DC7}</x14:id>
        </ext>
      </extLst>
    </cfRule>
  </conditionalFormatting>
  <conditionalFormatting sqref="K6">
    <cfRule type="dataBar" priority="1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{BF3807EA-014F-445E-8EE8-5AA0C02E47D2}</x14:id>
        </ext>
      </extLst>
    </cfRule>
  </conditionalFormatting>
  <conditionalFormatting sqref="K6">
    <cfRule type="dataBar" priority="1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{C8C30522-8FDA-4608-9144-ABFF9CDC727D}</x14:id>
        </ext>
      </extLst>
    </cfRule>
  </conditionalFormatting>
  <conditionalFormatting sqref="M6">
    <cfRule type="dataBar" priority="1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{C2B7DD9F-A129-4655-9F6C-6CC676187E3C}</x14:id>
        </ext>
      </extLst>
    </cfRule>
  </conditionalFormatting>
  <conditionalFormatting sqref="N6">
    <cfRule type="dataBar" priority="1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{9D26F4EA-79F7-49BF-9FEE-1F08B6FCE1A6}</x14:id>
        </ext>
      </extLst>
    </cfRule>
  </conditionalFormatting>
  <conditionalFormatting sqref="K6">
    <cfRule type="dataBar" priority="1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{F7D37208-0B41-47C4-898A-9524BFECCB2E}</x14:id>
        </ext>
      </extLst>
    </cfRule>
  </conditionalFormatting>
  <conditionalFormatting sqref="M6">
    <cfRule type="dataBar" priority="1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{2024C64A-54DD-47FD-B2CD-3614692D117A}</x14:id>
        </ext>
      </extLst>
    </cfRule>
  </conditionalFormatting>
  <conditionalFormatting sqref="N6">
    <cfRule type="dataBar" priority="1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{B7D6ABF3-D5B3-4E9F-9526-CDD94B823C6F}</x14:id>
        </ext>
      </extLst>
    </cfRule>
  </conditionalFormatting>
  <conditionalFormatting sqref="M6">
    <cfRule type="dataBar" priority="1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{1AD1245B-C1C3-4547-A849-618125D08E72}</x14:id>
        </ext>
      </extLst>
    </cfRule>
  </conditionalFormatting>
  <conditionalFormatting sqref="N6">
    <cfRule type="dataBar" priority="26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{7D40CCFD-22C0-48FB-A814-72D3AA087E2F}</x14:id>
        </ext>
      </extLst>
    </cfRule>
  </conditionalFormatting>
  <conditionalFormatting sqref="K6">
    <cfRule type="dataBar" priority="1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{102731A1-783A-44A6-BB7E-47D949A58333}</x14:id>
        </ext>
      </extLst>
    </cfRule>
  </conditionalFormatting>
  <conditionalFormatting sqref="M3">
    <cfRule type="dataBar" priority="1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{A66C4AE8-D4BC-416A-81F8-77153976AA89}</x14:id>
        </ext>
      </extLst>
    </cfRule>
  </conditionalFormatting>
  <conditionalFormatting sqref="N3">
    <cfRule type="dataBar" priority="1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{0540793C-7A8F-47BF-867E-192FFF4B5725}</x14:id>
        </ext>
      </extLst>
    </cfRule>
  </conditionalFormatting>
  <conditionalFormatting sqref="M3">
    <cfRule type="dataBar" priority="1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{54900592-E9C8-48D4-A199-6AF251E18010}</x14:id>
        </ext>
      </extLst>
    </cfRule>
  </conditionalFormatting>
  <conditionalFormatting sqref="N3">
    <cfRule type="dataBar" priority="1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{DA4B1C1A-156D-4C7A-90AD-789617085945}</x14:id>
        </ext>
      </extLst>
    </cfRule>
  </conditionalFormatting>
  <conditionalFormatting sqref="K3">
    <cfRule type="dataBar" priority="1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{60194F71-99A8-4678-8202-67245EE1BED3}</x14:id>
        </ext>
      </extLst>
    </cfRule>
  </conditionalFormatting>
  <conditionalFormatting sqref="K3">
    <cfRule type="dataBar" priority="1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{45900253-F378-4780-B440-AA150D32926D}</x14:id>
        </ext>
      </extLst>
    </cfRule>
  </conditionalFormatting>
  <conditionalFormatting sqref="K3">
    <cfRule type="dataBar" priority="1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{9E9873F9-8167-4823-9C2C-21E5990E92F9}</x14:id>
        </ext>
      </extLst>
    </cfRule>
  </conditionalFormatting>
  <conditionalFormatting sqref="M3">
    <cfRule type="dataBar" priority="1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{DD08B65E-D976-4695-885C-4FA441E77DB9}</x14:id>
        </ext>
      </extLst>
    </cfRule>
  </conditionalFormatting>
  <conditionalFormatting sqref="N3">
    <cfRule type="dataBar" priority="1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{60F1AC3D-EE7C-40FB-AFEE-D735DD00BB11}</x14:id>
        </ext>
      </extLst>
    </cfRule>
  </conditionalFormatting>
  <conditionalFormatting sqref="M3">
    <cfRule type="dataBar" priority="1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{B5D2A0AE-2EA6-47ED-95C8-EA5F28C0A2C0}</x14:id>
        </ext>
      </extLst>
    </cfRule>
  </conditionalFormatting>
  <conditionalFormatting sqref="N3">
    <cfRule type="dataBar" priority="1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{D2D95FBD-A443-4684-A4A8-457A422C2F5F}</x14:id>
        </ext>
      </extLst>
    </cfRule>
  </conditionalFormatting>
  <conditionalFormatting sqref="K3">
    <cfRule type="dataBar" priority="1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{1ADCDB30-C3E1-4664-8ED4-80C616D99535}</x14:id>
        </ext>
      </extLst>
    </cfRule>
  </conditionalFormatting>
  <conditionalFormatting sqref="K3">
    <cfRule type="dataBar" priority="1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{9ECB1164-6626-4E93-8794-5EC78A387F47}</x14:id>
        </ext>
      </extLst>
    </cfRule>
  </conditionalFormatting>
  <conditionalFormatting sqref="M3">
    <cfRule type="dataBar" priority="1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{6EA46347-CA83-47E0-A86C-4D2DA2DEEA9F}</x14:id>
        </ext>
      </extLst>
    </cfRule>
  </conditionalFormatting>
  <conditionalFormatting sqref="N3">
    <cfRule type="dataBar" priority="1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{41631628-0AFA-424D-853E-AF0258129B6E}</x14:id>
        </ext>
      </extLst>
    </cfRule>
  </conditionalFormatting>
  <conditionalFormatting sqref="K3">
    <cfRule type="dataBar" priority="1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{B0447262-53AF-42D5-ADC0-EF026740F0D5}</x14:id>
        </ext>
      </extLst>
    </cfRule>
  </conditionalFormatting>
  <conditionalFormatting sqref="M3">
    <cfRule type="dataBar" priority="1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{31920712-3289-41DD-A63A-D6766A806B7C}</x14:id>
        </ext>
      </extLst>
    </cfRule>
  </conditionalFormatting>
  <conditionalFormatting sqref="N3">
    <cfRule type="dataBar" priority="1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{B4844BB5-634E-4E6A-85BC-BB0E57B9B4EF}</x14:id>
        </ext>
      </extLst>
    </cfRule>
  </conditionalFormatting>
  <conditionalFormatting sqref="M3">
    <cfRule type="dataBar" priority="1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{23E07ACC-A15B-4DB2-8CED-599616ED5902}</x14:id>
        </ext>
      </extLst>
    </cfRule>
  </conditionalFormatting>
  <conditionalFormatting sqref="K3">
    <cfRule type="dataBar" priority="1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{A95786C6-0299-41BD-99F1-BE7BAE1EFAEA}</x14:id>
        </ext>
      </extLst>
    </cfRule>
  </conditionalFormatting>
  <conditionalFormatting sqref="M4">
    <cfRule type="dataBar" priority="1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{D07B1346-B331-4A93-A4B0-91FA34CD63F5}</x14:id>
        </ext>
      </extLst>
    </cfRule>
  </conditionalFormatting>
  <conditionalFormatting sqref="N4">
    <cfRule type="dataBar" priority="1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{7D6A5E8C-3566-4968-BD94-408F2BDECBC1}</x14:id>
        </ext>
      </extLst>
    </cfRule>
  </conditionalFormatting>
  <conditionalFormatting sqref="M4">
    <cfRule type="dataBar" priority="1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{05987CFD-1F32-4855-B456-75D87F4CABAC}</x14:id>
        </ext>
      </extLst>
    </cfRule>
  </conditionalFormatting>
  <conditionalFormatting sqref="N4">
    <cfRule type="dataBar" priority="1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{0CFBB630-BDA2-4B41-8FF0-DBC7B2FEF0F9}</x14:id>
        </ext>
      </extLst>
    </cfRule>
  </conditionalFormatting>
  <conditionalFormatting sqref="K4">
    <cfRule type="dataBar" priority="1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{385DA3E4-6A8E-4F8E-826D-CE7EEE2B5D46}</x14:id>
        </ext>
      </extLst>
    </cfRule>
  </conditionalFormatting>
  <conditionalFormatting sqref="K4">
    <cfRule type="dataBar" priority="1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{3DA1F99E-CF09-4D4A-817B-2F08A947C6DB}</x14:id>
        </ext>
      </extLst>
    </cfRule>
  </conditionalFormatting>
  <conditionalFormatting sqref="K4">
    <cfRule type="dataBar" priority="1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{8748B6E2-F342-45BB-97F5-5EB208B582EF}</x14:id>
        </ext>
      </extLst>
    </cfRule>
  </conditionalFormatting>
  <conditionalFormatting sqref="M4">
    <cfRule type="dataBar" priority="1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{6BC78D4D-EC85-4266-9BDD-96EA231531FF}</x14:id>
        </ext>
      </extLst>
    </cfRule>
  </conditionalFormatting>
  <conditionalFormatting sqref="N4">
    <cfRule type="dataBar" priority="12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{AB7FF9A6-A725-4921-B33A-39627D5328A4}</x14:id>
        </ext>
      </extLst>
    </cfRule>
  </conditionalFormatting>
  <conditionalFormatting sqref="M4">
    <cfRule type="dataBar" priority="1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{C1FAC1C2-484A-4B62-866B-A4FC2EC436AA}</x14:id>
        </ext>
      </extLst>
    </cfRule>
  </conditionalFormatting>
  <conditionalFormatting sqref="N4">
    <cfRule type="dataBar" priority="1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{6502B8FE-A8CB-44DC-9EFA-1D2A8BA5E0D2}</x14:id>
        </ext>
      </extLst>
    </cfRule>
  </conditionalFormatting>
  <conditionalFormatting sqref="K4">
    <cfRule type="dataBar" priority="1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{CCA8A1BC-659D-4114-A3CC-E3C5D2562D89}</x14:id>
        </ext>
      </extLst>
    </cfRule>
  </conditionalFormatting>
  <conditionalFormatting sqref="K4">
    <cfRule type="dataBar" priority="1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{77DE1762-24CB-4A62-8F20-3205C358AD77}</x14:id>
        </ext>
      </extLst>
    </cfRule>
  </conditionalFormatting>
  <conditionalFormatting sqref="M4">
    <cfRule type="dataBar" priority="1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{88F7AE5A-80B3-480D-9EBC-0819ECE470CB}</x14:id>
        </ext>
      </extLst>
    </cfRule>
  </conditionalFormatting>
  <conditionalFormatting sqref="N4">
    <cfRule type="dataBar" priority="1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{A9194638-5B7D-4ED2-996E-1E04FAF9A616}</x14:id>
        </ext>
      </extLst>
    </cfRule>
  </conditionalFormatting>
  <conditionalFormatting sqref="K4">
    <cfRule type="dataBar" priority="1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{FE76CA5D-B001-415B-BF91-5F53E3D6BF2C}</x14:id>
        </ext>
      </extLst>
    </cfRule>
  </conditionalFormatting>
  <conditionalFormatting sqref="M4">
    <cfRule type="dataBar" priority="1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{0EB08216-F080-4B0A-81E5-8CBE7D02D3A6}</x14:id>
        </ext>
      </extLst>
    </cfRule>
  </conditionalFormatting>
  <conditionalFormatting sqref="N4">
    <cfRule type="dataBar" priority="1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{69272925-4402-4A67-A310-48C83AED23E6}</x14:id>
        </ext>
      </extLst>
    </cfRule>
  </conditionalFormatting>
  <conditionalFormatting sqref="M4">
    <cfRule type="dataBar" priority="1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{56349C8D-A2D2-4854-A80C-31AB3077945A}</x14:id>
        </ext>
      </extLst>
    </cfRule>
  </conditionalFormatting>
  <conditionalFormatting sqref="K4">
    <cfRule type="dataBar" priority="1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{160976D5-D8FD-4FBC-A5EA-BCDF3366979D}</x14:id>
        </ext>
      </extLst>
    </cfRule>
  </conditionalFormatting>
  <conditionalFormatting sqref="M11">
    <cfRule type="dataBar" priority="1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{54F3BCDE-CEDE-469C-980C-EB78B6F16E6D}</x14:id>
        </ext>
      </extLst>
    </cfRule>
    <cfRule type="dataBar" priority="1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{56C950FF-D064-4E0D-B143-AB93AAB66702}</x14:id>
        </ext>
      </extLst>
    </cfRule>
  </conditionalFormatting>
  <conditionalFormatting sqref="N11">
    <cfRule type="dataBar" priority="1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{3014905B-AD78-4ABD-B074-6D31991E15E4}</x14:id>
        </ext>
      </extLst>
    </cfRule>
    <cfRule type="dataBar" priority="12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{30D189F2-A720-40BD-9ACA-C2D622B96857}</x14:id>
        </ext>
      </extLst>
    </cfRule>
  </conditionalFormatting>
  <conditionalFormatting sqref="M11">
    <cfRule type="dataBar" priority="1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{D0996F96-7EBC-4D7A-8B85-F3B28828798D}</x14:id>
        </ext>
      </extLst>
    </cfRule>
  </conditionalFormatting>
  <conditionalFormatting sqref="N11">
    <cfRule type="dataBar" priority="1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{3ED495DD-D736-47F3-93F3-F79A5C1B86B5}</x14:id>
        </ext>
      </extLst>
    </cfRule>
  </conditionalFormatting>
  <conditionalFormatting sqref="K11">
    <cfRule type="dataBar" priority="1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{EAA464B1-7DDA-45EE-A626-06A22E96AF5B}</x14:id>
        </ext>
      </extLst>
    </cfRule>
    <cfRule type="dataBar" priority="1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{90B2CE32-29B1-432D-961F-1BAB79DC72E4}</x14:id>
        </ext>
      </extLst>
    </cfRule>
  </conditionalFormatting>
  <conditionalFormatting sqref="K11">
    <cfRule type="dataBar" priority="1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{84AFF17F-DD1E-4B53-8FF6-E3FD45F902E3}</x14:id>
        </ext>
      </extLst>
    </cfRule>
  </conditionalFormatting>
  <conditionalFormatting sqref="K11">
    <cfRule type="dataBar" priority="1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{6545D56C-5556-40D9-8E0B-412DAC3DAD1B}</x14:id>
        </ext>
      </extLst>
    </cfRule>
  </conditionalFormatting>
  <conditionalFormatting sqref="M11">
    <cfRule type="dataBar" priority="1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{98DF4508-366C-487C-BBCD-94DBCA039844}</x14:id>
        </ext>
      </extLst>
    </cfRule>
  </conditionalFormatting>
  <conditionalFormatting sqref="N11">
    <cfRule type="dataBar" priority="1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{DDBF14C4-5E3A-4810-A20A-8D84BE883826}</x14:id>
        </ext>
      </extLst>
    </cfRule>
  </conditionalFormatting>
  <conditionalFormatting sqref="M11">
    <cfRule type="dataBar" priority="1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{BC66EFB0-60A4-48CE-9C6F-7A0228DB164F}</x14:id>
        </ext>
      </extLst>
    </cfRule>
  </conditionalFormatting>
  <conditionalFormatting sqref="N11">
    <cfRule type="dataBar" priority="1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{50E38EE8-89F6-4065-8DBA-D3938C13D842}</x14:id>
        </ext>
      </extLst>
    </cfRule>
  </conditionalFormatting>
  <conditionalFormatting sqref="K11">
    <cfRule type="dataBar" priority="1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{C3F762E0-3ECF-4FAF-9EC6-E6CC7DEE7EDE}</x14:id>
        </ext>
      </extLst>
    </cfRule>
  </conditionalFormatting>
  <conditionalFormatting sqref="K11">
    <cfRule type="dataBar" priority="1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{C45AD57D-1F35-4DA6-AE77-D51A765A3547}</x14:id>
        </ext>
      </extLst>
    </cfRule>
  </conditionalFormatting>
  <conditionalFormatting sqref="M11">
    <cfRule type="dataBar" priority="1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{92399A21-4A3F-44D0-9749-C5B9FD0D3F10}</x14:id>
        </ext>
      </extLst>
    </cfRule>
  </conditionalFormatting>
  <conditionalFormatting sqref="N11">
    <cfRule type="dataBar" priority="1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{1E4CF690-82EF-447F-A1AF-4ED841895A4F}</x14:id>
        </ext>
      </extLst>
    </cfRule>
  </conditionalFormatting>
  <conditionalFormatting sqref="K11">
    <cfRule type="dataBar" priority="1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{335BFE9B-E441-4D4D-BBFA-4454DF8046C9}</x14:id>
        </ext>
      </extLst>
    </cfRule>
  </conditionalFormatting>
  <conditionalFormatting sqref="M11">
    <cfRule type="dataBar" priority="1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{ED77AC18-B615-4F4B-A7A6-493BE623490F}</x14:id>
        </ext>
      </extLst>
    </cfRule>
  </conditionalFormatting>
  <conditionalFormatting sqref="N11">
    <cfRule type="dataBar" priority="1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{ADA406CE-D476-4E38-9393-E79B1F2BB81D}</x14:id>
        </ext>
      </extLst>
    </cfRule>
  </conditionalFormatting>
  <conditionalFormatting sqref="M11">
    <cfRule type="dataBar" priority="1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{B6FEBB1D-0ACC-4060-B328-E00F7C9439A2}</x14:id>
        </ext>
      </extLst>
    </cfRule>
  </conditionalFormatting>
  <conditionalFormatting sqref="N11">
    <cfRule type="dataBar" priority="12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{E3EBA5D9-67DD-44A8-A66B-A280DE228508}</x14:id>
        </ext>
      </extLst>
    </cfRule>
  </conditionalFormatting>
  <conditionalFormatting sqref="K11">
    <cfRule type="dataBar" priority="1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{19BCE1EF-0AA9-4752-AEA9-5680F5D0EBEB}</x14:id>
        </ext>
      </extLst>
    </cfRule>
  </conditionalFormatting>
  <conditionalFormatting sqref="M12">
    <cfRule type="dataBar" priority="1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{F26AFEF2-A1EE-458A-90FD-F8FEF4251727}</x14:id>
        </ext>
      </extLst>
    </cfRule>
    <cfRule type="dataBar" priority="1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{BFDCD62C-FAD1-4676-BE93-14A175E8FEE1}</x14:id>
        </ext>
      </extLst>
    </cfRule>
  </conditionalFormatting>
  <conditionalFormatting sqref="N12">
    <cfRule type="dataBar" priority="1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{E4FB3722-10CC-4915-BB31-D00471E2D5E5}</x14:id>
        </ext>
      </extLst>
    </cfRule>
    <cfRule type="dataBar" priority="12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{64945A13-65AD-45F3-800D-F3396667321D}</x14:id>
        </ext>
      </extLst>
    </cfRule>
  </conditionalFormatting>
  <conditionalFormatting sqref="M12">
    <cfRule type="dataBar" priority="1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{CB7B07BF-3F85-49D5-B7DB-A25813979FE9}</x14:id>
        </ext>
      </extLst>
    </cfRule>
  </conditionalFormatting>
  <conditionalFormatting sqref="N12">
    <cfRule type="dataBar" priority="1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{EEF43233-2A11-4DF6-9B05-029F03E9B1B9}</x14:id>
        </ext>
      </extLst>
    </cfRule>
  </conditionalFormatting>
  <conditionalFormatting sqref="K12">
    <cfRule type="dataBar" priority="1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{17DA6E6C-C445-406F-9638-7E792E76AD0D}</x14:id>
        </ext>
      </extLst>
    </cfRule>
    <cfRule type="dataBar" priority="1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{150FB1AE-1387-40F2-BFE0-7A5B3B38FCB4}</x14:id>
        </ext>
      </extLst>
    </cfRule>
  </conditionalFormatting>
  <conditionalFormatting sqref="K12">
    <cfRule type="dataBar" priority="1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{C8F0178A-4767-4CAE-A154-6F525CF460F5}</x14:id>
        </ext>
      </extLst>
    </cfRule>
  </conditionalFormatting>
  <conditionalFormatting sqref="K12">
    <cfRule type="dataBar" priority="1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{BA1287F3-5C4C-4730-88FD-724CE85680F2}</x14:id>
        </ext>
      </extLst>
    </cfRule>
  </conditionalFormatting>
  <conditionalFormatting sqref="M12">
    <cfRule type="dataBar" priority="1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{9240D489-466E-46DD-BD5F-360CA8C0B89C}</x14:id>
        </ext>
      </extLst>
    </cfRule>
  </conditionalFormatting>
  <conditionalFormatting sqref="N12">
    <cfRule type="dataBar" priority="1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{F062EE82-0F4E-4FC1-87C2-59AB686ECDB7}</x14:id>
        </ext>
      </extLst>
    </cfRule>
  </conditionalFormatting>
  <conditionalFormatting sqref="M12">
    <cfRule type="dataBar" priority="1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{65C96D96-C545-4558-9FF8-01A1B31EC2EB}</x14:id>
        </ext>
      </extLst>
    </cfRule>
  </conditionalFormatting>
  <conditionalFormatting sqref="N12">
    <cfRule type="dataBar" priority="1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{FEA18684-782A-4E43-8C9E-49D2422457FD}</x14:id>
        </ext>
      </extLst>
    </cfRule>
  </conditionalFormatting>
  <conditionalFormatting sqref="K12">
    <cfRule type="dataBar" priority="1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{0BD141CC-5337-4513-8C25-F611191936AC}</x14:id>
        </ext>
      </extLst>
    </cfRule>
  </conditionalFormatting>
  <conditionalFormatting sqref="K12">
    <cfRule type="dataBar" priority="1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{1057B103-52CC-4882-B2EA-9CC2B1991F7D}</x14:id>
        </ext>
      </extLst>
    </cfRule>
  </conditionalFormatting>
  <conditionalFormatting sqref="M12">
    <cfRule type="dataBar" priority="1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{AA672934-CBF2-4636-88E3-783477E11708}</x14:id>
        </ext>
      </extLst>
    </cfRule>
  </conditionalFormatting>
  <conditionalFormatting sqref="N12">
    <cfRule type="dataBar" priority="12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{EDA6447A-0829-4350-8ACB-4F39FCF18080}</x14:id>
        </ext>
      </extLst>
    </cfRule>
  </conditionalFormatting>
  <conditionalFormatting sqref="K12">
    <cfRule type="dataBar" priority="1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{C8CEFEE1-63F4-40CA-9C65-A517A6FD1BB6}</x14:id>
        </ext>
      </extLst>
    </cfRule>
  </conditionalFormatting>
  <conditionalFormatting sqref="M12">
    <cfRule type="dataBar" priority="1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{426E07C1-59E1-47FD-9634-35AE661DC60D}</x14:id>
        </ext>
      </extLst>
    </cfRule>
  </conditionalFormatting>
  <conditionalFormatting sqref="N12">
    <cfRule type="dataBar" priority="1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{AD809393-A1EF-47C2-A6B4-08D6CD9AB6A9}</x14:id>
        </ext>
      </extLst>
    </cfRule>
  </conditionalFormatting>
  <conditionalFormatting sqref="M12">
    <cfRule type="dataBar" priority="1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{6B794662-9996-48CA-BED5-E04CB053D961}</x14:id>
        </ext>
      </extLst>
    </cfRule>
  </conditionalFormatting>
  <conditionalFormatting sqref="N12">
    <cfRule type="dataBar" priority="1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{21CCDFB2-C059-4696-BD07-DC394EF12055}</x14:id>
        </ext>
      </extLst>
    </cfRule>
  </conditionalFormatting>
  <conditionalFormatting sqref="K12">
    <cfRule type="dataBar" priority="1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{2DD52259-C0CB-42AE-AB1A-26F55EFCE96B}</x14:id>
        </ext>
      </extLst>
    </cfRule>
  </conditionalFormatting>
  <conditionalFormatting sqref="AG7">
    <cfRule type="dataBar" priority="12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{DD2628D9-8BB9-4157-A2F7-BD06F105BFC4}</x14:id>
        </ext>
      </extLst>
    </cfRule>
  </conditionalFormatting>
  <conditionalFormatting sqref="AG7">
    <cfRule type="dataBar" priority="1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{EF6095A8-2A86-4D6E-99F7-24AD7D264055}</x14:id>
        </ext>
      </extLst>
    </cfRule>
    <cfRule type="dataBar" priority="1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{3BF24F2D-C633-462F-A229-A09B2B20F87C}</x14:id>
        </ext>
      </extLst>
    </cfRule>
  </conditionalFormatting>
  <conditionalFormatting sqref="AH7">
    <cfRule type="dataBar" priority="12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{3179ECF1-70D3-4BFB-87D3-2B640E2C6CD1}</x14:id>
        </ext>
      </extLst>
    </cfRule>
  </conditionalFormatting>
  <conditionalFormatting sqref="AH7">
    <cfRule type="dataBar" priority="1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{F25EA1DC-B3B3-40CF-9975-8956F07B4DF5}</x14:id>
        </ext>
      </extLst>
    </cfRule>
    <cfRule type="dataBar" priority="1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{E1730DBA-B34A-4861-9D89-028A17707C0A}</x14:id>
        </ext>
      </extLst>
    </cfRule>
  </conditionalFormatting>
  <conditionalFormatting sqref="AI7">
    <cfRule type="dataBar" priority="1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{66FE3031-89E8-4019-9C5D-F5C540721F5F}</x14:id>
        </ext>
      </extLst>
    </cfRule>
  </conditionalFormatting>
  <conditionalFormatting sqref="AI7">
    <cfRule type="dataBar" priority="1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{1099019E-23E0-484E-B690-327227803674}</x14:id>
        </ext>
      </extLst>
    </cfRule>
    <cfRule type="dataBar" priority="1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{8ED2669C-C6B0-44B9-A7C8-1DD041438D26}</x14:id>
        </ext>
      </extLst>
    </cfRule>
  </conditionalFormatting>
  <conditionalFormatting sqref="AG7">
    <cfRule type="dataBar" priority="1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{F25A7616-AC6E-44D1-B396-6C52519AAE42}</x14:id>
        </ext>
      </extLst>
    </cfRule>
  </conditionalFormatting>
  <conditionalFormatting sqref="AH7">
    <cfRule type="dataBar" priority="120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{0B41B863-9888-4ADD-90FB-317A8F88480C}</x14:id>
        </ext>
      </extLst>
    </cfRule>
  </conditionalFormatting>
  <conditionalFormatting sqref="AI7">
    <cfRule type="dataBar" priority="1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{6A25F9EA-C20B-4312-B9CC-2B8CAE77155C}</x14:id>
        </ext>
      </extLst>
    </cfRule>
  </conditionalFormatting>
  <conditionalFormatting sqref="AG7">
    <cfRule type="dataBar" priority="1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{A669D0E4-A301-46A4-A548-81DC5A90918C}</x14:id>
        </ext>
      </extLst>
    </cfRule>
  </conditionalFormatting>
  <conditionalFormatting sqref="AH7">
    <cfRule type="dataBar" priority="120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{6FC81615-1F68-4CDF-8D07-21619C9AA58D}</x14:id>
        </ext>
      </extLst>
    </cfRule>
  </conditionalFormatting>
  <conditionalFormatting sqref="AI7">
    <cfRule type="dataBar" priority="1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{CA342E30-5D51-4894-8869-ED682EF0622D}</x14:id>
        </ext>
      </extLst>
    </cfRule>
  </conditionalFormatting>
  <conditionalFormatting sqref="AG7">
    <cfRule type="dataBar" priority="1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{FED73174-2C27-4E49-A6C0-1F738D2766CE}</x14:id>
        </ext>
      </extLst>
    </cfRule>
  </conditionalFormatting>
  <conditionalFormatting sqref="AH7">
    <cfRule type="dataBar" priority="120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{C4D0F15B-A835-4FFB-A2A2-7222A8B3EE7D}</x14:id>
        </ext>
      </extLst>
    </cfRule>
  </conditionalFormatting>
  <conditionalFormatting sqref="AI7">
    <cfRule type="dataBar" priority="1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{1AC45491-F29F-4459-B5E7-7696FFB382F1}</x14:id>
        </ext>
      </extLst>
    </cfRule>
  </conditionalFormatting>
  <conditionalFormatting sqref="AG7">
    <cfRule type="dataBar" priority="1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{DFC0917A-341E-4B25-9128-87E94E7BD375}</x14:id>
        </ext>
      </extLst>
    </cfRule>
  </conditionalFormatting>
  <conditionalFormatting sqref="AG7:AI7">
    <cfRule type="dataBar" priority="1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{C337B6D9-789B-4247-9626-4F0876AB5286}</x14:id>
        </ext>
      </extLst>
    </cfRule>
  </conditionalFormatting>
  <conditionalFormatting sqref="AG7">
    <cfRule type="dataBar" priority="1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{9517D898-687B-415A-B052-03BD6E230557}</x14:id>
        </ext>
      </extLst>
    </cfRule>
  </conditionalFormatting>
  <conditionalFormatting sqref="AH7">
    <cfRule type="dataBar" priority="119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{F1AFB9FC-1782-436A-A59F-021AE9E1692A}</x14:id>
        </ext>
      </extLst>
    </cfRule>
  </conditionalFormatting>
  <conditionalFormatting sqref="AI7">
    <cfRule type="dataBar" priority="11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{C66CAF5F-2719-4404-B62F-049171B3F8C4}</x14:id>
        </ext>
      </extLst>
    </cfRule>
  </conditionalFormatting>
  <conditionalFormatting sqref="M13">
    <cfRule type="dataBar" priority="1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{D1EC780E-C549-455B-A6E3-CBF67A4AE84E}</x14:id>
        </ext>
      </extLst>
    </cfRule>
    <cfRule type="dataBar" priority="1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{C82C8CA1-B245-461B-8098-4817ADD2009C}</x14:id>
        </ext>
      </extLst>
    </cfRule>
  </conditionalFormatting>
  <conditionalFormatting sqref="N13">
    <cfRule type="dataBar" priority="1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{C4777330-5968-4716-ACC8-464E1C494108}</x14:id>
        </ext>
      </extLst>
    </cfRule>
    <cfRule type="dataBar" priority="11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{C7E39557-BB90-4A4F-9B6D-209D8E869DD7}</x14:id>
        </ext>
      </extLst>
    </cfRule>
  </conditionalFormatting>
  <conditionalFormatting sqref="M13">
    <cfRule type="dataBar" priority="1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{A2CBE70B-69D1-47CE-A8F0-BE9FBA3649AD}</x14:id>
        </ext>
      </extLst>
    </cfRule>
  </conditionalFormatting>
  <conditionalFormatting sqref="N13">
    <cfRule type="dataBar" priority="11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{2F4B59DC-9385-44A8-9E09-B100F5262E8D}</x14:id>
        </ext>
      </extLst>
    </cfRule>
  </conditionalFormatting>
  <conditionalFormatting sqref="K13">
    <cfRule type="dataBar" priority="1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{B246219E-5351-4770-A9B1-98CB411F8419}</x14:id>
        </ext>
      </extLst>
    </cfRule>
    <cfRule type="dataBar" priority="1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{B015F684-983D-4D93-9F9C-EE63A48B435D}</x14:id>
        </ext>
      </extLst>
    </cfRule>
  </conditionalFormatting>
  <conditionalFormatting sqref="K13">
    <cfRule type="dataBar" priority="1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{9F6DE92A-2389-481B-B082-6642551C4D50}</x14:id>
        </ext>
      </extLst>
    </cfRule>
  </conditionalFormatting>
  <conditionalFormatting sqref="K13">
    <cfRule type="dataBar" priority="1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{A392D367-9DEE-40D5-B51A-5866B93757D9}</x14:id>
        </ext>
      </extLst>
    </cfRule>
  </conditionalFormatting>
  <conditionalFormatting sqref="M13">
    <cfRule type="dataBar" priority="1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{3A4CA4A7-CF5E-4222-A9CD-7D9CCBF004D6}</x14:id>
        </ext>
      </extLst>
    </cfRule>
  </conditionalFormatting>
  <conditionalFormatting sqref="N13">
    <cfRule type="dataBar" priority="11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{68831BB1-F9B9-472F-821C-175A60B773FC}</x14:id>
        </ext>
      </extLst>
    </cfRule>
  </conditionalFormatting>
  <conditionalFormatting sqref="M13">
    <cfRule type="dataBar" priority="1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{E488F8F6-D28E-4516-8F58-817CC5849ADA}</x14:id>
        </ext>
      </extLst>
    </cfRule>
  </conditionalFormatting>
  <conditionalFormatting sqref="N13">
    <cfRule type="dataBar" priority="1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{8355A714-90A8-498F-9D10-EC042AF0766A}</x14:id>
        </ext>
      </extLst>
    </cfRule>
  </conditionalFormatting>
  <conditionalFormatting sqref="K13">
    <cfRule type="dataBar" priority="1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{833FCE3B-0F5A-4163-B696-0B914320BEFD}</x14:id>
        </ext>
      </extLst>
    </cfRule>
  </conditionalFormatting>
  <conditionalFormatting sqref="K13">
    <cfRule type="dataBar" priority="1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{743D9359-1917-4D8C-8341-192457F4371A}</x14:id>
        </ext>
      </extLst>
    </cfRule>
  </conditionalFormatting>
  <conditionalFormatting sqref="M13">
    <cfRule type="dataBar" priority="1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{7B8F1D99-6AA6-4A0D-BD12-AB70A83C1AF2}</x14:id>
        </ext>
      </extLst>
    </cfRule>
  </conditionalFormatting>
  <conditionalFormatting sqref="N13">
    <cfRule type="dataBar" priority="11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{F768F796-3EF7-4E07-B96E-E80C7B56AB3C}</x14:id>
        </ext>
      </extLst>
    </cfRule>
  </conditionalFormatting>
  <conditionalFormatting sqref="K13">
    <cfRule type="dataBar" priority="1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{D6F77051-E9ED-416F-8DCA-1B99AC4386C2}</x14:id>
        </ext>
      </extLst>
    </cfRule>
  </conditionalFormatting>
  <conditionalFormatting sqref="M13">
    <cfRule type="dataBar" priority="1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{6DD1CFEA-87F5-47ED-83C8-636322E1A28C}</x14:id>
        </ext>
      </extLst>
    </cfRule>
  </conditionalFormatting>
  <conditionalFormatting sqref="N13">
    <cfRule type="dataBar" priority="1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{25B91583-32F2-4CFF-ACDF-2D1E59F32564}</x14:id>
        </ext>
      </extLst>
    </cfRule>
  </conditionalFormatting>
  <conditionalFormatting sqref="M13">
    <cfRule type="dataBar" priority="1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{43F58CBB-D3AE-40A3-868F-57850EA67EAE}</x14:id>
        </ext>
      </extLst>
    </cfRule>
  </conditionalFormatting>
  <conditionalFormatting sqref="N13">
    <cfRule type="dataBar" priority="1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{F098BFE4-6B0D-4D16-B327-0FCA83831082}</x14:id>
        </ext>
      </extLst>
    </cfRule>
  </conditionalFormatting>
  <conditionalFormatting sqref="K13">
    <cfRule type="dataBar" priority="1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{BAB94FCD-6050-416A-B57C-EE8B22E4E2D8}</x14:id>
        </ext>
      </extLst>
    </cfRule>
  </conditionalFormatting>
  <conditionalFormatting sqref="M14">
    <cfRule type="dataBar" priority="1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{17845A57-F1EB-459C-B7B4-6183FB4A645A}</x14:id>
        </ext>
      </extLst>
    </cfRule>
    <cfRule type="dataBar" priority="1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{8D30D0F4-94DD-43B1-861E-46B20AB822F6}</x14:id>
        </ext>
      </extLst>
    </cfRule>
  </conditionalFormatting>
  <conditionalFormatting sqref="N14">
    <cfRule type="dataBar" priority="1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{C758279E-A266-4D57-9752-884E426BD4D2}</x14:id>
        </ext>
      </extLst>
    </cfRule>
    <cfRule type="dataBar" priority="11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{59A1D24F-ED9C-49FA-A99B-8F61D8985085}</x14:id>
        </ext>
      </extLst>
    </cfRule>
  </conditionalFormatting>
  <conditionalFormatting sqref="M14">
    <cfRule type="dataBar" priority="1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{0373229F-5A36-45F2-9314-F77BB45896EC}</x14:id>
        </ext>
      </extLst>
    </cfRule>
  </conditionalFormatting>
  <conditionalFormatting sqref="N14">
    <cfRule type="dataBar" priority="1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{9526DB1D-5A95-42D3-9863-811ADD416B12}</x14:id>
        </ext>
      </extLst>
    </cfRule>
  </conditionalFormatting>
  <conditionalFormatting sqref="K14">
    <cfRule type="dataBar" priority="1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{1FD37FDE-7FC0-4182-89A6-1BF2612A358C}</x14:id>
        </ext>
      </extLst>
    </cfRule>
    <cfRule type="dataBar" priority="1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{6A30DF6B-865C-45A5-8864-01D9500324E9}</x14:id>
        </ext>
      </extLst>
    </cfRule>
  </conditionalFormatting>
  <conditionalFormatting sqref="K14">
    <cfRule type="dataBar" priority="1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{6683B9AE-3D97-40FF-9E6A-56F3AF790CD0}</x14:id>
        </ext>
      </extLst>
    </cfRule>
  </conditionalFormatting>
  <conditionalFormatting sqref="K14">
    <cfRule type="dataBar" priority="1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{87EE8F3D-13A0-479E-BE7C-6262B8156CE5}</x14:id>
        </ext>
      </extLst>
    </cfRule>
  </conditionalFormatting>
  <conditionalFormatting sqref="M14">
    <cfRule type="dataBar" priority="1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{1D68B394-E547-42E9-91B7-78E314177BE1}</x14:id>
        </ext>
      </extLst>
    </cfRule>
  </conditionalFormatting>
  <conditionalFormatting sqref="N14">
    <cfRule type="dataBar" priority="1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{46C0F7CC-5367-4622-BB0F-DAB762C91D15}</x14:id>
        </ext>
      </extLst>
    </cfRule>
  </conditionalFormatting>
  <conditionalFormatting sqref="M14">
    <cfRule type="dataBar" priority="1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{B87922B3-C334-4E4E-A833-C41FE675E758}</x14:id>
        </ext>
      </extLst>
    </cfRule>
  </conditionalFormatting>
  <conditionalFormatting sqref="N14">
    <cfRule type="dataBar" priority="1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{57EB5107-BF9D-4802-81E0-B879E054AC9E}</x14:id>
        </ext>
      </extLst>
    </cfRule>
  </conditionalFormatting>
  <conditionalFormatting sqref="K14">
    <cfRule type="dataBar" priority="1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{3D668328-F261-4F47-99C2-FCA78B2545B7}</x14:id>
        </ext>
      </extLst>
    </cfRule>
  </conditionalFormatting>
  <conditionalFormatting sqref="K14">
    <cfRule type="dataBar" priority="1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{4BC7F5E3-7ECE-430A-A24E-83DCA8FE23C6}</x14:id>
        </ext>
      </extLst>
    </cfRule>
  </conditionalFormatting>
  <conditionalFormatting sqref="M14">
    <cfRule type="dataBar" priority="1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{BF89CDE4-3B09-4AD1-9762-EFDB39B37598}</x14:id>
        </ext>
      </extLst>
    </cfRule>
  </conditionalFormatting>
  <conditionalFormatting sqref="N14">
    <cfRule type="dataBar" priority="1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{6097008C-1B1F-4433-9F43-3AA9F283EE4B}</x14:id>
        </ext>
      </extLst>
    </cfRule>
  </conditionalFormatting>
  <conditionalFormatting sqref="K14">
    <cfRule type="dataBar" priority="1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{C2CFC4CA-02C9-403D-BF83-A0DC5003FA1F}</x14:id>
        </ext>
      </extLst>
    </cfRule>
  </conditionalFormatting>
  <conditionalFormatting sqref="M14">
    <cfRule type="dataBar" priority="1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{89929E7B-116E-4B5C-86EF-55149AC5E98D}</x14:id>
        </ext>
      </extLst>
    </cfRule>
  </conditionalFormatting>
  <conditionalFormatting sqref="N14">
    <cfRule type="dataBar" priority="1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{820B5AB1-9347-4CA5-A03B-52D80A3C392D}</x14:id>
        </ext>
      </extLst>
    </cfRule>
  </conditionalFormatting>
  <conditionalFormatting sqref="M14">
    <cfRule type="dataBar" priority="1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{5F944F05-79A0-4973-8544-1E88A3C07C15}</x14:id>
        </ext>
      </extLst>
    </cfRule>
  </conditionalFormatting>
  <conditionalFormatting sqref="N14">
    <cfRule type="dataBar" priority="1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{26F31C20-52BB-46ED-9210-900B2D9C56A4}</x14:id>
        </ext>
      </extLst>
    </cfRule>
  </conditionalFormatting>
  <conditionalFormatting sqref="K14">
    <cfRule type="dataBar" priority="1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{EE1CE535-5DCE-480E-82E9-C9E81C9BFD30}</x14:id>
        </ext>
      </extLst>
    </cfRule>
  </conditionalFormatting>
  <conditionalFormatting sqref="AG8">
    <cfRule type="dataBar" priority="11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{218FABD6-12BA-49D4-85A6-53E98BD39D7F}</x14:id>
        </ext>
      </extLst>
    </cfRule>
  </conditionalFormatting>
  <conditionalFormatting sqref="AG8">
    <cfRule type="dataBar" priority="1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{3255FFFE-5380-47BE-BCB0-75390E96FBAB}</x14:id>
        </ext>
      </extLst>
    </cfRule>
    <cfRule type="dataBar" priority="1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{45ABAAC7-172E-47C2-9674-BCC477C70E56}</x14:id>
        </ext>
      </extLst>
    </cfRule>
  </conditionalFormatting>
  <conditionalFormatting sqref="AH8">
    <cfRule type="dataBar" priority="11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{234270D3-1487-4C87-9DCE-445AEEB793A2}</x14:id>
        </ext>
      </extLst>
    </cfRule>
  </conditionalFormatting>
  <conditionalFormatting sqref="AH8">
    <cfRule type="dataBar" priority="1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{8F1FEAA6-00C7-4E8D-B5C5-4AA27507F959}</x14:id>
        </ext>
      </extLst>
    </cfRule>
    <cfRule type="dataBar" priority="1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{E02E79BD-D611-4668-8139-34AD8AD8E5AA}</x14:id>
        </ext>
      </extLst>
    </cfRule>
  </conditionalFormatting>
  <conditionalFormatting sqref="AI8">
    <cfRule type="dataBar" priority="11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{A6ECD944-92E8-4F8D-96C3-CD92A58D2A34}</x14:id>
        </ext>
      </extLst>
    </cfRule>
  </conditionalFormatting>
  <conditionalFormatting sqref="AI8">
    <cfRule type="dataBar" priority="1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{619C32B2-04CA-4933-AB10-4B0E31388073}</x14:id>
        </ext>
      </extLst>
    </cfRule>
    <cfRule type="dataBar" priority="1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{E2BD2DDE-C168-4FD3-A25B-97CC9C7C4238}</x14:id>
        </ext>
      </extLst>
    </cfRule>
  </conditionalFormatting>
  <conditionalFormatting sqref="AG8">
    <cfRule type="dataBar" priority="1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{878C07A2-11A9-487E-9F1F-4EF72F18F018}</x14:id>
        </ext>
      </extLst>
    </cfRule>
  </conditionalFormatting>
  <conditionalFormatting sqref="AH8">
    <cfRule type="dataBar" priority="11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{5AC2F191-E48F-454A-8DBA-671893444223}</x14:id>
        </ext>
      </extLst>
    </cfRule>
  </conditionalFormatting>
  <conditionalFormatting sqref="AI8">
    <cfRule type="dataBar" priority="1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{DA40CF66-F73E-4E7A-A2C6-ADEAA479325D}</x14:id>
        </ext>
      </extLst>
    </cfRule>
  </conditionalFormatting>
  <conditionalFormatting sqref="AG8">
    <cfRule type="dataBar" priority="1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{CC2FC2FD-7834-471C-A548-E189BD64E738}</x14:id>
        </ext>
      </extLst>
    </cfRule>
  </conditionalFormatting>
  <conditionalFormatting sqref="AH8">
    <cfRule type="dataBar" priority="11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{53EF5695-95F9-4D00-AD16-ED1636BB6114}</x14:id>
        </ext>
      </extLst>
    </cfRule>
  </conditionalFormatting>
  <conditionalFormatting sqref="AI8">
    <cfRule type="dataBar" priority="1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{644390B1-CED1-4C10-B26D-EF2C12CBD4E6}</x14:id>
        </ext>
      </extLst>
    </cfRule>
  </conditionalFormatting>
  <conditionalFormatting sqref="AG8">
    <cfRule type="dataBar" priority="1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{95BBAC2F-E14F-4145-B5D3-C1270C47D3D3}</x14:id>
        </ext>
      </extLst>
    </cfRule>
  </conditionalFormatting>
  <conditionalFormatting sqref="AH8">
    <cfRule type="dataBar" priority="11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{34F01196-ADF0-4D8D-9AEC-E7716DD171ED}</x14:id>
        </ext>
      </extLst>
    </cfRule>
  </conditionalFormatting>
  <conditionalFormatting sqref="AI8">
    <cfRule type="dataBar" priority="1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{EA5B23B4-2D47-455F-BFD1-3D1E063A2604}</x14:id>
        </ext>
      </extLst>
    </cfRule>
  </conditionalFormatting>
  <conditionalFormatting sqref="AG8">
    <cfRule type="dataBar" priority="1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{FAD696DF-B91F-4DB1-B42A-C59973DDD4C9}</x14:id>
        </ext>
      </extLst>
    </cfRule>
  </conditionalFormatting>
  <conditionalFormatting sqref="AG8:AI8">
    <cfRule type="dataBar" priority="1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{D55FFF9C-412B-4196-A91F-3851E81FF30B}</x14:id>
        </ext>
      </extLst>
    </cfRule>
  </conditionalFormatting>
  <conditionalFormatting sqref="AG8">
    <cfRule type="dataBar" priority="1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{D5F1CEC0-B93F-4DF4-A856-A9D193D123F1}</x14:id>
        </ext>
      </extLst>
    </cfRule>
  </conditionalFormatting>
  <conditionalFormatting sqref="AH8">
    <cfRule type="dataBar" priority="11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{86D23024-1D61-4660-B7C5-56E804FFE0AC}</x14:id>
        </ext>
      </extLst>
    </cfRule>
  </conditionalFormatting>
  <conditionalFormatting sqref="AI8">
    <cfRule type="dataBar" priority="1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{A5A7077A-6CF7-4BEC-AAB1-6B0A256FD701}</x14:id>
        </ext>
      </extLst>
    </cfRule>
  </conditionalFormatting>
  <conditionalFormatting sqref="AG3:AG8">
    <cfRule type="dataBar" priority="1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{D2F9D31D-055C-4F35-B5D8-D4450BFF88D6}</x14:id>
        </ext>
      </extLst>
    </cfRule>
  </conditionalFormatting>
  <conditionalFormatting sqref="AH3:AH8">
    <cfRule type="dataBar" priority="11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{A7F357FD-34A7-4FE2-81DA-2124F8607470}</x14:id>
        </ext>
      </extLst>
    </cfRule>
  </conditionalFormatting>
  <conditionalFormatting sqref="AI3:AI8">
    <cfRule type="dataBar" priority="11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{03F4E9C5-3995-4FD0-B9BC-2A8A55E5B8DB}</x14:id>
        </ext>
      </extLst>
    </cfRule>
  </conditionalFormatting>
  <conditionalFormatting sqref="M17">
    <cfRule type="dataBar" priority="1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{28A37AF2-3AF8-4EEB-821F-C648B01268B6}</x14:id>
        </ext>
      </extLst>
    </cfRule>
    <cfRule type="dataBar" priority="10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{62D8F4D1-129E-48ED-88A5-D53AE14C08C7}</x14:id>
        </ext>
      </extLst>
    </cfRule>
  </conditionalFormatting>
  <conditionalFormatting sqref="N17">
    <cfRule type="dataBar" priority="10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{B52C6FEF-F4DD-44C2-94CD-6CE20CFE3A78}</x14:id>
        </ext>
      </extLst>
    </cfRule>
    <cfRule type="dataBar" priority="10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{83EC06CA-183F-4EAF-A093-8DA204DCF0A7}</x14:id>
        </ext>
      </extLst>
    </cfRule>
  </conditionalFormatting>
  <conditionalFormatting sqref="M17">
    <cfRule type="dataBar" priority="10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{A29B7CF3-FAEA-46F5-8063-31CA77178503}</x14:id>
        </ext>
      </extLst>
    </cfRule>
  </conditionalFormatting>
  <conditionalFormatting sqref="N17">
    <cfRule type="dataBar" priority="10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{6635AE5D-AB0A-43F8-A1B2-8E636DD45AEE}</x14:id>
        </ext>
      </extLst>
    </cfRule>
  </conditionalFormatting>
  <conditionalFormatting sqref="K17">
    <cfRule type="dataBar" priority="10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{D47D4945-1B08-4485-9ED0-264DC51EEC13}</x14:id>
        </ext>
      </extLst>
    </cfRule>
    <cfRule type="dataBar" priority="10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{57E58A70-54B9-4F76-9614-DD76405B9D56}</x14:id>
        </ext>
      </extLst>
    </cfRule>
  </conditionalFormatting>
  <conditionalFormatting sqref="K17">
    <cfRule type="dataBar" priority="1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{6EB896AE-42D3-45F4-81F8-01B16239471D}</x14:id>
        </ext>
      </extLst>
    </cfRule>
  </conditionalFormatting>
  <conditionalFormatting sqref="K17">
    <cfRule type="dataBar" priority="10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{181D7A70-AD0E-4E4B-BD35-2832516C9B79}</x14:id>
        </ext>
      </extLst>
    </cfRule>
  </conditionalFormatting>
  <conditionalFormatting sqref="M17">
    <cfRule type="dataBar" priority="10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{D8FF414E-5387-40EE-9B21-62F60E5B494A}</x14:id>
        </ext>
      </extLst>
    </cfRule>
  </conditionalFormatting>
  <conditionalFormatting sqref="N17">
    <cfRule type="dataBar" priority="10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{4F8E3662-CDE1-47E3-BAAA-8B189CD04734}</x14:id>
        </ext>
      </extLst>
    </cfRule>
  </conditionalFormatting>
  <conditionalFormatting sqref="M17">
    <cfRule type="dataBar" priority="1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{63FF7D81-6947-4397-BA47-4091B0D09471}</x14:id>
        </ext>
      </extLst>
    </cfRule>
  </conditionalFormatting>
  <conditionalFormatting sqref="N17">
    <cfRule type="dataBar" priority="10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{B5F854A1-9F2C-4733-AF75-3D7E615C8678}</x14:id>
        </ext>
      </extLst>
    </cfRule>
  </conditionalFormatting>
  <conditionalFormatting sqref="K17">
    <cfRule type="dataBar" priority="1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{E9A21C3B-4C94-4222-8364-E63C6C780A52}</x14:id>
        </ext>
      </extLst>
    </cfRule>
  </conditionalFormatting>
  <conditionalFormatting sqref="K17">
    <cfRule type="dataBar" priority="1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{E9F7225C-8AA3-48B5-8238-3673239EEBA6}</x14:id>
        </ext>
      </extLst>
    </cfRule>
  </conditionalFormatting>
  <conditionalFormatting sqref="M17">
    <cfRule type="dataBar" priority="1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{1413FA65-4757-4AA8-880C-D4EBA33610F5}</x14:id>
        </ext>
      </extLst>
    </cfRule>
  </conditionalFormatting>
  <conditionalFormatting sqref="N17">
    <cfRule type="dataBar" priority="10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{054D9A00-BEC9-4290-AF77-7CD91E7A0A5B}</x14:id>
        </ext>
      </extLst>
    </cfRule>
  </conditionalFormatting>
  <conditionalFormatting sqref="K17">
    <cfRule type="dataBar" priority="10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{3A799809-D8B3-46FB-B697-8A083806E4EE}</x14:id>
        </ext>
      </extLst>
    </cfRule>
  </conditionalFormatting>
  <conditionalFormatting sqref="M17">
    <cfRule type="dataBar" priority="10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{2EDD27C3-3980-4A64-A9A5-0CB405FA41E1}</x14:id>
        </ext>
      </extLst>
    </cfRule>
  </conditionalFormatting>
  <conditionalFormatting sqref="N17">
    <cfRule type="dataBar" priority="10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{D734BCAD-13A4-4502-93EB-653C60E8072C}</x14:id>
        </ext>
      </extLst>
    </cfRule>
  </conditionalFormatting>
  <conditionalFormatting sqref="M17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{7E843A5E-E335-4639-BBD8-8F805BE25D05}</x14:id>
        </ext>
      </extLst>
    </cfRule>
  </conditionalFormatting>
  <conditionalFormatting sqref="N17">
    <cfRule type="dataBar" priority="10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{4B0099B8-3B98-4013-AA78-A8C3FB63190C}</x14:id>
        </ext>
      </extLst>
    </cfRule>
  </conditionalFormatting>
  <conditionalFormatting sqref="K17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{30B916C8-DF83-473C-B818-957651507A19}</x14:id>
        </ext>
      </extLst>
    </cfRule>
  </conditionalFormatting>
  <conditionalFormatting sqref="M18">
    <cfRule type="dataBar" priority="9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{F26C82A2-002B-4DD5-B279-04A3B34B12F9}</x14:id>
        </ext>
      </extLst>
    </cfRule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{A8F9D876-CC77-4ABD-9A99-862B2EDBCE69}</x14:id>
        </ext>
      </extLst>
    </cfRule>
  </conditionalFormatting>
  <conditionalFormatting sqref="N18">
    <cfRule type="dataBar" priority="9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{B2C62B2D-0E2B-44C9-961B-F42BFB794E30}</x14:id>
        </ext>
      </extLst>
    </cfRule>
    <cfRule type="dataBar" priority="9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{2C322E49-7D63-455F-961A-AFF7E3B90229}</x14:id>
        </ext>
      </extLst>
    </cfRule>
  </conditionalFormatting>
  <conditionalFormatting sqref="M18">
    <cfRule type="dataBar" priority="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{97E67D67-ED81-45BF-B249-563E4106F119}</x14:id>
        </ext>
      </extLst>
    </cfRule>
  </conditionalFormatting>
  <conditionalFormatting sqref="N18">
    <cfRule type="dataBar" priority="9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{F7AB8592-4E53-41FF-A279-4722A31966E1}</x14:id>
        </ext>
      </extLst>
    </cfRule>
  </conditionalFormatting>
  <conditionalFormatting sqref="K18">
    <cfRule type="dataBar" priority="9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{486A50AD-32DE-41C8-826F-8A91ECC7154E}</x14:id>
        </ext>
      </extLst>
    </cfRule>
    <cfRule type="dataBar" priority="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{D483CFD8-A23C-4F7E-BD29-7D19104AD827}</x14:id>
        </ext>
      </extLst>
    </cfRule>
  </conditionalFormatting>
  <conditionalFormatting sqref="K18">
    <cfRule type="dataBar" priority="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{CCDAA06C-7A31-41DD-B981-2094E2CB9325}</x14:id>
        </ext>
      </extLst>
    </cfRule>
  </conditionalFormatting>
  <conditionalFormatting sqref="K18">
    <cfRule type="dataBar" priority="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{C7C5E352-70E8-4AAC-9CFF-56035F5B8984}</x14:id>
        </ext>
      </extLst>
    </cfRule>
  </conditionalFormatting>
  <conditionalFormatting sqref="M18"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{38915575-9FEF-48A3-A195-025A51E1FE37}</x14:id>
        </ext>
      </extLst>
    </cfRule>
  </conditionalFormatting>
  <conditionalFormatting sqref="N18">
    <cfRule type="dataBar" priority="9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{9CE73D3B-CCA8-4662-BFFC-0A066032BDD0}</x14:id>
        </ext>
      </extLst>
    </cfRule>
  </conditionalFormatting>
  <conditionalFormatting sqref="M18">
    <cfRule type="dataBar" priority="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{48E2732A-E304-45D7-9473-483B182EE9C7}</x14:id>
        </ext>
      </extLst>
    </cfRule>
  </conditionalFormatting>
  <conditionalFormatting sqref="N18">
    <cfRule type="dataBar" priority="9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{FB207FC9-42AE-4CEC-878A-10C1831A5C00}</x14:id>
        </ext>
      </extLst>
    </cfRule>
  </conditionalFormatting>
  <conditionalFormatting sqref="K18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{5A9C2E92-1744-4E6B-8FC8-41FC49751AD9}</x14:id>
        </ext>
      </extLst>
    </cfRule>
  </conditionalFormatting>
  <conditionalFormatting sqref="K18">
    <cfRule type="dataBar" priority="9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{8E1A2702-2F77-40A9-A85D-678E496F8378}</x14:id>
        </ext>
      </extLst>
    </cfRule>
  </conditionalFormatting>
  <conditionalFormatting sqref="M18"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{6A399137-3995-4542-A6FD-7BB93FF52D7C}</x14:id>
        </ext>
      </extLst>
    </cfRule>
  </conditionalFormatting>
  <conditionalFormatting sqref="N18">
    <cfRule type="dataBar" priority="9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{BEE7C569-FA77-4A0E-B1B2-20653FEEB939}</x14:id>
        </ext>
      </extLst>
    </cfRule>
  </conditionalFormatting>
  <conditionalFormatting sqref="K18"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{0FA59097-F12D-4AE0-8976-0D0057D5B619}</x14:id>
        </ext>
      </extLst>
    </cfRule>
  </conditionalFormatting>
  <conditionalFormatting sqref="M18">
    <cfRule type="dataBar" priority="9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{5DA49416-92C9-4528-A4BC-629A2CF69E27}</x14:id>
        </ext>
      </extLst>
    </cfRule>
  </conditionalFormatting>
  <conditionalFormatting sqref="N18">
    <cfRule type="dataBar" priority="9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{D73D8E03-ABD2-4D62-A9D3-62D5F2A65867}</x14:id>
        </ext>
      </extLst>
    </cfRule>
  </conditionalFormatting>
  <conditionalFormatting sqref="M18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{4A43B113-7826-425A-A514-FFD264E1211B}</x14:id>
        </ext>
      </extLst>
    </cfRule>
  </conditionalFormatting>
  <conditionalFormatting sqref="N18">
    <cfRule type="dataBar" priority="9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{5E774751-C02F-4E1A-8724-E57ABA600AFF}</x14:id>
        </ext>
      </extLst>
    </cfRule>
  </conditionalFormatting>
  <conditionalFormatting sqref="K18"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{E5762706-7BEF-41F0-8208-48E6491262C0}</x14:id>
        </ext>
      </extLst>
    </cfRule>
  </conditionalFormatting>
  <conditionalFormatting sqref="M15">
    <cfRule type="dataBar" priority="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{62DDDA25-805C-498B-9EBD-E3D10D22AAD8}</x14:id>
        </ext>
      </extLst>
    </cfRule>
    <cfRule type="dataBar" priority="8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{82647302-0755-4EF4-80A9-626D69A83785}</x14:id>
        </ext>
      </extLst>
    </cfRule>
  </conditionalFormatting>
  <conditionalFormatting sqref="N15">
    <cfRule type="dataBar" priority="8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{85E1B9D4-2185-4F64-83DB-B61DB445FF0D}</x14:id>
        </ext>
      </extLst>
    </cfRule>
    <cfRule type="dataBar" priority="8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{95B734AC-7AC2-46EB-9287-D5F4AE3B6EF3}</x14:id>
        </ext>
      </extLst>
    </cfRule>
  </conditionalFormatting>
  <conditionalFormatting sqref="M15">
    <cfRule type="dataBar" priority="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{C66CBFE9-06D1-4D11-A62B-57832CCC9994}</x14:id>
        </ext>
      </extLst>
    </cfRule>
  </conditionalFormatting>
  <conditionalFormatting sqref="N15">
    <cfRule type="dataBar" priority="8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{B75C6D75-91A2-45A4-9026-1E4F80A015EF}</x14:id>
        </ext>
      </extLst>
    </cfRule>
  </conditionalFormatting>
  <conditionalFormatting sqref="K15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{BD5EDEC8-D7BB-40B7-9174-9FD104A64E34}</x14:id>
        </ext>
      </extLst>
    </cfRule>
    <cfRule type="dataBar" priority="8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{AC851640-1BE5-498A-9C82-17E0E2FA8404}</x14:id>
        </ext>
      </extLst>
    </cfRule>
  </conditionalFormatting>
  <conditionalFormatting sqref="K15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{0A440DF8-1913-47E1-A961-0F53ECFD53D7}</x14:id>
        </ext>
      </extLst>
    </cfRule>
  </conditionalFormatting>
  <conditionalFormatting sqref="K15">
    <cfRule type="dataBar" priority="8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{2FF29A9F-6007-4912-BDE2-DBAAF5F2C3E9}</x14:id>
        </ext>
      </extLst>
    </cfRule>
  </conditionalFormatting>
  <conditionalFormatting sqref="M15"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{1A0AB2A6-9F75-48A3-9D85-86CEB2F35237}</x14:id>
        </ext>
      </extLst>
    </cfRule>
  </conditionalFormatting>
  <conditionalFormatting sqref="N15">
    <cfRule type="dataBar" priority="8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{4001B723-FBC1-4219-94B6-471247E88F3E}</x14:id>
        </ext>
      </extLst>
    </cfRule>
  </conditionalFormatting>
  <conditionalFormatting sqref="M15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{A8F34BA3-DDA8-4238-8471-D0A078E075F5}</x14:id>
        </ext>
      </extLst>
    </cfRule>
  </conditionalFormatting>
  <conditionalFormatting sqref="N15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{AF46A116-DBBA-4410-B7BF-57F0DC98D086}</x14:id>
        </ext>
      </extLst>
    </cfRule>
  </conditionalFormatting>
  <conditionalFormatting sqref="K15">
    <cfRule type="dataBar" priority="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{4FA95AD6-57C8-4ADF-8983-AD10689EDF18}</x14:id>
        </ext>
      </extLst>
    </cfRule>
  </conditionalFormatting>
  <conditionalFormatting sqref="K15">
    <cfRule type="dataBar" priority="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{FAA74D85-866F-451E-9D84-B10415D8C666}</x14:id>
        </ext>
      </extLst>
    </cfRule>
  </conditionalFormatting>
  <conditionalFormatting sqref="M15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{1242E531-3D35-4F92-B7CC-34F1DE4160E0}</x14:id>
        </ext>
      </extLst>
    </cfRule>
  </conditionalFormatting>
  <conditionalFormatting sqref="N15">
    <cfRule type="dataBar" priority="8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{41112758-30B3-46B3-8A89-9ADDCBD49331}</x14:id>
        </ext>
      </extLst>
    </cfRule>
  </conditionalFormatting>
  <conditionalFormatting sqref="K15">
    <cfRule type="dataBar" priority="8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{6CD1BF7E-D14B-4F7C-B39F-F943FA6A6216}</x14:id>
        </ext>
      </extLst>
    </cfRule>
  </conditionalFormatting>
  <conditionalFormatting sqref="M15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{C814CC16-60A6-46C6-B90E-1C632EEE1F46}</x14:id>
        </ext>
      </extLst>
    </cfRule>
  </conditionalFormatting>
  <conditionalFormatting sqref="N15">
    <cfRule type="dataBar" priority="8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{EB166F51-8B3D-4860-BB4F-57FA933B9E7D}</x14:id>
        </ext>
      </extLst>
    </cfRule>
  </conditionalFormatting>
  <conditionalFormatting sqref="M15">
    <cfRule type="dataBar" priority="8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{94396923-4E64-4779-AB45-8FCF20ADCF57}</x14:id>
        </ext>
      </extLst>
    </cfRule>
  </conditionalFormatting>
  <conditionalFormatting sqref="N15">
    <cfRule type="dataBar" priority="8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{043269D7-E656-48B4-8AE1-E471DDB15B15}</x14:id>
        </ext>
      </extLst>
    </cfRule>
  </conditionalFormatting>
  <conditionalFormatting sqref="K15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{16A854DB-C594-4F2B-87F2-945918329D51}</x14:id>
        </ext>
      </extLst>
    </cfRule>
  </conditionalFormatting>
  <conditionalFormatting sqref="M16">
    <cfRule type="dataBar" priority="8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{07ACC69C-E828-4A6A-86EC-AC00B618708C}</x14:id>
        </ext>
      </extLst>
    </cfRule>
    <cfRule type="dataBar" priority="8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{F7A74A89-3715-4729-8D86-4F81B27BACAF}</x14:id>
        </ext>
      </extLst>
    </cfRule>
  </conditionalFormatting>
  <conditionalFormatting sqref="N16">
    <cfRule type="dataBar" priority="8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{8441C1D3-1F07-4D34-A456-439DCCF44832}</x14:id>
        </ext>
      </extLst>
    </cfRule>
    <cfRule type="dataBar" priority="8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{7B5EE1B7-4F02-40CC-8FFB-A407BD20ABF8}</x14:id>
        </ext>
      </extLst>
    </cfRule>
  </conditionalFormatting>
  <conditionalFormatting sqref="M16">
    <cfRule type="dataBar" priority="8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{B8B52D12-6EC9-42D2-8A17-D289D4AF3AA5}</x14:id>
        </ext>
      </extLst>
    </cfRule>
  </conditionalFormatting>
  <conditionalFormatting sqref="N16">
    <cfRule type="dataBar" priority="8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{14180F80-7D65-4AB5-8182-B25758F95CC6}</x14:id>
        </ext>
      </extLst>
    </cfRule>
  </conditionalFormatting>
  <conditionalFormatting sqref="K16">
    <cfRule type="dataBar" priority="8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{5C383478-107E-4DB4-901E-898B05E5BD94}</x14:id>
        </ext>
      </extLst>
    </cfRule>
    <cfRule type="dataBar" priority="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{A9153AC5-15A9-41A1-99EE-AD3333BDEC10}</x14:id>
        </ext>
      </extLst>
    </cfRule>
  </conditionalFormatting>
  <conditionalFormatting sqref="K16"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{3C118F94-CFD5-4697-A0A6-3931317ED1F7}</x14:id>
        </ext>
      </extLst>
    </cfRule>
  </conditionalFormatting>
  <conditionalFormatting sqref="K16">
    <cfRule type="dataBar" priority="8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{6735857A-EB14-494F-80CF-DAAE53F053F1}</x14:id>
        </ext>
      </extLst>
    </cfRule>
  </conditionalFormatting>
  <conditionalFormatting sqref="M16">
    <cfRule type="dataBar" priority="8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{D8C3AFA3-1007-4535-B3C2-535AF6FB7065}</x14:id>
        </ext>
      </extLst>
    </cfRule>
  </conditionalFormatting>
  <conditionalFormatting sqref="N16">
    <cfRule type="dataBar" priority="8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{F0F1239B-1AB1-4F30-AD2E-AFF7687B62C4}</x14:id>
        </ext>
      </extLst>
    </cfRule>
  </conditionalFormatting>
  <conditionalFormatting sqref="M16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{870A2ACC-809F-452F-B983-D6FA19F0F92A}</x14:id>
        </ext>
      </extLst>
    </cfRule>
  </conditionalFormatting>
  <conditionalFormatting sqref="N16">
    <cfRule type="dataBar" priority="8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{94B0684B-CC8C-4F9C-B631-3A1EAC61E60B}</x14:id>
        </ext>
      </extLst>
    </cfRule>
  </conditionalFormatting>
  <conditionalFormatting sqref="K16"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{ADFD25AC-1BCD-4197-BAD4-A7CC13261583}</x14:id>
        </ext>
      </extLst>
    </cfRule>
  </conditionalFormatting>
  <conditionalFormatting sqref="K16">
    <cfRule type="dataBar" priority="8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{A926941D-E0B9-4EB2-91F6-49A245CCE001}</x14:id>
        </ext>
      </extLst>
    </cfRule>
  </conditionalFormatting>
  <conditionalFormatting sqref="M16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{81EFBC41-A378-4368-BFFC-8FB4EEA167C2}</x14:id>
        </ext>
      </extLst>
    </cfRule>
  </conditionalFormatting>
  <conditionalFormatting sqref="N16">
    <cfRule type="dataBar" priority="8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{4F5E7CC9-0532-45D6-BAB4-20377C7C35E2}</x14:id>
        </ext>
      </extLst>
    </cfRule>
  </conditionalFormatting>
  <conditionalFormatting sqref="K16">
    <cfRule type="dataBar" priority="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{B13038E9-BBE2-4CB3-BEC8-D6A36A744C5F}</x14:id>
        </ext>
      </extLst>
    </cfRule>
  </conditionalFormatting>
  <conditionalFormatting sqref="M16">
    <cfRule type="dataBar" priority="8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{FEBC0C6F-73AF-49B5-9C88-A5CDDBB4B95E}</x14:id>
        </ext>
      </extLst>
    </cfRule>
  </conditionalFormatting>
  <conditionalFormatting sqref="N16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{F2BF6F0E-009B-467D-8701-9A40D81AB1F0}</x14:id>
        </ext>
      </extLst>
    </cfRule>
  </conditionalFormatting>
  <conditionalFormatting sqref="M16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{A7FC17AE-CC00-499D-9DF7-B03AA96CA327}</x14:id>
        </ext>
      </extLst>
    </cfRule>
  </conditionalFormatting>
  <conditionalFormatting sqref="N16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{2E8135F1-4BB5-40FB-8B09-D61F80DDDE0D}</x14:id>
        </ext>
      </extLst>
    </cfRule>
  </conditionalFormatting>
  <conditionalFormatting sqref="K16">
    <cfRule type="dataBar" priority="8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{F2AF8B8E-C91F-4667-932E-DC6FE89D48F1}</x14:id>
        </ext>
      </extLst>
    </cfRule>
  </conditionalFormatting>
  <conditionalFormatting sqref="AG9">
    <cfRule type="dataBar" priority="7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{D79B7E31-6EBD-48A7-A8C4-BD78322B3061}</x14:id>
        </ext>
      </extLst>
    </cfRule>
  </conditionalFormatting>
  <conditionalFormatting sqref="AG9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{506A84C1-46B9-4888-93C3-EE57332DD7AA}</x14:id>
        </ext>
      </extLst>
    </cfRule>
    <cfRule type="dataBar" priority="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{9AE85542-6352-4CD1-AD61-AC4EB24D702C}</x14:id>
        </ext>
      </extLst>
    </cfRule>
  </conditionalFormatting>
  <conditionalFormatting sqref="AH9">
    <cfRule type="dataBar" priority="7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{18061529-A903-4186-BCBE-33A4F8815A95}</x14:id>
        </ext>
      </extLst>
    </cfRule>
  </conditionalFormatting>
  <conditionalFormatting sqref="AH9">
    <cfRule type="dataBar" priority="7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{0B963F21-EDE1-41B2-A19D-0B901AE1DD7C}</x14:id>
        </ext>
      </extLst>
    </cfRule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{28C4A93D-2371-4475-BF53-53A44F2D7E1A}</x14:id>
        </ext>
      </extLst>
    </cfRule>
  </conditionalFormatting>
  <conditionalFormatting sqref="AI9">
    <cfRule type="dataBar" priority="7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{44BEEEA9-9573-4765-9B70-853619CB94EC}</x14:id>
        </ext>
      </extLst>
    </cfRule>
  </conditionalFormatting>
  <conditionalFormatting sqref="AI9">
    <cfRule type="dataBar" priority="7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{70631EAB-6ED6-4B93-8CAE-4C29076A99AB}</x14:id>
        </ext>
      </extLst>
    </cfRule>
    <cfRule type="dataBar" priority="7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{73A4CC75-F598-486D-92CE-914916CB6DD8}</x14:id>
        </ext>
      </extLst>
    </cfRule>
  </conditionalFormatting>
  <conditionalFormatting sqref="AG9">
    <cfRule type="dataBar" priority="7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{E565C9EB-73CF-476E-9C76-3CD74ADFB1B2}</x14:id>
        </ext>
      </extLst>
    </cfRule>
  </conditionalFormatting>
  <conditionalFormatting sqref="AH9">
    <cfRule type="dataBar" priority="7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{CC9DE100-AF5C-4D22-AABE-2E47A367937B}</x14:id>
        </ext>
      </extLst>
    </cfRule>
  </conditionalFormatting>
  <conditionalFormatting sqref="AI9"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{C8B3423E-09E4-4700-A4A5-1A2A2EBC3456}</x14:id>
        </ext>
      </extLst>
    </cfRule>
  </conditionalFormatting>
  <conditionalFormatting sqref="AG9">
    <cfRule type="dataBar" priority="7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{69743E36-927C-4AB8-BBEB-35EFD1416C8D}</x14:id>
        </ext>
      </extLst>
    </cfRule>
  </conditionalFormatting>
  <conditionalFormatting sqref="AH9">
    <cfRule type="dataBar" priority="7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{92F4D269-32A2-4C5B-9023-757F7039C310}</x14:id>
        </ext>
      </extLst>
    </cfRule>
  </conditionalFormatting>
  <conditionalFormatting sqref="AI9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{CFF64EEF-B96C-4E98-8B17-663A631915AE}</x14:id>
        </ext>
      </extLst>
    </cfRule>
  </conditionalFormatting>
  <conditionalFormatting sqref="AG9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{13C3D748-1D81-4BA5-8E16-84F01957D861}</x14:id>
        </ext>
      </extLst>
    </cfRule>
  </conditionalFormatting>
  <conditionalFormatting sqref="AH9">
    <cfRule type="dataBar" priority="76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{7DF2C1F1-3602-4B37-B196-4A6886A66EBC}</x14:id>
        </ext>
      </extLst>
    </cfRule>
  </conditionalFormatting>
  <conditionalFormatting sqref="AI9">
    <cfRule type="dataBar" priority="7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{584D9CAB-431A-4A09-A3C8-4565E4FE2B44}</x14:id>
        </ext>
      </extLst>
    </cfRule>
  </conditionalFormatting>
  <conditionalFormatting sqref="AG9">
    <cfRule type="dataBar" priority="7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{7D8B36BF-0CAE-447A-B35D-0A0404F9F2B8}</x14:id>
        </ext>
      </extLst>
    </cfRule>
  </conditionalFormatting>
  <conditionalFormatting sqref="AG9:AI9">
    <cfRule type="dataBar" priority="7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{0DE5D78E-52FB-4454-8D91-08B8F44FDF96}</x14:id>
        </ext>
      </extLst>
    </cfRule>
  </conditionalFormatting>
  <conditionalFormatting sqref="AG9">
    <cfRule type="dataBar" priority="7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{F07E2D0D-A273-41BA-9B6F-2CA2AAC6511F}</x14:id>
        </ext>
      </extLst>
    </cfRule>
  </conditionalFormatting>
  <conditionalFormatting sqref="AH9">
    <cfRule type="dataBar" priority="7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{A69F1DB7-3340-4D3F-9694-84F276154993}</x14:id>
        </ext>
      </extLst>
    </cfRule>
  </conditionalFormatting>
  <conditionalFormatting sqref="AI9">
    <cfRule type="dataBar" priority="7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{06CBB135-66AA-4B1E-9E9D-28893FACC2DA}</x14:id>
        </ext>
      </extLst>
    </cfRule>
  </conditionalFormatting>
  <conditionalFormatting sqref="AG9">
    <cfRule type="dataBar" priority="7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{40F8CC35-9793-4E74-B635-6F7A030D9894}</x14:id>
        </ext>
      </extLst>
    </cfRule>
  </conditionalFormatting>
  <conditionalFormatting sqref="AH9">
    <cfRule type="dataBar" priority="7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{0EB85469-AAFB-4A3E-9F3D-D5B9CB38B547}</x14:id>
        </ext>
      </extLst>
    </cfRule>
  </conditionalFormatting>
  <conditionalFormatting sqref="AI9">
    <cfRule type="dataBar" priority="7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{B82FC1BB-1A2E-4333-91D4-7994AC0C2A11}</x14:id>
        </ext>
      </extLst>
    </cfRule>
  </conditionalFormatting>
  <conditionalFormatting sqref="M19"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{1CFF659A-8D17-4CF4-BA49-5E5A8B98708C}</x14:id>
        </ext>
      </extLst>
    </cfRule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{A4FBE7E2-4C41-4564-A5BD-A6F378C536C8}</x14:id>
        </ext>
      </extLst>
    </cfRule>
  </conditionalFormatting>
  <conditionalFormatting sqref="N19">
    <cfRule type="dataBar" priority="7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{55D37D0F-E701-4252-9EA2-CED42F2572A7}</x14:id>
        </ext>
      </extLst>
    </cfRule>
    <cfRule type="dataBar" priority="7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{42A4CA21-375D-413F-A246-11328609939A}</x14:id>
        </ext>
      </extLst>
    </cfRule>
  </conditionalFormatting>
  <conditionalFormatting sqref="M19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{ABB15FF4-48A7-4AA5-AF8D-53634417FE5B}</x14:id>
        </ext>
      </extLst>
    </cfRule>
  </conditionalFormatting>
  <conditionalFormatting sqref="N19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{CFCD2C1F-86AF-446C-AFDC-F99EBB579F12}</x14:id>
        </ext>
      </extLst>
    </cfRule>
  </conditionalFormatting>
  <conditionalFormatting sqref="K19">
    <cfRule type="dataBar" priority="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{7504C94E-7701-4662-8102-7EFBCD04C657}</x14:id>
        </ext>
      </extLst>
    </cfRule>
    <cfRule type="dataBar" priority="7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{3D40D44B-1616-4186-B9AA-6669182D7BBD}</x14:id>
        </ext>
      </extLst>
    </cfRule>
  </conditionalFormatting>
  <conditionalFormatting sqref="K19">
    <cfRule type="dataBar" priority="7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{D1A8ABB1-841F-4839-8F43-F7BE205F00D4}</x14:id>
        </ext>
      </extLst>
    </cfRule>
  </conditionalFormatting>
  <conditionalFormatting sqref="K19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{8719B538-723A-49E4-980E-0032DAB3E86F}</x14:id>
        </ext>
      </extLst>
    </cfRule>
  </conditionalFormatting>
  <conditionalFormatting sqref="M19">
    <cfRule type="dataBar" priority="7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{362C3BA9-4B06-4384-9237-BB50DE1B2DE5}</x14:id>
        </ext>
      </extLst>
    </cfRule>
  </conditionalFormatting>
  <conditionalFormatting sqref="N19">
    <cfRule type="dataBar" priority="7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{E6E955ED-A8D1-4137-8C79-6F4C51ADE3CD}</x14:id>
        </ext>
      </extLst>
    </cfRule>
  </conditionalFormatting>
  <conditionalFormatting sqref="M19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{EAEBF964-875B-4AC3-9F3B-0CB4040A46DF}</x14:id>
        </ext>
      </extLst>
    </cfRule>
  </conditionalFormatting>
  <conditionalFormatting sqref="N19">
    <cfRule type="dataBar" priority="7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{F28B5579-5ACC-4013-9012-E3E33392C5C4}</x14:id>
        </ext>
      </extLst>
    </cfRule>
  </conditionalFormatting>
  <conditionalFormatting sqref="K19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{9DF98768-28E8-4A28-88E6-4E900FF3A7E9}</x14:id>
        </ext>
      </extLst>
    </cfRule>
  </conditionalFormatting>
  <conditionalFormatting sqref="K19"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{A94793ED-26CD-47D9-B07B-118EA9DACF06}</x14:id>
        </ext>
      </extLst>
    </cfRule>
  </conditionalFormatting>
  <conditionalFormatting sqref="M19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{E311FC8D-720A-41A0-B717-98A1CC0108BF}</x14:id>
        </ext>
      </extLst>
    </cfRule>
  </conditionalFormatting>
  <conditionalFormatting sqref="N19">
    <cfRule type="dataBar" priority="7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{4A0CC04F-AAEE-4AD3-96F3-FB7E0E75D89C}</x14:id>
        </ext>
      </extLst>
    </cfRule>
  </conditionalFormatting>
  <conditionalFormatting sqref="K19"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{E0AD4458-7D96-40AD-904C-45D7E7F31901}</x14:id>
        </ext>
      </extLst>
    </cfRule>
  </conditionalFormatting>
  <conditionalFormatting sqref="M19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{FA684120-3ABF-461F-A182-4AA8D87FCCC8}</x14:id>
        </ext>
      </extLst>
    </cfRule>
  </conditionalFormatting>
  <conditionalFormatting sqref="N19">
    <cfRule type="dataBar" priority="7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{18E5E751-85E2-4AC2-BDD6-A65AC1761BCF}</x14:id>
        </ext>
      </extLst>
    </cfRule>
  </conditionalFormatting>
  <conditionalFormatting sqref="M19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{83E3AAFF-ADC9-408E-B63C-261A3857059C}</x14:id>
        </ext>
      </extLst>
    </cfRule>
  </conditionalFormatting>
  <conditionalFormatting sqref="N19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{CE1F4DF2-B6CF-4A04-940E-71DA4B26151E}</x14:id>
        </ext>
      </extLst>
    </cfRule>
  </conditionalFormatting>
  <conditionalFormatting sqref="K19">
    <cfRule type="dataBar" priority="7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{D56DCB56-5036-4D31-88CC-F1CDF3D552F5}</x14:id>
        </ext>
      </extLst>
    </cfRule>
  </conditionalFormatting>
  <conditionalFormatting sqref="M20">
    <cfRule type="dataBar" priority="7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{9A7CAC30-1695-4D59-B132-3FBF3DA60E60}</x14:id>
        </ext>
      </extLst>
    </cfRule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{16B7EDA2-C4E0-4501-8619-D4C5ACD5B47E}</x14:id>
        </ext>
      </extLst>
    </cfRule>
  </conditionalFormatting>
  <conditionalFormatting sqref="N20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{7467E18B-2B19-4383-AC70-903A4D90869C}</x14:id>
        </ext>
      </extLst>
    </cfRule>
    <cfRule type="dataBar" priority="7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{ECCFD218-E876-47AB-84C6-DF2C36FD4DA8}</x14:id>
        </ext>
      </extLst>
    </cfRule>
  </conditionalFormatting>
  <conditionalFormatting sqref="M20"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{5A7F3DC4-1A47-4B88-8C3A-94880408D428}</x14:id>
        </ext>
      </extLst>
    </cfRule>
  </conditionalFormatting>
  <conditionalFormatting sqref="N20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{7184A3D6-8D81-4250-8819-8EF687EA9B43}</x14:id>
        </ext>
      </extLst>
    </cfRule>
  </conditionalFormatting>
  <conditionalFormatting sqref="K20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{988DBD0F-4D35-4219-B026-4ADD27BD00FF}</x14:id>
        </ext>
      </extLst>
    </cfRule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{5F767C82-5F68-43FF-AF3C-F40BAF23CD66}</x14:id>
        </ext>
      </extLst>
    </cfRule>
  </conditionalFormatting>
  <conditionalFormatting sqref="K20">
    <cfRule type="dataBar" priority="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{4750BB69-28ED-4F8E-AEBC-BEB6B1C221FD}</x14:id>
        </ext>
      </extLst>
    </cfRule>
  </conditionalFormatting>
  <conditionalFormatting sqref="K20"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{AB85B5F9-3D13-4B20-B3E5-A09821FB59CF}</x14:id>
        </ext>
      </extLst>
    </cfRule>
  </conditionalFormatting>
  <conditionalFormatting sqref="M20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{58F4AAE9-2D55-4EFC-B138-35EC0AF02D23}</x14:id>
        </ext>
      </extLst>
    </cfRule>
  </conditionalFormatting>
  <conditionalFormatting sqref="N20">
    <cfRule type="dataBar" priority="7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{658135FA-F458-44F3-960B-B9F429012C9F}</x14:id>
        </ext>
      </extLst>
    </cfRule>
  </conditionalFormatting>
  <conditionalFormatting sqref="M20">
    <cfRule type="dataBar" priority="7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{CE9687A3-C8C9-4872-8C2B-B662CD0A58E1}</x14:id>
        </ext>
      </extLst>
    </cfRule>
  </conditionalFormatting>
  <conditionalFormatting sqref="N20">
    <cfRule type="dataBar" priority="7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{892C77DC-D9AE-4A70-A5FC-669CD73E076A}</x14:id>
        </ext>
      </extLst>
    </cfRule>
  </conditionalFormatting>
  <conditionalFormatting sqref="K20">
    <cfRule type="dataBar" priority="7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{515093FB-43B1-41A8-8511-1660294BCF31}</x14:id>
        </ext>
      </extLst>
    </cfRule>
  </conditionalFormatting>
  <conditionalFormatting sqref="K20">
    <cfRule type="dataBar" priority="7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{7E029F95-7A16-4D6F-8090-70DAE8458D04}</x14:id>
        </ext>
      </extLst>
    </cfRule>
  </conditionalFormatting>
  <conditionalFormatting sqref="M20">
    <cfRule type="dataBar" priority="7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{F839C50E-53B7-48B5-8014-390D677815E9}</x14:id>
        </ext>
      </extLst>
    </cfRule>
  </conditionalFormatting>
  <conditionalFormatting sqref="N20">
    <cfRule type="dataBar" priority="7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{7B681405-4CA1-4BBC-89F1-B024C689EB28}</x14:id>
        </ext>
      </extLst>
    </cfRule>
  </conditionalFormatting>
  <conditionalFormatting sqref="K20">
    <cfRule type="dataBar" priority="7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{A207D123-0FEC-4A0E-A124-B377F6252DD2}</x14:id>
        </ext>
      </extLst>
    </cfRule>
  </conditionalFormatting>
  <conditionalFormatting sqref="M20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{54CB4A25-2901-4A9D-B6B4-3A3326C6EC46}</x14:id>
        </ext>
      </extLst>
    </cfRule>
  </conditionalFormatting>
  <conditionalFormatting sqref="N20">
    <cfRule type="dataBar" priority="7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{4ED17373-A071-417E-89BF-A623D8689280}</x14:id>
        </ext>
      </extLst>
    </cfRule>
  </conditionalFormatting>
  <conditionalFormatting sqref="M20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{2A660813-CC6E-4E18-A9BB-3E97BB87B8A3}</x14:id>
        </ext>
      </extLst>
    </cfRule>
  </conditionalFormatting>
  <conditionalFormatting sqref="N20">
    <cfRule type="dataBar" priority="7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{79782283-EE51-4CEE-96D9-AF4BE140E939}</x14:id>
        </ext>
      </extLst>
    </cfRule>
  </conditionalFormatting>
  <conditionalFormatting sqref="K20"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{D3154360-DD59-43F3-A69A-FA61179E6AAC}</x14:id>
        </ext>
      </extLst>
    </cfRule>
  </conditionalFormatting>
  <conditionalFormatting sqref="AG10">
    <cfRule type="dataBar" priority="7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{7D761F07-D16E-485E-82E3-183C659A2CAC}</x14:id>
        </ext>
      </extLst>
    </cfRule>
  </conditionalFormatting>
  <conditionalFormatting sqref="AG10">
    <cfRule type="dataBar" priority="7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{BB3EC0DA-C4E2-4140-A816-EB7B9FC3F0C3}</x14:id>
        </ext>
      </extLst>
    </cfRule>
    <cfRule type="dataBar" priority="7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{A71A1B8F-2F79-42AA-B585-7EB80C7C0A2E}</x14:id>
        </ext>
      </extLst>
    </cfRule>
  </conditionalFormatting>
  <conditionalFormatting sqref="AH10"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{A0A7259A-8416-4DA3-ABAF-0A549740344D}</x14:id>
        </ext>
      </extLst>
    </cfRule>
  </conditionalFormatting>
  <conditionalFormatting sqref="AH10">
    <cfRule type="dataBar" priority="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{3C8B6312-2EEE-498D-BC47-C3E9B7E1490D}</x14:id>
        </ext>
      </extLst>
    </cfRule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{49A5AB92-485D-47DB-AD99-99EA07F13CB8}</x14:id>
        </ext>
      </extLst>
    </cfRule>
  </conditionalFormatting>
  <conditionalFormatting sqref="AI10">
    <cfRule type="dataBar" priority="7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{15195FD7-CD3C-4D20-930D-CEFCEAA48D6F}</x14:id>
        </ext>
      </extLst>
    </cfRule>
  </conditionalFormatting>
  <conditionalFormatting sqref="AI10">
    <cfRule type="dataBar" priority="7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{9DE94C02-2610-46E3-9FC0-72A4983361CC}</x14:id>
        </ext>
      </extLst>
    </cfRule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{CC181727-104A-42E9-B40E-172BF7B3200A}</x14:id>
        </ext>
      </extLst>
    </cfRule>
  </conditionalFormatting>
  <conditionalFormatting sqref="AG10">
    <cfRule type="dataBar" priority="6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{524B56D8-E255-4756-9299-E60ABEF31F6B}</x14:id>
        </ext>
      </extLst>
    </cfRule>
  </conditionalFormatting>
  <conditionalFormatting sqref="AH10">
    <cfRule type="dataBar" priority="70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{F3E9A7DA-59FE-4C86-AB35-9C6C9ACCB377}</x14:id>
        </ext>
      </extLst>
    </cfRule>
  </conditionalFormatting>
  <conditionalFormatting sqref="AI10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{B33AB179-1189-4886-A5EF-1DF8A66F0E46}</x14:id>
        </ext>
      </extLst>
    </cfRule>
  </conditionalFormatting>
  <conditionalFormatting sqref="AG10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{7E2E5E29-B4A2-47A6-A8D8-F539DDD75E5D}</x14:id>
        </ext>
      </extLst>
    </cfRule>
  </conditionalFormatting>
  <conditionalFormatting sqref="AH10">
    <cfRule type="dataBar" priority="69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{D63B5EB6-89D8-4D31-82E5-CF4EAF488CAA}</x14:id>
        </ext>
      </extLst>
    </cfRule>
  </conditionalFormatting>
  <conditionalFormatting sqref="AI10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{2DB13FC7-2632-4B05-AEC8-F7BF4D8646CA}</x14:id>
        </ext>
      </extLst>
    </cfRule>
  </conditionalFormatting>
  <conditionalFormatting sqref="AG10">
    <cfRule type="dataBar" priority="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{3E4CFA25-4718-4A0D-980E-16B944835641}</x14:id>
        </ext>
      </extLst>
    </cfRule>
  </conditionalFormatting>
  <conditionalFormatting sqref="AH10">
    <cfRule type="dataBar" priority="69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{738EE6D9-BAE4-4942-8568-3C03155EF2A4}</x14:id>
        </ext>
      </extLst>
    </cfRule>
  </conditionalFormatting>
  <conditionalFormatting sqref="AI10">
    <cfRule type="dataBar" priority="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{9FB836AA-7508-4491-980B-48A840D8AA0E}</x14:id>
        </ext>
      </extLst>
    </cfRule>
  </conditionalFormatting>
  <conditionalFormatting sqref="AG10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{7EF2EDDE-A3B5-4F08-85DF-E281DE0D2F72}</x14:id>
        </ext>
      </extLst>
    </cfRule>
  </conditionalFormatting>
  <conditionalFormatting sqref="AG10:AI10">
    <cfRule type="dataBar" priority="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{A21E12C2-D218-495C-9E71-D150D82A14C3}</x14:id>
        </ext>
      </extLst>
    </cfRule>
  </conditionalFormatting>
  <conditionalFormatting sqref="AG10"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{DACE5803-B3BA-4991-8F63-A6408E0DB2D0}</x14:id>
        </ext>
      </extLst>
    </cfRule>
  </conditionalFormatting>
  <conditionalFormatting sqref="AH10">
    <cfRule type="dataBar" priority="68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{00C1031F-49AA-4940-A551-7295BA5CFB86}</x14:id>
        </ext>
      </extLst>
    </cfRule>
  </conditionalFormatting>
  <conditionalFormatting sqref="AI10">
    <cfRule type="dataBar" priority="6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{A1B64BD4-2D55-4043-A1BA-A5C7C4E77ABE}</x14:id>
        </ext>
      </extLst>
    </cfRule>
  </conditionalFormatting>
  <conditionalFormatting sqref="AG10"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{FF1E1D81-3EC1-409E-AC26-2DE1F57EDB93}</x14:id>
        </ext>
      </extLst>
    </cfRule>
  </conditionalFormatting>
  <conditionalFormatting sqref="AH10">
    <cfRule type="dataBar" priority="6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{11918A29-7232-4DFE-A071-E887CDE90773}</x14:id>
        </ext>
      </extLst>
    </cfRule>
  </conditionalFormatting>
  <conditionalFormatting sqref="AI10">
    <cfRule type="dataBar" priority="6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{4D446E96-F337-47B2-9E8D-85F8EA1E2DE5}</x14:id>
        </ext>
      </extLst>
    </cfRule>
  </conditionalFormatting>
  <conditionalFormatting sqref="M21">
    <cfRule type="dataBar" priority="6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{F3A06D59-355F-4862-9F5D-5DE9C1DB4C7D}</x14:id>
        </ext>
      </extLst>
    </cfRule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{593FBA3B-A45B-40CE-9C22-B096D0FD56F3}</x14:id>
        </ext>
      </extLst>
    </cfRule>
  </conditionalFormatting>
  <conditionalFormatting sqref="N21">
    <cfRule type="dataBar" priority="6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{CC7137F6-1B3E-464D-90CA-98911244FF4C}</x14:id>
        </ext>
      </extLst>
    </cfRule>
    <cfRule type="dataBar" priority="6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{84BCFF8F-EF51-44F1-937F-0FEE24F032C9}</x14:id>
        </ext>
      </extLst>
    </cfRule>
  </conditionalFormatting>
  <conditionalFormatting sqref="M21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{52F735DD-1CFF-47DF-8D91-57A096C8A5D2}</x14:id>
        </ext>
      </extLst>
    </cfRule>
  </conditionalFormatting>
  <conditionalFormatting sqref="N21">
    <cfRule type="dataBar" priority="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{5001A211-7201-4555-A7FD-0B485F9FF20A}</x14:id>
        </ext>
      </extLst>
    </cfRule>
  </conditionalFormatting>
  <conditionalFormatting sqref="K21">
    <cfRule type="dataBar" priority="6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{46C8CE5C-5512-48EE-9408-2C8143B0A49E}</x14:id>
        </ext>
      </extLst>
    </cfRule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{D179AB0A-4FFF-49A2-9A0C-EB3CB83B782B}</x14:id>
        </ext>
      </extLst>
    </cfRule>
  </conditionalFormatting>
  <conditionalFormatting sqref="K21">
    <cfRule type="dataBar" priority="6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{AB841BF8-80C8-4AE7-8D95-13EE9997B778}</x14:id>
        </ext>
      </extLst>
    </cfRule>
  </conditionalFormatting>
  <conditionalFormatting sqref="K21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{9C310810-9FF2-4158-BDFE-394C828AA1D3}</x14:id>
        </ext>
      </extLst>
    </cfRule>
  </conditionalFormatting>
  <conditionalFormatting sqref="M21">
    <cfRule type="dataBar" priority="6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{F4755D8F-6245-4900-BBDE-83C3F5344B92}</x14:id>
        </ext>
      </extLst>
    </cfRule>
  </conditionalFormatting>
  <conditionalFormatting sqref="N21">
    <cfRule type="dataBar" priority="6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{94789F8D-A504-4800-9D47-9872B9853E03}</x14:id>
        </ext>
      </extLst>
    </cfRule>
  </conditionalFormatting>
  <conditionalFormatting sqref="M21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{1AF34634-9AD9-4DA4-963C-9A20A8529FAE}</x14:id>
        </ext>
      </extLst>
    </cfRule>
  </conditionalFormatting>
  <conditionalFormatting sqref="N21">
    <cfRule type="dataBar" priority="6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{B2C8F0F0-8890-427D-8B64-C014475849D0}</x14:id>
        </ext>
      </extLst>
    </cfRule>
  </conditionalFormatting>
  <conditionalFormatting sqref="K21">
    <cfRule type="dataBar" priority="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{2032A92F-2C28-43AA-8673-3E610EE63082}</x14:id>
        </ext>
      </extLst>
    </cfRule>
  </conditionalFormatting>
  <conditionalFormatting sqref="K21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{90D2A3AD-DCEB-45F6-AB69-3B31F701214D}</x14:id>
        </ext>
      </extLst>
    </cfRule>
  </conditionalFormatting>
  <conditionalFormatting sqref="M21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{7058A382-E87A-4BA1-804C-F59DB260F16A}</x14:id>
        </ext>
      </extLst>
    </cfRule>
  </conditionalFormatting>
  <conditionalFormatting sqref="N21">
    <cfRule type="dataBar" priority="6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{01693A36-D7CF-4284-A6F7-DEA16509A5D8}</x14:id>
        </ext>
      </extLst>
    </cfRule>
  </conditionalFormatting>
  <conditionalFormatting sqref="K21">
    <cfRule type="dataBar" priority="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{61DA95BF-F569-4416-A497-49130B4707A4}</x14:id>
        </ext>
      </extLst>
    </cfRule>
  </conditionalFormatting>
  <conditionalFormatting sqref="M21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{70A0639D-9434-4164-9B49-02378BCCD476}</x14:id>
        </ext>
      </extLst>
    </cfRule>
  </conditionalFormatting>
  <conditionalFormatting sqref="N21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{725997C1-818A-4BCA-8203-2E56844F26B2}</x14:id>
        </ext>
      </extLst>
    </cfRule>
  </conditionalFormatting>
  <conditionalFormatting sqref="M21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{32E5E54A-FD2E-476A-9CD2-0A83AF55C9B6}</x14:id>
        </ext>
      </extLst>
    </cfRule>
  </conditionalFormatting>
  <conditionalFormatting sqref="N21">
    <cfRule type="dataBar" priority="6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{3E3AE248-E226-4587-AFC8-62F920C8AAE4}</x14:id>
        </ext>
      </extLst>
    </cfRule>
  </conditionalFormatting>
  <conditionalFormatting sqref="K21"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{12E45E05-7061-48D5-AB93-CCB859404B48}</x14:id>
        </ext>
      </extLst>
    </cfRule>
  </conditionalFormatting>
  <conditionalFormatting sqref="M22">
    <cfRule type="dataBar" priority="6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{0C742F94-034C-4C22-8545-1D78890910CC}</x14:id>
        </ext>
      </extLst>
    </cfRule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{0D12AFDA-1342-4298-B1F5-B4F94CA76B32}</x14:id>
        </ext>
      </extLst>
    </cfRule>
  </conditionalFormatting>
  <conditionalFormatting sqref="N22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{74FBA21A-EA32-4D9B-A7FE-B6D9646D3AA2}</x14:id>
        </ext>
      </extLst>
    </cfRule>
    <cfRule type="dataBar" priority="6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{CF5E1990-DF10-4A99-AB7A-F1F84A9B6809}</x14:id>
        </ext>
      </extLst>
    </cfRule>
  </conditionalFormatting>
  <conditionalFormatting sqref="M22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{9A2683C6-2E65-48F7-B60B-5360A4F9EAED}</x14:id>
        </ext>
      </extLst>
    </cfRule>
  </conditionalFormatting>
  <conditionalFormatting sqref="N22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{A1CC407C-B5E4-4BFD-AC43-97EC77550D62}</x14:id>
        </ext>
      </extLst>
    </cfRule>
  </conditionalFormatting>
  <conditionalFormatting sqref="K22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{CA163994-01DB-4041-A188-0094E1A3C385}</x14:id>
        </ext>
      </extLst>
    </cfRule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{C2672404-322F-4EB4-B166-8A43EF68752E}</x14:id>
        </ext>
      </extLst>
    </cfRule>
  </conditionalFormatting>
  <conditionalFormatting sqref="K22"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{74CD6FD5-8399-41A8-84B8-C48ECEDD95FF}</x14:id>
        </ext>
      </extLst>
    </cfRule>
  </conditionalFormatting>
  <conditionalFormatting sqref="K22">
    <cfRule type="dataBar" priority="6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{6907C640-23A7-4065-BA4B-9068B595063E}</x14:id>
        </ext>
      </extLst>
    </cfRule>
  </conditionalFormatting>
  <conditionalFormatting sqref="M22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{3351F2D6-920A-4252-8A0E-39D16437178C}</x14:id>
        </ext>
      </extLst>
    </cfRule>
  </conditionalFormatting>
  <conditionalFormatting sqref="N22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{C5ACEA28-84E6-46FB-94C6-C7583BD929FF}</x14:id>
        </ext>
      </extLst>
    </cfRule>
  </conditionalFormatting>
  <conditionalFormatting sqref="M22">
    <cfRule type="dataBar" priority="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{F5BCC75E-8044-4ABA-B3F2-EFB8C2706760}</x14:id>
        </ext>
      </extLst>
    </cfRule>
  </conditionalFormatting>
  <conditionalFormatting sqref="N22">
    <cfRule type="dataBar" priority="6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{99878045-8131-4810-A186-A9C5352C181E}</x14:id>
        </ext>
      </extLst>
    </cfRule>
  </conditionalFormatting>
  <conditionalFormatting sqref="K22">
    <cfRule type="dataBar" priority="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{63BBAA05-3060-4173-A980-4EB4F8854224}</x14:id>
        </ext>
      </extLst>
    </cfRule>
  </conditionalFormatting>
  <conditionalFormatting sqref="K22"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{A4B8E273-82D0-41EB-94FF-BBA6347DA2B6}</x14:id>
        </ext>
      </extLst>
    </cfRule>
  </conditionalFormatting>
  <conditionalFormatting sqref="M22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{02E92FBF-AE68-4D7F-AFEC-E34240EA87FC}</x14:id>
        </ext>
      </extLst>
    </cfRule>
  </conditionalFormatting>
  <conditionalFormatting sqref="N22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{0C3A5C44-2ABE-4802-BD59-4C1C2306C252}</x14:id>
        </ext>
      </extLst>
    </cfRule>
  </conditionalFormatting>
  <conditionalFormatting sqref="K22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{23F60A58-6FFC-4984-BDCD-7F76035AFEBA}</x14:id>
        </ext>
      </extLst>
    </cfRule>
  </conditionalFormatting>
  <conditionalFormatting sqref="M22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{9ED63A3A-930A-4194-A017-518E9BC8886A}</x14:id>
        </ext>
      </extLst>
    </cfRule>
  </conditionalFormatting>
  <conditionalFormatting sqref="N22">
    <cfRule type="dataBar" priority="6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{7BA21581-879A-4320-8971-8B212A232A17}</x14:id>
        </ext>
      </extLst>
    </cfRule>
  </conditionalFormatting>
  <conditionalFormatting sqref="M22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{624BAF5B-D4CF-4B5C-B793-45481EE2D942}</x14:id>
        </ext>
      </extLst>
    </cfRule>
  </conditionalFormatting>
  <conditionalFormatting sqref="N22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{9C1ECDC2-A9A5-4B07-B902-3ED20B79C796}</x14:id>
        </ext>
      </extLst>
    </cfRule>
  </conditionalFormatting>
  <conditionalFormatting sqref="K22">
    <cfRule type="dataBar" priority="6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{1257B306-979E-4C9D-ACC3-050E1A9520E1}</x14:id>
        </ext>
      </extLst>
    </cfRule>
  </conditionalFormatting>
  <conditionalFormatting sqref="AG11">
    <cfRule type="dataBar" priority="6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{529F2D8A-85C1-429B-87C3-E02A202748D3}</x14:id>
        </ext>
      </extLst>
    </cfRule>
  </conditionalFormatting>
  <conditionalFormatting sqref="AG11">
    <cfRule type="dataBar" priority="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{4877AE17-4681-48B5-AAE2-7ECBEC1D0C4C}</x14:id>
        </ext>
      </extLst>
    </cfRule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{2F14CA22-5BB9-4430-94F4-6CFD65409527}</x14:id>
        </ext>
      </extLst>
    </cfRule>
  </conditionalFormatting>
  <conditionalFormatting sqref="AH11">
    <cfRule type="dataBar" priority="6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{4328EDCB-8BEE-4457-837F-24B0C2AA8C12}</x14:id>
        </ext>
      </extLst>
    </cfRule>
  </conditionalFormatting>
  <conditionalFormatting sqref="AH11">
    <cfRule type="dataBar" priority="6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{C49CB68B-337C-42CD-8B65-C9320E01113D}</x14:id>
        </ext>
      </extLst>
    </cfRule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{E03FBFB7-07E0-4CB8-B8B1-A77324E66003}</x14:id>
        </ext>
      </extLst>
    </cfRule>
  </conditionalFormatting>
  <conditionalFormatting sqref="AI11">
    <cfRule type="dataBar" priority="6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{33EBA8A6-73BF-43C1-960B-B2B98F73C408}</x14:id>
        </ext>
      </extLst>
    </cfRule>
  </conditionalFormatting>
  <conditionalFormatting sqref="AI11">
    <cfRule type="dataBar" priority="6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{BD3A4ACC-E6AA-4A3E-B3C3-7F9C2F679832}</x14:id>
        </ext>
      </extLst>
    </cfRule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{C1884746-D8EA-4FB2-9484-3004CC3C25F1}</x14:id>
        </ext>
      </extLst>
    </cfRule>
  </conditionalFormatting>
  <conditionalFormatting sqref="AG11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{1E376587-CB9D-42B9-A2C7-3078E5BD688F}</x14:id>
        </ext>
      </extLst>
    </cfRule>
  </conditionalFormatting>
  <conditionalFormatting sqref="AH11">
    <cfRule type="dataBar" priority="6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{069BA0F4-9166-4EFC-8DB6-3E0A298D9EE4}</x14:id>
        </ext>
      </extLst>
    </cfRule>
  </conditionalFormatting>
  <conditionalFormatting sqref="AI11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{2DA75996-F3B9-4ECA-8A69-DD6CD0DEA0EC}</x14:id>
        </ext>
      </extLst>
    </cfRule>
  </conditionalFormatting>
  <conditionalFormatting sqref="AG11"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{721961AD-B190-4FD8-9BB9-618B6D4E5B1C}</x14:id>
        </ext>
      </extLst>
    </cfRule>
  </conditionalFormatting>
  <conditionalFormatting sqref="AH11">
    <cfRule type="dataBar" priority="6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{9D986379-C0EF-4255-8B06-6B4DBE3FDFCA}</x14:id>
        </ext>
      </extLst>
    </cfRule>
  </conditionalFormatting>
  <conditionalFormatting sqref="AI11">
    <cfRule type="dataBar" priority="6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{4E2E18EA-05F7-49E6-8374-29853F12F60A}</x14:id>
        </ext>
      </extLst>
    </cfRule>
  </conditionalFormatting>
  <conditionalFormatting sqref="AG11"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{505F6C7A-67AC-42CC-A54C-0A15CE13C4A9}</x14:id>
        </ext>
      </extLst>
    </cfRule>
  </conditionalFormatting>
  <conditionalFormatting sqref="AH11">
    <cfRule type="dataBar" priority="6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{08705CA0-39AB-451C-84D1-0BFF74328F7E}</x14:id>
        </ext>
      </extLst>
    </cfRule>
  </conditionalFormatting>
  <conditionalFormatting sqref="AI11">
    <cfRule type="dataBar" priority="6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{4A0CC637-1D78-40FC-9053-C3CAF0B9CFF0}</x14:id>
        </ext>
      </extLst>
    </cfRule>
  </conditionalFormatting>
  <conditionalFormatting sqref="AG11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{3A8099EF-A756-4BD6-97AE-1DDE81EB78B2}</x14:id>
        </ext>
      </extLst>
    </cfRule>
  </conditionalFormatting>
  <conditionalFormatting sqref="AG11:AI11">
    <cfRule type="dataBar" priority="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{F4AB46F8-6634-4B32-BF83-133E655BB192}</x14:id>
        </ext>
      </extLst>
    </cfRule>
  </conditionalFormatting>
  <conditionalFormatting sqref="AG11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{1CD23839-C585-42B6-B7A2-0E54013870E2}</x14:id>
        </ext>
      </extLst>
    </cfRule>
  </conditionalFormatting>
  <conditionalFormatting sqref="AH11">
    <cfRule type="dataBar" priority="6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{4C005329-89EE-4F53-8B42-940197AA0D2A}</x14:id>
        </ext>
      </extLst>
    </cfRule>
  </conditionalFormatting>
  <conditionalFormatting sqref="AI11">
    <cfRule type="dataBar" priority="6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{3253C343-338D-4A98-80E9-04F7AB8612E9}</x14:id>
        </ext>
      </extLst>
    </cfRule>
  </conditionalFormatting>
  <conditionalFormatting sqref="AG11">
    <cfRule type="dataBar" priority="6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{2543EE8D-3C2B-490E-9E38-2A52ED58A1B3}</x14:id>
        </ext>
      </extLst>
    </cfRule>
  </conditionalFormatting>
  <conditionalFormatting sqref="AH11">
    <cfRule type="dataBar" priority="6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{B64E64EB-D3EF-45A7-BE32-A8A36E2A8E9D}</x14:id>
        </ext>
      </extLst>
    </cfRule>
  </conditionalFormatting>
  <conditionalFormatting sqref="AI11">
    <cfRule type="dataBar" priority="6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{64BF2EE3-516C-486D-A7E7-98419AA4DDA6}</x14:id>
        </ext>
      </extLst>
    </cfRule>
  </conditionalFormatting>
  <conditionalFormatting sqref="AG3:AG11">
    <cfRule type="dataBar" priority="6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{CEA4C2F2-9AF7-4B9E-A535-12EB3EB61AC0}</x14:id>
        </ext>
      </extLst>
    </cfRule>
  </conditionalFormatting>
  <conditionalFormatting sqref="AH3:AH11">
    <cfRule type="dataBar" priority="60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{122C97C9-FA08-4B76-BEE2-460C8CC64E2E}</x14:id>
        </ext>
      </extLst>
    </cfRule>
  </conditionalFormatting>
  <conditionalFormatting sqref="AI3:AI11">
    <cfRule type="dataBar" priority="6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{0CF6FC66-92AD-49E6-B9D4-9227295BB4F5}</x14:id>
        </ext>
      </extLst>
    </cfRule>
  </conditionalFormatting>
  <conditionalFormatting sqref="M23">
    <cfRule type="dataBar" priority="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{0E648BEB-831B-4DBE-8597-6D4E8CF9C5E9}</x14:id>
        </ext>
      </extLst>
    </cfRule>
    <cfRule type="dataBar" priority="6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{F322B6CB-AC85-4F85-9597-ED139280F923}</x14:id>
        </ext>
      </extLst>
    </cfRule>
  </conditionalFormatting>
  <conditionalFormatting sqref="N23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{701AD9E1-8D24-41DC-9D94-BA88FD4158E4}</x14:id>
        </ext>
      </extLst>
    </cfRule>
    <cfRule type="dataBar" priority="6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{2CA6DA20-676E-4651-91D4-1B6EFD4A00CB}</x14:id>
        </ext>
      </extLst>
    </cfRule>
  </conditionalFormatting>
  <conditionalFormatting sqref="M23">
    <cfRule type="dataBar" priority="5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{AB688951-C2BB-4D97-93E4-02FA915F6106}</x14:id>
        </ext>
      </extLst>
    </cfRule>
  </conditionalFormatting>
  <conditionalFormatting sqref="N23">
    <cfRule type="dataBar" priority="5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{6BDE5A4F-8EC7-4ECF-9155-31EF214E5761}</x14:id>
        </ext>
      </extLst>
    </cfRule>
  </conditionalFormatting>
  <conditionalFormatting sqref="K23">
    <cfRule type="dataBar" priority="5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{1A7F1538-8766-4465-AC40-44B8D556D67E}</x14:id>
        </ext>
      </extLst>
    </cfRule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{4549A50B-9E42-47D1-A20F-30D72E91344F}</x14:id>
        </ext>
      </extLst>
    </cfRule>
  </conditionalFormatting>
  <conditionalFormatting sqref="K23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{57D58FF4-84A8-4474-9CB7-7288885B5A12}</x14:id>
        </ext>
      </extLst>
    </cfRule>
  </conditionalFormatting>
  <conditionalFormatting sqref="K23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{7E39A10F-C8B1-42F0-80EA-83192865C209}</x14:id>
        </ext>
      </extLst>
    </cfRule>
  </conditionalFormatting>
  <conditionalFormatting sqref="M23">
    <cfRule type="dataBar" priority="5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{91AE65B3-5FA5-4A60-91D7-163F8394065F}</x14:id>
        </ext>
      </extLst>
    </cfRule>
  </conditionalFormatting>
  <conditionalFormatting sqref="N23">
    <cfRule type="dataBar" priority="5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{210CC62E-DAE8-4A4A-9522-26B015C84A59}</x14:id>
        </ext>
      </extLst>
    </cfRule>
  </conditionalFormatting>
  <conditionalFormatting sqref="M23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{D9AC2347-A4DC-4A01-ABFD-1F3C06FB2C59}</x14:id>
        </ext>
      </extLst>
    </cfRule>
  </conditionalFormatting>
  <conditionalFormatting sqref="N23">
    <cfRule type="dataBar" priority="5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{799F382C-52ED-4C0F-8695-89557398C31D}</x14:id>
        </ext>
      </extLst>
    </cfRule>
  </conditionalFormatting>
  <conditionalFormatting sqref="K23">
    <cfRule type="dataBar" priority="5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{E0B66205-B94D-4606-9BBE-4167AC67C542}</x14:id>
        </ext>
      </extLst>
    </cfRule>
  </conditionalFormatting>
  <conditionalFormatting sqref="K23">
    <cfRule type="dataBar" priority="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{01A374F8-C267-4ACD-83A9-103B19B053DD}</x14:id>
        </ext>
      </extLst>
    </cfRule>
  </conditionalFormatting>
  <conditionalFormatting sqref="M23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{30EF7BD0-9CF2-4857-AC7F-E335BD0F615E}</x14:id>
        </ext>
      </extLst>
    </cfRule>
  </conditionalFormatting>
  <conditionalFormatting sqref="N23">
    <cfRule type="dataBar" priority="5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{BC6BC46E-4BC0-4F50-9A52-620C83554BA1}</x14:id>
        </ext>
      </extLst>
    </cfRule>
  </conditionalFormatting>
  <conditionalFormatting sqref="K23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{24A018C2-8B3D-493A-94C3-D1AE4614A21C}</x14:id>
        </ext>
      </extLst>
    </cfRule>
  </conditionalFormatting>
  <conditionalFormatting sqref="M23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{CC4FBF15-16F8-48D0-9A91-F4DF282DDDA0}</x14:id>
        </ext>
      </extLst>
    </cfRule>
  </conditionalFormatting>
  <conditionalFormatting sqref="N23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{A9AA7BF1-C5AC-4CC4-87CD-E935402D8D0C}</x14:id>
        </ext>
      </extLst>
    </cfRule>
  </conditionalFormatting>
  <conditionalFormatting sqref="M23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{FD70E903-A0BE-4D2F-A32F-0D29E6670551}</x14:id>
        </ext>
      </extLst>
    </cfRule>
  </conditionalFormatting>
  <conditionalFormatting sqref="N23">
    <cfRule type="dataBar" priority="6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{BDE1D3C8-D49B-4356-A7E3-0B0B2B2B170F}</x14:id>
        </ext>
      </extLst>
    </cfRule>
  </conditionalFormatting>
  <conditionalFormatting sqref="K23">
    <cfRule type="dataBar" priority="6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{419ED37D-B3CD-4107-BDDF-EEBC5B980DB8}</x14:id>
        </ext>
      </extLst>
    </cfRule>
  </conditionalFormatting>
  <conditionalFormatting sqref="M24"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{D0F729AF-06D8-47F6-9148-2FBC4F1B5375}</x14:id>
        </ext>
      </extLst>
    </cfRule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{1413FB69-7F39-4131-A481-44892E5747EE}</x14:id>
        </ext>
      </extLst>
    </cfRule>
  </conditionalFormatting>
  <conditionalFormatting sqref="N24">
    <cfRule type="dataBar" priority="5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{5C901BD9-B3E1-4439-9915-6FDF52D27B69}</x14:id>
        </ext>
      </extLst>
    </cfRule>
    <cfRule type="dataBar" priority="5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{90FB69EA-75B6-444D-9BCE-5F523C9853EC}</x14:id>
        </ext>
      </extLst>
    </cfRule>
  </conditionalFormatting>
  <conditionalFormatting sqref="M24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{92ABB77F-C825-4397-930F-BD22749A49CA}</x14:id>
        </ext>
      </extLst>
    </cfRule>
  </conditionalFormatting>
  <conditionalFormatting sqref="N24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{EFE1B7E6-1BED-4E82-A5FC-9CD00CE6A3A0}</x14:id>
        </ext>
      </extLst>
    </cfRule>
  </conditionalFormatting>
  <conditionalFormatting sqref="K24">
    <cfRule type="dataBar" priority="5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{65F7C0EF-5E14-4294-B3FA-8E4199088979}</x14:id>
        </ext>
      </extLst>
    </cfRule>
    <cfRule type="dataBar" priority="5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{0C0F9AC9-ABD1-405B-B8E7-EF3D311C17E1}</x14:id>
        </ext>
      </extLst>
    </cfRule>
  </conditionalFormatting>
  <conditionalFormatting sqref="K24">
    <cfRule type="dataBar" priority="5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{8F5585AF-680C-433B-A31A-A52C467CCCF4}</x14:id>
        </ext>
      </extLst>
    </cfRule>
  </conditionalFormatting>
  <conditionalFormatting sqref="K24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{F5477A52-730C-4514-ABD5-6ED8ED7BF945}</x14:id>
        </ext>
      </extLst>
    </cfRule>
  </conditionalFormatting>
  <conditionalFormatting sqref="M24">
    <cfRule type="dataBar" priority="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{B33A3F83-1D7A-4C54-AC30-CF17DAC8BA10}</x14:id>
        </ext>
      </extLst>
    </cfRule>
  </conditionalFormatting>
  <conditionalFormatting sqref="N24">
    <cfRule type="dataBar" priority="5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{B64FC37A-EC89-4400-A07D-772991F6EE84}</x14:id>
        </ext>
      </extLst>
    </cfRule>
  </conditionalFormatting>
  <conditionalFormatting sqref="M24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{0663B08E-2BE8-4BBA-8BDC-582E366C73BB}</x14:id>
        </ext>
      </extLst>
    </cfRule>
  </conditionalFormatting>
  <conditionalFormatting sqref="N24">
    <cfRule type="dataBar" priority="5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{AECB41FB-D69B-434E-AE36-35983335C91D}</x14:id>
        </ext>
      </extLst>
    </cfRule>
  </conditionalFormatting>
  <conditionalFormatting sqref="K24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{75DD2A6B-0035-42DE-865F-7C8E854078B9}</x14:id>
        </ext>
      </extLst>
    </cfRule>
  </conditionalFormatting>
  <conditionalFormatting sqref="K24"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{5FE3B8B2-9B2A-4694-8CF0-0BFC64C03740}</x14:id>
        </ext>
      </extLst>
    </cfRule>
  </conditionalFormatting>
  <conditionalFormatting sqref="M24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{D557808B-EF80-46B5-B63F-94C4B37CBE69}</x14:id>
        </ext>
      </extLst>
    </cfRule>
  </conditionalFormatting>
  <conditionalFormatting sqref="N24">
    <cfRule type="dataBar" priority="5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{B90B4180-A876-4276-9E77-328E98A80C5A}</x14:id>
        </ext>
      </extLst>
    </cfRule>
  </conditionalFormatting>
  <conditionalFormatting sqref="K24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{96C867AC-A3CE-4881-B9C5-4079DC26CEAB}</x14:id>
        </ext>
      </extLst>
    </cfRule>
  </conditionalFormatting>
  <conditionalFormatting sqref="M24">
    <cfRule type="dataBar" priority="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{1DF698C9-00D5-4A88-9060-A9B5BA4E23D8}</x14:id>
        </ext>
      </extLst>
    </cfRule>
  </conditionalFormatting>
  <conditionalFormatting sqref="N24">
    <cfRule type="dataBar" priority="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{6FC1288B-8929-43E2-B05F-206B95096F83}</x14:id>
        </ext>
      </extLst>
    </cfRule>
  </conditionalFormatting>
  <conditionalFormatting sqref="M24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{AFEA4B97-ABBD-42E5-B994-E9C92E211176}</x14:id>
        </ext>
      </extLst>
    </cfRule>
  </conditionalFormatting>
  <conditionalFormatting sqref="N24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{F6FC399D-E27A-4064-ABF6-5D62342890A9}</x14:id>
        </ext>
      </extLst>
    </cfRule>
  </conditionalFormatting>
  <conditionalFormatting sqref="K24">
    <cfRule type="dataBar" priority="5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{3DCD5FBF-12EC-4C53-A59C-5E85D0E21710}</x14:id>
        </ext>
      </extLst>
    </cfRule>
  </conditionalFormatting>
  <conditionalFormatting sqref="AG12">
    <cfRule type="dataBar" priority="5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{2785042C-DA97-4532-A5C7-9374A366F8B2}</x14:id>
        </ext>
      </extLst>
    </cfRule>
  </conditionalFormatting>
  <conditionalFormatting sqref="AG12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{ADD561B2-8D3C-445F-9B5D-123191C8FC99}</x14:id>
        </ext>
      </extLst>
    </cfRule>
    <cfRule type="dataBar" priority="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{30AC671D-CA8A-4432-A174-34A025828AA6}</x14:id>
        </ext>
      </extLst>
    </cfRule>
  </conditionalFormatting>
  <conditionalFormatting sqref="AH12">
    <cfRule type="dataBar" priority="5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{C7B42362-940C-43E0-AD2B-CBA0C8C2D1C1}</x14:id>
        </ext>
      </extLst>
    </cfRule>
  </conditionalFormatting>
  <conditionalFormatting sqref="AH12">
    <cfRule type="dataBar" priority="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{42D44551-3BCE-4059-B775-352F68F42BA3}</x14:id>
        </ext>
      </extLst>
    </cfRule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{C713702D-1E60-405B-9C2C-8F68D577B718}</x14:id>
        </ext>
      </extLst>
    </cfRule>
  </conditionalFormatting>
  <conditionalFormatting sqref="AI12">
    <cfRule type="dataBar" priority="5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{AFD4D2D0-FD5A-4BE0-81FA-0CCC17D09967}</x14:id>
        </ext>
      </extLst>
    </cfRule>
  </conditionalFormatting>
  <conditionalFormatting sqref="AI12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{FB479F3B-C2FF-4CA0-8338-4FAAAF5EC851}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{852CC69B-5CB3-482E-92D4-D3086FEF73DA}</x14:id>
        </ext>
      </extLst>
    </cfRule>
  </conditionalFormatting>
  <conditionalFormatting sqref="AG12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{FDE01807-7AEE-4CDC-8C34-4198E210F58C}</x14:id>
        </ext>
      </extLst>
    </cfRule>
  </conditionalFormatting>
  <conditionalFormatting sqref="AH12">
    <cfRule type="dataBar" priority="5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{55F14A9D-05F7-40CD-B993-D0F1F2B16066}</x14:id>
        </ext>
      </extLst>
    </cfRule>
  </conditionalFormatting>
  <conditionalFormatting sqref="AI12">
    <cfRule type="dataBar" priority="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{2D90B763-C650-4683-9C1F-8632CADDC760}</x14:id>
        </ext>
      </extLst>
    </cfRule>
  </conditionalFormatting>
  <conditionalFormatting sqref="AG12"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{CAE1AD34-083F-4CAE-B7A4-11C0FA95952C}</x14:id>
        </ext>
      </extLst>
    </cfRule>
  </conditionalFormatting>
  <conditionalFormatting sqref="AH12">
    <cfRule type="dataBar" priority="5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{56378F69-4808-40E8-A027-7C73ABAFB717}</x14:id>
        </ext>
      </extLst>
    </cfRule>
  </conditionalFormatting>
  <conditionalFormatting sqref="AI12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{2A498A2F-8D1B-44A0-80FC-A70FB9E0D853}</x14:id>
        </ext>
      </extLst>
    </cfRule>
  </conditionalFormatting>
  <conditionalFormatting sqref="AG12">
    <cfRule type="dataBar" priority="5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{B43E3F9C-3E15-475A-AEA8-FB33E829BF18}</x14:id>
        </ext>
      </extLst>
    </cfRule>
  </conditionalFormatting>
  <conditionalFormatting sqref="AH12">
    <cfRule type="dataBar" priority="5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{3F256EEF-E13C-4EFD-AB3A-2CF5F57BDE1E}</x14:id>
        </ext>
      </extLst>
    </cfRule>
  </conditionalFormatting>
  <conditionalFormatting sqref="AI12">
    <cfRule type="dataBar" priority="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{C7B500A9-9CB0-497D-A287-FA7186BBA8BC}</x14:id>
        </ext>
      </extLst>
    </cfRule>
  </conditionalFormatting>
  <conditionalFormatting sqref="AG12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{489B2EEF-DCBD-4F20-894B-E85CD0AF1F46}</x14:id>
        </ext>
      </extLst>
    </cfRule>
  </conditionalFormatting>
  <conditionalFormatting sqref="AG12:AI12">
    <cfRule type="dataBar" priority="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{4F5DC8CC-5BFB-4CC4-B1BE-5735FAD75E6E}</x14:id>
        </ext>
      </extLst>
    </cfRule>
  </conditionalFormatting>
  <conditionalFormatting sqref="AG12">
    <cfRule type="dataBar" priority="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{595AE026-D616-47DD-AC13-860A03884274}</x14:id>
        </ext>
      </extLst>
    </cfRule>
  </conditionalFormatting>
  <conditionalFormatting sqref="AH12">
    <cfRule type="dataBar" priority="5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{2E6F236A-B8A3-46DE-9FA6-DBDB3FAF4A5B}</x14:id>
        </ext>
      </extLst>
    </cfRule>
  </conditionalFormatting>
  <conditionalFormatting sqref="AI12">
    <cfRule type="dataBar" priority="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{AD9E0768-9A19-49B0-9C87-F2C29948F5A0}</x14:id>
        </ext>
      </extLst>
    </cfRule>
  </conditionalFormatting>
  <conditionalFormatting sqref="AG12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{8914C9A8-157F-4868-88A2-3789528E4863}</x14:id>
        </ext>
      </extLst>
    </cfRule>
  </conditionalFormatting>
  <conditionalFormatting sqref="AH12">
    <cfRule type="dataBar" priority="5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{A6B32756-A62A-4174-8495-5565395DB779}</x14:id>
        </ext>
      </extLst>
    </cfRule>
  </conditionalFormatting>
  <conditionalFormatting sqref="AI12">
    <cfRule type="dataBar" priority="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{20AA74EB-22F1-4926-A86B-048A8ACDF009}</x14:id>
        </ext>
      </extLst>
    </cfRule>
  </conditionalFormatting>
  <conditionalFormatting sqref="AG12"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{F91D9D43-E9BA-4FBE-A412-3B26D5100AAB}</x14:id>
        </ext>
      </extLst>
    </cfRule>
  </conditionalFormatting>
  <conditionalFormatting sqref="AH12">
    <cfRule type="dataBar" priority="5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{2D184F25-6D56-4E75-9858-9FD43CD2F08C}</x14:id>
        </ext>
      </extLst>
    </cfRule>
  </conditionalFormatting>
  <conditionalFormatting sqref="AI12">
    <cfRule type="dataBar" priority="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{CE0452EE-9723-45AD-B8EC-FC21CDC5BD35}</x14:id>
        </ext>
      </extLst>
    </cfRule>
  </conditionalFormatting>
  <conditionalFormatting sqref="M25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{AF2C527D-4528-43B6-9BFA-F7F9DAB92177}</x14:id>
        </ext>
      </extLst>
    </cfRule>
    <cfRule type="dataBar" priority="5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{23D549F5-C87C-4F0B-8CE8-A904B238EE1D}</x14:id>
        </ext>
      </extLst>
    </cfRule>
  </conditionalFormatting>
  <conditionalFormatting sqref="N25">
    <cfRule type="dataBar" priority="5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{B685EA0F-17AD-4060-84DF-A1D603301A81}</x14:id>
        </ext>
      </extLst>
    </cfRule>
    <cfRule type="dataBar" priority="5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{DD06640E-EB7F-4119-AC97-EB2A2BAE1710}</x14:id>
        </ext>
      </extLst>
    </cfRule>
  </conditionalFormatting>
  <conditionalFormatting sqref="M25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{DBE28843-EBB5-4D2F-B6F2-64B99A589B00}</x14:id>
        </ext>
      </extLst>
    </cfRule>
  </conditionalFormatting>
  <conditionalFormatting sqref="N25">
    <cfRule type="dataBar" priority="5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{01FD533C-1C3B-474F-827B-AEC9030FC00A}</x14:id>
        </ext>
      </extLst>
    </cfRule>
  </conditionalFormatting>
  <conditionalFormatting sqref="K25">
    <cfRule type="dataBar" priority="5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{CF08A895-0AB5-43B3-BC52-54136042E5EC}</x14:id>
        </ext>
      </extLst>
    </cfRule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{17082334-25DA-4A9B-BB11-F7D0DB1925A1}</x14:id>
        </ext>
      </extLst>
    </cfRule>
  </conditionalFormatting>
  <conditionalFormatting sqref="K25">
    <cfRule type="dataBar" priority="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{F54E7532-4C53-4BB7-8855-3B4923DE9FB5}</x14:id>
        </ext>
      </extLst>
    </cfRule>
  </conditionalFormatting>
  <conditionalFormatting sqref="K25">
    <cfRule type="dataBar" priority="5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{2218193A-3CEB-445A-B0A6-A07B8227744B}</x14:id>
        </ext>
      </extLst>
    </cfRule>
  </conditionalFormatting>
  <conditionalFormatting sqref="M25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{79937057-DE0E-4554-877B-B0B5578BEDA0}</x14:id>
        </ext>
      </extLst>
    </cfRule>
  </conditionalFormatting>
  <conditionalFormatting sqref="N25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{68D9A211-D2C2-418C-B644-295990E261F0}</x14:id>
        </ext>
      </extLst>
    </cfRule>
  </conditionalFormatting>
  <conditionalFormatting sqref="M25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{A17FA0CD-9504-4AF1-BF4C-46B777980412}</x14:id>
        </ext>
      </extLst>
    </cfRule>
  </conditionalFormatting>
  <conditionalFormatting sqref="N25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{D1A36D88-1BE6-47BA-A475-40CB19E7ADB5}</x14:id>
        </ext>
      </extLst>
    </cfRule>
  </conditionalFormatting>
  <conditionalFormatting sqref="K25">
    <cfRule type="dataBar" priority="5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{8802637A-25C0-4496-9168-FD3CF8501989}</x14:id>
        </ext>
      </extLst>
    </cfRule>
  </conditionalFormatting>
  <conditionalFormatting sqref="K25"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{40F99BB8-23E3-478E-8BBE-1A04DBF09D42}</x14:id>
        </ext>
      </extLst>
    </cfRule>
  </conditionalFormatting>
  <conditionalFormatting sqref="M25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{8DF1CDB5-6897-44FF-9AC6-08FE504E5643}</x14:id>
        </ext>
      </extLst>
    </cfRule>
  </conditionalFormatting>
  <conditionalFormatting sqref="N25">
    <cfRule type="dataBar" priority="5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{CC70FA09-DC50-49BE-9643-528B743745CB}</x14:id>
        </ext>
      </extLst>
    </cfRule>
  </conditionalFormatting>
  <conditionalFormatting sqref="K25"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{8902ADD8-62DC-4504-9145-F07B6A726AEA}</x14:id>
        </ext>
      </extLst>
    </cfRule>
  </conditionalFormatting>
  <conditionalFormatting sqref="M25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{1DAD9667-82B2-4B96-B231-4FB7722F6CE1}</x14:id>
        </ext>
      </extLst>
    </cfRule>
  </conditionalFormatting>
  <conditionalFormatting sqref="N25">
    <cfRule type="dataBar" priority="5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{8F26D834-7994-477A-B07D-97FBFF25B9C2}</x14:id>
        </ext>
      </extLst>
    </cfRule>
  </conditionalFormatting>
  <conditionalFormatting sqref="M25"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{A8DF3E8E-8A91-43C2-ABEF-85F7CCDD3422}</x14:id>
        </ext>
      </extLst>
    </cfRule>
  </conditionalFormatting>
  <conditionalFormatting sqref="N25">
    <cfRule type="dataBar" priority="5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{098EDB4F-6FBE-4EDB-90C2-0A1EAE934D32}</x14:id>
        </ext>
      </extLst>
    </cfRule>
  </conditionalFormatting>
  <conditionalFormatting sqref="K25"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{EFD55653-6103-44A1-BBEA-A855F853E4AD}</x14:id>
        </ext>
      </extLst>
    </cfRule>
  </conditionalFormatting>
  <conditionalFormatting sqref="M26">
    <cfRule type="dataBar" priority="5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{91EF1E50-DF5D-4719-BF9E-0E349876B130}</x14:id>
        </ext>
      </extLst>
    </cfRule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{7F056AE1-70BC-4E84-ABC9-E0F198FBB6E7}</x14:id>
        </ext>
      </extLst>
    </cfRule>
  </conditionalFormatting>
  <conditionalFormatting sqref="N26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{4ED23F9E-3D7F-4CAF-8C08-9C3B841B5426}</x14:id>
        </ext>
      </extLst>
    </cfRule>
    <cfRule type="dataBar" priority="5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{6DD7774E-86B1-4B41-9E98-2B990B65CF7C}</x14:id>
        </ext>
      </extLst>
    </cfRule>
  </conditionalFormatting>
  <conditionalFormatting sqref="M26">
    <cfRule type="dataBar" priority="4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{3ECF7CD2-3DA0-4790-9B71-DFC7294B97B0}</x14:id>
        </ext>
      </extLst>
    </cfRule>
  </conditionalFormatting>
  <conditionalFormatting sqref="N26">
    <cfRule type="dataBar" priority="4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{7C7F7D69-B121-4180-82B0-679DAE912A8F}</x14:id>
        </ext>
      </extLst>
    </cfRule>
  </conditionalFormatting>
  <conditionalFormatting sqref="K26">
    <cfRule type="dataBar" priority="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{1F3418C4-CC1C-4C40-9AC6-C0FD91E81BFF}</x14:id>
        </ext>
      </extLst>
    </cfRule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{980B5608-98A2-4140-9134-2898EC2FCEB0}</x14:id>
        </ext>
      </extLst>
    </cfRule>
  </conditionalFormatting>
  <conditionalFormatting sqref="K26"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{DABB2A81-3A34-427E-AB21-A1A4377F47D2}</x14:id>
        </ext>
      </extLst>
    </cfRule>
  </conditionalFormatting>
  <conditionalFormatting sqref="K26">
    <cfRule type="dataBar" priority="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{8E0C14B4-2B74-471D-9D75-BC8503632EC7}</x14:id>
        </ext>
      </extLst>
    </cfRule>
  </conditionalFormatting>
  <conditionalFormatting sqref="M26">
    <cfRule type="dataBar" priority="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{6D838026-5B5D-40B7-8CF5-AFD46E409125}</x14:id>
        </ext>
      </extLst>
    </cfRule>
  </conditionalFormatting>
  <conditionalFormatting sqref="N26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{52024D36-9CF3-4A69-BC46-EEFA8618FF5C}</x14:id>
        </ext>
      </extLst>
    </cfRule>
  </conditionalFormatting>
  <conditionalFormatting sqref="M26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{8D38EB39-438C-4A26-AA2B-28BB489EE90D}</x14:id>
        </ext>
      </extLst>
    </cfRule>
  </conditionalFormatting>
  <conditionalFormatting sqref="N26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{1B7A75DB-A15F-476C-B3B6-1B9E76A006DC}</x14:id>
        </ext>
      </extLst>
    </cfRule>
  </conditionalFormatting>
  <conditionalFormatting sqref="K26"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{CD6AB64C-3AAC-4681-8A11-A3106D49FF56}</x14:id>
        </ext>
      </extLst>
    </cfRule>
  </conditionalFormatting>
  <conditionalFormatting sqref="K26">
    <cfRule type="dataBar" priority="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{CD4C6F3D-0996-44AF-B5A7-90ADAF7A26AA}</x14:id>
        </ext>
      </extLst>
    </cfRule>
  </conditionalFormatting>
  <conditionalFormatting sqref="M26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{3718489B-CCBC-40A3-A696-5C4AAACAA16F}</x14:id>
        </ext>
      </extLst>
    </cfRule>
  </conditionalFormatting>
  <conditionalFormatting sqref="N26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{0AD5449D-4EBC-49A6-82CC-3BA196A2EA29}</x14:id>
        </ext>
      </extLst>
    </cfRule>
  </conditionalFormatting>
  <conditionalFormatting sqref="K26"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{FAA334BB-21B0-4FCB-99FB-20B6788BCE22}</x14:id>
        </ext>
      </extLst>
    </cfRule>
  </conditionalFormatting>
  <conditionalFormatting sqref="M26">
    <cfRule type="dataBar" priority="4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{2FBC5F1F-1B35-477A-A764-0D8C199FA2C6}</x14:id>
        </ext>
      </extLst>
    </cfRule>
  </conditionalFormatting>
  <conditionalFormatting sqref="N26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{C77EC120-2028-42E2-AB79-2416D3BBCC41}</x14:id>
        </ext>
      </extLst>
    </cfRule>
  </conditionalFormatting>
  <conditionalFormatting sqref="M26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{544F7E02-B0AB-4FFF-8BF0-576012A1EA13}</x14:id>
        </ext>
      </extLst>
    </cfRule>
  </conditionalFormatting>
  <conditionalFormatting sqref="N26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{971EBC09-746E-40C7-BA84-B03664FFBF2A}</x14:id>
        </ext>
      </extLst>
    </cfRule>
  </conditionalFormatting>
  <conditionalFormatting sqref="K26">
    <cfRule type="dataBar" priority="5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{E78ED4EA-8060-4856-9BFB-91AC8BC94B6B}</x14:id>
        </ext>
      </extLst>
    </cfRule>
  </conditionalFormatting>
  <conditionalFormatting sqref="AG13">
    <cfRule type="dataBar" priority="4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{8AA5F85C-830D-4F91-8456-D9F5477A6DA7}</x14:id>
        </ext>
      </extLst>
    </cfRule>
  </conditionalFormatting>
  <conditionalFormatting sqref="AG13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{24A74CF0-7406-4956-8E63-661AC4F359A5}</x14:id>
        </ext>
      </extLst>
    </cfRule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{F32F28FB-E23E-4A0B-B007-9338AF649F0B}</x14:id>
        </ext>
      </extLst>
    </cfRule>
  </conditionalFormatting>
  <conditionalFormatting sqref="AH13">
    <cfRule type="dataBar" priority="4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{C3A5C031-E31A-4CC3-8B88-156673DA5C55}</x14:id>
        </ext>
      </extLst>
    </cfRule>
  </conditionalFormatting>
  <conditionalFormatting sqref="AH13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{2AB669E9-772F-4231-ADCC-49B352DDDB0F}</x14:id>
        </ext>
      </extLst>
    </cfRule>
    <cfRule type="dataBar" priority="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{9B4EDF55-C900-4589-8C70-8DF8A18B8731}</x14:id>
        </ext>
      </extLst>
    </cfRule>
  </conditionalFormatting>
  <conditionalFormatting sqref="AI13">
    <cfRule type="dataBar" priority="4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{07FF211D-58FB-4C0A-8780-11A3B9D4BD75}</x14:id>
        </ext>
      </extLst>
    </cfRule>
  </conditionalFormatting>
  <conditionalFormatting sqref="AI13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{9630FAA1-8A68-49FE-868F-8656DAE3F04F}</x14:id>
        </ext>
      </extLst>
    </cfRule>
    <cfRule type="dataBar" priority="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{02A8ECAA-387E-4CB7-871C-D7188D1942BE}</x14:id>
        </ext>
      </extLst>
    </cfRule>
  </conditionalFormatting>
  <conditionalFormatting sqref="AG13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{8CF0C7A2-2EF0-4629-B9DC-C49CAC9C894A}</x14:id>
        </ext>
      </extLst>
    </cfRule>
  </conditionalFormatting>
  <conditionalFormatting sqref="AH13">
    <cfRule type="dataBar" priority="4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{327F5BD9-DB9B-47B2-B706-31D369D2CF29}</x14:id>
        </ext>
      </extLst>
    </cfRule>
  </conditionalFormatting>
  <conditionalFormatting sqref="AI13"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{8EE674E2-1F7F-49F9-B79F-4EB5C83D1970}</x14:id>
        </ext>
      </extLst>
    </cfRule>
  </conditionalFormatting>
  <conditionalFormatting sqref="AG13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{6879B9CA-48FB-4094-A245-BD48A32C599A}</x14:id>
        </ext>
      </extLst>
    </cfRule>
  </conditionalFormatting>
  <conditionalFormatting sqref="AH13">
    <cfRule type="dataBar" priority="4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{2EF1D563-DCFA-4B46-827C-A6B91471B2B0}</x14:id>
        </ext>
      </extLst>
    </cfRule>
  </conditionalFormatting>
  <conditionalFormatting sqref="AI13">
    <cfRule type="dataBar" priority="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{AE6735FB-A8E5-4564-B64C-F27C02914E67}</x14:id>
        </ext>
      </extLst>
    </cfRule>
  </conditionalFormatting>
  <conditionalFormatting sqref="AG13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{44A572F0-AD7A-4950-B80F-CB962AAEE9EC}</x14:id>
        </ext>
      </extLst>
    </cfRule>
  </conditionalFormatting>
  <conditionalFormatting sqref="AH13">
    <cfRule type="dataBar" priority="4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{635C30FA-F7E0-479F-88FB-B2426C61C9E0}</x14:id>
        </ext>
      </extLst>
    </cfRule>
  </conditionalFormatting>
  <conditionalFormatting sqref="AI13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{810DCAFD-0D35-4FF3-8159-66AA698B932F}</x14:id>
        </ext>
      </extLst>
    </cfRule>
  </conditionalFormatting>
  <conditionalFormatting sqref="AG13">
    <cfRule type="dataBar" priority="4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{53B75513-93E2-45B6-860A-F440450305D4}</x14:id>
        </ext>
      </extLst>
    </cfRule>
  </conditionalFormatting>
  <conditionalFormatting sqref="AG13:AI13">
    <cfRule type="dataBar" priority="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{9EA98EC6-D361-4314-91BB-B77613D5BABB}</x14:id>
        </ext>
      </extLst>
    </cfRule>
  </conditionalFormatting>
  <conditionalFormatting sqref="AG13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{0501AED1-174C-4642-9296-A0890EE5D60B}</x14:id>
        </ext>
      </extLst>
    </cfRule>
  </conditionalFormatting>
  <conditionalFormatting sqref="AH13">
    <cfRule type="dataBar" priority="4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{70ADF429-2FF1-4F37-A86C-6EDDCA779F51}</x14:id>
        </ext>
      </extLst>
    </cfRule>
  </conditionalFormatting>
  <conditionalFormatting sqref="AI13">
    <cfRule type="dataBar" priority="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{D97D6983-0C1B-4E60-9C2F-F729CEC00A47}</x14:id>
        </ext>
      </extLst>
    </cfRule>
  </conditionalFormatting>
  <conditionalFormatting sqref="AG13">
    <cfRule type="dataBar" priority="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{E1FF7AE1-D0D8-4ACA-AB8F-726597EC4760}</x14:id>
        </ext>
      </extLst>
    </cfRule>
  </conditionalFormatting>
  <conditionalFormatting sqref="AH13">
    <cfRule type="dataBar" priority="4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{867BF441-651D-43F9-9D8F-637C255F2707}</x14:id>
        </ext>
      </extLst>
    </cfRule>
  </conditionalFormatting>
  <conditionalFormatting sqref="AI13">
    <cfRule type="dataBar" priority="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{4DD0716A-4CEC-4D40-A8DA-B57FC66AAC80}</x14:id>
        </ext>
      </extLst>
    </cfRule>
  </conditionalFormatting>
  <conditionalFormatting sqref="AG13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{DBE3B5B5-9E79-474A-8087-2CD320DB8954}</x14:id>
        </ext>
      </extLst>
    </cfRule>
  </conditionalFormatting>
  <conditionalFormatting sqref="AH13">
    <cfRule type="dataBar" priority="4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{BB0E838B-B190-4751-AFF2-844FDFC88732}</x14:id>
        </ext>
      </extLst>
    </cfRule>
  </conditionalFormatting>
  <conditionalFormatting sqref="AI13">
    <cfRule type="dataBar" priority="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{974A6778-8AFC-483B-B2C2-79576835F9E0}</x14:id>
        </ext>
      </extLst>
    </cfRule>
  </conditionalFormatting>
  <conditionalFormatting sqref="M27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{44C988A9-5C07-43C1-B65C-7E9A3AA3FE56}</x14:id>
        </ext>
      </extLst>
    </cfRule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{A86CAC2E-E743-4C7C-A6F1-6D573373B116}</x14:id>
        </ext>
      </extLst>
    </cfRule>
  </conditionalFormatting>
  <conditionalFormatting sqref="N27">
    <cfRule type="dataBar" priority="3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{6F48EDEF-BDF2-410B-B8B3-2BD76F5219DC}</x14:id>
        </ext>
      </extLst>
    </cfRule>
    <cfRule type="dataBar" priority="3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{7E3D6CD7-8C9A-4911-BF15-7DA0D3EAFAB2}</x14:id>
        </ext>
      </extLst>
    </cfRule>
  </conditionalFormatting>
  <conditionalFormatting sqref="M27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{20E8AF7F-D2FC-4326-B075-DE9C437BD4BB}</x14:id>
        </ext>
      </extLst>
    </cfRule>
  </conditionalFormatting>
  <conditionalFormatting sqref="N27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{96029D8A-EC80-4110-8569-C8CC275AF4C4}</x14:id>
        </ext>
      </extLst>
    </cfRule>
  </conditionalFormatting>
  <conditionalFormatting sqref="K27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{E94A9BFA-F4DF-4F04-95E7-7B98C92CE9F4}</x14:id>
        </ext>
      </extLst>
    </cfRule>
    <cfRule type="dataBar" priority="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{65E6288E-51DC-4A18-B9D9-E65A7EFA98FF}</x14:id>
        </ext>
      </extLst>
    </cfRule>
  </conditionalFormatting>
  <conditionalFormatting sqref="K27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{C7BFCA20-13A3-49D5-A575-8DFA29699DA7}</x14:id>
        </ext>
      </extLst>
    </cfRule>
  </conditionalFormatting>
  <conditionalFormatting sqref="K27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{7A18EC2F-EC2D-461D-A071-932D9FD8F41E}</x14:id>
        </ext>
      </extLst>
    </cfRule>
  </conditionalFormatting>
  <conditionalFormatting sqref="M27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{3450C9DD-B627-4455-A212-53C9A8E6A4A8}</x14:id>
        </ext>
      </extLst>
    </cfRule>
  </conditionalFormatting>
  <conditionalFormatting sqref="N27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{2678A37E-B465-40BC-9A2F-2D1CD6C5ACC2}</x14:id>
        </ext>
      </extLst>
    </cfRule>
  </conditionalFormatting>
  <conditionalFormatting sqref="M27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{83B98BF7-356E-4C52-996B-59B594308E68}</x14:id>
        </ext>
      </extLst>
    </cfRule>
  </conditionalFormatting>
  <conditionalFormatting sqref="N27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{11C0E202-DF82-4B27-9032-C85D32F847CA}</x14:id>
        </ext>
      </extLst>
    </cfRule>
  </conditionalFormatting>
  <conditionalFormatting sqref="K27"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{489DB86A-F5EF-4599-A7A6-F88A52A9A248}</x14:id>
        </ext>
      </extLst>
    </cfRule>
  </conditionalFormatting>
  <conditionalFormatting sqref="K27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{EE94B0D8-61B1-4EA3-9C05-44284285A1BB}</x14:id>
        </ext>
      </extLst>
    </cfRule>
  </conditionalFormatting>
  <conditionalFormatting sqref="M27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{69ACA52B-6950-482D-9758-2E3F496D5957}</x14:id>
        </ext>
      </extLst>
    </cfRule>
  </conditionalFormatting>
  <conditionalFormatting sqref="N27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{84742EC1-C3A0-441A-B5B1-A7B547376ABB}</x14:id>
        </ext>
      </extLst>
    </cfRule>
  </conditionalFormatting>
  <conditionalFormatting sqref="K27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{4B22CD15-EF11-402D-B2FD-4136C8FACB0D}</x14:id>
        </ext>
      </extLst>
    </cfRule>
  </conditionalFormatting>
  <conditionalFormatting sqref="M27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{2A53B80A-2710-4138-9327-E408DF6A142B}</x14:id>
        </ext>
      </extLst>
    </cfRule>
  </conditionalFormatting>
  <conditionalFormatting sqref="N27"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{BD79B53C-65B2-4FBB-9FD7-44CAD0B33040}</x14:id>
        </ext>
      </extLst>
    </cfRule>
  </conditionalFormatting>
  <conditionalFormatting sqref="M27">
    <cfRule type="dataBar" priority="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{2FF43247-94E5-47E4-A67B-F7EAF91488BC}</x14:id>
        </ext>
      </extLst>
    </cfRule>
  </conditionalFormatting>
  <conditionalFormatting sqref="N27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{ADBD5F14-149C-4965-BF86-7C949B6F08BB}</x14:id>
        </ext>
      </extLst>
    </cfRule>
  </conditionalFormatting>
  <conditionalFormatting sqref="K27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{4775520A-8C9B-4731-A815-8BE0EFF0F535}</x14:id>
        </ext>
      </extLst>
    </cfRule>
  </conditionalFormatting>
  <conditionalFormatting sqref="M28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{B2506F66-9F94-4029-A11C-A9E1EC66C53F}</x14:id>
        </ext>
      </extLst>
    </cfRule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{AA55A2C0-F78B-4C2B-81B4-A5DC23D5C9D5}</x14:id>
        </ext>
      </extLst>
    </cfRule>
  </conditionalFormatting>
  <conditionalFormatting sqref="N28">
    <cfRule type="dataBar" priority="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{E3E5A71C-F16E-4F4D-9C6D-50EAE6532FD2}</x14:id>
        </ext>
      </extLst>
    </cfRule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{C25B67CF-F775-417F-9BEF-8955ADEEE927}</x14:id>
        </ext>
      </extLst>
    </cfRule>
  </conditionalFormatting>
  <conditionalFormatting sqref="M28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{6A07555E-430E-43AD-9FBF-99EF9082D0FF}</x14:id>
        </ext>
      </extLst>
    </cfRule>
  </conditionalFormatting>
  <conditionalFormatting sqref="N28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{FEF83FC0-859C-46DE-8DB4-449E2CB9A3B4}</x14:id>
        </ext>
      </extLst>
    </cfRule>
  </conditionalFormatting>
  <conditionalFormatting sqref="K28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{821005E8-AAFB-4B78-AD2C-6052B6116248}</x14:id>
        </ext>
      </extLst>
    </cfRule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{AFF9DA7F-1C16-429F-A55D-1CC643E41C4A}</x14:id>
        </ext>
      </extLst>
    </cfRule>
  </conditionalFormatting>
  <conditionalFormatting sqref="K28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{DBB29866-D59B-4A91-AF7C-20F24F747241}</x14:id>
        </ext>
      </extLst>
    </cfRule>
  </conditionalFormatting>
  <conditionalFormatting sqref="K28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{44A2543B-F2A2-418D-AADD-69A4292FEE86}</x14:id>
        </ext>
      </extLst>
    </cfRule>
  </conditionalFormatting>
  <conditionalFormatting sqref="M28">
    <cfRule type="dataBar" priority="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{268DAA89-B414-47B5-A633-7E1C6DDA2385}</x14:id>
        </ext>
      </extLst>
    </cfRule>
  </conditionalFormatting>
  <conditionalFormatting sqref="N28"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{92424EB9-D892-4581-A693-F8077F2ED470}</x14:id>
        </ext>
      </extLst>
    </cfRule>
  </conditionalFormatting>
  <conditionalFormatting sqref="M28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{2EED8B15-24B9-43A5-B489-71996BB5A1E9}</x14:id>
        </ext>
      </extLst>
    </cfRule>
  </conditionalFormatting>
  <conditionalFormatting sqref="N28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{B96EDE1B-3A65-4ACE-9E60-F3CC27560EDF}</x14:id>
        </ext>
      </extLst>
    </cfRule>
  </conditionalFormatting>
  <conditionalFormatting sqref="K28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{5943BFB3-E9D3-4E3D-A853-6E9C79A89E97}</x14:id>
        </ext>
      </extLst>
    </cfRule>
  </conditionalFormatting>
  <conditionalFormatting sqref="K28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{D3C79E63-74BC-48CB-B283-87764F5CD903}</x14:id>
        </ext>
      </extLst>
    </cfRule>
  </conditionalFormatting>
  <conditionalFormatting sqref="M28">
    <cfRule type="dataBar" priority="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{1AED35DC-6CFA-48A2-8513-FE3F9A374A37}</x14:id>
        </ext>
      </extLst>
    </cfRule>
  </conditionalFormatting>
  <conditionalFormatting sqref="N28"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{F4A5933D-1C2F-41A4-BA5F-1E521EC2CD49}</x14:id>
        </ext>
      </extLst>
    </cfRule>
  </conditionalFormatting>
  <conditionalFormatting sqref="K28">
    <cfRule type="dataBar" priority="3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{4738E92A-06E6-4338-8DC4-F8534E2EF96D}</x14:id>
        </ext>
      </extLst>
    </cfRule>
  </conditionalFormatting>
  <conditionalFormatting sqref="M28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{0C9851FE-6C7D-42F5-B2A5-E9AC45665BD5}</x14:id>
        </ext>
      </extLst>
    </cfRule>
  </conditionalFormatting>
  <conditionalFormatting sqref="N28"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{A15E9DC6-D40F-4136-982B-38BFA1F7BC34}</x14:id>
        </ext>
      </extLst>
    </cfRule>
  </conditionalFormatting>
  <conditionalFormatting sqref="M28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{62CE0484-56D0-45C9-BA14-5C3C7433A273}</x14:id>
        </ext>
      </extLst>
    </cfRule>
  </conditionalFormatting>
  <conditionalFormatting sqref="N28">
    <cfRule type="dataBar" priority="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{166F1808-E6B1-4B31-B69C-6FAFCE37F48E}</x14:id>
        </ext>
      </extLst>
    </cfRule>
  </conditionalFormatting>
  <conditionalFormatting sqref="K28"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{CAE3A286-A3BF-43E8-B3C5-91B6A3FDB0D8}</x14:id>
        </ext>
      </extLst>
    </cfRule>
  </conditionalFormatting>
  <conditionalFormatting sqref="M29"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{F1B929C5-F0E4-485F-8F49-B532126F896D}</x14:id>
        </ext>
      </extLst>
    </cfRule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{2ABE34B1-DA69-480B-86B0-E2F802F3CC49}</x14:id>
        </ext>
      </extLst>
    </cfRule>
  </conditionalFormatting>
  <conditionalFormatting sqref="N29">
    <cfRule type="dataBar" priority="3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{FA178CDD-2F47-49DB-B6E7-36A4E50256A8}</x14:id>
        </ext>
      </extLst>
    </cfRule>
    <cfRule type="dataBar" priority="3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{E1D57F0D-D9C9-4CF0-A1C6-9D0625C5E529}</x14:id>
        </ext>
      </extLst>
    </cfRule>
  </conditionalFormatting>
  <conditionalFormatting sqref="M29">
    <cfRule type="dataBar" priority="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{3BCD24B5-A5E2-4494-BA86-F2A2B6A431C8}</x14:id>
        </ext>
      </extLst>
    </cfRule>
  </conditionalFormatting>
  <conditionalFormatting sqref="N29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{1A048B57-1D0A-4369-A857-B5A3F5FC1E0A}</x14:id>
        </ext>
      </extLst>
    </cfRule>
  </conditionalFormatting>
  <conditionalFormatting sqref="K29"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{5F86DA9F-7327-412A-A74F-744AA1B0D503}</x14:id>
        </ext>
      </extLst>
    </cfRule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{15611808-BF7A-4D66-A5FA-1F10CD6FBF7A}</x14:id>
        </ext>
      </extLst>
    </cfRule>
  </conditionalFormatting>
  <conditionalFormatting sqref="K29">
    <cfRule type="dataBar" priority="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{AB8B9FF3-591F-4D24-B312-46A131B84AE2}</x14:id>
        </ext>
      </extLst>
    </cfRule>
  </conditionalFormatting>
  <conditionalFormatting sqref="K29">
    <cfRule type="dataBar" priority="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{84CCA92A-9CA3-47BD-BD83-8F8670725B58}</x14:id>
        </ext>
      </extLst>
    </cfRule>
  </conditionalFormatting>
  <conditionalFormatting sqref="M29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{305E559C-9B6D-441C-804A-5517137985C1}</x14:id>
        </ext>
      </extLst>
    </cfRule>
  </conditionalFormatting>
  <conditionalFormatting sqref="N29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{49C359E7-705F-46A2-AB4D-0983035C082A}</x14:id>
        </ext>
      </extLst>
    </cfRule>
  </conditionalFormatting>
  <conditionalFormatting sqref="M29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{F9B4ECA8-5E3D-4D9E-8F9B-FB8DFFCC1466}</x14:id>
        </ext>
      </extLst>
    </cfRule>
  </conditionalFormatting>
  <conditionalFormatting sqref="N29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{7896BAAD-5B57-4AEE-920D-4F62EACB131E}</x14:id>
        </ext>
      </extLst>
    </cfRule>
  </conditionalFormatting>
  <conditionalFormatting sqref="K29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{9D7DF793-066E-420D-B974-1E38CC42E514}</x14:id>
        </ext>
      </extLst>
    </cfRule>
  </conditionalFormatting>
  <conditionalFormatting sqref="K29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{9429F7A3-E59B-4A4B-8DF0-589A45141ABB}</x14:id>
        </ext>
      </extLst>
    </cfRule>
  </conditionalFormatting>
  <conditionalFormatting sqref="M29">
    <cfRule type="dataBar" priority="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{CFF46FCF-080F-457E-8240-5004EF2202E6}</x14:id>
        </ext>
      </extLst>
    </cfRule>
  </conditionalFormatting>
  <conditionalFormatting sqref="N29"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{C2EB294A-FD16-4B55-8D91-B3CFD0A17C4A}</x14:id>
        </ext>
      </extLst>
    </cfRule>
  </conditionalFormatting>
  <conditionalFormatting sqref="K29"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{D97E1820-BE19-4634-B938-F74E7472D61E}</x14:id>
        </ext>
      </extLst>
    </cfRule>
  </conditionalFormatting>
  <conditionalFormatting sqref="M29"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{E52328CB-1E81-4BE9-BCCE-CFF8B8A24752}</x14:id>
        </ext>
      </extLst>
    </cfRule>
  </conditionalFormatting>
  <conditionalFormatting sqref="N29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{3A409C4E-148C-406F-A3A8-26E479A57C36}</x14:id>
        </ext>
      </extLst>
    </cfRule>
  </conditionalFormatting>
  <conditionalFormatting sqref="M29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{514F06F4-7BD5-4786-BD77-86C2CC06F03B}</x14:id>
        </ext>
      </extLst>
    </cfRule>
  </conditionalFormatting>
  <conditionalFormatting sqref="N29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{4BDFD51B-5F53-462F-AFED-A2306071CD11}</x14:id>
        </ext>
      </extLst>
    </cfRule>
  </conditionalFormatting>
  <conditionalFormatting sqref="K29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{268DD3C5-B13F-433F-AE8B-2F223F3C09BB}</x14:id>
        </ext>
      </extLst>
    </cfRule>
  </conditionalFormatting>
  <conditionalFormatting sqref="M30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{F5BCA6B4-1D70-4514-809B-EFE76044C5E6}</x14:id>
        </ext>
      </extLst>
    </cfRule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{638D7FB7-9CF9-4103-815C-40CB2F91B48F}</x14:id>
        </ext>
      </extLst>
    </cfRule>
  </conditionalFormatting>
  <conditionalFormatting sqref="N30">
    <cfRule type="dataBar" priority="2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{CEB70277-441B-4754-A5A7-888BE0F25A93}</x14:id>
        </ext>
      </extLst>
    </cfRule>
    <cfRule type="dataBar" priority="2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{F0450253-6FDA-452B-A9B7-CEB11B5E9323}</x14:id>
        </ext>
      </extLst>
    </cfRule>
  </conditionalFormatting>
  <conditionalFormatting sqref="M30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{6895DAFF-405E-41B9-AAEC-75DF463EFBFC}</x14:id>
        </ext>
      </extLst>
    </cfRule>
  </conditionalFormatting>
  <conditionalFormatting sqref="N30"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{42B77CC1-5123-49D3-82BB-BBDABAB07E06}</x14:id>
        </ext>
      </extLst>
    </cfRule>
  </conditionalFormatting>
  <conditionalFormatting sqref="K30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{9EF67241-F510-43AA-A8F9-6C594DDBA6F1}</x14:id>
        </ext>
      </extLst>
    </cfRule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{97588891-B091-4C1D-A865-0303ACA99C4F}</x14:id>
        </ext>
      </extLst>
    </cfRule>
  </conditionalFormatting>
  <conditionalFormatting sqref="K30">
    <cfRule type="dataBar" priority="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{B494D0B2-5CD3-48FF-81D2-E29F802D9BB3}</x14:id>
        </ext>
      </extLst>
    </cfRule>
  </conditionalFormatting>
  <conditionalFormatting sqref="K30">
    <cfRule type="dataBar" priority="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{7D113ED9-0D58-40F5-831F-DABA92B88193}</x14:id>
        </ext>
      </extLst>
    </cfRule>
  </conditionalFormatting>
  <conditionalFormatting sqref="M30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{DD87FF70-7015-4D33-AB7E-E6AE054E9C9A}</x14:id>
        </ext>
      </extLst>
    </cfRule>
  </conditionalFormatting>
  <conditionalFormatting sqref="N30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{30FC67A9-E3D3-480F-9149-3C7DB6D869BF}</x14:id>
        </ext>
      </extLst>
    </cfRule>
  </conditionalFormatting>
  <conditionalFormatting sqref="M30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{C98EF4FF-F61D-4A77-8F81-1318FACF790E}</x14:id>
        </ext>
      </extLst>
    </cfRule>
  </conditionalFormatting>
  <conditionalFormatting sqref="N30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{D54F5326-F4C0-41BC-ABF4-F8101718D233}</x14:id>
        </ext>
      </extLst>
    </cfRule>
  </conditionalFormatting>
  <conditionalFormatting sqref="K30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{29D46D96-E1C2-46EB-82EB-7F94A6F4AB33}</x14:id>
        </ext>
      </extLst>
    </cfRule>
  </conditionalFormatting>
  <conditionalFormatting sqref="K30"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{9357F4CC-FD7F-4301-81B5-C6C891A5B1DD}</x14:id>
        </ext>
      </extLst>
    </cfRule>
  </conditionalFormatting>
  <conditionalFormatting sqref="M30"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{20424503-B476-4FC8-95CC-7947BD4B212B}</x14:id>
        </ext>
      </extLst>
    </cfRule>
  </conditionalFormatting>
  <conditionalFormatting sqref="N30">
    <cfRule type="dataBar" priority="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{7E96AB93-DEB2-4113-8F8A-CDBB9D05C32C}</x14:id>
        </ext>
      </extLst>
    </cfRule>
  </conditionalFormatting>
  <conditionalFormatting sqref="K30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{3E522C79-D03B-4F31-B481-9F2DB441AFD2}</x14:id>
        </ext>
      </extLst>
    </cfRule>
  </conditionalFormatting>
  <conditionalFormatting sqref="M30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{9EDDB122-EC58-4793-9AFB-BC32C55A8EA0}</x14:id>
        </ext>
      </extLst>
    </cfRule>
  </conditionalFormatting>
  <conditionalFormatting sqref="N30"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{3710E512-E306-4398-820A-C005915904C1}</x14:id>
        </ext>
      </extLst>
    </cfRule>
  </conditionalFormatting>
  <conditionalFormatting sqref="M30">
    <cfRule type="dataBar" priority="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{BCD77CE0-6962-4C38-8D06-3CC4C2C8A302}</x14:id>
        </ext>
      </extLst>
    </cfRule>
  </conditionalFormatting>
  <conditionalFormatting sqref="N30">
    <cfRule type="dataBar" priority="2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{E7C74F3C-6F2E-46CC-820F-7988D435089C}</x14:id>
        </ext>
      </extLst>
    </cfRule>
  </conditionalFormatting>
  <conditionalFormatting sqref="K30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{E4A602CF-5A07-4CD4-B817-8F54EF53FB6F}</x14:id>
        </ext>
      </extLst>
    </cfRule>
  </conditionalFormatting>
  <conditionalFormatting sqref="AG14">
    <cfRule type="dataBar" priority="2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{0E031E70-1225-4D4D-AD30-88A19BC1C974}</x14:id>
        </ext>
      </extLst>
    </cfRule>
  </conditionalFormatting>
  <conditionalFormatting sqref="AG14">
    <cfRule type="dataBar" priority="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{97AB2B19-37BD-43B9-ADBE-5CDF0C10C863}</x14:id>
        </ext>
      </extLst>
    </cfRule>
    <cfRule type="dataBar" priority="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{BE25BF6A-9444-4C42-9630-40ACA95E1AFB}</x14:id>
        </ext>
      </extLst>
    </cfRule>
  </conditionalFormatting>
  <conditionalFormatting sqref="AH14">
    <cfRule type="dataBar" priority="2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{D24C4D07-A5A7-4C06-B1BC-B95E3A3A4156}</x14:id>
        </ext>
      </extLst>
    </cfRule>
  </conditionalFormatting>
  <conditionalFormatting sqref="AH14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{F8CB9F92-2138-47A5-9807-3A192A8C4867}</x14:id>
        </ext>
      </extLst>
    </cfRule>
    <cfRule type="dataBar" priority="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{7B6C526A-1A6E-47AE-8294-B499C7B3E072}</x14:id>
        </ext>
      </extLst>
    </cfRule>
  </conditionalFormatting>
  <conditionalFormatting sqref="AI14">
    <cfRule type="dataBar" priority="2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{8F49BB16-265C-4199-8D63-1128543A0A4B}</x14:id>
        </ext>
      </extLst>
    </cfRule>
  </conditionalFormatting>
  <conditionalFormatting sqref="AI14">
    <cfRule type="dataBar" priority="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{4BEC6A2E-C4A8-4B52-8637-EDA63C5EFB1E}</x14:id>
        </ext>
      </extLst>
    </cfRule>
    <cfRule type="dataBar" priority="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{C620725A-8089-4197-A1A7-59E508093014}</x14:id>
        </ext>
      </extLst>
    </cfRule>
  </conditionalFormatting>
  <conditionalFormatting sqref="AG14"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{E303482E-817E-4DB2-AC81-8235CED61681}</x14:id>
        </ext>
      </extLst>
    </cfRule>
  </conditionalFormatting>
  <conditionalFormatting sqref="AH14">
    <cfRule type="dataBar" priority="2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{A6A5FD63-F568-4A99-B28B-86E9E780B871}</x14:id>
        </ext>
      </extLst>
    </cfRule>
  </conditionalFormatting>
  <conditionalFormatting sqref="AI14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{526C934D-B4DF-47BB-A0DE-939B8FC7ACA2}</x14:id>
        </ext>
      </extLst>
    </cfRule>
  </conditionalFormatting>
  <conditionalFormatting sqref="AG14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{9DAB50D8-5FA3-4AC0-AA64-FFF61DFDEDD5}</x14:id>
        </ext>
      </extLst>
    </cfRule>
  </conditionalFormatting>
  <conditionalFormatting sqref="AH14">
    <cfRule type="dataBar" priority="2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{7E7660FA-05E6-4828-99AC-954628267DCA}</x14:id>
        </ext>
      </extLst>
    </cfRule>
  </conditionalFormatting>
  <conditionalFormatting sqref="AI14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{760516F6-6F34-4FAB-B48C-17D17BC14891}</x14:id>
        </ext>
      </extLst>
    </cfRule>
  </conditionalFormatting>
  <conditionalFormatting sqref="AG14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{79199C07-39B3-475A-878E-FB8B1E13BDCE}</x14:id>
        </ext>
      </extLst>
    </cfRule>
  </conditionalFormatting>
  <conditionalFormatting sqref="AH14">
    <cfRule type="dataBar" priority="2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{AACA82DE-2C4C-4266-B332-44AF00F7652B}</x14:id>
        </ext>
      </extLst>
    </cfRule>
  </conditionalFormatting>
  <conditionalFormatting sqref="AI14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{9C171AC1-3CE4-424D-9AC5-A0D7C233B89A}</x14:id>
        </ext>
      </extLst>
    </cfRule>
  </conditionalFormatting>
  <conditionalFormatting sqref="AG14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{D25D0CE2-8365-4D60-8700-26C6B1AC9D8E}</x14:id>
        </ext>
      </extLst>
    </cfRule>
  </conditionalFormatting>
  <conditionalFormatting sqref="AG14:AI14">
    <cfRule type="dataBar" priority="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{DFD3C744-78CD-415A-9D93-014E48178DC4}</x14:id>
        </ext>
      </extLst>
    </cfRule>
  </conditionalFormatting>
  <conditionalFormatting sqref="AG14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{27970144-0E87-4336-AC6F-87B6E01CA18A}</x14:id>
        </ext>
      </extLst>
    </cfRule>
  </conditionalFormatting>
  <conditionalFormatting sqref="AH14">
    <cfRule type="dataBar" priority="2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{5452F586-6FC4-40B3-B47A-DDD9028B675A}</x14:id>
        </ext>
      </extLst>
    </cfRule>
  </conditionalFormatting>
  <conditionalFormatting sqref="AI14">
    <cfRule type="dataBar" priority="2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{311BCF19-BD66-4A49-8379-15BD3B3496D8}</x14:id>
        </ext>
      </extLst>
    </cfRule>
  </conditionalFormatting>
  <conditionalFormatting sqref="AG14">
    <cfRule type="dataBar" priority="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{6A99E651-0C7D-4037-A2E1-EBDCBF137989}</x14:id>
        </ext>
      </extLst>
    </cfRule>
  </conditionalFormatting>
  <conditionalFormatting sqref="AH14">
    <cfRule type="dataBar" priority="2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{487D79B8-2E14-480C-B9E2-8070B3E9DA12}</x14:id>
        </ext>
      </extLst>
    </cfRule>
  </conditionalFormatting>
  <conditionalFormatting sqref="AI14">
    <cfRule type="dataBar" priority="2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{B698F47D-6AD3-4725-9729-CD1F07F93E47}</x14:id>
        </ext>
      </extLst>
    </cfRule>
  </conditionalFormatting>
  <conditionalFormatting sqref="AG14"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{A973BC85-C9BD-4E55-AF55-6AA1DD6830C6}</x14:id>
        </ext>
      </extLst>
    </cfRule>
  </conditionalFormatting>
  <conditionalFormatting sqref="AH14">
    <cfRule type="dataBar" priority="2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{DB41795A-721C-42F7-B3F7-1948CCF575B4}</x14:id>
        </ext>
      </extLst>
    </cfRule>
  </conditionalFormatting>
  <conditionalFormatting sqref="AI14">
    <cfRule type="dataBar" priority="2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{42A08C95-9AC7-436A-AD80-8BF0F1FFAE04}</x14:id>
        </ext>
      </extLst>
    </cfRule>
  </conditionalFormatting>
  <conditionalFormatting sqref="AG15">
    <cfRule type="dataBar" priority="2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{5BC96B3B-1580-4A89-BA60-AB32111CCFE1}</x14:id>
        </ext>
      </extLst>
    </cfRule>
  </conditionalFormatting>
  <conditionalFormatting sqref="AG15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{2CF613D8-8819-4A8A-A2EB-C879EF658165}</x14:id>
        </ext>
      </extLst>
    </cfRule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{72A4B99F-33DA-456F-9B8F-B21CB7A67A10}</x14:id>
        </ext>
      </extLst>
    </cfRule>
  </conditionalFormatting>
  <conditionalFormatting sqref="AH15">
    <cfRule type="dataBar" priority="2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{A616F800-8FEA-4B24-8346-4A5879148AC8}</x14:id>
        </ext>
      </extLst>
    </cfRule>
  </conditionalFormatting>
  <conditionalFormatting sqref="AH15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{AC4D07E1-1510-4BE0-A0A4-0BBDD5FA65C1}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{90A3C883-B592-4C8F-A310-4C8267E7C135}</x14:id>
        </ext>
      </extLst>
    </cfRule>
  </conditionalFormatting>
  <conditionalFormatting sqref="AI15">
    <cfRule type="dataBar" priority="2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{3BA204CB-488E-4A1E-96F4-05B37BB65490}</x14:id>
        </ext>
      </extLst>
    </cfRule>
  </conditionalFormatting>
  <conditionalFormatting sqref="AI15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{6F3ED8D8-35F5-41A2-949C-F96EE961500F}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{B1C8068D-5CF6-4A05-9C4F-404A70EA37AA}</x14:id>
        </ext>
      </extLst>
    </cfRule>
  </conditionalFormatting>
  <conditionalFormatting sqref="AG15"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{7014595B-F62E-4EC2-8CFA-C9816D086CC2}</x14:id>
        </ext>
      </extLst>
    </cfRule>
  </conditionalFormatting>
  <conditionalFormatting sqref="AH15">
    <cfRule type="dataBar" priority="2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{A4F66854-5A61-44A7-87F4-75359B98AA05}</x14:id>
        </ext>
      </extLst>
    </cfRule>
  </conditionalFormatting>
  <conditionalFormatting sqref="AI15">
    <cfRule type="dataBar" priority="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{430C6184-08CB-45E1-A4BB-E27E17527B4E}</x14:id>
        </ext>
      </extLst>
    </cfRule>
  </conditionalFormatting>
  <conditionalFormatting sqref="AG15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{79A13EA6-8AD3-4B86-A369-70F4180E8EB4}</x14:id>
        </ext>
      </extLst>
    </cfRule>
  </conditionalFormatting>
  <conditionalFormatting sqref="AH15">
    <cfRule type="dataBar" priority="2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{F9DE765F-4813-42F0-9000-0CC2FD775A24}</x14:id>
        </ext>
      </extLst>
    </cfRule>
  </conditionalFormatting>
  <conditionalFormatting sqref="AI15">
    <cfRule type="dataBar" priority="2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{3770D5E6-4815-43C6-A32D-1E74DEB8AD4A}</x14:id>
        </ext>
      </extLst>
    </cfRule>
  </conditionalFormatting>
  <conditionalFormatting sqref="AG15"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{33C01BAB-7439-414F-94B9-F95BD99FDDDD}</x14:id>
        </ext>
      </extLst>
    </cfRule>
  </conditionalFormatting>
  <conditionalFormatting sqref="AH15">
    <cfRule type="dataBar" priority="2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{9B253508-9722-4479-B498-3963C2FD28A9}</x14:id>
        </ext>
      </extLst>
    </cfRule>
  </conditionalFormatting>
  <conditionalFormatting sqref="AI15"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{3F76C32B-EBB3-48CA-BF90-1BFFB6F35D47}</x14:id>
        </ext>
      </extLst>
    </cfRule>
  </conditionalFormatting>
  <conditionalFormatting sqref="AG15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{FC37F5F5-ECA0-470E-958A-7E2629BC34F2}</x14:id>
        </ext>
      </extLst>
    </cfRule>
  </conditionalFormatting>
  <conditionalFormatting sqref="AG15:AI15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{531F408A-C6A2-42B9-9EAE-B0216C44AD79}</x14:id>
        </ext>
      </extLst>
    </cfRule>
  </conditionalFormatting>
  <conditionalFormatting sqref="AG15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{AAFBB4B1-84C9-4C84-9B6A-8819EA9B36BB}</x14:id>
        </ext>
      </extLst>
    </cfRule>
  </conditionalFormatting>
  <conditionalFormatting sqref="AH15">
    <cfRule type="dataBar" priority="2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{8B396E97-EACC-452E-B24B-641E2D85522C}</x14:id>
        </ext>
      </extLst>
    </cfRule>
  </conditionalFormatting>
  <conditionalFormatting sqref="AI15">
    <cfRule type="dataBar" priority="2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{7F4BEF04-A984-4FCE-AC0C-3BC09798D320}</x14:id>
        </ext>
      </extLst>
    </cfRule>
  </conditionalFormatting>
  <conditionalFormatting sqref="AG15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{48F1461B-B676-4FED-85C4-448C16960787}</x14:id>
        </ext>
      </extLst>
    </cfRule>
  </conditionalFormatting>
  <conditionalFormatting sqref="AH15">
    <cfRule type="dataBar" priority="20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{B9B8E0CA-A4C3-403E-8A0B-3F5D0740DE0F}</x14:id>
        </ext>
      </extLst>
    </cfRule>
  </conditionalFormatting>
  <conditionalFormatting sqref="AI15">
    <cfRule type="dataBar" priority="2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{448CD485-B171-47CA-B9E7-285FE966B469}</x14:id>
        </ext>
      </extLst>
    </cfRule>
  </conditionalFormatting>
  <conditionalFormatting sqref="AG15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{86892E0E-F946-4F9D-AB14-CDDB345ED73F}</x14:id>
        </ext>
      </extLst>
    </cfRule>
  </conditionalFormatting>
  <conditionalFormatting sqref="AH15">
    <cfRule type="dataBar" priority="2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{42A603C2-1534-43F2-AEA8-739CA3B79BE0}</x14:id>
        </ext>
      </extLst>
    </cfRule>
  </conditionalFormatting>
  <conditionalFormatting sqref="AI15">
    <cfRule type="dataBar" priority="2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{0BDE9C10-BBCF-4C55-B46B-94BE6E0BCF6D}</x14:id>
        </ext>
      </extLst>
    </cfRule>
  </conditionalFormatting>
  <conditionalFormatting sqref="M31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{97EE1564-A88E-4D0F-B606-561C40D3A857}</x14:id>
        </ext>
      </extLst>
    </cfRule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{632E05C1-12CD-42D1-A990-58017EBE20B0}</x14:id>
        </ext>
      </extLst>
    </cfRule>
  </conditionalFormatting>
  <conditionalFormatting sqref="N31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{BA8EA50C-406B-4491-A8FC-9536422E94BB}</x14:id>
        </ext>
      </extLst>
    </cfRule>
    <cfRule type="dataBar" priority="1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{C5CE0CCC-2D4E-4C2F-AAD3-90BC0E1AC7BE}</x14:id>
        </ext>
      </extLst>
    </cfRule>
  </conditionalFormatting>
  <conditionalFormatting sqref="M31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{DA5017A0-F456-479A-A157-6532D64E0707}</x14:id>
        </ext>
      </extLst>
    </cfRule>
  </conditionalFormatting>
  <conditionalFormatting sqref="N31">
    <cfRule type="dataBar" priority="1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{A5B78F2F-796F-4E0B-BD37-7B1955361691}</x14:id>
        </ext>
      </extLst>
    </cfRule>
  </conditionalFormatting>
  <conditionalFormatting sqref="K31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{3EDC7BCD-1C54-49A6-9208-73307310D0AB}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{E7DC990B-A956-4E81-9D95-0124DB9B5DA3}</x14:id>
        </ext>
      </extLst>
    </cfRule>
  </conditionalFormatting>
  <conditionalFormatting sqref="K31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{873D39A9-B6C6-4805-AB36-DB28EAF17ED2}</x14:id>
        </ext>
      </extLst>
    </cfRule>
  </conditionalFormatting>
  <conditionalFormatting sqref="K31"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{786928D3-C5A3-40B0-B9FE-9C9A1D4C1E1E}</x14:id>
        </ext>
      </extLst>
    </cfRule>
  </conditionalFormatting>
  <conditionalFormatting sqref="M31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{CCCFAD64-B01D-425C-B0C6-A3C4101A42E4}</x14:id>
        </ext>
      </extLst>
    </cfRule>
  </conditionalFormatting>
  <conditionalFormatting sqref="N31">
    <cfRule type="dataBar" priority="1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{3D60C493-64F6-4733-9AFA-3799C9B1A8B5}</x14:id>
        </ext>
      </extLst>
    </cfRule>
  </conditionalFormatting>
  <conditionalFormatting sqref="M31">
    <cfRule type="dataBar" priority="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{B61ECEC0-E1A1-476D-A58F-497AF9F9A4E5}</x14:id>
        </ext>
      </extLst>
    </cfRule>
  </conditionalFormatting>
  <conditionalFormatting sqref="N31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{7AB2EDA6-AFE4-48DC-8AE1-32CFFC63474E}</x14:id>
        </ext>
      </extLst>
    </cfRule>
  </conditionalFormatting>
  <conditionalFormatting sqref="K31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{046B743C-4382-4A68-A2B5-D8AEDC0AB716}</x14:id>
        </ext>
      </extLst>
    </cfRule>
  </conditionalFormatting>
  <conditionalFormatting sqref="K31"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{BF79F415-50B5-401A-9558-40BBA9ED3E90}</x14:id>
        </ext>
      </extLst>
    </cfRule>
  </conditionalFormatting>
  <conditionalFormatting sqref="M31">
    <cfRule type="dataBar" priority="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{7DCA2E64-D80C-4469-8A63-CFE5CB6A5CEC}</x14:id>
        </ext>
      </extLst>
    </cfRule>
  </conditionalFormatting>
  <conditionalFormatting sqref="N31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{500C6B9D-C62B-4F7C-8B7D-FE0AFD2CF82E}</x14:id>
        </ext>
      </extLst>
    </cfRule>
  </conditionalFormatting>
  <conditionalFormatting sqref="K31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{A340382E-69DF-4489-9555-18652073F244}</x14:id>
        </ext>
      </extLst>
    </cfRule>
  </conditionalFormatting>
  <conditionalFormatting sqref="M31">
    <cfRule type="dataBar" priority="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{C9DBE8E2-66F1-4BA8-8250-03FA24F1A469}</x14:id>
        </ext>
      </extLst>
    </cfRule>
  </conditionalFormatting>
  <conditionalFormatting sqref="N31">
    <cfRule type="dataBar" priority="1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{C3DBED29-E050-41A8-8948-3EAD3EE53DD2}</x14:id>
        </ext>
      </extLst>
    </cfRule>
  </conditionalFormatting>
  <conditionalFormatting sqref="M31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{99DF8B27-76AF-42C5-AE1C-7AF4514199C9}</x14:id>
        </ext>
      </extLst>
    </cfRule>
  </conditionalFormatting>
  <conditionalFormatting sqref="N31"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{36471558-920F-4474-BA66-D8DB91C3EDEA}</x14:id>
        </ext>
      </extLst>
    </cfRule>
  </conditionalFormatting>
  <conditionalFormatting sqref="K31">
    <cfRule type="dataBar" priority="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{B25AEF0D-150D-44D3-9907-1B09F0EF7035}</x14:id>
        </ext>
      </extLst>
    </cfRule>
  </conditionalFormatting>
  <conditionalFormatting sqref="M32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{9CC0C3DA-F6E9-4D12-90A8-4B3535535813}</x14:id>
        </ext>
      </extLst>
    </cfRule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{345A3258-BB33-4802-A737-5CEF860C6652}</x14:id>
        </ext>
      </extLst>
    </cfRule>
  </conditionalFormatting>
  <conditionalFormatting sqref="N32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{80460472-888E-4C4E-B0FE-0D5719B4C443}</x14:id>
        </ext>
      </extLst>
    </cfRule>
    <cfRule type="dataBar" priority="1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{19227EEC-D91A-490D-AA81-5E0D7A82D7F0}</x14:id>
        </ext>
      </extLst>
    </cfRule>
  </conditionalFormatting>
  <conditionalFormatting sqref="M32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{78D133B6-BA31-41F8-B0D3-6616BB283716}</x14:id>
        </ext>
      </extLst>
    </cfRule>
  </conditionalFormatting>
  <conditionalFormatting sqref="N32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{F8D0A93E-249F-4BF5-ADD9-E79C0ADE1419}</x14:id>
        </ext>
      </extLst>
    </cfRule>
  </conditionalFormatting>
  <conditionalFormatting sqref="K32"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{7AC2F2E9-C2B0-4B7F-8254-833D8CF573AF}</x14:id>
        </ext>
      </extLst>
    </cfRule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{F9356113-0591-442A-8DC5-8C5F6B68415F}</x14:id>
        </ext>
      </extLst>
    </cfRule>
  </conditionalFormatting>
  <conditionalFormatting sqref="K32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{77E000EA-A590-473D-AA07-A89EA04BDFDA}</x14:id>
        </ext>
      </extLst>
    </cfRule>
  </conditionalFormatting>
  <conditionalFormatting sqref="K32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{C952C3EF-F017-4C7B-8821-0B35E16C2E55}</x14:id>
        </ext>
      </extLst>
    </cfRule>
  </conditionalFormatting>
  <conditionalFormatting sqref="M32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{D9C1E47D-FF3B-4DA4-B033-5F7390BCE515}</x14:id>
        </ext>
      </extLst>
    </cfRule>
  </conditionalFormatting>
  <conditionalFormatting sqref="N32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{23BD5973-7060-47F8-8F1A-8CF4B936655C}</x14:id>
        </ext>
      </extLst>
    </cfRule>
  </conditionalFormatting>
  <conditionalFormatting sqref="M32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{237C1162-1876-4046-9389-431EC0D86E2D}</x14:id>
        </ext>
      </extLst>
    </cfRule>
  </conditionalFormatting>
  <conditionalFormatting sqref="N32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{16A11201-46AF-434E-A412-702C7FA1A0A9}</x14:id>
        </ext>
      </extLst>
    </cfRule>
  </conditionalFormatting>
  <conditionalFormatting sqref="K32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{8B29FF43-B306-48EA-9EC7-EDA893EAE1B1}</x14:id>
        </ext>
      </extLst>
    </cfRule>
  </conditionalFormatting>
  <conditionalFormatting sqref="K32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{53110886-B19E-43EF-8F22-3FAE52643197}</x14:id>
        </ext>
      </extLst>
    </cfRule>
  </conditionalFormatting>
  <conditionalFormatting sqref="M32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{645406D0-13AB-488A-AE7D-07919C738EE9}</x14:id>
        </ext>
      </extLst>
    </cfRule>
  </conditionalFormatting>
  <conditionalFormatting sqref="N32">
    <cfRule type="dataBar" priority="1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{2DE8DFF8-3B2A-4062-A7EC-F42C9638730D}</x14:id>
        </ext>
      </extLst>
    </cfRule>
  </conditionalFormatting>
  <conditionalFormatting sqref="K32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{934C99BD-B678-429E-A406-A9A65046626A}</x14:id>
        </ext>
      </extLst>
    </cfRule>
  </conditionalFormatting>
  <conditionalFormatting sqref="M32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{CB5C8C29-72AD-423F-B608-679BA1E8FF51}</x14:id>
        </ext>
      </extLst>
    </cfRule>
  </conditionalFormatting>
  <conditionalFormatting sqref="N32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{316EE6DA-D58D-41CE-BC5B-E7E61A5C7114}</x14:id>
        </ext>
      </extLst>
    </cfRule>
  </conditionalFormatting>
  <conditionalFormatting sqref="M32">
    <cfRule type="dataBar" priority="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{27EBA902-C583-4A7E-98EB-DB4A8F9C1236}</x14:id>
        </ext>
      </extLst>
    </cfRule>
  </conditionalFormatting>
  <conditionalFormatting sqref="N32"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{F06CFC4F-C697-4773-B73B-99ED85CFE7A9}</x14:id>
        </ext>
      </extLst>
    </cfRule>
  </conditionalFormatting>
  <conditionalFormatting sqref="K32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{D718728B-C1E3-45CB-A6CE-BBC7C2F13D37}</x14:id>
        </ext>
      </extLst>
    </cfRule>
  </conditionalFormatting>
  <conditionalFormatting sqref="M33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{9A1AFCC6-040D-49F6-9110-343CCEE3D502}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{6FF11F7B-4CD0-4E32-935C-FF12F4743B57}</x14:id>
        </ext>
      </extLst>
    </cfRule>
  </conditionalFormatting>
  <conditionalFormatting sqref="N33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{939D210B-ACB9-4C67-9447-F4FB9B0DEC70}</x14:id>
        </ext>
      </extLst>
    </cfRule>
    <cfRule type="dataBar" priority="1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{7E5085D4-C7EA-4A56-9B8C-5E94ECF10DCB}</x14:id>
        </ext>
      </extLst>
    </cfRule>
  </conditionalFormatting>
  <conditionalFormatting sqref="M33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{89103EED-D0E8-4DA2-BDD6-BAE912BBB62B}</x14:id>
        </ext>
      </extLst>
    </cfRule>
  </conditionalFormatting>
  <conditionalFormatting sqref="N33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{534E3132-83A1-4956-BC25-7B1A9C04446A}</x14:id>
        </ext>
      </extLst>
    </cfRule>
  </conditionalFormatting>
  <conditionalFormatting sqref="K33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{06BE5489-18DF-490D-B788-9BAC04FA23C0}</x14:id>
        </ext>
      </extLst>
    </cfRule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{9C026BC2-8515-4A59-ABBA-2321F899EB2C}</x14:id>
        </ext>
      </extLst>
    </cfRule>
  </conditionalFormatting>
  <conditionalFormatting sqref="K33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{8DAD76C1-C7FC-4AA9-AFF1-263B8851D3C0}</x14:id>
        </ext>
      </extLst>
    </cfRule>
  </conditionalFormatting>
  <conditionalFormatting sqref="K33"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{4B3F2245-7105-48C2-A77A-F4C251E06B14}</x14:id>
        </ext>
      </extLst>
    </cfRule>
  </conditionalFormatting>
  <conditionalFormatting sqref="M33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{3D40F1DB-6EC4-4055-9983-0D5471894D7A}</x14:id>
        </ext>
      </extLst>
    </cfRule>
  </conditionalFormatting>
  <conditionalFormatting sqref="N33">
    <cfRule type="dataBar" priority="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{6BA09D86-1EC7-48AF-BC74-96D1C1E2C320}</x14:id>
        </ext>
      </extLst>
    </cfRule>
  </conditionalFormatting>
  <conditionalFormatting sqref="M33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{459DF694-1E86-4ED3-AD7E-A963771D1613}</x14:id>
        </ext>
      </extLst>
    </cfRule>
  </conditionalFormatting>
  <conditionalFormatting sqref="N33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{6F50FE2F-29F5-4318-AE52-DB77E31B2883}</x14:id>
        </ext>
      </extLst>
    </cfRule>
  </conditionalFormatting>
  <conditionalFormatting sqref="K33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{FE77ABD3-0C45-47FE-899F-DC55FCF0D2EB}</x14:id>
        </ext>
      </extLst>
    </cfRule>
  </conditionalFormatting>
  <conditionalFormatting sqref="K33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{BBE1748E-8AB2-4E5E-9379-A321D25D212E}</x14:id>
        </ext>
      </extLst>
    </cfRule>
  </conditionalFormatting>
  <conditionalFormatting sqref="M33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{2C3B9692-5367-407F-966D-2B7C845332F7}</x14:id>
        </ext>
      </extLst>
    </cfRule>
  </conditionalFormatting>
  <conditionalFormatting sqref="N33">
    <cfRule type="dataBar" priority="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{438A285C-11DA-41FB-9C56-42A3E870710C}</x14:id>
        </ext>
      </extLst>
    </cfRule>
  </conditionalFormatting>
  <conditionalFormatting sqref="K33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{43AA6F87-D32E-4B1A-8DFB-ADF680CF14ED}</x14:id>
        </ext>
      </extLst>
    </cfRule>
  </conditionalFormatting>
  <conditionalFormatting sqref="M33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{755B5C9A-FE31-4C61-9874-1BA1645214F4}</x14:id>
        </ext>
      </extLst>
    </cfRule>
  </conditionalFormatting>
  <conditionalFormatting sqref="N33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{C4A8AA20-E262-4708-9E85-5F89AA93D980}</x14:id>
        </ext>
      </extLst>
    </cfRule>
  </conditionalFormatting>
  <conditionalFormatting sqref="M33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{5D10AB95-3C4B-4F0C-8E29-BD800D3438CA}</x14:id>
        </ext>
      </extLst>
    </cfRule>
  </conditionalFormatting>
  <conditionalFormatting sqref="N33"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{BB293DE9-C6C5-48CF-8BA9-5046EF2259BF}</x14:id>
        </ext>
      </extLst>
    </cfRule>
  </conditionalFormatting>
  <conditionalFormatting sqref="K33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{46FE4B58-168E-496F-8BE0-F48A80391415}</x14:id>
        </ext>
      </extLst>
    </cfRule>
  </conditionalFormatting>
  <conditionalFormatting sqref="M34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{9D0126B0-81A9-4648-8FFF-AA0CEDBE0E34}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{5DB3076D-27B8-473A-8FDD-6E4400819F61}</x14:id>
        </ext>
      </extLst>
    </cfRule>
  </conditionalFormatting>
  <conditionalFormatting sqref="N34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{84C57FA1-4B01-4385-A56D-1048B43CAC40}</x14:id>
        </ext>
      </extLst>
    </cfRule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{58A196A1-7AE0-4F7E-95C2-3FE043D6B5F0}</x14:id>
        </ext>
      </extLst>
    </cfRule>
  </conditionalFormatting>
  <conditionalFormatting sqref="M34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{8D3CEFF8-AC03-4F9F-B82E-CF5AB21FAFF8}</x14:id>
        </ext>
      </extLst>
    </cfRule>
  </conditionalFormatting>
  <conditionalFormatting sqref="N34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{EC5FD38D-BE6E-4A6F-8F24-13D076D109E7}</x14:id>
        </ext>
      </extLst>
    </cfRule>
  </conditionalFormatting>
  <conditionalFormatting sqref="K34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{1B321CEA-E4A6-4A49-89E0-DFA99DF62C9C}</x14:id>
        </ext>
      </extLst>
    </cfRule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{8180DC5B-98D7-415D-8DD2-C0C93E5104F7}</x14:id>
        </ext>
      </extLst>
    </cfRule>
  </conditionalFormatting>
  <conditionalFormatting sqref="K34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{5EFA48BF-4804-4D63-8C59-305EB0E184D3}</x14:id>
        </ext>
      </extLst>
    </cfRule>
  </conditionalFormatting>
  <conditionalFormatting sqref="K3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{9BC59683-C8C7-4471-9F4F-6877152362E9}</x14:id>
        </ext>
      </extLst>
    </cfRule>
  </conditionalFormatting>
  <conditionalFormatting sqref="M34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{B328BC32-435F-4024-B6DB-140A4CAE0162}</x14:id>
        </ext>
      </extLst>
    </cfRule>
  </conditionalFormatting>
  <conditionalFormatting sqref="N34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{2F4551E3-1175-4522-A878-9F6FBAD01C2C}</x14:id>
        </ext>
      </extLst>
    </cfRule>
  </conditionalFormatting>
  <conditionalFormatting sqref="M34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{7B91D71B-95FF-4559-A222-F247D07DB850}</x14:id>
        </ext>
      </extLst>
    </cfRule>
  </conditionalFormatting>
  <conditionalFormatting sqref="N34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{336808B9-6AEC-40DB-A73D-9D0014B98E1E}</x14:id>
        </ext>
      </extLst>
    </cfRule>
  </conditionalFormatting>
  <conditionalFormatting sqref="K34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{6155C56F-09D0-46B7-A29F-5C2F7E5CF564}</x14:id>
        </ext>
      </extLst>
    </cfRule>
  </conditionalFormatting>
  <conditionalFormatting sqref="K34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{CC5CD3C7-8EB9-422E-BEEA-70B7E4FC11CA}</x14:id>
        </ext>
      </extLst>
    </cfRule>
  </conditionalFormatting>
  <conditionalFormatting sqref="M34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{87EC7AC7-14D1-4398-A5BA-AF57C16AD1B2}</x14:id>
        </ext>
      </extLst>
    </cfRule>
  </conditionalFormatting>
  <conditionalFormatting sqref="N34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{D3A3B332-AC8B-4B02-BDD1-8A9FA1C0045F}</x14:id>
        </ext>
      </extLst>
    </cfRule>
  </conditionalFormatting>
  <conditionalFormatting sqref="K34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{CB4DE8BD-4A56-4165-96B9-51675D863531}</x14:id>
        </ext>
      </extLst>
    </cfRule>
  </conditionalFormatting>
  <conditionalFormatting sqref="M34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{24AAB8A5-7A08-4FAE-ABEB-456681BE2751}</x14:id>
        </ext>
      </extLst>
    </cfRule>
  </conditionalFormatting>
  <conditionalFormatting sqref="N34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{EA59267F-B773-4587-A484-722590E90386}</x14:id>
        </ext>
      </extLst>
    </cfRule>
  </conditionalFormatting>
  <conditionalFormatting sqref="M34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{8AEFE903-9952-48AB-A4FA-E4F14CF64BD9}</x14:id>
        </ext>
      </extLst>
    </cfRule>
  </conditionalFormatting>
  <conditionalFormatting sqref="N34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{AFE165DB-941A-4AAE-9D01-97879996C41D}</x14:id>
        </ext>
      </extLst>
    </cfRule>
  </conditionalFormatting>
  <conditionalFormatting sqref="K34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{BACF55B9-630B-4306-BC3C-44BA2E6F980B}</x14:id>
        </ext>
      </extLst>
    </cfRule>
  </conditionalFormatting>
  <conditionalFormatting sqref="AG16">
    <cfRule type="dataBar" priority="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{7740F804-0189-4C1A-B780-8949AA054CFD}</x14:id>
        </ext>
      </extLst>
    </cfRule>
  </conditionalFormatting>
  <conditionalFormatting sqref="AG16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{4A999207-A7FD-4E2A-9B3B-779240D018BA}</x14:id>
        </ext>
      </extLst>
    </cfRule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{6033043B-4E5D-4016-AF7B-1E203EA20B29}</x14:id>
        </ext>
      </extLst>
    </cfRule>
  </conditionalFormatting>
  <conditionalFormatting sqref="AH16">
    <cfRule type="dataBar" priority="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{E8C03599-7F94-412D-89AC-56504C864574}</x14:id>
        </ext>
      </extLst>
    </cfRule>
  </conditionalFormatting>
  <conditionalFormatting sqref="AH16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{18AC045C-9226-449C-867D-A0DA3E6FAE8F}</x14:id>
        </ext>
      </extLst>
    </cfRule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{2988999D-2B67-4437-8BB4-87B9FCE55E7B}</x14:id>
        </ext>
      </extLst>
    </cfRule>
  </conditionalFormatting>
  <conditionalFormatting sqref="AI16">
    <cfRule type="dataBar" priority="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{064B7E81-8830-4ECF-A1C8-EA987E11EB49}</x14:id>
        </ext>
      </extLst>
    </cfRule>
  </conditionalFormatting>
  <conditionalFormatting sqref="AI16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{533CC013-5E7F-4404-A773-52BE5CB5D3AD}</x14:id>
        </ext>
      </extLst>
    </cfRule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{972AAD04-860A-43AE-9E0C-D4B02D5ACE80}</x14:id>
        </ext>
      </extLst>
    </cfRule>
  </conditionalFormatting>
  <conditionalFormatting sqref="AG16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{F70E65E0-0A90-47CD-B203-9C2FA42B0BF2}</x14:id>
        </ext>
      </extLst>
    </cfRule>
  </conditionalFormatting>
  <conditionalFormatting sqref="AH16">
    <cfRule type="dataBar" priority="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{4D7665E4-202E-48BD-A3BC-D59DC9B259F0}</x14:id>
        </ext>
      </extLst>
    </cfRule>
  </conditionalFormatting>
  <conditionalFormatting sqref="AI16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{7AB9204B-C50E-45D3-951E-FE85D0080F68}</x14:id>
        </ext>
      </extLst>
    </cfRule>
  </conditionalFormatting>
  <conditionalFormatting sqref="AG16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{3C8350AD-CE68-49BA-BC33-82C6EB9175F9}</x14:id>
        </ext>
      </extLst>
    </cfRule>
  </conditionalFormatting>
  <conditionalFormatting sqref="AH16">
    <cfRule type="dataBar" priority="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{95E457AE-934E-45AC-A882-F5AF2E8C0A64}</x14:id>
        </ext>
      </extLst>
    </cfRule>
  </conditionalFormatting>
  <conditionalFormatting sqref="AI16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{F06C3656-9647-4943-B3CD-F3B5CBFBC31C}</x14:id>
        </ext>
      </extLst>
    </cfRule>
  </conditionalFormatting>
  <conditionalFormatting sqref="AG16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{50DAD89D-356E-40E8-8F18-39034EE6416E}</x14:id>
        </ext>
      </extLst>
    </cfRule>
  </conditionalFormatting>
  <conditionalFormatting sqref="AH16">
    <cfRule type="dataBar" priority="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{3FC3D27A-3520-43CC-9E5A-D71D646F59F6}</x14:id>
        </ext>
      </extLst>
    </cfRule>
  </conditionalFormatting>
  <conditionalFormatting sqref="AI1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{81D2AF95-A92C-49CF-9057-3E363909AE26}</x14:id>
        </ext>
      </extLst>
    </cfRule>
  </conditionalFormatting>
  <conditionalFormatting sqref="AG16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{D42F3FAA-DD0E-4CA6-9EF8-8582BE5129FB}</x14:id>
        </ext>
      </extLst>
    </cfRule>
  </conditionalFormatting>
  <conditionalFormatting sqref="AG16:AI1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{1B17849A-E50A-4E01-B9CA-B43E1B33161B}</x14:id>
        </ext>
      </extLst>
    </cfRule>
  </conditionalFormatting>
  <conditionalFormatting sqref="AG16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{336789AB-E343-482E-906A-11013B5969D4}</x14:id>
        </ext>
      </extLst>
    </cfRule>
  </conditionalFormatting>
  <conditionalFormatting sqref="AH16">
    <cfRule type="dataBar" priority="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{52600021-21D1-4C65-BECC-664DFCBCC1EF}</x14:id>
        </ext>
      </extLst>
    </cfRule>
  </conditionalFormatting>
  <conditionalFormatting sqref="AI16"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{A6DCD199-0213-42C9-ACC9-A73B32708849}</x14:id>
        </ext>
      </extLst>
    </cfRule>
  </conditionalFormatting>
  <conditionalFormatting sqref="AG1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{9DC2560E-38A5-456A-B40C-5A021588A990}</x14:id>
        </ext>
      </extLst>
    </cfRule>
  </conditionalFormatting>
  <conditionalFormatting sqref="AH1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{68298160-5010-49A4-B070-024688AD6C65}</x14:id>
        </ext>
      </extLst>
    </cfRule>
  </conditionalFormatting>
  <conditionalFormatting sqref="AI16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{5FB8B3E3-7E81-4262-9880-6E921B5EDDDE}</x14:id>
        </ext>
      </extLst>
    </cfRule>
  </conditionalFormatting>
  <conditionalFormatting sqref="AG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{C2AA0967-0B76-4E52-88DC-0C0BC416AAFB}</x14:id>
        </ext>
      </extLst>
    </cfRule>
  </conditionalFormatting>
  <conditionalFormatting sqref="AH16">
    <cfRule type="dataBar" priority="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{AA554151-A60A-4560-954F-13B23E54DA26}</x14:id>
        </ext>
      </extLst>
    </cfRule>
  </conditionalFormatting>
  <conditionalFormatting sqref="AI16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{D671C1B2-F40A-4728-A95D-7783F46533DC}</x14:id>
        </ext>
      </extLst>
    </cfRule>
  </conditionalFormatting>
  <conditionalFormatting sqref="AB7:AB34">
    <cfRule type="dataBar" priority="2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{556A567B-D5DB-43D1-A6C4-22B2493984D7}</x14:id>
        </ext>
      </extLst>
    </cfRule>
  </conditionalFormatting>
  <conditionalFormatting sqref="AC7:AC34">
    <cfRule type="dataBar" priority="2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{A139EE4D-D793-43FE-8DE8-B63D18B04015}</x14:id>
        </ext>
      </extLst>
    </cfRule>
  </conditionalFormatting>
  <conditionalFormatting sqref="AD7:AD34">
    <cfRule type="dataBar" priority="2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{2B5EDC2C-D5A1-4CFA-858A-0A63AF8ACA73}</x14:id>
        </ext>
      </extLst>
    </cfRule>
  </conditionalFormatting>
  <conditionalFormatting sqref="AG17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{B0FF600A-BAD5-4393-927F-CACA5CC01970}</x14:id>
        </ext>
      </extLst>
    </cfRule>
  </conditionalFormatting>
  <conditionalFormatting sqref="AG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{B56ADC2D-5FD1-4012-80C9-F6C30512FBA5}</x14:id>
        </ext>
      </extLst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{C1255488-1F96-46AD-8719-A5EB81405EB2}</x14:id>
        </ext>
      </extLst>
    </cfRule>
  </conditionalFormatting>
  <conditionalFormatting sqref="AH17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{39FC0EF7-FEFB-414A-AEFA-D966F59A2255}</x14:id>
        </ext>
      </extLst>
    </cfRule>
  </conditionalFormatting>
  <conditionalFormatting sqref="AH17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{0E096815-1A8E-41D9-8485-AB730D0885E4}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{8926FF3E-239C-4DF6-AE80-E7867368539B}</x14:id>
        </ext>
      </extLst>
    </cfRule>
  </conditionalFormatting>
  <conditionalFormatting sqref="AI17">
    <cfRule type="dataBar" priority="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{4E324402-5DAA-4CD1-89E1-AC548113142A}</x14:id>
        </ext>
      </extLst>
    </cfRule>
  </conditionalFormatting>
  <conditionalFormatting sqref="AI17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{3DB80637-898B-4AF8-9DB0-71BFE896A337}</x14:id>
        </ext>
      </extLst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{FF064836-79AD-4369-B744-331D65297D94}</x14:id>
        </ext>
      </extLst>
    </cfRule>
  </conditionalFormatting>
  <conditionalFormatting sqref="AG1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{DBC86098-7A7F-40D5-81BD-D74B753336B5}</x14:id>
        </ext>
      </extLst>
    </cfRule>
  </conditionalFormatting>
  <conditionalFormatting sqref="AH17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{2A7869A1-71F7-41B6-84E6-FE6406844EB7}</x14:id>
        </ext>
      </extLst>
    </cfRule>
  </conditionalFormatting>
  <conditionalFormatting sqref="AI1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{0E8867D5-FB66-4B52-9E17-80A8C2064994}</x14:id>
        </ext>
      </extLst>
    </cfRule>
  </conditionalFormatting>
  <conditionalFormatting sqref="AG1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{804DE751-7500-49FD-88D7-E2C68E163CE3}</x14:id>
        </ext>
      </extLst>
    </cfRule>
  </conditionalFormatting>
  <conditionalFormatting sqref="AH17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{9981E01A-4349-427B-AD5B-8BC644F6A8B2}</x14:id>
        </ext>
      </extLst>
    </cfRule>
  </conditionalFormatting>
  <conditionalFormatting sqref="AI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{5FCB5438-2EB8-4093-BAA3-3A1498AD8CBD}</x14:id>
        </ext>
      </extLst>
    </cfRule>
  </conditionalFormatting>
  <conditionalFormatting sqref="AG1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{70D4C980-4567-4AF9-9E69-6529DB7FFDDD}</x14:id>
        </ext>
      </extLst>
    </cfRule>
  </conditionalFormatting>
  <conditionalFormatting sqref="AH17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{0509887D-B380-4B45-90E6-E3E088F95E1E}</x14:id>
        </ext>
      </extLst>
    </cfRule>
  </conditionalFormatting>
  <conditionalFormatting sqref="AI1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{DAED5D79-C74D-4AF2-9CD5-2352873331AF}</x14:id>
        </ext>
      </extLst>
    </cfRule>
  </conditionalFormatting>
  <conditionalFormatting sqref="AG1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{B22E03B5-3F51-401D-A09D-85CA7F2C786D}</x14:id>
        </ext>
      </extLst>
    </cfRule>
  </conditionalFormatting>
  <conditionalFormatting sqref="AG17:AI1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{50C78BE1-52A3-4465-B64E-A7A22B10BFD6}</x14:id>
        </ext>
      </extLst>
    </cfRule>
  </conditionalFormatting>
  <conditionalFormatting sqref="AG1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{0DB90B58-DE85-4FA1-9DAA-A3927517A1A6}</x14:id>
        </ext>
      </extLst>
    </cfRule>
  </conditionalFormatting>
  <conditionalFormatting sqref="AH17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{843DCDDF-343A-48D7-BC2F-C198A199EEE6}</x14:id>
        </ext>
      </extLst>
    </cfRule>
  </conditionalFormatting>
  <conditionalFormatting sqref="AI17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{D2403909-2BBE-4069-B0D5-CCF874ABB031}</x14:id>
        </ext>
      </extLst>
    </cfRule>
  </conditionalFormatting>
  <conditionalFormatting sqref="AG17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{0944E04E-4701-43AB-9F9F-B21592C7AE5B}</x14:id>
        </ext>
      </extLst>
    </cfRule>
  </conditionalFormatting>
  <conditionalFormatting sqref="AH17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{7A5CDCCA-E7C2-4C7E-955A-52D8C408DE3C}</x14:id>
        </ext>
      </extLst>
    </cfRule>
  </conditionalFormatting>
  <conditionalFormatting sqref="AI17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{E86CB84A-4F0F-4E95-BA78-4C2B149A47F6}</x14:id>
        </ext>
      </extLst>
    </cfRule>
  </conditionalFormatting>
  <conditionalFormatting sqref="AG1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{B415DADD-B8B9-4B4E-8BD3-9B795B4A3B3B}</x14:id>
        </ext>
      </extLst>
    </cfRule>
  </conditionalFormatting>
  <conditionalFormatting sqref="AH17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{D75C08D7-AFB4-4CD7-BF4E-35F5D3BDB5A6}</x14:id>
        </ext>
      </extLst>
    </cfRule>
  </conditionalFormatting>
  <conditionalFormatting sqref="AI1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{08F8A88F-03CB-406C-8D64-5AFECE182DDA}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4DB1DF-9703-4E70-99F6-104F3766E4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</xm:sqref>
        </x14:conditionalFormatting>
        <x14:conditionalFormatting xmlns:xm="http://schemas.microsoft.com/office/excel/2006/main">
          <x14:cfRule type="dataBar" id="{320EFA30-DA7B-4B4D-9C33-D9A13F211D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75DC44E-D0C8-4B82-920D-FBCBF0B74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89E0762D-F301-487F-8C0F-FC4ABF0154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9EC1DB-2D51-4E81-AE60-6A72F98E78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94E9500C-DEA0-4769-9A14-6A71652021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9DE5902-A5B3-490A-A34A-5F15B2E2BC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1F88CFB9-067C-4B07-B388-5DD479106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86D08D-5562-4C68-B318-D4C7093248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3D878C94-0FCE-4225-B35D-B1D99E06F9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09173CFD-C8D4-4608-B751-6BBB8B0DB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58FCC015-39B6-4A9E-AE5F-9103D44309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F584C616-4908-4D70-BFEE-A0E503845B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BE1368D2-911F-4AA5-AA9E-6C777798B3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8793B588-56BD-420E-BD25-E8B44F0C3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64E4101A-2839-4971-B853-80D6C83AF6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516CBD26-D7C2-47E7-8058-D47D00611B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97FB4748-696C-4D96-9525-257C68EB61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867FBC6-85EF-40FF-8F1B-97BFE5A5DB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69E49ECF-5B3B-4C7B-9537-286282D3A1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3686F372-AD65-4836-9213-4AC8BEB6B5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92114466-6157-4E05-AD89-EABDE7A5AF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AEE478D8-5FF9-4222-A3A4-0F3373F257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DCBE2F0-328E-45DC-92C9-0290EAD193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92E4378A-531C-4D16-A540-DD24776192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K9</xm:sqref>
        </x14:conditionalFormatting>
        <x14:conditionalFormatting xmlns:xm="http://schemas.microsoft.com/office/excel/2006/main">
          <x14:cfRule type="dataBar" id="{FD357958-786B-42C1-B1EB-DDEAD8E79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AB3:AB6 AB35</xm:sqref>
        </x14:conditionalFormatting>
        <x14:conditionalFormatting xmlns:xm="http://schemas.microsoft.com/office/excel/2006/main">
          <x14:cfRule type="dataBar" id="{CF3586CF-D075-4DEC-B190-C56EFB0F38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AC3:AC6 AC35</xm:sqref>
        </x14:conditionalFormatting>
        <x14:conditionalFormatting xmlns:xm="http://schemas.microsoft.com/office/excel/2006/main">
          <x14:cfRule type="dataBar" id="{686B4650-0639-48A1-9C7C-293C9ED742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AD3:AD6 AD35</xm:sqref>
        </x14:conditionalFormatting>
        <x14:conditionalFormatting xmlns:xm="http://schemas.microsoft.com/office/excel/2006/main">
          <x14:cfRule type="dataBar" id="{0DA599B8-B0BB-4BBC-BBE8-69AD495A6B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FB59E6A-97E8-4B92-BA73-CAF123C42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6187D93-00E0-46BB-B636-21663E0A45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7E176A-D32D-4879-B932-71850A938D9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03D5317C-F4C3-4B99-B63B-8639E5F2D7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C3C3A587-7A79-44D4-A972-0D9C35C026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9FB1D9BA-609B-4DAB-9172-717D70686F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8311B32-E542-4F8A-B9FB-F14A652B0A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C3861BFB-2891-4256-905D-0002CFB409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FBA925F4-E3F1-49CB-BCE6-E52A90EE59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63684DCE-20A1-44BB-AF45-6D54E919A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3623D51-D214-4FA9-8258-7814DC37A5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17B5838F-8DCE-4BF4-A180-350A3496D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150E33B-BE0F-4620-8F86-68B5990BB0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F0FFDF00-F86C-4BC6-AA9E-B891C62E0D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42679908-5B1E-4565-B5C9-19F7D286D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E255896F-C7D5-4F74-AC61-8B26B905F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DE250AD-7E88-4EEF-AA2C-64B51B6BC3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B5FC5CE2-6E2B-43CB-8B88-377CFEE49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9FF82AB5-67DD-4BD6-AD73-9AF7F74C69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65DC6DE2-CEAE-4FA3-A204-D4D2F0A24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14138359-C6E3-4253-A21F-D27A02A33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8A4DBD6-6EBA-4068-A400-EA8C5ECE3C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6A24B686-B7D5-4CAC-9A5A-9C5322C0F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90718BD5-0470-47BF-A956-B5DC6D1F08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AG2</xm:sqref>
        </x14:conditionalFormatting>
        <x14:conditionalFormatting xmlns:xm="http://schemas.microsoft.com/office/excel/2006/main">
          <x14:cfRule type="dataBar" id="{1DF55C52-20AD-4A61-9F00-689DCBA4D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1B5E1B8F-D450-4C0C-A0FF-B6E443A568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10C62201-3743-4787-9209-C992F870080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AG3:AG6</xm:sqref>
        </x14:conditionalFormatting>
        <x14:conditionalFormatting xmlns:xm="http://schemas.microsoft.com/office/excel/2006/main">
          <x14:cfRule type="dataBar" id="{E4AD2C51-B0CD-49A4-851C-8A65CED18C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50338C5-652A-4F61-9EBD-9186164A91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AG3:AG6</xm:sqref>
        </x14:conditionalFormatting>
        <x14:conditionalFormatting xmlns:xm="http://schemas.microsoft.com/office/excel/2006/main">
          <x14:cfRule type="dataBar" id="{7266BF42-BA46-468A-9713-0A0A5E54A5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AH3:AH6 AI4</xm:sqref>
        </x14:conditionalFormatting>
        <x14:conditionalFormatting xmlns:xm="http://schemas.microsoft.com/office/excel/2006/main">
          <x14:cfRule type="dataBar" id="{A19BABBA-BC9F-4729-B25B-47F5A489EC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5DF9AA-659E-4379-A18F-618B8D294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AH3:AH6 AI4</xm:sqref>
        </x14:conditionalFormatting>
        <x14:conditionalFormatting xmlns:xm="http://schemas.microsoft.com/office/excel/2006/main">
          <x14:cfRule type="dataBar" id="{E5C75D80-8C9A-45F2-8E38-179C89137F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AI5:AI6 AI3</xm:sqref>
        </x14:conditionalFormatting>
        <x14:conditionalFormatting xmlns:xm="http://schemas.microsoft.com/office/excel/2006/main">
          <x14:cfRule type="dataBar" id="{E401BC4D-5A80-4C90-BAF0-A45FC4D95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FF3215-1770-43CD-9725-F15F049F65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AI5:AI6 AI3</xm:sqref>
        </x14:conditionalFormatting>
        <x14:conditionalFormatting xmlns:xm="http://schemas.microsoft.com/office/excel/2006/main">
          <x14:cfRule type="dataBar" id="{88E0780E-FF41-4424-91D1-D4584FC4BA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AH18:AH24</xm:sqref>
        </x14:conditionalFormatting>
        <x14:conditionalFormatting xmlns:xm="http://schemas.microsoft.com/office/excel/2006/main">
          <x14:cfRule type="dataBar" id="{3721E392-21EB-4978-BB59-984C444A09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7E3FFE5-CCB3-4CB5-8B8D-81F4312480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AH18:AH24</xm:sqref>
        </x14:conditionalFormatting>
        <x14:conditionalFormatting xmlns:xm="http://schemas.microsoft.com/office/excel/2006/main">
          <x14:cfRule type="dataBar" id="{4A85114D-9BDF-4C71-903F-60C26B56C9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AI18:AI24</xm:sqref>
        </x14:conditionalFormatting>
        <x14:conditionalFormatting xmlns:xm="http://schemas.microsoft.com/office/excel/2006/main">
          <x14:cfRule type="dataBar" id="{DFB5E8D5-8CAE-492E-A273-9978B8513A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648BE2B-C2DE-4703-85D3-0336223E17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AI18:AI24</xm:sqref>
        </x14:conditionalFormatting>
        <x14:conditionalFormatting xmlns:xm="http://schemas.microsoft.com/office/excel/2006/main">
          <x14:cfRule type="dataBar" id="{B1ADA774-84F6-4241-BC8D-4B30D375C24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AG18:AG24</xm:sqref>
        </x14:conditionalFormatting>
        <x14:conditionalFormatting xmlns:xm="http://schemas.microsoft.com/office/excel/2006/main">
          <x14:cfRule type="dataBar" id="{7668DEE5-F257-4125-99F4-F309407078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F0CBF8-8A73-4C40-8D87-31BA0F621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AG18:AG24</xm:sqref>
        </x14:conditionalFormatting>
        <x14:conditionalFormatting xmlns:xm="http://schemas.microsoft.com/office/excel/2006/main">
          <x14:cfRule type="dataBar" id="{77C7244C-D93F-47DA-A1DA-29BABE1365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AG18:AG24</xm:sqref>
        </x14:conditionalFormatting>
        <x14:conditionalFormatting xmlns:xm="http://schemas.microsoft.com/office/excel/2006/main">
          <x14:cfRule type="dataBar" id="{E82BAF62-F590-4621-88DC-1F07786C7F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AG18:AI24</xm:sqref>
        </x14:conditionalFormatting>
        <x14:conditionalFormatting xmlns:xm="http://schemas.microsoft.com/office/excel/2006/main">
          <x14:cfRule type="dataBar" id="{D60F93D9-7E13-4AE5-A8EA-AC880A8375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AI18:AI24</xm:sqref>
        </x14:conditionalFormatting>
        <x14:conditionalFormatting xmlns:xm="http://schemas.microsoft.com/office/excel/2006/main">
          <x14:cfRule type="dataBar" id="{FDEA41C5-1C91-4EFD-9EEF-0A6321E051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AH18:AH24</xm:sqref>
        </x14:conditionalFormatting>
        <x14:conditionalFormatting xmlns:xm="http://schemas.microsoft.com/office/excel/2006/main">
          <x14:cfRule type="dataBar" id="{7F70C611-58C1-4B41-9D5C-50F1A027D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AG3:AG6 AG18:AG24</xm:sqref>
        </x14:conditionalFormatting>
        <x14:conditionalFormatting xmlns:xm="http://schemas.microsoft.com/office/excel/2006/main">
          <x14:cfRule type="dataBar" id="{8AC72486-862A-4E59-9C5B-20CC913C30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AH3:AH6 AH18:AH24</xm:sqref>
        </x14:conditionalFormatting>
        <x14:conditionalFormatting xmlns:xm="http://schemas.microsoft.com/office/excel/2006/main">
          <x14:cfRule type="dataBar" id="{C1F7A5C0-F751-4BB1-B317-C92F0FBEF6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AI3:AI6 AI18:AI24</xm:sqref>
        </x14:conditionalFormatting>
        <x14:conditionalFormatting xmlns:xm="http://schemas.microsoft.com/office/excel/2006/main">
          <x14:cfRule type="dataBar" id="{CF7A64D1-BBEC-46F8-988C-364D55A2FA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AG3:AG6</xm:sqref>
        </x14:conditionalFormatting>
        <x14:conditionalFormatting xmlns:xm="http://schemas.microsoft.com/office/excel/2006/main">
          <x14:cfRule type="dataBar" id="{90B85AB9-2C59-4BD3-A27C-5AD2852FF6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AH3:AH6</xm:sqref>
        </x14:conditionalFormatting>
        <x14:conditionalFormatting xmlns:xm="http://schemas.microsoft.com/office/excel/2006/main">
          <x14:cfRule type="dataBar" id="{6F42C9DB-F82D-41E9-AAAD-ED12C1E454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AI3:AI6</xm:sqref>
        </x14:conditionalFormatting>
        <x14:conditionalFormatting xmlns:xm="http://schemas.microsoft.com/office/excel/2006/main">
          <x14:cfRule type="dataBar" id="{F6CF1AA4-2A75-40C8-8FEE-12FE565A16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AG18:AG24</xm:sqref>
        </x14:conditionalFormatting>
        <x14:conditionalFormatting xmlns:xm="http://schemas.microsoft.com/office/excel/2006/main">
          <x14:cfRule type="dataBar" id="{8F57C32C-520E-42BB-A717-DF4E794875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AH4:AH6 AH18:AH24</xm:sqref>
        </x14:conditionalFormatting>
        <x14:conditionalFormatting xmlns:xm="http://schemas.microsoft.com/office/excel/2006/main">
          <x14:cfRule type="dataBar" id="{F1875276-7C58-4B19-AA00-2CD7CEE868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AI4:AI6 AI18:AI24</xm:sqref>
        </x14:conditionalFormatting>
        <x14:conditionalFormatting xmlns:xm="http://schemas.microsoft.com/office/excel/2006/main">
          <x14:cfRule type="dataBar" id="{1ACC7C32-2E7B-43B6-8AA5-042F65796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AG18:AG24</xm:sqref>
        </x14:conditionalFormatting>
        <x14:conditionalFormatting xmlns:xm="http://schemas.microsoft.com/office/excel/2006/main">
          <x14:cfRule type="dataBar" id="{2C18EC9E-3DDD-41AE-8345-D6DD2590761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AH18:AH24</xm:sqref>
        </x14:conditionalFormatting>
        <x14:conditionalFormatting xmlns:xm="http://schemas.microsoft.com/office/excel/2006/main">
          <x14:cfRule type="dataBar" id="{3CBBC575-3514-4997-B8DC-E601920DDC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AI18:AI24</xm:sqref>
        </x14:conditionalFormatting>
        <x14:conditionalFormatting xmlns:xm="http://schemas.microsoft.com/office/excel/2006/main">
          <x14:cfRule type="dataBar" id="{6A806822-38C8-4AF4-9CE3-44A33CCB10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AG18:AG24</xm:sqref>
        </x14:conditionalFormatting>
        <x14:conditionalFormatting xmlns:xm="http://schemas.microsoft.com/office/excel/2006/main">
          <x14:cfRule type="dataBar" id="{6887CB28-81F2-4CC5-A995-956BEE1C45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AH18:AH24</xm:sqref>
        </x14:conditionalFormatting>
        <x14:conditionalFormatting xmlns:xm="http://schemas.microsoft.com/office/excel/2006/main">
          <x14:cfRule type="dataBar" id="{96612038-C000-4277-A408-DE37F4F088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AI18:AI24</xm:sqref>
        </x14:conditionalFormatting>
        <x14:conditionalFormatting xmlns:xm="http://schemas.microsoft.com/office/excel/2006/main">
          <x14:cfRule type="dataBar" id="{209AA07F-B290-4CF5-9391-AE82A3C531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AG3:AG6</xm:sqref>
        </x14:conditionalFormatting>
        <x14:conditionalFormatting xmlns:xm="http://schemas.microsoft.com/office/excel/2006/main">
          <x14:cfRule type="dataBar" id="{39B19156-7EE9-48E1-8B2D-1B2BDE78C58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AH18:AH24</xm:sqref>
        </x14:conditionalFormatting>
        <x14:conditionalFormatting xmlns:xm="http://schemas.microsoft.com/office/excel/2006/main">
          <x14:cfRule type="dataBar" id="{34A76B8A-11D1-4AEF-AB2F-EDFA6F9F7D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AI18:AI24</xm:sqref>
        </x14:conditionalFormatting>
        <x14:conditionalFormatting xmlns:xm="http://schemas.microsoft.com/office/excel/2006/main">
          <x14:cfRule type="dataBar" id="{E3A2626A-DD3F-4DEA-A2E9-8D713A1C8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AG3:AI6 AG18:AI24</xm:sqref>
        </x14:conditionalFormatting>
        <x14:conditionalFormatting xmlns:xm="http://schemas.microsoft.com/office/excel/2006/main">
          <x14:cfRule type="dataBar" id="{25549DA2-19DD-4924-9626-683FCB15C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AG3:AG6 AG18:AG24</xm:sqref>
        </x14:conditionalFormatting>
        <x14:conditionalFormatting xmlns:xm="http://schemas.microsoft.com/office/excel/2006/main">
          <x14:cfRule type="dataBar" id="{6AF061EE-8251-4FB9-B4A9-FB4885BFC4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AH3:AH6</xm:sqref>
        </x14:conditionalFormatting>
        <x14:conditionalFormatting xmlns:xm="http://schemas.microsoft.com/office/excel/2006/main">
          <x14:cfRule type="dataBar" id="{3770FA61-276A-48CD-9948-CBC28BBAE0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AI3:AI6 AI18:AI24</xm:sqref>
        </x14:conditionalFormatting>
        <x14:conditionalFormatting xmlns:xm="http://schemas.microsoft.com/office/excel/2006/main">
          <x14:cfRule type="dataBar" id="{21F4CDBF-5AF5-4194-A0C0-43B1A0C50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931485-0AE4-475F-A1F8-6CAF626590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1F2F2726-7996-4730-8E67-B79CDB04ED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6F8F356-588C-41E3-BF4A-B20E455F4F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974BEF4F-CF6D-4D45-90CE-992CE060C5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018CF74C-D023-4D51-A396-CCBDA4D866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88B4A402-D508-4DFA-B8FD-41191CEDC6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B60F37-F23C-45A4-A22A-56C77E5EA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7D1BCCA5-F2AC-4682-8152-F555418E6A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A09964D1-51E9-429D-BBF2-C70C3559F3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427AB45B-FDEA-42A9-AE1F-65F4A8359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5DF22E6-9694-4E61-9310-9DA0BFF0CE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9ED2256B-8AB4-4E8D-A47D-3750178423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D6229309-B332-46FE-9E76-1B4AEBDCA3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754690BF-ADF6-4772-988D-FF59639C16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61E9B1EE-1B43-4295-AAEB-67949CF20F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7543D99B-5476-4E9D-A260-6541292041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C24DC71-382D-4DFC-A1C5-D14C0A2DD1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4397477C-C3E6-48C2-A477-8351D6FBA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77F2C1D2-00CC-4B9D-9680-34ED17130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6EDB06A-90C3-46F3-BDB4-099A2E198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DBE6CFDA-3B1B-4DEE-B291-C56DEA7E2B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53C8FE4-9832-48AE-8962-8732A0CC65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N7</xm:sqref>
        </x14:conditionalFormatting>
        <x14:conditionalFormatting xmlns:xm="http://schemas.microsoft.com/office/excel/2006/main">
          <x14:cfRule type="dataBar" id="{9A544B1F-D4BB-4B20-9F7C-F86BD9DD4B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6891A271-2B72-4E0D-8E0E-381492DFAB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EC7B6B-2664-430F-B1D2-1A151C4804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0289284-A1E8-4F3C-B08F-C5FBC0B9FB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D6E8CDC-422A-4C22-92C2-74375F46D70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0206F071-465E-4873-9F67-54A968FBFD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00C07537-BB15-4C74-97B4-BF60A37B77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8E68E89A-CDB3-45A6-A50C-3D8D7990BA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1E4F4F-C385-44AC-A894-2589DB35F2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82CD83D9-D9FA-437B-A245-4F4E5A3BBD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9EC458B2-0572-4700-B2F2-FFA43C3BD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3F98B493-D0BF-4941-8B87-652066B59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69D49276-D8DE-4F74-8753-96D7A5D0A3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EA9880A3-C681-4031-A7F0-CE7EBF06D2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625FE5BB-AF76-4D8B-A2F9-A39448FC0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05AD7C20-CB43-4699-B883-E8563DE338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41BCE8EE-3A4A-4BA0-9EAF-22E8E224D5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ACD2B0B7-85F0-42B7-8740-D58D9838D3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89D4300E-EFA5-43E5-AAFE-2B1DA4C2ED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EC5059C0-10F2-445C-BAC8-790B4F2422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1C127219-574F-48AB-AA2F-6DC285714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9A6ACE5-7573-4B9A-8597-054D01CA15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B6DABC0E-259A-4142-947B-992A43DA02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AC61836B-74C9-4672-B84F-B599F1DE92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N8</xm:sqref>
        </x14:conditionalFormatting>
        <x14:conditionalFormatting xmlns:xm="http://schemas.microsoft.com/office/excel/2006/main">
          <x14:cfRule type="dataBar" id="{04D25104-E8E4-4719-B3A7-5DB708EE7D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K8</xm:sqref>
        </x14:conditionalFormatting>
        <x14:conditionalFormatting xmlns:xm="http://schemas.microsoft.com/office/excel/2006/main">
          <x14:cfRule type="dataBar" id="{DC06B512-B071-4738-B539-B573240E26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8CB64B28-22C8-4BCE-BB93-DD8259E897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4037C40B-7889-4384-8011-CE3CF0D307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CB0E9187-E834-4FBD-9B02-8D60186F60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828741BB-D583-4394-8E63-277BD5446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16A5CB2D-676B-488B-841C-1BF8189360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4E121812-FD64-417D-950E-44955A68A4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9B5837F0-7C29-4B5A-A7E1-8A56570BD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3621BA72-0DAD-48F0-9F18-DACB717F9C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D52B0503-9D82-44B2-A2B0-D86964238A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90B5C1D-957B-4A75-ABBC-DDF149134D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52E2923C-7483-4D73-A26D-254692DA7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BAF27ECC-143B-46AE-8BBC-C105C51E8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EFF547C7-D628-4821-8DFA-D9899C948E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47E8314-9127-4C17-A975-48B0E0AA0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5FE9303F-5142-4D57-9E40-3A0631EC69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98A4A122-98F5-4024-A288-BB47F6A06B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17B5FBD-9038-4BDE-B6A2-FE3AC462DB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B9A8C0E1-57EF-467D-833A-A84EDB41D5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CA138506-8CC8-428C-B91D-20DC745BE9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B596EBE1-B595-4DF9-A6B2-1BEAA1CA9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F8094FA4-095C-4039-A58F-2F0341F96A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CCF92BBC-5FBF-432C-B6FA-3FC311CE930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51134DB5-0AEE-454E-8E9E-FDFA6A626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C61D6C65-4CA2-49B0-9940-1891E4090C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67355C0B-747B-4D2B-B7BB-C1C9CA9439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22324630-AF33-46D7-B7F6-F2DA96F17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C19D84EA-B009-4127-AFA4-EAB91CB99E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84C18484-8D9B-4AAA-9F6D-DBB9A1165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7B943762-3341-4F90-A571-9A1445C1DC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9C73A6E6-A484-484F-B980-E1A267038B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949AEB9-092F-42B3-A58C-A26BDBA98D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BF3807EA-014F-445E-8EE8-5AA0C02E4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C8C30522-8FDA-4608-9144-ABFF9CDC72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C2B7DD9F-A129-4655-9F6C-6CC676187E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D26F4EA-79F7-49BF-9FEE-1F08B6FCE1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F7D37208-0B41-47C4-898A-9524BFECCB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2024C64A-54DD-47FD-B2CD-3614692D1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7D6ABF3-D5B3-4E9F-9526-CDD94B823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1AD1245B-C1C3-4547-A849-618125D08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7D40CCFD-22C0-48FB-A814-72D3AA087E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102731A1-783A-44A6-BB7E-47D949A58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A66C4AE8-D4BC-416A-81F8-77153976A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0540793C-7A8F-47BF-867E-192FFF4B57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54900592-E9C8-48D4-A199-6AF251E180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A4B1C1A-156D-4C7A-90AD-7896170859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60194F71-99A8-4678-8202-67245EE1B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45900253-F378-4780-B440-AA150D329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9E9873F9-8167-4823-9C2C-21E5990E9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D08B65E-D976-4695-885C-4FA441E77D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60F1AC3D-EE7C-40FB-AFEE-D735DD00BB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B5D2A0AE-2EA6-47ED-95C8-EA5F28C0A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2D95FBD-A443-4684-A4A8-457A422C2F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1ADCDB30-C3E1-4664-8ED4-80C616D995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9ECB1164-6626-4E93-8794-5EC78A387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6EA46347-CA83-47E0-A86C-4D2DA2DEEA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1631628-0AFA-424D-853E-AF0258129B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B0447262-53AF-42D5-ADC0-EF026740F0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31920712-3289-41DD-A63A-D6766A806B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B4844BB5-634E-4E6A-85BC-BB0E57B9B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23E07ACC-A15B-4DB2-8CED-599616ED5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95786C6-0299-41BD-99F1-BE7BAE1EFA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D07B1346-B331-4A93-A4B0-91FA34CD63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D6A5E8C-3566-4968-BD94-408F2BDEC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05987CFD-1F32-4855-B456-75D87F4CA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CFBB630-BDA2-4B41-8FF0-DBC7B2FEF0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385DA3E4-6A8E-4F8E-826D-CE7EEE2B5D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3DA1F99E-CF09-4D4A-817B-2F08A947C6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8748B6E2-F342-45BB-97F5-5EB208B582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6BC78D4D-EC85-4266-9BDD-96EA231531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AB7FF9A6-A725-4921-B33A-39627D5328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C1FAC1C2-484A-4B62-866B-A4FC2EC43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6502B8FE-A8CB-44DC-9EFA-1D2A8BA5E0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CCA8A1BC-659D-4114-A3CC-E3C5D2562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77DE1762-24CB-4A62-8F20-3205C358AD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88F7AE5A-80B3-480D-9EBC-0819ECE470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A9194638-5B7D-4ED2-996E-1E04FAF9A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FE76CA5D-B001-415B-BF91-5F53E3D6BF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0EB08216-F080-4B0A-81E5-8CBE7D02D3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69272925-4402-4A67-A310-48C83AED23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56349C8D-A2D2-4854-A80C-31AB30779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60976D5-D8FD-4FBC-A5EA-BCDF336697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54F3BCDE-CEDE-469C-980C-EB78B6F16E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6C950FF-D064-4E0D-B143-AB93AAB667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014905B-AD78-4ABD-B074-6D31991E15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189F2-A720-40BD-9ACA-C2D622B968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D0996F96-7EBC-4D7A-8B85-F3B2882879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ED495DD-D736-47F3-93F3-F79A5C1B86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EAA464B1-7DDA-45EE-A626-06A22E96AF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B2CE32-29B1-432D-961F-1BAB79DC7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84AFF17F-DD1E-4B53-8FF6-E3FD45F90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6545D56C-5556-40D9-8E0B-412DAC3DAD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98DF4508-366C-487C-BBCD-94DBCA039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DDBF14C4-5E3A-4810-A20A-8D84BE8838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BC66EFB0-60A4-48CE-9C6F-7A0228DB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0E38EE8-89F6-4065-8DBA-D3938C13D8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C3F762E0-3ECF-4FAF-9EC6-E6CC7DEE7E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C45AD57D-1F35-4DA6-AE77-D51A765A3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92399A21-4A3F-44D0-9749-C5B9FD0D3F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1E4CF690-82EF-447F-A1AF-4ED841895A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335BFE9B-E441-4D4D-BBFA-4454DF80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ED77AC18-B615-4F4B-A7A6-493BE62349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DA406CE-D476-4E38-9393-E79B1F2BB8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B6FEBB1D-0ACC-4060-B328-E00F7C943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E3EBA5D9-67DD-44A8-A66B-A280DE2285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19BCE1EF-0AA9-4752-AEA9-5680F5D0EB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F26AFEF2-A1EE-458A-90FD-F8FEF42517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FDCD62C-FAD1-4676-BE93-14A175E8FE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E4FB3722-10CC-4915-BB31-D00471E2D5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945A13-65AD-45F3-800D-F3396667321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CB7B07BF-3F85-49D5-B7DB-A25813979F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EEF43233-2A11-4DF6-9B05-029F03E9B1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17DA6E6C-C445-406F-9638-7E792E76AD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0FB1AE-1387-40F2-BFE0-7A5B3B38FC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C8F0178A-4767-4CAE-A154-6F525CF460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BA1287F3-5C4C-4730-88FD-724CE85680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9240D489-466E-46DD-BD5F-360CA8C0B8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F062EE82-0F4E-4FC1-87C2-59AB686ECD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65C96D96-C545-4558-9FF8-01A1B31EC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FEA18684-782A-4E43-8C9E-49D2422457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0BD141CC-5337-4513-8C25-F61119193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1057B103-52CC-4882-B2EA-9CC2B1991F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AA672934-CBF2-4636-88E3-783477E117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EDA6447A-0829-4350-8ACB-4F39FCF180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C8CEFEE1-63F4-40CA-9C65-A517A6FD1B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426E07C1-59E1-47FD-9634-35AE661DC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D809393-A1EF-47C2-A6B4-08D6CD9AB6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6B794662-9996-48CA-BED5-E04CB053D9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21CCDFB2-C059-4696-BD07-DC394EF120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N12</xm:sqref>
        </x14:conditionalFormatting>
        <x14:conditionalFormatting xmlns:xm="http://schemas.microsoft.com/office/excel/2006/main">
          <x14:cfRule type="dataBar" id="{2DD52259-C0CB-42AE-AB1A-26F55EFCE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K12</xm:sqref>
        </x14:conditionalFormatting>
        <x14:conditionalFormatting xmlns:xm="http://schemas.microsoft.com/office/excel/2006/main">
          <x14:cfRule type="dataBar" id="{DD2628D9-8BB9-4157-A2F7-BD06F105BFC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EF6095A8-2A86-4D6E-99F7-24AD7D2640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F24F2D-C633-462F-A229-A09B2B20F8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3179ECF1-70D3-4BFB-87D3-2B640E2C6C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F25EA1DC-B3B3-40CF-9975-8956F07B4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1730DBA-B34A-4861-9D89-028A17707C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66FE3031-89E8-4019-9C5D-F5C540721F5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1099019E-23E0-484E-B690-3272278036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D2669C-C6B0-44B9-A7C8-1DD041438D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F25A7616-AC6E-44D1-B396-6C52519AAE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0B41B863-9888-4ADD-90FB-317A8F8848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6A25F9EA-C20B-4312-B9CC-2B8CAE7715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A669D0E4-A301-46A4-A548-81DC5A909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6FC81615-1F68-4CDF-8D07-21619C9AA58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CA342E30-5D51-4894-8869-ED682EF06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FED73174-2C27-4E49-A6C0-1F738D276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C4D0F15B-A835-4FFB-A2A2-7222A8B3EE7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1AC45491-F29F-4459-B5E7-7696FFB382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DFC0917A-341E-4B25-9128-87E94E7BD3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C337B6D9-789B-4247-9626-4F0876AB5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AG7:AI7</xm:sqref>
        </x14:conditionalFormatting>
        <x14:conditionalFormatting xmlns:xm="http://schemas.microsoft.com/office/excel/2006/main">
          <x14:cfRule type="dataBar" id="{9517D898-687B-415A-B052-03BD6E2305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F1AFB9FC-1782-436A-A59F-021AE9E169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C66CAF5F-2719-4404-B62F-049171B3F8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D1EC780E-C549-455B-A6E3-CBF67A4AE8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82C8CA1-B245-461B-8098-4817ADD200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C4777330-5968-4716-ACC8-464E1C4941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7E39557-BB90-4A4F-9B6D-209D8E869DD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A2CBE70B-69D1-47CE-A8F0-BE9FBA3649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2F4B59DC-9385-44A8-9E09-B100F5262E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B246219E-5351-4770-A9B1-98CB411F84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015F684-983D-4D93-9F9C-EE63A48B43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9F6DE92A-2389-481B-B082-6642551C4D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A392D367-9DEE-40D5-B51A-5866B93757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3A4CA4A7-CF5E-4222-A9CD-7D9CCBF00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68831BB1-F9B9-472F-821C-175A60B773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E488F8F6-D28E-4516-8F58-817CC5849A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8355A714-90A8-498F-9D10-EC042AF076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833FCE3B-0F5A-4163-B696-0B914320BE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743D9359-1917-4D8C-8341-192457F437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7B8F1D99-6AA6-4A0D-BD12-AB70A83C1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F768F796-3EF7-4E07-B96E-E80C7B56AB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D6F77051-E9ED-416F-8DCA-1B99AC4386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6DD1CFEA-87F5-47ED-83C8-636322E1A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25B91583-32F2-4CFF-ACDF-2D1E59F325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43F58CBB-D3AE-40A3-868F-57850EA67E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F098BFE4-6B0D-4D16-B327-0FCA83831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N13</xm:sqref>
        </x14:conditionalFormatting>
        <x14:conditionalFormatting xmlns:xm="http://schemas.microsoft.com/office/excel/2006/main">
          <x14:cfRule type="dataBar" id="{BAB94FCD-6050-416A-B57C-EE8B22E4E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17845A57-F1EB-459C-B7B4-6183FB4A6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D30D0F4-94DD-43B1-861E-46B20AB822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758279E-A266-4D57-9752-884E426BD4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9A1D24F-ED9C-49FA-A99B-8F61D898508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0373229F-5A36-45F2-9314-F77BB45896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9526DB1D-5A95-42D3-9863-811ADD416B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1FD37FDE-7FC0-4182-89A6-1BF2612A35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30DF6B-865C-45A5-8864-01D9500324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6683B9AE-3D97-40FF-9E6A-56F3AF790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87EE8F3D-13A0-479E-BE7C-6262B8156C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1D68B394-E547-42E9-91B7-78E314177B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46C0F7CC-5367-4622-BB0F-DAB762C91D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B87922B3-C334-4E4E-A833-C41FE675E7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57EB5107-BF9D-4802-81E0-B879E054AC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3D668328-F261-4F47-99C2-FCA78B254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4BC7F5E3-7ECE-430A-A24E-83DCA8FE23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BF89CDE4-3B09-4AD1-9762-EFDB39B37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097008C-1B1F-4433-9F43-3AA9F283EE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C2CFC4CA-02C9-403D-BF83-A0DC5003FA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89929E7B-116E-4B5C-86EF-55149AC5E9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820B5AB1-9347-4CA5-A03B-52D80A3C3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5F944F05-79A0-4973-8544-1E88A3C07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26F31C20-52BB-46ED-9210-900B2D9C56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EE1CE535-5DCE-480E-82E9-C9E81C9BFD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218FABD6-12BA-49D4-85A6-53E98BD39D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3255FFFE-5380-47BE-BCB0-75390E96FB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5ABAAC7-172E-47C2-9674-BCC477C70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234270D3-1487-4C87-9DCE-445AEEB793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8F1FEAA6-00C7-4E8D-B5C5-4AA27507F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2E79BD-D611-4668-8139-34AD8AD8E5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A6ECD944-92E8-4F8D-96C3-CD92A58D2A3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AI8</xm:sqref>
        </x14:conditionalFormatting>
        <x14:conditionalFormatting xmlns:xm="http://schemas.microsoft.com/office/excel/2006/main">
          <x14:cfRule type="dataBar" id="{619C32B2-04CA-4933-AB10-4B0E313880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2BD2DDE-C168-4FD3-A25B-97CC9C7C4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AI8</xm:sqref>
        </x14:conditionalFormatting>
        <x14:conditionalFormatting xmlns:xm="http://schemas.microsoft.com/office/excel/2006/main">
          <x14:cfRule type="dataBar" id="{878C07A2-11A9-487E-9F1F-4EF72F18F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5AC2F191-E48F-454A-8DBA-67189344422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DA40CF66-F73E-4E7A-A2C6-ADEAA47932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AI8</xm:sqref>
        </x14:conditionalFormatting>
        <x14:conditionalFormatting xmlns:xm="http://schemas.microsoft.com/office/excel/2006/main">
          <x14:cfRule type="dataBar" id="{CC2FC2FD-7834-471C-A548-E189BD64E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53EF5695-95F9-4D00-AD16-ED1636BB61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644390B1-CED1-4C10-B26D-EF2C12CBD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AI8</xm:sqref>
        </x14:conditionalFormatting>
        <x14:conditionalFormatting xmlns:xm="http://schemas.microsoft.com/office/excel/2006/main">
          <x14:cfRule type="dataBar" id="{95BBAC2F-E14F-4145-B5D3-C1270C47D3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34F01196-ADF0-4D8D-9AEC-E7716DD171E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EA5B23B4-2D47-455F-BFD1-3D1E063A26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AI8</xm:sqref>
        </x14:conditionalFormatting>
        <x14:conditionalFormatting xmlns:xm="http://schemas.microsoft.com/office/excel/2006/main">
          <x14:cfRule type="dataBar" id="{FAD696DF-B91F-4DB1-B42A-C59973DDD4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D55FFF9C-412B-4196-A91F-3851E81FF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AG8:AI8</xm:sqref>
        </x14:conditionalFormatting>
        <x14:conditionalFormatting xmlns:xm="http://schemas.microsoft.com/office/excel/2006/main">
          <x14:cfRule type="dataBar" id="{D5F1CEC0-B93F-4DF4-A856-A9D193D123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86D23024-1D61-4660-B7C5-56E804FFE0A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A5A7077A-6CF7-4BEC-AAB1-6B0A256FD70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AI8</xm:sqref>
        </x14:conditionalFormatting>
        <x14:conditionalFormatting xmlns:xm="http://schemas.microsoft.com/office/excel/2006/main">
          <x14:cfRule type="dataBar" id="{D2F9D31D-055C-4F35-B5D8-D4450BFF88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AG3:AG8</xm:sqref>
        </x14:conditionalFormatting>
        <x14:conditionalFormatting xmlns:xm="http://schemas.microsoft.com/office/excel/2006/main">
          <x14:cfRule type="dataBar" id="{A7F357FD-34A7-4FE2-81DA-2124F86074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AH3:AH8</xm:sqref>
        </x14:conditionalFormatting>
        <x14:conditionalFormatting xmlns:xm="http://schemas.microsoft.com/office/excel/2006/main">
          <x14:cfRule type="dataBar" id="{03F4E9C5-3995-4FD0-B9BC-2A8A55E5B8D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AI3:AI8</xm:sqref>
        </x14:conditionalFormatting>
        <x14:conditionalFormatting xmlns:xm="http://schemas.microsoft.com/office/excel/2006/main">
          <x14:cfRule type="dataBar" id="{28A37AF2-3AF8-4EEB-821F-C648B0126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D8F4D1-129E-48ED-88A5-D53AE14C08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52C6FEF-F4DD-44C2-94CD-6CE20CFE3A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3EC06CA-183F-4EAF-A093-8DA204DCF0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A29B7CF3-FAEA-46F5-8063-31CA771785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635AE5D-AB0A-43F8-A1B2-8E636DD45A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D47D4945-1B08-4485-9ED0-264DC51EEC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7E58A70-54B9-4F76-9614-DD76405B9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6EB896AE-42D3-45F4-81F8-01B1623947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181D7A70-AD0E-4E4B-BD35-2832516C9B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D8FF414E-5387-40EE-9B21-62F60E5B4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4F8E3662-CDE1-47E3-BAAA-8B189CD047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63FF7D81-6947-4397-BA47-4091B0D094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5F854A1-9F2C-4733-AF75-3D7E615C86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E9A21C3B-4C94-4222-8364-E63C6C780A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E9F7225C-8AA3-48B5-8238-3673239EEB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1413FA65-4757-4AA8-880C-D4EBA33610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054D9A00-BEC9-4290-AF77-7CD91E7A0A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3A799809-D8B3-46FB-B697-8A083806E4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2EDD27C3-3980-4A64-A9A5-0CB405FA4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D734BCAD-13A4-4502-93EB-653C60E807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7E843A5E-E335-4639-BBD8-8F805BE25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4B0099B8-3B98-4013-AA78-A8C3FB6319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</xm:sqref>
        </x14:conditionalFormatting>
        <x14:conditionalFormatting xmlns:xm="http://schemas.microsoft.com/office/excel/2006/main">
          <x14:cfRule type="dataBar" id="{30B916C8-DF83-473C-B818-957651507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K17</xm:sqref>
        </x14:conditionalFormatting>
        <x14:conditionalFormatting xmlns:xm="http://schemas.microsoft.com/office/excel/2006/main">
          <x14:cfRule type="dataBar" id="{F26C82A2-002B-4DD5-B279-04A3B34B1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F9D876-CC77-4ABD-9A99-862B2EDBCE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B2C62B2D-0E2B-44C9-961B-F42BFB794E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322E49-7D63-455F-961A-AFF7E3B9022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97E67D67-ED81-45BF-B249-563E4106F1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F7AB8592-4E53-41FF-A279-4722A31966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486A50AD-32DE-41C8-826F-8A91ECC71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483CFD8-A23C-4F7E-BD29-7D19104AD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CCDAA06C-7A31-41DD-B981-2094E2CB9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C7C5E352-70E8-4AAC-9CFF-56035F5B89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38915575-9FEF-48A3-A195-025A51E1FE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9CE73D3B-CCA8-4662-BFFC-0A066032BD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48E2732A-E304-45D7-9473-483B182EE9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FB207FC9-42AE-4CEC-878A-10C1831A5C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5A9C2E92-1744-4E6B-8FC8-41FC49751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8E1A2702-2F77-40A9-A85D-678E496F8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6A399137-3995-4542-A6FD-7BB93FF52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BEE7C569-FA77-4A0E-B1B2-20653FEEB9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0FA59097-F12D-4AE0-8976-0D0057D5B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5DA49416-92C9-4528-A4BC-629A2CF69E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D73D8E03-ABD2-4D62-A9D3-62D5F2A658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4A43B113-7826-425A-A514-FFD264E12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5E774751-C02F-4E1A-8724-E57ABA600A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E5762706-7BEF-41F0-8208-48E649126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62DDDA25-805C-498B-9EBD-E3D10D22AA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2647302-0755-4EF4-80A9-626D69A837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85E1B9D4-2185-4F64-83DB-B61DB445FF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B734AC-7AC2-46EB-9287-D5F4AE3B6E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C66CBFE9-06D1-4D11-A62B-57832CCC9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B75C6D75-91A2-45A4-9026-1E4F80A015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BD5EDEC8-D7BB-40B7-9174-9FD104A64E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C851640-1BE5-498A-9C82-17E0E2FA8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0A440DF8-1913-47E1-A961-0F53ECFD53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2FF29A9F-6007-4912-BDE2-DBAAF5F2C3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1A0AB2A6-9F75-48A3-9D85-86CEB2F352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4001B723-FBC1-4219-94B6-471247E88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A8F34BA3-DDA8-4238-8471-D0A078E075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F46A116-DBBA-4410-B7BF-57F0DC98D0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4FA95AD6-57C8-4ADF-8983-AD10689EDF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FAA74D85-866F-451E-9D84-B10415D8C6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1242E531-3D35-4F92-B7CC-34F1DE4160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41112758-30B3-46B3-8A89-9ADDCBD493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6CD1BF7E-D14B-4F7C-B39F-F943FA6A62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C814CC16-60A6-46C6-B90E-1C632EEE1F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EB166F51-8B3D-4860-BB4F-57FA933B9E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94396923-4E64-4779-AB45-8FCF20ADCF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43269D7-E656-48B4-8AE1-E471DDB15B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16A854DB-C594-4F2B-87F2-945918329D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07ACC69C-E828-4A6A-86EC-AC00B61870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A74A89-3715-4729-8D86-4F81B27BAC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8441C1D3-1F07-4D34-A456-439DCCF448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B5EE1B7-4F02-40CC-8FFB-A407BD20AB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B8B52D12-6EC9-42D2-8A17-D289D4AF3A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14180F80-7D65-4AB5-8182-B25758F95C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5C383478-107E-4DB4-901E-898B05E5BD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9153AC5-15A9-41A1-99EE-AD3333BDEC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3C118F94-CFD5-4697-A0A6-3931317ED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6735857A-EB14-494F-80CF-DAAE53F053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D8C3AFA3-1007-4535-B3C2-535AF6FB7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F0F1239B-1AB1-4F30-AD2E-AFF7687B62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870A2ACC-809F-452F-B983-D6FA19F0F9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94B0684B-CC8C-4F9C-B631-3A1EAC61E6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ADFD25AC-1BCD-4197-BAD4-A7CC13261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A926941D-E0B9-4EB2-91F6-49A245CCE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81EFBC41-A378-4368-BFFC-8FB4EEA167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4F5E7CC9-0532-45D6-BAB4-20377C7C35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B13038E9-BBE2-4CB3-BEC8-D6A36A744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FEBC0C6F-73AF-49B5-9C88-A5CDDBB4B9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F2BF6F0E-009B-467D-8701-9A40D81AB1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A7FC17AE-CC00-499D-9DF7-B03AA96CA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E8135F1-4BB5-40FB-8B09-D61F80DDDE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F2AF8B8E-C91F-4667-932E-DC6FE89D4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K16</xm:sqref>
        </x14:conditionalFormatting>
        <x14:conditionalFormatting xmlns:xm="http://schemas.microsoft.com/office/excel/2006/main">
          <x14:cfRule type="dataBar" id="{D79B7E31-6EBD-48A7-A8C4-BD78322B306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506A84C1-46B9-4888-93C3-EE57332DD7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E85542-6352-4CD1-AD61-AC4EB24D70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18061529-A903-4186-BCBE-33A4F8815A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0B963F21-EDE1-41B2-A19D-0B901AE1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8C4A93D-2371-4475-BF53-53A44F2D7E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44BEEEA9-9573-4765-9B70-853619CB94E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70631EAB-6ED6-4B93-8CAE-4C29076A9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3A4CC75-F598-486D-92CE-914916CB6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E565C9EB-73CF-476E-9C76-3CD74ADFB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CC9DE100-AF5C-4D22-AABE-2E47A367937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C8B3423E-09E4-4700-A4A5-1A2A2EBC34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69743E36-927C-4AB8-BBEB-35EFD1416C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92F4D269-32A2-4C5B-9023-757F7039C31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CFF64EEF-B96C-4E98-8B17-663A631915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13C3D748-1D81-4BA5-8E16-84F01957D8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7DF2C1F1-3602-4B37-B196-4A6886A66EB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584D9CAB-431A-4A09-A3C8-4565E4F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7D8B36BF-0CAE-447A-B35D-0A0404F9F2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0DE5D78E-52FB-4454-8D91-08B8F44FDF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AG9:AI9</xm:sqref>
        </x14:conditionalFormatting>
        <x14:conditionalFormatting xmlns:xm="http://schemas.microsoft.com/office/excel/2006/main">
          <x14:cfRule type="dataBar" id="{F07E2D0D-A273-41BA-9B6F-2CA2AAC651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A69F1DB7-3340-4D3F-9694-84F27615499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06CBB135-66AA-4B1E-9E9D-28893FACC2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40F8CC35-9793-4E74-B635-6F7A030D98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AG9</xm:sqref>
        </x14:conditionalFormatting>
        <x14:conditionalFormatting xmlns:xm="http://schemas.microsoft.com/office/excel/2006/main">
          <x14:cfRule type="dataBar" id="{0EB85469-AAFB-4A3E-9F3D-D5B9CB38B54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AH9</xm:sqref>
        </x14:conditionalFormatting>
        <x14:conditionalFormatting xmlns:xm="http://schemas.microsoft.com/office/excel/2006/main">
          <x14:cfRule type="dataBar" id="{B82FC1BB-1A2E-4333-91D4-7994AC0C2A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AI9</xm:sqref>
        </x14:conditionalFormatting>
        <x14:conditionalFormatting xmlns:xm="http://schemas.microsoft.com/office/excel/2006/main">
          <x14:cfRule type="dataBar" id="{1CFF659A-8D17-4CF4-BA49-5E5A8B9870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4FBE7E2-4C41-4564-A5BD-A6F378C53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55D37D0F-E701-4252-9EA2-CED42F2572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A4CA21-375D-413F-A246-11328609939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ABB15FF4-48A7-4AA5-AF8D-53634417FE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CFCD2C1F-86AF-446C-AFDC-F99EBB579F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7504C94E-7701-4662-8102-7EFBCD04C6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40D44B-1616-4186-B9AA-6669182D7B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D1A8ABB1-841F-4839-8F43-F7BE205F00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8719B538-723A-49E4-980E-0032DAB3E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362C3BA9-4B06-4384-9237-BB50DE1B2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6E955ED-A8D1-4137-8C79-6F4C51ADE3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EAEBF964-875B-4AC3-9F3B-0CB4040A46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F28B5579-5ACC-4013-9012-E3E33392C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9DF98768-28E8-4A28-88E6-4E900FF3A7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A94793ED-26CD-47D9-B07B-118EA9DACF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E311FC8D-720A-41A0-B717-98A1CC0108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4A0CC04F-AAEE-4AD3-96F3-FB7E0E75D8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E0AD4458-7D96-40AD-904C-45D7E7F319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FA684120-3ABF-461F-A182-4AA8D87FCC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18E5E751-85E2-4AC2-BDD6-A65AC1761B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83E3AAFF-ADC9-408E-B63C-261A385705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CE1F4DF2-B6CF-4A04-940E-71DA4B2615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D56DCB56-5036-4D31-88CC-F1CDF3D55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K19</xm:sqref>
        </x14:conditionalFormatting>
        <x14:conditionalFormatting xmlns:xm="http://schemas.microsoft.com/office/excel/2006/main">
          <x14:cfRule type="dataBar" id="{9A7CAC30-1695-4D59-B132-3FBF3DA60E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6B7EDA2-C4E0-4501-8619-D4C5ACD5B4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467E18B-2B19-4383-AC70-903A4D908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CCFD218-E876-47AB-84C6-DF2C36FD4DA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5A7F3DC4-1A47-4B88-8C3A-94880408D4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184A3D6-8D81-4250-8819-8EF687EA9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988DBD0F-4D35-4219-B026-4ADD27BD00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767C82-5F68-43FF-AF3C-F40BAF23CD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4750BB69-28ED-4F8E-AEBC-BEB6B1C22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AB85B5F9-3D13-4B20-B3E5-A09821FB5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58F4AAE9-2D55-4EFC-B138-35EC0AF02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658135FA-F458-44F3-960B-B9F429012C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CE9687A3-C8C9-4872-8C2B-B662CD0A5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892C77DC-D9AE-4A70-A5FC-669CD73E07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515093FB-43B1-41A8-8511-1660294BCF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7E029F95-7A16-4D6F-8090-70DAE8458D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F839C50E-53B7-48B5-8014-390D677815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B681405-4CA1-4BBC-89F1-B024C689EB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A207D123-0FEC-4A0E-A124-B377F6252D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54CB4A25-2901-4A9D-B6B4-3A3326C6EC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4ED17373-A071-417E-89BF-A623D86892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2A660813-CC6E-4E18-A9BB-3E97BB87B8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9782283-EE51-4CEE-96D9-AF4BE140E9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D3154360-DD59-43F3-A69A-FA61179E6A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7D761F07-D16E-485E-82E3-183C659A2CA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BB3EC0DA-C4E2-4140-A816-EB7B9FC3F0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71A1B8F-2F79-42AA-B585-7EB80C7C0A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A0A7259A-8416-4DA3-ABAF-0A54974034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3C8B6312-2EEE-498D-BC47-C3E9B7E149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A5AB92-485D-47DB-AD99-99EA07F13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15195FD7-CD3C-4D20-930D-CEFCEAA48D6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9DE94C02-2610-46E3-9FC0-72A4983361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C181727-104A-42E9-B40E-172BF7B320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524B56D8-E255-4756-9299-E60ABEF31F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F3E9A7DA-59FE-4C86-AB35-9C6C9ACCB37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B33AB179-1189-4886-A5EF-1DF8A66F0E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7E2E5E29-B4A2-47A6-A8D8-F539DDD75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D63B5EB6-89D8-4D31-82E5-CF4EAF488C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2DB13FC7-2632-4B05-AEC8-F7BF4D8646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3E4CFA25-4718-4A0D-980E-16B944835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738EE6D9-BAE4-4942-8568-3C03155EF2A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9FB836AA-7508-4491-980B-48A840D8AA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7EF2EDDE-A3B5-4F08-85DF-E281DE0D2F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A21E12C2-D218-495C-9E71-D150D82A1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AG10:AI10</xm:sqref>
        </x14:conditionalFormatting>
        <x14:conditionalFormatting xmlns:xm="http://schemas.microsoft.com/office/excel/2006/main">
          <x14:cfRule type="dataBar" id="{DACE5803-B3BA-4991-8F63-A6408E0DB2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00C1031F-49AA-4940-A551-7295BA5CFB8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A1B64BD4-2D55-4043-A1BA-A5C7C4E77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FF1E1D81-3EC1-409E-AC26-2DE1F57ED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</xm:sqref>
        </x14:conditionalFormatting>
        <x14:conditionalFormatting xmlns:xm="http://schemas.microsoft.com/office/excel/2006/main">
          <x14:cfRule type="dataBar" id="{11918A29-7232-4DFE-A071-E887CDE9077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AH10</xm:sqref>
        </x14:conditionalFormatting>
        <x14:conditionalFormatting xmlns:xm="http://schemas.microsoft.com/office/excel/2006/main">
          <x14:cfRule type="dataBar" id="{4D446E96-F337-47B2-9E8D-85F8EA1E2D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F3A06D59-355F-4862-9F5D-5DE9C1DB4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93FBA3B-A45B-40CE-9C22-B096D0FD56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CC7137F6-1B3E-464D-90CA-98911244FF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4BCFF8F-EF51-44F1-937F-0FEE24F032C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52F735DD-1CFF-47DF-8D91-57A096C8A5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5001A211-7201-4555-A7FD-0B485F9FF2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46C8CE5C-5512-48EE-9408-2C8143B0A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79AB0A-4FFF-49A2-9A0C-EB3CB83B7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AB841BF8-80C8-4AE7-8D95-13EE9997B7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9C310810-9FF2-4158-BDFE-394C828AA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F4755D8F-6245-4900-BBDE-83C3F5344B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94789F8D-A504-4800-9D47-9872B9853E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1AF34634-9AD9-4DA4-963C-9A20A8529F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B2C8F0F0-8890-427D-8B64-C014475849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2032A92F-2C28-43AA-8673-3E610EE630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90D2A3AD-DCEB-45F6-AB69-3B31F7012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7058A382-E87A-4BA1-804C-F59DB260F1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01693A36-D7CF-4284-A6F7-DEA16509A5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61DA95BF-F569-4416-A497-49130B4707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70A0639D-9434-4164-9B49-02378BCCD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725997C1-818A-4BCA-8203-2E56844F2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32E5E54A-FD2E-476A-9CD2-0A83AF55C9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M21</xm:sqref>
        </x14:conditionalFormatting>
        <x14:conditionalFormatting xmlns:xm="http://schemas.microsoft.com/office/excel/2006/main">
          <x14:cfRule type="dataBar" id="{3E3AE248-E226-4587-AFC8-62F920C8AA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12E45E05-7061-48D5-AB93-CCB859404B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K21</xm:sqref>
        </x14:conditionalFormatting>
        <x14:conditionalFormatting xmlns:xm="http://schemas.microsoft.com/office/excel/2006/main">
          <x14:cfRule type="dataBar" id="{0C742F94-034C-4C22-8545-1D78890910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D12AFDA-1342-4298-B1F5-B4F94CA76B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74FBA21A-EA32-4D9B-A7FE-B6D9646D3A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F5E1990-DF10-4A99-AB7A-F1F84A9B68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9A2683C6-2E65-48F7-B60B-5360A4F9E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A1CC407C-B5E4-4BFD-AC43-97EC77550D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CA163994-01DB-4041-A188-0094E1A3C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2672404-322F-4EB4-B166-8A43EF6875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74CD6FD5-8399-41A8-84B8-C48ECEDD95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6907C640-23A7-4065-BA4B-9068B59506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3351F2D6-920A-4252-8A0E-39D1643717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C5ACEA28-84E6-46FB-94C6-C7583BD929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F5BCC75E-8044-4ABA-B3F2-EFB8C27067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99878045-8131-4810-A186-A9C5352C18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63BBAA05-3060-4173-A980-4EB4F88542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A4B8E273-82D0-41EB-94FF-BBA6347DA2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02E92FBF-AE68-4D7F-AFEC-E34240EA87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0C3A5C44-2ABE-4802-BD59-4C1C2306C2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23F60A58-6FFC-4984-BDCD-7F76035AF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9ED63A3A-930A-4194-A017-518E9BC888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7BA21581-879A-4320-8971-8B212A232A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624BAF5B-D4CF-4B5C-B793-45481EE2D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M22</xm:sqref>
        </x14:conditionalFormatting>
        <x14:conditionalFormatting xmlns:xm="http://schemas.microsoft.com/office/excel/2006/main">
          <x14:cfRule type="dataBar" id="{9C1ECDC2-A9A5-4B07-B902-3ED20B79C7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1257B306-979E-4C9D-ACC3-050E1A95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529F2D8A-85C1-429B-87C3-E02A202748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4877AE17-4681-48B5-AAE2-7ECBEC1D0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F14CA22-5BB9-4430-94F4-6CFD65409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4328EDCB-8BEE-4457-837F-24B0C2AA8C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C49CB68B-337C-42CD-8B65-C9320E0111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3FBFB7-07E0-4CB8-B8B1-A77324E660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33EBA8A6-73BF-43C1-960B-B2B98F73C4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BD3A4ACC-E6AA-4A3E-B3C3-7F9C2F6798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884746-D8EA-4FB2-9484-3004CC3C25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1E376587-CB9D-42B9-A2C7-3078E5BD68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069BA0F4-9166-4EFC-8DB6-3E0A298D9EE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2DA75996-F3B9-4ECA-8A69-DD6CD0DEA0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721961AD-B190-4FD8-9BB9-618B6D4E5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9D986379-C0EF-4255-8B06-6B4DBE3FDF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4E2E18EA-05F7-49E6-8374-29853F12F6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505F6C7A-67AC-42CC-A54C-0A15CE13C4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08705CA0-39AB-451C-84D1-0BFF74328F7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4A0CC637-1D78-40FC-9053-C3CAF0B9CF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3A8099EF-A756-4BD6-97AE-1DDE81EB78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F4AB46F8-6634-4B32-BF83-133E655BB1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AG11:AI11</xm:sqref>
        </x14:conditionalFormatting>
        <x14:conditionalFormatting xmlns:xm="http://schemas.microsoft.com/office/excel/2006/main">
          <x14:cfRule type="dataBar" id="{1CD23839-C585-42B6-B7A2-0E54013870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4C005329-89EE-4F53-8B42-940197AA0D2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3253C343-338D-4A98-80E9-04F7AB8612E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2543EE8D-3C2B-490E-9E38-2A52ED58A1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AG11</xm:sqref>
        </x14:conditionalFormatting>
        <x14:conditionalFormatting xmlns:xm="http://schemas.microsoft.com/office/excel/2006/main">
          <x14:cfRule type="dataBar" id="{B64E64EB-D3EF-45A7-BE32-A8A36E2A8E9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AH11</xm:sqref>
        </x14:conditionalFormatting>
        <x14:conditionalFormatting xmlns:xm="http://schemas.microsoft.com/office/excel/2006/main">
          <x14:cfRule type="dataBar" id="{64BF2EE3-516C-486D-A7E7-98419AA4DD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CEA4C2F2-9AF7-4B9E-A535-12EB3EB61A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AG3:AG11</xm:sqref>
        </x14:conditionalFormatting>
        <x14:conditionalFormatting xmlns:xm="http://schemas.microsoft.com/office/excel/2006/main">
          <x14:cfRule type="dataBar" id="{122C97C9-FA08-4B76-BEE2-460C8CC64E2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AH3:AH11</xm:sqref>
        </x14:conditionalFormatting>
        <x14:conditionalFormatting xmlns:xm="http://schemas.microsoft.com/office/excel/2006/main">
          <x14:cfRule type="dataBar" id="{0CF6FC66-92AD-49E6-B9D4-9227295BB4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AI3:AI11</xm:sqref>
        </x14:conditionalFormatting>
        <x14:conditionalFormatting xmlns:xm="http://schemas.microsoft.com/office/excel/2006/main">
          <x14:cfRule type="dataBar" id="{0E648BEB-831B-4DBE-8597-6D4E8CF9C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22B6CB-AC85-4F85-9597-ED139280F9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701AD9E1-8D24-41DC-9D94-BA88FD4158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A6DA20-676E-4651-91D4-1B6EFD4A00C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AB688951-C2BB-4D97-93E4-02FA915F61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6BDE5A4F-8EC7-4ECF-9155-31EF214E57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1A7F1538-8766-4465-AC40-44B8D556D6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549A50B-9E42-47D1-A20F-30D72E9134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57D58FF4-84A8-4474-9CB7-7288885B5A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7E39A10F-C8B1-42F0-80EA-83192865C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91AE65B3-5FA5-4A60-91D7-163F839406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210CC62E-DAE8-4A4A-9522-26B015C84A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D9AC2347-A4DC-4A01-ABFD-1F3C06FB2C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799F382C-52ED-4C0F-8695-89557398C3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E0B66205-B94D-4606-9BBE-4167AC67C5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01A374F8-C267-4ACD-83A9-103B19B053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30EF7BD0-9CF2-4857-AC7F-E335BD0F61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BC6BC46E-4BC0-4F50-9A52-620C83554B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24A018C2-8B3D-493A-94C3-D1AE4614A2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CC4FBF15-16F8-48D0-9A91-F4DF282DD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A9AA7BF1-C5AC-4CC4-87CD-E935402D8D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FD70E903-A0BE-4D2F-A32F-0D29E66705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M23</xm:sqref>
        </x14:conditionalFormatting>
        <x14:conditionalFormatting xmlns:xm="http://schemas.microsoft.com/office/excel/2006/main">
          <x14:cfRule type="dataBar" id="{BDE1D3C8-D49B-4356-A7E3-0B0B2B2B17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419ED37D-B3CD-4107-BDDF-EEBC5B980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D0F729AF-06D8-47F6-9148-2FBC4F1B5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413FB69-7F39-4131-A481-44892E574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5C901BD9-B3E1-4439-9915-6FDF52D27B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0FB69EA-75B6-444D-9BCE-5F523C9853E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92ABB77F-C825-4397-930F-BD22749A49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EFE1B7E6-1BED-4E82-A5FC-9CD00CE6A3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65F7C0EF-5E14-4294-B3FA-8E41990889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0F9AC9-ABD1-405B-B8E7-EF3D311C17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8F5585AF-680C-433B-A31A-A52C467CC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F5477A52-730C-4514-ABD5-6ED8ED7BF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B33A3F83-1D7A-4C54-AC30-CF17DAC8BA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B64FC37A-EC89-4400-A07D-772991F6EE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0663B08E-2BE8-4BBA-8BDC-582E366C7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AECB41FB-D69B-434E-AE36-35983335C9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75DD2A6B-0035-42DE-865F-7C8E85407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5FE3B8B2-9B2A-4694-8CF0-0BFC64C037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D557808B-EF80-46B5-B63F-94C4B37CBE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B90B4180-A876-4276-9E77-328E98A80C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96C867AC-A3CE-4881-B9C5-4079DC26C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1DF698C9-00D5-4A88-9060-A9B5BA4E2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6FC1288B-8929-43E2-B05F-206B95096F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AFEA4B97-ABBD-42E5-B994-E9C92E2111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M24</xm:sqref>
        </x14:conditionalFormatting>
        <x14:conditionalFormatting xmlns:xm="http://schemas.microsoft.com/office/excel/2006/main">
          <x14:cfRule type="dataBar" id="{F6FC399D-E27A-4064-ABF6-5D62342890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N24</xm:sqref>
        </x14:conditionalFormatting>
        <x14:conditionalFormatting xmlns:xm="http://schemas.microsoft.com/office/excel/2006/main">
          <x14:cfRule type="dataBar" id="{3DCD5FBF-12EC-4C53-A59C-5E85D0E217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2785042C-DA97-4532-A5C7-9374A366F8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ADD561B2-8D3C-445F-9B5D-123191C8FC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0AC671D-CA8A-4432-A174-34A025828A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C7B42362-940C-43E0-AD2B-CBA0C8C2D1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42D44551-3BCE-4059-B775-352F68F42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713702D-1E60-405B-9C2C-8F68D577B7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AFD4D2D0-FD5A-4BE0-81FA-0CCC17D099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FB479F3B-C2FF-4CA0-8338-4FAAAF5EC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2CC69B-5CB3-482E-92D4-D3086FEF73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FDE01807-7AEE-4CDC-8C34-4198E210F5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55F14A9D-05F7-40CD-B993-D0F1F2B1606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2D90B763-C650-4683-9C1F-8632CADDC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CAE1AD34-083F-4CAE-B7A4-11C0FA959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56378F69-4808-40E8-A027-7C73ABAFB71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2A498A2F-8D1B-44A0-80FC-A70FB9E0D8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B43E3F9C-3E15-475A-AEA8-FB33E829BF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3F256EEF-E13C-4EFD-AB3A-2CF5F57BDE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C7B500A9-9CB0-497D-A287-FA7186BBA8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489B2EEF-DCBD-4F20-894B-E85CD0AF1F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4F5DC8CC-5BFB-4CC4-B1BE-5735FAD75E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AG12:AI12</xm:sqref>
        </x14:conditionalFormatting>
        <x14:conditionalFormatting xmlns:xm="http://schemas.microsoft.com/office/excel/2006/main">
          <x14:cfRule type="dataBar" id="{595AE026-D616-47DD-AC13-860A038842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2E6F236A-B8A3-46DE-9FA6-DBDB3FAF4A5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AD9E0768-9A19-49B0-9C87-F2C29948F5A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8914C9A8-157F-4868-88A2-3789528E48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A6B32756-A62A-4174-8495-5565395DB7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20AA74EB-22F1-4926-A86B-048A8ACDF0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F91D9D43-E9BA-4FBE-A412-3B26D5100A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AG12</xm:sqref>
        </x14:conditionalFormatting>
        <x14:conditionalFormatting xmlns:xm="http://schemas.microsoft.com/office/excel/2006/main">
          <x14:cfRule type="dataBar" id="{2D184F25-6D56-4E75-9858-9FD43CD2F08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AH12</xm:sqref>
        </x14:conditionalFormatting>
        <x14:conditionalFormatting xmlns:xm="http://schemas.microsoft.com/office/excel/2006/main">
          <x14:cfRule type="dataBar" id="{CE0452EE-9723-45AD-B8EC-FC21CDC5B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AF2C527D-4528-43B6-9BFA-F7F9DAB92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D549F5-C87C-4F0B-8CE8-A904B238EE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B685EA0F-17AD-4060-84DF-A1D603301A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D06640E-EB7F-4119-AC97-EB2A2BAE17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DBE28843-EBB5-4D2F-B6F2-64B99A589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01FD533C-1C3B-474F-827B-AEC9030FC0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CF08A895-0AB5-43B3-BC52-54136042E5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7082334-25DA-4A9B-BB11-F7D0DB1925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F54E7532-4C53-4BB7-8855-3B4923DE9F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2218193A-3CEB-445A-B0A6-A07B822774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79937057-DE0E-4554-877B-B0B5578BE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68D9A211-D2C2-418C-B644-295990E261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A17FA0CD-9504-4AF1-BF4C-46B7779804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D1A36D88-1BE6-47BA-A475-40CB19E7AD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8802637A-25C0-4496-9168-FD3CF85019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40F99BB8-23E3-478E-8BBE-1A04DBF09D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8DF1CDB5-6897-44FF-9AC6-08FE504E56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CC70FA09-DC50-49BE-9643-528B743745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8902ADD8-62DC-4504-9145-F07B6A726A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1DAD9667-82B2-4B96-B231-4FB7722F6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8F26D834-7994-477A-B07D-97FBFF25B9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A8DF3E8E-8A91-43C2-ABEF-85F7CCDD34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M25</xm:sqref>
        </x14:conditionalFormatting>
        <x14:conditionalFormatting xmlns:xm="http://schemas.microsoft.com/office/excel/2006/main">
          <x14:cfRule type="dataBar" id="{098EDB4F-6FBE-4EDB-90C2-0A1EAE934D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EFD55653-6103-44A1-BBEA-A855F853E4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</xm:sqref>
        </x14:conditionalFormatting>
        <x14:conditionalFormatting xmlns:xm="http://schemas.microsoft.com/office/excel/2006/main">
          <x14:cfRule type="dataBar" id="{91EF1E50-DF5D-4719-BF9E-0E349876B1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F056AE1-70BC-4E84-ABC9-E0F198FBB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4ED23F9E-3D7F-4CAF-8C08-9C3B841B54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DD7774E-86B1-4B41-9E98-2B990B65CF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3ECF7CD2-3DA0-4790-9B71-DFC7294B97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7C7F7D69-B121-4180-82B0-679DAE912A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1F3418C4-CC1C-4C40-9AC6-C0FD91E81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0B5608-98A2-4140-9134-2898EC2FCE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DABB2A81-3A34-427E-AB21-A1A4377F4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8E0C14B4-2B74-471D-9D75-BC8503632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6D838026-5B5D-40B7-8CF5-AFD46E4091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52024D36-9CF3-4A69-BC46-EEFA8618FF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8D38EB39-438C-4A26-AA2B-28BB489EE9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1B7A75DB-A15F-476C-B3B6-1B9E76A00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CD6AB64C-3AAC-4681-8A11-A3106D49FF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CD4C6F3D-0996-44AF-B5A7-90ADAF7A26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3718489B-CCBC-40A3-A696-5C4AAACAA1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0AD5449D-4EBC-49A6-82CC-3BA196A2EA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FAA334BB-21B0-4FCB-99FB-20B6788BCE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2FBC5F1F-1B35-477A-A764-0D8C199FA2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C77EC120-2028-42E2-AB79-2416D3BBC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544F7E02-B0AB-4FFF-8BF0-576012A1EA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M26</xm:sqref>
        </x14:conditionalFormatting>
        <x14:conditionalFormatting xmlns:xm="http://schemas.microsoft.com/office/excel/2006/main">
          <x14:cfRule type="dataBar" id="{971EBC09-746E-40C7-BA84-B03664FFBF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E78ED4EA-8060-4856-9BFB-91AC8BC94B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8AA5F85C-830D-4F91-8456-D9F5477A6D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24A74CF0-7406-4956-8E63-661AC4F359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2F28FB-E23E-4A0B-B007-9338AF649F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C3A5C031-E31A-4CC3-8B88-156673DA5C5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2AB669E9-772F-4231-ADCC-49B352DDD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4EDF55-C900-4589-8C70-8DF8A18B87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07FF211D-58FB-4C0A-8780-11A3B9D4BD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9630FAA1-8A68-49FE-868F-8656DAE3F0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A8ECAA-387E-4CB7-871C-D7188D1942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8CF0C7A2-2EF0-4629-B9DC-C49CAC9C8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327F5BD9-DB9B-47B2-B706-31D369D2CF2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8EE674E2-1F7F-49F9-B79F-4EB5C83D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6879B9CA-48FB-4094-A245-BD48A32C59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2EF1D563-DCFA-4B46-827C-A6B91471B2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AE6735FB-A8E5-4564-B64C-F27C02914E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44A572F0-AD7A-4950-B80F-CB962AAEE9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635C30FA-F7E0-479F-88FB-B2426C61C9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810DCAFD-0D35-4FF3-8159-66AA698B93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53B75513-93E2-45B6-860A-F44045030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9EA98EC6-D361-4314-91BB-B77613D5B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AG13:AI13</xm:sqref>
        </x14:conditionalFormatting>
        <x14:conditionalFormatting xmlns:xm="http://schemas.microsoft.com/office/excel/2006/main">
          <x14:cfRule type="dataBar" id="{0501AED1-174C-4642-9296-A0890EE5D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70ADF429-2FF1-4F37-A86C-6EDDCA779F5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D97D6983-0C1B-4E60-9C2F-F729CEC00A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E1FF7AE1-D0D8-4ACA-AB8F-726597EC4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867BF441-651D-43F9-9D8F-637C255F270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4DD0716A-4CEC-4D40-A8DA-B57FC66AAC8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DBE3B5B5-9E79-474A-8087-2CD320DB89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AG13</xm:sqref>
        </x14:conditionalFormatting>
        <x14:conditionalFormatting xmlns:xm="http://schemas.microsoft.com/office/excel/2006/main">
          <x14:cfRule type="dataBar" id="{BB0E838B-B190-4751-AFF2-844FDFC8873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974A6778-8AFC-483B-B2C2-79576835F9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AI13</xm:sqref>
        </x14:conditionalFormatting>
        <x14:conditionalFormatting xmlns:xm="http://schemas.microsoft.com/office/excel/2006/main">
          <x14:cfRule type="dataBar" id="{44C988A9-5C07-43C1-B65C-7E9A3AA3F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6CAC2E-E743-4C7C-A6F1-6D573373B1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6F48EDEF-BDF2-410B-B8B3-2BD76F521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3D6CD7-8C9A-4911-BF15-7DA0D3EAFA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20E8AF7F-D2FC-4326-B075-DE9C437BD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96029D8A-EC80-4110-8569-C8CC275AF4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E94A9BFA-F4DF-4F04-95E7-7B98C92CE9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E6288E-51DC-4A18-B9D9-E65A7EFA9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C7BFCA20-13A3-49D5-A575-8DFA29699D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7A18EC2F-EC2D-461D-A071-932D9FD8F4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3450C9DD-B627-4455-A212-53C9A8E6A4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2678A37E-B465-40BC-9A2F-2D1CD6C5AC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83B98BF7-356E-4C52-996B-59B594308E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11C0E202-DF82-4B27-9032-C85D32F847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489DB86A-F5EF-4599-A7A6-F88A52A9A2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EE94B0D8-61B1-4EA3-9C05-44284285A1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69ACA52B-6950-482D-9758-2E3F496D59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84742EC1-C3A0-441A-B5B1-A7B547376A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4B22CD15-EF11-402D-B2FD-4136C8FACB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2A53B80A-2710-4138-9327-E408DF6A1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BD79B53C-65B2-4FBB-9FD7-44CAD0B330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2FF43247-94E5-47E4-A67B-F7EAF91488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M27</xm:sqref>
        </x14:conditionalFormatting>
        <x14:conditionalFormatting xmlns:xm="http://schemas.microsoft.com/office/excel/2006/main">
          <x14:cfRule type="dataBar" id="{ADBD5F14-149C-4965-BF86-7C949B6F0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N27</xm:sqref>
        </x14:conditionalFormatting>
        <x14:conditionalFormatting xmlns:xm="http://schemas.microsoft.com/office/excel/2006/main">
          <x14:cfRule type="dataBar" id="{4775520A-8C9B-4731-A815-8BE0EFF0F5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B2506F66-9F94-4029-A11C-A9E1EC66C5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A55A2C0-F78B-4C2B-81B4-A5DC23D5C9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E3E5A71C-F16E-4F4D-9C6D-50EAE6532F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5B67CF-F775-417F-9BEF-8955ADEEE9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6A07555E-430E-43AD-9FBF-99EF9082D0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FEF83FC0-859C-46DE-8DB4-449E2CB9A3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821005E8-AAFB-4B78-AD2C-6052B6116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F9DA7F-1C16-429F-A55D-1CC643E41C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DBB29866-D59B-4A91-AF7C-20F24F747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44A2543B-F2A2-418D-AADD-69A4292FE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268DAA89-B414-47B5-A633-7E1C6DDA2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92424EB9-D892-4581-A693-F8077F2ED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2EED8B15-24B9-43A5-B489-71996BB5A1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B96EDE1B-3A65-4ACE-9E60-F3CC27560E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5943BFB3-E9D3-4E3D-A853-6E9C79A89E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D3C79E63-74BC-48CB-B283-87764F5CD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1AED35DC-6CFA-48A2-8513-FE3F9A374A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F4A5933D-1C2F-41A4-BA5F-1E521EC2CD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4738E92A-06E6-4338-8DC4-F8534E2EF9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0C9851FE-6C7D-42F5-B2A5-E9AC45665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A15E9DC6-D40F-4136-982B-38BFA1F7BC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62CE0484-56D0-45C9-BA14-5C3C7433A2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166F1808-E6B1-4B31-B69C-6FAFCE37F4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CAE3A286-A3BF-43E8-B3C5-91B6A3FDB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F1B929C5-F0E4-485F-8F49-B532126F89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ABE34B1-DA69-480B-86B0-E2F802F3CC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FA178CDD-2F47-49DB-B6E7-36A4E50256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1D57F0D-D9C9-4CF0-A1C6-9D0625C5E52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3BCD24B5-A5E2-4494-BA86-F2A2B6A431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1A048B57-1D0A-4369-A857-B5A3F5FC1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5F86DA9F-7327-412A-A74F-744AA1B0D5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611808-BF7A-4D66-A5FA-1F10CD6FBF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AB8B9FF3-591F-4D24-B312-46A131B84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84CCA92A-9CA3-47BD-BD83-8F867072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305E559C-9B6D-441C-804A-551713798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49C359E7-705F-46A2-AB4D-0983035C08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F9B4ECA8-5E3D-4D9E-8F9B-FB8DFFCC14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7896BAAD-5B57-4AEE-920D-4F62EACB13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9D7DF793-066E-420D-B974-1E38CC42E5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9429F7A3-E59B-4A4B-8DF0-589A45141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CFF46FCF-080F-457E-8240-5004EF2202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C2EB294A-FD16-4B55-8D91-B3CFD0A17C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D97E1820-BE19-4634-B938-F74E7472D6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E52328CB-1E81-4BE9-BCCE-CFF8B8A247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3A409C4E-148C-406F-A3A8-26E479A57C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514F06F4-7BD5-4786-BD77-86C2CC06F0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M29</xm:sqref>
        </x14:conditionalFormatting>
        <x14:conditionalFormatting xmlns:xm="http://schemas.microsoft.com/office/excel/2006/main">
          <x14:cfRule type="dataBar" id="{4BDFD51B-5F53-462F-AFED-A2306071CD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N29</xm:sqref>
        </x14:conditionalFormatting>
        <x14:conditionalFormatting xmlns:xm="http://schemas.microsoft.com/office/excel/2006/main">
          <x14:cfRule type="dataBar" id="{268DD3C5-B13F-433F-AE8B-2F223F3C0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F5BCA6B4-1D70-4514-809B-EFE76044C5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38D7FB7-9CF9-4103-815C-40CB2F91B4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CEB70277-441B-4754-A5A7-888BE0F25A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0450253-6FDA-452B-A9B7-CEB11B5E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6895DAFF-405E-41B9-AAEC-75DF463EF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42B77CC1-5123-49D3-82BB-BBDABAB07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9EF67241-F510-43AA-A8F9-6C594DDBA6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588891-B091-4C1D-A865-0303ACA99C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B494D0B2-5CD3-48FF-81D2-E29F802D9B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7D113ED9-0D58-40F5-831F-DABA92B881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DD87FF70-7015-4D33-AB7E-E6AE054E9C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30FC67A9-E3D3-480F-9149-3C7DB6D869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C98EF4FF-F61D-4A77-8F81-1318FACF79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D54F5326-F4C0-41BC-ABF4-F8101718D2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29D46D96-E1C2-46EB-82EB-7F94A6F4AB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9357F4CC-FD7F-4301-81B5-C6C891A5B1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0424503-B476-4FC8-95CC-7947BD4B2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7E96AB93-DEB2-4113-8F8A-CDBB9D05C3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3E522C79-D03B-4F31-B481-9F2DB441A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9EDDB122-EC58-4793-9AFB-BC32C55A8E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3710E512-E306-4398-820A-C00591590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BCD77CE0-6962-4C38-8D06-3CC4C2C8A3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M30</xm:sqref>
        </x14:conditionalFormatting>
        <x14:conditionalFormatting xmlns:xm="http://schemas.microsoft.com/office/excel/2006/main">
          <x14:cfRule type="dataBar" id="{E7C74F3C-6F2E-46CC-820F-7988D43508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E4A602CF-5A07-4CD4-B817-8F54EF53FB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0E031E70-1225-4D4D-AD30-88A19BC1C9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97AB2B19-37BD-43B9-ADBE-5CDF0C10C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25BF6A-9444-4C42-9630-40ACA95E1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D24C4D07-A5A7-4C06-B1BC-B95E3A3A415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F8CB9F92-2138-47A5-9807-3A192A8C48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B6C526A-1A6E-47AE-8294-B499C7B3E0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8F49BB16-265C-4199-8D63-1128543A0A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4BEC6A2E-C4A8-4B52-8637-EDA63C5EFB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20725A-8089-4197-A1A7-59E5080930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E303482E-817E-4DB2-AC81-8235CED616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A6A5FD63-F568-4A99-B28B-86E9E780B87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526C934D-B4DF-47BB-A0DE-939B8FC7A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9DAB50D8-5FA3-4AC0-AA64-FFF61DFDED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7E7660FA-05E6-4828-99AC-954628267DC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760516F6-6F34-4FAB-B48C-17D17BC14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79199C07-39B3-475A-878E-FB8B1E13BD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AACA82DE-2C4C-4266-B332-44AF00F7652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9C171AC1-3CE4-424D-9AC5-A0D7C233B8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D25D0CE2-8365-4D60-8700-26C6B1AC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DFD3C744-78CD-415A-9D93-014E48178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AG14:AI14</xm:sqref>
        </x14:conditionalFormatting>
        <x14:conditionalFormatting xmlns:xm="http://schemas.microsoft.com/office/excel/2006/main">
          <x14:cfRule type="dataBar" id="{27970144-0E87-4336-AC6F-87B6E01CA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5452F586-6FC4-40B3-B47A-DDD9028B675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311BCF19-BD66-4A49-8379-15BD3B3496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6A99E651-0C7D-4037-A2E1-EBDCBF1379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487D79B8-2E14-480C-B9E2-8070B3E9DA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B698F47D-6AD3-4725-9729-CD1F07F93E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A973BC85-C9BD-4E55-AF55-6AA1DD6830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AG14</xm:sqref>
        </x14:conditionalFormatting>
        <x14:conditionalFormatting xmlns:xm="http://schemas.microsoft.com/office/excel/2006/main">
          <x14:cfRule type="dataBar" id="{DB41795A-721C-42F7-B3F7-1948CCF575B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AH14</xm:sqref>
        </x14:conditionalFormatting>
        <x14:conditionalFormatting xmlns:xm="http://schemas.microsoft.com/office/excel/2006/main">
          <x14:cfRule type="dataBar" id="{42A08C95-9AC7-436A-AD80-8BF0F1FFAE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AI14</xm:sqref>
        </x14:conditionalFormatting>
        <x14:conditionalFormatting xmlns:xm="http://schemas.microsoft.com/office/excel/2006/main">
          <x14:cfRule type="dataBar" id="{5BC96B3B-1580-4A89-BA60-AB32111CCFE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2CF613D8-8819-4A8A-A2EB-C879EF6581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2A4B99F-33DA-456F-9B8F-B21CB7A67A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A616F800-8FEA-4B24-8346-4A5879148A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AC4D07E1-1510-4BE0-A0A4-0BBDD5FA6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A3C883-B592-4C8F-A310-4C8267E7C1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3BA204CB-488E-4A1E-96F4-05B37BB654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6F3ED8D8-35F5-41A2-949C-F96EE96150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1C8068D-5CF6-4A05-9C4F-404A70EA37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7014595B-F62E-4EC2-8CFA-C9816D086C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A4F66854-5A61-44A7-87F4-75359B98AA0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430C6184-08CB-45E1-A4BB-E27E17527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79A13EA6-8AD3-4B86-A369-70F4180E8E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F9DE765F-4813-42F0-9000-0CC2FD775A2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3770D5E6-4815-43C6-A32D-1E74DEB8AD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33C01BAB-7439-414F-94B9-F95BD99FDD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9B253508-9722-4479-B498-3963C2FD28A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3F76C32B-EBB3-48CA-BF90-1BFFB6F35D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FC37F5F5-ECA0-470E-958A-7E2629BC3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531F408A-C6A2-42B9-9EAE-B0216C44AD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AG15:AI15</xm:sqref>
        </x14:conditionalFormatting>
        <x14:conditionalFormatting xmlns:xm="http://schemas.microsoft.com/office/excel/2006/main">
          <x14:cfRule type="dataBar" id="{AAFBB4B1-84C9-4C84-9B6A-8819EA9B36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8B396E97-EACC-452E-B24B-641E2D85522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7F4BEF04-A984-4FCE-AC0C-3BC09798D3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48F1461B-B676-4FED-85C4-448C169607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B9B8E0CA-A4C3-403E-8A0B-3F5D0740DE0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448CD485-B171-47CA-B9E7-285FE966B4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86892E0E-F946-4F9D-AB14-CDDB345ED7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AG15</xm:sqref>
        </x14:conditionalFormatting>
        <x14:conditionalFormatting xmlns:xm="http://schemas.microsoft.com/office/excel/2006/main">
          <x14:cfRule type="dataBar" id="{42A603C2-1534-43F2-AEA8-739CA3B79B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AH15</xm:sqref>
        </x14:conditionalFormatting>
        <x14:conditionalFormatting xmlns:xm="http://schemas.microsoft.com/office/excel/2006/main">
          <x14:cfRule type="dataBar" id="{0BDE9C10-BBCF-4C55-B46B-94BE6E0BCF6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AI15</xm:sqref>
        </x14:conditionalFormatting>
        <x14:conditionalFormatting xmlns:xm="http://schemas.microsoft.com/office/excel/2006/main">
          <x14:cfRule type="dataBar" id="{97EE1564-A88E-4D0F-B606-561C40D3A8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32E05C1-12CD-42D1-A990-58017EBE20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BA8EA50C-406B-4491-A8FC-9536422E9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CE0CCC-2D4E-4C2F-AAD3-90BC0E1AC7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DA5017A0-F456-479A-A157-6532D64E0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A5B78F2F-796F-4E0B-BD37-7B19553616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3EDC7BCD-1C54-49A6-9208-73307310D0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DC990B-A956-4E81-9D95-0124DB9B5D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873D39A9-B6C6-4805-AB36-DB28EAF17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786928D3-C5A3-40B0-B9FE-9C9A1D4C1E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CCCFAD64-B01D-425C-B0C6-A3C4101A4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3D60C493-64F6-4733-9AFA-3799C9B1A8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B61ECEC0-E1A1-476D-A58F-497AF9F9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7AB2EDA6-AFE4-48DC-8AE1-32CFFC6347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046B743C-4382-4A68-A2B5-D8AEDC0AB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F79F415-50B5-401A-9558-40BBA9ED3E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7DCA2E64-D80C-4469-8A63-CFE5CB6A5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500C6B9D-C62B-4F7C-8B7D-FE0AFD2CF8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A340382E-69DF-4489-9555-18652073F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C9DBE8E2-66F1-4BA8-8250-03FA24F1A4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C3DBED29-E050-41A8-8948-3EAD3EE53D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99DF8B27-76AF-42C5-AE1C-7AF4514199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M31</xm:sqref>
        </x14:conditionalFormatting>
        <x14:conditionalFormatting xmlns:xm="http://schemas.microsoft.com/office/excel/2006/main">
          <x14:cfRule type="dataBar" id="{36471558-920F-4474-BA66-D8DB91C3ED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B25AEF0D-150D-44D3-9907-1B09F0EF70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9CC0C3DA-F6E9-4D12-90A8-4B3535535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45A3258-BB33-4802-A737-5CEF860C66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80460472-888E-4C4E-B0FE-0D5719B4C4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9227EEC-D91A-490D-AA81-5E0D7A82D7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78D133B6-BA31-41F8-B0D3-6616BB2837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F8D0A93E-249F-4BF5-ADD9-E79C0ADE14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7AC2F2E9-C2B0-4B7F-8254-833D8CF573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9356113-0591-442A-8DC5-8C5F6B6841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77E000EA-A590-473D-AA07-A89EA04BDF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C952C3EF-F017-4C7B-8821-0B35E16C2E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D9C1E47D-FF3B-4DA4-B033-5F7390BCE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23BD5973-7060-47F8-8F1A-8CF4B93665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237C1162-1876-4046-9389-431EC0D86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16A11201-46AF-434E-A412-702C7FA1A0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8B29FF43-B306-48EA-9EC7-EDA893EAE1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53110886-B19E-43EF-8F22-3FAE52643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645406D0-13AB-488A-AE7D-07919C738E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2DE8DFF8-3B2A-4062-A7EC-F42C963873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934C99BD-B678-429E-A406-A9A650466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CB5C8C29-72AD-423F-B608-679BA1E8FF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316EE6DA-D58D-41CE-BC5B-E7E61A5C71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27EBA902-C583-4A7E-98EB-DB4A8F9C12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M32</xm:sqref>
        </x14:conditionalFormatting>
        <x14:conditionalFormatting xmlns:xm="http://schemas.microsoft.com/office/excel/2006/main">
          <x14:cfRule type="dataBar" id="{F06CFC4F-C697-4773-B73B-99ED85CFE7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N32</xm:sqref>
        </x14:conditionalFormatting>
        <x14:conditionalFormatting xmlns:xm="http://schemas.microsoft.com/office/excel/2006/main">
          <x14:cfRule type="dataBar" id="{D718728B-C1E3-45CB-A6CE-BBC7C2F13D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9A1AFCC6-040D-49F6-9110-343CCEE3D5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F11F7B-4CD0-4E32-935C-FF12F4743B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939D210B-ACB9-4C67-9447-F4FB9B0DEC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5085D4-C7EA-4A56-9B8C-5E94ECF10DC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89103EED-D0E8-4DA2-BDD6-BAE912BBB6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534E3132-83A1-4956-BC25-7B1A9C0444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06BE5489-18DF-490D-B788-9BAC04FA2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026BC2-8515-4A59-ABBA-2321F899E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8DAD76C1-C7FC-4AA9-AFF1-263B8851D3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4B3F2245-7105-48C2-A77A-F4C251E06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3D40F1DB-6EC4-4055-9983-0D5471894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6BA09D86-1EC7-48AF-BC74-96D1C1E2C3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459DF694-1E86-4ED3-AD7E-A963771D1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6F50FE2F-29F5-4318-AE52-DB77E31B28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FE77ABD3-0C45-47FE-899F-DC55FCF0D2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BBE1748E-8AB2-4E5E-9379-A321D25D21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2C3B9692-5367-407F-966D-2B7C845332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438A285C-11DA-41FB-9C56-42A3E87071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43AA6F87-D32E-4B1A-8DFB-ADF680CF14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755B5C9A-FE31-4C61-9874-1BA164521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C4A8AA20-E262-4708-9E85-5F89AA93D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5D10AB95-3C4B-4F0C-8E29-BD800D3438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BB293DE9-C6C5-48CF-8BA9-5046EF2259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46FE4B58-168E-496F-8BE0-F48A80391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9D0126B0-81A9-4648-8FFF-AA0CEDBE0E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DB3076D-27B8-473A-8FDD-6E4400819F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84C57FA1-4B01-4385-A56D-1048B43CAC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8A196A1-7AE0-4F7E-95C2-3FE043D6B5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8D3CEFF8-AC03-4F9F-B82E-CF5AB21FAF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EC5FD38D-BE6E-4A6F-8F24-13D076D109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1B321CEA-E4A6-4A49-89E0-DFA99DF62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180DC5B-98D7-415D-8DD2-C0C93E5104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5EFA48BF-4804-4D63-8C59-305EB0E184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9BC59683-C8C7-4471-9F4F-6877152362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B328BC32-435F-4024-B6DB-140A4CAE01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2F4551E3-1175-4522-A878-9F6FBAD01C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7B91D71B-95FF-4559-A222-F247D07DB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336808B9-6AEC-40DB-A73D-9D0014B98E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6155C56F-09D0-46B7-A29F-5C2F7E5CF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CC5CD3C7-8EB9-422E-BEEA-70B7E4FC11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87EC7AC7-14D1-4398-A5BA-AF57C16AD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D3A3B332-AC8B-4B02-BDD1-8A9FA1C004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CB4DE8BD-4A56-4165-96B9-51675D8635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24AAB8A5-7A08-4FAE-ABEB-456681BE27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EA59267F-B773-4587-A484-722590E903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8AEFE903-9952-48AB-A4FA-E4F14CF64B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M34</xm:sqref>
        </x14:conditionalFormatting>
        <x14:conditionalFormatting xmlns:xm="http://schemas.microsoft.com/office/excel/2006/main">
          <x14:cfRule type="dataBar" id="{AFE165DB-941A-4AAE-9D01-97879996C4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N34</xm:sqref>
        </x14:conditionalFormatting>
        <x14:conditionalFormatting xmlns:xm="http://schemas.microsoft.com/office/excel/2006/main">
          <x14:cfRule type="dataBar" id="{BACF55B9-630B-4306-BC3C-44BA2E6F98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7740F804-0189-4C1A-B780-8949AA054CF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4A999207-A7FD-4E2A-9B3B-779240D018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33043B-4E5D-4016-AF7B-1E203EA20B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E8C03599-7F94-412D-89AC-56504C8645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18AC045C-9226-449C-867D-A0DA3E6FA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988999D-2B67-4437-8BB4-87B9FCE55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064B7E81-8830-4ECF-A1C8-EA987E11EB4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533CC013-5E7F-4404-A773-52BE5CB5D3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2AAD04-860A-43AE-9E0C-D4B02D5ACE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F70E65E0-0A90-47CD-B203-9C2FA42B0B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4D7665E4-202E-48BD-A3BC-D59DC9B259F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7AB9204B-C50E-45D3-951E-FE85D0080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3C8350AD-CE68-49BA-BC33-82C6EB9175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95E457AE-934E-45AC-A882-F5AF2E8C0A6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F06C3656-9647-4943-B3CD-F3B5CBFBC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50DAD89D-356E-40E8-8F18-39034EE641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3FC3D27A-3520-43CC-9E5A-D71D646F59F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81D2AF95-A92C-49CF-9057-3E363909A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D42F3FAA-DD0E-4CA6-9EF8-8582BE512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1B17849A-E50A-4E01-B9CA-B43E1B3316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AG16:AI16</xm:sqref>
        </x14:conditionalFormatting>
        <x14:conditionalFormatting xmlns:xm="http://schemas.microsoft.com/office/excel/2006/main">
          <x14:cfRule type="dataBar" id="{336789AB-E343-482E-906A-11013B5969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52600021-21D1-4C65-BECC-664DFCBCC1E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A6DCD199-0213-42C9-ACC9-A73B327088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9DC2560E-38A5-456A-B40C-5A021588A9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68298160-5010-49A4-B070-024688AD6C6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5FB8B3E3-7E81-4262-9880-6E921B5EDDD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C2AA0967-0B76-4E52-88DC-0C0BC416A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AG16</xm:sqref>
        </x14:conditionalFormatting>
        <x14:conditionalFormatting xmlns:xm="http://schemas.microsoft.com/office/excel/2006/main">
          <x14:cfRule type="dataBar" id="{AA554151-A60A-4560-954F-13B23E54DA2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AH16</xm:sqref>
        </x14:conditionalFormatting>
        <x14:conditionalFormatting xmlns:xm="http://schemas.microsoft.com/office/excel/2006/main">
          <x14:cfRule type="dataBar" id="{D671C1B2-F40A-4728-A95D-7783F46533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AI16</xm:sqref>
        </x14:conditionalFormatting>
        <x14:conditionalFormatting xmlns:xm="http://schemas.microsoft.com/office/excel/2006/main">
          <x14:cfRule type="dataBar" id="{556A567B-D5DB-43D1-A6C4-22B249398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AB7:AB34</xm:sqref>
        </x14:conditionalFormatting>
        <x14:conditionalFormatting xmlns:xm="http://schemas.microsoft.com/office/excel/2006/main">
          <x14:cfRule type="dataBar" id="{A139EE4D-D793-43FE-8DE8-B63D18B040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AC7:AC34</xm:sqref>
        </x14:conditionalFormatting>
        <x14:conditionalFormatting xmlns:xm="http://schemas.microsoft.com/office/excel/2006/main">
          <x14:cfRule type="dataBar" id="{2B5EDC2C-D5A1-4CFA-858A-0A63AF8ACA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AD7:AD34</xm:sqref>
        </x14:conditionalFormatting>
        <x14:conditionalFormatting xmlns:xm="http://schemas.microsoft.com/office/excel/2006/main">
          <x14:cfRule type="dataBar" id="{B0FF600A-BAD5-4393-927F-CACA5CC019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B56ADC2D-5FD1-4012-80C9-F6C30512FB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255488-1F96-46AD-8719-A5EB81405E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39FC0EF7-FEFB-414A-AEFA-D966F59A225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0E096815-1A8E-41D9-8485-AB730D088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26FF3E-239C-4DF6-AE80-E786736853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4E324402-5DAA-4CD1-89E1-AC548113142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3DB80637-898B-4AF8-9DB0-71BFE896A3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064836-79AD-4369-B744-331D65297D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DBC86098-7A7F-40D5-81BD-D74B75333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2A7869A1-71F7-41B6-84E6-FE6406844EB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0E8867D5-FB66-4B52-9E17-80A8C20649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804DE751-7500-49FD-88D7-E2C68E163C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9981E01A-4349-427B-AD5B-8BC644F6A8B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5FCB5438-2EB8-4093-BAA3-3A1498AD8C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70D4C980-4567-4AF9-9E69-6529DB7FFD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0509887D-B380-4B45-90E6-E3E088F95E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DAED5D79-C74D-4AF2-9CD5-2352873331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B22E03B5-3F51-401D-A09D-85CA7F2C78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50C78BE1-52A3-4465-B64E-A7A22B10BF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AG17:AI17</xm:sqref>
        </x14:conditionalFormatting>
        <x14:conditionalFormatting xmlns:xm="http://schemas.microsoft.com/office/excel/2006/main">
          <x14:cfRule type="dataBar" id="{0DB90B58-DE85-4FA1-9DAA-A3927517A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843DCDDF-343A-48D7-BC2F-C198A199EEE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D2403909-2BBE-4069-B0D5-CCF874ABB03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0944E04E-4701-43AB-9F9F-B21592C7AE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7A5CDCCA-E7C2-4C7E-955A-52D8C408DE3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E86CB84A-4F0F-4E95-BA78-4C2B149A47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B415DADD-B8B9-4B4E-8BD3-9B795B4A3B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AG17</xm:sqref>
        </x14:conditionalFormatting>
        <x14:conditionalFormatting xmlns:xm="http://schemas.microsoft.com/office/excel/2006/main">
          <x14:cfRule type="dataBar" id="{D75C08D7-AFB4-4CD7-BF4E-35F5D3BDB5A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AH17</xm:sqref>
        </x14:conditionalFormatting>
        <x14:conditionalFormatting xmlns:xm="http://schemas.microsoft.com/office/excel/2006/main">
          <x14:cfRule type="dataBar" id="{08F8A88F-03CB-406C-8D64-5AFECE182D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AI17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55C5-3D49-476A-93D1-1B08F15089F7}">
  <dimension ref="B2:AB30"/>
  <sheetViews>
    <sheetView zoomScale="70" zoomScaleNormal="70" workbookViewId="0">
      <selection activeCell="Q25" sqref="Q25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506" t="s">
        <v>251</v>
      </c>
      <c r="C2" s="506"/>
      <c r="D2" s="506"/>
      <c r="E2" s="507" t="s">
        <v>252</v>
      </c>
      <c r="F2" s="506" t="s">
        <v>253</v>
      </c>
      <c r="G2" s="508" t="s">
        <v>32</v>
      </c>
      <c r="H2" s="509"/>
      <c r="I2" s="510"/>
      <c r="J2" s="511" t="s">
        <v>205</v>
      </c>
      <c r="K2" s="504" t="s">
        <v>29</v>
      </c>
      <c r="L2" s="504" t="s">
        <v>311</v>
      </c>
      <c r="M2" s="504" t="s">
        <v>256</v>
      </c>
      <c r="N2" s="504" t="s">
        <v>257</v>
      </c>
      <c r="O2" s="504" t="s">
        <v>210</v>
      </c>
      <c r="P2" s="504" t="s">
        <v>258</v>
      </c>
      <c r="Q2" s="504" t="s">
        <v>259</v>
      </c>
      <c r="R2" s="504" t="s">
        <v>260</v>
      </c>
      <c r="S2" s="504" t="s">
        <v>261</v>
      </c>
      <c r="T2" s="504" t="s">
        <v>262</v>
      </c>
      <c r="U2" s="504" t="s">
        <v>263</v>
      </c>
      <c r="V2" s="504" t="s">
        <v>264</v>
      </c>
      <c r="W2" s="504" t="s">
        <v>265</v>
      </c>
      <c r="X2" s="497"/>
      <c r="Y2" s="498" t="s">
        <v>267</v>
      </c>
      <c r="Z2" s="498" t="s">
        <v>219</v>
      </c>
      <c r="AA2" s="498" t="s">
        <v>220</v>
      </c>
      <c r="AB2" s="499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507"/>
      <c r="F3" s="506"/>
      <c r="G3" s="321" t="s">
        <v>31</v>
      </c>
      <c r="H3" s="322" t="s">
        <v>126</v>
      </c>
      <c r="I3" s="323" t="s">
        <v>272</v>
      </c>
      <c r="J3" s="512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497"/>
      <c r="Y3" s="498"/>
      <c r="Z3" s="498"/>
      <c r="AA3" s="498"/>
      <c r="AB3" s="499"/>
    </row>
    <row r="4" spans="2:28">
      <c r="B4" s="324"/>
      <c r="C4" s="324" t="str">
        <f>'Динамика финансы'!B33</f>
        <v>22-31.12 очки</v>
      </c>
      <c r="D4" s="324">
        <f>'Динамика финансы'!C33</f>
        <v>0</v>
      </c>
      <c r="E4" s="324">
        <f>'Динамика финансы'!D33</f>
        <v>0</v>
      </c>
      <c r="F4" s="324">
        <f>'Динамика финансы'!E33</f>
        <v>12664.660000000003</v>
      </c>
      <c r="G4" s="324">
        <f>'Динамика финансы'!I33</f>
        <v>139134.00000000003</v>
      </c>
      <c r="H4" s="324">
        <f>'Динамика финансы'!J33</f>
        <v>-5434</v>
      </c>
      <c r="I4" s="324">
        <f>'Динамика финансы'!K33</f>
        <v>133700.00000000003</v>
      </c>
      <c r="J4" s="324">
        <f>'Динамика финансы'!L33</f>
        <v>12820.230000000001</v>
      </c>
      <c r="K4" s="324">
        <f>'Динамика финансы'!M33</f>
        <v>13321.350000000002</v>
      </c>
      <c r="L4" s="324">
        <f>'Динамика финансы'!N33</f>
        <v>57491.000000000029</v>
      </c>
      <c r="M4" s="324">
        <f>'Динамика финансы'!O33</f>
        <v>0</v>
      </c>
      <c r="N4" s="324">
        <f>'Динамика финансы'!P33</f>
        <v>0</v>
      </c>
      <c r="O4" s="324">
        <f>'Динамика финансы'!Q33</f>
        <v>0</v>
      </c>
      <c r="P4" s="324">
        <f>'Динамика финансы'!R33</f>
        <v>44059.45</v>
      </c>
      <c r="Q4" s="324">
        <f>'Динамика финансы'!S33</f>
        <v>25</v>
      </c>
      <c r="R4" s="324">
        <f>'Динамика финансы'!T33</f>
        <v>2416.34</v>
      </c>
      <c r="S4" s="324">
        <f>'Динамика финансы'!U33</f>
        <v>3722.2</v>
      </c>
      <c r="T4" s="324">
        <f>'Динамика финансы'!V33</f>
        <v>0</v>
      </c>
      <c r="U4" s="324">
        <f>'Динамика финансы'!W33</f>
        <v>0</v>
      </c>
      <c r="V4" s="324">
        <f>'Динамика финансы'!X33</f>
        <v>1337.0000000000002</v>
      </c>
      <c r="W4" s="324">
        <f>'Динамика финансы'!Y33</f>
        <v>-1492.5699999999981</v>
      </c>
      <c r="X4" s="325"/>
      <c r="Y4" s="326">
        <f>'Динамика финансы'!AA33</f>
        <v>9.5888032909498863E-2</v>
      </c>
      <c r="Z4" s="326">
        <f>'Динамика финансы'!AB33</f>
        <v>-0.11642302829200396</v>
      </c>
      <c r="AA4" s="326">
        <f>'Динамика финансы'!AC33</f>
        <v>-1.1163575168287193E-2</v>
      </c>
      <c r="AB4" s="326">
        <f>'Динамика финансы'!AD33</f>
        <v>0.32953964098728489</v>
      </c>
    </row>
    <row r="5" spans="2:28">
      <c r="B5" s="324"/>
      <c r="C5" s="324" t="str">
        <f>'Динамика финансы'!B34</f>
        <v>22-31.12 туники</v>
      </c>
      <c r="D5" s="324">
        <f>'Динамика финансы'!C34</f>
        <v>0</v>
      </c>
      <c r="E5" s="324">
        <f>'Динамика финансы'!D34</f>
        <v>0</v>
      </c>
      <c r="F5" s="324">
        <f>'Динамика финансы'!E34</f>
        <v>-284.7</v>
      </c>
      <c r="G5" s="324">
        <f>'Динамика финансы'!I34</f>
        <v>0</v>
      </c>
      <c r="H5" s="324">
        <f>'Динамика финансы'!J34</f>
        <v>0</v>
      </c>
      <c r="I5" s="324">
        <f>'Динамика финансы'!K34</f>
        <v>0</v>
      </c>
      <c r="J5" s="324">
        <f>'Динамика финансы'!L34</f>
        <v>0</v>
      </c>
      <c r="K5" s="324">
        <f>'Динамика финансы'!M34</f>
        <v>284.7</v>
      </c>
      <c r="L5" s="324">
        <f>'Динамика финансы'!N34</f>
        <v>0</v>
      </c>
      <c r="M5" s="324">
        <f>'Динамика финансы'!O34</f>
        <v>0</v>
      </c>
      <c r="N5" s="324">
        <f>'Динамика финансы'!P34</f>
        <v>0</v>
      </c>
      <c r="O5" s="324">
        <f>'Динамика финансы'!Q34</f>
        <v>0</v>
      </c>
      <c r="P5" s="324">
        <f>'Динамика финансы'!R34</f>
        <v>0</v>
      </c>
      <c r="Q5" s="324">
        <f>'Динамика финансы'!S34</f>
        <v>0</v>
      </c>
      <c r="R5" s="324">
        <f>'Динамика финансы'!T34</f>
        <v>0</v>
      </c>
      <c r="S5" s="324">
        <f>'Динамика финансы'!U34</f>
        <v>0</v>
      </c>
      <c r="T5" s="324">
        <f>'Динамика финансы'!V34</f>
        <v>0</v>
      </c>
      <c r="U5" s="324">
        <f>'Динамика финансы'!W34</f>
        <v>0</v>
      </c>
      <c r="V5" s="324">
        <f>'Динамика финансы'!X34</f>
        <v>0</v>
      </c>
      <c r="W5" s="324">
        <f>'Динамика финансы'!Y34</f>
        <v>-284.7</v>
      </c>
      <c r="X5" s="325"/>
      <c r="Y5" s="326" t="e">
        <f>'Динамика финансы'!AA34</f>
        <v>#DIV/0!</v>
      </c>
      <c r="Z5" s="326" t="e">
        <f>'Динамика финансы'!AB34</f>
        <v>#DIV/0!</v>
      </c>
      <c r="AA5" s="326" t="e">
        <f>'Динамика финансы'!AC34</f>
        <v>#DIV/0!</v>
      </c>
      <c r="AB5" s="326" t="e">
        <f>'Динамика финансы'!AD34</f>
        <v>#DIV/0!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12379.960000000003</v>
      </c>
      <c r="G8" s="327">
        <f t="shared" ref="G8:W8" si="0">G4+G5+G6+G7</f>
        <v>139134.00000000003</v>
      </c>
      <c r="H8" s="327">
        <f t="shared" si="0"/>
        <v>-5434</v>
      </c>
      <c r="I8" s="327">
        <f t="shared" si="0"/>
        <v>133700.00000000003</v>
      </c>
      <c r="J8" s="327">
        <f t="shared" si="0"/>
        <v>12820.230000000001</v>
      </c>
      <c r="K8" s="327">
        <f t="shared" si="0"/>
        <v>13606.050000000003</v>
      </c>
      <c r="L8" s="327">
        <f t="shared" si="0"/>
        <v>57491.000000000029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44059.45</v>
      </c>
      <c r="Q8" s="327">
        <f t="shared" si="0"/>
        <v>25</v>
      </c>
      <c r="R8" s="327">
        <f t="shared" si="0"/>
        <v>2416.34</v>
      </c>
      <c r="S8" s="327">
        <f t="shared" si="0"/>
        <v>3722.2</v>
      </c>
      <c r="T8" s="327">
        <f t="shared" si="0"/>
        <v>0</v>
      </c>
      <c r="U8" s="327">
        <f t="shared" si="0"/>
        <v>0</v>
      </c>
      <c r="V8" s="327">
        <f t="shared" si="0"/>
        <v>1337.0000000000002</v>
      </c>
      <c r="W8" s="327">
        <f t="shared" si="0"/>
        <v>-1777.2699999999982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500" t="s">
        <v>763</v>
      </c>
      <c r="D11" s="501"/>
      <c r="E11" s="501"/>
      <c r="F11" s="501"/>
      <c r="G11" s="387" t="s">
        <v>1990</v>
      </c>
      <c r="H11" s="502"/>
      <c r="I11" s="502"/>
      <c r="J11" s="502"/>
      <c r="K11" s="502"/>
      <c r="L11" s="502"/>
      <c r="M11" s="503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90" t="s">
        <v>294</v>
      </c>
      <c r="D13" s="491"/>
      <c r="E13" s="491"/>
      <c r="F13" s="491"/>
      <c r="G13" s="492"/>
      <c r="H13" s="331"/>
      <c r="I13" s="493" t="s">
        <v>304</v>
      </c>
      <c r="J13" s="494"/>
      <c r="K13" s="494"/>
      <c r="L13" s="494"/>
      <c r="M13" s="495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133700.00000000003</v>
      </c>
      <c r="F15" s="335" t="s">
        <v>764</v>
      </c>
      <c r="G15" s="355">
        <f>'Динамика финансы'!K44</f>
        <v>1.316234429949934</v>
      </c>
      <c r="H15" s="331"/>
      <c r="I15" s="353" t="s">
        <v>32</v>
      </c>
      <c r="J15" s="354"/>
      <c r="K15" s="334">
        <f>I5</f>
        <v>0</v>
      </c>
      <c r="L15" s="335" t="s">
        <v>764</v>
      </c>
      <c r="M15" s="355">
        <f>'Динамика финансы'!K45</f>
        <v>-1</v>
      </c>
      <c r="N15" s="331"/>
    </row>
    <row r="16" spans="2:28" ht="16" thickBot="1">
      <c r="B16" s="332"/>
      <c r="C16" s="356" t="s">
        <v>212</v>
      </c>
      <c r="D16" s="357"/>
      <c r="E16" s="339">
        <f>W4</f>
        <v>-1492.5699999999981</v>
      </c>
      <c r="F16" s="340" t="s">
        <v>764</v>
      </c>
      <c r="G16" s="358">
        <f>'Динамика финансы'!Y44</f>
        <v>0.75200979850364069</v>
      </c>
      <c r="H16" s="331"/>
      <c r="I16" s="356" t="s">
        <v>212</v>
      </c>
      <c r="J16" s="357"/>
      <c r="K16" s="339">
        <f>W5</f>
        <v>-284.7</v>
      </c>
      <c r="L16" s="340" t="s">
        <v>764</v>
      </c>
      <c r="M16" s="358">
        <f>'Динамика финансы'!Y45</f>
        <v>-1.1962317957182684</v>
      </c>
      <c r="N16" s="331"/>
    </row>
    <row r="17" spans="2:14" ht="16" thickBot="1">
      <c r="B17" s="332"/>
      <c r="C17" s="363" t="s">
        <v>205</v>
      </c>
      <c r="D17" s="359"/>
      <c r="E17" s="341">
        <f>J4</f>
        <v>12820.230000000001</v>
      </c>
      <c r="F17" s="342" t="s">
        <v>764</v>
      </c>
      <c r="G17" s="358">
        <f>'Динамика финансы'!L44</f>
        <v>1.2534447028301141</v>
      </c>
      <c r="H17" s="331"/>
      <c r="I17" s="363" t="s">
        <v>205</v>
      </c>
      <c r="J17" s="359"/>
      <c r="K17" s="341">
        <f>J5</f>
        <v>0</v>
      </c>
      <c r="L17" s="342" t="s">
        <v>764</v>
      </c>
      <c r="M17" s="358">
        <f>'Динамика финансы'!L45</f>
        <v>-1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96" t="s">
        <v>29</v>
      </c>
      <c r="D19" s="496"/>
      <c r="E19" s="344">
        <f>K4</f>
        <v>13321.350000000002</v>
      </c>
      <c r="F19" s="345" t="s">
        <v>764</v>
      </c>
      <c r="G19" s="346">
        <f>'Динамика финансы'!M41</f>
        <v>9.963612565445025E-2</v>
      </c>
      <c r="H19" s="331"/>
      <c r="I19" s="496" t="s">
        <v>29</v>
      </c>
      <c r="J19" s="496"/>
      <c r="K19" s="344">
        <f>K5</f>
        <v>284.7</v>
      </c>
      <c r="L19" s="345" t="s">
        <v>764</v>
      </c>
      <c r="M19" s="346" t="e">
        <f>'Динамика финансы'!M42</f>
        <v>#DIV/0!</v>
      </c>
      <c r="N19" s="331"/>
    </row>
    <row r="20" spans="2:14" ht="16" thickBot="1">
      <c r="B20" s="332"/>
      <c r="C20" s="496" t="s">
        <v>208</v>
      </c>
      <c r="D20" s="496"/>
      <c r="E20" s="344">
        <f>P4</f>
        <v>44059.45</v>
      </c>
      <c r="F20" s="345" t="s">
        <v>764</v>
      </c>
      <c r="G20" s="346">
        <f>'Динамика финансы'!R41</f>
        <v>0.32953964098728489</v>
      </c>
      <c r="H20" s="331"/>
      <c r="I20" s="496" t="s">
        <v>208</v>
      </c>
      <c r="J20" s="496"/>
      <c r="K20" s="344">
        <f>P5</f>
        <v>0</v>
      </c>
      <c r="L20" s="345" t="s">
        <v>764</v>
      </c>
      <c r="M20" s="346" t="e">
        <f>'Динамика финансы'!R42</f>
        <v>#DIV/0!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88" t="s">
        <v>126</v>
      </c>
      <c r="D22" s="488"/>
      <c r="E22" s="347">
        <f>H4</f>
        <v>-5434</v>
      </c>
      <c r="F22" s="348" t="s">
        <v>764</v>
      </c>
      <c r="G22" s="349">
        <f>'Динамика финансы'!J41</f>
        <v>3.9055874193223789E-2</v>
      </c>
      <c r="H22" s="331"/>
      <c r="I22" s="488" t="s">
        <v>126</v>
      </c>
      <c r="J22" s="488"/>
      <c r="K22" s="347">
        <f>H5</f>
        <v>0</v>
      </c>
      <c r="L22" s="348" t="s">
        <v>764</v>
      </c>
      <c r="M22" s="346" t="e">
        <f>'Динамика финансы'!J42</f>
        <v>#DIV/0!</v>
      </c>
      <c r="N22" s="331"/>
    </row>
    <row r="23" spans="2:14" ht="15.5">
      <c r="B23" s="332"/>
      <c r="C23" s="489" t="s">
        <v>311</v>
      </c>
      <c r="D23" s="489"/>
      <c r="E23" s="360">
        <f>L4</f>
        <v>57491.000000000029</v>
      </c>
      <c r="F23" s="361" t="s">
        <v>764</v>
      </c>
      <c r="G23" s="362">
        <f>'Динамика финансы'!N41</f>
        <v>0.4300000000000001</v>
      </c>
      <c r="H23" s="331"/>
      <c r="I23" s="489" t="s">
        <v>311</v>
      </c>
      <c r="J23" s="489"/>
      <c r="K23" s="360">
        <f>L5</f>
        <v>0</v>
      </c>
      <c r="L23" s="361" t="s">
        <v>764</v>
      </c>
      <c r="M23" s="362" t="e">
        <f>'Динамика финансы'!N42</f>
        <v>#DIV/0!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82" t="s">
        <v>312</v>
      </c>
      <c r="F25" s="483"/>
      <c r="G25" s="350">
        <f>Z4</f>
        <v>-0.11642302829200396</v>
      </c>
      <c r="H25" s="331"/>
      <c r="I25" s="331"/>
      <c r="J25" s="331"/>
      <c r="K25" s="482" t="s">
        <v>312</v>
      </c>
      <c r="L25" s="483"/>
      <c r="M25" s="350" t="e">
        <f>Z5</f>
        <v>#DIV/0!</v>
      </c>
      <c r="N25" s="331"/>
    </row>
    <row r="26" spans="2:14" ht="15.5">
      <c r="B26" s="332"/>
      <c r="C26" s="331"/>
      <c r="D26" s="331"/>
      <c r="E26" s="482" t="s">
        <v>313</v>
      </c>
      <c r="F26" s="483"/>
      <c r="G26" s="350">
        <f>AA4</f>
        <v>-1.1163575168287193E-2</v>
      </c>
      <c r="H26" s="331"/>
      <c r="I26" s="331"/>
      <c r="J26" s="331"/>
      <c r="K26" s="482" t="s">
        <v>313</v>
      </c>
      <c r="L26" s="483"/>
      <c r="M26" s="350" t="e">
        <f>AA5</f>
        <v>#DIV/0!</v>
      </c>
      <c r="N26" s="331"/>
    </row>
    <row r="27" spans="2:14" ht="15.5">
      <c r="B27" s="332"/>
      <c r="C27" s="331"/>
      <c r="D27" s="331"/>
      <c r="E27" s="484" t="s">
        <v>767</v>
      </c>
      <c r="F27" s="485"/>
      <c r="G27" s="350">
        <f>Y4</f>
        <v>9.5888032909498863E-2</v>
      </c>
      <c r="H27" s="331"/>
      <c r="I27" s="331"/>
      <c r="J27" s="331"/>
      <c r="K27" s="484" t="s">
        <v>767</v>
      </c>
      <c r="L27" s="485"/>
      <c r="M27" s="350" t="e">
        <f>Y5</f>
        <v>#DIV/0!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86" t="s">
        <v>765</v>
      </c>
      <c r="G29" s="487"/>
      <c r="H29" s="336"/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X2:X3"/>
    <mergeCell ref="Y2:Y3"/>
    <mergeCell ref="Z2:Z3"/>
    <mergeCell ref="AA2:AA3"/>
    <mergeCell ref="AB2:AB3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E26:F26"/>
    <mergeCell ref="K26:L26"/>
    <mergeCell ref="E27:F27"/>
    <mergeCell ref="K27:L27"/>
    <mergeCell ref="F29:G29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{EE5D98EC-C878-4544-9F41-23D8263B1517}</x14:id>
        </ext>
      </extLst>
    </cfRule>
  </conditionalFormatting>
  <conditionalFormatting sqref="G15">
    <cfRule type="cellIs" dxfId="494" priority="7" operator="greaterThan">
      <formula>0</formula>
    </cfRule>
    <cfRule type="cellIs" dxfId="493" priority="8" operator="lessThanOrEqual">
      <formula>0</formula>
    </cfRule>
  </conditionalFormatting>
  <conditionalFormatting sqref="G16:G17">
    <cfRule type="cellIs" dxfId="492" priority="5" operator="greaterThan">
      <formula>0</formula>
    </cfRule>
    <cfRule type="cellIs" dxfId="491" priority="6" operator="lessThanOrEqual">
      <formula>0</formula>
    </cfRule>
  </conditionalFormatting>
  <conditionalFormatting sqref="M15">
    <cfRule type="cellIs" dxfId="490" priority="3" operator="greaterThan">
      <formula>0</formula>
    </cfRule>
    <cfRule type="cellIs" dxfId="489" priority="4" operator="lessThanOrEqual">
      <formula>0</formula>
    </cfRule>
  </conditionalFormatting>
  <conditionalFormatting sqref="M16:M17">
    <cfRule type="cellIs" dxfId="488" priority="1" operator="greaterThan">
      <formula>0</formula>
    </cfRule>
    <cfRule type="cellIs" dxfId="487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5D98EC-C878-4544-9F41-23D8263B1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5A7F-8C24-4192-92A5-57D577DAFF8B}">
  <dimension ref="B2:AB30"/>
  <sheetViews>
    <sheetView zoomScale="70" zoomScaleNormal="70" workbookViewId="0">
      <selection activeCell="H30" sqref="H30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506" t="s">
        <v>251</v>
      </c>
      <c r="C2" s="506"/>
      <c r="D2" s="506"/>
      <c r="E2" s="507" t="s">
        <v>252</v>
      </c>
      <c r="F2" s="506" t="s">
        <v>253</v>
      </c>
      <c r="G2" s="508" t="s">
        <v>32</v>
      </c>
      <c r="H2" s="509"/>
      <c r="I2" s="510"/>
      <c r="J2" s="511" t="s">
        <v>205</v>
      </c>
      <c r="K2" s="504" t="s">
        <v>29</v>
      </c>
      <c r="L2" s="504" t="s">
        <v>311</v>
      </c>
      <c r="M2" s="504" t="s">
        <v>256</v>
      </c>
      <c r="N2" s="504" t="s">
        <v>257</v>
      </c>
      <c r="O2" s="504" t="s">
        <v>210</v>
      </c>
      <c r="P2" s="504" t="s">
        <v>258</v>
      </c>
      <c r="Q2" s="504" t="s">
        <v>259</v>
      </c>
      <c r="R2" s="504" t="s">
        <v>260</v>
      </c>
      <c r="S2" s="504" t="s">
        <v>261</v>
      </c>
      <c r="T2" s="504" t="s">
        <v>262</v>
      </c>
      <c r="U2" s="504" t="s">
        <v>263</v>
      </c>
      <c r="V2" s="504" t="s">
        <v>264</v>
      </c>
      <c r="W2" s="504" t="s">
        <v>265</v>
      </c>
      <c r="X2" s="497"/>
      <c r="Y2" s="498" t="s">
        <v>267</v>
      </c>
      <c r="Z2" s="498" t="s">
        <v>219</v>
      </c>
      <c r="AA2" s="498" t="s">
        <v>220</v>
      </c>
      <c r="AB2" s="499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507"/>
      <c r="F3" s="506"/>
      <c r="G3" s="321" t="s">
        <v>31</v>
      </c>
      <c r="H3" s="322" t="s">
        <v>126</v>
      </c>
      <c r="I3" s="323" t="s">
        <v>272</v>
      </c>
      <c r="J3" s="512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497"/>
      <c r="Y3" s="498"/>
      <c r="Z3" s="498"/>
      <c r="AA3" s="498"/>
      <c r="AB3" s="499"/>
    </row>
    <row r="4" spans="2:28">
      <c r="B4" s="324"/>
      <c r="C4" s="324" t="str">
        <f>'Динамика финансы'!B31</f>
        <v>15-21.12 очки</v>
      </c>
      <c r="D4" s="324">
        <f>'Динамика финансы'!C31</f>
        <v>0</v>
      </c>
      <c r="E4" s="324">
        <f>'Динамика финансы'!D31</f>
        <v>0</v>
      </c>
      <c r="F4" s="324">
        <f>'Динамика финансы'!E31</f>
        <v>247.73478260869888</v>
      </c>
      <c r="G4" s="324">
        <f>'Динамика финансы'!I31</f>
        <v>61114</v>
      </c>
      <c r="H4" s="324">
        <f>'Динамика финансы'!J31</f>
        <v>-3391</v>
      </c>
      <c r="I4" s="324">
        <f>'Динамика финансы'!K31</f>
        <v>57723</v>
      </c>
      <c r="J4" s="324">
        <f>'Динамика финансы'!L31</f>
        <v>5689.17</v>
      </c>
      <c r="K4" s="324">
        <f>'Динамика финансы'!M31</f>
        <v>7370.2299999999987</v>
      </c>
      <c r="L4" s="324">
        <f>'Динамика финансы'!N31</f>
        <v>24820.889999999996</v>
      </c>
      <c r="M4" s="324">
        <f>'Динамика финансы'!O31</f>
        <v>0</v>
      </c>
      <c r="N4" s="324">
        <f>'Динамика финансы'!P31</f>
        <v>0</v>
      </c>
      <c r="O4" s="324">
        <f>'Динамика финансы'!Q31</f>
        <v>0</v>
      </c>
      <c r="P4" s="324">
        <f>'Динамика финансы'!R31</f>
        <v>19747.085217391304</v>
      </c>
      <c r="Q4" s="324">
        <f>'Динамика финансы'!S31</f>
        <v>0</v>
      </c>
      <c r="R4" s="324">
        <f>'Динамика финансы'!T31</f>
        <v>1553.66</v>
      </c>
      <c r="S4" s="324">
        <f>'Динамика финансы'!U31</f>
        <v>3983.4</v>
      </c>
      <c r="T4" s="324">
        <f>'Динамика финансы'!V31</f>
        <v>0</v>
      </c>
      <c r="U4" s="324">
        <f>'Динамика финансы'!W31</f>
        <v>0</v>
      </c>
      <c r="V4" s="324">
        <f>'Динамика финансы'!X31</f>
        <v>577.23</v>
      </c>
      <c r="W4" s="324">
        <f>'Динамика финансы'!Y31</f>
        <v>-6018.6652173913008</v>
      </c>
      <c r="X4" s="325"/>
      <c r="Y4" s="326">
        <f>'Динамика финансы'!AA31</f>
        <v>9.8559846161841907E-2</v>
      </c>
      <c r="Z4" s="326">
        <f>'Динамика финансы'!AB31</f>
        <v>-1.057916219306384</v>
      </c>
      <c r="AA4" s="326">
        <f>'Динамика финансы'!AC31</f>
        <v>-0.10426805982695461</v>
      </c>
      <c r="AB4" s="326">
        <f>'Динамика финансы'!AD31</f>
        <v>0.34210081280237176</v>
      </c>
    </row>
    <row r="5" spans="2:28">
      <c r="B5" s="324"/>
      <c r="C5" s="324" t="str">
        <f>'Динамика финансы'!B32</f>
        <v>15-21.12 туники</v>
      </c>
      <c r="D5" s="324">
        <f>'Динамика финансы'!C32</f>
        <v>0</v>
      </c>
      <c r="E5" s="324">
        <f>'Динамика финансы'!D32</f>
        <v>0</v>
      </c>
      <c r="F5" s="324">
        <f>'Динамика финансы'!E32</f>
        <v>2202.8352173913045</v>
      </c>
      <c r="G5" s="324">
        <f>'Динамика финансы'!I32</f>
        <v>9580</v>
      </c>
      <c r="H5" s="324">
        <f>'Динамика финансы'!J32</f>
        <v>-3080</v>
      </c>
      <c r="I5" s="324">
        <f>'Динамика финансы'!K32</f>
        <v>6500</v>
      </c>
      <c r="J5" s="324">
        <f>'Динамика финансы'!L32</f>
        <v>687</v>
      </c>
      <c r="K5" s="324">
        <f>'Динамика финансы'!M32</f>
        <v>604.57000000000005</v>
      </c>
      <c r="L5" s="324">
        <f>'Динамика финансы'!N32</f>
        <v>2795</v>
      </c>
      <c r="M5" s="324">
        <f>'Динамика финансы'!O32</f>
        <v>0</v>
      </c>
      <c r="N5" s="324">
        <f>'Динамика финансы'!P32</f>
        <v>0</v>
      </c>
      <c r="O5" s="324">
        <f>'Динамика финансы'!Q32</f>
        <v>0</v>
      </c>
      <c r="P5" s="324">
        <f>'Динамика финансы'!R32</f>
        <v>897.59478260869571</v>
      </c>
      <c r="Q5" s="324">
        <f>'Динамика финансы'!S32</f>
        <v>0</v>
      </c>
      <c r="R5" s="324">
        <f>'Динамика финансы'!T32</f>
        <v>0</v>
      </c>
      <c r="S5" s="324">
        <f>'Динамика финансы'!U32</f>
        <v>0</v>
      </c>
      <c r="T5" s="324">
        <f>'Динамика финансы'!V32</f>
        <v>0</v>
      </c>
      <c r="U5" s="324">
        <f>'Динамика финансы'!W32</f>
        <v>0</v>
      </c>
      <c r="V5" s="324">
        <f>'Динамика финансы'!X32</f>
        <v>65</v>
      </c>
      <c r="W5" s="324">
        <f>'Динамика финансы'!Y32</f>
        <v>1450.8352173913045</v>
      </c>
      <c r="X5" s="325"/>
      <c r="Y5" s="326">
        <f>'Динамика финансы'!AA32</f>
        <v>0.1056923076923077</v>
      </c>
      <c r="Z5" s="326">
        <f>'Динамика финансы'!AB32</f>
        <v>2.1118416555914186</v>
      </c>
      <c r="AA5" s="326">
        <f>'Динамика финансы'!AC32</f>
        <v>0.22320541806020069</v>
      </c>
      <c r="AB5" s="326">
        <f>'Динамика финансы'!AD32</f>
        <v>0.1380915050167224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2450.5700000000033</v>
      </c>
      <c r="G8" s="327">
        <f t="shared" ref="G8:W8" si="0">G4+G5+G6+G7</f>
        <v>70694</v>
      </c>
      <c r="H8" s="327">
        <f t="shared" si="0"/>
        <v>-6471</v>
      </c>
      <c r="I8" s="327">
        <f t="shared" si="0"/>
        <v>64223</v>
      </c>
      <c r="J8" s="327">
        <f t="shared" si="0"/>
        <v>6376.17</v>
      </c>
      <c r="K8" s="327">
        <f t="shared" si="0"/>
        <v>7974.7999999999984</v>
      </c>
      <c r="L8" s="327">
        <f t="shared" si="0"/>
        <v>27615.889999999996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20644.68</v>
      </c>
      <c r="Q8" s="327">
        <f t="shared" si="0"/>
        <v>0</v>
      </c>
      <c r="R8" s="327">
        <f t="shared" si="0"/>
        <v>1553.66</v>
      </c>
      <c r="S8" s="327">
        <f t="shared" si="0"/>
        <v>3983.4</v>
      </c>
      <c r="T8" s="327">
        <f t="shared" si="0"/>
        <v>0</v>
      </c>
      <c r="U8" s="327">
        <f t="shared" si="0"/>
        <v>0</v>
      </c>
      <c r="V8" s="327">
        <f t="shared" si="0"/>
        <v>642.23</v>
      </c>
      <c r="W8" s="327">
        <f t="shared" si="0"/>
        <v>-4567.8299999999963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500" t="s">
        <v>763</v>
      </c>
      <c r="D11" s="501"/>
      <c r="E11" s="501"/>
      <c r="F11" s="501"/>
      <c r="G11" s="387" t="s">
        <v>1334</v>
      </c>
      <c r="H11" s="502"/>
      <c r="I11" s="502"/>
      <c r="J11" s="502"/>
      <c r="K11" s="502"/>
      <c r="L11" s="502"/>
      <c r="M11" s="503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90" t="s">
        <v>294</v>
      </c>
      <c r="D13" s="491"/>
      <c r="E13" s="491"/>
      <c r="F13" s="491"/>
      <c r="G13" s="492"/>
      <c r="H13" s="331"/>
      <c r="I13" s="493" t="s">
        <v>304</v>
      </c>
      <c r="J13" s="494"/>
      <c r="K13" s="494"/>
      <c r="L13" s="494"/>
      <c r="M13" s="495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57723</v>
      </c>
      <c r="F15" s="335" t="s">
        <v>764</v>
      </c>
      <c r="G15" s="355">
        <f>'Динамика финансы'!K51</f>
        <v>3.4759070701276373E-2</v>
      </c>
      <c r="H15" s="331"/>
      <c r="I15" s="353" t="s">
        <v>32</v>
      </c>
      <c r="J15" s="354"/>
      <c r="K15" s="334">
        <f>I5</f>
        <v>6500</v>
      </c>
      <c r="L15" s="335" t="s">
        <v>764</v>
      </c>
      <c r="M15" s="355">
        <f>'Динамика финансы'!K52</f>
        <v>-0.23637218045112784</v>
      </c>
      <c r="N15" s="331"/>
    </row>
    <row r="16" spans="2:28" ht="16" thickBot="1">
      <c r="B16" s="332"/>
      <c r="C16" s="356" t="s">
        <v>212</v>
      </c>
      <c r="D16" s="357"/>
      <c r="E16" s="339">
        <f>W4</f>
        <v>-6018.6652173913008</v>
      </c>
      <c r="F16" s="340" t="s">
        <v>764</v>
      </c>
      <c r="G16" s="358">
        <f>'Динамика финансы'!Y51</f>
        <v>-5.7290272444595924</v>
      </c>
      <c r="H16" s="331"/>
      <c r="I16" s="356" t="s">
        <v>212</v>
      </c>
      <c r="J16" s="357"/>
      <c r="K16" s="339">
        <f>W5</f>
        <v>1450.8352173913045</v>
      </c>
      <c r="L16" s="340" t="s">
        <v>764</v>
      </c>
      <c r="M16" s="358">
        <f>'Динамика финансы'!Y52</f>
        <v>0.10824111522123436</v>
      </c>
      <c r="N16" s="331"/>
    </row>
    <row r="17" spans="2:14" ht="16" thickBot="1">
      <c r="B17" s="332"/>
      <c r="C17" s="363" t="s">
        <v>205</v>
      </c>
      <c r="D17" s="359"/>
      <c r="E17" s="341">
        <f>J4</f>
        <v>5689.17</v>
      </c>
      <c r="F17" s="342" t="s">
        <v>764</v>
      </c>
      <c r="G17" s="358">
        <f>'Динамика финансы'!L51</f>
        <v>0.10322580645161272</v>
      </c>
      <c r="H17" s="331"/>
      <c r="I17" s="363" t="s">
        <v>205</v>
      </c>
      <c r="J17" s="359"/>
      <c r="K17" s="341">
        <f>J5</f>
        <v>687</v>
      </c>
      <c r="L17" s="342" t="s">
        <v>764</v>
      </c>
      <c r="M17" s="358">
        <f>'Динамика финансы'!L52</f>
        <v>-0.64050235478806905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96" t="s">
        <v>29</v>
      </c>
      <c r="D19" s="496"/>
      <c r="E19" s="344">
        <f>K4</f>
        <v>7370.2299999999987</v>
      </c>
      <c r="F19" s="345" t="s">
        <v>764</v>
      </c>
      <c r="G19" s="346">
        <f>'Динамика финансы'!M48</f>
        <v>0.12768272612303586</v>
      </c>
      <c r="H19" s="331"/>
      <c r="I19" s="496" t="s">
        <v>29</v>
      </c>
      <c r="J19" s="496"/>
      <c r="K19" s="344">
        <f>K5</f>
        <v>604.57000000000005</v>
      </c>
      <c r="L19" s="345" t="s">
        <v>764</v>
      </c>
      <c r="M19" s="346">
        <f>'Динамика финансы'!M49</f>
        <v>9.3010769230769244E-2</v>
      </c>
      <c r="N19" s="331"/>
    </row>
    <row r="20" spans="2:14" ht="16" thickBot="1">
      <c r="B20" s="332"/>
      <c r="C20" s="496" t="s">
        <v>208</v>
      </c>
      <c r="D20" s="496"/>
      <c r="E20" s="344">
        <f>P4</f>
        <v>19747.085217391304</v>
      </c>
      <c r="F20" s="345" t="s">
        <v>764</v>
      </c>
      <c r="G20" s="346">
        <f>'Динамика финансы'!R48</f>
        <v>0.34210081280237176</v>
      </c>
      <c r="H20" s="331"/>
      <c r="I20" s="496" t="s">
        <v>208</v>
      </c>
      <c r="J20" s="496"/>
      <c r="K20" s="344">
        <f>P5</f>
        <v>897.59478260869571</v>
      </c>
      <c r="L20" s="345" t="s">
        <v>764</v>
      </c>
      <c r="M20" s="346">
        <f>'Динамика финансы'!R49</f>
        <v>0.1380915050167224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88" t="s">
        <v>126</v>
      </c>
      <c r="D22" s="488"/>
      <c r="E22" s="347">
        <f>H4</f>
        <v>-3391</v>
      </c>
      <c r="F22" s="348" t="s">
        <v>764</v>
      </c>
      <c r="G22" s="349">
        <f>'Динамика финансы'!J48</f>
        <v>5.5486467912425959E-2</v>
      </c>
      <c r="H22" s="331"/>
      <c r="I22" s="488" t="s">
        <v>126</v>
      </c>
      <c r="J22" s="488"/>
      <c r="K22" s="347">
        <f>H5</f>
        <v>-3080</v>
      </c>
      <c r="L22" s="348" t="s">
        <v>764</v>
      </c>
      <c r="M22" s="346">
        <f>'Динамика финансы'!J49</f>
        <v>0.32150313152400833</v>
      </c>
      <c r="N22" s="331"/>
    </row>
    <row r="23" spans="2:14" ht="15.5">
      <c r="B23" s="332"/>
      <c r="C23" s="489" t="s">
        <v>311</v>
      </c>
      <c r="D23" s="489"/>
      <c r="E23" s="360">
        <f>L4</f>
        <v>24820.889999999996</v>
      </c>
      <c r="F23" s="361" t="s">
        <v>764</v>
      </c>
      <c r="G23" s="362">
        <f>'Динамика финансы'!N48</f>
        <v>0.42999999999999994</v>
      </c>
      <c r="H23" s="331"/>
      <c r="I23" s="489" t="s">
        <v>311</v>
      </c>
      <c r="J23" s="489"/>
      <c r="K23" s="360">
        <f>L5</f>
        <v>2795</v>
      </c>
      <c r="L23" s="361" t="s">
        <v>764</v>
      </c>
      <c r="M23" s="362">
        <f>'Динамика финансы'!N49</f>
        <v>0.43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82" t="s">
        <v>312</v>
      </c>
      <c r="F25" s="483"/>
      <c r="G25" s="350">
        <f>Z4</f>
        <v>-1.057916219306384</v>
      </c>
      <c r="H25" s="331"/>
      <c r="I25" s="331"/>
      <c r="J25" s="331"/>
      <c r="K25" s="482" t="s">
        <v>312</v>
      </c>
      <c r="L25" s="483"/>
      <c r="M25" s="350">
        <f>Z5</f>
        <v>2.1118416555914186</v>
      </c>
      <c r="N25" s="331"/>
    </row>
    <row r="26" spans="2:14" ht="15.5">
      <c r="B26" s="332"/>
      <c r="C26" s="331"/>
      <c r="D26" s="331"/>
      <c r="E26" s="482" t="s">
        <v>313</v>
      </c>
      <c r="F26" s="483"/>
      <c r="G26" s="350">
        <f>AA4</f>
        <v>-0.10426805982695461</v>
      </c>
      <c r="H26" s="331"/>
      <c r="I26" s="331"/>
      <c r="J26" s="331"/>
      <c r="K26" s="482" t="s">
        <v>313</v>
      </c>
      <c r="L26" s="483"/>
      <c r="M26" s="350">
        <f>AA5</f>
        <v>0.22320541806020069</v>
      </c>
      <c r="N26" s="331"/>
    </row>
    <row r="27" spans="2:14" ht="15.5">
      <c r="B27" s="332"/>
      <c r="C27" s="331"/>
      <c r="D27" s="331"/>
      <c r="E27" s="484" t="s">
        <v>767</v>
      </c>
      <c r="F27" s="485"/>
      <c r="G27" s="350">
        <f>Y4</f>
        <v>9.8559846161841907E-2</v>
      </c>
      <c r="H27" s="331"/>
      <c r="I27" s="331"/>
      <c r="J27" s="331"/>
      <c r="K27" s="484" t="s">
        <v>767</v>
      </c>
      <c r="L27" s="485"/>
      <c r="M27" s="350">
        <f>Y5</f>
        <v>0.1056923076923077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86" t="s">
        <v>765</v>
      </c>
      <c r="G29" s="487"/>
      <c r="H29" s="336">
        <f>'Юнит 15-21.12'!I51</f>
        <v>808739.00999999989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E26:F26"/>
    <mergeCell ref="K26:L26"/>
    <mergeCell ref="E27:F27"/>
    <mergeCell ref="K27:L27"/>
    <mergeCell ref="F29:G29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X2:X3"/>
    <mergeCell ref="Y2:Y3"/>
    <mergeCell ref="Z2:Z3"/>
    <mergeCell ref="AA2:AA3"/>
    <mergeCell ref="AB2:AB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U2:U3"/>
    <mergeCell ref="V2:V3"/>
    <mergeCell ref="W2:W3"/>
    <mergeCell ref="L2:L3"/>
    <mergeCell ref="M2:M3"/>
    <mergeCell ref="N2:N3"/>
    <mergeCell ref="O2:O3"/>
    <mergeCell ref="P2:P3"/>
    <mergeCell ref="Q2:Q3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{F2F870AC-E17C-4D68-BDD2-3E2A88B816E0}</x14:id>
        </ext>
      </extLst>
    </cfRule>
  </conditionalFormatting>
  <conditionalFormatting sqref="G15">
    <cfRule type="cellIs" dxfId="486" priority="7" operator="greaterThan">
      <formula>0</formula>
    </cfRule>
    <cfRule type="cellIs" dxfId="485" priority="8" operator="lessThanOrEqual">
      <formula>0</formula>
    </cfRule>
  </conditionalFormatting>
  <conditionalFormatting sqref="G16:G17">
    <cfRule type="cellIs" dxfId="484" priority="5" operator="greaterThan">
      <formula>0</formula>
    </cfRule>
    <cfRule type="cellIs" dxfId="483" priority="6" operator="lessThanOrEqual">
      <formula>0</formula>
    </cfRule>
  </conditionalFormatting>
  <conditionalFormatting sqref="M15">
    <cfRule type="cellIs" dxfId="482" priority="3" operator="greaterThan">
      <formula>0</formula>
    </cfRule>
    <cfRule type="cellIs" dxfId="481" priority="4" operator="lessThanOrEqual">
      <formula>0</formula>
    </cfRule>
  </conditionalFormatting>
  <conditionalFormatting sqref="M16:M17">
    <cfRule type="cellIs" dxfId="480" priority="1" operator="greaterThan">
      <formula>0</formula>
    </cfRule>
    <cfRule type="cellIs" dxfId="479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870AC-E17C-4D68-BDD2-3E2A88B8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4FA9-0064-4445-B6E0-7C071424BD7D}">
  <dimension ref="B2:AB30"/>
  <sheetViews>
    <sheetView topLeftCell="A4" zoomScale="70" zoomScaleNormal="70" workbookViewId="0">
      <selection activeCell="P18" sqref="P18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506" t="s">
        <v>251</v>
      </c>
      <c r="C2" s="506"/>
      <c r="D2" s="506"/>
      <c r="E2" s="507" t="s">
        <v>252</v>
      </c>
      <c r="F2" s="506" t="s">
        <v>253</v>
      </c>
      <c r="G2" s="508" t="s">
        <v>32</v>
      </c>
      <c r="H2" s="509"/>
      <c r="I2" s="510"/>
      <c r="J2" s="511" t="s">
        <v>205</v>
      </c>
      <c r="K2" s="504" t="s">
        <v>29</v>
      </c>
      <c r="L2" s="504" t="s">
        <v>311</v>
      </c>
      <c r="M2" s="504" t="s">
        <v>256</v>
      </c>
      <c r="N2" s="504" t="s">
        <v>257</v>
      </c>
      <c r="O2" s="504" t="s">
        <v>210</v>
      </c>
      <c r="P2" s="504" t="s">
        <v>258</v>
      </c>
      <c r="Q2" s="504" t="s">
        <v>259</v>
      </c>
      <c r="R2" s="504" t="s">
        <v>260</v>
      </c>
      <c r="S2" s="504" t="s">
        <v>261</v>
      </c>
      <c r="T2" s="504" t="s">
        <v>262</v>
      </c>
      <c r="U2" s="504" t="s">
        <v>263</v>
      </c>
      <c r="V2" s="504" t="s">
        <v>264</v>
      </c>
      <c r="W2" s="504" t="s">
        <v>265</v>
      </c>
      <c r="X2" s="497"/>
      <c r="Y2" s="498" t="s">
        <v>267</v>
      </c>
      <c r="Z2" s="498" t="s">
        <v>219</v>
      </c>
      <c r="AA2" s="498" t="s">
        <v>220</v>
      </c>
      <c r="AB2" s="499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507"/>
      <c r="F3" s="506"/>
      <c r="G3" s="321" t="s">
        <v>31</v>
      </c>
      <c r="H3" s="322" t="s">
        <v>126</v>
      </c>
      <c r="I3" s="323" t="s">
        <v>272</v>
      </c>
      <c r="J3" s="512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497"/>
      <c r="Y3" s="498"/>
      <c r="Z3" s="498"/>
      <c r="AA3" s="498"/>
      <c r="AB3" s="499"/>
    </row>
    <row r="4" spans="2:28">
      <c r="B4" s="324"/>
      <c r="C4" s="324" t="str">
        <f>'Динамика финансы'!B29</f>
        <v>08-14.12 очки</v>
      </c>
      <c r="D4" s="324">
        <f>'Динамика финансы'!C29</f>
        <v>0</v>
      </c>
      <c r="E4" s="324">
        <f>'Динамика финансы'!D29</f>
        <v>0</v>
      </c>
      <c r="F4" s="324">
        <f>'Динамика финансы'!E29</f>
        <v>6987.39681818182</v>
      </c>
      <c r="G4" s="324">
        <f>'Динамика финансы'!I29</f>
        <v>59828</v>
      </c>
      <c r="H4" s="324">
        <f>'Динамика финансы'!J29</f>
        <v>-4044</v>
      </c>
      <c r="I4" s="324">
        <f>'Динамика финансы'!K29</f>
        <v>55784</v>
      </c>
      <c r="J4" s="324">
        <f>'Динамика финансы'!L29</f>
        <v>5156.8500000000013</v>
      </c>
      <c r="K4" s="324">
        <f>'Динамика финансы'!M29</f>
        <v>6498.4000000000015</v>
      </c>
      <c r="L4" s="324">
        <f>'Динамика финансы'!N29</f>
        <v>23987.119999999995</v>
      </c>
      <c r="M4" s="324">
        <f>'Динамика финансы'!O29</f>
        <v>0</v>
      </c>
      <c r="N4" s="324">
        <f>'Динамика финансы'!P29</f>
        <v>0</v>
      </c>
      <c r="O4" s="324">
        <f>'Динамика финансы'!Q29</f>
        <v>0</v>
      </c>
      <c r="P4" s="324">
        <f>'Динамика финансы'!R29</f>
        <v>10153.333181818183</v>
      </c>
      <c r="Q4" s="324">
        <f>'Динамика финансы'!S29</f>
        <v>0</v>
      </c>
      <c r="R4" s="324">
        <f>'Динамика финансы'!T29</f>
        <v>1409.05</v>
      </c>
      <c r="S4" s="324">
        <f>'Динамика финансы'!U29</f>
        <v>6748.7</v>
      </c>
      <c r="T4" s="324">
        <f>'Динамика финансы'!V29</f>
        <v>0</v>
      </c>
      <c r="U4" s="324">
        <f>'Динамика финансы'!W29</f>
        <v>0</v>
      </c>
      <c r="V4" s="324">
        <f>'Динамика финансы'!X29</f>
        <v>557.84</v>
      </c>
      <c r="W4" s="324">
        <f>'Динамика финансы'!Y29</f>
        <v>1272.7068181818186</v>
      </c>
      <c r="X4" s="325"/>
      <c r="Y4" s="326">
        <f>'Динамика финансы'!AA29</f>
        <v>9.2443173669869524E-2</v>
      </c>
      <c r="Z4" s="326">
        <f>'Динамика финансы'!AB29</f>
        <v>0.24679927052014666</v>
      </c>
      <c r="AA4" s="326">
        <f>'Динамика финансы'!AC29</f>
        <v>2.2814907826291024E-2</v>
      </c>
      <c r="AB4" s="326">
        <f>'Динамика финансы'!AD29</f>
        <v>0.18201156571450924</v>
      </c>
    </row>
    <row r="5" spans="2:28">
      <c r="B5" s="324"/>
      <c r="C5" s="324" t="str">
        <f>'Динамика финансы'!B30</f>
        <v>08-14.12 туники</v>
      </c>
      <c r="D5" s="324">
        <f>'Динамика финансы'!C30</f>
        <v>0</v>
      </c>
      <c r="E5" s="324">
        <f>'Динамика финансы'!D30</f>
        <v>0</v>
      </c>
      <c r="F5" s="324">
        <f>'Динамика финансы'!E30</f>
        <v>3305.2531818181815</v>
      </c>
      <c r="G5" s="324">
        <f>'Динамика финансы'!I30</f>
        <v>8512</v>
      </c>
      <c r="H5" s="324">
        <f>'Динамика финансы'!J30</f>
        <v>0</v>
      </c>
      <c r="I5" s="324">
        <f>'Динамика финансы'!K30</f>
        <v>8512</v>
      </c>
      <c r="J5" s="324">
        <f>'Динамика финансы'!L30</f>
        <v>1911</v>
      </c>
      <c r="K5" s="324">
        <f>'Динамика финансы'!M30</f>
        <v>803.66</v>
      </c>
      <c r="L5" s="324">
        <f>'Динамика финансы'!N30</f>
        <v>3660.1600000000003</v>
      </c>
      <c r="M5" s="324">
        <f>'Динамика финансы'!O30</f>
        <v>0</v>
      </c>
      <c r="N5" s="324">
        <f>'Динамика финансы'!P30</f>
        <v>0</v>
      </c>
      <c r="O5" s="324">
        <f>'Динамика финансы'!Q30</f>
        <v>0</v>
      </c>
      <c r="P5" s="324">
        <f>'Динамика финансы'!R30</f>
        <v>742.92681818181813</v>
      </c>
      <c r="Q5" s="324">
        <f>'Динамика финансы'!S30</f>
        <v>0</v>
      </c>
      <c r="R5" s="324">
        <f>'Динамика финансы'!T30</f>
        <v>0</v>
      </c>
      <c r="S5" s="324">
        <f>'Динамика финансы'!U30</f>
        <v>0</v>
      </c>
      <c r="T5" s="324">
        <f>'Динамика финансы'!V30</f>
        <v>0</v>
      </c>
      <c r="U5" s="324">
        <f>'Динамика финансы'!W30</f>
        <v>0</v>
      </c>
      <c r="V5" s="324">
        <f>'Динамика финансы'!X30</f>
        <v>85.12</v>
      </c>
      <c r="W5" s="324">
        <f>'Динамика финансы'!Y30</f>
        <v>1309.1331818181816</v>
      </c>
      <c r="X5" s="325"/>
      <c r="Y5" s="326">
        <f>'Динамика финансы'!AA30</f>
        <v>0.22450657894736842</v>
      </c>
      <c r="Z5" s="326">
        <f>'Динамика финансы'!AB30</f>
        <v>0.68505137719423426</v>
      </c>
      <c r="AA5" s="326">
        <f>'Динамика финансы'!AC30</f>
        <v>0.15379854109706081</v>
      </c>
      <c r="AB5" s="326">
        <f>'Динамика финансы'!AD30</f>
        <v>8.7279936346548181E-2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10292.650000000001</v>
      </c>
      <c r="G8" s="327">
        <f t="shared" ref="G8:W8" si="0">G4+G5+G6+G7</f>
        <v>68340</v>
      </c>
      <c r="H8" s="327">
        <f t="shared" si="0"/>
        <v>-4044</v>
      </c>
      <c r="I8" s="327">
        <f t="shared" si="0"/>
        <v>64296</v>
      </c>
      <c r="J8" s="327">
        <f t="shared" si="0"/>
        <v>7067.8500000000013</v>
      </c>
      <c r="K8" s="327">
        <f t="shared" si="0"/>
        <v>7302.0600000000013</v>
      </c>
      <c r="L8" s="327">
        <f t="shared" si="0"/>
        <v>27647.279999999995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10896.260000000002</v>
      </c>
      <c r="Q8" s="327">
        <f t="shared" si="0"/>
        <v>0</v>
      </c>
      <c r="R8" s="327">
        <f t="shared" si="0"/>
        <v>1409.05</v>
      </c>
      <c r="S8" s="327">
        <f t="shared" si="0"/>
        <v>6748.7</v>
      </c>
      <c r="T8" s="327">
        <f t="shared" si="0"/>
        <v>0</v>
      </c>
      <c r="U8" s="327">
        <f t="shared" si="0"/>
        <v>0</v>
      </c>
      <c r="V8" s="327">
        <f t="shared" si="0"/>
        <v>642.96</v>
      </c>
      <c r="W8" s="327">
        <f t="shared" si="0"/>
        <v>2581.84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500" t="s">
        <v>763</v>
      </c>
      <c r="D11" s="501"/>
      <c r="E11" s="501"/>
      <c r="F11" s="501"/>
      <c r="G11" s="387" t="s">
        <v>1333</v>
      </c>
      <c r="H11" s="502"/>
      <c r="I11" s="502"/>
      <c r="J11" s="502"/>
      <c r="K11" s="502"/>
      <c r="L11" s="502"/>
      <c r="M11" s="503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90" t="s">
        <v>294</v>
      </c>
      <c r="D13" s="491"/>
      <c r="E13" s="491"/>
      <c r="F13" s="491"/>
      <c r="G13" s="492"/>
      <c r="H13" s="331"/>
      <c r="I13" s="493" t="s">
        <v>304</v>
      </c>
      <c r="J13" s="494"/>
      <c r="K13" s="494"/>
      <c r="L13" s="494"/>
      <c r="M13" s="495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55784</v>
      </c>
      <c r="F15" s="335" t="s">
        <v>764</v>
      </c>
      <c r="G15" s="355">
        <f>'Динамика финансы'!K58</f>
        <v>-0.35748263668928026</v>
      </c>
      <c r="H15" s="331"/>
      <c r="I15" s="353" t="s">
        <v>32</v>
      </c>
      <c r="J15" s="354"/>
      <c r="K15" s="334">
        <f>I5</f>
        <v>8512</v>
      </c>
      <c r="L15" s="335" t="s">
        <v>764</v>
      </c>
      <c r="M15" s="355">
        <f>'Динамика финансы'!K59</f>
        <v>-2.5476363636363635</v>
      </c>
      <c r="N15" s="331"/>
    </row>
    <row r="16" spans="2:28" ht="16" thickBot="1">
      <c r="B16" s="332"/>
      <c r="C16" s="356" t="s">
        <v>212</v>
      </c>
      <c r="D16" s="357"/>
      <c r="E16" s="339">
        <f>W4</f>
        <v>1272.7068181818186</v>
      </c>
      <c r="F16" s="340" t="s">
        <v>764</v>
      </c>
      <c r="G16" s="358">
        <f>'Динамика финансы'!Y58</f>
        <v>-0.92101568958943292</v>
      </c>
      <c r="H16" s="331"/>
      <c r="I16" s="356" t="s">
        <v>212</v>
      </c>
      <c r="J16" s="357"/>
      <c r="K16" s="339">
        <f>W5</f>
        <v>1309.1331818181816</v>
      </c>
      <c r="L16" s="340" t="s">
        <v>764</v>
      </c>
      <c r="M16" s="358">
        <f>'Динамика финансы'!Y59</f>
        <v>1.3557047205913881</v>
      </c>
      <c r="N16" s="331"/>
    </row>
    <row r="17" spans="2:14" ht="16" thickBot="1">
      <c r="B17" s="332"/>
      <c r="C17" s="363" t="s">
        <v>205</v>
      </c>
      <c r="D17" s="359"/>
      <c r="E17" s="341">
        <f>J4</f>
        <v>5156.8500000000013</v>
      </c>
      <c r="F17" s="342" t="s">
        <v>764</v>
      </c>
      <c r="G17" s="358">
        <f>'Динамика финансы'!L58</f>
        <v>-0.33142881590615603</v>
      </c>
      <c r="H17" s="331"/>
      <c r="I17" s="363" t="s">
        <v>205</v>
      </c>
      <c r="J17" s="359"/>
      <c r="K17" s="341">
        <f>J5</f>
        <v>1911</v>
      </c>
      <c r="L17" s="342" t="s">
        <v>764</v>
      </c>
      <c r="M17" s="358">
        <f>'Динамика финансы'!L59</f>
        <v>-4.2010050251256281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96" t="s">
        <v>29</v>
      </c>
      <c r="D19" s="496"/>
      <c r="E19" s="344">
        <f>K4</f>
        <v>6498.4000000000015</v>
      </c>
      <c r="F19" s="345" t="s">
        <v>764</v>
      </c>
      <c r="G19" s="346">
        <f>'Динамика финансы'!M55</f>
        <v>0.11649218413882119</v>
      </c>
      <c r="H19" s="331"/>
      <c r="I19" s="496" t="s">
        <v>29</v>
      </c>
      <c r="J19" s="496"/>
      <c r="K19" s="344">
        <f>K5</f>
        <v>803.66</v>
      </c>
      <c r="L19" s="345" t="s">
        <v>764</v>
      </c>
      <c r="M19" s="346">
        <f>'Динамика финансы'!M56</f>
        <v>9.4414943609022556E-2</v>
      </c>
      <c r="N19" s="331"/>
    </row>
    <row r="20" spans="2:14" ht="16" thickBot="1">
      <c r="B20" s="332"/>
      <c r="C20" s="496" t="s">
        <v>208</v>
      </c>
      <c r="D20" s="496"/>
      <c r="E20" s="344">
        <f>P4</f>
        <v>10153.333181818183</v>
      </c>
      <c r="F20" s="345" t="s">
        <v>764</v>
      </c>
      <c r="G20" s="346">
        <f>'Динамика финансы'!R55</f>
        <v>0.18201156571450924</v>
      </c>
      <c r="H20" s="331"/>
      <c r="I20" s="496" t="s">
        <v>208</v>
      </c>
      <c r="J20" s="496"/>
      <c r="K20" s="344">
        <f>P5</f>
        <v>742.92681818181813</v>
      </c>
      <c r="L20" s="345" t="s">
        <v>764</v>
      </c>
      <c r="M20" s="346">
        <f>'Динамика финансы'!R56</f>
        <v>8.7279936346548181E-2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88" t="s">
        <v>126</v>
      </c>
      <c r="D22" s="488"/>
      <c r="E22" s="347">
        <f>H4</f>
        <v>-4044</v>
      </c>
      <c r="F22" s="348" t="s">
        <v>764</v>
      </c>
      <c r="G22" s="349">
        <f>'Динамика финансы'!J55</f>
        <v>6.7593768803904525E-2</v>
      </c>
      <c r="H22" s="331"/>
      <c r="I22" s="488" t="s">
        <v>126</v>
      </c>
      <c r="J22" s="488"/>
      <c r="K22" s="347">
        <f>H5</f>
        <v>0</v>
      </c>
      <c r="L22" s="348" t="s">
        <v>764</v>
      </c>
      <c r="M22" s="346">
        <f>'Динамика финансы'!J56</f>
        <v>0</v>
      </c>
      <c r="N22" s="331"/>
    </row>
    <row r="23" spans="2:14" ht="15.5">
      <c r="B23" s="332"/>
      <c r="C23" s="489" t="s">
        <v>311</v>
      </c>
      <c r="D23" s="489"/>
      <c r="E23" s="360">
        <f>L4</f>
        <v>23987.119999999995</v>
      </c>
      <c r="F23" s="361" t="s">
        <v>764</v>
      </c>
      <c r="G23" s="362">
        <f>'Динамика финансы'!N55</f>
        <v>0.42999999999999994</v>
      </c>
      <c r="H23" s="331"/>
      <c r="I23" s="489" t="s">
        <v>311</v>
      </c>
      <c r="J23" s="489"/>
      <c r="K23" s="360">
        <f>L5</f>
        <v>3660.1600000000003</v>
      </c>
      <c r="L23" s="361" t="s">
        <v>764</v>
      </c>
      <c r="M23" s="362">
        <f>'Динамика финансы'!N56</f>
        <v>0.43000000000000005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82" t="s">
        <v>312</v>
      </c>
      <c r="F25" s="483"/>
      <c r="G25" s="350">
        <f>Z4</f>
        <v>0.24679927052014666</v>
      </c>
      <c r="H25" s="331"/>
      <c r="I25" s="331"/>
      <c r="J25" s="331"/>
      <c r="K25" s="482" t="s">
        <v>312</v>
      </c>
      <c r="L25" s="483"/>
      <c r="M25" s="350">
        <f>Z5</f>
        <v>0.68505137719423426</v>
      </c>
      <c r="N25" s="331"/>
    </row>
    <row r="26" spans="2:14" ht="15.5">
      <c r="B26" s="332"/>
      <c r="C26" s="331"/>
      <c r="D26" s="331"/>
      <c r="E26" s="482" t="s">
        <v>313</v>
      </c>
      <c r="F26" s="483"/>
      <c r="G26" s="350">
        <f>AA4</f>
        <v>2.2814907826291024E-2</v>
      </c>
      <c r="H26" s="331"/>
      <c r="I26" s="331"/>
      <c r="J26" s="331"/>
      <c r="K26" s="482" t="s">
        <v>313</v>
      </c>
      <c r="L26" s="483"/>
      <c r="M26" s="350">
        <f>AA5</f>
        <v>0.15379854109706081</v>
      </c>
      <c r="N26" s="331"/>
    </row>
    <row r="27" spans="2:14" ht="15.5">
      <c r="B27" s="332"/>
      <c r="C27" s="331"/>
      <c r="D27" s="331"/>
      <c r="E27" s="484" t="s">
        <v>767</v>
      </c>
      <c r="F27" s="485"/>
      <c r="G27" s="350">
        <f>Y4</f>
        <v>9.2443173669869524E-2</v>
      </c>
      <c r="H27" s="331"/>
      <c r="I27" s="331"/>
      <c r="J27" s="331"/>
      <c r="K27" s="484" t="s">
        <v>767</v>
      </c>
      <c r="L27" s="485"/>
      <c r="M27" s="350">
        <f>Y5</f>
        <v>0.22450657894736842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86" t="s">
        <v>765</v>
      </c>
      <c r="G29" s="487"/>
      <c r="H29" s="336">
        <f>'Юнит 24-30.11'!I51</f>
        <v>728189.41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E26:F26"/>
    <mergeCell ref="K26:L26"/>
    <mergeCell ref="E27:F27"/>
    <mergeCell ref="K27:L27"/>
    <mergeCell ref="F29:G29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X2:X3"/>
    <mergeCell ref="Y2:Y3"/>
    <mergeCell ref="Z2:Z3"/>
    <mergeCell ref="AA2:AA3"/>
    <mergeCell ref="AB2:AB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U2:U3"/>
    <mergeCell ref="V2:V3"/>
    <mergeCell ref="W2:W3"/>
    <mergeCell ref="L2:L3"/>
    <mergeCell ref="M2:M3"/>
    <mergeCell ref="N2:N3"/>
    <mergeCell ref="O2:O3"/>
    <mergeCell ref="P2:P3"/>
    <mergeCell ref="Q2:Q3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{69B183BC-FC8B-4F03-8BAF-3539881B996C}</x14:id>
        </ext>
      </extLst>
    </cfRule>
  </conditionalFormatting>
  <conditionalFormatting sqref="G15">
    <cfRule type="cellIs" dxfId="478" priority="7" operator="greaterThan">
      <formula>0</formula>
    </cfRule>
    <cfRule type="cellIs" dxfId="477" priority="8" operator="lessThanOrEqual">
      <formula>0</formula>
    </cfRule>
  </conditionalFormatting>
  <conditionalFormatting sqref="G16:G17">
    <cfRule type="cellIs" dxfId="476" priority="5" operator="greaterThan">
      <formula>0</formula>
    </cfRule>
    <cfRule type="cellIs" dxfId="475" priority="6" operator="lessThanOrEqual">
      <formula>0</formula>
    </cfRule>
  </conditionalFormatting>
  <conditionalFormatting sqref="M15">
    <cfRule type="cellIs" dxfId="474" priority="3" operator="greaterThan">
      <formula>0</formula>
    </cfRule>
    <cfRule type="cellIs" dxfId="473" priority="4" operator="lessThanOrEqual">
      <formula>0</formula>
    </cfRule>
  </conditionalFormatting>
  <conditionalFormatting sqref="M16:M17">
    <cfRule type="cellIs" dxfId="472" priority="1" operator="greaterThan">
      <formula>0</formula>
    </cfRule>
    <cfRule type="cellIs" dxfId="471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B183BC-FC8B-4F03-8BAF-3539881B99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E2B0-88AE-466A-9D8D-A805E41208F4}">
  <dimension ref="B2:AB30"/>
  <sheetViews>
    <sheetView topLeftCell="A4" zoomScale="70" zoomScaleNormal="70" workbookViewId="0">
      <selection activeCell="M17" sqref="M17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506" t="s">
        <v>251</v>
      </c>
      <c r="C2" s="506"/>
      <c r="D2" s="506"/>
      <c r="E2" s="507" t="s">
        <v>252</v>
      </c>
      <c r="F2" s="506" t="s">
        <v>253</v>
      </c>
      <c r="G2" s="508" t="s">
        <v>32</v>
      </c>
      <c r="H2" s="509"/>
      <c r="I2" s="510"/>
      <c r="J2" s="511" t="s">
        <v>205</v>
      </c>
      <c r="K2" s="504" t="s">
        <v>29</v>
      </c>
      <c r="L2" s="504" t="s">
        <v>311</v>
      </c>
      <c r="M2" s="504" t="s">
        <v>256</v>
      </c>
      <c r="N2" s="504" t="s">
        <v>257</v>
      </c>
      <c r="O2" s="504" t="s">
        <v>210</v>
      </c>
      <c r="P2" s="504" t="s">
        <v>258</v>
      </c>
      <c r="Q2" s="504" t="s">
        <v>259</v>
      </c>
      <c r="R2" s="504" t="s">
        <v>260</v>
      </c>
      <c r="S2" s="504" t="s">
        <v>261</v>
      </c>
      <c r="T2" s="504" t="s">
        <v>262</v>
      </c>
      <c r="U2" s="504" t="s">
        <v>263</v>
      </c>
      <c r="V2" s="504" t="s">
        <v>264</v>
      </c>
      <c r="W2" s="504" t="s">
        <v>265</v>
      </c>
      <c r="X2" s="497"/>
      <c r="Y2" s="498" t="s">
        <v>267</v>
      </c>
      <c r="Z2" s="498" t="s">
        <v>219</v>
      </c>
      <c r="AA2" s="498" t="s">
        <v>220</v>
      </c>
      <c r="AB2" s="499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507"/>
      <c r="F3" s="506"/>
      <c r="G3" s="321" t="s">
        <v>31</v>
      </c>
      <c r="H3" s="322" t="s">
        <v>126</v>
      </c>
      <c r="I3" s="323" t="s">
        <v>272</v>
      </c>
      <c r="J3" s="512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497"/>
      <c r="Y3" s="498"/>
      <c r="Z3" s="498"/>
      <c r="AA3" s="498"/>
      <c r="AB3" s="499"/>
    </row>
    <row r="4" spans="2:28">
      <c r="B4" s="324"/>
      <c r="C4" s="324" t="str">
        <f>'Динамика финансы'!B27</f>
        <v>01-07.12 очки</v>
      </c>
      <c r="D4" s="324">
        <f>'Динамика финансы'!C27</f>
        <v>0</v>
      </c>
      <c r="E4" s="324">
        <f>'Динамика финансы'!D27</f>
        <v>0</v>
      </c>
      <c r="F4" s="324">
        <f>'Динамика финансы'!E27</f>
        <v>24694.863050847467</v>
      </c>
      <c r="G4" s="324">
        <f>'Динамика финансы'!I27</f>
        <v>86821</v>
      </c>
      <c r="H4" s="324">
        <f>'Динамика финансы'!J27</f>
        <v>0</v>
      </c>
      <c r="I4" s="324">
        <f>'Динамика финансы'!K27</f>
        <v>86821</v>
      </c>
      <c r="J4" s="324">
        <f>'Динамика финансы'!L27</f>
        <v>7713.2400000000007</v>
      </c>
      <c r="K4" s="324">
        <f>'Динамика финансы'!M27</f>
        <v>8892.35</v>
      </c>
      <c r="L4" s="324">
        <f>'Динамика финансы'!N27</f>
        <v>37333.029999999992</v>
      </c>
      <c r="M4" s="324">
        <f>'Динамика финансы'!O27</f>
        <v>0</v>
      </c>
      <c r="N4" s="324">
        <f>'Динамика финансы'!P27</f>
        <v>0</v>
      </c>
      <c r="O4" s="324">
        <f>'Динамика финансы'!Q27</f>
        <v>0</v>
      </c>
      <c r="P4" s="324">
        <f>'Динамика финансы'!R27</f>
        <v>13303.056949152542</v>
      </c>
      <c r="Q4" s="324">
        <f>'Динамика финансы'!S27</f>
        <v>10</v>
      </c>
      <c r="R4" s="324">
        <f>'Динамика финансы'!T27</f>
        <v>1682.9</v>
      </c>
      <c r="S4" s="324">
        <f>'Динамика финансы'!U27</f>
        <v>904.8</v>
      </c>
      <c r="T4" s="324">
        <f>'Динамика финансы'!V27</f>
        <v>0</v>
      </c>
      <c r="U4" s="324">
        <f>'Динамика финансы'!W27</f>
        <v>0</v>
      </c>
      <c r="V4" s="324">
        <f>'Динамика финансы'!X27</f>
        <v>868.21</v>
      </c>
      <c r="W4" s="324">
        <f>'Динамика финансы'!Y27</f>
        <v>16113.413050847466</v>
      </c>
      <c r="X4" s="325"/>
      <c r="Y4" s="326">
        <f>'Динамика финансы'!AA27</f>
        <v>8.88407182594073E-2</v>
      </c>
      <c r="Z4" s="326">
        <f>'Динамика финансы'!AB27</f>
        <v>2.0890589493970713</v>
      </c>
      <c r="AA4" s="326">
        <f>'Динамика финансы'!AC27</f>
        <v>0.18559349755067858</v>
      </c>
      <c r="AB4" s="326">
        <f>'Динамика финансы'!AD27</f>
        <v>0.15322395444826184</v>
      </c>
    </row>
    <row r="5" spans="2:28">
      <c r="B5" s="324"/>
      <c r="C5" s="324" t="str">
        <f>'Динамика финансы'!B28</f>
        <v>01-07.12 туники</v>
      </c>
      <c r="D5" s="324">
        <f>'Динамика финансы'!C28</f>
        <v>0</v>
      </c>
      <c r="E5" s="324">
        <f>'Динамика финансы'!D28</f>
        <v>0</v>
      </c>
      <c r="F5" s="324">
        <f>'Динамика финансы'!E28</f>
        <v>-4332.3930508474577</v>
      </c>
      <c r="G5" s="324">
        <f>'Динамика финансы'!I28</f>
        <v>6500</v>
      </c>
      <c r="H5" s="324">
        <f>'Динамика финансы'!J28</f>
        <v>-12000</v>
      </c>
      <c r="I5" s="324">
        <f>'Динамика финансы'!K28</f>
        <v>-5500</v>
      </c>
      <c r="J5" s="324">
        <f>'Динамика финансы'!L28</f>
        <v>-597</v>
      </c>
      <c r="K5" s="324">
        <f>'Динамика финансы'!M28</f>
        <v>968.03</v>
      </c>
      <c r="L5" s="324">
        <f>'Динамика финансы'!N28</f>
        <v>-2365</v>
      </c>
      <c r="M5" s="324">
        <f>'Динамика финансы'!O28</f>
        <v>0</v>
      </c>
      <c r="N5" s="324">
        <f>'Динамика финансы'!P28</f>
        <v>0</v>
      </c>
      <c r="O5" s="324">
        <f>'Динамика финансы'!Q28</f>
        <v>0</v>
      </c>
      <c r="P5" s="324">
        <f>'Динамика финансы'!R28</f>
        <v>229.36305084745763</v>
      </c>
      <c r="Q5" s="324">
        <f>'Динамика финансы'!S28</f>
        <v>0</v>
      </c>
      <c r="R5" s="324">
        <f>'Динамика финансы'!T28</f>
        <v>0</v>
      </c>
      <c r="S5" s="324">
        <f>'Динамика финансы'!U28</f>
        <v>0</v>
      </c>
      <c r="T5" s="324">
        <f>'Динамика финансы'!V28</f>
        <v>0</v>
      </c>
      <c r="U5" s="324">
        <f>'Динамика финансы'!W28</f>
        <v>0</v>
      </c>
      <c r="V5" s="324">
        <f>'Динамика финансы'!X28</f>
        <v>-55</v>
      </c>
      <c r="W5" s="324">
        <f>'Динамика финансы'!Y28</f>
        <v>-3680.3930508474577</v>
      </c>
      <c r="X5" s="325"/>
      <c r="Y5" s="326">
        <f>'Динамика финансы'!AA28</f>
        <v>0.10854545454545454</v>
      </c>
      <c r="Z5" s="326">
        <f>'Динамика финансы'!AB28</f>
        <v>6.1648124804815039</v>
      </c>
      <c r="AA5" s="326">
        <f>'Динамика финансы'!AC28</f>
        <v>0.66916237288135594</v>
      </c>
      <c r="AB5" s="326">
        <f>'Динамика финансы'!AD28</f>
        <v>-4.1702372881355934E-2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20362.470000000008</v>
      </c>
      <c r="G8" s="327">
        <f t="shared" ref="G8:W8" si="0">G4+G5+G6+G7</f>
        <v>93321</v>
      </c>
      <c r="H8" s="327">
        <f t="shared" si="0"/>
        <v>-12000</v>
      </c>
      <c r="I8" s="327">
        <f t="shared" si="0"/>
        <v>81321</v>
      </c>
      <c r="J8" s="327">
        <f t="shared" si="0"/>
        <v>7116.2400000000007</v>
      </c>
      <c r="K8" s="327">
        <f t="shared" si="0"/>
        <v>9860.380000000001</v>
      </c>
      <c r="L8" s="327">
        <f t="shared" si="0"/>
        <v>34968.029999999992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13532.42</v>
      </c>
      <c r="Q8" s="327">
        <f t="shared" si="0"/>
        <v>10</v>
      </c>
      <c r="R8" s="327">
        <f t="shared" si="0"/>
        <v>1682.9</v>
      </c>
      <c r="S8" s="327">
        <f t="shared" si="0"/>
        <v>904.8</v>
      </c>
      <c r="T8" s="327">
        <f t="shared" si="0"/>
        <v>0</v>
      </c>
      <c r="U8" s="327">
        <f t="shared" si="0"/>
        <v>0</v>
      </c>
      <c r="V8" s="327">
        <f t="shared" si="0"/>
        <v>813.21</v>
      </c>
      <c r="W8" s="327">
        <f t="shared" si="0"/>
        <v>12433.020000000008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500" t="s">
        <v>763</v>
      </c>
      <c r="D11" s="501"/>
      <c r="E11" s="501"/>
      <c r="F11" s="501"/>
      <c r="G11" s="387" t="s">
        <v>1332</v>
      </c>
      <c r="H11" s="502"/>
      <c r="I11" s="502"/>
      <c r="J11" s="502"/>
      <c r="K11" s="502"/>
      <c r="L11" s="502"/>
      <c r="M11" s="503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90" t="s">
        <v>294</v>
      </c>
      <c r="D13" s="491"/>
      <c r="E13" s="491"/>
      <c r="F13" s="491"/>
      <c r="G13" s="492"/>
      <c r="H13" s="331"/>
      <c r="I13" s="493" t="s">
        <v>304</v>
      </c>
      <c r="J13" s="494"/>
      <c r="K13" s="494"/>
      <c r="L13" s="494"/>
      <c r="M13" s="495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86821</v>
      </c>
      <c r="F15" s="335" t="s">
        <v>764</v>
      </c>
      <c r="G15" s="355">
        <f>'Динамика финансы'!K65</f>
        <v>0.72004516998177359</v>
      </c>
      <c r="H15" s="331"/>
      <c r="I15" s="353" t="s">
        <v>32</v>
      </c>
      <c r="J15" s="354"/>
      <c r="K15" s="334">
        <f>I5</f>
        <v>-5500</v>
      </c>
      <c r="L15" s="335" t="s">
        <v>764</v>
      </c>
      <c r="M15" s="355">
        <f>'Динамика финансы'!K66</f>
        <v>-1.9166666666666665</v>
      </c>
      <c r="N15" s="331"/>
    </row>
    <row r="16" spans="2:28" ht="16" thickBot="1">
      <c r="B16" s="332"/>
      <c r="C16" s="356" t="s">
        <v>212</v>
      </c>
      <c r="D16" s="357"/>
      <c r="E16" s="339">
        <f>W4</f>
        <v>16113.413050847466</v>
      </c>
      <c r="F16" s="340" t="s">
        <v>764</v>
      </c>
      <c r="G16" s="358">
        <f>'Динамика финансы'!Y65</f>
        <v>4.5139534738360858</v>
      </c>
      <c r="H16" s="331"/>
      <c r="I16" s="356" t="s">
        <v>212</v>
      </c>
      <c r="J16" s="357"/>
      <c r="K16" s="339">
        <f>W5</f>
        <v>-3680.3930508474577</v>
      </c>
      <c r="L16" s="340" t="s">
        <v>764</v>
      </c>
      <c r="M16" s="358">
        <f>'Динамика финансы'!Y66</f>
        <v>-6.9927487913030131</v>
      </c>
      <c r="N16" s="331"/>
    </row>
    <row r="17" spans="2:14" ht="16" thickBot="1">
      <c r="B17" s="332"/>
      <c r="C17" s="363" t="s">
        <v>205</v>
      </c>
      <c r="D17" s="359"/>
      <c r="E17" s="341">
        <f>J4</f>
        <v>7713.2400000000007</v>
      </c>
      <c r="F17" s="342" t="s">
        <v>764</v>
      </c>
      <c r="G17" s="358">
        <f>'Динамика финансы'!L65</f>
        <v>0.789299334688083</v>
      </c>
      <c r="H17" s="331"/>
      <c r="I17" s="363" t="s">
        <v>205</v>
      </c>
      <c r="J17" s="359"/>
      <c r="K17" s="341">
        <f>J5</f>
        <v>-597</v>
      </c>
      <c r="L17" s="342" t="s">
        <v>764</v>
      </c>
      <c r="M17" s="358">
        <f>'Динамика финансы'!L66</f>
        <v>-1.9521531100478469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96" t="s">
        <v>29</v>
      </c>
      <c r="D19" s="496"/>
      <c r="E19" s="344">
        <f>K4</f>
        <v>8892.35</v>
      </c>
      <c r="F19" s="345" t="s">
        <v>764</v>
      </c>
      <c r="G19" s="346">
        <f>'Динамика финансы'!M62</f>
        <v>0.10242164914018498</v>
      </c>
      <c r="H19" s="331"/>
      <c r="I19" s="496" t="s">
        <v>29</v>
      </c>
      <c r="J19" s="496"/>
      <c r="K19" s="344">
        <f>K5</f>
        <v>968.03</v>
      </c>
      <c r="L19" s="345" t="s">
        <v>764</v>
      </c>
      <c r="M19" s="346">
        <f>'Динамика финансы'!M63</f>
        <v>-0.17600545454545455</v>
      </c>
      <c r="N19" s="331"/>
    </row>
    <row r="20" spans="2:14" ht="16" thickBot="1">
      <c r="B20" s="332"/>
      <c r="C20" s="496" t="s">
        <v>208</v>
      </c>
      <c r="D20" s="496"/>
      <c r="E20" s="344">
        <f>P4</f>
        <v>13303.056949152542</v>
      </c>
      <c r="F20" s="345" t="s">
        <v>764</v>
      </c>
      <c r="G20" s="346">
        <f>'Динамика финансы'!R62</f>
        <v>0.15322395444826184</v>
      </c>
      <c r="H20" s="331"/>
      <c r="I20" s="496" t="s">
        <v>208</v>
      </c>
      <c r="J20" s="496"/>
      <c r="K20" s="344">
        <f>P5</f>
        <v>229.36305084745763</v>
      </c>
      <c r="L20" s="345" t="s">
        <v>764</v>
      </c>
      <c r="M20" s="346">
        <f>'Динамика финансы'!R63</f>
        <v>-4.1702372881355934E-2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88" t="s">
        <v>126</v>
      </c>
      <c r="D22" s="488"/>
      <c r="E22" s="347">
        <f>H4</f>
        <v>0</v>
      </c>
      <c r="F22" s="348" t="s">
        <v>764</v>
      </c>
      <c r="G22" s="349">
        <f>'Динамика финансы'!J62</f>
        <v>0</v>
      </c>
      <c r="H22" s="331"/>
      <c r="I22" s="488" t="s">
        <v>126</v>
      </c>
      <c r="J22" s="488"/>
      <c r="K22" s="347">
        <f>H5</f>
        <v>-12000</v>
      </c>
      <c r="L22" s="348" t="s">
        <v>764</v>
      </c>
      <c r="M22" s="346">
        <f>'Динамика финансы'!J63</f>
        <v>1.8461538461538463</v>
      </c>
      <c r="N22" s="331"/>
    </row>
    <row r="23" spans="2:14" ht="15.5">
      <c r="B23" s="332"/>
      <c r="C23" s="489" t="s">
        <v>311</v>
      </c>
      <c r="D23" s="489"/>
      <c r="E23" s="360">
        <f>L4</f>
        <v>37333.029999999992</v>
      </c>
      <c r="F23" s="361" t="s">
        <v>764</v>
      </c>
      <c r="G23" s="362">
        <f>'Динамика финансы'!N62</f>
        <v>0.42999999999999988</v>
      </c>
      <c r="H23" s="331"/>
      <c r="I23" s="489" t="s">
        <v>311</v>
      </c>
      <c r="J23" s="489"/>
      <c r="K23" s="360">
        <f>L5</f>
        <v>-2365</v>
      </c>
      <c r="L23" s="361" t="s">
        <v>764</v>
      </c>
      <c r="M23" s="362">
        <f>'Динамика финансы'!N63</f>
        <v>0.43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82" t="s">
        <v>312</v>
      </c>
      <c r="F25" s="483"/>
      <c r="G25" s="350">
        <f>Z4</f>
        <v>2.0890589493970713</v>
      </c>
      <c r="H25" s="331"/>
      <c r="I25" s="331"/>
      <c r="J25" s="331"/>
      <c r="K25" s="482" t="s">
        <v>312</v>
      </c>
      <c r="L25" s="483"/>
      <c r="M25" s="350">
        <f>Z5</f>
        <v>6.1648124804815039</v>
      </c>
      <c r="N25" s="331"/>
    </row>
    <row r="26" spans="2:14" ht="15.5">
      <c r="B26" s="332"/>
      <c r="C26" s="331"/>
      <c r="D26" s="331"/>
      <c r="E26" s="482" t="s">
        <v>313</v>
      </c>
      <c r="F26" s="483"/>
      <c r="G26" s="350">
        <f>AA4</f>
        <v>0.18559349755067858</v>
      </c>
      <c r="H26" s="331"/>
      <c r="I26" s="331"/>
      <c r="J26" s="331"/>
      <c r="K26" s="482" t="s">
        <v>313</v>
      </c>
      <c r="L26" s="483"/>
      <c r="M26" s="350">
        <f>AA5</f>
        <v>0.66916237288135594</v>
      </c>
      <c r="N26" s="331"/>
    </row>
    <row r="27" spans="2:14" ht="15.5">
      <c r="B27" s="332"/>
      <c r="C27" s="331"/>
      <c r="D27" s="331"/>
      <c r="E27" s="484" t="s">
        <v>767</v>
      </c>
      <c r="F27" s="485"/>
      <c r="G27" s="350">
        <f>Y4</f>
        <v>8.88407182594073E-2</v>
      </c>
      <c r="H27" s="331"/>
      <c r="I27" s="331"/>
      <c r="J27" s="331"/>
      <c r="K27" s="484" t="s">
        <v>767</v>
      </c>
      <c r="L27" s="485"/>
      <c r="M27" s="350">
        <f>Y5</f>
        <v>0.10854545454545454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86" t="s">
        <v>765</v>
      </c>
      <c r="G29" s="487"/>
      <c r="H29" s="336">
        <f>'Юнит 24-30.11'!I51</f>
        <v>728189.41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E26:F26"/>
    <mergeCell ref="K26:L26"/>
    <mergeCell ref="E27:F27"/>
    <mergeCell ref="K27:L27"/>
    <mergeCell ref="F29:G29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X2:X3"/>
    <mergeCell ref="Y2:Y3"/>
    <mergeCell ref="Z2:Z3"/>
    <mergeCell ref="AA2:AA3"/>
    <mergeCell ref="AB2:AB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U2:U3"/>
    <mergeCell ref="V2:V3"/>
    <mergeCell ref="W2:W3"/>
    <mergeCell ref="L2:L3"/>
    <mergeCell ref="M2:M3"/>
    <mergeCell ref="N2:N3"/>
    <mergeCell ref="O2:O3"/>
    <mergeCell ref="P2:P3"/>
    <mergeCell ref="Q2:Q3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{9ED670B6-23F0-46DC-848C-0A199BD3D5B1}</x14:id>
        </ext>
      </extLst>
    </cfRule>
  </conditionalFormatting>
  <conditionalFormatting sqref="G15">
    <cfRule type="cellIs" dxfId="470" priority="7" operator="greaterThan">
      <formula>0</formula>
    </cfRule>
    <cfRule type="cellIs" dxfId="469" priority="8" operator="lessThanOrEqual">
      <formula>0</formula>
    </cfRule>
  </conditionalFormatting>
  <conditionalFormatting sqref="G16:G17">
    <cfRule type="cellIs" dxfId="468" priority="5" operator="greaterThan">
      <formula>0</formula>
    </cfRule>
    <cfRule type="cellIs" dxfId="467" priority="6" operator="lessThanOrEqual">
      <formula>0</formula>
    </cfRule>
  </conditionalFormatting>
  <conditionalFormatting sqref="M15">
    <cfRule type="cellIs" dxfId="466" priority="3" operator="greaterThan">
      <formula>0</formula>
    </cfRule>
    <cfRule type="cellIs" dxfId="465" priority="4" operator="lessThanOrEqual">
      <formula>0</formula>
    </cfRule>
  </conditionalFormatting>
  <conditionalFormatting sqref="M16:M17">
    <cfRule type="cellIs" dxfId="464" priority="1" operator="greaterThan">
      <formula>0</formula>
    </cfRule>
    <cfRule type="cellIs" dxfId="463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D670B6-23F0-46DC-848C-0A199BD3D5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FF30-A843-45D9-82EF-C62D3E64CB16}">
  <dimension ref="B2:AB30"/>
  <sheetViews>
    <sheetView zoomScale="70" zoomScaleNormal="70" workbookViewId="0">
      <selection activeCell="H29" sqref="H29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506" t="s">
        <v>251</v>
      </c>
      <c r="C2" s="506"/>
      <c r="D2" s="506"/>
      <c r="E2" s="507" t="s">
        <v>252</v>
      </c>
      <c r="F2" s="506" t="s">
        <v>253</v>
      </c>
      <c r="G2" s="508" t="s">
        <v>32</v>
      </c>
      <c r="H2" s="509"/>
      <c r="I2" s="510"/>
      <c r="J2" s="511" t="s">
        <v>205</v>
      </c>
      <c r="K2" s="504" t="s">
        <v>29</v>
      </c>
      <c r="L2" s="504" t="s">
        <v>311</v>
      </c>
      <c r="M2" s="504" t="s">
        <v>256</v>
      </c>
      <c r="N2" s="504" t="s">
        <v>257</v>
      </c>
      <c r="O2" s="504" t="s">
        <v>210</v>
      </c>
      <c r="P2" s="504" t="s">
        <v>258</v>
      </c>
      <c r="Q2" s="504" t="s">
        <v>259</v>
      </c>
      <c r="R2" s="504" t="s">
        <v>260</v>
      </c>
      <c r="S2" s="504" t="s">
        <v>261</v>
      </c>
      <c r="T2" s="504" t="s">
        <v>262</v>
      </c>
      <c r="U2" s="504" t="s">
        <v>263</v>
      </c>
      <c r="V2" s="504" t="s">
        <v>264</v>
      </c>
      <c r="W2" s="504" t="s">
        <v>265</v>
      </c>
      <c r="X2" s="497"/>
      <c r="Y2" s="498" t="s">
        <v>267</v>
      </c>
      <c r="Z2" s="498" t="s">
        <v>219</v>
      </c>
      <c r="AA2" s="498" t="s">
        <v>220</v>
      </c>
      <c r="AB2" s="499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507"/>
      <c r="F3" s="506"/>
      <c r="G3" s="321" t="s">
        <v>31</v>
      </c>
      <c r="H3" s="322" t="s">
        <v>126</v>
      </c>
      <c r="I3" s="323" t="s">
        <v>272</v>
      </c>
      <c r="J3" s="512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497"/>
      <c r="Y3" s="498"/>
      <c r="Z3" s="498"/>
      <c r="AA3" s="498"/>
      <c r="AB3" s="499"/>
    </row>
    <row r="4" spans="2:28">
      <c r="B4" s="324"/>
      <c r="C4" s="324" t="str">
        <f>'Динамика финансы'!B25</f>
        <v>24-30.11 очки</v>
      </c>
      <c r="D4" s="324">
        <f>'Динамика финансы'!C25</f>
        <v>0</v>
      </c>
      <c r="E4" s="324">
        <f>'Динамика финансы'!D25</f>
        <v>0</v>
      </c>
      <c r="F4" s="324">
        <f>'Динамика финансы'!E25</f>
        <v>229.96894736841932</v>
      </c>
      <c r="G4" s="324">
        <f>'Динамика финансы'!I25</f>
        <v>56557</v>
      </c>
      <c r="H4" s="324">
        <f>'Динамика финансы'!J25</f>
        <v>-6081</v>
      </c>
      <c r="I4" s="324">
        <f>'Динамика финансы'!K25</f>
        <v>50476</v>
      </c>
      <c r="J4" s="324">
        <f>'Динамика финансы'!L25</f>
        <v>4310.76</v>
      </c>
      <c r="K4" s="324">
        <f>'Динамика финансы'!M25</f>
        <v>5747.3700000000008</v>
      </c>
      <c r="L4" s="324">
        <f>'Динамика финансы'!N25</f>
        <v>21704.68</v>
      </c>
      <c r="M4" s="324">
        <f>'Динамика финансы'!O25</f>
        <v>0</v>
      </c>
      <c r="N4" s="324">
        <f>'Динамика финансы'!P25</f>
        <v>0</v>
      </c>
      <c r="O4" s="324">
        <f>'Динамика финансы'!Q25</f>
        <v>0</v>
      </c>
      <c r="P4" s="324">
        <f>'Динамика финансы'!R25</f>
        <v>21570.101052631577</v>
      </c>
      <c r="Q4" s="324">
        <f>'Динамика финансы'!S25</f>
        <v>5</v>
      </c>
      <c r="R4" s="324">
        <f>'Динамика финансы'!T25</f>
        <v>1218.8800000000001</v>
      </c>
      <c r="S4" s="324">
        <f>'Динамика финансы'!U25</f>
        <v>0</v>
      </c>
      <c r="T4" s="324">
        <f>'Динамика финансы'!V25</f>
        <v>0</v>
      </c>
      <c r="U4" s="324">
        <f>'Динамика финансы'!W25</f>
        <v>0</v>
      </c>
      <c r="V4" s="324">
        <f>'Динамика финансы'!X25</f>
        <v>504.76</v>
      </c>
      <c r="W4" s="324">
        <f>'Динамика финансы'!Y25</f>
        <v>-4585.5510526315811</v>
      </c>
      <c r="X4" s="325"/>
      <c r="Y4" s="326">
        <f>'Динамика финансы'!AA25</f>
        <v>8.5402171328948409E-2</v>
      </c>
      <c r="Z4" s="326">
        <f>'Динамика финансы'!AB25</f>
        <v>-1.0637453842551152</v>
      </c>
      <c r="AA4" s="326">
        <f>'Динамика финансы'!AC25</f>
        <v>-9.0846165556533423E-2</v>
      </c>
      <c r="AB4" s="326">
        <f>'Динамика финансы'!AD25</f>
        <v>0.42733380324573217</v>
      </c>
    </row>
    <row r="5" spans="2:28">
      <c r="B5" s="324"/>
      <c r="C5" s="324" t="str">
        <f>'Динамика финансы'!B26</f>
        <v>24-30.11 туники</v>
      </c>
      <c r="D5" s="324">
        <f>'Динамика финансы'!C26</f>
        <v>0</v>
      </c>
      <c r="E5" s="324">
        <f>'Динамика финансы'!D26</f>
        <v>0</v>
      </c>
      <c r="F5" s="324">
        <f>'Динамика финансы'!E26</f>
        <v>1301.1410526315794</v>
      </c>
      <c r="G5" s="324">
        <f>'Динамика финансы'!I26</f>
        <v>12000</v>
      </c>
      <c r="H5" s="324">
        <f>'Динамика финансы'!J26</f>
        <v>-6000</v>
      </c>
      <c r="I5" s="324">
        <f>'Динамика финансы'!K26</f>
        <v>6000</v>
      </c>
      <c r="J5" s="324">
        <f>'Динамика финансы'!L26</f>
        <v>627</v>
      </c>
      <c r="K5" s="324">
        <f>'Динамика финансы'!M26</f>
        <v>920.5200000000001</v>
      </c>
      <c r="L5" s="324">
        <f>'Динамика финансы'!N26</f>
        <v>2580</v>
      </c>
      <c r="M5" s="324">
        <f>'Динамика финансы'!O26</f>
        <v>0</v>
      </c>
      <c r="N5" s="324">
        <f>'Динамика финансы'!P26</f>
        <v>0</v>
      </c>
      <c r="O5" s="324">
        <f>'Динамика финансы'!Q26</f>
        <v>0</v>
      </c>
      <c r="P5" s="324">
        <f>'Динамика финансы'!R26</f>
        <v>1198.338947368421</v>
      </c>
      <c r="Q5" s="324">
        <f>'Динамика финансы'!S26</f>
        <v>0</v>
      </c>
      <c r="R5" s="324">
        <f>'Динамика финансы'!T26</f>
        <v>0</v>
      </c>
      <c r="S5" s="324">
        <f>'Динамика финансы'!U26</f>
        <v>0</v>
      </c>
      <c r="T5" s="324">
        <f>'Динамика финансы'!V26</f>
        <v>0</v>
      </c>
      <c r="U5" s="324">
        <f>'Динамика финансы'!W26</f>
        <v>0</v>
      </c>
      <c r="V5" s="324">
        <f>'Динамика финансы'!X26</f>
        <v>60</v>
      </c>
      <c r="W5" s="324">
        <f>'Динамика финансы'!Y26</f>
        <v>614.14105263157944</v>
      </c>
      <c r="X5" s="325"/>
      <c r="Y5" s="326">
        <f>'Динамика финансы'!AA26</f>
        <v>0.1045</v>
      </c>
      <c r="Z5" s="326">
        <f>'Динамика финансы'!AB26</f>
        <v>0.97949131201208839</v>
      </c>
      <c r="AA5" s="326">
        <f>'Динамика финансы'!AC26</f>
        <v>0.10235684210526325</v>
      </c>
      <c r="AB5" s="326">
        <f>'Динамика финансы'!AD26</f>
        <v>0.19972315789473685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1531.1099999999988</v>
      </c>
      <c r="G8" s="327">
        <f t="shared" ref="G8:W8" si="0">G4+G5+G6+G7</f>
        <v>68557</v>
      </c>
      <c r="H8" s="327">
        <f t="shared" si="0"/>
        <v>-12081</v>
      </c>
      <c r="I8" s="327">
        <f t="shared" si="0"/>
        <v>56476</v>
      </c>
      <c r="J8" s="327">
        <f t="shared" si="0"/>
        <v>4937.76</v>
      </c>
      <c r="K8" s="327">
        <f t="shared" si="0"/>
        <v>6667.8900000000012</v>
      </c>
      <c r="L8" s="327">
        <f t="shared" si="0"/>
        <v>24284.68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22768.44</v>
      </c>
      <c r="Q8" s="327">
        <f t="shared" si="0"/>
        <v>5</v>
      </c>
      <c r="R8" s="327">
        <f t="shared" si="0"/>
        <v>1218.8800000000001</v>
      </c>
      <c r="S8" s="327">
        <f t="shared" si="0"/>
        <v>0</v>
      </c>
      <c r="T8" s="327">
        <f t="shared" si="0"/>
        <v>0</v>
      </c>
      <c r="U8" s="327">
        <f t="shared" si="0"/>
        <v>0</v>
      </c>
      <c r="V8" s="327">
        <f t="shared" si="0"/>
        <v>564.76</v>
      </c>
      <c r="W8" s="327">
        <f t="shared" si="0"/>
        <v>-3971.4100000000017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500" t="s">
        <v>763</v>
      </c>
      <c r="D11" s="501"/>
      <c r="E11" s="501"/>
      <c r="F11" s="501"/>
      <c r="G11" s="387" t="s">
        <v>1222</v>
      </c>
      <c r="H11" s="502"/>
      <c r="I11" s="502"/>
      <c r="J11" s="502"/>
      <c r="K11" s="502"/>
      <c r="L11" s="502"/>
      <c r="M11" s="503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90" t="s">
        <v>294</v>
      </c>
      <c r="D13" s="491"/>
      <c r="E13" s="491"/>
      <c r="F13" s="491"/>
      <c r="G13" s="492"/>
      <c r="H13" s="331"/>
      <c r="I13" s="493" t="s">
        <v>304</v>
      </c>
      <c r="J13" s="494"/>
      <c r="K13" s="494"/>
      <c r="L13" s="494"/>
      <c r="M13" s="495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50476</v>
      </c>
      <c r="F15" s="335" t="s">
        <v>764</v>
      </c>
      <c r="G15" s="355">
        <f>'Динамика финансы'!K72</f>
        <v>2.8003502983645845E-2</v>
      </c>
      <c r="H15" s="331"/>
      <c r="I15" s="353" t="s">
        <v>32</v>
      </c>
      <c r="J15" s="354"/>
      <c r="K15" s="334">
        <f>I5</f>
        <v>6000</v>
      </c>
      <c r="L15" s="335" t="s">
        <v>764</v>
      </c>
      <c r="M15" s="355">
        <f>'Динамика финансы'!K73</f>
        <v>-0.23312883435582821</v>
      </c>
      <c r="N15" s="331"/>
    </row>
    <row r="16" spans="2:28" ht="16" thickBot="1">
      <c r="B16" s="332"/>
      <c r="C16" s="356" t="s">
        <v>212</v>
      </c>
      <c r="D16" s="357"/>
      <c r="E16" s="339">
        <f>W4</f>
        <v>-4585.5510526315811</v>
      </c>
      <c r="F16" s="340" t="s">
        <v>764</v>
      </c>
      <c r="G16" s="358">
        <f>'Динамика финансы'!Y72</f>
        <v>0.60551031538550015</v>
      </c>
      <c r="H16" s="331"/>
      <c r="I16" s="356" t="s">
        <v>212</v>
      </c>
      <c r="J16" s="357"/>
      <c r="K16" s="339">
        <f>W5</f>
        <v>614.14105263157944</v>
      </c>
      <c r="L16" s="340" t="s">
        <v>764</v>
      </c>
      <c r="M16" s="358">
        <f>'Динамика финансы'!Y73</f>
        <v>1.5230059570931966</v>
      </c>
      <c r="N16" s="331"/>
    </row>
    <row r="17" spans="2:14" ht="16" thickBot="1">
      <c r="B17" s="332"/>
      <c r="C17" s="363" t="s">
        <v>205</v>
      </c>
      <c r="D17" s="359"/>
      <c r="E17" s="341">
        <f>J4</f>
        <v>4310.76</v>
      </c>
      <c r="F17" s="342" t="s">
        <v>764</v>
      </c>
      <c r="G17" s="358">
        <f>'Динамика финансы'!L72</f>
        <v>1.9121109818718285E-2</v>
      </c>
      <c r="H17" s="331"/>
      <c r="I17" s="363" t="s">
        <v>205</v>
      </c>
      <c r="J17" s="359"/>
      <c r="K17" s="341">
        <f>J5</f>
        <v>627</v>
      </c>
      <c r="L17" s="342" t="s">
        <v>764</v>
      </c>
      <c r="M17" s="358">
        <f>'Динамика финансы'!L73</f>
        <v>-0.48774509803921573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96" t="s">
        <v>29</v>
      </c>
      <c r="D19" s="496"/>
      <c r="E19" s="344">
        <f>K4</f>
        <v>5747.3700000000008</v>
      </c>
      <c r="F19" s="345" t="s">
        <v>764</v>
      </c>
      <c r="G19" s="346">
        <f>'Динамика финансы'!M69</f>
        <v>0.11386342023932168</v>
      </c>
      <c r="H19" s="331"/>
      <c r="I19" s="496" t="s">
        <v>29</v>
      </c>
      <c r="J19" s="496"/>
      <c r="K19" s="344">
        <f>K5</f>
        <v>920.5200000000001</v>
      </c>
      <c r="L19" s="345" t="s">
        <v>764</v>
      </c>
      <c r="M19" s="346">
        <f>'Динамика финансы'!M70</f>
        <v>0.15342000000000003</v>
      </c>
      <c r="N19" s="331"/>
    </row>
    <row r="20" spans="2:14" ht="16" thickBot="1">
      <c r="B20" s="332"/>
      <c r="C20" s="496" t="s">
        <v>208</v>
      </c>
      <c r="D20" s="496"/>
      <c r="E20" s="344">
        <f>P4</f>
        <v>21570.101052631577</v>
      </c>
      <c r="F20" s="345" t="s">
        <v>764</v>
      </c>
      <c r="G20" s="346">
        <f>'Динамика финансы'!R69</f>
        <v>0.42733380324573217</v>
      </c>
      <c r="H20" s="331"/>
      <c r="I20" s="496" t="s">
        <v>208</v>
      </c>
      <c r="J20" s="496"/>
      <c r="K20" s="344">
        <f>P5</f>
        <v>1198.338947368421</v>
      </c>
      <c r="L20" s="345" t="s">
        <v>764</v>
      </c>
      <c r="M20" s="346">
        <f>'Динамика финансы'!R70</f>
        <v>0.19972315789473685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88" t="s">
        <v>126</v>
      </c>
      <c r="D22" s="488"/>
      <c r="E22" s="347">
        <f>H4</f>
        <v>-6081</v>
      </c>
      <c r="F22" s="348" t="s">
        <v>764</v>
      </c>
      <c r="G22" s="349">
        <f>'Динамика финансы'!J69</f>
        <v>0.10751984723376416</v>
      </c>
      <c r="H22" s="331"/>
      <c r="I22" s="488" t="s">
        <v>126</v>
      </c>
      <c r="J22" s="488"/>
      <c r="K22" s="347">
        <f>H5</f>
        <v>-6000</v>
      </c>
      <c r="L22" s="348" t="s">
        <v>764</v>
      </c>
      <c r="M22" s="346">
        <f>'Динамика финансы'!J70</f>
        <v>0.5</v>
      </c>
      <c r="N22" s="331"/>
    </row>
    <row r="23" spans="2:14" ht="15.5">
      <c r="B23" s="332"/>
      <c r="C23" s="489" t="s">
        <v>311</v>
      </c>
      <c r="D23" s="489"/>
      <c r="E23" s="360">
        <f>L4</f>
        <v>21704.68</v>
      </c>
      <c r="F23" s="361" t="s">
        <v>764</v>
      </c>
      <c r="G23" s="362">
        <f>'Динамика финансы'!N69</f>
        <v>0.43</v>
      </c>
      <c r="H23" s="331"/>
      <c r="I23" s="489" t="s">
        <v>311</v>
      </c>
      <c r="J23" s="489"/>
      <c r="K23" s="360">
        <f>L5</f>
        <v>2580</v>
      </c>
      <c r="L23" s="361" t="s">
        <v>764</v>
      </c>
      <c r="M23" s="362">
        <f>'Динамика финансы'!N70</f>
        <v>0.43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82" t="s">
        <v>312</v>
      </c>
      <c r="F25" s="483"/>
      <c r="G25" s="350">
        <f>Z4</f>
        <v>-1.0637453842551152</v>
      </c>
      <c r="H25" s="331"/>
      <c r="I25" s="331"/>
      <c r="J25" s="331"/>
      <c r="K25" s="482" t="s">
        <v>312</v>
      </c>
      <c r="L25" s="483"/>
      <c r="M25" s="350">
        <f>Z5</f>
        <v>0.97949131201208839</v>
      </c>
      <c r="N25" s="331"/>
    </row>
    <row r="26" spans="2:14" ht="15.5">
      <c r="B26" s="332"/>
      <c r="C26" s="331"/>
      <c r="D26" s="331"/>
      <c r="E26" s="482" t="s">
        <v>313</v>
      </c>
      <c r="F26" s="483"/>
      <c r="G26" s="350">
        <f>AA4</f>
        <v>-9.0846165556533423E-2</v>
      </c>
      <c r="H26" s="331"/>
      <c r="I26" s="331"/>
      <c r="J26" s="331"/>
      <c r="K26" s="482" t="s">
        <v>313</v>
      </c>
      <c r="L26" s="483"/>
      <c r="M26" s="350">
        <f>AA5</f>
        <v>0.10235684210526325</v>
      </c>
      <c r="N26" s="331"/>
    </row>
    <row r="27" spans="2:14" ht="15.5">
      <c r="B27" s="332"/>
      <c r="C27" s="331"/>
      <c r="D27" s="331"/>
      <c r="E27" s="484" t="s">
        <v>767</v>
      </c>
      <c r="F27" s="485"/>
      <c r="G27" s="350">
        <f>Y4</f>
        <v>8.5402171328948409E-2</v>
      </c>
      <c r="H27" s="331"/>
      <c r="I27" s="331"/>
      <c r="J27" s="331"/>
      <c r="K27" s="484" t="s">
        <v>767</v>
      </c>
      <c r="L27" s="485"/>
      <c r="M27" s="350">
        <f>Y5</f>
        <v>0.1045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86" t="s">
        <v>765</v>
      </c>
      <c r="G29" s="487"/>
      <c r="H29" s="336">
        <f>'Юнит 24-30.11'!I51</f>
        <v>728189.41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X2:X3"/>
    <mergeCell ref="Y2:Y3"/>
    <mergeCell ref="Z2:Z3"/>
    <mergeCell ref="AA2:AA3"/>
    <mergeCell ref="AB2:AB3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E26:F26"/>
    <mergeCell ref="K26:L26"/>
    <mergeCell ref="E27:F27"/>
    <mergeCell ref="K27:L27"/>
    <mergeCell ref="F29:G29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{A03D5640-560D-45E1-8381-E3D99F736B80}</x14:id>
        </ext>
      </extLst>
    </cfRule>
  </conditionalFormatting>
  <conditionalFormatting sqref="G15">
    <cfRule type="cellIs" dxfId="462" priority="7" operator="greaterThan">
      <formula>0</formula>
    </cfRule>
    <cfRule type="cellIs" dxfId="461" priority="8" operator="lessThanOrEqual">
      <formula>0</formula>
    </cfRule>
  </conditionalFormatting>
  <conditionalFormatting sqref="G16:G17">
    <cfRule type="cellIs" dxfId="460" priority="5" operator="greaterThan">
      <formula>0</formula>
    </cfRule>
    <cfRule type="cellIs" dxfId="459" priority="6" operator="lessThanOrEqual">
      <formula>0</formula>
    </cfRule>
  </conditionalFormatting>
  <conditionalFormatting sqref="M15">
    <cfRule type="cellIs" dxfId="458" priority="3" operator="greaterThan">
      <formula>0</formula>
    </cfRule>
    <cfRule type="cellIs" dxfId="457" priority="4" operator="lessThanOrEqual">
      <formula>0</formula>
    </cfRule>
  </conditionalFormatting>
  <conditionalFormatting sqref="M16:M17">
    <cfRule type="cellIs" dxfId="456" priority="1" operator="greaterThan">
      <formula>0</formula>
    </cfRule>
    <cfRule type="cellIs" dxfId="455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3D5640-560D-45E1-8381-E3D99F736B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6772-0C49-4DEB-BD91-3E029B745731}">
  <dimension ref="B2:AB30"/>
  <sheetViews>
    <sheetView topLeftCell="A7" zoomScale="70" zoomScaleNormal="70" workbookViewId="0">
      <selection activeCell="O23" sqref="O23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506" t="s">
        <v>251</v>
      </c>
      <c r="C2" s="506"/>
      <c r="D2" s="506"/>
      <c r="E2" s="507" t="s">
        <v>252</v>
      </c>
      <c r="F2" s="506" t="s">
        <v>253</v>
      </c>
      <c r="G2" s="508" t="s">
        <v>32</v>
      </c>
      <c r="H2" s="509"/>
      <c r="I2" s="510"/>
      <c r="J2" s="511" t="s">
        <v>205</v>
      </c>
      <c r="K2" s="504" t="s">
        <v>29</v>
      </c>
      <c r="L2" s="504" t="s">
        <v>311</v>
      </c>
      <c r="M2" s="504" t="s">
        <v>256</v>
      </c>
      <c r="N2" s="504" t="s">
        <v>257</v>
      </c>
      <c r="O2" s="504" t="s">
        <v>210</v>
      </c>
      <c r="P2" s="504" t="s">
        <v>258</v>
      </c>
      <c r="Q2" s="504" t="s">
        <v>259</v>
      </c>
      <c r="R2" s="504" t="s">
        <v>260</v>
      </c>
      <c r="S2" s="504" t="s">
        <v>261</v>
      </c>
      <c r="T2" s="504" t="s">
        <v>262</v>
      </c>
      <c r="U2" s="504" t="s">
        <v>263</v>
      </c>
      <c r="V2" s="504" t="s">
        <v>264</v>
      </c>
      <c r="W2" s="504" t="s">
        <v>265</v>
      </c>
      <c r="X2" s="497"/>
      <c r="Y2" s="498" t="s">
        <v>267</v>
      </c>
      <c r="Z2" s="498" t="s">
        <v>219</v>
      </c>
      <c r="AA2" s="498" t="s">
        <v>220</v>
      </c>
      <c r="AB2" s="499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507"/>
      <c r="F3" s="506"/>
      <c r="G3" s="321" t="s">
        <v>31</v>
      </c>
      <c r="H3" s="322" t="s">
        <v>126</v>
      </c>
      <c r="I3" s="323" t="s">
        <v>272</v>
      </c>
      <c r="J3" s="512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497"/>
      <c r="Y3" s="498"/>
      <c r="Z3" s="498"/>
      <c r="AA3" s="498"/>
      <c r="AB3" s="499"/>
    </row>
    <row r="4" spans="2:28">
      <c r="B4" s="324"/>
      <c r="C4" s="324" t="str">
        <f>'Динамика финансы'!B23</f>
        <v>17-23.11 очки</v>
      </c>
      <c r="D4" s="324">
        <f>'Динамика финансы'!C23</f>
        <v>0</v>
      </c>
      <c r="E4" s="324">
        <f>'Динамика финансы'!D23</f>
        <v>0</v>
      </c>
      <c r="F4" s="324">
        <f>'Динамика финансы'!E23</f>
        <v>-6903.1175000000003</v>
      </c>
      <c r="G4" s="324">
        <f>'Динамика финансы'!I23</f>
        <v>52152</v>
      </c>
      <c r="H4" s="324">
        <f>'Динамика финансы'!J23</f>
        <v>-3051</v>
      </c>
      <c r="I4" s="324">
        <f>'Динамика финансы'!K23</f>
        <v>49101</v>
      </c>
      <c r="J4" s="324">
        <f>'Динамика финансы'!L23</f>
        <v>4229.88</v>
      </c>
      <c r="K4" s="324">
        <f>'Динамика финансы'!M23</f>
        <v>5536.1200000000008</v>
      </c>
      <c r="L4" s="324">
        <f>'Динамика финансы'!N23</f>
        <v>21012.899999999994</v>
      </c>
      <c r="M4" s="324">
        <f>'Динамика финансы'!O23</f>
        <v>0</v>
      </c>
      <c r="N4" s="324">
        <f>'Динамика финансы'!P23</f>
        <v>0</v>
      </c>
      <c r="O4" s="324">
        <f>'Динамика финансы'!Q23</f>
        <v>0</v>
      </c>
      <c r="P4" s="324">
        <f>'Динамика финансы'!R23</f>
        <v>27920.887500000001</v>
      </c>
      <c r="Q4" s="324">
        <f>'Динамика финансы'!S23</f>
        <v>5</v>
      </c>
      <c r="R4" s="324">
        <f>'Динамика финансы'!T23</f>
        <v>1529.21</v>
      </c>
      <c r="S4" s="324">
        <f>'Динамика финансы'!U23</f>
        <v>0</v>
      </c>
      <c r="T4" s="324">
        <f>'Динамика финансы'!V23</f>
        <v>0</v>
      </c>
      <c r="U4" s="324">
        <f>'Динамика финансы'!W23</f>
        <v>0</v>
      </c>
      <c r="V4" s="324">
        <f>'Динамика финансы'!X23</f>
        <v>491.01</v>
      </c>
      <c r="W4" s="324">
        <f>'Динамика финансы'!Y23</f>
        <v>-11624.007500000002</v>
      </c>
      <c r="X4" s="325"/>
      <c r="Y4" s="326">
        <f>'Динамика финансы'!AA23</f>
        <v>8.6146514327610432E-2</v>
      </c>
      <c r="Z4" s="326">
        <f>'Динамика финансы'!AB23</f>
        <v>-2.7480702762253304</v>
      </c>
      <c r="AA4" s="326">
        <f>'Динамика финансы'!AC23</f>
        <v>-0.23673667542412583</v>
      </c>
      <c r="AB4" s="326">
        <f>'Динамика финансы'!AD23</f>
        <v>0.56864193193621315</v>
      </c>
    </row>
    <row r="5" spans="2:28">
      <c r="B5" s="324"/>
      <c r="C5" s="324" t="str">
        <f>'Динамика финансы'!B24</f>
        <v>17-23.11 туники</v>
      </c>
      <c r="D5" s="324">
        <f>'Динамика финансы'!C24</f>
        <v>0</v>
      </c>
      <c r="E5" s="324">
        <f>'Динамика финансы'!D24</f>
        <v>0</v>
      </c>
      <c r="F5" s="324">
        <f>'Динамика финансы'!E24</f>
        <v>127.98749999999927</v>
      </c>
      <c r="G5" s="324">
        <f>'Динамика финансы'!I24</f>
        <v>13324</v>
      </c>
      <c r="H5" s="324">
        <f>'Динамика финансы'!J24</f>
        <v>-5500</v>
      </c>
      <c r="I5" s="324">
        <f>'Динамика финансы'!K24</f>
        <v>7824</v>
      </c>
      <c r="J5" s="324">
        <f>'Динамика финансы'!L24</f>
        <v>1224</v>
      </c>
      <c r="K5" s="324">
        <f>'Динамика финансы'!M24</f>
        <v>1518.4299999999998</v>
      </c>
      <c r="L5" s="324">
        <f>'Динамика финансы'!N24</f>
        <v>3639.32</v>
      </c>
      <c r="M5" s="324">
        <f>'Динамика финансы'!O24</f>
        <v>0</v>
      </c>
      <c r="N5" s="324">
        <f>'Динамика финансы'!P24</f>
        <v>0</v>
      </c>
      <c r="O5" s="324">
        <f>'Динамика финансы'!Q24</f>
        <v>0</v>
      </c>
      <c r="P5" s="324">
        <f>'Динамика финансы'!R24</f>
        <v>2538.2625000000003</v>
      </c>
      <c r="Q5" s="324">
        <f>'Динамика финансы'!S24</f>
        <v>0</v>
      </c>
      <c r="R5" s="324">
        <f>'Динамика финансы'!T24</f>
        <v>0</v>
      </c>
      <c r="S5" s="324">
        <f>'Динамика финансы'!U24</f>
        <v>0</v>
      </c>
      <c r="T5" s="324">
        <f>'Динамика финансы'!V24</f>
        <v>0</v>
      </c>
      <c r="U5" s="324">
        <f>'Динамика финансы'!W24</f>
        <v>0</v>
      </c>
      <c r="V5" s="324">
        <f>'Динамика финансы'!X24</f>
        <v>78.239999999999995</v>
      </c>
      <c r="W5" s="324">
        <f>'Динамика финансы'!Y24</f>
        <v>-1174.2525000000007</v>
      </c>
      <c r="X5" s="325"/>
      <c r="Y5" s="326">
        <f>'Динамика финансы'!AA24</f>
        <v>0.15644171779141106</v>
      </c>
      <c r="Z5" s="326">
        <f>'Динамика финансы'!AB24</f>
        <v>-0.95935661764705937</v>
      </c>
      <c r="AA5" s="326">
        <f>'Динамика финансы'!AC24</f>
        <v>-0.15008339723926389</v>
      </c>
      <c r="AB5" s="326">
        <f>'Динамика финансы'!AD24</f>
        <v>0.32442005368098165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-6775.130000000001</v>
      </c>
      <c r="G8" s="327">
        <f t="shared" ref="G8:W8" si="0">G4+G5+G6+G7</f>
        <v>65476</v>
      </c>
      <c r="H8" s="327">
        <f t="shared" si="0"/>
        <v>-8551</v>
      </c>
      <c r="I8" s="327">
        <f t="shared" si="0"/>
        <v>56925</v>
      </c>
      <c r="J8" s="327">
        <f t="shared" si="0"/>
        <v>5453.88</v>
      </c>
      <c r="K8" s="327">
        <f t="shared" si="0"/>
        <v>7054.5500000000011</v>
      </c>
      <c r="L8" s="327">
        <f t="shared" si="0"/>
        <v>24652.219999999994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30459.15</v>
      </c>
      <c r="Q8" s="327">
        <f t="shared" si="0"/>
        <v>5</v>
      </c>
      <c r="R8" s="327">
        <f t="shared" si="0"/>
        <v>1529.21</v>
      </c>
      <c r="S8" s="327">
        <f t="shared" si="0"/>
        <v>0</v>
      </c>
      <c r="T8" s="327">
        <f t="shared" si="0"/>
        <v>0</v>
      </c>
      <c r="U8" s="327">
        <f t="shared" si="0"/>
        <v>0</v>
      </c>
      <c r="V8" s="327">
        <f t="shared" si="0"/>
        <v>569.25</v>
      </c>
      <c r="W8" s="327">
        <f t="shared" si="0"/>
        <v>-12798.260000000002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500" t="s">
        <v>763</v>
      </c>
      <c r="D11" s="501"/>
      <c r="E11" s="501"/>
      <c r="F11" s="501"/>
      <c r="G11" s="387" t="s">
        <v>1129</v>
      </c>
      <c r="H11" s="502"/>
      <c r="I11" s="502"/>
      <c r="J11" s="502"/>
      <c r="K11" s="502"/>
      <c r="L11" s="502"/>
      <c r="M11" s="503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90" t="s">
        <v>294</v>
      </c>
      <c r="D13" s="491"/>
      <c r="E13" s="491"/>
      <c r="F13" s="491"/>
      <c r="G13" s="492"/>
      <c r="H13" s="331"/>
      <c r="I13" s="493" t="s">
        <v>304</v>
      </c>
      <c r="J13" s="494"/>
      <c r="K13" s="494"/>
      <c r="L13" s="494"/>
      <c r="M13" s="495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49101</v>
      </c>
      <c r="F15" s="335" t="s">
        <v>764</v>
      </c>
      <c r="G15" s="355">
        <f>'Динамика финансы'!K79</f>
        <v>0.25648702594810402</v>
      </c>
      <c r="H15" s="331"/>
      <c r="I15" s="353" t="s">
        <v>32</v>
      </c>
      <c r="J15" s="354"/>
      <c r="K15" s="334">
        <f>I5</f>
        <v>7824</v>
      </c>
      <c r="L15" s="335" t="s">
        <v>764</v>
      </c>
      <c r="M15" s="355">
        <f>'Динамика финансы'!K80</f>
        <v>-0.60436893203883502</v>
      </c>
      <c r="N15" s="331"/>
    </row>
    <row r="16" spans="2:28" ht="16" thickBot="1">
      <c r="B16" s="332"/>
      <c r="C16" s="356" t="s">
        <v>212</v>
      </c>
      <c r="D16" s="357"/>
      <c r="E16" s="339">
        <f>W4</f>
        <v>-11624.007500000002</v>
      </c>
      <c r="F16" s="340" t="s">
        <v>764</v>
      </c>
      <c r="G16" s="358">
        <f>'Динамика финансы'!Y79</f>
        <v>0.1660207483952717</v>
      </c>
      <c r="H16" s="331"/>
      <c r="I16" s="356" t="s">
        <v>212</v>
      </c>
      <c r="J16" s="357"/>
      <c r="K16" s="339">
        <f>W5</f>
        <v>-1174.2525000000007</v>
      </c>
      <c r="L16" s="340" t="s">
        <v>764</v>
      </c>
      <c r="M16" s="358">
        <f>'Динамика финансы'!Y80</f>
        <v>1.5297764583836782</v>
      </c>
      <c r="N16" s="331"/>
    </row>
    <row r="17" spans="2:14" ht="16" thickBot="1">
      <c r="B17" s="332"/>
      <c r="C17" s="363" t="s">
        <v>205</v>
      </c>
      <c r="D17" s="359"/>
      <c r="E17" s="341">
        <f>J4</f>
        <v>4229.88</v>
      </c>
      <c r="F17" s="342" t="s">
        <v>764</v>
      </c>
      <c r="G17" s="358">
        <f>'Динамика финансы'!L79</f>
        <v>0.18133603679840493</v>
      </c>
      <c r="H17" s="331"/>
      <c r="I17" s="363" t="s">
        <v>205</v>
      </c>
      <c r="J17" s="359"/>
      <c r="K17" s="341">
        <f>J5</f>
        <v>1224</v>
      </c>
      <c r="L17" s="342" t="s">
        <v>764</v>
      </c>
      <c r="M17" s="358">
        <f>'Динамика финансы'!L80</f>
        <v>-0.51773049645390068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96" t="s">
        <v>29</v>
      </c>
      <c r="D19" s="496"/>
      <c r="E19" s="344">
        <f>K4</f>
        <v>5536.1200000000008</v>
      </c>
      <c r="F19" s="345" t="s">
        <v>764</v>
      </c>
      <c r="G19" s="346">
        <f>'Динамика финансы'!M76</f>
        <v>0.11274963850023423</v>
      </c>
      <c r="H19" s="331"/>
      <c r="I19" s="496" t="s">
        <v>29</v>
      </c>
      <c r="J19" s="496"/>
      <c r="K19" s="344">
        <f>K5</f>
        <v>1518.4299999999998</v>
      </c>
      <c r="L19" s="345" t="s">
        <v>764</v>
      </c>
      <c r="M19" s="346">
        <f>'Динамика финансы'!M77</f>
        <v>0.19407336400817993</v>
      </c>
      <c r="N19" s="331"/>
    </row>
    <row r="20" spans="2:14" ht="16" thickBot="1">
      <c r="B20" s="332"/>
      <c r="C20" s="496" t="s">
        <v>208</v>
      </c>
      <c r="D20" s="496"/>
      <c r="E20" s="344">
        <f>P4</f>
        <v>27920.887500000001</v>
      </c>
      <c r="F20" s="345" t="s">
        <v>764</v>
      </c>
      <c r="G20" s="346">
        <f>'Динамика финансы'!R76</f>
        <v>0.56864193193621315</v>
      </c>
      <c r="H20" s="331"/>
      <c r="I20" s="496" t="s">
        <v>208</v>
      </c>
      <c r="J20" s="496"/>
      <c r="K20" s="344">
        <f>P5</f>
        <v>2538.2625000000003</v>
      </c>
      <c r="L20" s="345" t="s">
        <v>764</v>
      </c>
      <c r="M20" s="346">
        <f>'Динамика финансы'!R77</f>
        <v>0.32442005368098165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88" t="s">
        <v>126</v>
      </c>
      <c r="D22" s="488"/>
      <c r="E22" s="347">
        <f>H4</f>
        <v>-3051</v>
      </c>
      <c r="F22" s="348" t="s">
        <v>764</v>
      </c>
      <c r="G22" s="349">
        <f>'Динамика финансы'!J76</f>
        <v>5.8502070869765305E-2</v>
      </c>
      <c r="H22" s="331"/>
      <c r="I22" s="488" t="s">
        <v>126</v>
      </c>
      <c r="J22" s="488"/>
      <c r="K22" s="347">
        <f>H5</f>
        <v>-5500</v>
      </c>
      <c r="L22" s="348" t="s">
        <v>764</v>
      </c>
      <c r="M22" s="346">
        <f>'Динамика финансы'!J77</f>
        <v>0.41278895226658663</v>
      </c>
      <c r="N22" s="331"/>
    </row>
    <row r="23" spans="2:14" ht="15.5">
      <c r="B23" s="332"/>
      <c r="C23" s="489" t="s">
        <v>311</v>
      </c>
      <c r="D23" s="489"/>
      <c r="E23" s="360">
        <f>L4</f>
        <v>21012.899999999994</v>
      </c>
      <c r="F23" s="361" t="s">
        <v>764</v>
      </c>
      <c r="G23" s="362">
        <f>'Динамика финансы'!N76</f>
        <v>0.42795258752367554</v>
      </c>
      <c r="H23" s="331"/>
      <c r="I23" s="489" t="s">
        <v>311</v>
      </c>
      <c r="J23" s="489"/>
      <c r="K23" s="360">
        <f>L5</f>
        <v>3639.32</v>
      </c>
      <c r="L23" s="361" t="s">
        <v>764</v>
      </c>
      <c r="M23" s="362">
        <f>'Динамика финансы'!N77</f>
        <v>0.46514826175869123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82" t="s">
        <v>312</v>
      </c>
      <c r="F25" s="483"/>
      <c r="G25" s="350">
        <f>Z4</f>
        <v>-2.7480702762253304</v>
      </c>
      <c r="H25" s="331"/>
      <c r="I25" s="331"/>
      <c r="J25" s="331"/>
      <c r="K25" s="482" t="s">
        <v>312</v>
      </c>
      <c r="L25" s="483"/>
      <c r="M25" s="350">
        <f>Z5</f>
        <v>-0.95935661764705937</v>
      </c>
      <c r="N25" s="331"/>
    </row>
    <row r="26" spans="2:14" ht="15.5">
      <c r="B26" s="332"/>
      <c r="C26" s="331"/>
      <c r="D26" s="331"/>
      <c r="E26" s="482" t="s">
        <v>313</v>
      </c>
      <c r="F26" s="483"/>
      <c r="G26" s="350">
        <f>AA4</f>
        <v>-0.23673667542412583</v>
      </c>
      <c r="H26" s="331"/>
      <c r="I26" s="331"/>
      <c r="J26" s="331"/>
      <c r="K26" s="482" t="s">
        <v>313</v>
      </c>
      <c r="L26" s="483"/>
      <c r="M26" s="350">
        <f>AA5</f>
        <v>-0.15008339723926389</v>
      </c>
      <c r="N26" s="331"/>
    </row>
    <row r="27" spans="2:14" ht="15.5">
      <c r="B27" s="332"/>
      <c r="C27" s="331"/>
      <c r="D27" s="331"/>
      <c r="E27" s="484" t="s">
        <v>767</v>
      </c>
      <c r="F27" s="485"/>
      <c r="G27" s="350">
        <f>Y4</f>
        <v>8.6146514327610432E-2</v>
      </c>
      <c r="H27" s="331"/>
      <c r="I27" s="331"/>
      <c r="J27" s="331"/>
      <c r="K27" s="484" t="s">
        <v>767</v>
      </c>
      <c r="L27" s="485"/>
      <c r="M27" s="350">
        <f>Y5</f>
        <v>0.15644171779141106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86" t="s">
        <v>765</v>
      </c>
      <c r="G29" s="487"/>
      <c r="H29" s="336">
        <f>'Юнит 17-23.11'!I51</f>
        <v>736264.29999999993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E26:F26"/>
    <mergeCell ref="K26:L26"/>
    <mergeCell ref="E27:F27"/>
    <mergeCell ref="K27:L27"/>
    <mergeCell ref="F29:G29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X2:X3"/>
    <mergeCell ref="Y2:Y3"/>
    <mergeCell ref="Z2:Z3"/>
    <mergeCell ref="AA2:AA3"/>
    <mergeCell ref="AB2:AB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U2:U3"/>
    <mergeCell ref="V2:V3"/>
    <mergeCell ref="W2:W3"/>
    <mergeCell ref="L2:L3"/>
    <mergeCell ref="M2:M3"/>
    <mergeCell ref="N2:N3"/>
    <mergeCell ref="O2:O3"/>
    <mergeCell ref="P2:P3"/>
    <mergeCell ref="Q2:Q3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{B1310226-0445-4399-8696-55F66CB388BB}</x14:id>
        </ext>
      </extLst>
    </cfRule>
  </conditionalFormatting>
  <conditionalFormatting sqref="G15">
    <cfRule type="cellIs" dxfId="454" priority="7" operator="greaterThan">
      <formula>0</formula>
    </cfRule>
    <cfRule type="cellIs" dxfId="453" priority="8" operator="lessThanOrEqual">
      <formula>0</formula>
    </cfRule>
  </conditionalFormatting>
  <conditionalFormatting sqref="G16:G17">
    <cfRule type="cellIs" dxfId="452" priority="5" operator="greaterThan">
      <formula>0</formula>
    </cfRule>
    <cfRule type="cellIs" dxfId="451" priority="6" operator="lessThanOrEqual">
      <formula>0</formula>
    </cfRule>
  </conditionalFormatting>
  <conditionalFormatting sqref="M15">
    <cfRule type="cellIs" dxfId="450" priority="3" operator="greaterThan">
      <formula>0</formula>
    </cfRule>
    <cfRule type="cellIs" dxfId="449" priority="4" operator="lessThanOrEqual">
      <formula>0</formula>
    </cfRule>
  </conditionalFormatting>
  <conditionalFormatting sqref="M16:M17">
    <cfRule type="cellIs" dxfId="448" priority="1" operator="greaterThan">
      <formula>0</formula>
    </cfRule>
    <cfRule type="cellIs" dxfId="447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310226-0445-4399-8696-55F66CB38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B7CA-9C0E-4300-A50A-04DA9F7F4146}">
  <dimension ref="B2:AB30"/>
  <sheetViews>
    <sheetView zoomScale="70" zoomScaleNormal="70" workbookViewId="0">
      <selection activeCell="Q13" sqref="Q13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506" t="s">
        <v>251</v>
      </c>
      <c r="C2" s="506"/>
      <c r="D2" s="506"/>
      <c r="E2" s="507" t="s">
        <v>252</v>
      </c>
      <c r="F2" s="506" t="s">
        <v>253</v>
      </c>
      <c r="G2" s="508" t="s">
        <v>32</v>
      </c>
      <c r="H2" s="509"/>
      <c r="I2" s="510"/>
      <c r="J2" s="511" t="s">
        <v>205</v>
      </c>
      <c r="K2" s="504" t="s">
        <v>29</v>
      </c>
      <c r="L2" s="504" t="s">
        <v>311</v>
      </c>
      <c r="M2" s="504" t="s">
        <v>256</v>
      </c>
      <c r="N2" s="504" t="s">
        <v>257</v>
      </c>
      <c r="O2" s="504" t="s">
        <v>210</v>
      </c>
      <c r="P2" s="504" t="s">
        <v>258</v>
      </c>
      <c r="Q2" s="504" t="s">
        <v>259</v>
      </c>
      <c r="R2" s="504" t="s">
        <v>260</v>
      </c>
      <c r="S2" s="504" t="s">
        <v>261</v>
      </c>
      <c r="T2" s="504" t="s">
        <v>262</v>
      </c>
      <c r="U2" s="504" t="s">
        <v>263</v>
      </c>
      <c r="V2" s="504" t="s">
        <v>264</v>
      </c>
      <c r="W2" s="504" t="s">
        <v>265</v>
      </c>
      <c r="X2" s="497"/>
      <c r="Y2" s="498" t="s">
        <v>267</v>
      </c>
      <c r="Z2" s="498" t="s">
        <v>219</v>
      </c>
      <c r="AA2" s="498" t="s">
        <v>220</v>
      </c>
      <c r="AB2" s="499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507"/>
      <c r="F3" s="506"/>
      <c r="G3" s="321" t="s">
        <v>31</v>
      </c>
      <c r="H3" s="322" t="s">
        <v>126</v>
      </c>
      <c r="I3" s="323" t="s">
        <v>272</v>
      </c>
      <c r="J3" s="512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497"/>
      <c r="Y3" s="498"/>
      <c r="Z3" s="498"/>
      <c r="AA3" s="498"/>
      <c r="AB3" s="499"/>
    </row>
    <row r="4" spans="2:28">
      <c r="B4" s="324"/>
      <c r="C4" s="324" t="str">
        <f>'Динамика финансы'!B21</f>
        <v>10-16.11 очки</v>
      </c>
      <c r="D4" s="324">
        <f>'Динамика финансы'!C21</f>
        <v>0</v>
      </c>
      <c r="E4" s="324">
        <f>'Динамика финансы'!D21</f>
        <v>0</v>
      </c>
      <c r="F4" s="324">
        <f>'Динамика финансы'!E21</f>
        <v>-9966.6356250000099</v>
      </c>
      <c r="G4" s="324">
        <f>'Динамика финансы'!I21</f>
        <v>40441.999999999993</v>
      </c>
      <c r="H4" s="324">
        <f>'Динамика финансы'!J21</f>
        <v>-1364</v>
      </c>
      <c r="I4" s="324">
        <f>'Динамика финансы'!K21</f>
        <v>39077.999999999993</v>
      </c>
      <c r="J4" s="324">
        <f>'Динамика финансы'!L21</f>
        <v>3580.5899999999992</v>
      </c>
      <c r="K4" s="324">
        <f>'Динамика финансы'!M21</f>
        <v>2866.97</v>
      </c>
      <c r="L4" s="324">
        <f>'Динамика финансы'!N21</f>
        <v>16247.939999999999</v>
      </c>
      <c r="M4" s="324">
        <f>'Динамика финансы'!O21</f>
        <v>0</v>
      </c>
      <c r="N4" s="324">
        <f>'Динамика финансы'!P21</f>
        <v>0</v>
      </c>
      <c r="O4" s="324">
        <f>'Динамика финансы'!Q21</f>
        <v>0</v>
      </c>
      <c r="P4" s="324">
        <f>'Динамика финансы'!R21</f>
        <v>24944.675625</v>
      </c>
      <c r="Q4" s="324">
        <f>'Динамика финансы'!S21</f>
        <v>5</v>
      </c>
      <c r="R4" s="324">
        <f>'Динамика финансы'!T21</f>
        <v>1416.75</v>
      </c>
      <c r="S4" s="324">
        <f>'Динамика финансы'!U21</f>
        <v>3563.3</v>
      </c>
      <c r="T4" s="324">
        <f>'Динамика финансы'!V21</f>
        <v>0</v>
      </c>
      <c r="U4" s="324">
        <f>'Динамика финансы'!W21</f>
        <v>0</v>
      </c>
      <c r="V4" s="324">
        <f>'Динамика финансы'!X21</f>
        <v>390.77999999999992</v>
      </c>
      <c r="W4" s="324">
        <f>'Динамика финансы'!Y21</f>
        <v>-13938.005625000011</v>
      </c>
      <c r="X4" s="325"/>
      <c r="Y4" s="326">
        <f>'Динамика финансы'!AA21</f>
        <v>9.1626746506986032E-2</v>
      </c>
      <c r="Z4" s="326">
        <f>'Динамика финансы'!AB21</f>
        <v>-3.8926561334863847</v>
      </c>
      <c r="AA4" s="326">
        <f>'Динамика финансы'!AC21</f>
        <v>-0.35667141678182129</v>
      </c>
      <c r="AB4" s="326">
        <f>'Динамика финансы'!AD21</f>
        <v>0.63833040649470296</v>
      </c>
    </row>
    <row r="5" spans="2:28">
      <c r="B5" s="324"/>
      <c r="C5" s="324" t="str">
        <f>'Динамика финансы'!B22</f>
        <v>10-16.11 туники</v>
      </c>
      <c r="D5" s="324">
        <f>'Динамика финансы'!C22</f>
        <v>0</v>
      </c>
      <c r="E5" s="324">
        <f>'Динамика финансы'!D22</f>
        <v>0</v>
      </c>
      <c r="F5" s="324">
        <f>'Динамика финансы'!E22</f>
        <v>4952.265625</v>
      </c>
      <c r="G5" s="324">
        <f>'Динамика финансы'!I22</f>
        <v>25276</v>
      </c>
      <c r="H5" s="324">
        <f>'Динамика финансы'!J22</f>
        <v>-5500</v>
      </c>
      <c r="I5" s="324">
        <f>'Динамика финансы'!K22</f>
        <v>19776</v>
      </c>
      <c r="J5" s="324">
        <f>'Динамика финансы'!L22</f>
        <v>2538</v>
      </c>
      <c r="K5" s="324">
        <f>'Динамика финансы'!M22</f>
        <v>1700.67</v>
      </c>
      <c r="L5" s="324">
        <f>'Динамика финансы'!N22</f>
        <v>8503.68</v>
      </c>
      <c r="M5" s="324">
        <f>'Динамика финансы'!O22</f>
        <v>0</v>
      </c>
      <c r="N5" s="324">
        <f>'Динамика финансы'!P22</f>
        <v>0</v>
      </c>
      <c r="O5" s="324">
        <f>'Динамика финансы'!Q22</f>
        <v>0</v>
      </c>
      <c r="P5" s="324">
        <f>'Динамика финансы'!R22</f>
        <v>4619.3843750000005</v>
      </c>
      <c r="Q5" s="324">
        <f>'Динамика финансы'!S22</f>
        <v>0</v>
      </c>
      <c r="R5" s="324">
        <f>'Динамика финансы'!T22</f>
        <v>0</v>
      </c>
      <c r="S5" s="324">
        <f>'Динамика финансы'!U22</f>
        <v>0</v>
      </c>
      <c r="T5" s="324">
        <f>'Динамика финансы'!V22</f>
        <v>0</v>
      </c>
      <c r="U5" s="324">
        <f>'Динамика финансы'!W22</f>
        <v>0</v>
      </c>
      <c r="V5" s="324">
        <f>'Динамика финансы'!X22</f>
        <v>197.76</v>
      </c>
      <c r="W5" s="324">
        <f>'Динамика финансы'!Y22</f>
        <v>2216.5056249999998</v>
      </c>
      <c r="X5" s="325"/>
      <c r="Y5" s="326">
        <f>'Динамика финансы'!AA22</f>
        <v>0.12833737864077671</v>
      </c>
      <c r="Z5" s="326">
        <f>'Динамика финансы'!AB22</f>
        <v>0.87332766942474382</v>
      </c>
      <c r="AA5" s="326">
        <f>'Динамика финансы'!AC22</f>
        <v>0.11208058378843042</v>
      </c>
      <c r="AB5" s="326">
        <f>'Динамика финансы'!AD22</f>
        <v>0.23358537494943368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-5014.3700000000099</v>
      </c>
      <c r="G8" s="327">
        <f t="shared" ref="G8:W8" si="0">G4+G5+G6+G7</f>
        <v>65718</v>
      </c>
      <c r="H8" s="327">
        <f t="shared" si="0"/>
        <v>-6864</v>
      </c>
      <c r="I8" s="327">
        <f t="shared" si="0"/>
        <v>58853.999999999993</v>
      </c>
      <c r="J8" s="327">
        <f t="shared" si="0"/>
        <v>6118.5899999999992</v>
      </c>
      <c r="K8" s="327">
        <f t="shared" si="0"/>
        <v>4567.6399999999994</v>
      </c>
      <c r="L8" s="327">
        <f t="shared" si="0"/>
        <v>24751.62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29564.06</v>
      </c>
      <c r="Q8" s="327">
        <f t="shared" si="0"/>
        <v>5</v>
      </c>
      <c r="R8" s="327">
        <f t="shared" si="0"/>
        <v>1416.75</v>
      </c>
      <c r="S8" s="327">
        <f t="shared" si="0"/>
        <v>3563.3</v>
      </c>
      <c r="T8" s="327">
        <f t="shared" si="0"/>
        <v>0</v>
      </c>
      <c r="U8" s="327">
        <f t="shared" si="0"/>
        <v>0</v>
      </c>
      <c r="V8" s="327">
        <f t="shared" si="0"/>
        <v>588.54</v>
      </c>
      <c r="W8" s="327">
        <f t="shared" si="0"/>
        <v>-11721.500000000011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500" t="s">
        <v>763</v>
      </c>
      <c r="D11" s="501"/>
      <c r="E11" s="501"/>
      <c r="F11" s="501"/>
      <c r="G11" s="387" t="s">
        <v>1129</v>
      </c>
      <c r="H11" s="502"/>
      <c r="I11" s="502"/>
      <c r="J11" s="502"/>
      <c r="K11" s="502"/>
      <c r="L11" s="502"/>
      <c r="M11" s="503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90" t="s">
        <v>294</v>
      </c>
      <c r="D13" s="491"/>
      <c r="E13" s="491"/>
      <c r="F13" s="491"/>
      <c r="G13" s="492"/>
      <c r="H13" s="331"/>
      <c r="I13" s="493" t="s">
        <v>304</v>
      </c>
      <c r="J13" s="494"/>
      <c r="K13" s="494"/>
      <c r="L13" s="494"/>
      <c r="M13" s="495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39077.999999999993</v>
      </c>
      <c r="F15" s="335" t="s">
        <v>764</v>
      </c>
      <c r="G15" s="355">
        <f>'Динамика финансы'!K86</f>
        <v>1.7292918005307998</v>
      </c>
      <c r="H15" s="331"/>
      <c r="I15" s="353" t="s">
        <v>32</v>
      </c>
      <c r="J15" s="354"/>
      <c r="K15" s="334">
        <f>I5</f>
        <v>19776</v>
      </c>
      <c r="L15" s="335" t="s">
        <v>764</v>
      </c>
      <c r="M15" s="355">
        <f>'Динамика финансы'!K87</f>
        <v>-1.5923566878980888E-2</v>
      </c>
      <c r="N15" s="331"/>
    </row>
    <row r="16" spans="2:28" ht="16" thickBot="1">
      <c r="B16" s="332"/>
      <c r="C16" s="356" t="s">
        <v>212</v>
      </c>
      <c r="D16" s="357"/>
      <c r="E16" s="339">
        <f>W4</f>
        <v>-13938.005625000011</v>
      </c>
      <c r="F16" s="340" t="s">
        <v>764</v>
      </c>
      <c r="G16" s="358">
        <f>'Динамика финансы'!Y86</f>
        <v>-0.95433757195268765</v>
      </c>
      <c r="H16" s="331"/>
      <c r="I16" s="356" t="s">
        <v>212</v>
      </c>
      <c r="J16" s="357"/>
      <c r="K16" s="339">
        <f>W5</f>
        <v>2216.5056249999998</v>
      </c>
      <c r="L16" s="340" t="s">
        <v>764</v>
      </c>
      <c r="M16" s="358">
        <f>'Динамика финансы'!Y87</f>
        <v>-8.2891944869699348</v>
      </c>
      <c r="N16" s="331"/>
    </row>
    <row r="17" spans="2:14" ht="16" thickBot="1">
      <c r="B17" s="332"/>
      <c r="C17" s="363" t="s">
        <v>205</v>
      </c>
      <c r="D17" s="359"/>
      <c r="E17" s="341">
        <f>J4</f>
        <v>3580.5899999999992</v>
      </c>
      <c r="F17" s="342" t="s">
        <v>764</v>
      </c>
      <c r="G17" s="358">
        <f>'Динамика финансы'!L86</f>
        <v>1.5249206685001053</v>
      </c>
      <c r="H17" s="331"/>
      <c r="I17" s="363" t="s">
        <v>205</v>
      </c>
      <c r="J17" s="359"/>
      <c r="K17" s="341">
        <f>J5</f>
        <v>2538</v>
      </c>
      <c r="L17" s="342" t="s">
        <v>764</v>
      </c>
      <c r="M17" s="358">
        <f>'Динамика финансы'!L87</f>
        <v>-7.6419213973799138E-2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96" t="s">
        <v>29</v>
      </c>
      <c r="D19" s="496"/>
      <c r="E19" s="344">
        <f>K4</f>
        <v>2866.97</v>
      </c>
      <c r="F19" s="345" t="s">
        <v>764</v>
      </c>
      <c r="G19" s="346">
        <f>'Динамика финансы'!M83</f>
        <v>7.3365320640769754E-2</v>
      </c>
      <c r="H19" s="331"/>
      <c r="I19" s="496" t="s">
        <v>29</v>
      </c>
      <c r="J19" s="496"/>
      <c r="K19" s="344">
        <f>K5</f>
        <v>1700.67</v>
      </c>
      <c r="L19" s="345" t="s">
        <v>764</v>
      </c>
      <c r="M19" s="346">
        <f>'Динамика финансы'!M84</f>
        <v>8.5996662621359229E-2</v>
      </c>
      <c r="N19" s="331"/>
    </row>
    <row r="20" spans="2:14" ht="16" thickBot="1">
      <c r="B20" s="332"/>
      <c r="C20" s="496" t="s">
        <v>208</v>
      </c>
      <c r="D20" s="496"/>
      <c r="E20" s="344">
        <f>P4</f>
        <v>24944.675625</v>
      </c>
      <c r="F20" s="345" t="s">
        <v>764</v>
      </c>
      <c r="G20" s="346">
        <f>'Динамика финансы'!R83</f>
        <v>0.63833040649470296</v>
      </c>
      <c r="H20" s="331"/>
      <c r="I20" s="496" t="s">
        <v>208</v>
      </c>
      <c r="J20" s="496"/>
      <c r="K20" s="344">
        <f>P5</f>
        <v>4619.3843750000005</v>
      </c>
      <c r="L20" s="345" t="s">
        <v>764</v>
      </c>
      <c r="M20" s="346">
        <f>'Динамика финансы'!R84</f>
        <v>0.23358537494943368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88" t="s">
        <v>126</v>
      </c>
      <c r="D22" s="488"/>
      <c r="E22" s="347">
        <f>H4</f>
        <v>-1364</v>
      </c>
      <c r="F22" s="348" t="s">
        <v>764</v>
      </c>
      <c r="G22" s="349">
        <f>'Динамика финансы'!J83</f>
        <v>3.3727313189258701E-2</v>
      </c>
      <c r="H22" s="331"/>
      <c r="I22" s="488" t="s">
        <v>126</v>
      </c>
      <c r="J22" s="488"/>
      <c r="K22" s="347">
        <f>H5</f>
        <v>-5500</v>
      </c>
      <c r="L22" s="348" t="s">
        <v>764</v>
      </c>
      <c r="M22" s="346">
        <f>'Динамика финансы'!J84</f>
        <v>0.21759772115841114</v>
      </c>
      <c r="N22" s="331"/>
    </row>
    <row r="23" spans="2:14" ht="15.5">
      <c r="B23" s="332"/>
      <c r="C23" s="489" t="s">
        <v>311</v>
      </c>
      <c r="D23" s="489"/>
      <c r="E23" s="360">
        <f>L4</f>
        <v>16247.939999999999</v>
      </c>
      <c r="F23" s="361" t="s">
        <v>764</v>
      </c>
      <c r="G23" s="362">
        <f>'Динамика финансы'!N83</f>
        <v>0.41578228159066488</v>
      </c>
      <c r="H23" s="331"/>
      <c r="I23" s="489" t="s">
        <v>311</v>
      </c>
      <c r="J23" s="489"/>
      <c r="K23" s="360">
        <f>L5</f>
        <v>8503.68</v>
      </c>
      <c r="L23" s="361" t="s">
        <v>764</v>
      </c>
      <c r="M23" s="362">
        <f>'Динамика финансы'!N84</f>
        <v>0.43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82" t="s">
        <v>312</v>
      </c>
      <c r="F25" s="483"/>
      <c r="G25" s="350">
        <f>Z4</f>
        <v>-3.8926561334863847</v>
      </c>
      <c r="H25" s="331"/>
      <c r="I25" s="331"/>
      <c r="J25" s="331"/>
      <c r="K25" s="482" t="s">
        <v>312</v>
      </c>
      <c r="L25" s="483"/>
      <c r="M25" s="350">
        <f>Z5</f>
        <v>0.87332766942474382</v>
      </c>
      <c r="N25" s="331"/>
    </row>
    <row r="26" spans="2:14" ht="15.5">
      <c r="B26" s="332"/>
      <c r="C26" s="331"/>
      <c r="D26" s="331"/>
      <c r="E26" s="482" t="s">
        <v>313</v>
      </c>
      <c r="F26" s="483"/>
      <c r="G26" s="350">
        <f>AA4</f>
        <v>-0.35667141678182129</v>
      </c>
      <c r="H26" s="331"/>
      <c r="I26" s="331"/>
      <c r="J26" s="331"/>
      <c r="K26" s="482" t="s">
        <v>313</v>
      </c>
      <c r="L26" s="483"/>
      <c r="M26" s="350">
        <f>AA5</f>
        <v>0.11208058378843042</v>
      </c>
      <c r="N26" s="331"/>
    </row>
    <row r="27" spans="2:14" ht="15.5">
      <c r="B27" s="332"/>
      <c r="C27" s="331"/>
      <c r="D27" s="331"/>
      <c r="E27" s="484" t="s">
        <v>767</v>
      </c>
      <c r="F27" s="485"/>
      <c r="G27" s="350">
        <f>Y4</f>
        <v>9.1626746506986032E-2</v>
      </c>
      <c r="H27" s="331"/>
      <c r="I27" s="331"/>
      <c r="J27" s="331"/>
      <c r="K27" s="484" t="s">
        <v>767</v>
      </c>
      <c r="L27" s="485"/>
      <c r="M27" s="350">
        <f>Y5</f>
        <v>0.12833737864077671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86" t="s">
        <v>765</v>
      </c>
      <c r="G29" s="487"/>
      <c r="H29" s="336">
        <f>'Юнит 10-16.11'!I51</f>
        <v>740327.11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X2:X3"/>
    <mergeCell ref="Y2:Y3"/>
    <mergeCell ref="Z2:Z3"/>
    <mergeCell ref="AA2:AA3"/>
    <mergeCell ref="AB2:AB3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E26:F26"/>
    <mergeCell ref="K26:L26"/>
    <mergeCell ref="E27:F27"/>
    <mergeCell ref="K27:L27"/>
    <mergeCell ref="F29:G29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{AC37DD0A-027D-4A9D-9813-F7099567DD24}</x14:id>
        </ext>
      </extLst>
    </cfRule>
  </conditionalFormatting>
  <conditionalFormatting sqref="G15">
    <cfRule type="cellIs" dxfId="446" priority="7" operator="greaterThan">
      <formula>0</formula>
    </cfRule>
    <cfRule type="cellIs" dxfId="445" priority="8" operator="lessThanOrEqual">
      <formula>0</formula>
    </cfRule>
  </conditionalFormatting>
  <conditionalFormatting sqref="G16:G17">
    <cfRule type="cellIs" dxfId="444" priority="5" operator="greaterThan">
      <formula>0</formula>
    </cfRule>
    <cfRule type="cellIs" dxfId="443" priority="6" operator="lessThanOrEqual">
      <formula>0</formula>
    </cfRule>
  </conditionalFormatting>
  <conditionalFormatting sqref="M15">
    <cfRule type="cellIs" dxfId="442" priority="3" operator="greaterThan">
      <formula>0</formula>
    </cfRule>
    <cfRule type="cellIs" dxfId="441" priority="4" operator="lessThanOrEqual">
      <formula>0</formula>
    </cfRule>
  </conditionalFormatting>
  <conditionalFormatting sqref="M16:M17">
    <cfRule type="cellIs" dxfId="440" priority="1" operator="greaterThan">
      <formula>0</formula>
    </cfRule>
    <cfRule type="cellIs" dxfId="439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37DD0A-027D-4A9D-9813-F7099567DD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D355-36B4-4469-A465-75EE255E6629}">
  <dimension ref="B2:AB30"/>
  <sheetViews>
    <sheetView zoomScale="70" zoomScaleNormal="70" workbookViewId="0">
      <selection activeCell="H32" sqref="H32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506" t="s">
        <v>251</v>
      </c>
      <c r="C2" s="506"/>
      <c r="D2" s="506"/>
      <c r="E2" s="507" t="s">
        <v>252</v>
      </c>
      <c r="F2" s="506" t="s">
        <v>253</v>
      </c>
      <c r="G2" s="508" t="s">
        <v>32</v>
      </c>
      <c r="H2" s="509"/>
      <c r="I2" s="510"/>
      <c r="J2" s="511" t="s">
        <v>205</v>
      </c>
      <c r="K2" s="504" t="s">
        <v>29</v>
      </c>
      <c r="L2" s="504" t="s">
        <v>311</v>
      </c>
      <c r="M2" s="504" t="s">
        <v>256</v>
      </c>
      <c r="N2" s="504" t="s">
        <v>257</v>
      </c>
      <c r="O2" s="504" t="s">
        <v>210</v>
      </c>
      <c r="P2" s="504" t="s">
        <v>258</v>
      </c>
      <c r="Q2" s="504" t="s">
        <v>259</v>
      </c>
      <c r="R2" s="504" t="s">
        <v>260</v>
      </c>
      <c r="S2" s="504" t="s">
        <v>261</v>
      </c>
      <c r="T2" s="504" t="s">
        <v>262</v>
      </c>
      <c r="U2" s="504" t="s">
        <v>263</v>
      </c>
      <c r="V2" s="504" t="s">
        <v>264</v>
      </c>
      <c r="W2" s="504" t="s">
        <v>265</v>
      </c>
      <c r="X2" s="497"/>
      <c r="Y2" s="498" t="s">
        <v>267</v>
      </c>
      <c r="Z2" s="498" t="s">
        <v>219</v>
      </c>
      <c r="AA2" s="498" t="s">
        <v>220</v>
      </c>
      <c r="AB2" s="499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507"/>
      <c r="F3" s="506"/>
      <c r="G3" s="321" t="s">
        <v>31</v>
      </c>
      <c r="H3" s="322" t="s">
        <v>126</v>
      </c>
      <c r="I3" s="323" t="s">
        <v>272</v>
      </c>
      <c r="J3" s="512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497"/>
      <c r="Y3" s="498"/>
      <c r="Z3" s="498"/>
      <c r="AA3" s="498"/>
      <c r="AB3" s="499"/>
    </row>
    <row r="4" spans="2:28">
      <c r="B4" s="324"/>
      <c r="C4" s="324" t="str">
        <f>'Динамика финансы'!B19</f>
        <v>03-09.11 очки</v>
      </c>
      <c r="D4" s="324">
        <f>'Динамика финансы'!C19</f>
        <v>0</v>
      </c>
      <c r="E4" s="324">
        <f>'Динамика финансы'!D19</f>
        <v>0</v>
      </c>
      <c r="F4" s="324">
        <f>'Динамика финансы'!E19</f>
        <v>-5570.551176470588</v>
      </c>
      <c r="G4" s="324">
        <f>'Динамика финансы'!I19</f>
        <v>14318</v>
      </c>
      <c r="H4" s="324">
        <f>'Динамика финансы'!J19</f>
        <v>0</v>
      </c>
      <c r="I4" s="324">
        <f>'Динамика финансы'!K19</f>
        <v>14318</v>
      </c>
      <c r="J4" s="324">
        <f>'Динамика финансы'!L19</f>
        <v>1418.1</v>
      </c>
      <c r="K4" s="324">
        <f>'Динамика финансы'!M19</f>
        <v>1216</v>
      </c>
      <c r="L4" s="324">
        <f>'Динамика финансы'!N19</f>
        <v>5440.84</v>
      </c>
      <c r="M4" s="324">
        <f>'Динамика финансы'!O19</f>
        <v>0</v>
      </c>
      <c r="N4" s="324">
        <f>'Динамика финансы'!P19</f>
        <v>0</v>
      </c>
      <c r="O4" s="324">
        <f>'Динамика финансы'!Q19</f>
        <v>0</v>
      </c>
      <c r="P4" s="324">
        <f>'Динамика финансы'!R19</f>
        <v>10605.641176470588</v>
      </c>
      <c r="Q4" s="324">
        <f>'Динамика финансы'!S19</f>
        <v>5</v>
      </c>
      <c r="R4" s="324">
        <f>'Динамика финансы'!T19</f>
        <v>924.97</v>
      </c>
      <c r="S4" s="324">
        <f>'Динамика финансы'!U19</f>
        <v>1696.1</v>
      </c>
      <c r="T4" s="324">
        <f>'Динамика финансы'!V19</f>
        <v>0</v>
      </c>
      <c r="U4" s="324">
        <f>'Динамика финансы'!W19</f>
        <v>0</v>
      </c>
      <c r="V4" s="324">
        <f>'Динамика финансы'!X19</f>
        <v>143.18</v>
      </c>
      <c r="W4" s="324">
        <f>'Динамика финансы'!Y19</f>
        <v>-7131.8311764705886</v>
      </c>
      <c r="X4" s="325"/>
      <c r="Y4" s="326">
        <f>'Динамика финансы'!AA19</f>
        <v>9.9043162452856534E-2</v>
      </c>
      <c r="Z4" s="326">
        <f>'Динамика финансы'!AB19</f>
        <v>-5.0291454597493752</v>
      </c>
      <c r="AA4" s="326">
        <f>'Динамика финансы'!AC19</f>
        <v>-0.49810247076900327</v>
      </c>
      <c r="AB4" s="326">
        <f>'Динамика финансы'!AD19</f>
        <v>0.74072085322465342</v>
      </c>
    </row>
    <row r="5" spans="2:28">
      <c r="B5" s="324"/>
      <c r="C5" s="324" t="str">
        <f>'Динамика финансы'!B20</f>
        <v>03-09.11 туники</v>
      </c>
      <c r="D5" s="324">
        <f>'Динамика финансы'!C20</f>
        <v>0</v>
      </c>
      <c r="E5" s="324">
        <f>'Динамика финансы'!D20</f>
        <v>0</v>
      </c>
      <c r="F5" s="324">
        <f>'Динамика финансы'!E20</f>
        <v>3187.5711764705884</v>
      </c>
      <c r="G5" s="324">
        <f>'Динамика финансы'!I20</f>
        <v>35645</v>
      </c>
      <c r="H5" s="324">
        <f>'Динамика финансы'!J20</f>
        <v>-15549</v>
      </c>
      <c r="I5" s="324">
        <f>'Динамика финансы'!K20</f>
        <v>20096</v>
      </c>
      <c r="J5" s="324">
        <f>'Динамика финансы'!L20</f>
        <v>2748</v>
      </c>
      <c r="K5" s="324">
        <f>'Динамика финансы'!M20</f>
        <v>1848</v>
      </c>
      <c r="L5" s="324">
        <f>'Динамика финансы'!N20</f>
        <v>7636.48</v>
      </c>
      <c r="M5" s="324">
        <f>'Динамика финансы'!O20</f>
        <v>0</v>
      </c>
      <c r="N5" s="324">
        <f>'Динамика финансы'!P20</f>
        <v>0</v>
      </c>
      <c r="O5" s="324">
        <f>'Динамика финансы'!Q20</f>
        <v>0</v>
      </c>
      <c r="P5" s="324">
        <f>'Динамика финансы'!R20</f>
        <v>7423.948823529412</v>
      </c>
      <c r="Q5" s="324">
        <f>'Динамика финансы'!S20</f>
        <v>0</v>
      </c>
      <c r="R5" s="324">
        <f>'Динамика финансы'!T20</f>
        <v>0</v>
      </c>
      <c r="S5" s="324">
        <f>'Динамика финансы'!U20</f>
        <v>0</v>
      </c>
      <c r="T5" s="324">
        <f>'Динамика финансы'!V20</f>
        <v>0</v>
      </c>
      <c r="U5" s="324">
        <f>'Динамика финансы'!W20</f>
        <v>0</v>
      </c>
      <c r="V5" s="324">
        <f>'Динамика финансы'!X20</f>
        <v>200.96</v>
      </c>
      <c r="W5" s="324">
        <f>'Динамика финансы'!Y20</f>
        <v>238.61117647058839</v>
      </c>
      <c r="X5" s="325"/>
      <c r="Y5" s="326">
        <f>'Динамика финансы'!AA20</f>
        <v>0.1367436305732484</v>
      </c>
      <c r="Z5" s="326">
        <f>'Динамика финансы'!AB20</f>
        <v>8.6830850244027799E-2</v>
      </c>
      <c r="AA5" s="326">
        <f>'Динамика финансы'!AC20</f>
        <v>1.1873565708130394E-2</v>
      </c>
      <c r="AB5" s="326">
        <f>'Динамика финансы'!AD20</f>
        <v>0.36942420499250656</v>
      </c>
    </row>
    <row r="6" spans="2:28">
      <c r="B6" s="324"/>
      <c r="C6" s="324"/>
      <c r="D6" s="324"/>
      <c r="E6" s="324"/>
      <c r="F6" s="324"/>
      <c r="G6" s="324"/>
      <c r="H6" s="324"/>
      <c r="I6" s="324"/>
      <c r="J6" s="324"/>
      <c r="K6" s="324"/>
      <c r="L6" s="324"/>
      <c r="M6" s="324"/>
      <c r="N6" s="324"/>
      <c r="O6" s="324"/>
      <c r="P6" s="324"/>
      <c r="Q6" s="324"/>
      <c r="R6" s="324"/>
      <c r="S6" s="324"/>
      <c r="T6" s="324"/>
      <c r="U6" s="324"/>
      <c r="V6" s="324"/>
      <c r="W6" s="324"/>
      <c r="X6" s="325"/>
      <c r="Y6" s="326"/>
      <c r="Z6" s="326"/>
      <c r="AA6" s="326"/>
      <c r="AB6" s="326"/>
    </row>
    <row r="7" spans="2:28">
      <c r="B7" s="324"/>
      <c r="C7" s="324"/>
      <c r="D7" s="324"/>
      <c r="E7" s="324"/>
      <c r="F7" s="324"/>
      <c r="G7" s="324"/>
      <c r="H7" s="324"/>
      <c r="I7" s="324"/>
      <c r="J7" s="324"/>
      <c r="K7" s="324"/>
      <c r="L7" s="324"/>
      <c r="M7" s="324"/>
      <c r="N7" s="324"/>
      <c r="O7" s="324"/>
      <c r="P7" s="324"/>
      <c r="Q7" s="324"/>
      <c r="R7" s="324"/>
      <c r="S7" s="324"/>
      <c r="T7" s="324"/>
      <c r="U7" s="324"/>
      <c r="V7" s="324"/>
      <c r="W7" s="324"/>
      <c r="X7" s="325"/>
      <c r="Y7" s="326"/>
      <c r="Z7" s="326"/>
      <c r="AA7" s="326"/>
      <c r="AB7" s="326"/>
    </row>
    <row r="8" spans="2:28">
      <c r="B8" s="324"/>
      <c r="C8" s="324"/>
      <c r="D8" s="324"/>
      <c r="E8" s="324"/>
      <c r="F8" s="327">
        <f>F4+F5+F6+F7</f>
        <v>-2382.9799999999996</v>
      </c>
      <c r="G8" s="327">
        <f t="shared" ref="G8:W8" si="0">G4+G5+G6+G7</f>
        <v>49963</v>
      </c>
      <c r="H8" s="327">
        <f t="shared" si="0"/>
        <v>-15549</v>
      </c>
      <c r="I8" s="327">
        <f t="shared" si="0"/>
        <v>34414</v>
      </c>
      <c r="J8" s="327">
        <f t="shared" si="0"/>
        <v>4166.1000000000004</v>
      </c>
      <c r="K8" s="327">
        <f t="shared" si="0"/>
        <v>3064</v>
      </c>
      <c r="L8" s="327">
        <f t="shared" si="0"/>
        <v>13077.32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18029.59</v>
      </c>
      <c r="Q8" s="327">
        <f t="shared" si="0"/>
        <v>5</v>
      </c>
      <c r="R8" s="327">
        <f t="shared" si="0"/>
        <v>924.97</v>
      </c>
      <c r="S8" s="327">
        <f t="shared" si="0"/>
        <v>1696.1</v>
      </c>
      <c r="T8" s="327">
        <f t="shared" si="0"/>
        <v>0</v>
      </c>
      <c r="U8" s="327">
        <f t="shared" si="0"/>
        <v>0</v>
      </c>
      <c r="V8" s="327">
        <f t="shared" si="0"/>
        <v>344.14</v>
      </c>
      <c r="W8" s="327">
        <f t="shared" si="0"/>
        <v>-6893.22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500" t="s">
        <v>763</v>
      </c>
      <c r="D11" s="501"/>
      <c r="E11" s="501"/>
      <c r="F11" s="501"/>
      <c r="G11" s="333" t="s">
        <v>1052</v>
      </c>
      <c r="H11" s="502"/>
      <c r="I11" s="502"/>
      <c r="J11" s="502"/>
      <c r="K11" s="502"/>
      <c r="L11" s="502"/>
      <c r="M11" s="503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90" t="s">
        <v>294</v>
      </c>
      <c r="D13" s="491"/>
      <c r="E13" s="491"/>
      <c r="F13" s="491"/>
      <c r="G13" s="492"/>
      <c r="H13" s="331"/>
      <c r="I13" s="493" t="s">
        <v>304</v>
      </c>
      <c r="J13" s="494"/>
      <c r="K13" s="494"/>
      <c r="L13" s="494"/>
      <c r="M13" s="495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</f>
        <v>14318</v>
      </c>
      <c r="F15" s="335" t="s">
        <v>764</v>
      </c>
      <c r="G15" s="355">
        <f>'Динамика финансы'!K93</f>
        <v>-0.29293827160493824</v>
      </c>
      <c r="H15" s="331"/>
      <c r="I15" s="353" t="s">
        <v>32</v>
      </c>
      <c r="J15" s="354"/>
      <c r="K15" s="334">
        <f>I5</f>
        <v>20096</v>
      </c>
      <c r="L15" s="335" t="s">
        <v>764</v>
      </c>
      <c r="M15" s="355">
        <f>'Динамика финансы'!K94</f>
        <v>-0.54055784179240973</v>
      </c>
      <c r="N15" s="331"/>
    </row>
    <row r="16" spans="2:28" ht="16" thickBot="1">
      <c r="B16" s="332"/>
      <c r="C16" s="356" t="s">
        <v>212</v>
      </c>
      <c r="D16" s="357"/>
      <c r="E16" s="339">
        <f>W4</f>
        <v>-7131.8311764705886</v>
      </c>
      <c r="F16" s="340" t="s">
        <v>764</v>
      </c>
      <c r="G16" s="358">
        <f>'Динамика финансы'!Y93</f>
        <v>-2.7363738928548265E-2</v>
      </c>
      <c r="H16" s="331"/>
      <c r="I16" s="356" t="s">
        <v>212</v>
      </c>
      <c r="J16" s="357"/>
      <c r="K16" s="339">
        <f>W5</f>
        <v>238.61117647058839</v>
      </c>
      <c r="L16" s="340" t="s">
        <v>764</v>
      </c>
      <c r="M16" s="358">
        <f>'Динамика финансы'!Y94</f>
        <v>-0.96695234521428697</v>
      </c>
      <c r="N16" s="331"/>
    </row>
    <row r="17" spans="2:14" ht="16" thickBot="1">
      <c r="B17" s="332"/>
      <c r="C17" s="363" t="s">
        <v>205</v>
      </c>
      <c r="D17" s="359"/>
      <c r="E17" s="341">
        <f>J4</f>
        <v>1418.1</v>
      </c>
      <c r="F17" s="342" t="s">
        <v>764</v>
      </c>
      <c r="G17" s="358">
        <f>'Динамика финансы'!L93</f>
        <v>-0.60882374035230968</v>
      </c>
      <c r="H17" s="331"/>
      <c r="I17" s="363" t="s">
        <v>205</v>
      </c>
      <c r="J17" s="359"/>
      <c r="K17" s="341">
        <f>J5</f>
        <v>2748</v>
      </c>
      <c r="L17" s="342" t="s">
        <v>764</v>
      </c>
      <c r="M17" s="358">
        <f>'Динамика финансы'!L94</f>
        <v>-0.61415332771693343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96" t="s">
        <v>29</v>
      </c>
      <c r="D19" s="496"/>
      <c r="E19" s="344">
        <f>K4</f>
        <v>1216</v>
      </c>
      <c r="F19" s="345" t="s">
        <v>764</v>
      </c>
      <c r="G19" s="346">
        <f>'Динамика финансы'!M90</f>
        <v>8.4928062578572425E-2</v>
      </c>
      <c r="H19" s="331"/>
      <c r="I19" s="496" t="s">
        <v>29</v>
      </c>
      <c r="J19" s="496"/>
      <c r="K19" s="344">
        <f>K5</f>
        <v>1848</v>
      </c>
      <c r="L19" s="345" t="s">
        <v>764</v>
      </c>
      <c r="M19" s="346">
        <f>'Динамика финансы'!M91</f>
        <v>9.1958598726114643E-2</v>
      </c>
      <c r="N19" s="331"/>
    </row>
    <row r="20" spans="2:14" ht="16" thickBot="1">
      <c r="B20" s="332"/>
      <c r="C20" s="496" t="s">
        <v>208</v>
      </c>
      <c r="D20" s="496"/>
      <c r="E20" s="344">
        <f>P4</f>
        <v>10605.641176470588</v>
      </c>
      <c r="F20" s="345" t="s">
        <v>764</v>
      </c>
      <c r="G20" s="346">
        <f>'Динамика финансы'!R90</f>
        <v>0.74072085322465342</v>
      </c>
      <c r="H20" s="331"/>
      <c r="I20" s="496" t="s">
        <v>208</v>
      </c>
      <c r="J20" s="496"/>
      <c r="K20" s="344">
        <f>P5</f>
        <v>7423.948823529412</v>
      </c>
      <c r="L20" s="345" t="s">
        <v>764</v>
      </c>
      <c r="M20" s="346">
        <f>'Динамика финансы'!R91</f>
        <v>0.36942420499250656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88" t="s">
        <v>126</v>
      </c>
      <c r="D22" s="488"/>
      <c r="E22" s="347">
        <f>H4</f>
        <v>0</v>
      </c>
      <c r="F22" s="348" t="s">
        <v>764</v>
      </c>
      <c r="G22" s="349">
        <f>'Динамика финансы'!J90</f>
        <v>0</v>
      </c>
      <c r="H22" s="331"/>
      <c r="I22" s="488" t="s">
        <v>126</v>
      </c>
      <c r="J22" s="488"/>
      <c r="K22" s="347">
        <f>H5</f>
        <v>-15549</v>
      </c>
      <c r="L22" s="348" t="s">
        <v>764</v>
      </c>
      <c r="M22" s="346">
        <f>'Динамика финансы'!J91</f>
        <v>0.43621826343105624</v>
      </c>
      <c r="N22" s="331"/>
    </row>
    <row r="23" spans="2:14" ht="15.5">
      <c r="B23" s="332"/>
      <c r="C23" s="489" t="s">
        <v>311</v>
      </c>
      <c r="D23" s="489"/>
      <c r="E23" s="360">
        <f>L4</f>
        <v>5440.84</v>
      </c>
      <c r="F23" s="361" t="s">
        <v>764</v>
      </c>
      <c r="G23" s="362">
        <f>'Динамика финансы'!N90</f>
        <v>0.38</v>
      </c>
      <c r="H23" s="331"/>
      <c r="I23" s="489" t="s">
        <v>311</v>
      </c>
      <c r="J23" s="489"/>
      <c r="K23" s="360">
        <f>L5</f>
        <v>7636.48</v>
      </c>
      <c r="L23" s="361" t="s">
        <v>764</v>
      </c>
      <c r="M23" s="362">
        <f>'Динамика финансы'!N91</f>
        <v>0.38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82" t="s">
        <v>312</v>
      </c>
      <c r="F25" s="483"/>
      <c r="G25" s="350">
        <f>Z4</f>
        <v>-5.0291454597493752</v>
      </c>
      <c r="H25" s="331"/>
      <c r="I25" s="331"/>
      <c r="J25" s="331"/>
      <c r="K25" s="482" t="s">
        <v>312</v>
      </c>
      <c r="L25" s="483"/>
      <c r="M25" s="350">
        <f>Z5</f>
        <v>8.6830850244027799E-2</v>
      </c>
      <c r="N25" s="331"/>
    </row>
    <row r="26" spans="2:14" ht="15.5">
      <c r="B26" s="332"/>
      <c r="C26" s="331"/>
      <c r="D26" s="331"/>
      <c r="E26" s="482" t="s">
        <v>313</v>
      </c>
      <c r="F26" s="483"/>
      <c r="G26" s="350">
        <f>AA4</f>
        <v>-0.49810247076900327</v>
      </c>
      <c r="H26" s="331"/>
      <c r="I26" s="331"/>
      <c r="J26" s="331"/>
      <c r="K26" s="482" t="s">
        <v>313</v>
      </c>
      <c r="L26" s="483"/>
      <c r="M26" s="350">
        <f>AA5</f>
        <v>1.1873565708130394E-2</v>
      </c>
      <c r="N26" s="331"/>
    </row>
    <row r="27" spans="2:14" ht="15.5">
      <c r="B27" s="332"/>
      <c r="C27" s="331"/>
      <c r="D27" s="331"/>
      <c r="E27" s="484" t="s">
        <v>767</v>
      </c>
      <c r="F27" s="485"/>
      <c r="G27" s="350">
        <f>Y4</f>
        <v>9.9043162452856534E-2</v>
      </c>
      <c r="H27" s="331"/>
      <c r="I27" s="331"/>
      <c r="J27" s="331"/>
      <c r="K27" s="484" t="s">
        <v>767</v>
      </c>
      <c r="L27" s="485"/>
      <c r="M27" s="350">
        <f>Y5</f>
        <v>0.1367436305732484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86" t="s">
        <v>765</v>
      </c>
      <c r="G29" s="487"/>
      <c r="H29" s="336">
        <f>'Юнит 03-09.11'!I51</f>
        <v>708211.58999999985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E26:F26"/>
    <mergeCell ref="K26:L26"/>
    <mergeCell ref="E27:F27"/>
    <mergeCell ref="K27:L27"/>
    <mergeCell ref="F29:G29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X2:X3"/>
    <mergeCell ref="Y2:Y3"/>
    <mergeCell ref="Z2:Z3"/>
    <mergeCell ref="AA2:AA3"/>
    <mergeCell ref="AB2:AB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U2:U3"/>
    <mergeCell ref="V2:V3"/>
    <mergeCell ref="W2:W3"/>
    <mergeCell ref="L2:L3"/>
    <mergeCell ref="M2:M3"/>
    <mergeCell ref="N2:N3"/>
    <mergeCell ref="O2:O3"/>
    <mergeCell ref="P2:P3"/>
    <mergeCell ref="Q2:Q3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{6A6E8DCD-285F-47C2-BDEB-DDABB04EBAD7}</x14:id>
        </ext>
      </extLst>
    </cfRule>
  </conditionalFormatting>
  <conditionalFormatting sqref="G15">
    <cfRule type="cellIs" dxfId="438" priority="7" operator="greaterThan">
      <formula>0</formula>
    </cfRule>
    <cfRule type="cellIs" dxfId="437" priority="8" operator="lessThanOrEqual">
      <formula>0</formula>
    </cfRule>
  </conditionalFormatting>
  <conditionalFormatting sqref="G16:G17">
    <cfRule type="cellIs" dxfId="436" priority="5" operator="greaterThan">
      <formula>0</formula>
    </cfRule>
    <cfRule type="cellIs" dxfId="435" priority="6" operator="lessThanOrEqual">
      <formula>0</formula>
    </cfRule>
  </conditionalFormatting>
  <conditionalFormatting sqref="M15">
    <cfRule type="cellIs" dxfId="434" priority="3" operator="greaterThan">
      <formula>0</formula>
    </cfRule>
    <cfRule type="cellIs" dxfId="433" priority="4" operator="lessThanOrEqual">
      <formula>0</formula>
    </cfRule>
  </conditionalFormatting>
  <conditionalFormatting sqref="M16:M17">
    <cfRule type="cellIs" dxfId="432" priority="1" operator="greaterThan">
      <formula>0</formula>
    </cfRule>
    <cfRule type="cellIs" dxfId="431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6E8DCD-285F-47C2-BDEB-DDABB04EBA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8D07-14D7-4609-91D9-6152E3AC71B5}">
  <dimension ref="B2:AB30"/>
  <sheetViews>
    <sheetView topLeftCell="B1" zoomScale="70" zoomScaleNormal="70" workbookViewId="0">
      <selection activeCell="M19" sqref="M19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506" t="s">
        <v>251</v>
      </c>
      <c r="C2" s="506"/>
      <c r="D2" s="506"/>
      <c r="E2" s="507" t="s">
        <v>252</v>
      </c>
      <c r="F2" s="506" t="s">
        <v>253</v>
      </c>
      <c r="G2" s="508" t="s">
        <v>32</v>
      </c>
      <c r="H2" s="509"/>
      <c r="I2" s="510"/>
      <c r="J2" s="511" t="s">
        <v>205</v>
      </c>
      <c r="K2" s="504" t="s">
        <v>29</v>
      </c>
      <c r="L2" s="504" t="s">
        <v>311</v>
      </c>
      <c r="M2" s="504" t="s">
        <v>256</v>
      </c>
      <c r="N2" s="504" t="s">
        <v>257</v>
      </c>
      <c r="O2" s="504" t="s">
        <v>210</v>
      </c>
      <c r="P2" s="504" t="s">
        <v>258</v>
      </c>
      <c r="Q2" s="504" t="s">
        <v>259</v>
      </c>
      <c r="R2" s="504" t="s">
        <v>260</v>
      </c>
      <c r="S2" s="504" t="s">
        <v>261</v>
      </c>
      <c r="T2" s="504" t="s">
        <v>262</v>
      </c>
      <c r="U2" s="504" t="s">
        <v>263</v>
      </c>
      <c r="V2" s="504" t="s">
        <v>264</v>
      </c>
      <c r="W2" s="504" t="s">
        <v>265</v>
      </c>
      <c r="X2" s="497"/>
      <c r="Y2" s="498" t="s">
        <v>267</v>
      </c>
      <c r="Z2" s="498" t="s">
        <v>219</v>
      </c>
      <c r="AA2" s="498" t="s">
        <v>220</v>
      </c>
      <c r="AB2" s="499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507"/>
      <c r="F3" s="506"/>
      <c r="G3" s="321" t="s">
        <v>31</v>
      </c>
      <c r="H3" s="322" t="s">
        <v>126</v>
      </c>
      <c r="I3" s="323" t="s">
        <v>272</v>
      </c>
      <c r="J3" s="512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497"/>
      <c r="Y3" s="498"/>
      <c r="Z3" s="498"/>
      <c r="AA3" s="498"/>
      <c r="AB3" s="499"/>
    </row>
    <row r="4" spans="2:28">
      <c r="B4" s="324"/>
      <c r="C4" s="324" t="str">
        <f>'Динамика финансы'!B15</f>
        <v>27-31.10 очки</v>
      </c>
      <c r="D4" s="324">
        <f>'Динамика финансы'!C15</f>
        <v>0</v>
      </c>
      <c r="E4" s="324">
        <f>'Динамика финансы'!D15</f>
        <v>0</v>
      </c>
      <c r="F4" s="324">
        <f>'Динамика финансы'!E15</f>
        <v>-4016.9211111111108</v>
      </c>
      <c r="G4" s="324">
        <f>'Динамика финансы'!I15</f>
        <v>13972</v>
      </c>
      <c r="H4" s="324">
        <f>'Динамика финансы'!J15</f>
        <v>0</v>
      </c>
      <c r="I4" s="324">
        <f>'Динамика финансы'!K15</f>
        <v>13972</v>
      </c>
      <c r="J4" s="324">
        <f>'Динамика финансы'!L15</f>
        <v>2317.7199999999998</v>
      </c>
      <c r="K4" s="324">
        <f>'Динамика финансы'!M15</f>
        <v>1074</v>
      </c>
      <c r="L4" s="324">
        <f>'Динамика финансы'!N15</f>
        <v>4858.08</v>
      </c>
      <c r="M4" s="324">
        <f>'Динамика финансы'!O15</f>
        <v>0</v>
      </c>
      <c r="N4" s="324">
        <f>'Динамика финансы'!P15</f>
        <v>0</v>
      </c>
      <c r="O4" s="324">
        <f>'Динамика финансы'!Q15</f>
        <v>0</v>
      </c>
      <c r="P4" s="324">
        <f>'Динамика финансы'!R15</f>
        <v>11163.561111111112</v>
      </c>
      <c r="Q4" s="324">
        <f>'Динамика финансы'!S15</f>
        <v>5</v>
      </c>
      <c r="R4" s="324">
        <f>'Динамика финансы'!T15</f>
        <v>888.28</v>
      </c>
      <c r="S4" s="324">
        <f>'Динамика финансы'!U15</f>
        <v>0</v>
      </c>
      <c r="T4" s="324">
        <f>'Динамика финансы'!V15</f>
        <v>0</v>
      </c>
      <c r="U4" s="324">
        <f>'Динамика финансы'!W15</f>
        <v>0</v>
      </c>
      <c r="V4" s="324">
        <f>'Динамика финансы'!X15</f>
        <v>139.72</v>
      </c>
      <c r="W4" s="324">
        <f>'Динамика финансы'!Y15</f>
        <v>-6474.3611111111104</v>
      </c>
      <c r="X4" s="325"/>
      <c r="Y4" s="326">
        <f>'Динамика финансы'!AA15</f>
        <v>0.16588319496135126</v>
      </c>
      <c r="Z4" s="326">
        <f>'Динамика финансы'!AB15</f>
        <v>-2.7934181484869227</v>
      </c>
      <c r="AA4" s="326">
        <f>'Динамика финансы'!AC15</f>
        <v>-0.46338112733403308</v>
      </c>
      <c r="AB4" s="326">
        <f>'Динамика финансы'!AD15</f>
        <v>0.79899521264751727</v>
      </c>
    </row>
    <row r="5" spans="2:28">
      <c r="B5" s="324"/>
      <c r="C5" s="324" t="str">
        <f>'Динамика финансы'!B16</f>
        <v>27-31.10 туники</v>
      </c>
      <c r="D5" s="324">
        <f>'Динамика финансы'!C16</f>
        <v>0</v>
      </c>
      <c r="E5" s="324">
        <f>'Динамика финансы'!D16</f>
        <v>0</v>
      </c>
      <c r="F5" s="324">
        <f>'Динамика финансы'!E16</f>
        <v>11712.031111111111</v>
      </c>
      <c r="G5" s="324">
        <f>'Динамика финансы'!I16</f>
        <v>39192</v>
      </c>
      <c r="H5" s="324">
        <f>'Динамика финансы'!J16</f>
        <v>-5000</v>
      </c>
      <c r="I5" s="324">
        <f>'Динамика финансы'!K16</f>
        <v>34192</v>
      </c>
      <c r="J5" s="324">
        <f>'Динамика финансы'!L16</f>
        <v>5808</v>
      </c>
      <c r="K5" s="324">
        <f>'Динамика финансы'!M16</f>
        <v>1120</v>
      </c>
      <c r="L5" s="324">
        <f>'Динамика финансы'!N16</f>
        <v>12429.119999999999</v>
      </c>
      <c r="M5" s="324">
        <f>'Динамика финансы'!O16</f>
        <v>0</v>
      </c>
      <c r="N5" s="324">
        <f>'Динамика финансы'!P16</f>
        <v>0</v>
      </c>
      <c r="O5" s="324">
        <f>'Динамика финансы'!Q16</f>
        <v>0</v>
      </c>
      <c r="P5" s="324">
        <f>'Динамика финансы'!R16</f>
        <v>8930.8488888888896</v>
      </c>
      <c r="Q5" s="324">
        <f>'Динамика финансы'!S16</f>
        <v>0</v>
      </c>
      <c r="R5" s="324">
        <f>'Динамика финансы'!T16</f>
        <v>0</v>
      </c>
      <c r="S5" s="324">
        <f>'Динамика финансы'!U16</f>
        <v>0</v>
      </c>
      <c r="T5" s="324">
        <f>'Динамика финансы'!V16</f>
        <v>0</v>
      </c>
      <c r="U5" s="324">
        <f>'Динамика финансы'!W16</f>
        <v>0</v>
      </c>
      <c r="V5" s="324">
        <f>'Динамика финансы'!X16</f>
        <v>341.92</v>
      </c>
      <c r="W5" s="324">
        <f>'Динамика финансы'!Y16</f>
        <v>5562.1111111111113</v>
      </c>
      <c r="X5" s="325"/>
      <c r="Y5" s="326">
        <f>'Динамика финансы'!AA16</f>
        <v>0.16986429574169395</v>
      </c>
      <c r="Z5" s="326">
        <f>'Динамика финансы'!AB16</f>
        <v>0.95766375880012244</v>
      </c>
      <c r="AA5" s="326">
        <f>'Динамика финансы'!AC16</f>
        <v>0.16267287994592627</v>
      </c>
      <c r="AB5" s="326">
        <f>'Динамика финансы'!AD16</f>
        <v>0.26119703114438725</v>
      </c>
    </row>
    <row r="6" spans="2:28">
      <c r="B6" s="324"/>
      <c r="C6" s="324" t="str">
        <f>'Динамика финансы'!B17</f>
        <v>01-02.11 очки</v>
      </c>
      <c r="D6" s="324">
        <f>'Динамика финансы'!C17</f>
        <v>0</v>
      </c>
      <c r="E6" s="324">
        <f>'Динамика финансы'!D17</f>
        <v>0</v>
      </c>
      <c r="F6" s="324">
        <f>'Динамика финансы'!E17</f>
        <v>512.16599999999926</v>
      </c>
      <c r="G6" s="324">
        <f>'Динамика финансы'!I17</f>
        <v>6278</v>
      </c>
      <c r="H6" s="324">
        <f>'Динамика финансы'!J17</f>
        <v>0</v>
      </c>
      <c r="I6" s="324">
        <f>'Динамика финансы'!K17</f>
        <v>6278</v>
      </c>
      <c r="J6" s="324">
        <f>'Динамика финансы'!L17</f>
        <v>1307.5</v>
      </c>
      <c r="K6" s="324">
        <f>'Динамика финансы'!M17</f>
        <v>240</v>
      </c>
      <c r="L6" s="324">
        <f>'Динамика финансы'!N17</f>
        <v>2385.6400000000003</v>
      </c>
      <c r="M6" s="324">
        <f>'Динамика финансы'!O17</f>
        <v>0</v>
      </c>
      <c r="N6" s="324">
        <f>'Динамика финансы'!P17</f>
        <v>0</v>
      </c>
      <c r="O6" s="324">
        <f>'Динамика финансы'!Q17</f>
        <v>0</v>
      </c>
      <c r="P6" s="324">
        <f>'Динамика финансы'!R17</f>
        <v>2850.2640000000001</v>
      </c>
      <c r="Q6" s="324">
        <f>'Динамика финансы'!S17</f>
        <v>0</v>
      </c>
      <c r="R6" s="324">
        <f>'Динамика финансы'!T17</f>
        <v>289.93</v>
      </c>
      <c r="S6" s="324">
        <f>'Динамика финансы'!U17</f>
        <v>0</v>
      </c>
      <c r="T6" s="324">
        <f>'Динамика финансы'!V17</f>
        <v>0</v>
      </c>
      <c r="U6" s="324">
        <f>'Динамика финансы'!W17</f>
        <v>0</v>
      </c>
      <c r="V6" s="324">
        <f>'Динамика финансы'!X17</f>
        <v>62.78</v>
      </c>
      <c r="W6" s="324">
        <f>'Динамика финансы'!Y17</f>
        <v>-858.11400000000071</v>
      </c>
      <c r="X6" s="325"/>
      <c r="Y6" s="326">
        <f>'Динамика финансы'!AA17</f>
        <v>0.20826696400127429</v>
      </c>
      <c r="Z6" s="326">
        <f>'Динамика финансы'!AB17</f>
        <v>-0.6563013384321229</v>
      </c>
      <c r="AA6" s="326">
        <f>'Динамика финансы'!AC17</f>
        <v>-0.13668588722523109</v>
      </c>
      <c r="AB6" s="326">
        <f>'Динамика финансы'!AD17</f>
        <v>0.454008282892641</v>
      </c>
    </row>
    <row r="7" spans="2:28">
      <c r="B7" s="324"/>
      <c r="C7" s="324" t="str">
        <f>'Динамика финансы'!B18</f>
        <v>01-02.11 туники</v>
      </c>
      <c r="D7" s="324">
        <f>'Динамика финансы'!C18</f>
        <v>0</v>
      </c>
      <c r="E7" s="324">
        <f>'Динамика финансы'!D18</f>
        <v>0</v>
      </c>
      <c r="F7" s="324">
        <f>'Динамика финансы'!E18</f>
        <v>3067.5840000000007</v>
      </c>
      <c r="G7" s="324">
        <f>'Динамика финансы'!I18</f>
        <v>9548</v>
      </c>
      <c r="H7" s="324">
        <f>'Динамика финансы'!J18</f>
        <v>0</v>
      </c>
      <c r="I7" s="324">
        <f>'Динамика финансы'!K18</f>
        <v>9548</v>
      </c>
      <c r="J7" s="324">
        <f>'Динамика финансы'!L18</f>
        <v>1314</v>
      </c>
      <c r="K7" s="324">
        <f>'Динамика финансы'!M18</f>
        <v>952</v>
      </c>
      <c r="L7" s="324">
        <f>'Динамика финансы'!N18</f>
        <v>3628.24</v>
      </c>
      <c r="M7" s="324">
        <f>'Динамика финансы'!O18</f>
        <v>0</v>
      </c>
      <c r="N7" s="324">
        <f>'Динамика финансы'!P18</f>
        <v>0</v>
      </c>
      <c r="O7" s="324">
        <f>'Динамика финансы'!Q18</f>
        <v>0</v>
      </c>
      <c r="P7" s="324">
        <f>'Динамика финансы'!R18</f>
        <v>1900.1759999999999</v>
      </c>
      <c r="Q7" s="324">
        <f>'Динамика финансы'!S18</f>
        <v>0</v>
      </c>
      <c r="R7" s="324">
        <f>'Динамика финансы'!T18</f>
        <v>0</v>
      </c>
      <c r="S7" s="324">
        <f>'Динамика финансы'!U18</f>
        <v>0</v>
      </c>
      <c r="T7" s="324">
        <f>'Динамика финансы'!V18</f>
        <v>0</v>
      </c>
      <c r="U7" s="324">
        <f>'Динамика финансы'!W18</f>
        <v>0</v>
      </c>
      <c r="V7" s="324">
        <f>'Динамика финансы'!X18</f>
        <v>95.48</v>
      </c>
      <c r="W7" s="324">
        <f>'Динамика финансы'!Y18</f>
        <v>1658.1040000000007</v>
      </c>
      <c r="X7" s="325"/>
      <c r="Y7" s="326">
        <f>'Динамика финансы'!AA18</f>
        <v>0.13762044407205698</v>
      </c>
      <c r="Z7" s="326">
        <f>'Динамика финансы'!AB18</f>
        <v>1.2618751902587524</v>
      </c>
      <c r="AA7" s="326">
        <f>'Динамика финансы'!AC18</f>
        <v>0.1736598240469209</v>
      </c>
      <c r="AB7" s="326">
        <f>'Динамика финансы'!AD18</f>
        <v>0.199012987012987</v>
      </c>
    </row>
    <row r="8" spans="2:28">
      <c r="B8" s="324"/>
      <c r="C8" s="324"/>
      <c r="D8" s="324"/>
      <c r="E8" s="324"/>
      <c r="F8" s="327">
        <f>F4+F5+F6+F7</f>
        <v>11274.86</v>
      </c>
      <c r="G8" s="327">
        <f t="shared" ref="G8:W8" si="0">G4+G5+G6+G7</f>
        <v>68990</v>
      </c>
      <c r="H8" s="327">
        <f t="shared" si="0"/>
        <v>-5000</v>
      </c>
      <c r="I8" s="327">
        <f t="shared" si="0"/>
        <v>63990</v>
      </c>
      <c r="J8" s="327">
        <f t="shared" si="0"/>
        <v>10747.22</v>
      </c>
      <c r="K8" s="327">
        <f t="shared" si="0"/>
        <v>3386</v>
      </c>
      <c r="L8" s="327">
        <f t="shared" si="0"/>
        <v>23301.079999999994</v>
      </c>
      <c r="M8" s="327">
        <f t="shared" si="0"/>
        <v>0</v>
      </c>
      <c r="N8" s="327">
        <f t="shared" si="0"/>
        <v>0</v>
      </c>
      <c r="O8" s="327">
        <f t="shared" si="0"/>
        <v>0</v>
      </c>
      <c r="P8" s="327">
        <f t="shared" si="0"/>
        <v>24844.850000000002</v>
      </c>
      <c r="Q8" s="327">
        <f t="shared" si="0"/>
        <v>5</v>
      </c>
      <c r="R8" s="327">
        <f t="shared" si="0"/>
        <v>1178.21</v>
      </c>
      <c r="S8" s="327">
        <f t="shared" si="0"/>
        <v>0</v>
      </c>
      <c r="T8" s="327">
        <f t="shared" si="0"/>
        <v>0</v>
      </c>
      <c r="U8" s="327">
        <f t="shared" si="0"/>
        <v>0</v>
      </c>
      <c r="V8" s="327">
        <f t="shared" si="0"/>
        <v>639.9</v>
      </c>
      <c r="W8" s="327">
        <f t="shared" si="0"/>
        <v>-112.25999999999908</v>
      </c>
      <c r="X8" s="325"/>
      <c r="Y8" s="326"/>
      <c r="Z8" s="326"/>
      <c r="AA8" s="326"/>
      <c r="AB8" s="326"/>
    </row>
    <row r="9" spans="2:28">
      <c r="B9" s="328"/>
      <c r="C9" s="328"/>
      <c r="D9" s="328"/>
      <c r="E9" s="328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9"/>
      <c r="Z9" s="329"/>
      <c r="AA9" s="329"/>
      <c r="AB9" s="330"/>
    </row>
    <row r="10" spans="2:28" ht="15" thickBot="1">
      <c r="B10" s="331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500" t="s">
        <v>763</v>
      </c>
      <c r="D11" s="501"/>
      <c r="E11" s="501"/>
      <c r="F11" s="501"/>
      <c r="G11" s="333" t="s">
        <v>182</v>
      </c>
      <c r="H11" s="502"/>
      <c r="I11" s="502"/>
      <c r="J11" s="502"/>
      <c r="K11" s="502"/>
      <c r="L11" s="502"/>
      <c r="M11" s="503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490" t="s">
        <v>294</v>
      </c>
      <c r="D13" s="491"/>
      <c r="E13" s="491"/>
      <c r="F13" s="491"/>
      <c r="G13" s="492"/>
      <c r="H13" s="331"/>
      <c r="I13" s="493" t="s">
        <v>304</v>
      </c>
      <c r="J13" s="494"/>
      <c r="K13" s="494"/>
      <c r="L13" s="494"/>
      <c r="M13" s="495"/>
      <c r="N13" s="331"/>
    </row>
    <row r="14" spans="2:28" ht="15" thickBot="1">
      <c r="B14" s="332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</row>
    <row r="15" spans="2:28" ht="16" thickBot="1">
      <c r="B15" s="332"/>
      <c r="C15" s="353" t="s">
        <v>32</v>
      </c>
      <c r="D15" s="354"/>
      <c r="E15" s="334">
        <f>I4+I6</f>
        <v>20250</v>
      </c>
      <c r="F15" s="335" t="s">
        <v>764</v>
      </c>
      <c r="G15" s="355">
        <f>'Динамика финансы'!K100</f>
        <v>0.13917641764176425</v>
      </c>
      <c r="H15" s="331"/>
      <c r="I15" s="353" t="s">
        <v>32</v>
      </c>
      <c r="J15" s="354"/>
      <c r="K15" s="334">
        <f>I5+I7</f>
        <v>43740</v>
      </c>
      <c r="L15" s="335" t="s">
        <v>764</v>
      </c>
      <c r="M15" s="355">
        <f>'Динамика финансы'!K101</f>
        <v>0.65206224505212274</v>
      </c>
      <c r="N15" s="331"/>
    </row>
    <row r="16" spans="2:28" ht="16" thickBot="1">
      <c r="B16" s="332"/>
      <c r="C16" s="356" t="s">
        <v>212</v>
      </c>
      <c r="D16" s="357"/>
      <c r="E16" s="339">
        <f>W4+W6</f>
        <v>-7332.4751111111109</v>
      </c>
      <c r="F16" s="340" t="s">
        <v>764</v>
      </c>
      <c r="G16" s="358">
        <f>'Динамика финансы'!Y100</f>
        <v>6.0550522746156243E-2</v>
      </c>
      <c r="H16" s="331"/>
      <c r="I16" s="356" t="s">
        <v>212</v>
      </c>
      <c r="J16" s="357"/>
      <c r="K16" s="339">
        <f>W5+W7</f>
        <v>7220.2151111111125</v>
      </c>
      <c r="L16" s="340" t="s">
        <v>764</v>
      </c>
      <c r="M16" s="358">
        <f>'Динамика финансы'!Y101</f>
        <v>2.0934031671108779</v>
      </c>
      <c r="N16" s="331"/>
    </row>
    <row r="17" spans="2:14" ht="16" thickBot="1">
      <c r="B17" s="332"/>
      <c r="C17" s="363" t="s">
        <v>205</v>
      </c>
      <c r="D17" s="359"/>
      <c r="E17" s="341">
        <f>J4+J6</f>
        <v>3625.22</v>
      </c>
      <c r="F17" s="342" t="s">
        <v>764</v>
      </c>
      <c r="G17" s="358">
        <f>'Динамика финансы'!L100</f>
        <v>0.35270917211759811</v>
      </c>
      <c r="H17" s="331"/>
      <c r="I17" s="363" t="s">
        <v>205</v>
      </c>
      <c r="J17" s="359"/>
      <c r="K17" s="341">
        <f>J5+J7</f>
        <v>7122</v>
      </c>
      <c r="L17" s="342" t="s">
        <v>764</v>
      </c>
      <c r="M17" s="358">
        <f>'Динамика финансы'!L101</f>
        <v>0.14963680387409206</v>
      </c>
      <c r="N17" s="331"/>
    </row>
    <row r="18" spans="2:14" ht="26.5" thickBot="1">
      <c r="B18" s="332"/>
      <c r="C18" s="331"/>
      <c r="D18" s="331"/>
      <c r="E18" s="331"/>
      <c r="F18" s="331"/>
      <c r="G18" s="343" t="s">
        <v>766</v>
      </c>
      <c r="H18" s="331"/>
      <c r="I18" s="331"/>
      <c r="J18" s="331"/>
      <c r="K18" s="331"/>
      <c r="L18" s="331"/>
      <c r="M18" s="343" t="s">
        <v>766</v>
      </c>
      <c r="N18" s="331"/>
    </row>
    <row r="19" spans="2:14" ht="16" thickBot="1">
      <c r="B19" s="332"/>
      <c r="C19" s="496" t="s">
        <v>29</v>
      </c>
      <c r="D19" s="496"/>
      <c r="E19" s="344">
        <f>K4+K6</f>
        <v>1314</v>
      </c>
      <c r="F19" s="345" t="s">
        <v>764</v>
      </c>
      <c r="G19" s="346">
        <f>'Динамика финансы'!M97</f>
        <v>6.4888888888888885E-2</v>
      </c>
      <c r="H19" s="331"/>
      <c r="I19" s="496" t="s">
        <v>29</v>
      </c>
      <c r="J19" s="496"/>
      <c r="K19" s="344">
        <f>K5+K7</f>
        <v>2072</v>
      </c>
      <c r="L19" s="345" t="s">
        <v>764</v>
      </c>
      <c r="M19" s="346">
        <f>'Динамика финансы'!M98</f>
        <v>4.7370827617741196E-2</v>
      </c>
      <c r="N19" s="331"/>
    </row>
    <row r="20" spans="2:14" ht="16" thickBot="1">
      <c r="B20" s="332"/>
      <c r="C20" s="496" t="s">
        <v>208</v>
      </c>
      <c r="D20" s="496"/>
      <c r="E20" s="344">
        <f>P4+P6</f>
        <v>14013.825111111113</v>
      </c>
      <c r="F20" s="345" t="s">
        <v>764</v>
      </c>
      <c r="G20" s="346">
        <f>'Динамика финансы'!R97</f>
        <v>0.69204074622770928</v>
      </c>
      <c r="H20" s="331"/>
      <c r="I20" s="496" t="s">
        <v>208</v>
      </c>
      <c r="J20" s="496"/>
      <c r="K20" s="344">
        <f>P5+P7</f>
        <v>10831.024888888889</v>
      </c>
      <c r="L20" s="345" t="s">
        <v>764</v>
      </c>
      <c r="M20" s="346">
        <f>'Динамика финансы'!R98</f>
        <v>0.24762288269064675</v>
      </c>
      <c r="N20" s="331"/>
    </row>
    <row r="21" spans="2:14" ht="15" thickBot="1">
      <c r="B21" s="332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331"/>
      <c r="N21" s="331"/>
    </row>
    <row r="22" spans="2:14" ht="16" thickBot="1">
      <c r="B22" s="332"/>
      <c r="C22" s="488" t="s">
        <v>126</v>
      </c>
      <c r="D22" s="488"/>
      <c r="E22" s="347">
        <f>H4+H6</f>
        <v>0</v>
      </c>
      <c r="F22" s="348" t="s">
        <v>764</v>
      </c>
      <c r="G22" s="349">
        <f>'Динамика финансы'!J97</f>
        <v>0</v>
      </c>
      <c r="H22" s="331"/>
      <c r="I22" s="488" t="s">
        <v>126</v>
      </c>
      <c r="J22" s="488"/>
      <c r="K22" s="347">
        <f>H5+H7</f>
        <v>-5000</v>
      </c>
      <c r="L22" s="348" t="s">
        <v>764</v>
      </c>
      <c r="M22" s="346">
        <f>'Динамика финансы'!J98</f>
        <v>0.10258514567090685</v>
      </c>
      <c r="N22" s="331"/>
    </row>
    <row r="23" spans="2:14" ht="15.5">
      <c r="B23" s="332"/>
      <c r="C23" s="489" t="s">
        <v>311</v>
      </c>
      <c r="D23" s="489"/>
      <c r="E23" s="360">
        <f>L4+L6</f>
        <v>7243.72</v>
      </c>
      <c r="F23" s="361" t="s">
        <v>764</v>
      </c>
      <c r="G23" s="362">
        <f>'Динамика финансы'!N97</f>
        <v>0.35771456790123457</v>
      </c>
      <c r="H23" s="331"/>
      <c r="I23" s="489" t="s">
        <v>311</v>
      </c>
      <c r="J23" s="489"/>
      <c r="K23" s="360">
        <f>L5+L7</f>
        <v>16057.359999999999</v>
      </c>
      <c r="L23" s="361" t="s">
        <v>764</v>
      </c>
      <c r="M23" s="362">
        <f>'Динамика финансы'!N98</f>
        <v>0.36710928212162774</v>
      </c>
      <c r="N23" s="331"/>
    </row>
    <row r="24" spans="2:14">
      <c r="B24" s="332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</row>
    <row r="25" spans="2:14" ht="15.5">
      <c r="B25" s="332"/>
      <c r="C25" s="331"/>
      <c r="D25" s="331"/>
      <c r="E25" s="482" t="s">
        <v>312</v>
      </c>
      <c r="F25" s="483"/>
      <c r="G25" s="350">
        <f>Z6</f>
        <v>-0.6563013384321229</v>
      </c>
      <c r="H25" s="331"/>
      <c r="I25" s="331"/>
      <c r="J25" s="331"/>
      <c r="K25" s="482" t="s">
        <v>312</v>
      </c>
      <c r="L25" s="483"/>
      <c r="M25" s="350">
        <f>Z7</f>
        <v>1.2618751902587524</v>
      </c>
      <c r="N25" s="331"/>
    </row>
    <row r="26" spans="2:14" ht="15.5">
      <c r="B26" s="332"/>
      <c r="C26" s="331"/>
      <c r="D26" s="331"/>
      <c r="E26" s="482" t="s">
        <v>313</v>
      </c>
      <c r="F26" s="483"/>
      <c r="G26" s="350">
        <f>AA6</f>
        <v>-0.13668588722523109</v>
      </c>
      <c r="H26" s="331"/>
      <c r="I26" s="331"/>
      <c r="J26" s="331"/>
      <c r="K26" s="482" t="s">
        <v>313</v>
      </c>
      <c r="L26" s="483"/>
      <c r="M26" s="350">
        <f>AA7</f>
        <v>0.1736598240469209</v>
      </c>
      <c r="N26" s="331"/>
    </row>
    <row r="27" spans="2:14" ht="15.5">
      <c r="B27" s="332"/>
      <c r="C27" s="331"/>
      <c r="D27" s="331"/>
      <c r="E27" s="484" t="s">
        <v>767</v>
      </c>
      <c r="F27" s="485"/>
      <c r="G27" s="350">
        <f>Y6</f>
        <v>0.20826696400127429</v>
      </c>
      <c r="H27" s="331"/>
      <c r="I27" s="331"/>
      <c r="J27" s="331"/>
      <c r="K27" s="484" t="s">
        <v>767</v>
      </c>
      <c r="L27" s="485"/>
      <c r="M27" s="350">
        <f>Y7</f>
        <v>0.13762044407205698</v>
      </c>
      <c r="N27" s="331"/>
    </row>
    <row r="28" spans="2:14">
      <c r="B28" s="332"/>
      <c r="C28" s="331"/>
      <c r="D28" s="331"/>
      <c r="E28" s="331"/>
      <c r="F28" s="331"/>
      <c r="G28" s="331"/>
      <c r="H28" s="331"/>
      <c r="I28" s="331"/>
      <c r="J28" s="331"/>
      <c r="K28" s="331"/>
      <c r="L28" s="331"/>
      <c r="M28" s="331"/>
      <c r="N28" s="331"/>
    </row>
    <row r="29" spans="2:14" ht="15.5">
      <c r="B29" s="332"/>
      <c r="C29" s="331"/>
      <c r="D29" s="331"/>
      <c r="E29" s="331"/>
      <c r="F29" s="486" t="s">
        <v>765</v>
      </c>
      <c r="G29" s="487"/>
      <c r="H29" s="336">
        <f>'Юнит 27.10-02.11'!I49</f>
        <v>654379.19999999995</v>
      </c>
      <c r="I29" s="337" t="s">
        <v>764</v>
      </c>
      <c r="J29" s="338"/>
      <c r="K29" s="331"/>
      <c r="L29" s="331"/>
      <c r="M29" s="331"/>
      <c r="N29" s="331"/>
    </row>
    <row r="30" spans="2:14" ht="15" thickBot="1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</row>
  </sheetData>
  <mergeCells count="42"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C11:F11"/>
    <mergeCell ref="H11:M11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X2:X3"/>
    <mergeCell ref="Y2:Y3"/>
    <mergeCell ref="Z2:Z3"/>
    <mergeCell ref="AA2:AA3"/>
    <mergeCell ref="AB2:AB3"/>
    <mergeCell ref="K25:L25"/>
    <mergeCell ref="C13:G13"/>
    <mergeCell ref="I13:M13"/>
    <mergeCell ref="C19:D19"/>
    <mergeCell ref="I19:J19"/>
    <mergeCell ref="C20:D20"/>
    <mergeCell ref="I20:J20"/>
    <mergeCell ref="C22:D22"/>
    <mergeCell ref="I22:J22"/>
    <mergeCell ref="C23:D23"/>
    <mergeCell ref="I23:J23"/>
    <mergeCell ref="E25:F25"/>
    <mergeCell ref="E26:F26"/>
    <mergeCell ref="K26:L26"/>
    <mergeCell ref="E27:F27"/>
    <mergeCell ref="K27:L27"/>
    <mergeCell ref="F29:G29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{A626D68C-2104-4D4B-B788-6054E62089FC}</x14:id>
        </ext>
      </extLst>
    </cfRule>
  </conditionalFormatting>
  <conditionalFormatting sqref="G15">
    <cfRule type="cellIs" dxfId="430" priority="7" operator="greaterThan">
      <formula>0</formula>
    </cfRule>
    <cfRule type="cellIs" dxfId="429" priority="8" operator="lessThanOrEqual">
      <formula>0</formula>
    </cfRule>
  </conditionalFormatting>
  <conditionalFormatting sqref="G16:G17">
    <cfRule type="cellIs" dxfId="428" priority="5" operator="greaterThan">
      <formula>0</formula>
    </cfRule>
    <cfRule type="cellIs" dxfId="427" priority="6" operator="lessThanOrEqual">
      <formula>0</formula>
    </cfRule>
  </conditionalFormatting>
  <conditionalFormatting sqref="M15">
    <cfRule type="cellIs" dxfId="426" priority="3" operator="greaterThan">
      <formula>0</formula>
    </cfRule>
    <cfRule type="cellIs" dxfId="425" priority="4" operator="lessThanOrEqual">
      <formula>0</formula>
    </cfRule>
  </conditionalFormatting>
  <conditionalFormatting sqref="M16:M17">
    <cfRule type="cellIs" dxfId="424" priority="1" operator="greaterThan">
      <formula>0</formula>
    </cfRule>
    <cfRule type="cellIs" dxfId="423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26D68C-2104-4D4B-B788-6054E62089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A008-7A06-469E-AB82-CB40D080F5E5}">
  <dimension ref="B2:AB28"/>
  <sheetViews>
    <sheetView topLeftCell="H1" zoomScale="70" zoomScaleNormal="70" workbookViewId="0">
      <selection activeCell="Q16" sqref="Q16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506" t="s">
        <v>251</v>
      </c>
      <c r="C2" s="506"/>
      <c r="D2" s="506"/>
      <c r="E2" s="507" t="s">
        <v>252</v>
      </c>
      <c r="F2" s="506" t="s">
        <v>253</v>
      </c>
      <c r="G2" s="508" t="s">
        <v>32</v>
      </c>
      <c r="H2" s="509"/>
      <c r="I2" s="510"/>
      <c r="J2" s="511" t="s">
        <v>205</v>
      </c>
      <c r="K2" s="504" t="s">
        <v>29</v>
      </c>
      <c r="L2" s="504" t="s">
        <v>311</v>
      </c>
      <c r="M2" s="504" t="s">
        <v>256</v>
      </c>
      <c r="N2" s="504" t="s">
        <v>257</v>
      </c>
      <c r="O2" s="504" t="s">
        <v>210</v>
      </c>
      <c r="P2" s="504" t="s">
        <v>258</v>
      </c>
      <c r="Q2" s="504" t="s">
        <v>259</v>
      </c>
      <c r="R2" s="504" t="s">
        <v>260</v>
      </c>
      <c r="S2" s="504" t="s">
        <v>261</v>
      </c>
      <c r="T2" s="504" t="s">
        <v>262</v>
      </c>
      <c r="U2" s="504" t="s">
        <v>263</v>
      </c>
      <c r="V2" s="504" t="s">
        <v>264</v>
      </c>
      <c r="W2" s="504" t="s">
        <v>265</v>
      </c>
      <c r="X2" s="497"/>
      <c r="Y2" s="498" t="s">
        <v>267</v>
      </c>
      <c r="Z2" s="498" t="s">
        <v>219</v>
      </c>
      <c r="AA2" s="498" t="s">
        <v>220</v>
      </c>
      <c r="AB2" s="499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507"/>
      <c r="F3" s="506"/>
      <c r="G3" s="321" t="s">
        <v>31</v>
      </c>
      <c r="H3" s="322" t="s">
        <v>126</v>
      </c>
      <c r="I3" s="323" t="s">
        <v>272</v>
      </c>
      <c r="J3" s="512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497"/>
      <c r="Y3" s="498"/>
      <c r="Z3" s="498"/>
      <c r="AA3" s="498"/>
      <c r="AB3" s="499"/>
    </row>
    <row r="4" spans="2:28">
      <c r="B4" s="324"/>
      <c r="C4" s="324" t="str">
        <f>'Динамика финансы'!B13</f>
        <v>20-26.10 очки</v>
      </c>
      <c r="D4" s="324">
        <f>'Динамика финансы'!C13</f>
        <v>0</v>
      </c>
      <c r="E4" s="324">
        <f>'Динамика финансы'!D13</f>
        <v>0</v>
      </c>
      <c r="F4" s="324">
        <f>'Динамика финансы'!E13</f>
        <v>-4056.1085714285728</v>
      </c>
      <c r="G4" s="324">
        <f>'Динамика финансы'!I13</f>
        <v>17776</v>
      </c>
      <c r="H4" s="324">
        <f>'Динамика финансы'!J13</f>
        <v>0</v>
      </c>
      <c r="I4" s="324">
        <f>'Динамика финансы'!K13</f>
        <v>17776</v>
      </c>
      <c r="J4" s="324">
        <f>'Динамика финансы'!L13</f>
        <v>2679.9700000000003</v>
      </c>
      <c r="K4" s="324">
        <f>'Динамика финансы'!M13</f>
        <v>2232</v>
      </c>
      <c r="L4" s="324">
        <f>'Динамика финансы'!N13</f>
        <v>5952.4800000000005</v>
      </c>
      <c r="M4" s="324">
        <f>'Динамика финансы'!O13</f>
        <v>0</v>
      </c>
      <c r="N4" s="324">
        <f>'Динамика финансы'!P13</f>
        <v>0</v>
      </c>
      <c r="O4" s="324">
        <f>'Динамика финансы'!Q13</f>
        <v>0</v>
      </c>
      <c r="P4" s="324">
        <f>'Динамика финансы'!R13</f>
        <v>12301.788571428571</v>
      </c>
      <c r="Q4" s="324">
        <f>'Динамика финансы'!S13</f>
        <v>20</v>
      </c>
      <c r="R4" s="324">
        <f>'Динамика финансы'!T13</f>
        <v>1325.84</v>
      </c>
      <c r="S4" s="324">
        <f>'Динамика финансы'!U13</f>
        <v>0</v>
      </c>
      <c r="T4" s="324">
        <f>'Динамика финансы'!V13</f>
        <v>0</v>
      </c>
      <c r="U4" s="324">
        <f>'Динамика финансы'!W13</f>
        <v>0</v>
      </c>
      <c r="V4" s="324">
        <f>'Динамика финансы'!X13</f>
        <v>177.76</v>
      </c>
      <c r="W4" s="324">
        <f>'Динамика финансы'!Y13</f>
        <v>-6913.8385714285732</v>
      </c>
      <c r="X4" s="325"/>
      <c r="Y4" s="326">
        <f>'Динамика финансы'!AA13</f>
        <v>0.1507633888388839</v>
      </c>
      <c r="Z4" s="326">
        <f>'Динамика финансы'!AB13</f>
        <v>-2.5798193903023439</v>
      </c>
      <c r="AA4" s="326">
        <f>'Динамика финансы'!AC13</f>
        <v>-0.38894231387424466</v>
      </c>
      <c r="AB4" s="326">
        <f>'Динамика финансы'!AD13</f>
        <v>0.69204481162401954</v>
      </c>
    </row>
    <row r="5" spans="2:28">
      <c r="B5" s="324"/>
      <c r="C5" s="324" t="str">
        <f>'Динамика финансы'!B14</f>
        <v>20-26.10 туники</v>
      </c>
      <c r="D5" s="324">
        <f>'Динамика финансы'!C14</f>
        <v>0</v>
      </c>
      <c r="E5" s="324">
        <f>'Динамика финансы'!D14</f>
        <v>0</v>
      </c>
      <c r="F5" s="324">
        <f>'Динамика финансы'!E14</f>
        <v>8793.8285714285739</v>
      </c>
      <c r="G5" s="324">
        <f>'Динамика финансы'!I14</f>
        <v>36024</v>
      </c>
      <c r="H5" s="324">
        <f>'Динамика финансы'!J14</f>
        <v>-9548</v>
      </c>
      <c r="I5" s="324">
        <f>'Динамика финансы'!K14</f>
        <v>26476</v>
      </c>
      <c r="J5" s="324">
        <f>'Динамика финансы'!L14</f>
        <v>6195</v>
      </c>
      <c r="K5" s="324">
        <f>'Динамика финансы'!M14</f>
        <v>1848</v>
      </c>
      <c r="L5" s="324">
        <f>'Динамика финансы'!N14</f>
        <v>8263.84</v>
      </c>
      <c r="M5" s="324">
        <f>'Динамика финансы'!O14</f>
        <v>0</v>
      </c>
      <c r="N5" s="324">
        <f>'Динамика финансы'!P14</f>
        <v>0</v>
      </c>
      <c r="O5" s="324">
        <f>'Динамика финансы'!Q14</f>
        <v>0</v>
      </c>
      <c r="P5" s="324">
        <f>'Динамика финансы'!R14</f>
        <v>7570.3314285714278</v>
      </c>
      <c r="Q5" s="324">
        <f>'Динамика финансы'!S14</f>
        <v>0</v>
      </c>
      <c r="R5" s="324">
        <f>'Динамика финансы'!T14</f>
        <v>0</v>
      </c>
      <c r="S5" s="324">
        <f>'Динамика финансы'!U14</f>
        <v>0</v>
      </c>
      <c r="T5" s="324">
        <f>'Динамика финансы'!V14</f>
        <v>0</v>
      </c>
      <c r="U5" s="324">
        <f>'Динамика финансы'!W14</f>
        <v>0</v>
      </c>
      <c r="V5" s="324">
        <f>'Динамика финансы'!X14</f>
        <v>264.76</v>
      </c>
      <c r="W5" s="324">
        <f>'Динамика финансы'!Y14</f>
        <v>2334.0685714285737</v>
      </c>
      <c r="X5" s="325"/>
      <c r="Y5" s="326">
        <f>'Динамика финансы'!AA14</f>
        <v>0.23398549629853452</v>
      </c>
      <c r="Z5" s="326">
        <f>'Динамика финансы'!AB14</f>
        <v>0.37676651677620238</v>
      </c>
      <c r="AA5" s="326">
        <f>'Динамика финансы'!AC14</f>
        <v>8.8157900416549848E-2</v>
      </c>
      <c r="AB5" s="326">
        <f>'Динамика финансы'!AD14</f>
        <v>0.28593184123626786</v>
      </c>
    </row>
    <row r="6" spans="2:28">
      <c r="B6" s="324"/>
      <c r="C6" s="324"/>
      <c r="D6" s="324"/>
      <c r="E6" s="324"/>
      <c r="F6" s="327">
        <f>F4+F5</f>
        <v>4737.7200000000012</v>
      </c>
      <c r="G6" s="327">
        <f t="shared" ref="G6:W6" si="0">G4+G5</f>
        <v>53800</v>
      </c>
      <c r="H6" s="327">
        <f t="shared" si="0"/>
        <v>-9548</v>
      </c>
      <c r="I6" s="327">
        <f t="shared" si="0"/>
        <v>44252</v>
      </c>
      <c r="J6" s="327">
        <f t="shared" si="0"/>
        <v>8874.9700000000012</v>
      </c>
      <c r="K6" s="327">
        <f t="shared" si="0"/>
        <v>4080</v>
      </c>
      <c r="L6" s="327">
        <f t="shared" si="0"/>
        <v>14216.32</v>
      </c>
      <c r="M6" s="327">
        <f t="shared" si="0"/>
        <v>0</v>
      </c>
      <c r="N6" s="327">
        <f t="shared" si="0"/>
        <v>0</v>
      </c>
      <c r="O6" s="327">
        <f t="shared" si="0"/>
        <v>0</v>
      </c>
      <c r="P6" s="327">
        <f t="shared" si="0"/>
        <v>19872.12</v>
      </c>
      <c r="Q6" s="327">
        <f t="shared" si="0"/>
        <v>20</v>
      </c>
      <c r="R6" s="327">
        <f t="shared" si="0"/>
        <v>1325.84</v>
      </c>
      <c r="S6" s="327">
        <f t="shared" si="0"/>
        <v>0</v>
      </c>
      <c r="T6" s="327">
        <f t="shared" si="0"/>
        <v>0</v>
      </c>
      <c r="U6" s="327">
        <f t="shared" si="0"/>
        <v>0</v>
      </c>
      <c r="V6" s="327">
        <f t="shared" si="0"/>
        <v>442.52</v>
      </c>
      <c r="W6" s="327">
        <f t="shared" si="0"/>
        <v>-4579.7699999999995</v>
      </c>
      <c r="X6" s="325"/>
      <c r="Y6" s="326"/>
      <c r="Z6" s="326"/>
      <c r="AA6" s="326"/>
      <c r="AB6" s="326"/>
    </row>
    <row r="7" spans="2:28">
      <c r="B7" s="328"/>
      <c r="C7" s="328"/>
      <c r="D7" s="328"/>
      <c r="E7" s="328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9"/>
      <c r="Z7" s="329"/>
      <c r="AA7" s="329"/>
      <c r="AB7" s="330"/>
    </row>
    <row r="8" spans="2:28" ht="15" thickBot="1"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</row>
    <row r="9" spans="2:28" ht="16" thickBot="1">
      <c r="B9" s="332"/>
      <c r="C9" s="500" t="s">
        <v>763</v>
      </c>
      <c r="D9" s="501"/>
      <c r="E9" s="501"/>
      <c r="F9" s="501"/>
      <c r="G9" s="333" t="s">
        <v>182</v>
      </c>
      <c r="H9" s="502"/>
      <c r="I9" s="502"/>
      <c r="J9" s="502"/>
      <c r="K9" s="502"/>
      <c r="L9" s="502"/>
      <c r="M9" s="503"/>
      <c r="N9" s="331"/>
    </row>
    <row r="10" spans="2:28" ht="15" thickBot="1">
      <c r="B10" s="332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90" t="s">
        <v>294</v>
      </c>
      <c r="D11" s="491"/>
      <c r="E11" s="491"/>
      <c r="F11" s="491"/>
      <c r="G11" s="492"/>
      <c r="H11" s="331"/>
      <c r="I11" s="493" t="s">
        <v>304</v>
      </c>
      <c r="J11" s="494"/>
      <c r="K11" s="494"/>
      <c r="L11" s="494"/>
      <c r="M11" s="495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353" t="s">
        <v>32</v>
      </c>
      <c r="D13" s="354"/>
      <c r="E13" s="334">
        <f>I4</f>
        <v>17776</v>
      </c>
      <c r="F13" s="335" t="s">
        <v>764</v>
      </c>
      <c r="G13" s="355">
        <f>'Динамика финансы'!K107</f>
        <v>-1.7140329536658228E-2</v>
      </c>
      <c r="H13" s="331"/>
      <c r="I13" s="353" t="s">
        <v>32</v>
      </c>
      <c r="J13" s="354"/>
      <c r="K13" s="334">
        <f>I4</f>
        <v>17776</v>
      </c>
      <c r="L13" s="335" t="s">
        <v>764</v>
      </c>
      <c r="M13" s="355">
        <f>'Динамика финансы'!K108</f>
        <v>-0.45688028226799049</v>
      </c>
      <c r="N13" s="331"/>
    </row>
    <row r="14" spans="2:28" ht="16" thickBot="1">
      <c r="B14" s="332"/>
      <c r="C14" s="356" t="s">
        <v>212</v>
      </c>
      <c r="D14" s="357"/>
      <c r="E14" s="339">
        <f>W4</f>
        <v>-6913.8385714285732</v>
      </c>
      <c r="F14" s="340" t="s">
        <v>764</v>
      </c>
      <c r="G14" s="358">
        <f>'Динамика финансы'!Y107</f>
        <v>-1.6266383111756291</v>
      </c>
      <c r="H14" s="331"/>
      <c r="I14" s="356" t="s">
        <v>212</v>
      </c>
      <c r="J14" s="357"/>
      <c r="K14" s="339">
        <f>W5</f>
        <v>2334.0685714285737</v>
      </c>
      <c r="L14" s="340" t="s">
        <v>764</v>
      </c>
      <c r="M14" s="358">
        <f>'Динамика финансы'!Y108</f>
        <v>-0.74006030955031121</v>
      </c>
      <c r="N14" s="331"/>
    </row>
    <row r="15" spans="2:28" ht="16" thickBot="1">
      <c r="B15" s="332"/>
      <c r="C15" s="363" t="s">
        <v>205</v>
      </c>
      <c r="D15" s="359"/>
      <c r="E15" s="341">
        <f>J4</f>
        <v>2679.9700000000003</v>
      </c>
      <c r="F15" s="342" t="s">
        <v>764</v>
      </c>
      <c r="G15" s="358">
        <f>'Динамика финансы'!L107</f>
        <v>-1.4202267360165721E-2</v>
      </c>
      <c r="H15" s="331"/>
      <c r="I15" s="363" t="s">
        <v>205</v>
      </c>
      <c r="J15" s="359"/>
      <c r="K15" s="341">
        <f>J5</f>
        <v>6195</v>
      </c>
      <c r="L15" s="342" t="s">
        <v>764</v>
      </c>
      <c r="M15" s="358">
        <f>'Динамика финансы'!L108</f>
        <v>-0.46111691022964507</v>
      </c>
      <c r="N15" s="331"/>
    </row>
    <row r="16" spans="2:28" ht="26.5" thickBot="1">
      <c r="B16" s="332"/>
      <c r="C16" s="331"/>
      <c r="D16" s="331"/>
      <c r="E16" s="331"/>
      <c r="F16" s="331"/>
      <c r="G16" s="343" t="s">
        <v>766</v>
      </c>
      <c r="H16" s="331"/>
      <c r="I16" s="331"/>
      <c r="J16" s="331"/>
      <c r="K16" s="331"/>
      <c r="L16" s="331"/>
      <c r="M16" s="343" t="s">
        <v>766</v>
      </c>
      <c r="N16" s="331"/>
    </row>
    <row r="17" spans="2:14" ht="16" thickBot="1">
      <c r="B17" s="332"/>
      <c r="C17" s="496" t="s">
        <v>29</v>
      </c>
      <c r="D17" s="496"/>
      <c r="E17" s="344">
        <f>K4</f>
        <v>2232</v>
      </c>
      <c r="F17" s="345" t="s">
        <v>764</v>
      </c>
      <c r="G17" s="346">
        <f>'Динамика финансы'!M104</f>
        <v>0.12556255625562557</v>
      </c>
      <c r="H17" s="331"/>
      <c r="I17" s="496" t="s">
        <v>29</v>
      </c>
      <c r="J17" s="496"/>
      <c r="K17" s="344">
        <f>K5</f>
        <v>1848</v>
      </c>
      <c r="L17" s="345" t="s">
        <v>764</v>
      </c>
      <c r="M17" s="346">
        <f>'Динамика финансы'!M105</f>
        <v>6.9799063302613693E-2</v>
      </c>
      <c r="N17" s="331"/>
    </row>
    <row r="18" spans="2:14" ht="16" thickBot="1">
      <c r="B18" s="332"/>
      <c r="C18" s="496" t="s">
        <v>208</v>
      </c>
      <c r="D18" s="496"/>
      <c r="E18" s="344">
        <f>P4</f>
        <v>12301.788571428571</v>
      </c>
      <c r="F18" s="345" t="s">
        <v>764</v>
      </c>
      <c r="G18" s="346">
        <f>'Динамика финансы'!R104</f>
        <v>0.69204481162401954</v>
      </c>
      <c r="H18" s="331"/>
      <c r="I18" s="496" t="s">
        <v>208</v>
      </c>
      <c r="J18" s="496"/>
      <c r="K18" s="344">
        <f>P5</f>
        <v>7570.3314285714278</v>
      </c>
      <c r="L18" s="345" t="s">
        <v>764</v>
      </c>
      <c r="M18" s="346">
        <f>'Динамика финансы'!R105</f>
        <v>0.28593184123626786</v>
      </c>
      <c r="N18" s="331"/>
    </row>
    <row r="19" spans="2:14" ht="15" thickBot="1">
      <c r="B19" s="332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</row>
    <row r="20" spans="2:14" ht="16" thickBot="1">
      <c r="B20" s="332"/>
      <c r="C20" s="488" t="s">
        <v>126</v>
      </c>
      <c r="D20" s="488"/>
      <c r="E20" s="347">
        <f>H4</f>
        <v>0</v>
      </c>
      <c r="F20" s="348" t="s">
        <v>764</v>
      </c>
      <c r="G20" s="349">
        <f>'Динамика финансы'!J104</f>
        <v>0</v>
      </c>
      <c r="H20" s="331"/>
      <c r="I20" s="488" t="s">
        <v>126</v>
      </c>
      <c r="J20" s="488"/>
      <c r="K20" s="347">
        <f>H5</f>
        <v>-9548</v>
      </c>
      <c r="L20" s="348" t="s">
        <v>764</v>
      </c>
      <c r="M20" s="346">
        <f>'Динамика финансы'!J105</f>
        <v>0.26504552520541863</v>
      </c>
      <c r="N20" s="331"/>
    </row>
    <row r="21" spans="2:14" ht="15.5">
      <c r="B21" s="332"/>
      <c r="C21" s="489" t="s">
        <v>311</v>
      </c>
      <c r="D21" s="489"/>
      <c r="E21" s="360">
        <f>L4</f>
        <v>5952.4800000000005</v>
      </c>
      <c r="F21" s="361" t="s">
        <v>764</v>
      </c>
      <c r="G21" s="362">
        <f>'Динамика финансы'!N104</f>
        <v>0.33486048604860491</v>
      </c>
      <c r="H21" s="331"/>
      <c r="I21" s="489" t="s">
        <v>311</v>
      </c>
      <c r="J21" s="489"/>
      <c r="K21" s="360">
        <f>L5</f>
        <v>8263.84</v>
      </c>
      <c r="L21" s="361" t="s">
        <v>764</v>
      </c>
      <c r="M21" s="362">
        <f>'Динамика финансы'!N105</f>
        <v>0.31212569874603413</v>
      </c>
      <c r="N21" s="331"/>
    </row>
    <row r="22" spans="2:14">
      <c r="B22" s="332"/>
      <c r="C22" s="331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</row>
    <row r="23" spans="2:14" ht="15.5">
      <c r="B23" s="332"/>
      <c r="C23" s="331"/>
      <c r="D23" s="331"/>
      <c r="E23" s="482" t="s">
        <v>312</v>
      </c>
      <c r="F23" s="483"/>
      <c r="G23" s="350">
        <f>Z4</f>
        <v>-2.5798193903023439</v>
      </c>
      <c r="H23" s="331"/>
      <c r="I23" s="331"/>
      <c r="J23" s="331"/>
      <c r="K23" s="482" t="s">
        <v>312</v>
      </c>
      <c r="L23" s="483"/>
      <c r="M23" s="350">
        <f>Z5</f>
        <v>0.37676651677620238</v>
      </c>
      <c r="N23" s="331"/>
    </row>
    <row r="24" spans="2:14" ht="15.5">
      <c r="B24" s="332"/>
      <c r="C24" s="331"/>
      <c r="D24" s="331"/>
      <c r="E24" s="482" t="s">
        <v>313</v>
      </c>
      <c r="F24" s="483"/>
      <c r="G24" s="350">
        <f>AA4</f>
        <v>-0.38894231387424466</v>
      </c>
      <c r="H24" s="331"/>
      <c r="I24" s="331"/>
      <c r="J24" s="331"/>
      <c r="K24" s="482" t="s">
        <v>313</v>
      </c>
      <c r="L24" s="483"/>
      <c r="M24" s="350">
        <f>AA5</f>
        <v>8.8157900416549848E-2</v>
      </c>
      <c r="N24" s="331"/>
    </row>
    <row r="25" spans="2:14" ht="15.5">
      <c r="B25" s="332"/>
      <c r="C25" s="331"/>
      <c r="D25" s="331"/>
      <c r="E25" s="484" t="s">
        <v>767</v>
      </c>
      <c r="F25" s="485"/>
      <c r="G25" s="350">
        <f>Y4</f>
        <v>0.1507633888388839</v>
      </c>
      <c r="H25" s="331"/>
      <c r="I25" s="331"/>
      <c r="J25" s="331"/>
      <c r="K25" s="484" t="s">
        <v>767</v>
      </c>
      <c r="L25" s="485"/>
      <c r="M25" s="350">
        <f>Y5</f>
        <v>0.23398549629853452</v>
      </c>
      <c r="N25" s="331"/>
    </row>
    <row r="26" spans="2:14">
      <c r="B26" s="332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</row>
    <row r="27" spans="2:14" ht="15.5">
      <c r="B27" s="332"/>
      <c r="C27" s="331"/>
      <c r="D27" s="331"/>
      <c r="E27" s="331"/>
      <c r="F27" s="486" t="s">
        <v>765</v>
      </c>
      <c r="G27" s="487"/>
      <c r="H27" s="336">
        <f>'Юнит 20-26.10'!I49</f>
        <v>660765.73</v>
      </c>
      <c r="I27" s="337" t="s">
        <v>764</v>
      </c>
      <c r="J27" s="338"/>
      <c r="K27" s="331"/>
      <c r="L27" s="331"/>
      <c r="M27" s="331"/>
      <c r="N27" s="331"/>
    </row>
    <row r="28" spans="2:14" ht="15" thickBot="1">
      <c r="B28" s="351"/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</row>
  </sheetData>
  <mergeCells count="42">
    <mergeCell ref="E24:F24"/>
    <mergeCell ref="K24:L24"/>
    <mergeCell ref="E25:F25"/>
    <mergeCell ref="K25:L25"/>
    <mergeCell ref="F27:G27"/>
    <mergeCell ref="K23:L23"/>
    <mergeCell ref="C11:G11"/>
    <mergeCell ref="I11:M11"/>
    <mergeCell ref="C17:D17"/>
    <mergeCell ref="I17:J17"/>
    <mergeCell ref="C18:D18"/>
    <mergeCell ref="I18:J18"/>
    <mergeCell ref="C20:D20"/>
    <mergeCell ref="I20:J20"/>
    <mergeCell ref="C21:D21"/>
    <mergeCell ref="I21:J21"/>
    <mergeCell ref="E23:F23"/>
    <mergeCell ref="X2:X3"/>
    <mergeCell ref="Y2:Y3"/>
    <mergeCell ref="Z2:Z3"/>
    <mergeCell ref="AA2:AA3"/>
    <mergeCell ref="AB2:AB3"/>
    <mergeCell ref="C9:F9"/>
    <mergeCell ref="H9:M9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U2:U3"/>
    <mergeCell ref="V2:V3"/>
    <mergeCell ref="W2:W3"/>
    <mergeCell ref="L2:L3"/>
    <mergeCell ref="M2:M3"/>
    <mergeCell ref="N2:N3"/>
    <mergeCell ref="O2:O3"/>
    <mergeCell ref="P2:P3"/>
    <mergeCell ref="Q2:Q3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{3729E33A-4A50-4F04-9302-9C6FF417CB1F}</x14:id>
        </ext>
      </extLst>
    </cfRule>
  </conditionalFormatting>
  <conditionalFormatting sqref="G13">
    <cfRule type="cellIs" dxfId="422" priority="7" operator="greaterThan">
      <formula>0</formula>
    </cfRule>
    <cfRule type="cellIs" dxfId="421" priority="8" operator="lessThanOrEqual">
      <formula>0</formula>
    </cfRule>
  </conditionalFormatting>
  <conditionalFormatting sqref="G14:G15">
    <cfRule type="cellIs" dxfId="420" priority="5" operator="greaterThan">
      <formula>0</formula>
    </cfRule>
    <cfRule type="cellIs" dxfId="419" priority="6" operator="lessThanOrEqual">
      <formula>0</formula>
    </cfRule>
  </conditionalFormatting>
  <conditionalFormatting sqref="M13">
    <cfRule type="cellIs" dxfId="418" priority="3" operator="greaterThan">
      <formula>0</formula>
    </cfRule>
    <cfRule type="cellIs" dxfId="417" priority="4" operator="lessThanOrEqual">
      <formula>0</formula>
    </cfRule>
  </conditionalFormatting>
  <conditionalFormatting sqref="M14:M15">
    <cfRule type="cellIs" dxfId="416" priority="1" operator="greaterThan">
      <formula>0</formula>
    </cfRule>
    <cfRule type="cellIs" dxfId="415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29E33A-4A50-4F04-9302-9C6FF417CB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0546-DED8-44F0-8996-D5E577170CB9}">
  <dimension ref="B2:AB28"/>
  <sheetViews>
    <sheetView zoomScale="70" zoomScaleNormal="70" workbookViewId="0">
      <selection activeCell="L31" sqref="L31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  <col min="28" max="28" width="10.08984375" customWidth="1"/>
  </cols>
  <sheetData>
    <row r="2" spans="2:28">
      <c r="B2" s="506" t="s">
        <v>251</v>
      </c>
      <c r="C2" s="506"/>
      <c r="D2" s="506"/>
      <c r="E2" s="507" t="s">
        <v>252</v>
      </c>
      <c r="F2" s="506" t="s">
        <v>253</v>
      </c>
      <c r="G2" s="508" t="s">
        <v>32</v>
      </c>
      <c r="H2" s="509"/>
      <c r="I2" s="510"/>
      <c r="J2" s="511" t="s">
        <v>205</v>
      </c>
      <c r="K2" s="504" t="s">
        <v>29</v>
      </c>
      <c r="L2" s="504" t="s">
        <v>311</v>
      </c>
      <c r="M2" s="504" t="s">
        <v>256</v>
      </c>
      <c r="N2" s="504" t="s">
        <v>257</v>
      </c>
      <c r="O2" s="504" t="s">
        <v>210</v>
      </c>
      <c r="P2" s="504" t="s">
        <v>258</v>
      </c>
      <c r="Q2" s="504" t="s">
        <v>259</v>
      </c>
      <c r="R2" s="504" t="s">
        <v>260</v>
      </c>
      <c r="S2" s="504" t="s">
        <v>261</v>
      </c>
      <c r="T2" s="504" t="s">
        <v>262</v>
      </c>
      <c r="U2" s="504" t="s">
        <v>263</v>
      </c>
      <c r="V2" s="504" t="s">
        <v>264</v>
      </c>
      <c r="W2" s="504" t="s">
        <v>265</v>
      </c>
      <c r="X2" s="497"/>
      <c r="Y2" s="498" t="s">
        <v>267</v>
      </c>
      <c r="Z2" s="498" t="s">
        <v>219</v>
      </c>
      <c r="AA2" s="498" t="s">
        <v>220</v>
      </c>
      <c r="AB2" s="499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507"/>
      <c r="F3" s="506"/>
      <c r="G3" s="321" t="s">
        <v>31</v>
      </c>
      <c r="H3" s="322" t="s">
        <v>126</v>
      </c>
      <c r="I3" s="323" t="s">
        <v>272</v>
      </c>
      <c r="J3" s="512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497"/>
      <c r="Y3" s="498"/>
      <c r="Z3" s="498"/>
      <c r="AA3" s="498"/>
      <c r="AB3" s="499"/>
    </row>
    <row r="4" spans="2:28">
      <c r="B4" s="324"/>
      <c r="C4" s="324" t="str">
        <f>'Динамика финансы'!B11</f>
        <v>13-19.10 очки</v>
      </c>
      <c r="D4" s="324">
        <f>'Динамика финансы'!C11</f>
        <v>0</v>
      </c>
      <c r="E4" s="324">
        <f>'Динамика финансы'!D11</f>
        <v>0</v>
      </c>
      <c r="F4" s="324">
        <f>'Динамика финансы'!E11</f>
        <v>13932.660357142857</v>
      </c>
      <c r="G4" s="324">
        <f>'Динамика финансы'!I11</f>
        <v>18086</v>
      </c>
      <c r="H4" s="324">
        <f>'Динамика финансы'!J11</f>
        <v>0</v>
      </c>
      <c r="I4" s="324">
        <f>'Динамика финансы'!K11</f>
        <v>18086</v>
      </c>
      <c r="J4" s="324">
        <f>'Динамика финансы'!L11</f>
        <v>2718.5799999999995</v>
      </c>
      <c r="K4" s="324">
        <f>'Динамика финансы'!M11</f>
        <v>2812</v>
      </c>
      <c r="L4" s="324">
        <f>'Динамика финансы'!N11</f>
        <v>5420.92</v>
      </c>
      <c r="M4" s="324">
        <f>'Динамика финансы'!O11</f>
        <v>0</v>
      </c>
      <c r="N4" s="324">
        <f>'Динамика финансы'!P11</f>
        <v>0</v>
      </c>
      <c r="O4" s="324">
        <f>'Динамика финансы'!Q11</f>
        <v>0</v>
      </c>
      <c r="P4" s="324">
        <f>'Динамика финансы'!R11</f>
        <v>10059.339642857143</v>
      </c>
      <c r="Q4" s="324">
        <f>'Динамика финансы'!S11</f>
        <v>174</v>
      </c>
      <c r="R4" s="324">
        <f>'Динамика финансы'!T11</f>
        <v>1687.08</v>
      </c>
      <c r="S4" s="324">
        <f>'Динамика финансы'!U11</f>
        <v>0</v>
      </c>
      <c r="T4" s="324">
        <f>'Динамика финансы'!V11</f>
        <v>0</v>
      </c>
      <c r="U4" s="324">
        <f>'Динамика финансы'!W11</f>
        <v>16000</v>
      </c>
      <c r="V4" s="324">
        <f>'Динамика финансы'!X11</f>
        <v>180.86</v>
      </c>
      <c r="W4" s="324">
        <f>'Динамика финансы'!Y11</f>
        <v>11033.220357142858</v>
      </c>
      <c r="X4" s="325"/>
      <c r="Y4" s="326">
        <f>'Динамика финансы'!AA11</f>
        <v>0.15031405507022003</v>
      </c>
      <c r="Z4" s="326">
        <f>'Динамика финансы'!AB11</f>
        <v>4.0584497631641741</v>
      </c>
      <c r="AA4" s="326">
        <f>'Динамика финансы'!AC11</f>
        <v>0.61004204119998107</v>
      </c>
      <c r="AB4" s="326">
        <f>'Динамика финансы'!AD11</f>
        <v>0.55619482709593848</v>
      </c>
    </row>
    <row r="5" spans="2:28">
      <c r="B5" s="324"/>
      <c r="C5" s="324" t="str">
        <f>'Динамика финансы'!B12</f>
        <v>13-19.10 туники</v>
      </c>
      <c r="D5" s="324">
        <f>'Динамика финансы'!C12</f>
        <v>0</v>
      </c>
      <c r="E5" s="324">
        <f>'Динамика финансы'!D12</f>
        <v>0</v>
      </c>
      <c r="F5" s="324">
        <f>'Динамика финансы'!E12</f>
        <v>20962.749642857143</v>
      </c>
      <c r="G5" s="324">
        <f>'Динамика финансы'!I12</f>
        <v>58698</v>
      </c>
      <c r="H5" s="324">
        <f>'Динамика финансы'!J12</f>
        <v>-9950</v>
      </c>
      <c r="I5" s="324">
        <f>'Динамика финансы'!K12</f>
        <v>48748</v>
      </c>
      <c r="J5" s="324">
        <f>'Динамика финансы'!L12</f>
        <v>11496</v>
      </c>
      <c r="K5" s="324">
        <f>'Динамика финансы'!M12</f>
        <v>3024</v>
      </c>
      <c r="L5" s="324">
        <f>'Динамика финансы'!N12</f>
        <v>13154.32</v>
      </c>
      <c r="M5" s="324">
        <f>'Динамика финансы'!O12</f>
        <v>0</v>
      </c>
      <c r="N5" s="324">
        <f>'Динамика финансы'!P12</f>
        <v>0</v>
      </c>
      <c r="O5" s="324">
        <f>'Динамика финансы'!Q12</f>
        <v>0</v>
      </c>
      <c r="P5" s="324">
        <f>'Динамика финансы'!R12</f>
        <v>11606.930357142857</v>
      </c>
      <c r="Q5" s="324">
        <f>'Динамика финансы'!S12</f>
        <v>0</v>
      </c>
      <c r="R5" s="324">
        <f>'Динамика финансы'!T12</f>
        <v>0</v>
      </c>
      <c r="S5" s="324">
        <f>'Динамика финансы'!U12</f>
        <v>0</v>
      </c>
      <c r="T5" s="324">
        <f>'Динамика финансы'!V12</f>
        <v>0</v>
      </c>
      <c r="U5" s="324">
        <f>'Динамика финансы'!W12</f>
        <v>0</v>
      </c>
      <c r="V5" s="324">
        <f>'Динамика финансы'!X12</f>
        <v>487.48</v>
      </c>
      <c r="W5" s="324">
        <f>'Динамика финансы'!Y12</f>
        <v>8979.2696428571435</v>
      </c>
      <c r="X5" s="325"/>
      <c r="Y5" s="326">
        <f>'Динамика финансы'!AA12</f>
        <v>0.2358250594896201</v>
      </c>
      <c r="Z5" s="326">
        <f>'Динамика финансы'!AB12</f>
        <v>0.78107773511283429</v>
      </c>
      <c r="AA5" s="326">
        <f>'Динамика финансы'!AC12</f>
        <v>0.18419770334900187</v>
      </c>
      <c r="AB5" s="326">
        <f>'Динамика финансы'!AD12</f>
        <v>0.23810064735256539</v>
      </c>
    </row>
    <row r="6" spans="2:28">
      <c r="B6" s="324"/>
      <c r="C6" s="324"/>
      <c r="D6" s="324"/>
      <c r="E6" s="324"/>
      <c r="F6" s="327">
        <f>F4+F5</f>
        <v>34895.410000000003</v>
      </c>
      <c r="G6" s="327">
        <f t="shared" ref="G6:W6" si="0">G4+G5</f>
        <v>76784</v>
      </c>
      <c r="H6" s="327">
        <f t="shared" si="0"/>
        <v>-9950</v>
      </c>
      <c r="I6" s="327">
        <f t="shared" si="0"/>
        <v>66834</v>
      </c>
      <c r="J6" s="327">
        <f t="shared" si="0"/>
        <v>14214.58</v>
      </c>
      <c r="K6" s="327">
        <f t="shared" si="0"/>
        <v>5836</v>
      </c>
      <c r="L6" s="327">
        <f t="shared" si="0"/>
        <v>18575.239999999998</v>
      </c>
      <c r="M6" s="327">
        <f t="shared" si="0"/>
        <v>0</v>
      </c>
      <c r="N6" s="327">
        <f t="shared" si="0"/>
        <v>0</v>
      </c>
      <c r="O6" s="327">
        <f t="shared" si="0"/>
        <v>0</v>
      </c>
      <c r="P6" s="327">
        <f t="shared" si="0"/>
        <v>21666.27</v>
      </c>
      <c r="Q6" s="327">
        <f t="shared" si="0"/>
        <v>174</v>
      </c>
      <c r="R6" s="327">
        <f t="shared" si="0"/>
        <v>1687.08</v>
      </c>
      <c r="S6" s="327">
        <f t="shared" si="0"/>
        <v>0</v>
      </c>
      <c r="T6" s="327">
        <f t="shared" si="0"/>
        <v>0</v>
      </c>
      <c r="U6" s="327">
        <f t="shared" si="0"/>
        <v>16000</v>
      </c>
      <c r="V6" s="327">
        <f t="shared" si="0"/>
        <v>668.34</v>
      </c>
      <c r="W6" s="327">
        <f t="shared" si="0"/>
        <v>20012.490000000002</v>
      </c>
      <c r="X6" s="325"/>
      <c r="Y6" s="326"/>
      <c r="Z6" s="326"/>
      <c r="AA6" s="326"/>
      <c r="AB6" s="326"/>
    </row>
    <row r="7" spans="2:28">
      <c r="B7" s="328"/>
      <c r="C7" s="328"/>
      <c r="D7" s="328"/>
      <c r="E7" s="328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9"/>
      <c r="Z7" s="329"/>
      <c r="AA7" s="329"/>
      <c r="AB7" s="330"/>
    </row>
    <row r="8" spans="2:28" ht="15" thickBot="1"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</row>
    <row r="9" spans="2:28" ht="16" thickBot="1">
      <c r="B9" s="332"/>
      <c r="C9" s="500" t="s">
        <v>763</v>
      </c>
      <c r="D9" s="501"/>
      <c r="E9" s="501"/>
      <c r="F9" s="501"/>
      <c r="G9" s="333" t="s">
        <v>182</v>
      </c>
      <c r="H9" s="502"/>
      <c r="I9" s="502"/>
      <c r="J9" s="502"/>
      <c r="K9" s="502"/>
      <c r="L9" s="502"/>
      <c r="M9" s="503"/>
      <c r="N9" s="331"/>
    </row>
    <row r="10" spans="2:28" ht="15" thickBot="1">
      <c r="B10" s="332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90" t="s">
        <v>294</v>
      </c>
      <c r="D11" s="491"/>
      <c r="E11" s="491"/>
      <c r="F11" s="491"/>
      <c r="G11" s="492"/>
      <c r="H11" s="331"/>
      <c r="I11" s="493" t="s">
        <v>304</v>
      </c>
      <c r="J11" s="494"/>
      <c r="K11" s="494"/>
      <c r="L11" s="494"/>
      <c r="M11" s="495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353" t="s">
        <v>32</v>
      </c>
      <c r="D13" s="354"/>
      <c r="E13" s="334">
        <f>I4</f>
        <v>18086</v>
      </c>
      <c r="F13" s="335" t="s">
        <v>764</v>
      </c>
      <c r="G13" s="355">
        <f>'Динамика финансы'!K114</f>
        <v>-0.22682968536251713</v>
      </c>
      <c r="H13" s="331"/>
      <c r="I13" s="353" t="s">
        <v>32</v>
      </c>
      <c r="J13" s="354"/>
      <c r="K13" s="334">
        <f>I4</f>
        <v>18086</v>
      </c>
      <c r="L13" s="335" t="s">
        <v>764</v>
      </c>
      <c r="M13" s="355">
        <f>'Динамика финансы'!K115</f>
        <v>9.4722658881652766E-2</v>
      </c>
      <c r="N13" s="331"/>
    </row>
    <row r="14" spans="2:28" ht="16" thickBot="1">
      <c r="B14" s="332"/>
      <c r="C14" s="356" t="s">
        <v>212</v>
      </c>
      <c r="D14" s="357"/>
      <c r="E14" s="339">
        <f>W4</f>
        <v>11033.220357142858</v>
      </c>
      <c r="F14" s="340" t="s">
        <v>764</v>
      </c>
      <c r="G14" s="358">
        <f>'Динамика финансы'!Y114</f>
        <v>-9.5247625026625862</v>
      </c>
      <c r="H14" s="331"/>
      <c r="I14" s="356" t="s">
        <v>212</v>
      </c>
      <c r="J14" s="357"/>
      <c r="K14" s="339">
        <f>W5</f>
        <v>8979.2696428571435</v>
      </c>
      <c r="L14" s="340" t="s">
        <v>764</v>
      </c>
      <c r="M14" s="358">
        <f>'Динамика финансы'!Y115</f>
        <v>-5.2369926240397602</v>
      </c>
      <c r="N14" s="331"/>
    </row>
    <row r="15" spans="2:28" ht="16" thickBot="1">
      <c r="B15" s="332"/>
      <c r="C15" s="363" t="s">
        <v>205</v>
      </c>
      <c r="D15" s="359"/>
      <c r="E15" s="341">
        <f>J4</f>
        <v>2718.5799999999995</v>
      </c>
      <c r="F15" s="342" t="s">
        <v>764</v>
      </c>
      <c r="G15" s="358">
        <f>'Динамика финансы'!L114</f>
        <v>-0.24431830816784905</v>
      </c>
      <c r="H15" s="331"/>
      <c r="I15" s="363" t="s">
        <v>205</v>
      </c>
      <c r="J15" s="359"/>
      <c r="K15" s="341">
        <f>J5</f>
        <v>11496</v>
      </c>
      <c r="L15" s="342" t="s">
        <v>764</v>
      </c>
      <c r="M15" s="358">
        <f>'Динамика финансы'!L115</f>
        <v>0.21074249605055284</v>
      </c>
      <c r="N15" s="331"/>
    </row>
    <row r="16" spans="2:28" ht="26.5" thickBot="1">
      <c r="B16" s="332"/>
      <c r="C16" s="331"/>
      <c r="D16" s="331"/>
      <c r="E16" s="331"/>
      <c r="F16" s="331"/>
      <c r="G16" s="343" t="s">
        <v>766</v>
      </c>
      <c r="H16" s="331"/>
      <c r="I16" s="331"/>
      <c r="J16" s="331"/>
      <c r="K16" s="331"/>
      <c r="L16" s="331"/>
      <c r="M16" s="343" t="s">
        <v>766</v>
      </c>
      <c r="N16" s="331"/>
    </row>
    <row r="17" spans="2:14" ht="16" thickBot="1">
      <c r="B17" s="332"/>
      <c r="C17" s="496" t="s">
        <v>29</v>
      </c>
      <c r="D17" s="496"/>
      <c r="E17" s="344">
        <f>K4</f>
        <v>2812</v>
      </c>
      <c r="F17" s="345" t="s">
        <v>764</v>
      </c>
      <c r="G17" s="346">
        <f>'Динамика финансы'!M111</f>
        <v>0.15547937631317041</v>
      </c>
      <c r="H17" s="331"/>
      <c r="I17" s="496" t="s">
        <v>29</v>
      </c>
      <c r="J17" s="496"/>
      <c r="K17" s="344">
        <f>K5</f>
        <v>3024</v>
      </c>
      <c r="L17" s="345" t="s">
        <v>764</v>
      </c>
      <c r="M17" s="346">
        <f>'Динамика финансы'!M112</f>
        <v>6.2033314187248709E-2</v>
      </c>
      <c r="N17" s="331"/>
    </row>
    <row r="18" spans="2:14" ht="16" thickBot="1">
      <c r="B18" s="332"/>
      <c r="C18" s="496" t="s">
        <v>208</v>
      </c>
      <c r="D18" s="496"/>
      <c r="E18" s="344">
        <f>P4</f>
        <v>10059.339642857143</v>
      </c>
      <c r="F18" s="345" t="s">
        <v>764</v>
      </c>
      <c r="G18" s="346">
        <f>'Динамика финансы'!R111</f>
        <v>0.55619482709593848</v>
      </c>
      <c r="H18" s="331"/>
      <c r="I18" s="496" t="s">
        <v>208</v>
      </c>
      <c r="J18" s="496"/>
      <c r="K18" s="344">
        <f>P5</f>
        <v>11606.930357142857</v>
      </c>
      <c r="L18" s="345" t="s">
        <v>764</v>
      </c>
      <c r="M18" s="346">
        <f>'Динамика финансы'!R112</f>
        <v>0.23810064735256539</v>
      </c>
      <c r="N18" s="331"/>
    </row>
    <row r="19" spans="2:14" ht="15" thickBot="1">
      <c r="B19" s="332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</row>
    <row r="20" spans="2:14" ht="16" thickBot="1">
      <c r="B20" s="332"/>
      <c r="C20" s="488" t="s">
        <v>126</v>
      </c>
      <c r="D20" s="488"/>
      <c r="E20" s="347">
        <f>H4</f>
        <v>0</v>
      </c>
      <c r="F20" s="348" t="s">
        <v>764</v>
      </c>
      <c r="G20" s="349">
        <f>'Динамика финансы'!J111</f>
        <v>0</v>
      </c>
      <c r="H20" s="331"/>
      <c r="I20" s="488" t="s">
        <v>126</v>
      </c>
      <c r="J20" s="488"/>
      <c r="K20" s="347">
        <f>H5</f>
        <v>-9950</v>
      </c>
      <c r="L20" s="348" t="s">
        <v>764</v>
      </c>
      <c r="M20" s="346">
        <f>'Динамика финансы'!J112</f>
        <v>0.16951173804899655</v>
      </c>
      <c r="N20" s="331"/>
    </row>
    <row r="21" spans="2:14" ht="15.5">
      <c r="B21" s="332"/>
      <c r="C21" s="489" t="s">
        <v>311</v>
      </c>
      <c r="D21" s="489"/>
      <c r="E21" s="360">
        <f>L4</f>
        <v>5420.92</v>
      </c>
      <c r="F21" s="361" t="s">
        <v>764</v>
      </c>
      <c r="G21" s="362">
        <f>'Динамика финансы'!N111</f>
        <v>0.29973017803826163</v>
      </c>
      <c r="H21" s="331"/>
      <c r="I21" s="489" t="s">
        <v>311</v>
      </c>
      <c r="J21" s="489"/>
      <c r="K21" s="360">
        <f>L5</f>
        <v>13154.32</v>
      </c>
      <c r="L21" s="361" t="s">
        <v>764</v>
      </c>
      <c r="M21" s="362">
        <f>'Динамика финансы'!N112</f>
        <v>0.26984327562156396</v>
      </c>
      <c r="N21" s="331"/>
    </row>
    <row r="22" spans="2:14">
      <c r="B22" s="332"/>
      <c r="C22" s="331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</row>
    <row r="23" spans="2:14" ht="15.5">
      <c r="B23" s="332"/>
      <c r="C23" s="331"/>
      <c r="D23" s="331"/>
      <c r="E23" s="482" t="s">
        <v>312</v>
      </c>
      <c r="F23" s="483"/>
      <c r="G23" s="350">
        <f>Z4</f>
        <v>4.0584497631641741</v>
      </c>
      <c r="H23" s="331"/>
      <c r="I23" s="331"/>
      <c r="J23" s="331"/>
      <c r="K23" s="482" t="s">
        <v>312</v>
      </c>
      <c r="L23" s="483"/>
      <c r="M23" s="350">
        <f>Z5</f>
        <v>0.78107773511283429</v>
      </c>
      <c r="N23" s="331"/>
    </row>
    <row r="24" spans="2:14" ht="15.5">
      <c r="B24" s="332"/>
      <c r="C24" s="331"/>
      <c r="D24" s="331"/>
      <c r="E24" s="482" t="s">
        <v>313</v>
      </c>
      <c r="F24" s="483"/>
      <c r="G24" s="350">
        <f>AA4</f>
        <v>0.61004204119998107</v>
      </c>
      <c r="H24" s="331"/>
      <c r="I24" s="331"/>
      <c r="J24" s="331"/>
      <c r="K24" s="482" t="s">
        <v>313</v>
      </c>
      <c r="L24" s="483"/>
      <c r="M24" s="350">
        <f>AA5</f>
        <v>0.18419770334900187</v>
      </c>
      <c r="N24" s="331"/>
    </row>
    <row r="25" spans="2:14" ht="15.5">
      <c r="B25" s="332"/>
      <c r="C25" s="331"/>
      <c r="D25" s="331"/>
      <c r="E25" s="484" t="s">
        <v>767</v>
      </c>
      <c r="F25" s="485"/>
      <c r="G25" s="350">
        <f>Y4</f>
        <v>0.15031405507022003</v>
      </c>
      <c r="H25" s="331"/>
      <c r="I25" s="331"/>
      <c r="J25" s="331"/>
      <c r="K25" s="484" t="s">
        <v>767</v>
      </c>
      <c r="L25" s="485"/>
      <c r="M25" s="350">
        <f>Y5</f>
        <v>0.2358250594896201</v>
      </c>
      <c r="N25" s="331"/>
    </row>
    <row r="26" spans="2:14">
      <c r="B26" s="332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</row>
    <row r="27" spans="2:14" ht="15.5">
      <c r="B27" s="332"/>
      <c r="C27" s="331"/>
      <c r="D27" s="331"/>
      <c r="E27" s="331"/>
      <c r="F27" s="486" t="s">
        <v>765</v>
      </c>
      <c r="G27" s="487"/>
      <c r="H27" s="336">
        <f>'Юнит 13-19.10'!I49</f>
        <v>664455.2699999999</v>
      </c>
      <c r="I27" s="337" t="s">
        <v>764</v>
      </c>
      <c r="J27" s="338"/>
      <c r="K27" s="331"/>
      <c r="L27" s="331"/>
      <c r="M27" s="331"/>
      <c r="N27" s="331"/>
    </row>
    <row r="28" spans="2:14" ht="15" thickBot="1">
      <c r="B28" s="351"/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</row>
  </sheetData>
  <mergeCells count="42">
    <mergeCell ref="E24:F24"/>
    <mergeCell ref="K24:L24"/>
    <mergeCell ref="E25:F25"/>
    <mergeCell ref="K25:L25"/>
    <mergeCell ref="F27:G27"/>
    <mergeCell ref="K23:L23"/>
    <mergeCell ref="C11:G11"/>
    <mergeCell ref="I11:M11"/>
    <mergeCell ref="C17:D17"/>
    <mergeCell ref="I17:J17"/>
    <mergeCell ref="C18:D18"/>
    <mergeCell ref="I18:J18"/>
    <mergeCell ref="C20:D20"/>
    <mergeCell ref="I20:J20"/>
    <mergeCell ref="C21:D21"/>
    <mergeCell ref="I21:J21"/>
    <mergeCell ref="E23:F23"/>
    <mergeCell ref="X2:X3"/>
    <mergeCell ref="Y2:Y3"/>
    <mergeCell ref="Z2:Z3"/>
    <mergeCell ref="AA2:AA3"/>
    <mergeCell ref="AB2:AB3"/>
    <mergeCell ref="C9:F9"/>
    <mergeCell ref="H9:M9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U2:U3"/>
    <mergeCell ref="V2:V3"/>
    <mergeCell ref="W2:W3"/>
    <mergeCell ref="L2:L3"/>
    <mergeCell ref="M2:M3"/>
    <mergeCell ref="N2:N3"/>
    <mergeCell ref="O2:O3"/>
    <mergeCell ref="P2:P3"/>
    <mergeCell ref="Q2:Q3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{425EF32A-3220-4240-91E3-74639CC0EA3B}</x14:id>
        </ext>
      </extLst>
    </cfRule>
  </conditionalFormatting>
  <conditionalFormatting sqref="G13">
    <cfRule type="cellIs" dxfId="414" priority="7" operator="greaterThan">
      <formula>0</formula>
    </cfRule>
    <cfRule type="cellIs" dxfId="413" priority="8" operator="lessThanOrEqual">
      <formula>0</formula>
    </cfRule>
  </conditionalFormatting>
  <conditionalFormatting sqref="G14:G15">
    <cfRule type="cellIs" dxfId="412" priority="5" operator="greaterThan">
      <formula>0</formula>
    </cfRule>
    <cfRule type="cellIs" dxfId="411" priority="6" operator="lessThanOrEqual">
      <formula>0</formula>
    </cfRule>
  </conditionalFormatting>
  <conditionalFormatting sqref="M13">
    <cfRule type="cellIs" dxfId="410" priority="3" operator="greaterThan">
      <formula>0</formula>
    </cfRule>
    <cfRule type="cellIs" dxfId="409" priority="4" operator="lessThanOrEqual">
      <formula>0</formula>
    </cfRule>
  </conditionalFormatting>
  <conditionalFormatting sqref="M14:M15">
    <cfRule type="cellIs" dxfId="408" priority="1" operator="greaterThan">
      <formula>0</formula>
    </cfRule>
    <cfRule type="cellIs" dxfId="407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5EF32A-3220-4240-91E3-74639CC0EA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C08D-3346-4A46-8504-CE09A334FACF}">
  <dimension ref="B2:AB28"/>
  <sheetViews>
    <sheetView zoomScale="70" zoomScaleNormal="70" workbookViewId="0">
      <selection activeCell="P19" sqref="P19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</cols>
  <sheetData>
    <row r="2" spans="2:28">
      <c r="B2" s="506" t="s">
        <v>251</v>
      </c>
      <c r="C2" s="506"/>
      <c r="D2" s="506"/>
      <c r="E2" s="507" t="s">
        <v>252</v>
      </c>
      <c r="F2" s="506" t="s">
        <v>253</v>
      </c>
      <c r="G2" s="508" t="s">
        <v>32</v>
      </c>
      <c r="H2" s="509"/>
      <c r="I2" s="510"/>
      <c r="J2" s="511" t="s">
        <v>205</v>
      </c>
      <c r="K2" s="504" t="s">
        <v>29</v>
      </c>
      <c r="L2" s="504" t="s">
        <v>311</v>
      </c>
      <c r="M2" s="504" t="s">
        <v>256</v>
      </c>
      <c r="N2" s="504" t="s">
        <v>257</v>
      </c>
      <c r="O2" s="504" t="s">
        <v>210</v>
      </c>
      <c r="P2" s="504" t="s">
        <v>258</v>
      </c>
      <c r="Q2" s="504" t="s">
        <v>259</v>
      </c>
      <c r="R2" s="504" t="s">
        <v>260</v>
      </c>
      <c r="S2" s="504" t="s">
        <v>261</v>
      </c>
      <c r="T2" s="504" t="s">
        <v>262</v>
      </c>
      <c r="U2" s="504" t="s">
        <v>263</v>
      </c>
      <c r="V2" s="504" t="s">
        <v>264</v>
      </c>
      <c r="W2" s="504" t="s">
        <v>265</v>
      </c>
      <c r="X2" s="497"/>
      <c r="Y2" s="498" t="s">
        <v>267</v>
      </c>
      <c r="Z2" s="498" t="s">
        <v>219</v>
      </c>
      <c r="AA2" s="498" t="s">
        <v>220</v>
      </c>
      <c r="AB2" s="499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507"/>
      <c r="F3" s="506"/>
      <c r="G3" s="321" t="s">
        <v>31</v>
      </c>
      <c r="H3" s="322" t="s">
        <v>126</v>
      </c>
      <c r="I3" s="323" t="s">
        <v>272</v>
      </c>
      <c r="J3" s="512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497"/>
      <c r="Y3" s="498"/>
      <c r="Z3" s="498"/>
      <c r="AA3" s="498"/>
      <c r="AB3" s="499"/>
    </row>
    <row r="4" spans="2:28">
      <c r="B4" s="324"/>
      <c r="C4" s="324" t="str">
        <f>'Динамика финансы'!B9</f>
        <v>06-12.10 очки</v>
      </c>
      <c r="D4" s="324">
        <f>'Динамика финансы'!C9</f>
        <v>0</v>
      </c>
      <c r="E4" s="324">
        <f>'Динамика финансы'!D9</f>
        <v>0</v>
      </c>
      <c r="F4" s="324">
        <f>'Динамика финансы'!E9</f>
        <v>4879.7506250000079</v>
      </c>
      <c r="G4" s="324">
        <f>'Динамика финансы'!I9</f>
        <v>24592</v>
      </c>
      <c r="H4" s="324">
        <f>'Динамика финансы'!J9</f>
        <v>-1200</v>
      </c>
      <c r="I4" s="324">
        <f>'Динамика финансы'!K9</f>
        <v>23392</v>
      </c>
      <c r="J4" s="324">
        <f>'Динамика финансы'!L9</f>
        <v>3597.5199999999995</v>
      </c>
      <c r="K4" s="324">
        <f>'Динамика финансы'!M9</f>
        <v>2096</v>
      </c>
      <c r="L4" s="324">
        <f>'Динамика финансы'!N9</f>
        <v>6111.53</v>
      </c>
      <c r="M4" s="324">
        <f>'Динамика финансы'!O9</f>
        <v>0</v>
      </c>
      <c r="N4" s="324">
        <f>'Динамика финансы'!P9</f>
        <v>0</v>
      </c>
      <c r="O4" s="324">
        <f>'Динамика финансы'!Q9</f>
        <v>0</v>
      </c>
      <c r="P4" s="324">
        <f>'Динамика финансы'!R9</f>
        <v>24488.769374999996</v>
      </c>
      <c r="Q4" s="324">
        <f>'Динамика финансы'!S9</f>
        <v>10</v>
      </c>
      <c r="R4" s="324">
        <f>'Динамика финансы'!T9</f>
        <v>1805.95</v>
      </c>
      <c r="S4" s="324">
        <f>'Динамика финансы'!U9</f>
        <v>0</v>
      </c>
      <c r="T4" s="324">
        <f>'Динамика финансы'!V9</f>
        <v>0</v>
      </c>
      <c r="U4" s="324">
        <f>'Динамика финансы'!W9</f>
        <v>16000</v>
      </c>
      <c r="V4" s="324">
        <f>'Динамика финансы'!X9</f>
        <v>233.92000000000002</v>
      </c>
      <c r="W4" s="324">
        <f>'Динамика финансы'!Y9</f>
        <v>1048.3106250000073</v>
      </c>
      <c r="X4" s="325"/>
      <c r="Y4" s="326">
        <f>'Динамика финансы'!AA9</f>
        <v>0.15379274965800271</v>
      </c>
      <c r="Z4" s="326">
        <f>'Динамика финансы'!AB9</f>
        <v>0.29139813677200055</v>
      </c>
      <c r="AA4" s="326">
        <f>'Динамика финансы'!AC9</f>
        <v>4.4814920699384718E-2</v>
      </c>
      <c r="AB4" s="326">
        <f>'Динамика финансы'!AD9</f>
        <v>1.0468865156891243</v>
      </c>
    </row>
    <row r="5" spans="2:28">
      <c r="B5" s="324"/>
      <c r="C5" s="324" t="str">
        <f>'Динамика финансы'!B10</f>
        <v>06-12.10 туники</v>
      </c>
      <c r="D5" s="324">
        <f>'Динамика финансы'!C10</f>
        <v>0</v>
      </c>
      <c r="E5" s="324">
        <f>'Динамика финансы'!D10</f>
        <v>0</v>
      </c>
      <c r="F5" s="324">
        <f>'Динамика финансы'!E10</f>
        <v>11379.979374999995</v>
      </c>
      <c r="G5" s="324">
        <f>'Динамика финансы'!I10</f>
        <v>48220</v>
      </c>
      <c r="H5" s="324">
        <f>'Динамика финансы'!J10</f>
        <v>-3690</v>
      </c>
      <c r="I5" s="324">
        <f>'Динамика финансы'!K10</f>
        <v>44530</v>
      </c>
      <c r="J5" s="324">
        <f>'Динамика финансы'!L10</f>
        <v>9495</v>
      </c>
      <c r="K5" s="324">
        <f>'Динамика финансы'!M10</f>
        <v>3416</v>
      </c>
      <c r="L5" s="324">
        <f>'Динамика финансы'!N10</f>
        <v>10687.2</v>
      </c>
      <c r="M5" s="324">
        <f>'Динамика финансы'!O10</f>
        <v>0</v>
      </c>
      <c r="N5" s="324">
        <f>'Динамика финансы'!P10</f>
        <v>0</v>
      </c>
      <c r="O5" s="324">
        <f>'Динамика финансы'!Q10</f>
        <v>0</v>
      </c>
      <c r="P5" s="324">
        <f>'Динамика финансы'!R10</f>
        <v>19046.820625</v>
      </c>
      <c r="Q5" s="324">
        <f>'Динамика финансы'!S10</f>
        <v>0</v>
      </c>
      <c r="R5" s="324">
        <f>'Динамика финансы'!T10</f>
        <v>0</v>
      </c>
      <c r="S5" s="324">
        <f>'Динамика финансы'!U10</f>
        <v>0</v>
      </c>
      <c r="T5" s="324">
        <f>'Динамика финансы'!V10</f>
        <v>0</v>
      </c>
      <c r="U5" s="324">
        <f>'Динамика финансы'!W10</f>
        <v>0</v>
      </c>
      <c r="V5" s="324">
        <f>'Динамика финансы'!X10</f>
        <v>445.3</v>
      </c>
      <c r="W5" s="324">
        <f>'Динамика финансы'!Y10</f>
        <v>1439.6793749999954</v>
      </c>
      <c r="X5" s="325"/>
      <c r="Y5" s="326">
        <f>'Динамика финансы'!AA10</f>
        <v>0.21322703795194251</v>
      </c>
      <c r="Z5" s="326">
        <f>'Динамика финансы'!AB10</f>
        <v>0.15162499999999951</v>
      </c>
      <c r="AA5" s="326">
        <f>'Динамика финансы'!AC10</f>
        <v>3.2330549629463183E-2</v>
      </c>
      <c r="AB5" s="326">
        <f>'Динамика финансы'!AD10</f>
        <v>0.42773008365147092</v>
      </c>
    </row>
    <row r="6" spans="2:28">
      <c r="B6" s="324"/>
      <c r="C6" s="324"/>
      <c r="D6" s="324"/>
      <c r="E6" s="324"/>
      <c r="F6" s="327">
        <f>F4+F5</f>
        <v>16259.730000000003</v>
      </c>
      <c r="G6" s="327">
        <f t="shared" ref="G6:W6" si="0">G4+G5</f>
        <v>72812</v>
      </c>
      <c r="H6" s="327">
        <f t="shared" si="0"/>
        <v>-4890</v>
      </c>
      <c r="I6" s="327">
        <f t="shared" si="0"/>
        <v>67922</v>
      </c>
      <c r="J6" s="327">
        <f t="shared" si="0"/>
        <v>13092.52</v>
      </c>
      <c r="K6" s="327">
        <f t="shared" si="0"/>
        <v>5512</v>
      </c>
      <c r="L6" s="327">
        <f t="shared" si="0"/>
        <v>16798.73</v>
      </c>
      <c r="M6" s="327">
        <f t="shared" si="0"/>
        <v>0</v>
      </c>
      <c r="N6" s="327">
        <f t="shared" si="0"/>
        <v>0</v>
      </c>
      <c r="O6" s="327">
        <f t="shared" si="0"/>
        <v>0</v>
      </c>
      <c r="P6" s="327">
        <f t="shared" si="0"/>
        <v>43535.59</v>
      </c>
      <c r="Q6" s="327">
        <f t="shared" si="0"/>
        <v>10</v>
      </c>
      <c r="R6" s="327">
        <f t="shared" si="0"/>
        <v>1805.95</v>
      </c>
      <c r="S6" s="327">
        <f t="shared" si="0"/>
        <v>0</v>
      </c>
      <c r="T6" s="327">
        <f t="shared" si="0"/>
        <v>0</v>
      </c>
      <c r="U6" s="327">
        <f t="shared" si="0"/>
        <v>16000</v>
      </c>
      <c r="V6" s="327">
        <f t="shared" si="0"/>
        <v>679.22</v>
      </c>
      <c r="W6" s="327">
        <f t="shared" si="0"/>
        <v>2487.9900000000025</v>
      </c>
      <c r="X6" s="325"/>
      <c r="Y6" s="326"/>
      <c r="Z6" s="326"/>
      <c r="AA6" s="326"/>
      <c r="AB6" s="326"/>
    </row>
    <row r="7" spans="2:28">
      <c r="B7" s="328"/>
      <c r="C7" s="328"/>
      <c r="D7" s="328"/>
      <c r="E7" s="328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9"/>
      <c r="Z7" s="329"/>
      <c r="AA7" s="329"/>
      <c r="AB7" s="330"/>
    </row>
    <row r="8" spans="2:28" ht="15" thickBot="1"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</row>
    <row r="9" spans="2:28" ht="16" thickBot="1">
      <c r="B9" s="332"/>
      <c r="C9" s="500" t="s">
        <v>763</v>
      </c>
      <c r="D9" s="501"/>
      <c r="E9" s="501"/>
      <c r="F9" s="501"/>
      <c r="G9" s="333" t="s">
        <v>182</v>
      </c>
      <c r="H9" s="502"/>
      <c r="I9" s="502"/>
      <c r="J9" s="502"/>
      <c r="K9" s="502"/>
      <c r="L9" s="502"/>
      <c r="M9" s="503"/>
      <c r="N9" s="331"/>
    </row>
    <row r="10" spans="2:28" ht="15" thickBot="1">
      <c r="B10" s="332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90" t="s">
        <v>294</v>
      </c>
      <c r="D11" s="491"/>
      <c r="E11" s="491"/>
      <c r="F11" s="491"/>
      <c r="G11" s="492"/>
      <c r="H11" s="331"/>
      <c r="I11" s="493" t="s">
        <v>304</v>
      </c>
      <c r="J11" s="494"/>
      <c r="K11" s="494"/>
      <c r="L11" s="494"/>
      <c r="M11" s="495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353" t="s">
        <v>32</v>
      </c>
      <c r="D13" s="354"/>
      <c r="E13" s="334">
        <f>I4</f>
        <v>23392</v>
      </c>
      <c r="F13" s="335" t="s">
        <v>764</v>
      </c>
      <c r="G13" s="355">
        <f>'Динамика финансы'!K121</f>
        <v>-0.1722283166424855</v>
      </c>
      <c r="H13" s="331"/>
      <c r="I13" s="353" t="s">
        <v>32</v>
      </c>
      <c r="J13" s="354"/>
      <c r="K13" s="334">
        <f>I4</f>
        <v>23392</v>
      </c>
      <c r="L13" s="335" t="s">
        <v>764</v>
      </c>
      <c r="M13" s="355">
        <f>'Динамика финансы'!K122</f>
        <v>0.10606060606060597</v>
      </c>
      <c r="N13" s="331"/>
    </row>
    <row r="14" spans="2:28" ht="16" thickBot="1">
      <c r="B14" s="332"/>
      <c r="C14" s="356" t="s">
        <v>212</v>
      </c>
      <c r="D14" s="357"/>
      <c r="E14" s="339">
        <f>W4</f>
        <v>1048.3106250000073</v>
      </c>
      <c r="F14" s="340" t="s">
        <v>764</v>
      </c>
      <c r="G14" s="358">
        <f>'Динамика финансы'!Y121</f>
        <v>1.1596891997493675</v>
      </c>
      <c r="H14" s="331"/>
      <c r="I14" s="356" t="s">
        <v>212</v>
      </c>
      <c r="J14" s="357"/>
      <c r="K14" s="339">
        <f>W5</f>
        <v>1439.6793749999954</v>
      </c>
      <c r="L14" s="340" t="s">
        <v>764</v>
      </c>
      <c r="M14" s="358">
        <f>'Динамика финансы'!Y122</f>
        <v>-0.86174149360764174</v>
      </c>
      <c r="N14" s="331"/>
    </row>
    <row r="15" spans="2:28" ht="16" thickBot="1">
      <c r="B15" s="332"/>
      <c r="C15" s="363" t="s">
        <v>205</v>
      </c>
      <c r="D15" s="359"/>
      <c r="E15" s="341">
        <f>J4</f>
        <v>3597.5199999999995</v>
      </c>
      <c r="F15" s="342" t="s">
        <v>764</v>
      </c>
      <c r="G15" s="358">
        <f>'Динамика финансы'!L121</f>
        <v>-0.34891111758626991</v>
      </c>
      <c r="H15" s="331"/>
      <c r="I15" s="363" t="s">
        <v>205</v>
      </c>
      <c r="J15" s="359"/>
      <c r="K15" s="341">
        <f>J5</f>
        <v>9495</v>
      </c>
      <c r="L15" s="342" t="s">
        <v>764</v>
      </c>
      <c r="M15" s="358">
        <f>'Динамика финансы'!L122</f>
        <v>1.7357762777242103E-2</v>
      </c>
      <c r="N15" s="331"/>
    </row>
    <row r="16" spans="2:28" ht="26.5" thickBot="1">
      <c r="B16" s="332"/>
      <c r="C16" s="331"/>
      <c r="D16" s="331"/>
      <c r="E16" s="331"/>
      <c r="F16" s="331"/>
      <c r="G16" s="343" t="s">
        <v>766</v>
      </c>
      <c r="H16" s="331"/>
      <c r="I16" s="331"/>
      <c r="J16" s="331"/>
      <c r="K16" s="331"/>
      <c r="L16" s="331"/>
      <c r="M16" s="343" t="s">
        <v>766</v>
      </c>
      <c r="N16" s="331"/>
    </row>
    <row r="17" spans="2:14" ht="16" thickBot="1">
      <c r="B17" s="332"/>
      <c r="C17" s="496" t="s">
        <v>29</v>
      </c>
      <c r="D17" s="496"/>
      <c r="E17" s="344">
        <f>K4</f>
        <v>2096</v>
      </c>
      <c r="F17" s="345" t="s">
        <v>764</v>
      </c>
      <c r="G17" s="346">
        <f>'Динамика финансы'!M118</f>
        <v>8.9603283173734616E-2</v>
      </c>
      <c r="H17" s="331"/>
      <c r="I17" s="496" t="s">
        <v>29</v>
      </c>
      <c r="J17" s="496"/>
      <c r="K17" s="344">
        <f>K5</f>
        <v>3416</v>
      </c>
      <c r="L17" s="345" t="s">
        <v>764</v>
      </c>
      <c r="M17" s="346">
        <f>'Динамика финансы'!M119</f>
        <v>7.6712328767123292E-2</v>
      </c>
      <c r="N17" s="331"/>
    </row>
    <row r="18" spans="2:14" ht="16" thickBot="1">
      <c r="B18" s="332"/>
      <c r="C18" s="496" t="s">
        <v>208</v>
      </c>
      <c r="D18" s="496"/>
      <c r="E18" s="344">
        <f>P4</f>
        <v>24488.769374999996</v>
      </c>
      <c r="F18" s="345" t="s">
        <v>764</v>
      </c>
      <c r="G18" s="346">
        <f>'Динамика финансы'!R118</f>
        <v>1.0468865156891243</v>
      </c>
      <c r="H18" s="331"/>
      <c r="I18" s="496" t="s">
        <v>208</v>
      </c>
      <c r="J18" s="496"/>
      <c r="K18" s="344">
        <f>P5</f>
        <v>19046.820625</v>
      </c>
      <c r="L18" s="345" t="s">
        <v>764</v>
      </c>
      <c r="M18" s="346">
        <f>'Динамика финансы'!R119</f>
        <v>0.42773008365147092</v>
      </c>
      <c r="N18" s="331"/>
    </row>
    <row r="19" spans="2:14" ht="15" thickBot="1">
      <c r="B19" s="332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</row>
    <row r="20" spans="2:14" ht="16" thickBot="1">
      <c r="B20" s="332"/>
      <c r="C20" s="488" t="s">
        <v>126</v>
      </c>
      <c r="D20" s="488"/>
      <c r="E20" s="347">
        <f>H4</f>
        <v>-1200</v>
      </c>
      <c r="F20" s="348" t="s">
        <v>764</v>
      </c>
      <c r="G20" s="349">
        <f>'Динамика финансы'!J118</f>
        <v>4.8796356538711776E-2</v>
      </c>
      <c r="H20" s="331"/>
      <c r="I20" s="488" t="s">
        <v>126</v>
      </c>
      <c r="J20" s="488"/>
      <c r="K20" s="347">
        <f>H5</f>
        <v>-3690</v>
      </c>
      <c r="L20" s="348" t="s">
        <v>764</v>
      </c>
      <c r="M20" s="346">
        <f>'Динамика финансы'!J119</f>
        <v>7.6524263790958114E-2</v>
      </c>
      <c r="N20" s="331"/>
    </row>
    <row r="21" spans="2:14" ht="15.5">
      <c r="B21" s="332"/>
      <c r="C21" s="489" t="s">
        <v>311</v>
      </c>
      <c r="D21" s="489"/>
      <c r="E21" s="360">
        <f>L4</f>
        <v>6111.53</v>
      </c>
      <c r="F21" s="361" t="s">
        <v>764</v>
      </c>
      <c r="G21" s="362">
        <f>'Динамика финансы'!N118</f>
        <v>0.261265817373461</v>
      </c>
      <c r="H21" s="331"/>
      <c r="I21" s="489" t="s">
        <v>311</v>
      </c>
      <c r="J21" s="489"/>
      <c r="K21" s="360">
        <f>L5</f>
        <v>10687.2</v>
      </c>
      <c r="L21" s="361" t="s">
        <v>764</v>
      </c>
      <c r="M21" s="362">
        <f>'Динамика финансы'!N119</f>
        <v>0.24000000000000002</v>
      </c>
      <c r="N21" s="331"/>
    </row>
    <row r="22" spans="2:14">
      <c r="B22" s="332"/>
      <c r="C22" s="331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</row>
    <row r="23" spans="2:14" ht="15.5">
      <c r="B23" s="332"/>
      <c r="C23" s="331"/>
      <c r="D23" s="331"/>
      <c r="E23" s="482" t="s">
        <v>312</v>
      </c>
      <c r="F23" s="483"/>
      <c r="G23" s="350">
        <f>Z4</f>
        <v>0.29139813677200055</v>
      </c>
      <c r="H23" s="331"/>
      <c r="I23" s="331"/>
      <c r="J23" s="331"/>
      <c r="K23" s="482" t="s">
        <v>312</v>
      </c>
      <c r="L23" s="483"/>
      <c r="M23" s="350">
        <f>Z5</f>
        <v>0.15162499999999951</v>
      </c>
      <c r="N23" s="331"/>
    </row>
    <row r="24" spans="2:14" ht="15.5">
      <c r="B24" s="332"/>
      <c r="C24" s="331"/>
      <c r="D24" s="331"/>
      <c r="E24" s="482" t="s">
        <v>313</v>
      </c>
      <c r="F24" s="483"/>
      <c r="G24" s="350">
        <f>AA4</f>
        <v>4.4814920699384718E-2</v>
      </c>
      <c r="H24" s="331"/>
      <c r="I24" s="331"/>
      <c r="J24" s="331"/>
      <c r="K24" s="482" t="s">
        <v>313</v>
      </c>
      <c r="L24" s="483"/>
      <c r="M24" s="350">
        <f>AA5</f>
        <v>3.2330549629463183E-2</v>
      </c>
      <c r="N24" s="331"/>
    </row>
    <row r="25" spans="2:14" ht="15.5">
      <c r="B25" s="332"/>
      <c r="C25" s="331"/>
      <c r="D25" s="331"/>
      <c r="E25" s="484" t="s">
        <v>767</v>
      </c>
      <c r="F25" s="485"/>
      <c r="G25" s="350">
        <f>Y4</f>
        <v>0.15379274965800271</v>
      </c>
      <c r="H25" s="331"/>
      <c r="I25" s="331"/>
      <c r="J25" s="331"/>
      <c r="K25" s="484" t="s">
        <v>767</v>
      </c>
      <c r="L25" s="485"/>
      <c r="M25" s="350">
        <f>Y5</f>
        <v>0.21322703795194251</v>
      </c>
      <c r="N25" s="331"/>
    </row>
    <row r="26" spans="2:14">
      <c r="B26" s="332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</row>
    <row r="27" spans="2:14" ht="15.5">
      <c r="B27" s="332"/>
      <c r="C27" s="331"/>
      <c r="D27" s="331"/>
      <c r="E27" s="331"/>
      <c r="F27" s="486" t="s">
        <v>765</v>
      </c>
      <c r="G27" s="487"/>
      <c r="H27" s="336">
        <f>'Юнит 06-12.10'!I49</f>
        <v>658278.98</v>
      </c>
      <c r="I27" s="337" t="s">
        <v>764</v>
      </c>
      <c r="J27" s="338"/>
      <c r="K27" s="331"/>
      <c r="L27" s="331"/>
      <c r="M27" s="331"/>
      <c r="N27" s="331"/>
    </row>
    <row r="28" spans="2:14" ht="15" thickBot="1">
      <c r="B28" s="351"/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</row>
  </sheetData>
  <mergeCells count="42">
    <mergeCell ref="F27:G27"/>
    <mergeCell ref="H9:M9"/>
    <mergeCell ref="E23:F23"/>
    <mergeCell ref="K23:L23"/>
    <mergeCell ref="E24:F24"/>
    <mergeCell ref="K24:L24"/>
    <mergeCell ref="E25:F25"/>
    <mergeCell ref="K25:L25"/>
    <mergeCell ref="C11:G11"/>
    <mergeCell ref="I11:M11"/>
    <mergeCell ref="C17:D17"/>
    <mergeCell ref="I17:J17"/>
    <mergeCell ref="C9:F9"/>
    <mergeCell ref="C18:D18"/>
    <mergeCell ref="I18:J18"/>
    <mergeCell ref="C20:D20"/>
    <mergeCell ref="I20:J20"/>
    <mergeCell ref="C21:D21"/>
    <mergeCell ref="I21:J21"/>
    <mergeCell ref="X2:X3"/>
    <mergeCell ref="Y2:Y3"/>
    <mergeCell ref="K2:K3"/>
    <mergeCell ref="B2:D2"/>
    <mergeCell ref="E2:E3"/>
    <mergeCell ref="F2:F3"/>
    <mergeCell ref="G2:I2"/>
    <mergeCell ref="J2:J3"/>
    <mergeCell ref="Z2:Z3"/>
    <mergeCell ref="AA2:AA3"/>
    <mergeCell ref="AB2:AB3"/>
    <mergeCell ref="W2:W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</mergeCells>
  <conditionalFormatting sqref="I3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{F433CA33-EAFF-43F0-AEB5-E5E103116D76}</x14:id>
        </ext>
      </extLst>
    </cfRule>
  </conditionalFormatting>
  <conditionalFormatting sqref="G13">
    <cfRule type="cellIs" dxfId="406" priority="7" operator="greaterThan">
      <formula>0</formula>
    </cfRule>
    <cfRule type="cellIs" dxfId="405" priority="8" operator="lessThanOrEqual">
      <formula>0</formula>
    </cfRule>
  </conditionalFormatting>
  <conditionalFormatting sqref="G14:G15">
    <cfRule type="cellIs" dxfId="404" priority="5" operator="greaterThan">
      <formula>0</formula>
    </cfRule>
    <cfRule type="cellIs" dxfId="403" priority="6" operator="lessThanOrEqual">
      <formula>0</formula>
    </cfRule>
  </conditionalFormatting>
  <conditionalFormatting sqref="M13">
    <cfRule type="cellIs" dxfId="402" priority="3" operator="greaterThan">
      <formula>0</formula>
    </cfRule>
    <cfRule type="cellIs" dxfId="401" priority="4" operator="lessThanOrEqual">
      <formula>0</formula>
    </cfRule>
  </conditionalFormatting>
  <conditionalFormatting sqref="M14:M15">
    <cfRule type="cellIs" dxfId="400" priority="1" operator="greaterThan">
      <formula>0</formula>
    </cfRule>
    <cfRule type="cellIs" dxfId="399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33CA33-EAFF-43F0-AEB5-E5E103116D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0DBA-D9A4-4CB5-A5BE-CCF0401F57CC}">
  <dimension ref="B2:AB28"/>
  <sheetViews>
    <sheetView zoomScale="70" zoomScaleNormal="70" workbookViewId="0">
      <selection activeCell="E13" sqref="E13"/>
    </sheetView>
  </sheetViews>
  <sheetFormatPr defaultRowHeight="14.5"/>
  <cols>
    <col min="1" max="1" width="3.08984375" customWidth="1"/>
    <col min="3" max="3" width="14.1796875" customWidth="1"/>
    <col min="4" max="4" width="9.26953125" customWidth="1"/>
    <col min="5" max="5" width="15.54296875" customWidth="1"/>
    <col min="6" max="6" width="13.90625" customWidth="1"/>
    <col min="7" max="7" width="13.54296875" customWidth="1"/>
    <col min="8" max="8" width="13.453125" customWidth="1"/>
    <col min="9" max="9" width="13.08984375" customWidth="1"/>
    <col min="10" max="10" width="13.90625" customWidth="1"/>
    <col min="11" max="11" width="13.7265625" customWidth="1"/>
    <col min="12" max="12" width="11.26953125" customWidth="1"/>
    <col min="13" max="13" width="11.7265625" customWidth="1"/>
    <col min="14" max="14" width="11.453125" customWidth="1"/>
    <col min="15" max="21" width="11.26953125" customWidth="1"/>
    <col min="23" max="23" width="11.26953125" customWidth="1"/>
    <col min="24" max="24" width="3.7265625" customWidth="1"/>
    <col min="25" max="25" width="14.90625" customWidth="1"/>
    <col min="26" max="26" width="17.08984375" customWidth="1"/>
    <col min="27" max="27" width="16.6328125" customWidth="1"/>
  </cols>
  <sheetData>
    <row r="2" spans="2:28">
      <c r="B2" s="506" t="s">
        <v>251</v>
      </c>
      <c r="C2" s="506"/>
      <c r="D2" s="506"/>
      <c r="E2" s="507" t="s">
        <v>252</v>
      </c>
      <c r="F2" s="506" t="s">
        <v>253</v>
      </c>
      <c r="G2" s="508" t="s">
        <v>32</v>
      </c>
      <c r="H2" s="509"/>
      <c r="I2" s="510"/>
      <c r="J2" s="511" t="s">
        <v>205</v>
      </c>
      <c r="K2" s="504" t="s">
        <v>29</v>
      </c>
      <c r="L2" s="504" t="s">
        <v>311</v>
      </c>
      <c r="M2" s="504" t="s">
        <v>256</v>
      </c>
      <c r="N2" s="504" t="s">
        <v>257</v>
      </c>
      <c r="O2" s="504" t="s">
        <v>210</v>
      </c>
      <c r="P2" s="504" t="s">
        <v>258</v>
      </c>
      <c r="Q2" s="504" t="s">
        <v>259</v>
      </c>
      <c r="R2" s="504" t="s">
        <v>260</v>
      </c>
      <c r="S2" s="504" t="s">
        <v>261</v>
      </c>
      <c r="T2" s="504" t="s">
        <v>262</v>
      </c>
      <c r="U2" s="504" t="s">
        <v>263</v>
      </c>
      <c r="V2" s="504" t="s">
        <v>264</v>
      </c>
      <c r="W2" s="504" t="s">
        <v>265</v>
      </c>
      <c r="X2" s="497"/>
      <c r="Y2" s="498" t="s">
        <v>267</v>
      </c>
      <c r="Z2" s="498" t="s">
        <v>219</v>
      </c>
      <c r="AA2" s="498" t="s">
        <v>220</v>
      </c>
      <c r="AB2" s="499" t="s">
        <v>268</v>
      </c>
    </row>
    <row r="3" spans="2:28">
      <c r="B3" s="319" t="s">
        <v>269</v>
      </c>
      <c r="C3" s="319" t="s">
        <v>270</v>
      </c>
      <c r="D3" s="320" t="s">
        <v>271</v>
      </c>
      <c r="E3" s="507"/>
      <c r="F3" s="506"/>
      <c r="G3" s="321" t="s">
        <v>31</v>
      </c>
      <c r="H3" s="322" t="s">
        <v>126</v>
      </c>
      <c r="I3" s="323" t="s">
        <v>272</v>
      </c>
      <c r="J3" s="512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497"/>
      <c r="Y3" s="498"/>
      <c r="Z3" s="498"/>
      <c r="AA3" s="498"/>
      <c r="AB3" s="499"/>
    </row>
    <row r="4" spans="2:28">
      <c r="B4" s="324"/>
      <c r="C4" s="324" t="str">
        <f>'Динамика финансы'!B7</f>
        <v>01-05.10 очки</v>
      </c>
      <c r="D4" s="324">
        <f>'Динамика финансы'!C7</f>
        <v>0</v>
      </c>
      <c r="E4" s="324">
        <f>'Динамика финансы'!D7</f>
        <v>0</v>
      </c>
      <c r="F4" s="324">
        <f>'Динамика финансы'!E7</f>
        <v>-756.71333333333678</v>
      </c>
      <c r="G4" s="324">
        <f>'Динамика финансы'!I7</f>
        <v>32663.999999999996</v>
      </c>
      <c r="H4" s="324">
        <f>'Динамика финансы'!J7</f>
        <v>-4405</v>
      </c>
      <c r="I4" s="324">
        <f>'Динамика финансы'!K7</f>
        <v>28258.999999999996</v>
      </c>
      <c r="J4" s="324">
        <f>'Динамика финансы'!L7</f>
        <v>5525.3899999999994</v>
      </c>
      <c r="K4" s="324">
        <f>'Динамика финансы'!M7</f>
        <v>2442</v>
      </c>
      <c r="L4" s="324">
        <f>'Динамика финансы'!N7</f>
        <v>7126.96</v>
      </c>
      <c r="M4" s="324">
        <f>'Динамика финансы'!O7</f>
        <v>0</v>
      </c>
      <c r="N4" s="324">
        <f>'Динамика финансы'!P7</f>
        <v>0</v>
      </c>
      <c r="O4" s="324">
        <f>'Динамика финансы'!Q7</f>
        <v>0</v>
      </c>
      <c r="P4" s="324">
        <f>'Динамика финансы'!R7</f>
        <v>18098.093333333334</v>
      </c>
      <c r="Q4" s="324">
        <f>'Динамика финансы'!S7</f>
        <v>10</v>
      </c>
      <c r="R4" s="324">
        <f>'Динамика финансы'!T7</f>
        <v>1338.66</v>
      </c>
      <c r="S4" s="324">
        <f>'Динамика финансы'!U7</f>
        <v>0</v>
      </c>
      <c r="T4" s="324">
        <f>'Динамика финансы'!V7</f>
        <v>0</v>
      </c>
      <c r="U4" s="324">
        <f>'Динамика финансы'!W7</f>
        <v>0</v>
      </c>
      <c r="V4" s="324">
        <f>'Динамика финансы'!X7</f>
        <v>282.58999999999997</v>
      </c>
      <c r="W4" s="324">
        <f>'Динамика финансы'!Y7</f>
        <v>-6564.6933333333363</v>
      </c>
      <c r="X4" s="325"/>
      <c r="Y4" s="326">
        <f>'Динамика финансы'!AA7</f>
        <v>0.19552673484553593</v>
      </c>
      <c r="Z4" s="326">
        <f>'Динамика финансы'!AB7</f>
        <v>-1.1880959232440311</v>
      </c>
      <c r="AA4" s="326">
        <f>'Динамика финансы'!AC7</f>
        <v>-0.2323045165551979</v>
      </c>
      <c r="AB4" s="326">
        <f>'Динамика финансы'!AD7</f>
        <v>0.64043643912853732</v>
      </c>
    </row>
    <row r="5" spans="2:28">
      <c r="B5" s="324"/>
      <c r="C5" s="324" t="str">
        <f>'Динамика финансы'!B8</f>
        <v>01-05.10 туники</v>
      </c>
      <c r="D5" s="324">
        <f>'Динамика финансы'!C8</f>
        <v>0</v>
      </c>
      <c r="E5" s="324">
        <f>'Динамика финансы'!D8</f>
        <v>0</v>
      </c>
      <c r="F5" s="324">
        <f>'Динамика финансы'!E8</f>
        <v>20148.553333333333</v>
      </c>
      <c r="G5" s="324">
        <f>'Динамика финансы'!I8</f>
        <v>43950</v>
      </c>
      <c r="H5" s="324">
        <f>'Динамика финансы'!J8</f>
        <v>-3690</v>
      </c>
      <c r="I5" s="324">
        <f>'Динамика финансы'!K8</f>
        <v>40260</v>
      </c>
      <c r="J5" s="324">
        <f>'Динамика финансы'!L8</f>
        <v>9333</v>
      </c>
      <c r="K5" s="324">
        <f>'Динамика финансы'!M8</f>
        <v>1400</v>
      </c>
      <c r="L5" s="324">
        <f>'Динамика финансы'!N8</f>
        <v>9662.4</v>
      </c>
      <c r="M5" s="324">
        <f>'Динамика финансы'!O8</f>
        <v>0</v>
      </c>
      <c r="N5" s="324">
        <f>'Динамика финансы'!P8</f>
        <v>0</v>
      </c>
      <c r="O5" s="324">
        <f>'Динамика финансы'!Q8</f>
        <v>0</v>
      </c>
      <c r="P5" s="324">
        <f>'Динамика финансы'!R8</f>
        <v>9049.0466666666671</v>
      </c>
      <c r="Q5" s="324">
        <f>'Динамика финансы'!S8</f>
        <v>0</v>
      </c>
      <c r="R5" s="324">
        <f>'Динамика финансы'!T8</f>
        <v>0</v>
      </c>
      <c r="S5" s="324">
        <f>'Динамика финансы'!U8</f>
        <v>0</v>
      </c>
      <c r="T5" s="324">
        <f>'Динамика финансы'!V8</f>
        <v>0</v>
      </c>
      <c r="U5" s="324">
        <f>'Динамика финансы'!W8</f>
        <v>0</v>
      </c>
      <c r="V5" s="324">
        <f>'Динамика финансы'!X8</f>
        <v>402.6</v>
      </c>
      <c r="W5" s="324">
        <f>'Динамика финансы'!Y8</f>
        <v>10412.953333333333</v>
      </c>
      <c r="X5" s="325"/>
      <c r="Y5" s="326">
        <f>'Динамика финансы'!AA8</f>
        <v>0.23181818181818181</v>
      </c>
      <c r="Z5" s="326">
        <f>'Динамика финансы'!AB8</f>
        <v>1.1157134183363691</v>
      </c>
      <c r="AA5" s="326">
        <f>'Динамика финансы'!AC8</f>
        <v>0.25864265606888559</v>
      </c>
      <c r="AB5" s="326">
        <f>'Динамика финансы'!AD8</f>
        <v>0.22476519291273392</v>
      </c>
    </row>
    <row r="6" spans="2:28">
      <c r="B6" s="324"/>
      <c r="C6" s="324"/>
      <c r="D6" s="324"/>
      <c r="E6" s="324"/>
      <c r="F6" s="327">
        <f>F4+F5</f>
        <v>19391.839999999997</v>
      </c>
      <c r="G6" s="327">
        <f t="shared" ref="G6:W6" si="0">G4+G5</f>
        <v>76614</v>
      </c>
      <c r="H6" s="327">
        <f t="shared" si="0"/>
        <v>-8095</v>
      </c>
      <c r="I6" s="327">
        <f t="shared" si="0"/>
        <v>68519</v>
      </c>
      <c r="J6" s="327">
        <f t="shared" si="0"/>
        <v>14858.39</v>
      </c>
      <c r="K6" s="327">
        <f t="shared" si="0"/>
        <v>3842</v>
      </c>
      <c r="L6" s="327">
        <f t="shared" si="0"/>
        <v>16789.36</v>
      </c>
      <c r="M6" s="327">
        <f t="shared" si="0"/>
        <v>0</v>
      </c>
      <c r="N6" s="327">
        <f t="shared" si="0"/>
        <v>0</v>
      </c>
      <c r="O6" s="327">
        <f t="shared" si="0"/>
        <v>0</v>
      </c>
      <c r="P6" s="327">
        <f t="shared" si="0"/>
        <v>27147.14</v>
      </c>
      <c r="Q6" s="327">
        <f t="shared" si="0"/>
        <v>10</v>
      </c>
      <c r="R6" s="327">
        <f t="shared" si="0"/>
        <v>1338.66</v>
      </c>
      <c r="S6" s="327">
        <f t="shared" si="0"/>
        <v>0</v>
      </c>
      <c r="T6" s="327">
        <f t="shared" si="0"/>
        <v>0</v>
      </c>
      <c r="U6" s="327">
        <f t="shared" si="0"/>
        <v>0</v>
      </c>
      <c r="V6" s="327">
        <f t="shared" si="0"/>
        <v>685.19</v>
      </c>
      <c r="W6" s="327">
        <f t="shared" si="0"/>
        <v>3848.2599999999966</v>
      </c>
      <c r="X6" s="325"/>
      <c r="Y6" s="326"/>
      <c r="Z6" s="326"/>
      <c r="AA6" s="326"/>
      <c r="AB6" s="326"/>
    </row>
    <row r="7" spans="2:28">
      <c r="B7" s="328"/>
      <c r="C7" s="328"/>
      <c r="D7" s="328"/>
      <c r="E7" s="328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9"/>
      <c r="Z7" s="329"/>
      <c r="AA7" s="329"/>
      <c r="AB7" s="330"/>
    </row>
    <row r="8" spans="2:28" ht="15" thickBot="1">
      <c r="B8" s="331"/>
      <c r="C8" s="331"/>
      <c r="D8" s="331"/>
      <c r="E8" s="331"/>
      <c r="F8" s="331"/>
      <c r="G8" s="331"/>
      <c r="H8" s="331"/>
      <c r="I8" s="331"/>
      <c r="J8" s="331"/>
      <c r="K8" s="331"/>
      <c r="L8" s="331"/>
      <c r="M8" s="331"/>
      <c r="N8" s="331"/>
    </row>
    <row r="9" spans="2:28" ht="16" thickBot="1">
      <c r="B9" s="332"/>
      <c r="C9" s="500" t="s">
        <v>763</v>
      </c>
      <c r="D9" s="501"/>
      <c r="E9" s="501"/>
      <c r="F9" s="501"/>
      <c r="G9" s="333" t="s">
        <v>762</v>
      </c>
      <c r="H9" s="502"/>
      <c r="I9" s="502"/>
      <c r="J9" s="502"/>
      <c r="K9" s="502"/>
      <c r="L9" s="502"/>
      <c r="M9" s="503"/>
      <c r="N9" s="331"/>
    </row>
    <row r="10" spans="2:28" ht="15" thickBot="1">
      <c r="B10" s="332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</row>
    <row r="11" spans="2:28" ht="16" thickBot="1">
      <c r="B11" s="332"/>
      <c r="C11" s="490" t="s">
        <v>294</v>
      </c>
      <c r="D11" s="491"/>
      <c r="E11" s="491"/>
      <c r="F11" s="491"/>
      <c r="G11" s="492"/>
      <c r="H11" s="331"/>
      <c r="I11" s="493" t="s">
        <v>304</v>
      </c>
      <c r="J11" s="494"/>
      <c r="K11" s="494"/>
      <c r="L11" s="494"/>
      <c r="M11" s="495"/>
      <c r="N11" s="331"/>
    </row>
    <row r="12" spans="2:28" ht="15" thickBot="1">
      <c r="B12" s="332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1"/>
      <c r="N12" s="331"/>
    </row>
    <row r="13" spans="2:28" ht="16" thickBot="1">
      <c r="B13" s="332"/>
      <c r="C13" s="353" t="s">
        <v>32</v>
      </c>
      <c r="D13" s="354"/>
      <c r="E13" s="334">
        <f>I4</f>
        <v>28258.999999999996</v>
      </c>
      <c r="F13" s="335" t="s">
        <v>764</v>
      </c>
      <c r="G13" s="355"/>
      <c r="H13" s="331"/>
      <c r="I13" s="353" t="s">
        <v>32</v>
      </c>
      <c r="J13" s="354"/>
      <c r="K13" s="334">
        <f>I4</f>
        <v>28258.999999999996</v>
      </c>
      <c r="L13" s="335" t="s">
        <v>764</v>
      </c>
      <c r="M13" s="355"/>
      <c r="N13" s="331"/>
    </row>
    <row r="14" spans="2:28" ht="16" thickBot="1">
      <c r="B14" s="332"/>
      <c r="C14" s="356" t="s">
        <v>212</v>
      </c>
      <c r="D14" s="357"/>
      <c r="E14" s="339">
        <f>W4</f>
        <v>-6564.6933333333363</v>
      </c>
      <c r="F14" s="340" t="s">
        <v>764</v>
      </c>
      <c r="G14" s="358"/>
      <c r="H14" s="331"/>
      <c r="I14" s="356" t="s">
        <v>212</v>
      </c>
      <c r="J14" s="357"/>
      <c r="K14" s="339">
        <f>W5</f>
        <v>10412.953333333333</v>
      </c>
      <c r="L14" s="340" t="s">
        <v>764</v>
      </c>
      <c r="M14" s="358"/>
      <c r="N14" s="331"/>
    </row>
    <row r="15" spans="2:28" ht="16" thickBot="1">
      <c r="B15" s="332"/>
      <c r="C15" s="363" t="s">
        <v>205</v>
      </c>
      <c r="D15" s="359"/>
      <c r="E15" s="341">
        <f>J4</f>
        <v>5525.3899999999994</v>
      </c>
      <c r="F15" s="342" t="s">
        <v>764</v>
      </c>
      <c r="G15" s="358"/>
      <c r="H15" s="331"/>
      <c r="I15" s="363" t="s">
        <v>205</v>
      </c>
      <c r="J15" s="359"/>
      <c r="K15" s="341">
        <f>J5</f>
        <v>9333</v>
      </c>
      <c r="L15" s="342" t="s">
        <v>764</v>
      </c>
      <c r="M15" s="358"/>
      <c r="N15" s="331"/>
    </row>
    <row r="16" spans="2:28" ht="26.5" thickBot="1">
      <c r="B16" s="332"/>
      <c r="C16" s="331"/>
      <c r="D16" s="331"/>
      <c r="E16" s="331"/>
      <c r="F16" s="331"/>
      <c r="G16" s="343" t="s">
        <v>766</v>
      </c>
      <c r="H16" s="331"/>
      <c r="I16" s="331"/>
      <c r="J16" s="331"/>
      <c r="K16" s="331"/>
      <c r="L16" s="331"/>
      <c r="M16" s="343" t="s">
        <v>766</v>
      </c>
      <c r="N16" s="331"/>
    </row>
    <row r="17" spans="2:14" ht="16" thickBot="1">
      <c r="B17" s="332"/>
      <c r="C17" s="496" t="s">
        <v>29</v>
      </c>
      <c r="D17" s="496"/>
      <c r="E17" s="344">
        <f>K4</f>
        <v>2442</v>
      </c>
      <c r="F17" s="345" t="s">
        <v>764</v>
      </c>
      <c r="G17" s="346">
        <f>'Динамика финансы'!M125</f>
        <v>8.6414947450369803E-2</v>
      </c>
      <c r="H17" s="331"/>
      <c r="I17" s="496" t="s">
        <v>29</v>
      </c>
      <c r="J17" s="496"/>
      <c r="K17" s="344">
        <f>K5</f>
        <v>1400</v>
      </c>
      <c r="L17" s="345" t="s">
        <v>764</v>
      </c>
      <c r="M17" s="346">
        <f>'Динамика финансы'!M126</f>
        <v>3.4773969200198707E-2</v>
      </c>
      <c r="N17" s="331"/>
    </row>
    <row r="18" spans="2:14" ht="16" thickBot="1">
      <c r="B18" s="332"/>
      <c r="C18" s="496" t="s">
        <v>208</v>
      </c>
      <c r="D18" s="496"/>
      <c r="E18" s="344">
        <f>P4</f>
        <v>18098.093333333334</v>
      </c>
      <c r="F18" s="345" t="s">
        <v>764</v>
      </c>
      <c r="G18" s="346">
        <f>'Динамика финансы'!R125</f>
        <v>0.64043643912853732</v>
      </c>
      <c r="H18" s="331"/>
      <c r="I18" s="496" t="s">
        <v>208</v>
      </c>
      <c r="J18" s="496"/>
      <c r="K18" s="344">
        <f>P5</f>
        <v>9049.0466666666671</v>
      </c>
      <c r="L18" s="345" t="s">
        <v>764</v>
      </c>
      <c r="M18" s="346">
        <f>'Динамика финансы'!R126</f>
        <v>0.22476519291273392</v>
      </c>
      <c r="N18" s="331"/>
    </row>
    <row r="19" spans="2:14" ht="15" thickBot="1">
      <c r="B19" s="332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</row>
    <row r="20" spans="2:14" ht="16" thickBot="1">
      <c r="B20" s="332"/>
      <c r="C20" s="488" t="s">
        <v>126</v>
      </c>
      <c r="D20" s="488"/>
      <c r="E20" s="347">
        <f>H4</f>
        <v>-4405</v>
      </c>
      <c r="F20" s="348" t="s">
        <v>764</v>
      </c>
      <c r="G20" s="349">
        <f>'Динамика финансы'!J125</f>
        <v>0.13485794758755817</v>
      </c>
      <c r="H20" s="331"/>
      <c r="I20" s="488" t="s">
        <v>126</v>
      </c>
      <c r="J20" s="488"/>
      <c r="K20" s="347">
        <f>H5</f>
        <v>-3690</v>
      </c>
      <c r="L20" s="348" t="s">
        <v>764</v>
      </c>
      <c r="M20" s="346">
        <f>'Динамика финансы'!J126</f>
        <v>8.3959044368600688E-2</v>
      </c>
      <c r="N20" s="331"/>
    </row>
    <row r="21" spans="2:14" ht="15.5">
      <c r="B21" s="332"/>
      <c r="C21" s="489" t="s">
        <v>311</v>
      </c>
      <c r="D21" s="489"/>
      <c r="E21" s="360">
        <f>L4</f>
        <v>7126.96</v>
      </c>
      <c r="F21" s="361" t="s">
        <v>764</v>
      </c>
      <c r="G21" s="362">
        <f>'Динамика финансы'!N125</f>
        <v>0.25220142255564604</v>
      </c>
      <c r="H21" s="331"/>
      <c r="I21" s="489" t="s">
        <v>311</v>
      </c>
      <c r="J21" s="489"/>
      <c r="K21" s="360">
        <f>L5</f>
        <v>9662.4</v>
      </c>
      <c r="L21" s="361" t="s">
        <v>764</v>
      </c>
      <c r="M21" s="362">
        <f>'Динамика финансы'!N126</f>
        <v>0.24</v>
      </c>
      <c r="N21" s="331"/>
    </row>
    <row r="22" spans="2:14">
      <c r="B22" s="332"/>
      <c r="C22" s="331"/>
      <c r="D22" s="331"/>
      <c r="E22" s="331"/>
      <c r="F22" s="331"/>
      <c r="G22" s="331"/>
      <c r="H22" s="331"/>
      <c r="I22" s="331"/>
      <c r="J22" s="331"/>
      <c r="K22" s="331"/>
      <c r="L22" s="331"/>
      <c r="M22" s="331"/>
      <c r="N22" s="331"/>
    </row>
    <row r="23" spans="2:14" ht="15.5">
      <c r="B23" s="332"/>
      <c r="C23" s="331"/>
      <c r="D23" s="331"/>
      <c r="E23" s="482" t="s">
        <v>312</v>
      </c>
      <c r="F23" s="483"/>
      <c r="G23" s="350">
        <f>Z4</f>
        <v>-1.1880959232440311</v>
      </c>
      <c r="H23" s="331"/>
      <c r="I23" s="331"/>
      <c r="J23" s="331"/>
      <c r="K23" s="482" t="s">
        <v>312</v>
      </c>
      <c r="L23" s="483"/>
      <c r="M23" s="350">
        <f>Z5</f>
        <v>1.1157134183363691</v>
      </c>
      <c r="N23" s="331"/>
    </row>
    <row r="24" spans="2:14" ht="15.5">
      <c r="B24" s="332"/>
      <c r="C24" s="331"/>
      <c r="D24" s="331"/>
      <c r="E24" s="482" t="s">
        <v>313</v>
      </c>
      <c r="F24" s="483"/>
      <c r="G24" s="350">
        <f>AA4</f>
        <v>-0.2323045165551979</v>
      </c>
      <c r="H24" s="331"/>
      <c r="I24" s="331"/>
      <c r="J24" s="331"/>
      <c r="K24" s="482" t="s">
        <v>313</v>
      </c>
      <c r="L24" s="483"/>
      <c r="M24" s="350">
        <f>AA5</f>
        <v>0.25864265606888559</v>
      </c>
      <c r="N24" s="331"/>
    </row>
    <row r="25" spans="2:14" ht="15.5">
      <c r="B25" s="332"/>
      <c r="C25" s="331"/>
      <c r="D25" s="331"/>
      <c r="E25" s="484" t="s">
        <v>767</v>
      </c>
      <c r="F25" s="485"/>
      <c r="G25" s="350">
        <f>Y4</f>
        <v>0.19552673484553593</v>
      </c>
      <c r="H25" s="331"/>
      <c r="I25" s="331"/>
      <c r="J25" s="331"/>
      <c r="K25" s="484" t="s">
        <v>767</v>
      </c>
      <c r="L25" s="485"/>
      <c r="M25" s="350">
        <f>Y5</f>
        <v>0.23181818181818181</v>
      </c>
      <c r="N25" s="331"/>
    </row>
    <row r="26" spans="2:14">
      <c r="B26" s="332"/>
      <c r="C26" s="331"/>
      <c r="D26" s="331"/>
      <c r="E26" s="331"/>
      <c r="F26" s="331"/>
      <c r="G26" s="331"/>
      <c r="H26" s="331"/>
      <c r="I26" s="331"/>
      <c r="J26" s="331"/>
      <c r="K26" s="331"/>
      <c r="L26" s="331"/>
      <c r="M26" s="331"/>
      <c r="N26" s="331"/>
    </row>
    <row r="27" spans="2:14" ht="15.5">
      <c r="B27" s="332"/>
      <c r="C27" s="331"/>
      <c r="D27" s="331"/>
      <c r="E27" s="331"/>
      <c r="F27" s="486" t="s">
        <v>765</v>
      </c>
      <c r="G27" s="487"/>
      <c r="H27" s="336">
        <f>'Юнит 06-12.10'!I49</f>
        <v>658278.98</v>
      </c>
      <c r="I27" s="337" t="s">
        <v>764</v>
      </c>
      <c r="J27" s="338"/>
      <c r="K27" s="331"/>
      <c r="L27" s="331"/>
      <c r="M27" s="331"/>
      <c r="N27" s="331"/>
    </row>
    <row r="28" spans="2:14" ht="15" thickBot="1">
      <c r="B28" s="351"/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</row>
  </sheetData>
  <mergeCells count="42">
    <mergeCell ref="E24:F24"/>
    <mergeCell ref="K24:L24"/>
    <mergeCell ref="E25:F25"/>
    <mergeCell ref="K25:L25"/>
    <mergeCell ref="F27:G27"/>
    <mergeCell ref="K23:L23"/>
    <mergeCell ref="C11:G11"/>
    <mergeCell ref="I11:M11"/>
    <mergeCell ref="C17:D17"/>
    <mergeCell ref="I17:J17"/>
    <mergeCell ref="C18:D18"/>
    <mergeCell ref="I18:J18"/>
    <mergeCell ref="C20:D20"/>
    <mergeCell ref="I20:J20"/>
    <mergeCell ref="C21:D21"/>
    <mergeCell ref="I21:J21"/>
    <mergeCell ref="E23:F23"/>
    <mergeCell ref="X2:X3"/>
    <mergeCell ref="Y2:Y3"/>
    <mergeCell ref="Z2:Z3"/>
    <mergeCell ref="AA2:AA3"/>
    <mergeCell ref="AB2:AB3"/>
    <mergeCell ref="C9:F9"/>
    <mergeCell ref="H9:M9"/>
    <mergeCell ref="R2:R3"/>
    <mergeCell ref="S2:S3"/>
    <mergeCell ref="T2:T3"/>
    <mergeCell ref="B2:D2"/>
    <mergeCell ref="E2:E3"/>
    <mergeCell ref="F2:F3"/>
    <mergeCell ref="G2:I2"/>
    <mergeCell ref="J2:J3"/>
    <mergeCell ref="K2:K3"/>
    <mergeCell ref="U2:U3"/>
    <mergeCell ref="V2:V3"/>
    <mergeCell ref="W2:W3"/>
    <mergeCell ref="L2:L3"/>
    <mergeCell ref="M2:M3"/>
    <mergeCell ref="N2:N3"/>
    <mergeCell ref="O2:O3"/>
    <mergeCell ref="P2:P3"/>
    <mergeCell ref="Q2:Q3"/>
  </mergeCells>
  <conditionalFormatting sqref="I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{E90D8AB3-8DB8-449A-91F8-06DEF537803D}</x14:id>
        </ext>
      </extLst>
    </cfRule>
  </conditionalFormatting>
  <conditionalFormatting sqref="G13">
    <cfRule type="cellIs" dxfId="398" priority="7" operator="greaterThan">
      <formula>0</formula>
    </cfRule>
    <cfRule type="cellIs" dxfId="397" priority="8" operator="lessThanOrEqual">
      <formula>0</formula>
    </cfRule>
  </conditionalFormatting>
  <conditionalFormatting sqref="G14:G15">
    <cfRule type="cellIs" dxfId="396" priority="5" operator="greaterThan">
      <formula>0</formula>
    </cfRule>
    <cfRule type="cellIs" dxfId="395" priority="6" operator="lessThanOrEqual">
      <formula>0</formula>
    </cfRule>
  </conditionalFormatting>
  <conditionalFormatting sqref="M13">
    <cfRule type="cellIs" dxfId="394" priority="3" operator="greaterThan">
      <formula>0</formula>
    </cfRule>
    <cfRule type="cellIs" dxfId="393" priority="4" operator="lessThanOrEqual">
      <formula>0</formula>
    </cfRule>
  </conditionalFormatting>
  <conditionalFormatting sqref="M14:M15">
    <cfRule type="cellIs" dxfId="392" priority="1" operator="greaterThan">
      <formula>0</formula>
    </cfRule>
    <cfRule type="cellIs" dxfId="391" priority="2" operator="lessThanOr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0D8AB3-8DB8-449A-91F8-06DEF53780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B015-17FD-4FBC-9E18-7C242889DE04}">
  <sheetPr>
    <tabColor rgb="FF00B0F0"/>
  </sheetPr>
  <dimension ref="B1:Q50"/>
  <sheetViews>
    <sheetView workbookViewId="0">
      <selection activeCell="C47" sqref="C4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'2025'!AE3</f>
        <v>30922.461941999933</v>
      </c>
      <c r="D4" s="198">
        <f>C4/C$26</f>
        <v>-14.345225930026851</v>
      </c>
      <c r="E4" s="198">
        <f>D4</f>
        <v>-14.345225930026851</v>
      </c>
      <c r="F4" s="199" t="str">
        <f t="shared" ref="F4:F12" si="0">IF(AND(E4&lt;=0),"C",IF(E4&lt;=0.8,"A",IF(E4&lt;=0.95,"B","C")))</f>
        <v>C</v>
      </c>
      <c r="G4" s="199" t="str">
        <f>VLOOKUP(B$4:B$25,I$4:M$25,5,0)</f>
        <v>A</v>
      </c>
      <c r="I4" s="196" t="s">
        <v>25</v>
      </c>
      <c r="J4" s="197">
        <f>'2025'!R3</f>
        <v>267</v>
      </c>
      <c r="K4" s="198">
        <f>J4/J$26</f>
        <v>0.47424511545293074</v>
      </c>
      <c r="L4" s="198">
        <f>K4</f>
        <v>0.47424511545293074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54</v>
      </c>
      <c r="C5" s="197">
        <f>'2025'!AE7</f>
        <v>11793.926960999999</v>
      </c>
      <c r="D5" s="198">
        <f>C5/C$26</f>
        <v>-5.4713155496841308</v>
      </c>
      <c r="E5" s="198">
        <f>D5+E4</f>
        <v>-19.816541479710981</v>
      </c>
      <c r="F5" s="199" t="str">
        <f t="shared" si="0"/>
        <v>C</v>
      </c>
      <c r="G5" s="199" t="str">
        <f>VLOOKUP(B$4:B$25,I$4:M$25,5,0)</f>
        <v>A</v>
      </c>
      <c r="I5" s="196" t="s">
        <v>223</v>
      </c>
      <c r="J5" s="197">
        <f>'2025'!R6</f>
        <v>134</v>
      </c>
      <c r="K5" s="198">
        <f>J5/J$26</f>
        <v>0.23801065719360567</v>
      </c>
      <c r="L5" s="198">
        <f>K5+L4</f>
        <v>0.71225577264653639</v>
      </c>
      <c r="M5" s="199" t="str">
        <f t="shared" si="1"/>
        <v>A</v>
      </c>
    </row>
    <row r="6" spans="2:17" ht="28.5" customHeight="1" outlineLevel="1" thickBot="1">
      <c r="B6" s="196" t="s">
        <v>226</v>
      </c>
      <c r="C6" s="197">
        <f>'2025'!AE13</f>
        <v>7595.9746660000028</v>
      </c>
      <c r="D6" s="198">
        <f>C6/C$26</f>
        <v>-3.5238453182322145</v>
      </c>
      <c r="E6" s="198">
        <f t="shared" ref="E6:E25" si="2">D6+E5</f>
        <v>-23.340386797943196</v>
      </c>
      <c r="F6" s="199" t="str">
        <f t="shared" si="0"/>
        <v>C</v>
      </c>
      <c r="G6" s="199" t="str">
        <f>VLOOKUP(B$4:B$25,I$4:M$25,5,0)</f>
        <v>B</v>
      </c>
      <c r="I6" s="196" t="s">
        <v>54</v>
      </c>
      <c r="J6" s="197">
        <f>'2025'!R7</f>
        <v>20</v>
      </c>
      <c r="K6" s="198">
        <f>J6/J$26</f>
        <v>3.5523978685612786E-2</v>
      </c>
      <c r="L6" s="198">
        <f t="shared" ref="L6:L25" si="3">K6+L5</f>
        <v>0.74777975133214913</v>
      </c>
      <c r="M6" s="199" t="str">
        <f t="shared" si="1"/>
        <v>A</v>
      </c>
    </row>
    <row r="7" spans="2:17" ht="28.5" customHeight="1" outlineLevel="1" thickBot="1">
      <c r="B7" s="196" t="s">
        <v>225</v>
      </c>
      <c r="C7" s="197">
        <f>'2025'!AE12</f>
        <v>3149.39</v>
      </c>
      <c r="D7" s="198">
        <f>C7/C$26</f>
        <v>-1.4610321512079869</v>
      </c>
      <c r="E7" s="198">
        <f t="shared" si="2"/>
        <v>-24.801418949151184</v>
      </c>
      <c r="F7" s="199" t="str">
        <f t="shared" si="0"/>
        <v>C</v>
      </c>
      <c r="G7" s="199" t="str">
        <f>VLOOKUP(B$4:B$25,I$4:M$25,5,0)</f>
        <v>B</v>
      </c>
      <c r="I7" s="196" t="s">
        <v>92</v>
      </c>
      <c r="J7" s="197">
        <f>'2025'!R4</f>
        <v>19</v>
      </c>
      <c r="K7" s="198">
        <f>J7/J$26</f>
        <v>3.3747779751332148E-2</v>
      </c>
      <c r="L7" s="198">
        <f t="shared" si="3"/>
        <v>0.78152753108348127</v>
      </c>
      <c r="M7" s="199" t="str">
        <f t="shared" si="1"/>
        <v>A</v>
      </c>
    </row>
    <row r="8" spans="2:17" ht="28.5" customHeight="1" outlineLevel="1" thickBot="1">
      <c r="B8" s="196" t="s">
        <v>92</v>
      </c>
      <c r="C8" s="197">
        <f>'2025'!AE4</f>
        <v>3882.7407120000016</v>
      </c>
      <c r="D8" s="198">
        <f>C8/C$26</f>
        <v>-1.8012405624696188</v>
      </c>
      <c r="E8" s="198">
        <f t="shared" si="2"/>
        <v>-26.602659511620804</v>
      </c>
      <c r="F8" s="199" t="str">
        <f t="shared" si="0"/>
        <v>C</v>
      </c>
      <c r="G8" s="199" t="str">
        <f>VLOOKUP(B$4:B$25,I$4:M$25,5,0)</f>
        <v>A</v>
      </c>
      <c r="I8" s="196" t="s">
        <v>226</v>
      </c>
      <c r="J8" s="197">
        <f>'2025'!R13</f>
        <v>18</v>
      </c>
      <c r="K8" s="198">
        <f>J8/J$26</f>
        <v>3.1971580817051509E-2</v>
      </c>
      <c r="L8" s="198">
        <f t="shared" si="3"/>
        <v>0.81349911190053281</v>
      </c>
      <c r="M8" s="199" t="str">
        <f t="shared" si="1"/>
        <v>B</v>
      </c>
    </row>
    <row r="9" spans="2:17" ht="28.5" customHeight="1" outlineLevel="1" thickBot="1">
      <c r="B9" s="196" t="s">
        <v>224</v>
      </c>
      <c r="C9" s="197">
        <f>'2025'!AE11</f>
        <v>1733.2199999999998</v>
      </c>
      <c r="D9" s="198">
        <f t="shared" ref="D9:D25" si="4">C9/C$26</f>
        <v>-0.80405733971235915</v>
      </c>
      <c r="E9" s="198">
        <f t="shared" si="2"/>
        <v>-27.406716851333162</v>
      </c>
      <c r="F9" s="199" t="str">
        <f t="shared" si="0"/>
        <v>C</v>
      </c>
      <c r="G9" s="199" t="str">
        <f t="shared" ref="G9:G25" si="5">VLOOKUP(B$4:B$25,I$4:M$25,5,0)</f>
        <v>B</v>
      </c>
      <c r="I9" s="196" t="s">
        <v>19</v>
      </c>
      <c r="J9" s="197">
        <f>'2025'!R16</f>
        <v>16</v>
      </c>
      <c r="K9" s="198">
        <f t="shared" ref="K9:K25" si="6">J9/J$26</f>
        <v>2.8419182948490232E-2</v>
      </c>
      <c r="L9" s="198">
        <f t="shared" si="3"/>
        <v>0.84191829484902303</v>
      </c>
      <c r="M9" s="199" t="str">
        <f t="shared" si="1"/>
        <v>B</v>
      </c>
    </row>
    <row r="10" spans="2:17" ht="28.5" customHeight="1" outlineLevel="1" thickBot="1">
      <c r="B10" s="196" t="s">
        <v>88</v>
      </c>
      <c r="C10" s="197">
        <f>'2025'!AE10</f>
        <v>1021.6762609999994</v>
      </c>
      <c r="D10" s="198">
        <f t="shared" si="4"/>
        <v>-0.47396539185269587</v>
      </c>
      <c r="E10" s="198">
        <f t="shared" si="2"/>
        <v>-27.880682243185859</v>
      </c>
      <c r="F10" s="199" t="str">
        <f t="shared" si="0"/>
        <v>C</v>
      </c>
      <c r="G10" s="199" t="str">
        <f t="shared" si="5"/>
        <v>B</v>
      </c>
      <c r="I10" s="196" t="s">
        <v>88</v>
      </c>
      <c r="J10" s="197">
        <f>'2025'!R10</f>
        <v>15</v>
      </c>
      <c r="K10" s="198">
        <f t="shared" si="6"/>
        <v>2.664298401420959E-2</v>
      </c>
      <c r="L10" s="198">
        <f t="shared" si="3"/>
        <v>0.86856127886323264</v>
      </c>
      <c r="M10" s="199" t="str">
        <f t="shared" si="1"/>
        <v>B</v>
      </c>
    </row>
    <row r="11" spans="2:17" ht="28.5" customHeight="1" outlineLevel="1" thickBot="1">
      <c r="B11" s="196" t="s">
        <v>222</v>
      </c>
      <c r="C11" s="197">
        <f>'2025'!AE5</f>
        <v>517.09593800000016</v>
      </c>
      <c r="D11" s="198">
        <f t="shared" si="4"/>
        <v>-0.23988575269403029</v>
      </c>
      <c r="E11" s="198">
        <f>D11+E8</f>
        <v>-26.842545264314833</v>
      </c>
      <c r="F11" s="199" t="str">
        <f t="shared" si="0"/>
        <v>C</v>
      </c>
      <c r="G11" s="199" t="str">
        <f t="shared" si="5"/>
        <v>B</v>
      </c>
      <c r="I11" s="196" t="s">
        <v>228</v>
      </c>
      <c r="J11" s="197">
        <f>'2025'!R15</f>
        <v>15</v>
      </c>
      <c r="K11" s="198">
        <f t="shared" si="6"/>
        <v>2.664298401420959E-2</v>
      </c>
      <c r="L11" s="198">
        <f>K11+L8</f>
        <v>0.84014209591474243</v>
      </c>
      <c r="M11" s="199" t="str">
        <f t="shared" si="1"/>
        <v>B</v>
      </c>
    </row>
    <row r="12" spans="2:17" ht="28.5" customHeight="1" outlineLevel="1" thickBot="1">
      <c r="B12" s="196" t="s">
        <v>136</v>
      </c>
      <c r="C12" s="197">
        <f>'2025'!AE22</f>
        <v>94.039377999999942</v>
      </c>
      <c r="D12" s="198">
        <f t="shared" si="4"/>
        <v>-4.3625767128745871E-2</v>
      </c>
      <c r="E12" s="198">
        <f t="shared" si="2"/>
        <v>-26.886171031443578</v>
      </c>
      <c r="F12" s="199" t="str">
        <f t="shared" si="0"/>
        <v>C</v>
      </c>
      <c r="G12" s="199" t="str">
        <f t="shared" si="5"/>
        <v>B</v>
      </c>
      <c r="I12" s="196" t="s">
        <v>222</v>
      </c>
      <c r="J12" s="197">
        <f>'2025'!R5</f>
        <v>14</v>
      </c>
      <c r="K12" s="198">
        <f t="shared" si="6"/>
        <v>2.4866785079928951E-2</v>
      </c>
      <c r="L12" s="198">
        <f t="shared" si="3"/>
        <v>0.86500888099467133</v>
      </c>
      <c r="M12" s="199" t="str">
        <f t="shared" si="1"/>
        <v>B</v>
      </c>
    </row>
    <row r="13" spans="2:17" ht="15" outlineLevel="1" thickBot="1">
      <c r="B13" s="196" t="s">
        <v>234</v>
      </c>
      <c r="C13" s="197">
        <f>'2025'!AE24</f>
        <v>-435.98337600000002</v>
      </c>
      <c r="D13" s="198">
        <f t="shared" si="4"/>
        <v>0.20225685917850778</v>
      </c>
      <c r="E13" s="198">
        <f t="shared" si="2"/>
        <v>-26.683914172265069</v>
      </c>
      <c r="F13" s="199" t="str">
        <f>IF(AND(E13&lt;=0),"C",IF(E13&lt;=0.8,"A",IF(E13&lt;=0.95,"B","C")))</f>
        <v>C</v>
      </c>
      <c r="G13" s="199" t="str">
        <f t="shared" si="5"/>
        <v>B</v>
      </c>
      <c r="I13" s="196" t="s">
        <v>227</v>
      </c>
      <c r="J13" s="197">
        <f>'2025'!R14</f>
        <v>12</v>
      </c>
      <c r="K13" s="198">
        <f t="shared" si="6"/>
        <v>2.1314387211367674E-2</v>
      </c>
      <c r="L13" s="198">
        <f t="shared" si="3"/>
        <v>0.88632326820603902</v>
      </c>
      <c r="M13" s="199" t="str">
        <f>_xlfn.IFS(L13&lt;80%,"A",L13&lt;=95%,"B",L13&gt;95%,"C")</f>
        <v>B</v>
      </c>
      <c r="P13" s="200" t="s">
        <v>301</v>
      </c>
      <c r="Q13" s="201">
        <v>0.8</v>
      </c>
    </row>
    <row r="14" spans="2:17" ht="15" outlineLevel="1" thickBot="1">
      <c r="B14" s="196" t="s">
        <v>233</v>
      </c>
      <c r="C14" s="197">
        <f>'2025'!AE23</f>
        <v>-798.215642</v>
      </c>
      <c r="D14" s="198">
        <f t="shared" si="4"/>
        <v>0.37029987285129007</v>
      </c>
      <c r="E14" s="198">
        <f t="shared" si="2"/>
        <v>-26.313614299413778</v>
      </c>
      <c r="F14" s="199" t="str">
        <f t="shared" ref="F14:F25" si="7">IF(AND(E14&lt;=0),"C",IF(E14&lt;=0.8,"A",IF(E14&lt;=0.95,"B","C")))</f>
        <v>C</v>
      </c>
      <c r="G14" s="199" t="str">
        <f t="shared" si="5"/>
        <v>B</v>
      </c>
      <c r="I14" s="196" t="s">
        <v>1055</v>
      </c>
      <c r="J14" s="197">
        <f>'2025'!R9</f>
        <v>8</v>
      </c>
      <c r="K14" s="198">
        <f t="shared" si="6"/>
        <v>1.4209591474245116E-2</v>
      </c>
      <c r="L14" s="198">
        <f t="shared" si="3"/>
        <v>0.90053285968028418</v>
      </c>
      <c r="M14" s="199" t="str">
        <f t="shared" ref="M14:M25" si="8">_xlfn.IFS(L14&lt;80%,"A",L14&lt;=95%,"B",L14&gt;95%,"C")</f>
        <v>B</v>
      </c>
      <c r="P14" s="202" t="s">
        <v>302</v>
      </c>
      <c r="Q14" s="201">
        <v>0.15</v>
      </c>
    </row>
    <row r="15" spans="2:17" ht="15" outlineLevel="1" thickBot="1">
      <c r="B15" s="196" t="s">
        <v>230</v>
      </c>
      <c r="C15" s="197">
        <f>'2025'!AE18</f>
        <v>-799.89006600000005</v>
      </c>
      <c r="D15" s="198">
        <f t="shared" si="4"/>
        <v>0.37107665416410118</v>
      </c>
      <c r="E15" s="198">
        <f t="shared" si="2"/>
        <v>-25.942537645249676</v>
      </c>
      <c r="F15" s="199" t="str">
        <f t="shared" si="7"/>
        <v>C</v>
      </c>
      <c r="G15" s="199" t="str">
        <f t="shared" si="5"/>
        <v>B</v>
      </c>
      <c r="I15" s="196" t="s">
        <v>1054</v>
      </c>
      <c r="J15" s="197">
        <f>'2025'!R8</f>
        <v>6</v>
      </c>
      <c r="K15" s="198">
        <f t="shared" si="6"/>
        <v>1.0657193605683837E-2</v>
      </c>
      <c r="L15" s="198">
        <f t="shared" si="3"/>
        <v>0.91119005328596803</v>
      </c>
      <c r="M15" s="199" t="str">
        <f t="shared" si="8"/>
        <v>B</v>
      </c>
      <c r="P15" s="203" t="s">
        <v>303</v>
      </c>
      <c r="Q15" s="201">
        <v>0.05</v>
      </c>
    </row>
    <row r="16" spans="2:17" ht="15" outlineLevel="1" thickBot="1">
      <c r="B16" s="196" t="s">
        <v>232</v>
      </c>
      <c r="C16" s="197">
        <f>'2025'!AE21</f>
        <v>-1564.468981</v>
      </c>
      <c r="D16" s="198">
        <f t="shared" si="4"/>
        <v>0.72577212755758957</v>
      </c>
      <c r="E16" s="198">
        <f t="shared" si="2"/>
        <v>-25.216765517692085</v>
      </c>
      <c r="F16" s="199" t="str">
        <f t="shared" si="7"/>
        <v>C</v>
      </c>
      <c r="G16" s="199" t="str">
        <f t="shared" si="5"/>
        <v>B</v>
      </c>
      <c r="I16" s="196" t="s">
        <v>224</v>
      </c>
      <c r="J16" s="197">
        <f>'2025'!R11</f>
        <v>6</v>
      </c>
      <c r="K16" s="198">
        <f t="shared" si="6"/>
        <v>1.0657193605683837E-2</v>
      </c>
      <c r="L16" s="198">
        <f t="shared" si="3"/>
        <v>0.92184724689165187</v>
      </c>
      <c r="M16" s="199" t="str">
        <f t="shared" si="8"/>
        <v>B</v>
      </c>
      <c r="P16" s="204"/>
      <c r="Q16" s="198"/>
    </row>
    <row r="17" spans="2:17" ht="15" outlineLevel="1" thickBot="1">
      <c r="B17" s="196" t="s">
        <v>1054</v>
      </c>
      <c r="C17" s="197">
        <f>'2025'!AE8</f>
        <v>-2770.9242920000002</v>
      </c>
      <c r="D17" s="198">
        <f t="shared" si="4"/>
        <v>1.2854582884860968</v>
      </c>
      <c r="E17" s="198">
        <f t="shared" si="2"/>
        <v>-23.931307229205988</v>
      </c>
      <c r="F17" s="199" t="str">
        <f t="shared" si="7"/>
        <v>C</v>
      </c>
      <c r="G17" s="199" t="str">
        <f t="shared" si="5"/>
        <v>B</v>
      </c>
      <c r="I17" s="196" t="s">
        <v>225</v>
      </c>
      <c r="J17" s="197">
        <f>'2025'!R12</f>
        <v>5</v>
      </c>
      <c r="K17" s="198">
        <f t="shared" si="6"/>
        <v>8.8809946714031966E-3</v>
      </c>
      <c r="L17" s="198">
        <f t="shared" si="3"/>
        <v>0.93072824156305511</v>
      </c>
      <c r="M17" s="199" t="str">
        <f t="shared" si="8"/>
        <v>B</v>
      </c>
      <c r="P17" s="204"/>
      <c r="Q17" s="198"/>
    </row>
    <row r="18" spans="2:17" ht="15" outlineLevel="1" thickBot="1">
      <c r="B18" s="196" t="s">
        <v>223</v>
      </c>
      <c r="C18" s="197">
        <f>'2025'!AE6</f>
        <v>4088.2922730000364</v>
      </c>
      <c r="D18" s="198">
        <f t="shared" si="4"/>
        <v>-1.8965978981289182</v>
      </c>
      <c r="E18" s="198">
        <f t="shared" si="2"/>
        <v>-25.827905127334905</v>
      </c>
      <c r="F18" s="199" t="str">
        <f t="shared" si="7"/>
        <v>C</v>
      </c>
      <c r="G18" s="199" t="str">
        <f t="shared" si="5"/>
        <v>A</v>
      </c>
      <c r="I18" s="196" t="s">
        <v>111</v>
      </c>
      <c r="J18" s="197">
        <f>'2025'!R20</f>
        <v>3</v>
      </c>
      <c r="K18" s="198">
        <f t="shared" si="6"/>
        <v>5.3285968028419185E-3</v>
      </c>
      <c r="L18" s="198">
        <f t="shared" si="3"/>
        <v>0.93605683836589704</v>
      </c>
      <c r="M18" s="199" t="str">
        <f t="shared" si="8"/>
        <v>B</v>
      </c>
      <c r="P18" s="204"/>
      <c r="Q18" s="198"/>
    </row>
    <row r="19" spans="2:17" ht="15" outlineLevel="1" thickBot="1">
      <c r="B19" s="196" t="s">
        <v>231</v>
      </c>
      <c r="C19" s="197">
        <f>'2025'!AE19</f>
        <v>-4941.9668359999996</v>
      </c>
      <c r="D19" s="198">
        <f t="shared" si="4"/>
        <v>2.2926256950074801</v>
      </c>
      <c r="E19" s="198">
        <f t="shared" si="2"/>
        <v>-23.535279432327425</v>
      </c>
      <c r="F19" s="199" t="str">
        <f t="shared" si="7"/>
        <v>C</v>
      </c>
      <c r="G19" s="199" t="str">
        <f t="shared" si="5"/>
        <v>B</v>
      </c>
      <c r="I19" s="196" t="s">
        <v>136</v>
      </c>
      <c r="J19" s="197">
        <f>'2025'!R22</f>
        <v>2</v>
      </c>
      <c r="K19" s="198">
        <f t="shared" si="6"/>
        <v>3.552397868561279E-3</v>
      </c>
      <c r="L19" s="198">
        <f t="shared" si="3"/>
        <v>0.93960923623445836</v>
      </c>
      <c r="M19" s="199" t="str">
        <f t="shared" si="8"/>
        <v>B</v>
      </c>
      <c r="P19" s="204"/>
      <c r="Q19" s="198"/>
    </row>
    <row r="20" spans="2:17" ht="26.5" outlineLevel="1" thickBot="1">
      <c r="B20" s="196" t="s">
        <v>228</v>
      </c>
      <c r="C20" s="197">
        <f>'2025'!AE15</f>
        <v>-5867.6056240000007</v>
      </c>
      <c r="D20" s="198">
        <f t="shared" si="4"/>
        <v>2.7220383843451601</v>
      </c>
      <c r="E20" s="198">
        <f t="shared" si="2"/>
        <v>-20.813241047982263</v>
      </c>
      <c r="F20" s="199" t="str">
        <f t="shared" si="7"/>
        <v>C</v>
      </c>
      <c r="G20" s="199" t="str">
        <f t="shared" si="5"/>
        <v>B</v>
      </c>
      <c r="I20" s="196" t="s">
        <v>229</v>
      </c>
      <c r="J20" s="197">
        <f>'2025'!R17</f>
        <v>1</v>
      </c>
      <c r="K20" s="198">
        <f t="shared" si="6"/>
        <v>1.7761989342806395E-3</v>
      </c>
      <c r="L20" s="198">
        <f t="shared" si="3"/>
        <v>0.94138543516873896</v>
      </c>
      <c r="M20" s="199" t="str">
        <f t="shared" si="8"/>
        <v>B</v>
      </c>
      <c r="P20" s="204"/>
      <c r="Q20" s="198"/>
    </row>
    <row r="21" spans="2:17" ht="15" outlineLevel="1" thickBot="1">
      <c r="B21" s="196" t="s">
        <v>1055</v>
      </c>
      <c r="C21" s="197">
        <f>'2025'!AE9</f>
        <v>-6282.8522449999991</v>
      </c>
      <c r="D21" s="198">
        <f t="shared" si="4"/>
        <v>2.9146752644906724</v>
      </c>
      <c r="E21" s="198">
        <f t="shared" si="2"/>
        <v>-17.898565783491591</v>
      </c>
      <c r="F21" s="199" t="str">
        <f t="shared" si="7"/>
        <v>C</v>
      </c>
      <c r="G21" s="199" t="str">
        <f t="shared" si="5"/>
        <v>B</v>
      </c>
      <c r="I21" s="196" t="s">
        <v>231</v>
      </c>
      <c r="J21" s="197">
        <f>'2025'!R19</f>
        <v>1</v>
      </c>
      <c r="K21" s="198">
        <f t="shared" si="6"/>
        <v>1.7761989342806395E-3</v>
      </c>
      <c r="L21" s="198">
        <f t="shared" si="3"/>
        <v>0.94316163410301956</v>
      </c>
      <c r="M21" s="199" t="str">
        <f t="shared" si="8"/>
        <v>B</v>
      </c>
      <c r="P21" s="204"/>
      <c r="Q21" s="198"/>
    </row>
    <row r="22" spans="2:17" ht="15" outlineLevel="1" thickBot="1">
      <c r="B22" s="196" t="s">
        <v>111</v>
      </c>
      <c r="C22" s="197">
        <f>'2025'!AE20</f>
        <v>-8026.5188410000001</v>
      </c>
      <c r="D22" s="198">
        <f t="shared" si="4"/>
        <v>3.7235788800299958</v>
      </c>
      <c r="E22" s="198">
        <f t="shared" si="2"/>
        <v>-14.174986903461596</v>
      </c>
      <c r="F22" s="199" t="str">
        <f t="shared" si="7"/>
        <v>C</v>
      </c>
      <c r="G22" s="199" t="str">
        <f t="shared" si="5"/>
        <v>B</v>
      </c>
      <c r="I22" s="196" t="s">
        <v>232</v>
      </c>
      <c r="J22" s="197">
        <f>'2025'!R21</f>
        <v>1</v>
      </c>
      <c r="K22" s="198">
        <f t="shared" si="6"/>
        <v>1.7761989342806395E-3</v>
      </c>
      <c r="L22" s="198">
        <f t="shared" si="3"/>
        <v>0.94493783303730017</v>
      </c>
      <c r="M22" s="199" t="str">
        <f t="shared" si="8"/>
        <v>B</v>
      </c>
      <c r="P22" s="204"/>
      <c r="Q22" s="198"/>
    </row>
    <row r="23" spans="2:17" ht="15" outlineLevel="1" thickBot="1">
      <c r="B23" s="196" t="s">
        <v>19</v>
      </c>
      <c r="C23" s="197">
        <f>'2025'!AE16</f>
        <v>-8368.2072879999996</v>
      </c>
      <c r="D23" s="198">
        <f t="shared" si="4"/>
        <v>3.8820914195260015</v>
      </c>
      <c r="E23" s="198">
        <f t="shared" si="2"/>
        <v>-10.292895483935595</v>
      </c>
      <c r="F23" s="199" t="str">
        <f t="shared" si="7"/>
        <v>C</v>
      </c>
      <c r="G23" s="199" t="str">
        <f t="shared" si="5"/>
        <v>B</v>
      </c>
      <c r="I23" s="196" t="s">
        <v>230</v>
      </c>
      <c r="J23" s="197">
        <f>'2025'!R18</f>
        <v>0</v>
      </c>
      <c r="K23" s="198">
        <f t="shared" si="6"/>
        <v>0</v>
      </c>
      <c r="L23" s="198">
        <f t="shared" si="3"/>
        <v>0.94493783303730017</v>
      </c>
      <c r="M23" s="199" t="str">
        <f t="shared" si="8"/>
        <v>B</v>
      </c>
      <c r="P23" s="204"/>
      <c r="Q23" s="198"/>
    </row>
    <row r="24" spans="2:17" ht="15" outlineLevel="1" thickBot="1">
      <c r="B24" s="196" t="s">
        <v>229</v>
      </c>
      <c r="C24" s="197">
        <f>'2025'!AE17</f>
        <v>-12557.207016999999</v>
      </c>
      <c r="D24" s="198">
        <f t="shared" si="4"/>
        <v>5.8254084699613378</v>
      </c>
      <c r="E24" s="198">
        <f t="shared" si="2"/>
        <v>-4.4674870139742575</v>
      </c>
      <c r="F24" s="199" t="str">
        <f t="shared" si="7"/>
        <v>C</v>
      </c>
      <c r="G24" s="199" t="str">
        <f t="shared" si="5"/>
        <v>B</v>
      </c>
      <c r="I24" s="196" t="s">
        <v>233</v>
      </c>
      <c r="J24" s="197">
        <f>'2025'!R23</f>
        <v>0</v>
      </c>
      <c r="K24" s="198">
        <f t="shared" si="6"/>
        <v>0</v>
      </c>
      <c r="L24" s="198">
        <f t="shared" si="3"/>
        <v>0.94493783303730017</v>
      </c>
      <c r="M24" s="199" t="str">
        <f t="shared" si="8"/>
        <v>B</v>
      </c>
      <c r="P24" s="204"/>
      <c r="Q24" s="198"/>
    </row>
    <row r="25" spans="2:17" ht="15" outlineLevel="1" thickBot="1">
      <c r="B25" s="196" t="s">
        <v>227</v>
      </c>
      <c r="C25" s="197">
        <f>'2025'!AE14</f>
        <v>-14540.570458999999</v>
      </c>
      <c r="D25" s="198">
        <f t="shared" si="4"/>
        <v>6.7455097455393185</v>
      </c>
      <c r="E25" s="198">
        <f t="shared" si="2"/>
        <v>2.278022731565061</v>
      </c>
      <c r="F25" s="199" t="str">
        <f t="shared" si="7"/>
        <v>C</v>
      </c>
      <c r="G25" s="199" t="str">
        <f t="shared" si="5"/>
        <v>B</v>
      </c>
      <c r="I25" s="196" t="s">
        <v>234</v>
      </c>
      <c r="J25" s="197">
        <f>'2025'!R24</f>
        <v>0</v>
      </c>
      <c r="K25" s="198">
        <f t="shared" si="6"/>
        <v>0</v>
      </c>
      <c r="L25" s="198">
        <f t="shared" si="3"/>
        <v>0.94493783303730017</v>
      </c>
      <c r="M25" s="199" t="str">
        <f t="shared" si="8"/>
        <v>B</v>
      </c>
      <c r="P25" s="204"/>
      <c r="Q25" s="198"/>
    </row>
    <row r="26" spans="2:17" outlineLevel="1">
      <c r="C26" s="205">
        <f>SUM(C4:C25)</f>
        <v>-2155.5925360000274</v>
      </c>
      <c r="D26" s="206">
        <f>SUM(D4:D25)</f>
        <v>1.0000000000000053</v>
      </c>
      <c r="J26" s="205">
        <f>SUM(J4:J25)</f>
        <v>563</v>
      </c>
      <c r="K26" s="206">
        <f>SUM(K4:K25)</f>
        <v>1</v>
      </c>
    </row>
    <row r="27" spans="2:17" ht="15" thickBot="1"/>
    <row r="28" spans="2:17" ht="15" thickBot="1">
      <c r="B28" s="516" t="s">
        <v>304</v>
      </c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8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66</v>
      </c>
      <c r="C30" s="197">
        <f>'2025'!AE46</f>
        <v>7058.8107539999983</v>
      </c>
      <c r="D30" s="198">
        <f>C30/C$50</f>
        <v>-1.4839137450899349</v>
      </c>
      <c r="E30" s="198">
        <f>D30</f>
        <v>-1.4839137450899349</v>
      </c>
      <c r="F30" s="199" t="str">
        <f t="shared" ref="F30:F36" si="9">IF(AND(E30&lt;=0),"C",IF(E30&lt;=0.8,"A",IF(E30&lt;=0.95,"B","C")))</f>
        <v>C</v>
      </c>
      <c r="G30" s="199" t="str">
        <f>VLOOKUP(B$30:B$50,I$30:M$50,5,0)</f>
        <v>A</v>
      </c>
      <c r="I30" s="196" t="s">
        <v>70</v>
      </c>
      <c r="J30" s="197">
        <f>'2025'!R45</f>
        <v>16</v>
      </c>
      <c r="K30" s="198">
        <f>J30/J$50</f>
        <v>0.14414414414414414</v>
      </c>
      <c r="L30" s="198">
        <f>K30</f>
        <v>0.14414414414414414</v>
      </c>
      <c r="M30" s="199" t="str">
        <f t="shared" ref="M30:M36" si="10">_xlfn.IFS(L30&lt;80%,"A",L30&lt;=95%,"B",L30&gt;95%,"C")</f>
        <v>A</v>
      </c>
    </row>
    <row r="31" spans="2:17" ht="26.5" thickBot="1">
      <c r="B31" s="196" t="s">
        <v>70</v>
      </c>
      <c r="C31" s="197">
        <f>'2025'!AE45</f>
        <v>6934.6842829999978</v>
      </c>
      <c r="D31" s="198">
        <f t="shared" ref="D31:D49" si="11">C31/C$50</f>
        <v>-1.4578196928670402</v>
      </c>
      <c r="E31" s="198">
        <f>D31+E30</f>
        <v>-2.9417334379569748</v>
      </c>
      <c r="F31" s="199" t="str">
        <f t="shared" si="9"/>
        <v>C</v>
      </c>
      <c r="G31" s="199" t="str">
        <f t="shared" ref="G31:G49" si="12">VLOOKUP(B$30:B$50,I$30:M$50,5,0)</f>
        <v>A</v>
      </c>
      <c r="I31" s="196" t="s">
        <v>51</v>
      </c>
      <c r="J31" s="197">
        <f>'2025'!R44</f>
        <v>15</v>
      </c>
      <c r="K31" s="198">
        <f t="shared" ref="K31:K49" si="13">J31/J$50</f>
        <v>0.13513513513513514</v>
      </c>
      <c r="L31" s="198">
        <f>K31+L30</f>
        <v>0.27927927927927931</v>
      </c>
      <c r="M31" s="199" t="str">
        <f t="shared" si="10"/>
        <v>A</v>
      </c>
    </row>
    <row r="32" spans="2:17" ht="15" thickBot="1">
      <c r="B32" s="196" t="s">
        <v>142</v>
      </c>
      <c r="C32" s="197">
        <f>'2025'!AE35</f>
        <v>4397</v>
      </c>
      <c r="D32" s="198">
        <f t="shared" si="11"/>
        <v>-0.9243439106882233</v>
      </c>
      <c r="E32" s="198">
        <f t="shared" ref="E32:E49" si="14">D32+E31</f>
        <v>-3.8660773486451983</v>
      </c>
      <c r="F32" s="199" t="str">
        <f t="shared" si="9"/>
        <v>C</v>
      </c>
      <c r="G32" s="199" t="str">
        <f t="shared" si="12"/>
        <v>C</v>
      </c>
      <c r="I32" s="196" t="s">
        <v>66</v>
      </c>
      <c r="J32" s="197">
        <f>'2025'!R46</f>
        <v>15</v>
      </c>
      <c r="K32" s="198">
        <f t="shared" si="13"/>
        <v>0.13513513513513514</v>
      </c>
      <c r="L32" s="198">
        <f t="shared" ref="L32:L49" si="15">K32+L31</f>
        <v>0.41441441441441446</v>
      </c>
      <c r="M32" s="199" t="str">
        <f t="shared" si="10"/>
        <v>A</v>
      </c>
    </row>
    <row r="33" spans="2:13" ht="15" thickBot="1">
      <c r="B33" s="196" t="s">
        <v>236</v>
      </c>
      <c r="C33" s="197">
        <f>'2025'!AE33</f>
        <v>3631.23</v>
      </c>
      <c r="D33" s="198">
        <f t="shared" si="11"/>
        <v>-0.76336259695437725</v>
      </c>
      <c r="E33" s="198">
        <f t="shared" si="14"/>
        <v>-4.6294399455995752</v>
      </c>
      <c r="F33" s="199" t="str">
        <f t="shared" si="9"/>
        <v>C</v>
      </c>
      <c r="G33" s="199" t="str">
        <f t="shared" si="12"/>
        <v>B</v>
      </c>
      <c r="I33" s="196" t="s">
        <v>239</v>
      </c>
      <c r="J33" s="197">
        <f>'2025'!R38</f>
        <v>14</v>
      </c>
      <c r="K33" s="198">
        <f t="shared" si="13"/>
        <v>0.12612612612612611</v>
      </c>
      <c r="L33" s="198">
        <f t="shared" si="15"/>
        <v>0.54054054054054057</v>
      </c>
      <c r="M33" s="199" t="str">
        <f t="shared" si="10"/>
        <v>A</v>
      </c>
    </row>
    <row r="34" spans="2:13" ht="26.5" thickBot="1">
      <c r="B34" s="196" t="s">
        <v>51</v>
      </c>
      <c r="C34" s="197">
        <f>'2025'!AE44</f>
        <v>3388.5089700000003</v>
      </c>
      <c r="D34" s="198">
        <f t="shared" si="11"/>
        <v>-0.71233741931587979</v>
      </c>
      <c r="E34" s="198">
        <f t="shared" si="14"/>
        <v>-5.3417773649154547</v>
      </c>
      <c r="F34" s="199" t="str">
        <f t="shared" si="9"/>
        <v>C</v>
      </c>
      <c r="G34" s="199" t="str">
        <f t="shared" si="12"/>
        <v>A</v>
      </c>
      <c r="I34" s="196" t="s">
        <v>43</v>
      </c>
      <c r="J34" s="197">
        <f>'2025'!R29</f>
        <v>10</v>
      </c>
      <c r="K34" s="198">
        <f t="shared" si="13"/>
        <v>9.0090090090090086E-2</v>
      </c>
      <c r="L34" s="198">
        <f t="shared" si="15"/>
        <v>0.63063063063063063</v>
      </c>
      <c r="M34" s="199" t="str">
        <f t="shared" si="10"/>
        <v>A</v>
      </c>
    </row>
    <row r="35" spans="2:13" ht="26.5" thickBot="1">
      <c r="B35" s="196" t="s">
        <v>237</v>
      </c>
      <c r="C35" s="197">
        <f>'2025'!AE34</f>
        <v>1499.84</v>
      </c>
      <c r="D35" s="198">
        <f t="shared" si="11"/>
        <v>-0.31529860609657145</v>
      </c>
      <c r="E35" s="198">
        <f t="shared" si="14"/>
        <v>-5.6570759710120262</v>
      </c>
      <c r="F35" s="199" t="str">
        <f t="shared" si="9"/>
        <v>C</v>
      </c>
      <c r="G35" s="199" t="str">
        <f t="shared" si="12"/>
        <v>C</v>
      </c>
      <c r="I35" s="196" t="s">
        <v>98</v>
      </c>
      <c r="J35" s="197">
        <f>'2025'!R28</f>
        <v>7</v>
      </c>
      <c r="K35" s="198">
        <f t="shared" si="13"/>
        <v>6.3063063063063057E-2</v>
      </c>
      <c r="L35" s="198">
        <f t="shared" si="15"/>
        <v>0.69369369369369371</v>
      </c>
      <c r="M35" s="199" t="str">
        <f t="shared" si="10"/>
        <v>A</v>
      </c>
    </row>
    <row r="36" spans="2:13" ht="26.5" thickBot="1">
      <c r="B36" s="196" t="s">
        <v>238</v>
      </c>
      <c r="C36" s="197">
        <f>'2025'!AE36</f>
        <v>527.14433000000008</v>
      </c>
      <c r="D36" s="198">
        <f t="shared" si="11"/>
        <v>-0.11081706879447882</v>
      </c>
      <c r="E36" s="198">
        <f t="shared" si="14"/>
        <v>-5.7678930398065047</v>
      </c>
      <c r="F36" s="199" t="str">
        <f t="shared" si="9"/>
        <v>C</v>
      </c>
      <c r="G36" s="199" t="str">
        <f t="shared" si="12"/>
        <v>C</v>
      </c>
      <c r="I36" s="196" t="s">
        <v>235</v>
      </c>
      <c r="J36" s="197">
        <f>'2025'!R30</f>
        <v>7</v>
      </c>
      <c r="K36" s="198">
        <f t="shared" si="13"/>
        <v>6.3063063063063057E-2</v>
      </c>
      <c r="L36" s="198">
        <f t="shared" si="15"/>
        <v>0.7567567567567568</v>
      </c>
      <c r="M36" s="199" t="str">
        <f t="shared" si="10"/>
        <v>A</v>
      </c>
    </row>
    <row r="37" spans="2:13" ht="26.5" thickBot="1">
      <c r="B37" s="196" t="s">
        <v>242</v>
      </c>
      <c r="C37" s="197">
        <f>'2025'!AE41</f>
        <v>324.16000000000003</v>
      </c>
      <c r="D37" s="198">
        <f t="shared" si="11"/>
        <v>-6.8145399610801557E-2</v>
      </c>
      <c r="E37" s="198">
        <f t="shared" si="14"/>
        <v>-5.8360384394173064</v>
      </c>
      <c r="F37" s="199" t="str">
        <f>IF(AND(E37&lt;=0),"C",IF(E37&lt;=0.8,"A",IF(E37&lt;=0.95,"B","C")))</f>
        <v>C</v>
      </c>
      <c r="G37" s="199" t="str">
        <f t="shared" si="12"/>
        <v>B</v>
      </c>
      <c r="I37" s="196" t="s">
        <v>236</v>
      </c>
      <c r="J37" s="197">
        <f>'2025'!R33</f>
        <v>6</v>
      </c>
      <c r="K37" s="198">
        <f t="shared" si="13"/>
        <v>5.4054054054054057E-2</v>
      </c>
      <c r="L37" s="198">
        <f t="shared" si="15"/>
        <v>0.81081081081081086</v>
      </c>
      <c r="M37" s="199" t="str">
        <f>_xlfn.IFS(L37&lt;80%,"A",L37&lt;=95%,"B",L37&gt;95%,"C")</f>
        <v>B</v>
      </c>
    </row>
    <row r="38" spans="2:13" ht="26.5" thickBot="1">
      <c r="B38" s="196" t="s">
        <v>771</v>
      </c>
      <c r="C38" s="197">
        <f>'2025'!AE43</f>
        <v>-224</v>
      </c>
      <c r="D38" s="198">
        <f t="shared" si="11"/>
        <v>4.7089614735993178E-2</v>
      </c>
      <c r="E38" s="198">
        <f t="shared" si="14"/>
        <v>-5.788948824681313</v>
      </c>
      <c r="F38" s="199" t="str">
        <f t="shared" ref="F38:F49" si="16">IF(AND(E38&lt;=0),"C",IF(E38&lt;=0.8,"A",IF(E38&lt;=0.95,"B","C")))</f>
        <v>C</v>
      </c>
      <c r="G38" s="199" t="str">
        <f t="shared" si="12"/>
        <v>C</v>
      </c>
      <c r="I38" s="196" t="s">
        <v>62</v>
      </c>
      <c r="J38" s="197">
        <f>'2025'!R37</f>
        <v>6</v>
      </c>
      <c r="K38" s="198">
        <f t="shared" si="13"/>
        <v>5.4054054054054057E-2</v>
      </c>
      <c r="L38" s="198">
        <f t="shared" si="15"/>
        <v>0.86486486486486491</v>
      </c>
      <c r="M38" s="199" t="str">
        <f t="shared" ref="M38:M49" si="17">_xlfn.IFS(L38&lt;80%,"A",L38&lt;=95%,"B",L38&gt;95%,"C")</f>
        <v>B</v>
      </c>
    </row>
    <row r="39" spans="2:13" ht="26.5" thickBot="1">
      <c r="B39" s="196" t="s">
        <v>39</v>
      </c>
      <c r="C39" s="197">
        <f>'2025'!AE32</f>
        <v>-336</v>
      </c>
      <c r="D39" s="198">
        <f t="shared" si="11"/>
        <v>7.0634422103989764E-2</v>
      </c>
      <c r="E39" s="198">
        <f t="shared" si="14"/>
        <v>-5.7183144025773229</v>
      </c>
      <c r="F39" s="199" t="str">
        <f t="shared" si="16"/>
        <v>C</v>
      </c>
      <c r="G39" s="199" t="str">
        <f t="shared" si="12"/>
        <v>C</v>
      </c>
      <c r="I39" s="196" t="s">
        <v>240</v>
      </c>
      <c r="J39" s="197">
        <f>'2025'!R39</f>
        <v>5</v>
      </c>
      <c r="K39" s="198">
        <f t="shared" si="13"/>
        <v>4.5045045045045043E-2</v>
      </c>
      <c r="L39" s="198">
        <f t="shared" si="15"/>
        <v>0.90990990990990994</v>
      </c>
      <c r="M39" s="199" t="str">
        <f t="shared" si="17"/>
        <v>B</v>
      </c>
    </row>
    <row r="40" spans="2:13" ht="26.5" thickBot="1">
      <c r="B40" s="196" t="s">
        <v>241</v>
      </c>
      <c r="C40" s="197">
        <f>'2025'!AE40</f>
        <v>-448</v>
      </c>
      <c r="D40" s="198">
        <f t="shared" si="11"/>
        <v>9.4179229471986356E-2</v>
      </c>
      <c r="E40" s="198">
        <f t="shared" si="14"/>
        <v>-5.6241351731053362</v>
      </c>
      <c r="F40" s="199" t="str">
        <f t="shared" si="16"/>
        <v>C</v>
      </c>
      <c r="G40" s="199" t="str">
        <f t="shared" si="12"/>
        <v>C</v>
      </c>
      <c r="I40" s="196" t="s">
        <v>242</v>
      </c>
      <c r="J40" s="197">
        <f>'2025'!R41</f>
        <v>3</v>
      </c>
      <c r="K40" s="198">
        <f t="shared" si="13"/>
        <v>2.7027027027027029E-2</v>
      </c>
      <c r="L40" s="198">
        <f t="shared" si="15"/>
        <v>0.93693693693693691</v>
      </c>
      <c r="M40" s="199" t="str">
        <f t="shared" si="17"/>
        <v>B</v>
      </c>
    </row>
    <row r="41" spans="2:13" ht="15" thickBot="1">
      <c r="B41" s="196" t="s">
        <v>239</v>
      </c>
      <c r="C41" s="197">
        <f>'2025'!AE38</f>
        <v>1612.9842269999976</v>
      </c>
      <c r="D41" s="198">
        <f t="shared" si="11"/>
        <v>-0.33908395457439133</v>
      </c>
      <c r="E41" s="198">
        <f t="shared" si="14"/>
        <v>-5.9632191276797277</v>
      </c>
      <c r="F41" s="199" t="str">
        <f t="shared" si="16"/>
        <v>C</v>
      </c>
      <c r="G41" s="199" t="str">
        <f t="shared" si="12"/>
        <v>A</v>
      </c>
      <c r="I41" s="196" t="s">
        <v>142</v>
      </c>
      <c r="J41" s="197">
        <f>'2025'!R35</f>
        <v>2</v>
      </c>
      <c r="K41" s="198">
        <f t="shared" si="13"/>
        <v>1.8018018018018018E-2</v>
      </c>
      <c r="L41" s="198">
        <f t="shared" si="15"/>
        <v>0.95495495495495497</v>
      </c>
      <c r="M41" s="199" t="str">
        <f t="shared" si="17"/>
        <v>C</v>
      </c>
    </row>
    <row r="42" spans="2:13" ht="26.5" thickBot="1">
      <c r="B42" s="196" t="s">
        <v>240</v>
      </c>
      <c r="C42" s="197">
        <f>'2025'!AE39</f>
        <v>-949.92466699999932</v>
      </c>
      <c r="D42" s="198">
        <f t="shared" si="11"/>
        <v>0.19969458302342225</v>
      </c>
      <c r="E42" s="198">
        <f t="shared" si="14"/>
        <v>-5.7635245446563053</v>
      </c>
      <c r="F42" s="199" t="str">
        <f t="shared" si="16"/>
        <v>C</v>
      </c>
      <c r="G42" s="199" t="str">
        <f t="shared" si="12"/>
        <v>B</v>
      </c>
      <c r="I42" s="196" t="s">
        <v>245</v>
      </c>
      <c r="J42" s="197">
        <f>'2025'!R47</f>
        <v>2</v>
      </c>
      <c r="K42" s="198">
        <f t="shared" si="13"/>
        <v>1.8018018018018018E-2</v>
      </c>
      <c r="L42" s="198">
        <f t="shared" si="15"/>
        <v>0.97297297297297303</v>
      </c>
      <c r="M42" s="199" t="str">
        <f t="shared" si="17"/>
        <v>C</v>
      </c>
    </row>
    <row r="43" spans="2:13" ht="26.5" thickBot="1">
      <c r="B43" s="196" t="s">
        <v>235</v>
      </c>
      <c r="C43" s="197">
        <f>'2025'!AE30</f>
        <v>-1246.7747330000002</v>
      </c>
      <c r="D43" s="198">
        <f t="shared" si="11"/>
        <v>0.26209884749794987</v>
      </c>
      <c r="E43" s="198">
        <f t="shared" si="14"/>
        <v>-5.5014256971583553</v>
      </c>
      <c r="F43" s="199" t="str">
        <f t="shared" si="16"/>
        <v>C</v>
      </c>
      <c r="G43" s="199" t="str">
        <f t="shared" si="12"/>
        <v>A</v>
      </c>
      <c r="I43" s="196" t="s">
        <v>171</v>
      </c>
      <c r="J43" s="197">
        <f>'2025'!R31</f>
        <v>1</v>
      </c>
      <c r="K43" s="198">
        <f t="shared" si="13"/>
        <v>9.0090090090090089E-3</v>
      </c>
      <c r="L43" s="198">
        <f t="shared" si="15"/>
        <v>0.98198198198198205</v>
      </c>
      <c r="M43" s="199" t="str">
        <f t="shared" si="17"/>
        <v>C</v>
      </c>
    </row>
    <row r="44" spans="2:13" ht="15" thickBot="1">
      <c r="B44" s="196" t="s">
        <v>171</v>
      </c>
      <c r="C44" s="197">
        <f>'2025'!AE31</f>
        <v>-2464.2461149999999</v>
      </c>
      <c r="D44" s="198">
        <f t="shared" si="11"/>
        <v>0.51803750075900867</v>
      </c>
      <c r="E44" s="198">
        <f t="shared" si="14"/>
        <v>-4.9833881963993463</v>
      </c>
      <c r="F44" s="199" t="str">
        <f t="shared" si="16"/>
        <v>C</v>
      </c>
      <c r="G44" s="199" t="str">
        <f t="shared" si="12"/>
        <v>C</v>
      </c>
      <c r="I44" s="196" t="s">
        <v>237</v>
      </c>
      <c r="J44" s="197">
        <f>'2025'!R34</f>
        <v>1</v>
      </c>
      <c r="K44" s="198">
        <f t="shared" si="13"/>
        <v>9.0090090090090089E-3</v>
      </c>
      <c r="L44" s="198">
        <f t="shared" si="15"/>
        <v>0.99099099099099108</v>
      </c>
      <c r="M44" s="199" t="str">
        <f t="shared" si="17"/>
        <v>C</v>
      </c>
    </row>
    <row r="45" spans="2:13" ht="26.5" thickBot="1">
      <c r="B45" s="196" t="s">
        <v>245</v>
      </c>
      <c r="C45" s="197">
        <f>'2025'!AE47</f>
        <v>-2697.8935040000001</v>
      </c>
      <c r="D45" s="198">
        <f t="shared" si="11"/>
        <v>0.56715520402722619</v>
      </c>
      <c r="E45" s="198">
        <f t="shared" si="14"/>
        <v>-4.4162329923721204</v>
      </c>
      <c r="F45" s="199" t="str">
        <f t="shared" si="16"/>
        <v>C</v>
      </c>
      <c r="G45" s="199" t="str">
        <f t="shared" si="12"/>
        <v>C</v>
      </c>
      <c r="I45" s="196" t="s">
        <v>238</v>
      </c>
      <c r="J45" s="197">
        <f>'2025'!R36</f>
        <v>1</v>
      </c>
      <c r="K45" s="198">
        <f t="shared" si="13"/>
        <v>9.0090090090090089E-3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243</v>
      </c>
      <c r="C46" s="197">
        <f>'2025'!AE42</f>
        <v>-4441.3456660000002</v>
      </c>
      <c r="D46" s="198">
        <f t="shared" si="11"/>
        <v>0.93366632286300466</v>
      </c>
      <c r="E46" s="198">
        <f t="shared" si="14"/>
        <v>-3.482566669509116</v>
      </c>
      <c r="F46" s="199" t="str">
        <f t="shared" si="16"/>
        <v>C</v>
      </c>
      <c r="G46" s="199" t="str">
        <f t="shared" si="12"/>
        <v>C</v>
      </c>
      <c r="I46" s="196" t="s">
        <v>39</v>
      </c>
      <c r="J46" s="197">
        <f>'2025'!R32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15" thickBot="1">
      <c r="B47" s="196" t="s">
        <v>62</v>
      </c>
      <c r="C47" s="197">
        <f>'2025'!AE37</f>
        <v>-4051.4624839999992</v>
      </c>
      <c r="D47" s="198">
        <f t="shared" si="11"/>
        <v>0.8517044977182584</v>
      </c>
      <c r="E47" s="198">
        <f t="shared" si="14"/>
        <v>-2.6308621717908576</v>
      </c>
      <c r="F47" s="199" t="str">
        <f t="shared" si="16"/>
        <v>C</v>
      </c>
      <c r="G47" s="199" t="str">
        <f t="shared" si="12"/>
        <v>B</v>
      </c>
      <c r="I47" s="196" t="s">
        <v>241</v>
      </c>
      <c r="J47" s="197">
        <f>'2025'!R40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 ht="26.5" thickBot="1">
      <c r="B48" s="196" t="s">
        <v>98</v>
      </c>
      <c r="C48" s="197">
        <f>'2025'!AE28</f>
        <v>-4737.1132619999989</v>
      </c>
      <c r="D48" s="198">
        <f t="shared" si="11"/>
        <v>0.99584302887653509</v>
      </c>
      <c r="E48" s="198">
        <f t="shared" si="14"/>
        <v>-1.6350191429143224</v>
      </c>
      <c r="F48" s="199" t="str">
        <f t="shared" si="16"/>
        <v>C</v>
      </c>
      <c r="G48" s="199" t="str">
        <f t="shared" si="12"/>
        <v>A</v>
      </c>
      <c r="I48" s="196" t="s">
        <v>243</v>
      </c>
      <c r="J48" s="197">
        <f>'2025'!R42</f>
        <v>0</v>
      </c>
      <c r="K48" s="198">
        <f t="shared" si="13"/>
        <v>0</v>
      </c>
      <c r="L48" s="198">
        <f t="shared" si="15"/>
        <v>1</v>
      </c>
      <c r="M48" s="199" t="str">
        <f t="shared" si="17"/>
        <v>C</v>
      </c>
    </row>
    <row r="49" spans="2:13" ht="26.5" thickBot="1">
      <c r="B49" s="196" t="s">
        <v>43</v>
      </c>
      <c r="C49" s="197">
        <f>'2025'!AE29</f>
        <v>-12534.489639000001</v>
      </c>
      <c r="D49" s="198">
        <f t="shared" si="11"/>
        <v>2.6350191429143228</v>
      </c>
      <c r="E49" s="198">
        <f t="shared" si="14"/>
        <v>1.0000000000000004</v>
      </c>
      <c r="F49" s="199" t="str">
        <f t="shared" si="16"/>
        <v>C</v>
      </c>
      <c r="G49" s="199" t="str">
        <f t="shared" si="12"/>
        <v>A</v>
      </c>
      <c r="I49" s="196" t="s">
        <v>771</v>
      </c>
      <c r="J49" s="197">
        <f>'2025'!R43</f>
        <v>0</v>
      </c>
      <c r="K49" s="198">
        <f t="shared" si="13"/>
        <v>0</v>
      </c>
      <c r="L49" s="198">
        <f t="shared" si="15"/>
        <v>1</v>
      </c>
      <c r="M49" s="199" t="str">
        <f t="shared" si="17"/>
        <v>C</v>
      </c>
    </row>
    <row r="50" spans="2:13">
      <c r="C50" s="205">
        <f>SUM(C30:C49)</f>
        <v>-4756.8875060000119</v>
      </c>
      <c r="D50" s="206">
        <f>SUM(D30:D49)</f>
        <v>1.0000000000000004</v>
      </c>
      <c r="J50" s="205">
        <f>SUM(J30:J49)</f>
        <v>111</v>
      </c>
      <c r="K50" s="206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390" priority="4" operator="equal">
      <formula>"C"</formula>
    </cfRule>
    <cfRule type="cellIs" dxfId="389" priority="5" operator="equal">
      <formula>"B"</formula>
    </cfRule>
    <cfRule type="cellIs" dxfId="388" priority="6" operator="equal">
      <formula>"A"</formula>
    </cfRule>
  </conditionalFormatting>
  <conditionalFormatting sqref="M30:M49 D30:D49 K30:K49 F30:G49">
    <cfRule type="cellIs" dxfId="387" priority="1" operator="equal">
      <formula>"C"</formula>
    </cfRule>
    <cfRule type="cellIs" dxfId="386" priority="2" operator="equal">
      <formula>"B"</formula>
    </cfRule>
    <cfRule type="cellIs" dxfId="385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B5B6-50F4-4681-A4BC-A6A95C8CCE47}">
  <dimension ref="B1:Q50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ДЕКАБРЬ!AE3</f>
        <v>13038.755013999962</v>
      </c>
      <c r="D4" s="198">
        <f>C4/C$26</f>
        <v>0.41207159110320002</v>
      </c>
      <c r="E4" s="198">
        <f>D4</f>
        <v>0.41207159110320002</v>
      </c>
      <c r="F4" s="199" t="str">
        <f t="shared" ref="F4:F12" si="0">IF(AND(E4&lt;=0),"C",IF(E4&lt;=0.8,"A",IF(E4&lt;=0.95,"B","C")))</f>
        <v>A</v>
      </c>
      <c r="G4" s="199" t="str">
        <f>VLOOKUP(B$4:B$25,I$4:M$25,5,0)</f>
        <v>A</v>
      </c>
      <c r="I4" s="196" t="s">
        <v>25</v>
      </c>
      <c r="J4" s="197">
        <f>ДЕКАБРЬ!R3</f>
        <v>112</v>
      </c>
      <c r="K4" s="198">
        <f>J4/J$26</f>
        <v>0.49122807017543857</v>
      </c>
      <c r="L4" s="198">
        <f>K4</f>
        <v>0.49122807017543857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54</v>
      </c>
      <c r="C5" s="197">
        <f>ДЕКАБРЬ!AE7</f>
        <v>3790.8999999999992</v>
      </c>
      <c r="D5" s="198">
        <f>C5/C$26</f>
        <v>0.11980608524631683</v>
      </c>
      <c r="E5" s="198">
        <f>D5+E4</f>
        <v>0.53187767634951688</v>
      </c>
      <c r="F5" s="199" t="str">
        <f t="shared" si="0"/>
        <v>A</v>
      </c>
      <c r="G5" s="199" t="str">
        <f>VLOOKUP(B$4:B$25,I$4:M$25,5,0)</f>
        <v>B</v>
      </c>
      <c r="I5" s="196" t="s">
        <v>223</v>
      </c>
      <c r="J5" s="197">
        <f>ДЕКАБРЬ!R6</f>
        <v>66</v>
      </c>
      <c r="K5" s="198">
        <f>J5/J$26</f>
        <v>0.28947368421052633</v>
      </c>
      <c r="L5" s="198">
        <f>K5+L4</f>
        <v>0.7807017543859649</v>
      </c>
      <c r="M5" s="199" t="str">
        <f t="shared" si="1"/>
        <v>A</v>
      </c>
    </row>
    <row r="6" spans="2:17" ht="28.5" customHeight="1" outlineLevel="1" thickBot="1">
      <c r="B6" s="196" t="s">
        <v>226</v>
      </c>
      <c r="C6" s="197">
        <f>ДЕКАБРЬ!AE13</f>
        <v>2939.0600000000004</v>
      </c>
      <c r="D6" s="198">
        <f>C6/C$26</f>
        <v>9.2884875070310499E-2</v>
      </c>
      <c r="E6" s="198">
        <f t="shared" ref="E6:E25" si="2">D6+E5</f>
        <v>0.62476255141982739</v>
      </c>
      <c r="F6" s="199" t="str">
        <f t="shared" si="0"/>
        <v>A</v>
      </c>
      <c r="G6" s="199" t="str">
        <f>VLOOKUP(B$4:B$25,I$4:M$25,5,0)</f>
        <v>B</v>
      </c>
      <c r="I6" s="196" t="s">
        <v>92</v>
      </c>
      <c r="J6" s="197">
        <f>ДЕКАБРЬ!R4</f>
        <v>6</v>
      </c>
      <c r="K6" s="198">
        <f>J6/J$26</f>
        <v>2.6315789473684209E-2</v>
      </c>
      <c r="L6" s="198">
        <f t="shared" ref="L6:L25" si="3">K6+L5</f>
        <v>0.80701754385964908</v>
      </c>
      <c r="M6" s="199" t="str">
        <f t="shared" si="1"/>
        <v>B</v>
      </c>
    </row>
    <row r="7" spans="2:17" ht="28.5" customHeight="1" outlineLevel="1" thickBot="1">
      <c r="B7" s="196" t="s">
        <v>92</v>
      </c>
      <c r="C7" s="197">
        <f>ДЕКАБРЬ!AE4</f>
        <v>2153.4000000000005</v>
      </c>
      <c r="D7" s="198">
        <f>C7/C$26</f>
        <v>6.8055191107499219E-2</v>
      </c>
      <c r="E7" s="198">
        <f t="shared" si="2"/>
        <v>0.69281774252732664</v>
      </c>
      <c r="F7" s="199" t="str">
        <f t="shared" si="0"/>
        <v>A</v>
      </c>
      <c r="G7" s="199" t="str">
        <f>VLOOKUP(B$4:B$25,I$4:M$25,5,0)</f>
        <v>B</v>
      </c>
      <c r="I7" s="196" t="s">
        <v>54</v>
      </c>
      <c r="J7" s="197">
        <f>ДЕКАБРЬ!R7</f>
        <v>6</v>
      </c>
      <c r="K7" s="198">
        <f>J7/J$26</f>
        <v>2.6315789473684209E-2</v>
      </c>
      <c r="L7" s="198">
        <f t="shared" si="3"/>
        <v>0.83333333333333326</v>
      </c>
      <c r="M7" s="199" t="str">
        <f t="shared" si="1"/>
        <v>B</v>
      </c>
    </row>
    <row r="8" spans="2:17" ht="28.5" customHeight="1" outlineLevel="1" thickBot="1">
      <c r="B8" s="196" t="s">
        <v>88</v>
      </c>
      <c r="C8" s="197">
        <f>ДЕКАБРЬ!AE10</f>
        <v>1789.9800000000002</v>
      </c>
      <c r="D8" s="198">
        <f>C8/C$26</f>
        <v>5.6569810986626473E-2</v>
      </c>
      <c r="E8" s="198">
        <f t="shared" si="2"/>
        <v>0.74938755351395314</v>
      </c>
      <c r="F8" s="199" t="str">
        <f t="shared" si="0"/>
        <v>A</v>
      </c>
      <c r="G8" s="199" t="str">
        <f>VLOOKUP(B$4:B$25,I$4:M$25,5,0)</f>
        <v>B</v>
      </c>
      <c r="I8" s="196" t="s">
        <v>228</v>
      </c>
      <c r="J8" s="197">
        <f>ДЕКАБРЬ!R15</f>
        <v>6</v>
      </c>
      <c r="K8" s="198">
        <f>J8/J$26</f>
        <v>2.6315789473684209E-2</v>
      </c>
      <c r="L8" s="198">
        <f t="shared" si="3"/>
        <v>0.85964912280701744</v>
      </c>
      <c r="M8" s="199" t="str">
        <f t="shared" si="1"/>
        <v>B</v>
      </c>
    </row>
    <row r="9" spans="2:17" ht="28.5" customHeight="1" outlineLevel="1" thickBot="1">
      <c r="B9" s="196" t="s">
        <v>227</v>
      </c>
      <c r="C9" s="197">
        <f>ДЕКАБРЬ!AE14</f>
        <v>1464.0800000000006</v>
      </c>
      <c r="D9" s="198">
        <f t="shared" ref="D9:D25" si="4">C9/C$26</f>
        <v>4.6270197918021491E-2</v>
      </c>
      <c r="E9" s="198">
        <f t="shared" si="2"/>
        <v>0.79565775143197459</v>
      </c>
      <c r="F9" s="199" t="str">
        <f t="shared" si="0"/>
        <v>A</v>
      </c>
      <c r="G9" s="199" t="str">
        <f t="shared" ref="G9:G25" si="5">VLOOKUP(B$4:B$25,I$4:M$25,5,0)</f>
        <v>B</v>
      </c>
      <c r="I9" s="196" t="s">
        <v>222</v>
      </c>
      <c r="J9" s="197">
        <f>ДЕКАБРЬ!R5</f>
        <v>5</v>
      </c>
      <c r="K9" s="198">
        <f t="shared" ref="K9:K25" si="6">J9/J$26</f>
        <v>2.1929824561403508E-2</v>
      </c>
      <c r="L9" s="198">
        <f t="shared" si="3"/>
        <v>0.88157894736842091</v>
      </c>
      <c r="M9" s="199" t="str">
        <f t="shared" si="1"/>
        <v>B</v>
      </c>
    </row>
    <row r="10" spans="2:17" ht="28.5" customHeight="1" outlineLevel="1" thickBot="1">
      <c r="B10" s="196" t="s">
        <v>222</v>
      </c>
      <c r="C10" s="197">
        <f>ДЕКАБРЬ!AE5</f>
        <v>1412.92</v>
      </c>
      <c r="D10" s="198">
        <f t="shared" si="4"/>
        <v>4.4653357768927177E-2</v>
      </c>
      <c r="E10" s="198">
        <f t="shared" si="2"/>
        <v>0.8403111092009018</v>
      </c>
      <c r="F10" s="199" t="str">
        <f t="shared" si="0"/>
        <v>B</v>
      </c>
      <c r="G10" s="199" t="str">
        <f t="shared" si="5"/>
        <v>B</v>
      </c>
      <c r="I10" s="196" t="s">
        <v>1055</v>
      </c>
      <c r="J10" s="197">
        <f>ДЕКАБРЬ!R9</f>
        <v>5</v>
      </c>
      <c r="K10" s="198">
        <f t="shared" si="6"/>
        <v>2.1929824561403508E-2</v>
      </c>
      <c r="L10" s="198">
        <f t="shared" si="3"/>
        <v>0.90350877192982437</v>
      </c>
      <c r="M10" s="199" t="str">
        <f t="shared" si="1"/>
        <v>B</v>
      </c>
    </row>
    <row r="11" spans="2:17" ht="28.5" customHeight="1" outlineLevel="1" thickBot="1">
      <c r="B11" s="196" t="s">
        <v>224</v>
      </c>
      <c r="C11" s="197">
        <f>ДЕКАБРЬ!AE11</f>
        <v>866.58000000000027</v>
      </c>
      <c r="D11" s="198">
        <f t="shared" si="4"/>
        <v>2.7387047232254425E-2</v>
      </c>
      <c r="E11" s="198">
        <f>D11+E8</f>
        <v>0.77677460074620752</v>
      </c>
      <c r="F11" s="199" t="str">
        <f t="shared" si="0"/>
        <v>A</v>
      </c>
      <c r="G11" s="199" t="str">
        <f t="shared" si="5"/>
        <v>B</v>
      </c>
      <c r="I11" s="196" t="s">
        <v>226</v>
      </c>
      <c r="J11" s="197">
        <f>ДЕКАБРЬ!R13</f>
        <v>5</v>
      </c>
      <c r="K11" s="198">
        <f t="shared" si="6"/>
        <v>2.1929824561403508E-2</v>
      </c>
      <c r="L11" s="198">
        <f>K11+L8</f>
        <v>0.88157894736842091</v>
      </c>
      <c r="M11" s="199" t="str">
        <f t="shared" si="1"/>
        <v>B</v>
      </c>
    </row>
    <row r="12" spans="2:17" ht="28.5" customHeight="1" outlineLevel="1" thickBot="1">
      <c r="B12" s="196" t="s">
        <v>225</v>
      </c>
      <c r="C12" s="197">
        <f>ДЕКАБРЬ!AE12</f>
        <v>613.66000000000008</v>
      </c>
      <c r="D12" s="198">
        <f t="shared" si="4"/>
        <v>1.9393864853268303E-2</v>
      </c>
      <c r="E12" s="198">
        <f t="shared" si="2"/>
        <v>0.79616846559947585</v>
      </c>
      <c r="F12" s="199" t="str">
        <f t="shared" si="0"/>
        <v>A</v>
      </c>
      <c r="G12" s="199" t="str">
        <f t="shared" si="5"/>
        <v>C</v>
      </c>
      <c r="I12" s="196" t="s">
        <v>1054</v>
      </c>
      <c r="J12" s="197">
        <f>ДЕКАБРЬ!R8</f>
        <v>4</v>
      </c>
      <c r="K12" s="198">
        <f t="shared" si="6"/>
        <v>1.7543859649122806E-2</v>
      </c>
      <c r="L12" s="198">
        <f t="shared" si="3"/>
        <v>0.89912280701754366</v>
      </c>
      <c r="M12" s="199" t="str">
        <f t="shared" si="1"/>
        <v>B</v>
      </c>
    </row>
    <row r="13" spans="2:17" ht="15" outlineLevel="1" thickBot="1">
      <c r="B13" s="196" t="s">
        <v>229</v>
      </c>
      <c r="C13" s="197">
        <f>ДЕКАБРЬ!AE17</f>
        <v>0</v>
      </c>
      <c r="D13" s="198">
        <f t="shared" si="4"/>
        <v>0</v>
      </c>
      <c r="E13" s="198">
        <f t="shared" si="2"/>
        <v>0.79616846559947585</v>
      </c>
      <c r="F13" s="199" t="str">
        <f>IF(AND(E13&lt;=0),"C",IF(E13&lt;=0.8,"A",IF(E13&lt;=0.95,"B","C")))</f>
        <v>A</v>
      </c>
      <c r="G13" s="199" t="str">
        <f t="shared" si="5"/>
        <v>C</v>
      </c>
      <c r="I13" s="196" t="s">
        <v>88</v>
      </c>
      <c r="J13" s="197">
        <f>ДЕКАБРЬ!R10</f>
        <v>4</v>
      </c>
      <c r="K13" s="198">
        <f t="shared" si="6"/>
        <v>1.7543859649122806E-2</v>
      </c>
      <c r="L13" s="198">
        <f t="shared" si="3"/>
        <v>0.91666666666666652</v>
      </c>
      <c r="M13" s="199" t="str">
        <f>_xlfn.IFS(L13&lt;80%,"A",L13&lt;=95%,"B",L13&gt;95%,"C")</f>
        <v>B</v>
      </c>
      <c r="P13" s="200" t="s">
        <v>301</v>
      </c>
      <c r="Q13" s="201">
        <v>0.8</v>
      </c>
    </row>
    <row r="14" spans="2:17" ht="15" outlineLevel="1" thickBot="1">
      <c r="B14" s="196" t="s">
        <v>230</v>
      </c>
      <c r="C14" s="197">
        <f>ДЕКАБРЬ!AE18</f>
        <v>0</v>
      </c>
      <c r="D14" s="198">
        <f t="shared" si="4"/>
        <v>0</v>
      </c>
      <c r="E14" s="198">
        <f t="shared" si="2"/>
        <v>0.79616846559947585</v>
      </c>
      <c r="F14" s="199" t="str">
        <f t="shared" ref="F14:F25" si="7">IF(AND(E14&lt;=0),"C",IF(E14&lt;=0.8,"A",IF(E14&lt;=0.95,"B","C")))</f>
        <v>A</v>
      </c>
      <c r="G14" s="199" t="str">
        <f t="shared" si="5"/>
        <v>C</v>
      </c>
      <c r="I14" s="196" t="s">
        <v>227</v>
      </c>
      <c r="J14" s="197">
        <f>ДЕКАБРЬ!R14</f>
        <v>4</v>
      </c>
      <c r="K14" s="198">
        <f t="shared" si="6"/>
        <v>1.7543859649122806E-2</v>
      </c>
      <c r="L14" s="198">
        <f t="shared" si="3"/>
        <v>0.93421052631578938</v>
      </c>
      <c r="M14" s="199" t="str">
        <f t="shared" ref="M14:M25" si="8">_xlfn.IFS(L14&lt;80%,"A",L14&lt;=95%,"B",L14&gt;95%,"C")</f>
        <v>B</v>
      </c>
      <c r="P14" s="202" t="s">
        <v>302</v>
      </c>
      <c r="Q14" s="201">
        <v>0.15</v>
      </c>
    </row>
    <row r="15" spans="2:17" ht="15" outlineLevel="1" thickBot="1">
      <c r="B15" s="196" t="s">
        <v>231</v>
      </c>
      <c r="C15" s="197">
        <f>ДЕКАБРЬ!AE19</f>
        <v>0</v>
      </c>
      <c r="D15" s="198">
        <f t="shared" si="4"/>
        <v>0</v>
      </c>
      <c r="E15" s="198">
        <f t="shared" si="2"/>
        <v>0.79616846559947585</v>
      </c>
      <c r="F15" s="199" t="str">
        <f t="shared" si="7"/>
        <v>A</v>
      </c>
      <c r="G15" s="199" t="str">
        <f t="shared" si="5"/>
        <v>C</v>
      </c>
      <c r="I15" s="196" t="s">
        <v>224</v>
      </c>
      <c r="J15" s="197">
        <f>ДЕКАБРЬ!R11</f>
        <v>2</v>
      </c>
      <c r="K15" s="198">
        <f t="shared" si="6"/>
        <v>8.771929824561403E-3</v>
      </c>
      <c r="L15" s="198">
        <f t="shared" si="3"/>
        <v>0.94298245614035081</v>
      </c>
      <c r="M15" s="199" t="str">
        <f t="shared" si="8"/>
        <v>B</v>
      </c>
      <c r="P15" s="203" t="s">
        <v>303</v>
      </c>
      <c r="Q15" s="201">
        <v>0.05</v>
      </c>
    </row>
    <row r="16" spans="2:17" ht="15" outlineLevel="1" thickBot="1">
      <c r="B16" s="196" t="s">
        <v>232</v>
      </c>
      <c r="C16" s="197">
        <f>ДЕКАБРЬ!AE21</f>
        <v>0</v>
      </c>
      <c r="D16" s="198">
        <f t="shared" si="4"/>
        <v>0</v>
      </c>
      <c r="E16" s="198">
        <f t="shared" si="2"/>
        <v>0.79616846559947585</v>
      </c>
      <c r="F16" s="199" t="str">
        <f t="shared" si="7"/>
        <v>A</v>
      </c>
      <c r="G16" s="199" t="str">
        <f t="shared" si="5"/>
        <v>C</v>
      </c>
      <c r="I16" s="196" t="s">
        <v>225</v>
      </c>
      <c r="J16" s="197">
        <f>ДЕКАБРЬ!R12</f>
        <v>2</v>
      </c>
      <c r="K16" s="198">
        <f t="shared" si="6"/>
        <v>8.771929824561403E-3</v>
      </c>
      <c r="L16" s="198">
        <f t="shared" si="3"/>
        <v>0.95175438596491224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136</v>
      </c>
      <c r="C17" s="197">
        <f>ДЕКАБРЬ!AE22</f>
        <v>0</v>
      </c>
      <c r="D17" s="198">
        <f t="shared" si="4"/>
        <v>0</v>
      </c>
      <c r="E17" s="198">
        <f t="shared" si="2"/>
        <v>0.79616846559947585</v>
      </c>
      <c r="F17" s="199" t="str">
        <f t="shared" si="7"/>
        <v>A</v>
      </c>
      <c r="G17" s="199" t="str">
        <f t="shared" si="5"/>
        <v>C</v>
      </c>
      <c r="I17" s="196" t="s">
        <v>19</v>
      </c>
      <c r="J17" s="197">
        <f>ДЕКАБРЬ!R16</f>
        <v>1</v>
      </c>
      <c r="K17" s="198">
        <f t="shared" si="6"/>
        <v>4.3859649122807015E-3</v>
      </c>
      <c r="L17" s="198">
        <f t="shared" si="3"/>
        <v>0.95614035087719296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233</v>
      </c>
      <c r="C18" s="197">
        <f>ДЕКАБРЬ!AE23</f>
        <v>0</v>
      </c>
      <c r="D18" s="198">
        <f t="shared" si="4"/>
        <v>0</v>
      </c>
      <c r="E18" s="198">
        <f t="shared" si="2"/>
        <v>0.79616846559947585</v>
      </c>
      <c r="F18" s="199" t="str">
        <f t="shared" si="7"/>
        <v>A</v>
      </c>
      <c r="G18" s="199" t="str">
        <f t="shared" si="5"/>
        <v>C</v>
      </c>
      <c r="I18" s="196" t="s">
        <v>229</v>
      </c>
      <c r="J18" s="197">
        <f>ДЕКАБРЬ!R17</f>
        <v>0</v>
      </c>
      <c r="K18" s="198">
        <f t="shared" si="6"/>
        <v>0</v>
      </c>
      <c r="L18" s="198">
        <f t="shared" si="3"/>
        <v>0.95614035087719296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234</v>
      </c>
      <c r="C19" s="197">
        <f>ДЕКАБРЬ!AE24</f>
        <v>0</v>
      </c>
      <c r="D19" s="198">
        <f t="shared" si="4"/>
        <v>0</v>
      </c>
      <c r="E19" s="198">
        <f t="shared" si="2"/>
        <v>0.79616846559947585</v>
      </c>
      <c r="F19" s="199" t="str">
        <f t="shared" si="7"/>
        <v>A</v>
      </c>
      <c r="G19" s="199" t="str">
        <f t="shared" si="5"/>
        <v>C</v>
      </c>
      <c r="I19" s="196" t="s">
        <v>230</v>
      </c>
      <c r="J19" s="197">
        <f>ДЕКАБРЬ!R18</f>
        <v>0</v>
      </c>
      <c r="K19" s="198">
        <f t="shared" si="6"/>
        <v>0</v>
      </c>
      <c r="L19" s="198">
        <f t="shared" si="3"/>
        <v>0.95614035087719296</v>
      </c>
      <c r="M19" s="199" t="str">
        <f t="shared" si="8"/>
        <v>C</v>
      </c>
      <c r="P19" s="204"/>
      <c r="Q19" s="198"/>
    </row>
    <row r="20" spans="2:17" ht="26.5" outlineLevel="1" thickBot="1">
      <c r="B20" s="196" t="s">
        <v>228</v>
      </c>
      <c r="C20" s="197">
        <f>ДЕКАБРЬ!AE15</f>
        <v>298.58999999999941</v>
      </c>
      <c r="D20" s="198">
        <f t="shared" si="4"/>
        <v>9.436518766967654E-3</v>
      </c>
      <c r="E20" s="198">
        <f t="shared" si="2"/>
        <v>0.80560498436644346</v>
      </c>
      <c r="F20" s="199" t="str">
        <f t="shared" si="7"/>
        <v>B</v>
      </c>
      <c r="G20" s="199" t="str">
        <f t="shared" si="5"/>
        <v>B</v>
      </c>
      <c r="I20" s="196" t="s">
        <v>231</v>
      </c>
      <c r="J20" s="197">
        <f>ДЕКАБРЬ!R19</f>
        <v>0</v>
      </c>
      <c r="K20" s="198">
        <f t="shared" si="6"/>
        <v>0</v>
      </c>
      <c r="L20" s="198">
        <f t="shared" si="3"/>
        <v>0.95614035087719296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111</v>
      </c>
      <c r="C21" s="197">
        <f>ДЕКАБРЬ!AE20</f>
        <v>-113.88</v>
      </c>
      <c r="D21" s="198">
        <f t="shared" si="4"/>
        <v>-3.599017908109041E-3</v>
      </c>
      <c r="E21" s="198">
        <f t="shared" si="2"/>
        <v>0.80200596645833444</v>
      </c>
      <c r="F21" s="199" t="str">
        <f t="shared" si="7"/>
        <v>B</v>
      </c>
      <c r="G21" s="199" t="str">
        <f t="shared" si="5"/>
        <v>C</v>
      </c>
      <c r="I21" s="196" t="s">
        <v>111</v>
      </c>
      <c r="J21" s="197">
        <f>ДЕКАБРЬ!R20</f>
        <v>0</v>
      </c>
      <c r="K21" s="198">
        <f t="shared" si="6"/>
        <v>0</v>
      </c>
      <c r="L21" s="198">
        <f t="shared" si="3"/>
        <v>0.95614035087719296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223</v>
      </c>
      <c r="C22" s="197">
        <f>ДЕКАБРЬ!AE6</f>
        <v>5749.0587370000258</v>
      </c>
      <c r="D22" s="198">
        <f t="shared" si="4"/>
        <v>0.18169094967714997</v>
      </c>
      <c r="E22" s="198">
        <f t="shared" si="2"/>
        <v>0.98369691613548438</v>
      </c>
      <c r="F22" s="199" t="str">
        <f t="shared" si="7"/>
        <v>C</v>
      </c>
      <c r="G22" s="199" t="str">
        <f t="shared" si="5"/>
        <v>A</v>
      </c>
      <c r="I22" s="196" t="s">
        <v>232</v>
      </c>
      <c r="J22" s="197">
        <f>ДЕКАБРЬ!R21</f>
        <v>0</v>
      </c>
      <c r="K22" s="198">
        <f t="shared" si="6"/>
        <v>0</v>
      </c>
      <c r="L22" s="198">
        <f t="shared" si="3"/>
        <v>0.95614035087719296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19</v>
      </c>
      <c r="C23" s="197">
        <f>ДЕКАБРЬ!AE16</f>
        <v>-246.17</v>
      </c>
      <c r="D23" s="198">
        <f t="shared" si="4"/>
        <v>-7.7798580825360255E-3</v>
      </c>
      <c r="E23" s="198">
        <f t="shared" si="2"/>
        <v>0.97591705805294837</v>
      </c>
      <c r="F23" s="199" t="str">
        <f t="shared" si="7"/>
        <v>C</v>
      </c>
      <c r="G23" s="199" t="str">
        <f t="shared" si="5"/>
        <v>C</v>
      </c>
      <c r="I23" s="196" t="s">
        <v>136</v>
      </c>
      <c r="J23" s="197">
        <f>ДЕКАБРЬ!R22</f>
        <v>0</v>
      </c>
      <c r="K23" s="198">
        <f t="shared" si="6"/>
        <v>0</v>
      </c>
      <c r="L23" s="198">
        <f t="shared" si="3"/>
        <v>0.95614035087719296</v>
      </c>
      <c r="M23" s="199" t="str">
        <f t="shared" si="8"/>
        <v>C</v>
      </c>
      <c r="P23" s="204"/>
      <c r="Q23" s="198"/>
    </row>
    <row r="24" spans="2:17" ht="15" outlineLevel="1" thickBot="1">
      <c r="B24" s="196" t="s">
        <v>1054</v>
      </c>
      <c r="C24" s="197">
        <f>ДЕКАБРЬ!AE8</f>
        <v>-501.47252200000025</v>
      </c>
      <c r="D24" s="198">
        <f t="shared" si="4"/>
        <v>-1.5848336732548349E-2</v>
      </c>
      <c r="E24" s="198">
        <f t="shared" si="2"/>
        <v>0.9600687213204</v>
      </c>
      <c r="F24" s="199" t="str">
        <f t="shared" si="7"/>
        <v>C</v>
      </c>
      <c r="G24" s="199" t="str">
        <f t="shared" si="5"/>
        <v>B</v>
      </c>
      <c r="I24" s="196" t="s">
        <v>233</v>
      </c>
      <c r="J24" s="197">
        <f>ДЕКАБРЬ!R23</f>
        <v>0</v>
      </c>
      <c r="K24" s="198">
        <f t="shared" si="6"/>
        <v>0</v>
      </c>
      <c r="L24" s="198">
        <f t="shared" si="3"/>
        <v>0.95614035087719296</v>
      </c>
      <c r="M24" s="199" t="str">
        <f t="shared" si="8"/>
        <v>C</v>
      </c>
      <c r="P24" s="204"/>
      <c r="Q24" s="198"/>
    </row>
    <row r="25" spans="2:17" ht="15" outlineLevel="1" thickBot="1">
      <c r="B25" s="196" t="s">
        <v>1055</v>
      </c>
      <c r="C25" s="197">
        <f>ДЕКАБРЬ!AE9</f>
        <v>-1613.4958629999996</v>
      </c>
      <c r="D25" s="198">
        <f t="shared" si="4"/>
        <v>-5.0992277007348534E-2</v>
      </c>
      <c r="E25" s="198">
        <f t="shared" si="2"/>
        <v>0.90907644431305146</v>
      </c>
      <c r="F25" s="199" t="str">
        <f t="shared" si="7"/>
        <v>B</v>
      </c>
      <c r="G25" s="199" t="str">
        <f t="shared" si="5"/>
        <v>B</v>
      </c>
      <c r="I25" s="196" t="s">
        <v>234</v>
      </c>
      <c r="J25" s="197">
        <f>ДЕКАБРЬ!R24</f>
        <v>0</v>
      </c>
      <c r="K25" s="198">
        <f t="shared" si="6"/>
        <v>0</v>
      </c>
      <c r="L25" s="198">
        <f t="shared" si="3"/>
        <v>0.95614035087719296</v>
      </c>
      <c r="M25" s="199" t="str">
        <f t="shared" si="8"/>
        <v>C</v>
      </c>
      <c r="P25" s="204"/>
      <c r="Q25" s="198"/>
    </row>
    <row r="26" spans="2:17" outlineLevel="1">
      <c r="C26" s="205">
        <f>SUM(C4:C25)</f>
        <v>31641.965365999986</v>
      </c>
      <c r="D26" s="206">
        <f>SUM(D4:D25)</f>
        <v>1</v>
      </c>
      <c r="J26" s="205">
        <f>SUM(J4:J25)</f>
        <v>228</v>
      </c>
      <c r="K26" s="206">
        <f>SUM(K4:K25)</f>
        <v>0.99999999999999989</v>
      </c>
    </row>
    <row r="27" spans="2:17" ht="15" thickBot="1"/>
    <row r="28" spans="2:17" ht="15" thickBot="1">
      <c r="B28" s="516" t="s">
        <v>304</v>
      </c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8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242</v>
      </c>
      <c r="C30" s="197">
        <f>ДЕКАБРЬ!AE41</f>
        <v>548.16</v>
      </c>
      <c r="D30" s="198">
        <f>C30/C$50</f>
        <v>-7.3086293396069826E-2</v>
      </c>
      <c r="E30" s="198">
        <f>D30</f>
        <v>-7.3086293396069826E-2</v>
      </c>
      <c r="F30" s="199" t="str">
        <f t="shared" ref="F30:F36" si="9">IF(AND(E30&lt;=0),"C",IF(E30&lt;=0.8,"A",IF(E30&lt;=0.95,"B","C")))</f>
        <v>C</v>
      </c>
      <c r="G30" s="199" t="str">
        <f>VLOOKUP(B$30:B$50,I$30:M$50,5,0)</f>
        <v>A</v>
      </c>
      <c r="I30" s="196" t="s">
        <v>236</v>
      </c>
      <c r="J30" s="197">
        <f>ДЕКАБРЬ!R33</f>
        <v>2</v>
      </c>
      <c r="K30" s="198">
        <f>J30/J$50</f>
        <v>0.66666666666666663</v>
      </c>
      <c r="L30" s="198">
        <f>K30</f>
        <v>0.66666666666666663</v>
      </c>
      <c r="M30" s="199" t="str">
        <f t="shared" ref="M30:M36" si="10">_xlfn.IFS(L30&lt;80%,"A",L30&lt;=95%,"B",L30&gt;95%,"C")</f>
        <v>A</v>
      </c>
    </row>
    <row r="31" spans="2:17" ht="26.5" thickBot="1">
      <c r="B31" s="196" t="s">
        <v>43</v>
      </c>
      <c r="C31" s="197">
        <f>ДЕКАБРЬ!AE29</f>
        <v>0</v>
      </c>
      <c r="D31" s="198">
        <f t="shared" ref="D31:D49" si="11">C31/C$50</f>
        <v>0</v>
      </c>
      <c r="E31" s="198">
        <f>D31+E30</f>
        <v>-7.3086293396069826E-2</v>
      </c>
      <c r="F31" s="199" t="str">
        <f t="shared" si="9"/>
        <v>C</v>
      </c>
      <c r="G31" s="199" t="str">
        <f t="shared" ref="G31:G49" si="12">VLOOKUP(B$30:B$50,I$30:M$50,5,0)</f>
        <v>C</v>
      </c>
      <c r="I31" s="196" t="s">
        <v>98</v>
      </c>
      <c r="J31" s="197">
        <f>ДЕКАБРЬ!R28</f>
        <v>0</v>
      </c>
      <c r="K31" s="198">
        <f t="shared" ref="K31:K49" si="13">J31/J$50</f>
        <v>0</v>
      </c>
      <c r="L31" s="198">
        <f>K31+L30</f>
        <v>0.66666666666666663</v>
      </c>
      <c r="M31" s="199" t="str">
        <f t="shared" si="10"/>
        <v>A</v>
      </c>
    </row>
    <row r="32" spans="2:17" ht="26.5" thickBot="1">
      <c r="B32" s="196" t="s">
        <v>235</v>
      </c>
      <c r="C32" s="197">
        <f>ДЕКАБРЬ!AE30</f>
        <v>0</v>
      </c>
      <c r="D32" s="198">
        <f t="shared" si="11"/>
        <v>0</v>
      </c>
      <c r="E32" s="198">
        <f t="shared" ref="E32:E49" si="14">D32+E31</f>
        <v>-7.3086293396069826E-2</v>
      </c>
      <c r="F32" s="199" t="str">
        <f t="shared" si="9"/>
        <v>C</v>
      </c>
      <c r="G32" s="199" t="str">
        <f t="shared" si="12"/>
        <v>C</v>
      </c>
      <c r="I32" s="196" t="s">
        <v>240</v>
      </c>
      <c r="J32" s="197">
        <f>ДЕКАБРЬ!R39</f>
        <v>-1</v>
      </c>
      <c r="K32" s="198">
        <f t="shared" si="13"/>
        <v>-0.33333333333333331</v>
      </c>
      <c r="L32" s="198">
        <f t="shared" ref="L32:L49" si="15">K32+L31</f>
        <v>0.33333333333333331</v>
      </c>
      <c r="M32" s="199" t="str">
        <f t="shared" si="10"/>
        <v>A</v>
      </c>
    </row>
    <row r="33" spans="2:13" ht="26.5" thickBot="1">
      <c r="B33" s="196" t="s">
        <v>39</v>
      </c>
      <c r="C33" s="197">
        <f>ДЕКАБРЬ!AE32</f>
        <v>0</v>
      </c>
      <c r="D33" s="198">
        <f t="shared" si="11"/>
        <v>0</v>
      </c>
      <c r="E33" s="198">
        <f t="shared" si="14"/>
        <v>-7.3086293396069826E-2</v>
      </c>
      <c r="F33" s="199" t="str">
        <f t="shared" si="9"/>
        <v>C</v>
      </c>
      <c r="G33" s="199" t="str">
        <f t="shared" si="12"/>
        <v>C</v>
      </c>
      <c r="I33" s="196" t="s">
        <v>242</v>
      </c>
      <c r="J33" s="197">
        <f>ДЕКАБРЬ!R41</f>
        <v>1</v>
      </c>
      <c r="K33" s="198">
        <f t="shared" si="13"/>
        <v>0.33333333333333331</v>
      </c>
      <c r="L33" s="198">
        <f t="shared" si="15"/>
        <v>0.66666666666666663</v>
      </c>
      <c r="M33" s="199" t="str">
        <f t="shared" si="10"/>
        <v>A</v>
      </c>
    </row>
    <row r="34" spans="2:13" ht="26.5" thickBot="1">
      <c r="B34" s="196" t="s">
        <v>237</v>
      </c>
      <c r="C34" s="197">
        <f>ДЕКАБРЬ!AE34</f>
        <v>0</v>
      </c>
      <c r="D34" s="198">
        <f t="shared" si="11"/>
        <v>0</v>
      </c>
      <c r="E34" s="198">
        <f t="shared" si="14"/>
        <v>-7.3086293396069826E-2</v>
      </c>
      <c r="F34" s="199" t="str">
        <f t="shared" si="9"/>
        <v>C</v>
      </c>
      <c r="G34" s="199" t="str">
        <f t="shared" si="12"/>
        <v>C</v>
      </c>
      <c r="I34" s="196" t="s">
        <v>70</v>
      </c>
      <c r="J34" s="197">
        <f>ДЕКАБРЬ!R45</f>
        <v>1</v>
      </c>
      <c r="K34" s="198">
        <f t="shared" si="13"/>
        <v>0.33333333333333331</v>
      </c>
      <c r="L34" s="198">
        <f t="shared" si="15"/>
        <v>1</v>
      </c>
      <c r="M34" s="199" t="str">
        <f t="shared" si="10"/>
        <v>C</v>
      </c>
    </row>
    <row r="35" spans="2:13" ht="26.5" thickBot="1">
      <c r="B35" s="196" t="s">
        <v>142</v>
      </c>
      <c r="C35" s="197">
        <f>ДЕКАБРЬ!AE35</f>
        <v>0</v>
      </c>
      <c r="D35" s="198">
        <f t="shared" si="11"/>
        <v>0</v>
      </c>
      <c r="E35" s="198">
        <f t="shared" si="14"/>
        <v>-7.3086293396069826E-2</v>
      </c>
      <c r="F35" s="199" t="str">
        <f t="shared" si="9"/>
        <v>C</v>
      </c>
      <c r="G35" s="199" t="str">
        <f t="shared" si="12"/>
        <v>C</v>
      </c>
      <c r="I35" s="196" t="s">
        <v>43</v>
      </c>
      <c r="J35" s="197">
        <f>ДЕКАБРЬ!R29</f>
        <v>0</v>
      </c>
      <c r="K35" s="198">
        <f t="shared" si="13"/>
        <v>0</v>
      </c>
      <c r="L35" s="198">
        <f t="shared" si="15"/>
        <v>1</v>
      </c>
      <c r="M35" s="199" t="str">
        <f t="shared" si="10"/>
        <v>C</v>
      </c>
    </row>
    <row r="36" spans="2:13" ht="26.5" thickBot="1">
      <c r="B36" s="196" t="s">
        <v>62</v>
      </c>
      <c r="C36" s="197">
        <f>ДЕКАБРЬ!AE37</f>
        <v>0</v>
      </c>
      <c r="D36" s="198">
        <f t="shared" si="11"/>
        <v>0</v>
      </c>
      <c r="E36" s="198">
        <f t="shared" si="14"/>
        <v>-7.3086293396069826E-2</v>
      </c>
      <c r="F36" s="199" t="str">
        <f t="shared" si="9"/>
        <v>C</v>
      </c>
      <c r="G36" s="199" t="str">
        <f t="shared" si="12"/>
        <v>C</v>
      </c>
      <c r="I36" s="196" t="s">
        <v>235</v>
      </c>
      <c r="J36" s="197">
        <f>ДЕКАБРЬ!R30</f>
        <v>0</v>
      </c>
      <c r="K36" s="198">
        <f t="shared" si="13"/>
        <v>0</v>
      </c>
      <c r="L36" s="198">
        <f t="shared" si="15"/>
        <v>1</v>
      </c>
      <c r="M36" s="199" t="str">
        <f t="shared" si="10"/>
        <v>C</v>
      </c>
    </row>
    <row r="37" spans="2:13" ht="15" thickBot="1">
      <c r="B37" s="196" t="s">
        <v>241</v>
      </c>
      <c r="C37" s="197">
        <f>ДЕКАБРЬ!AE40</f>
        <v>0</v>
      </c>
      <c r="D37" s="198">
        <f t="shared" si="11"/>
        <v>0</v>
      </c>
      <c r="E37" s="198">
        <f t="shared" si="14"/>
        <v>-7.3086293396069826E-2</v>
      </c>
      <c r="F37" s="199" t="str">
        <f>IF(AND(E37&lt;=0),"C",IF(E37&lt;=0.8,"A",IF(E37&lt;=0.95,"B","C")))</f>
        <v>C</v>
      </c>
      <c r="G37" s="199" t="str">
        <f t="shared" si="12"/>
        <v>C</v>
      </c>
      <c r="I37" s="196" t="s">
        <v>171</v>
      </c>
      <c r="J37" s="197">
        <f>ДЕКАБРЬ!R31</f>
        <v>0</v>
      </c>
      <c r="K37" s="198">
        <f t="shared" si="13"/>
        <v>0</v>
      </c>
      <c r="L37" s="198">
        <f t="shared" si="15"/>
        <v>1</v>
      </c>
      <c r="M37" s="199" t="str">
        <f>_xlfn.IFS(L37&lt;80%,"A",L37&lt;=95%,"B",L37&gt;95%,"C")</f>
        <v>C</v>
      </c>
    </row>
    <row r="38" spans="2:13" ht="26.5" thickBot="1">
      <c r="B38" s="196" t="s">
        <v>771</v>
      </c>
      <c r="C38" s="197">
        <f>ДЕКАБРЬ!AE43</f>
        <v>0</v>
      </c>
      <c r="D38" s="198">
        <f t="shared" si="11"/>
        <v>0</v>
      </c>
      <c r="E38" s="198">
        <f t="shared" si="14"/>
        <v>-7.3086293396069826E-2</v>
      </c>
      <c r="F38" s="199" t="str">
        <f t="shared" ref="F38:F49" si="16">IF(AND(E38&lt;=0),"C",IF(E38&lt;=0.8,"A",IF(E38&lt;=0.95,"B","C")))</f>
        <v>C</v>
      </c>
      <c r="G38" s="199" t="str">
        <f t="shared" si="12"/>
        <v>C</v>
      </c>
      <c r="I38" s="196" t="s">
        <v>39</v>
      </c>
      <c r="J38" s="197">
        <f>ДЕКАБРЬ!R32</f>
        <v>0</v>
      </c>
      <c r="K38" s="198">
        <f t="shared" si="13"/>
        <v>0</v>
      </c>
      <c r="L38" s="198">
        <f t="shared" si="15"/>
        <v>1</v>
      </c>
      <c r="M38" s="199" t="str">
        <f t="shared" ref="M38:M49" si="17">_xlfn.IFS(L38&lt;80%,"A",L38&lt;=95%,"B",L38&gt;95%,"C")</f>
        <v>C</v>
      </c>
    </row>
    <row r="39" spans="2:13" ht="26.5" thickBot="1">
      <c r="B39" s="196" t="s">
        <v>245</v>
      </c>
      <c r="C39" s="197">
        <f>ДЕКАБРЬ!AE47</f>
        <v>0</v>
      </c>
      <c r="D39" s="198">
        <f t="shared" si="11"/>
        <v>0</v>
      </c>
      <c r="E39" s="198">
        <f t="shared" si="14"/>
        <v>-7.3086293396069826E-2</v>
      </c>
      <c r="F39" s="199" t="str">
        <f t="shared" si="16"/>
        <v>C</v>
      </c>
      <c r="G39" s="199" t="str">
        <f t="shared" si="12"/>
        <v>C</v>
      </c>
      <c r="I39" s="196" t="s">
        <v>237</v>
      </c>
      <c r="J39" s="197">
        <f>ДЕКАБРЬ!R34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15" thickBot="1">
      <c r="B40" s="196" t="s">
        <v>238</v>
      </c>
      <c r="C40" s="197">
        <f>ДЕКАБРЬ!AE36</f>
        <v>-112</v>
      </c>
      <c r="D40" s="198">
        <f t="shared" si="11"/>
        <v>1.4932984640177725E-2</v>
      </c>
      <c r="E40" s="198">
        <f t="shared" si="14"/>
        <v>-5.81533087558921E-2</v>
      </c>
      <c r="F40" s="199" t="str">
        <f t="shared" si="16"/>
        <v>C</v>
      </c>
      <c r="G40" s="199" t="str">
        <f t="shared" si="12"/>
        <v>C</v>
      </c>
      <c r="I40" s="196" t="s">
        <v>142</v>
      </c>
      <c r="J40" s="197">
        <f>ДЕКАБРЬ!R35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15" thickBot="1">
      <c r="B41" s="196" t="s">
        <v>171</v>
      </c>
      <c r="C41" s="197">
        <f>ДЕКАБРЬ!AE31</f>
        <v>-113.88</v>
      </c>
      <c r="D41" s="198">
        <f t="shared" si="11"/>
        <v>1.5183645453780707E-2</v>
      </c>
      <c r="E41" s="198">
        <f t="shared" si="14"/>
        <v>-4.2969663302111397E-2</v>
      </c>
      <c r="F41" s="199" t="str">
        <f t="shared" si="16"/>
        <v>C</v>
      </c>
      <c r="G41" s="199" t="str">
        <f t="shared" si="12"/>
        <v>C</v>
      </c>
      <c r="I41" s="196" t="s">
        <v>238</v>
      </c>
      <c r="J41" s="197">
        <f>ДЕКАБРЬ!R36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15" thickBot="1">
      <c r="B42" s="196" t="s">
        <v>239</v>
      </c>
      <c r="C42" s="197">
        <f>ДЕКАБРЬ!AE38</f>
        <v>-113.88</v>
      </c>
      <c r="D42" s="198">
        <f t="shared" si="11"/>
        <v>1.5183645453780707E-2</v>
      </c>
      <c r="E42" s="198">
        <f t="shared" si="14"/>
        <v>-2.778601784833069E-2</v>
      </c>
      <c r="F42" s="199" t="str">
        <f t="shared" si="16"/>
        <v>C</v>
      </c>
      <c r="G42" s="199" t="str">
        <f t="shared" si="12"/>
        <v>C</v>
      </c>
      <c r="I42" s="196" t="s">
        <v>62</v>
      </c>
      <c r="J42" s="197">
        <f>ДЕКАБРЬ!R37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15" thickBot="1">
      <c r="B43" s="196" t="s">
        <v>236</v>
      </c>
      <c r="C43" s="197">
        <f>ДЕКАБРЬ!AE33</f>
        <v>1500.1099999999994</v>
      </c>
      <c r="D43" s="198">
        <f t="shared" si="11"/>
        <v>-0.20000999632658034</v>
      </c>
      <c r="E43" s="198">
        <f t="shared" si="14"/>
        <v>-0.22779601417491102</v>
      </c>
      <c r="F43" s="199" t="str">
        <f t="shared" si="16"/>
        <v>C</v>
      </c>
      <c r="G43" s="199" t="str">
        <f t="shared" si="12"/>
        <v>A</v>
      </c>
      <c r="I43" s="196" t="s">
        <v>239</v>
      </c>
      <c r="J43" s="197">
        <f>ДЕКАБРЬ!R38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70</v>
      </c>
      <c r="C44" s="197">
        <f>ДЕКАБРЬ!AE45</f>
        <v>-146.03766200000018</v>
      </c>
      <c r="D44" s="198">
        <f t="shared" si="11"/>
        <v>1.9471233602977402E-2</v>
      </c>
      <c r="E44" s="198">
        <f t="shared" si="14"/>
        <v>-0.20832478057193363</v>
      </c>
      <c r="F44" s="199" t="str">
        <f t="shared" si="16"/>
        <v>C</v>
      </c>
      <c r="G44" s="199" t="str">
        <f t="shared" si="12"/>
        <v>C</v>
      </c>
      <c r="I44" s="196" t="s">
        <v>241</v>
      </c>
      <c r="J44" s="197">
        <f>ДЕКАБРЬ!R40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66</v>
      </c>
      <c r="C45" s="197">
        <f>ДЕКАБРЬ!AE46</f>
        <v>-1233.836329</v>
      </c>
      <c r="D45" s="198">
        <f t="shared" si="11"/>
        <v>0.16450766919152027</v>
      </c>
      <c r="E45" s="198">
        <f t="shared" si="14"/>
        <v>-4.3817111380413359E-2</v>
      </c>
      <c r="F45" s="199" t="str">
        <f t="shared" si="16"/>
        <v>C</v>
      </c>
      <c r="G45" s="199" t="str">
        <f t="shared" si="12"/>
        <v>C</v>
      </c>
      <c r="I45" s="196" t="s">
        <v>243</v>
      </c>
      <c r="J45" s="197">
        <f>ДЕКАБРЬ!R42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51</v>
      </c>
      <c r="C46" s="197">
        <f>ДЕКАБРЬ!AE44</f>
        <v>-1360.861138</v>
      </c>
      <c r="D46" s="198">
        <f t="shared" si="11"/>
        <v>0.18144391492114981</v>
      </c>
      <c r="E46" s="198">
        <f t="shared" si="14"/>
        <v>0.13762680354073645</v>
      </c>
      <c r="F46" s="199" t="str">
        <f t="shared" si="16"/>
        <v>A</v>
      </c>
      <c r="G46" s="199" t="str">
        <f t="shared" si="12"/>
        <v>C</v>
      </c>
      <c r="I46" s="196" t="s">
        <v>771</v>
      </c>
      <c r="J46" s="197">
        <f>ДЕКАБРЬ!R43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98</v>
      </c>
      <c r="C47" s="197">
        <f>ДЕКАБРЬ!AE28</f>
        <v>-352.03</v>
      </c>
      <c r="D47" s="198">
        <f t="shared" si="11"/>
        <v>4.6936237347158606E-2</v>
      </c>
      <c r="E47" s="198">
        <f t="shared" si="14"/>
        <v>0.18456304088789505</v>
      </c>
      <c r="F47" s="199" t="str">
        <f t="shared" si="16"/>
        <v>A</v>
      </c>
      <c r="G47" s="199" t="str">
        <f t="shared" si="12"/>
        <v>A</v>
      </c>
      <c r="I47" s="196" t="s">
        <v>51</v>
      </c>
      <c r="J47" s="197">
        <f>ДЕКАБРЬ!R44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 ht="26.5" thickBot="1">
      <c r="B48" s="196" t="s">
        <v>243</v>
      </c>
      <c r="C48" s="197">
        <f>ДЕКАБРЬ!AE42</f>
        <v>-3352.92</v>
      </c>
      <c r="D48" s="198">
        <f t="shared" si="11"/>
        <v>0.44704556124772049</v>
      </c>
      <c r="E48" s="198">
        <f t="shared" si="14"/>
        <v>0.63160860213561554</v>
      </c>
      <c r="F48" s="199" t="str">
        <f t="shared" si="16"/>
        <v>A</v>
      </c>
      <c r="G48" s="199" t="str">
        <f t="shared" si="12"/>
        <v>C</v>
      </c>
      <c r="I48" s="196" t="s">
        <v>66</v>
      </c>
      <c r="J48" s="197">
        <f>ДЕКАБРЬ!R46</f>
        <v>0</v>
      </c>
      <c r="K48" s="198">
        <f t="shared" si="13"/>
        <v>0</v>
      </c>
      <c r="L48" s="198">
        <f t="shared" si="15"/>
        <v>1</v>
      </c>
      <c r="M48" s="199" t="str">
        <f t="shared" si="17"/>
        <v>C</v>
      </c>
    </row>
    <row r="49" spans="2:13" ht="26.5" thickBot="1">
      <c r="B49" s="196" t="s">
        <v>240</v>
      </c>
      <c r="C49" s="197">
        <f>ДЕКАБРЬ!AE39</f>
        <v>-2763</v>
      </c>
      <c r="D49" s="198">
        <f t="shared" si="11"/>
        <v>0.36839139786438441</v>
      </c>
      <c r="E49" s="198">
        <f t="shared" si="14"/>
        <v>1</v>
      </c>
      <c r="F49" s="199" t="str">
        <f t="shared" si="16"/>
        <v>C</v>
      </c>
      <c r="G49" s="199" t="str">
        <f t="shared" si="12"/>
        <v>A</v>
      </c>
      <c r="I49" s="196" t="s">
        <v>245</v>
      </c>
      <c r="J49" s="197">
        <f>ДЕКАБРЬ!R47</f>
        <v>0</v>
      </c>
      <c r="K49" s="198">
        <f t="shared" si="13"/>
        <v>0</v>
      </c>
      <c r="L49" s="198">
        <f t="shared" si="15"/>
        <v>1</v>
      </c>
      <c r="M49" s="199" t="str">
        <f t="shared" si="17"/>
        <v>C</v>
      </c>
    </row>
    <row r="50" spans="2:13">
      <c r="C50" s="205">
        <f>SUM(C30:C49)</f>
        <v>-7500.1751290000011</v>
      </c>
      <c r="D50" s="206">
        <f>SUM(D30:D49)</f>
        <v>1</v>
      </c>
      <c r="J50" s="205">
        <f>SUM(J30:J49)</f>
        <v>3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84" priority="4" operator="equal">
      <formula>"C"</formula>
    </cfRule>
    <cfRule type="cellIs" dxfId="383" priority="5" operator="equal">
      <formula>"B"</formula>
    </cfRule>
    <cfRule type="cellIs" dxfId="382" priority="6" operator="equal">
      <formula>"A"</formula>
    </cfRule>
  </conditionalFormatting>
  <conditionalFormatting sqref="M30:M49 D30:D49 K30:K49 F30:G49">
    <cfRule type="cellIs" dxfId="381" priority="1" operator="equal">
      <formula>"C"</formula>
    </cfRule>
    <cfRule type="cellIs" dxfId="380" priority="2" operator="equal">
      <formula>"B"</formula>
    </cfRule>
    <cfRule type="cellIs" dxfId="379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58B54-5C64-453E-9FAE-3104F936D510}">
  <dimension ref="B1:Q50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'Юнит 22-31.12'!AE3</f>
        <v>4910.3405009999851</v>
      </c>
      <c r="D4" s="198">
        <f>C4/C$26</f>
        <v>1.0670071432308852</v>
      </c>
      <c r="E4" s="198">
        <f>D4</f>
        <v>1.0670071432308852</v>
      </c>
      <c r="F4" s="199" t="str">
        <f t="shared" ref="F4:F12" si="0">IF(AND(E4&lt;=0),"C",IF(E4&lt;=0.8,"A",IF(E4&lt;=0.95,"B","C")))</f>
        <v>C</v>
      </c>
      <c r="G4" s="199" t="str">
        <f>VLOOKUP(B$4:B$25,I$4:M$25,5,0)</f>
        <v>A</v>
      </c>
      <c r="I4" s="196" t="s">
        <v>25</v>
      </c>
      <c r="J4" s="197">
        <f>'Юнит 22-31.12'!R3</f>
        <v>57</v>
      </c>
      <c r="K4" s="198">
        <f>J4/J$26</f>
        <v>0.6333333333333333</v>
      </c>
      <c r="L4" s="198">
        <f>K4</f>
        <v>0.6333333333333333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226</v>
      </c>
      <c r="C5" s="197">
        <f>'Юнит 22-31.12'!AE13</f>
        <v>1386.43</v>
      </c>
      <c r="D5" s="198">
        <f>C5/C$26</f>
        <v>0.30126845852916556</v>
      </c>
      <c r="E5" s="198">
        <f>D5+E4</f>
        <v>1.3682756017600508</v>
      </c>
      <c r="F5" s="199" t="str">
        <f t="shared" si="0"/>
        <v>C</v>
      </c>
      <c r="G5" s="199" t="str">
        <f>VLOOKUP(B$4:B$25,I$4:M$25,5,0)</f>
        <v>B</v>
      </c>
      <c r="I5" s="196" t="s">
        <v>223</v>
      </c>
      <c r="J5" s="197">
        <f>'Юнит 22-31.12'!R6</f>
        <v>15</v>
      </c>
      <c r="K5" s="198">
        <f>J5/J$26</f>
        <v>0.16666666666666666</v>
      </c>
      <c r="L5" s="198">
        <f>K5+L4</f>
        <v>0.79999999999999993</v>
      </c>
      <c r="M5" s="199" t="str">
        <f t="shared" si="1"/>
        <v>B</v>
      </c>
    </row>
    <row r="6" spans="2:17" ht="28.5" customHeight="1" outlineLevel="1" thickBot="1">
      <c r="B6" s="196" t="s">
        <v>88</v>
      </c>
      <c r="C6" s="197">
        <f>'Юнит 22-31.12'!AE10</f>
        <v>1157.2599999999998</v>
      </c>
      <c r="D6" s="198">
        <f>C6/C$26</f>
        <v>0.25147027712719866</v>
      </c>
      <c r="E6" s="198">
        <f t="shared" ref="E6:E25" si="2">D6+E5</f>
        <v>1.6197458788872494</v>
      </c>
      <c r="F6" s="199" t="str">
        <f t="shared" si="0"/>
        <v>C</v>
      </c>
      <c r="G6" s="199" t="str">
        <f>VLOOKUP(B$4:B$25,I$4:M$25,5,0)</f>
        <v>B</v>
      </c>
      <c r="I6" s="196" t="s">
        <v>92</v>
      </c>
      <c r="J6" s="197">
        <f>'Юнит 22-31.12'!R4</f>
        <v>3</v>
      </c>
      <c r="K6" s="198">
        <f>J6/J$26</f>
        <v>3.3333333333333333E-2</v>
      </c>
      <c r="L6" s="198">
        <f t="shared" ref="L6:L25" si="3">K6+L5</f>
        <v>0.83333333333333326</v>
      </c>
      <c r="M6" s="199" t="str">
        <f t="shared" si="1"/>
        <v>B</v>
      </c>
    </row>
    <row r="7" spans="2:17" ht="28.5" customHeight="1" outlineLevel="1" thickBot="1">
      <c r="B7" s="196" t="s">
        <v>92</v>
      </c>
      <c r="C7" s="197">
        <f>'Юнит 22-31.12'!AE4</f>
        <v>1039.02</v>
      </c>
      <c r="D7" s="198">
        <f>C7/C$26</f>
        <v>0.2257769622562795</v>
      </c>
      <c r="E7" s="198">
        <f t="shared" si="2"/>
        <v>1.8455228411435289</v>
      </c>
      <c r="F7" s="199" t="str">
        <f t="shared" si="0"/>
        <v>C</v>
      </c>
      <c r="G7" s="199" t="str">
        <f>VLOOKUP(B$4:B$25,I$4:M$25,5,0)</f>
        <v>B</v>
      </c>
      <c r="I7" s="196" t="s">
        <v>88</v>
      </c>
      <c r="J7" s="197">
        <f>'Юнит 22-31.12'!R10</f>
        <v>3</v>
      </c>
      <c r="K7" s="198">
        <f>J7/J$26</f>
        <v>3.3333333333333333E-2</v>
      </c>
      <c r="L7" s="198">
        <f t="shared" si="3"/>
        <v>0.86666666666666659</v>
      </c>
      <c r="M7" s="199" t="str">
        <f t="shared" si="1"/>
        <v>B</v>
      </c>
    </row>
    <row r="8" spans="2:17" ht="28.5" customHeight="1" outlineLevel="1" thickBot="1">
      <c r="B8" s="196" t="s">
        <v>224</v>
      </c>
      <c r="C8" s="197">
        <f>'Юнит 22-31.12'!AE11</f>
        <v>723.68000000000029</v>
      </c>
      <c r="D8" s="198">
        <f>C8/C$26</f>
        <v>0.15725421266734463</v>
      </c>
      <c r="E8" s="198">
        <f t="shared" si="2"/>
        <v>2.0027770538108736</v>
      </c>
      <c r="F8" s="199" t="str">
        <f t="shared" si="0"/>
        <v>C</v>
      </c>
      <c r="G8" s="199" t="str">
        <f>VLOOKUP(B$4:B$25,I$4:M$25,5,0)</f>
        <v>B</v>
      </c>
      <c r="I8" s="196" t="s">
        <v>226</v>
      </c>
      <c r="J8" s="197">
        <f>'Юнит 22-31.12'!R13</f>
        <v>3</v>
      </c>
      <c r="K8" s="198">
        <f>J8/J$26</f>
        <v>3.3333333333333333E-2</v>
      </c>
      <c r="L8" s="198">
        <f t="shared" si="3"/>
        <v>0.89999999999999991</v>
      </c>
      <c r="M8" s="199" t="str">
        <f t="shared" si="1"/>
        <v>B</v>
      </c>
    </row>
    <row r="9" spans="2:17" ht="28.5" customHeight="1" outlineLevel="1" thickBot="1">
      <c r="B9" s="196" t="s">
        <v>222</v>
      </c>
      <c r="C9" s="197">
        <f>'Юнит 22-31.12'!AE5</f>
        <v>636.38999999999987</v>
      </c>
      <c r="D9" s="198">
        <f t="shared" ref="D9:D25" si="4">C9/C$26</f>
        <v>0.13828627072652469</v>
      </c>
      <c r="E9" s="198">
        <f t="shared" si="2"/>
        <v>2.1410633245373982</v>
      </c>
      <c r="F9" s="199" t="str">
        <f t="shared" si="0"/>
        <v>C</v>
      </c>
      <c r="G9" s="199" t="str">
        <f t="shared" ref="G9:G25" si="5">VLOOKUP(B$4:B$25,I$4:M$25,5,0)</f>
        <v>B</v>
      </c>
      <c r="I9" s="196" t="s">
        <v>222</v>
      </c>
      <c r="J9" s="197">
        <f>'Юнит 22-31.12'!R5</f>
        <v>2</v>
      </c>
      <c r="K9" s="198">
        <f t="shared" ref="K9:K25" si="6">J9/J$26</f>
        <v>2.2222222222222223E-2</v>
      </c>
      <c r="L9" s="198">
        <f t="shared" si="3"/>
        <v>0.92222222222222217</v>
      </c>
      <c r="M9" s="199" t="str">
        <f t="shared" si="1"/>
        <v>B</v>
      </c>
    </row>
    <row r="10" spans="2:17" ht="28.5" customHeight="1" outlineLevel="1" thickBot="1">
      <c r="B10" s="196" t="s">
        <v>227</v>
      </c>
      <c r="C10" s="197">
        <f>'Юнит 22-31.12'!AE14</f>
        <v>412.5500000000003</v>
      </c>
      <c r="D10" s="198">
        <f t="shared" si="4"/>
        <v>8.9646287635298819E-2</v>
      </c>
      <c r="E10" s="198">
        <f t="shared" si="2"/>
        <v>2.230709612172697</v>
      </c>
      <c r="F10" s="199" t="str">
        <f t="shared" si="0"/>
        <v>C</v>
      </c>
      <c r="G10" s="199" t="str">
        <f t="shared" si="5"/>
        <v>B</v>
      </c>
      <c r="I10" s="196" t="s">
        <v>224</v>
      </c>
      <c r="J10" s="197">
        <f>'Юнит 22-31.12'!R11</f>
        <v>2</v>
      </c>
      <c r="K10" s="198">
        <f t="shared" si="6"/>
        <v>2.2222222222222223E-2</v>
      </c>
      <c r="L10" s="198">
        <f t="shared" si="3"/>
        <v>0.94444444444444442</v>
      </c>
      <c r="M10" s="199" t="str">
        <f t="shared" si="1"/>
        <v>B</v>
      </c>
    </row>
    <row r="11" spans="2:17" ht="28.5" customHeight="1" outlineLevel="1" thickBot="1">
      <c r="B11" s="196" t="s">
        <v>225</v>
      </c>
      <c r="C11" s="197">
        <f>'Юнит 22-31.12'!AE12</f>
        <v>202.91999999999996</v>
      </c>
      <c r="D11" s="198">
        <f t="shared" si="4"/>
        <v>4.4094109046066705E-2</v>
      </c>
      <c r="E11" s="198">
        <f>D11+E8</f>
        <v>2.0468711628569403</v>
      </c>
      <c r="F11" s="199" t="str">
        <f t="shared" si="0"/>
        <v>C</v>
      </c>
      <c r="G11" s="199" t="str">
        <f t="shared" si="5"/>
        <v>C</v>
      </c>
      <c r="I11" s="196" t="s">
        <v>227</v>
      </c>
      <c r="J11" s="197">
        <f>'Юнит 22-31.12'!R14</f>
        <v>2</v>
      </c>
      <c r="K11" s="198">
        <f t="shared" si="6"/>
        <v>2.2222222222222223E-2</v>
      </c>
      <c r="L11" s="198">
        <f>K11+L8</f>
        <v>0.92222222222222217</v>
      </c>
      <c r="M11" s="199" t="str">
        <f t="shared" si="1"/>
        <v>B</v>
      </c>
    </row>
    <row r="12" spans="2:17" ht="28.5" customHeight="1" outlineLevel="1" thickBot="1">
      <c r="B12" s="196" t="s">
        <v>54</v>
      </c>
      <c r="C12" s="197">
        <f>'Юнит 22-31.12'!AE7</f>
        <v>0</v>
      </c>
      <c r="D12" s="198">
        <f t="shared" si="4"/>
        <v>0</v>
      </c>
      <c r="E12" s="198">
        <f t="shared" si="2"/>
        <v>2.0468711628569403</v>
      </c>
      <c r="F12" s="199" t="str">
        <f t="shared" si="0"/>
        <v>C</v>
      </c>
      <c r="G12" s="199" t="str">
        <f t="shared" si="5"/>
        <v>C</v>
      </c>
      <c r="I12" s="196" t="s">
        <v>228</v>
      </c>
      <c r="J12" s="197">
        <f>'Юнит 22-31.12'!R15</f>
        <v>2</v>
      </c>
      <c r="K12" s="198">
        <f t="shared" si="6"/>
        <v>2.2222222222222223E-2</v>
      </c>
      <c r="L12" s="198">
        <f t="shared" si="3"/>
        <v>0.94444444444444442</v>
      </c>
      <c r="M12" s="199" t="str">
        <f t="shared" si="1"/>
        <v>B</v>
      </c>
    </row>
    <row r="13" spans="2:17" ht="15" outlineLevel="1" thickBot="1">
      <c r="B13" s="196" t="s">
        <v>229</v>
      </c>
      <c r="C13" s="197">
        <f>'Юнит 22-31.12'!AE17</f>
        <v>0</v>
      </c>
      <c r="D13" s="198">
        <f t="shared" si="4"/>
        <v>0</v>
      </c>
      <c r="E13" s="198">
        <f t="shared" si="2"/>
        <v>2.0468711628569403</v>
      </c>
      <c r="F13" s="199" t="str">
        <f>IF(AND(E13&lt;=0),"C",IF(E13&lt;=0.8,"A",IF(E13&lt;=0.95,"B","C")))</f>
        <v>C</v>
      </c>
      <c r="G13" s="199" t="str">
        <f t="shared" si="5"/>
        <v>C</v>
      </c>
      <c r="I13" s="196" t="s">
        <v>225</v>
      </c>
      <c r="J13" s="197">
        <f>'Юнит 22-31.12'!R12</f>
        <v>1</v>
      </c>
      <c r="K13" s="198">
        <f t="shared" si="6"/>
        <v>1.1111111111111112E-2</v>
      </c>
      <c r="L13" s="198">
        <f t="shared" si="3"/>
        <v>0.95555555555555549</v>
      </c>
      <c r="M13" s="199" t="str">
        <f>_xlfn.IFS(L13&lt;80%,"A",L13&lt;=95%,"B",L13&gt;95%,"C")</f>
        <v>C</v>
      </c>
      <c r="P13" s="200" t="s">
        <v>301</v>
      </c>
      <c r="Q13" s="201">
        <v>0.8</v>
      </c>
    </row>
    <row r="14" spans="2:17" ht="15" outlineLevel="1" thickBot="1">
      <c r="B14" s="196" t="s">
        <v>230</v>
      </c>
      <c r="C14" s="197">
        <f>'Юнит 22-31.12'!AE18</f>
        <v>0</v>
      </c>
      <c r="D14" s="198">
        <f t="shared" si="4"/>
        <v>0</v>
      </c>
      <c r="E14" s="198">
        <f t="shared" si="2"/>
        <v>2.0468711628569403</v>
      </c>
      <c r="F14" s="199" t="str">
        <f t="shared" ref="F14:F25" si="7">IF(AND(E14&lt;=0),"C",IF(E14&lt;=0.8,"A",IF(E14&lt;=0.95,"B","C")))</f>
        <v>C</v>
      </c>
      <c r="G14" s="199" t="str">
        <f t="shared" si="5"/>
        <v>C</v>
      </c>
      <c r="I14" s="196" t="s">
        <v>54</v>
      </c>
      <c r="J14" s="197">
        <f>'Юнит 22-31.12'!R7</f>
        <v>0</v>
      </c>
      <c r="K14" s="198">
        <f t="shared" si="6"/>
        <v>0</v>
      </c>
      <c r="L14" s="198">
        <f t="shared" si="3"/>
        <v>0.95555555555555549</v>
      </c>
      <c r="M14" s="199" t="str">
        <f t="shared" ref="M14:M25" si="8">_xlfn.IFS(L14&lt;80%,"A",L14&lt;=95%,"B",L14&gt;95%,"C")</f>
        <v>C</v>
      </c>
      <c r="P14" s="202" t="s">
        <v>302</v>
      </c>
      <c r="Q14" s="201">
        <v>0.15</v>
      </c>
    </row>
    <row r="15" spans="2:17" ht="15" outlineLevel="1" thickBot="1">
      <c r="B15" s="196" t="s">
        <v>231</v>
      </c>
      <c r="C15" s="197">
        <f>'Юнит 22-31.12'!AE19</f>
        <v>0</v>
      </c>
      <c r="D15" s="198">
        <f t="shared" si="4"/>
        <v>0</v>
      </c>
      <c r="E15" s="198">
        <f t="shared" si="2"/>
        <v>2.0468711628569403</v>
      </c>
      <c r="F15" s="199" t="str">
        <f t="shared" si="7"/>
        <v>C</v>
      </c>
      <c r="G15" s="199" t="str">
        <f t="shared" si="5"/>
        <v>C</v>
      </c>
      <c r="I15" s="196" t="s">
        <v>1054</v>
      </c>
      <c r="J15" s="197">
        <f>'Юнит 22-31.12'!R8</f>
        <v>0</v>
      </c>
      <c r="K15" s="198">
        <f t="shared" si="6"/>
        <v>0</v>
      </c>
      <c r="L15" s="198">
        <f t="shared" si="3"/>
        <v>0.95555555555555549</v>
      </c>
      <c r="M15" s="199" t="str">
        <f t="shared" si="8"/>
        <v>C</v>
      </c>
      <c r="P15" s="203" t="s">
        <v>303</v>
      </c>
      <c r="Q15" s="201">
        <v>0.05</v>
      </c>
    </row>
    <row r="16" spans="2:17" ht="15" outlineLevel="1" thickBot="1">
      <c r="B16" s="196" t="s">
        <v>232</v>
      </c>
      <c r="C16" s="197">
        <f>'Юнит 22-31.12'!AE21</f>
        <v>0</v>
      </c>
      <c r="D16" s="198">
        <f t="shared" si="4"/>
        <v>0</v>
      </c>
      <c r="E16" s="198">
        <f t="shared" si="2"/>
        <v>2.0468711628569403</v>
      </c>
      <c r="F16" s="199" t="str">
        <f t="shared" si="7"/>
        <v>C</v>
      </c>
      <c r="G16" s="199" t="str">
        <f t="shared" si="5"/>
        <v>C</v>
      </c>
      <c r="I16" s="196" t="s">
        <v>1055</v>
      </c>
      <c r="J16" s="197">
        <f>'Юнит 22-31.12'!R9</f>
        <v>0</v>
      </c>
      <c r="K16" s="198">
        <f t="shared" si="6"/>
        <v>0</v>
      </c>
      <c r="L16" s="198">
        <f t="shared" si="3"/>
        <v>0.95555555555555549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136</v>
      </c>
      <c r="C17" s="197">
        <f>'Юнит 22-31.12'!AE22</f>
        <v>0</v>
      </c>
      <c r="D17" s="198">
        <f t="shared" si="4"/>
        <v>0</v>
      </c>
      <c r="E17" s="198">
        <f t="shared" si="2"/>
        <v>2.0468711628569403</v>
      </c>
      <c r="F17" s="199" t="str">
        <f t="shared" si="7"/>
        <v>C</v>
      </c>
      <c r="G17" s="199" t="str">
        <f t="shared" si="5"/>
        <v>C</v>
      </c>
      <c r="I17" s="196" t="s">
        <v>19</v>
      </c>
      <c r="J17" s="197">
        <f>'Юнит 22-31.12'!R16</f>
        <v>0</v>
      </c>
      <c r="K17" s="198">
        <f t="shared" si="6"/>
        <v>0</v>
      </c>
      <c r="L17" s="198">
        <f t="shared" si="3"/>
        <v>0.95555555555555549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233</v>
      </c>
      <c r="C18" s="197">
        <f>'Юнит 22-31.12'!AE23</f>
        <v>0</v>
      </c>
      <c r="D18" s="198">
        <f t="shared" si="4"/>
        <v>0</v>
      </c>
      <c r="E18" s="198">
        <f t="shared" si="2"/>
        <v>2.0468711628569403</v>
      </c>
      <c r="F18" s="199" t="str">
        <f t="shared" si="7"/>
        <v>C</v>
      </c>
      <c r="G18" s="199" t="str">
        <f t="shared" si="5"/>
        <v>C</v>
      </c>
      <c r="I18" s="196" t="s">
        <v>229</v>
      </c>
      <c r="J18" s="197">
        <f>'Юнит 22-31.12'!R17</f>
        <v>0</v>
      </c>
      <c r="K18" s="198">
        <f t="shared" si="6"/>
        <v>0</v>
      </c>
      <c r="L18" s="198">
        <f t="shared" si="3"/>
        <v>0.95555555555555549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234</v>
      </c>
      <c r="C19" s="197">
        <f>'Юнит 22-31.12'!AE24</f>
        <v>0</v>
      </c>
      <c r="D19" s="198">
        <f t="shared" si="4"/>
        <v>0</v>
      </c>
      <c r="E19" s="198">
        <f t="shared" si="2"/>
        <v>2.0468711628569403</v>
      </c>
      <c r="F19" s="199" t="str">
        <f t="shared" si="7"/>
        <v>C</v>
      </c>
      <c r="G19" s="199" t="str">
        <f t="shared" si="5"/>
        <v>C</v>
      </c>
      <c r="I19" s="196" t="s">
        <v>230</v>
      </c>
      <c r="J19" s="197">
        <f>'Юнит 22-31.12'!R18</f>
        <v>0</v>
      </c>
      <c r="K19" s="198">
        <f t="shared" si="6"/>
        <v>0</v>
      </c>
      <c r="L19" s="198">
        <f t="shared" si="3"/>
        <v>0.95555555555555549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1054</v>
      </c>
      <c r="C20" s="197">
        <f>'Юнит 22-31.12'!AE8</f>
        <v>-92</v>
      </c>
      <c r="D20" s="198">
        <f t="shared" si="4"/>
        <v>-1.999141549496421E-2</v>
      </c>
      <c r="E20" s="198">
        <f t="shared" si="2"/>
        <v>2.026879747361976</v>
      </c>
      <c r="F20" s="199" t="str">
        <f t="shared" si="7"/>
        <v>C</v>
      </c>
      <c r="G20" s="199" t="str">
        <f t="shared" si="5"/>
        <v>C</v>
      </c>
      <c r="I20" s="196" t="s">
        <v>231</v>
      </c>
      <c r="J20" s="197">
        <f>'Юнит 22-31.12'!R19</f>
        <v>0</v>
      </c>
      <c r="K20" s="198">
        <f t="shared" si="6"/>
        <v>0</v>
      </c>
      <c r="L20" s="198">
        <f t="shared" si="3"/>
        <v>0.95555555555555549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111</v>
      </c>
      <c r="C21" s="197">
        <f>'Юнит 22-31.12'!AE20</f>
        <v>-113.88</v>
      </c>
      <c r="D21" s="198">
        <f t="shared" si="4"/>
        <v>-2.4745895614853526E-2</v>
      </c>
      <c r="E21" s="198">
        <f t="shared" si="2"/>
        <v>2.0021338517471223</v>
      </c>
      <c r="F21" s="199" t="str">
        <f t="shared" si="7"/>
        <v>C</v>
      </c>
      <c r="G21" s="199" t="str">
        <f t="shared" si="5"/>
        <v>C</v>
      </c>
      <c r="I21" s="196" t="s">
        <v>111</v>
      </c>
      <c r="J21" s="197">
        <f>'Юнит 22-31.12'!R20</f>
        <v>0</v>
      </c>
      <c r="K21" s="198">
        <f t="shared" si="6"/>
        <v>0</v>
      </c>
      <c r="L21" s="198">
        <f t="shared" si="3"/>
        <v>0.95555555555555549</v>
      </c>
      <c r="M21" s="199" t="str">
        <f t="shared" si="8"/>
        <v>C</v>
      </c>
      <c r="P21" s="204"/>
      <c r="Q21" s="198"/>
    </row>
    <row r="22" spans="2:17" ht="26.5" outlineLevel="1" thickBot="1">
      <c r="B22" s="196" t="s">
        <v>228</v>
      </c>
      <c r="C22" s="197">
        <f>'Юнит 22-31.12'!AE15</f>
        <v>-307.58999999999952</v>
      </c>
      <c r="D22" s="198">
        <f t="shared" si="4"/>
        <v>-6.6838690131478612E-2</v>
      </c>
      <c r="E22" s="198">
        <f t="shared" si="2"/>
        <v>1.9352951616156437</v>
      </c>
      <c r="F22" s="199" t="str">
        <f t="shared" si="7"/>
        <v>C</v>
      </c>
      <c r="G22" s="199" t="str">
        <f t="shared" si="5"/>
        <v>B</v>
      </c>
      <c r="I22" s="196" t="s">
        <v>232</v>
      </c>
      <c r="J22" s="197">
        <f>'Юнит 22-31.12'!R21</f>
        <v>0</v>
      </c>
      <c r="K22" s="198">
        <f t="shared" si="6"/>
        <v>0</v>
      </c>
      <c r="L22" s="198">
        <f t="shared" si="3"/>
        <v>0.95555555555555549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19</v>
      </c>
      <c r="C23" s="197">
        <f>'Юнит 22-31.12'!AE16</f>
        <v>-664.7</v>
      </c>
      <c r="D23" s="198">
        <f t="shared" si="4"/>
        <v>-0.14443797695111643</v>
      </c>
      <c r="E23" s="198">
        <f t="shared" si="2"/>
        <v>1.7908571846645274</v>
      </c>
      <c r="F23" s="199" t="str">
        <f t="shared" si="7"/>
        <v>C</v>
      </c>
      <c r="G23" s="199" t="str">
        <f t="shared" si="5"/>
        <v>C</v>
      </c>
      <c r="I23" s="196" t="s">
        <v>136</v>
      </c>
      <c r="J23" s="197">
        <f>'Юнит 22-31.12'!R22</f>
        <v>0</v>
      </c>
      <c r="K23" s="198">
        <f t="shared" si="6"/>
        <v>0</v>
      </c>
      <c r="L23" s="198">
        <f t="shared" si="3"/>
        <v>0.95555555555555549</v>
      </c>
      <c r="M23" s="199" t="str">
        <f t="shared" si="8"/>
        <v>C</v>
      </c>
      <c r="P23" s="204"/>
      <c r="Q23" s="198"/>
    </row>
    <row r="24" spans="2:17" ht="15" outlineLevel="1" thickBot="1">
      <c r="B24" s="196" t="s">
        <v>1055</v>
      </c>
      <c r="C24" s="197">
        <f>'Юнит 22-31.12'!AE9</f>
        <v>-2274.0264809999999</v>
      </c>
      <c r="D24" s="198">
        <f t="shared" si="4"/>
        <v>-0.49414139378502536</v>
      </c>
      <c r="E24" s="198">
        <f t="shared" si="2"/>
        <v>1.296715790879502</v>
      </c>
      <c r="F24" s="199" t="str">
        <f t="shared" si="7"/>
        <v>C</v>
      </c>
      <c r="G24" s="199" t="str">
        <f t="shared" si="5"/>
        <v>C</v>
      </c>
      <c r="I24" s="196" t="s">
        <v>233</v>
      </c>
      <c r="J24" s="197">
        <f>'Юнит 22-31.12'!R23</f>
        <v>0</v>
      </c>
      <c r="K24" s="198">
        <f t="shared" si="6"/>
        <v>0</v>
      </c>
      <c r="L24" s="198">
        <f t="shared" si="3"/>
        <v>0.95555555555555549</v>
      </c>
      <c r="M24" s="199" t="str">
        <f t="shared" si="8"/>
        <v>C</v>
      </c>
      <c r="P24" s="204"/>
      <c r="Q24" s="198"/>
    </row>
    <row r="25" spans="2:17" ht="15" outlineLevel="1" thickBot="1">
      <c r="B25" s="196" t="s">
        <v>223</v>
      </c>
      <c r="C25" s="197">
        <f>'Юнит 22-31.12'!AE6</f>
        <v>-2414.4187359999828</v>
      </c>
      <c r="D25" s="198">
        <f t="shared" si="4"/>
        <v>-0.52464834924132564</v>
      </c>
      <c r="E25" s="198">
        <f t="shared" si="2"/>
        <v>0.77206744163817631</v>
      </c>
      <c r="F25" s="199" t="str">
        <f t="shared" si="7"/>
        <v>A</v>
      </c>
      <c r="G25" s="199" t="str">
        <f t="shared" si="5"/>
        <v>B</v>
      </c>
      <c r="I25" s="196" t="s">
        <v>234</v>
      </c>
      <c r="J25" s="197">
        <f>'Юнит 22-31.12'!R24</f>
        <v>0</v>
      </c>
      <c r="K25" s="198">
        <f t="shared" si="6"/>
        <v>0</v>
      </c>
      <c r="L25" s="198">
        <f t="shared" si="3"/>
        <v>0.95555555555555549</v>
      </c>
      <c r="M25" s="199" t="str">
        <f t="shared" si="8"/>
        <v>C</v>
      </c>
      <c r="P25" s="204"/>
      <c r="Q25" s="198"/>
    </row>
    <row r="26" spans="2:17" outlineLevel="1">
      <c r="C26" s="205">
        <f>SUM(C4:C25)</f>
        <v>4601.9752840000037</v>
      </c>
      <c r="D26" s="206">
        <f>SUM(D4:D25)</f>
        <v>0.99999999999999956</v>
      </c>
      <c r="J26" s="205">
        <f>SUM(J4:J25)</f>
        <v>90</v>
      </c>
      <c r="K26" s="206">
        <f>SUM(K4:K25)</f>
        <v>1</v>
      </c>
    </row>
    <row r="27" spans="2:17" ht="15" thickBot="1"/>
    <row r="28" spans="2:17" ht="15" thickBot="1">
      <c r="B28" s="516" t="s">
        <v>304</v>
      </c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8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98</v>
      </c>
      <c r="C30" s="197">
        <f>'Юнит 22-31.12'!AE28</f>
        <v>0</v>
      </c>
      <c r="D30" s="198">
        <f>C30/C$50</f>
        <v>0</v>
      </c>
      <c r="E30" s="198">
        <f>D30</f>
        <v>0</v>
      </c>
      <c r="F30" s="199" t="str">
        <f t="shared" ref="F30:F36" si="9">IF(AND(E30&lt;=0),"C",IF(E30&lt;=0.8,"A",IF(E30&lt;=0.95,"B","C")))</f>
        <v>C</v>
      </c>
      <c r="G30" s="199" t="e">
        <f>VLOOKUP(B$30:B$50,I$30:M$50,5,0)</f>
        <v>#DIV/0!</v>
      </c>
      <c r="I30" s="196" t="s">
        <v>98</v>
      </c>
      <c r="J30" s="197">
        <f>'Юнит 22-31.12'!R28</f>
        <v>0</v>
      </c>
      <c r="K30" s="198" t="e">
        <f>J30/J$50</f>
        <v>#DIV/0!</v>
      </c>
      <c r="L30" s="198" t="e">
        <f>K30</f>
        <v>#DIV/0!</v>
      </c>
      <c r="M30" s="199" t="e">
        <f t="shared" ref="M30:M36" si="10">_xlfn.IFS(L30&lt;80%,"A",L30&lt;=95%,"B",L30&gt;95%,"C")</f>
        <v>#DIV/0!</v>
      </c>
    </row>
    <row r="31" spans="2:17" ht="26.5" thickBot="1">
      <c r="B31" s="196" t="s">
        <v>43</v>
      </c>
      <c r="C31" s="197">
        <f>'Юнит 22-31.12'!AE29</f>
        <v>0</v>
      </c>
      <c r="D31" s="198">
        <f t="shared" ref="D31:D49" si="11">C31/C$50</f>
        <v>0</v>
      </c>
      <c r="E31" s="198">
        <f>D31+E30</f>
        <v>0</v>
      </c>
      <c r="F31" s="199" t="str">
        <f t="shared" si="9"/>
        <v>C</v>
      </c>
      <c r="G31" s="199" t="e">
        <f t="shared" ref="G31:G49" si="12">VLOOKUP(B$30:B$50,I$30:M$50,5,0)</f>
        <v>#DIV/0!</v>
      </c>
      <c r="I31" s="196" t="s">
        <v>43</v>
      </c>
      <c r="J31" s="197">
        <f>'Юнит 22-31.12'!R29</f>
        <v>0</v>
      </c>
      <c r="K31" s="198" t="e">
        <f t="shared" ref="K31:K49" si="13">J31/J$50</f>
        <v>#DIV/0!</v>
      </c>
      <c r="L31" s="198" t="e">
        <f>K31+L30</f>
        <v>#DIV/0!</v>
      </c>
      <c r="M31" s="199" t="e">
        <f t="shared" si="10"/>
        <v>#DIV/0!</v>
      </c>
    </row>
    <row r="32" spans="2:17" ht="26.5" thickBot="1">
      <c r="B32" s="196" t="s">
        <v>235</v>
      </c>
      <c r="C32" s="197">
        <f>'Юнит 22-31.12'!AE30</f>
        <v>0</v>
      </c>
      <c r="D32" s="198">
        <f t="shared" si="11"/>
        <v>0</v>
      </c>
      <c r="E32" s="198">
        <f t="shared" ref="E32:E49" si="14">D32+E31</f>
        <v>0</v>
      </c>
      <c r="F32" s="199" t="str">
        <f t="shared" si="9"/>
        <v>C</v>
      </c>
      <c r="G32" s="199" t="e">
        <f t="shared" si="12"/>
        <v>#DIV/0!</v>
      </c>
      <c r="I32" s="196" t="s">
        <v>235</v>
      </c>
      <c r="J32" s="197">
        <f>'Юнит 22-31.12'!R30</f>
        <v>0</v>
      </c>
      <c r="K32" s="198" t="e">
        <f t="shared" si="13"/>
        <v>#DIV/0!</v>
      </c>
      <c r="L32" s="198" t="e">
        <f t="shared" ref="L32:L49" si="15">K32+L31</f>
        <v>#DIV/0!</v>
      </c>
      <c r="M32" s="199" t="e">
        <f t="shared" si="10"/>
        <v>#DIV/0!</v>
      </c>
    </row>
    <row r="33" spans="2:13" ht="15" thickBot="1">
      <c r="B33" s="196" t="s">
        <v>39</v>
      </c>
      <c r="C33" s="197">
        <f>'Юнит 22-31.12'!AE32</f>
        <v>0</v>
      </c>
      <c r="D33" s="198">
        <f t="shared" si="11"/>
        <v>0</v>
      </c>
      <c r="E33" s="198">
        <f t="shared" si="14"/>
        <v>0</v>
      </c>
      <c r="F33" s="199" t="str">
        <f t="shared" si="9"/>
        <v>C</v>
      </c>
      <c r="G33" s="199" t="e">
        <f t="shared" si="12"/>
        <v>#DIV/0!</v>
      </c>
      <c r="I33" s="196" t="s">
        <v>171</v>
      </c>
      <c r="J33" s="197">
        <f>'Юнит 22-31.12'!R31</f>
        <v>0</v>
      </c>
      <c r="K33" s="198" t="e">
        <f t="shared" si="13"/>
        <v>#DIV/0!</v>
      </c>
      <c r="L33" s="198" t="e">
        <f t="shared" si="15"/>
        <v>#DIV/0!</v>
      </c>
      <c r="M33" s="199" t="e">
        <f t="shared" si="10"/>
        <v>#DIV/0!</v>
      </c>
    </row>
    <row r="34" spans="2:13" ht="15" thickBot="1">
      <c r="B34" s="196" t="s">
        <v>237</v>
      </c>
      <c r="C34" s="197">
        <f>'Юнит 22-31.12'!AE34</f>
        <v>0</v>
      </c>
      <c r="D34" s="198">
        <f t="shared" si="11"/>
        <v>0</v>
      </c>
      <c r="E34" s="198">
        <f t="shared" si="14"/>
        <v>0</v>
      </c>
      <c r="F34" s="199" t="str">
        <f t="shared" si="9"/>
        <v>C</v>
      </c>
      <c r="G34" s="199" t="e">
        <f t="shared" si="12"/>
        <v>#DIV/0!</v>
      </c>
      <c r="I34" s="196" t="s">
        <v>39</v>
      </c>
      <c r="J34" s="197">
        <f>'Юнит 22-31.12'!R32</f>
        <v>0</v>
      </c>
      <c r="K34" s="198" t="e">
        <f t="shared" si="13"/>
        <v>#DIV/0!</v>
      </c>
      <c r="L34" s="198" t="e">
        <f t="shared" si="15"/>
        <v>#DIV/0!</v>
      </c>
      <c r="M34" s="199" t="e">
        <f t="shared" si="10"/>
        <v>#DIV/0!</v>
      </c>
    </row>
    <row r="35" spans="2:13" ht="15" thickBot="1">
      <c r="B35" s="196" t="s">
        <v>142</v>
      </c>
      <c r="C35" s="197">
        <f>'Юнит 22-31.12'!AE35</f>
        <v>0</v>
      </c>
      <c r="D35" s="198">
        <f t="shared" si="11"/>
        <v>0</v>
      </c>
      <c r="E35" s="198">
        <f t="shared" si="14"/>
        <v>0</v>
      </c>
      <c r="F35" s="199" t="str">
        <f t="shared" si="9"/>
        <v>C</v>
      </c>
      <c r="G35" s="199" t="e">
        <f t="shared" si="12"/>
        <v>#DIV/0!</v>
      </c>
      <c r="I35" s="196" t="s">
        <v>236</v>
      </c>
      <c r="J35" s="197">
        <f>'Юнит 22-31.12'!R33</f>
        <v>0</v>
      </c>
      <c r="K35" s="198" t="e">
        <f t="shared" si="13"/>
        <v>#DIV/0!</v>
      </c>
      <c r="L35" s="198" t="e">
        <f t="shared" si="15"/>
        <v>#DIV/0!</v>
      </c>
      <c r="M35" s="199" t="e">
        <f t="shared" si="10"/>
        <v>#DIV/0!</v>
      </c>
    </row>
    <row r="36" spans="2:13" ht="15" thickBot="1">
      <c r="B36" s="196" t="s">
        <v>238</v>
      </c>
      <c r="C36" s="197">
        <f>'Юнит 22-31.12'!AE36</f>
        <v>0</v>
      </c>
      <c r="D36" s="198">
        <f t="shared" si="11"/>
        <v>0</v>
      </c>
      <c r="E36" s="198">
        <f t="shared" si="14"/>
        <v>0</v>
      </c>
      <c r="F36" s="199" t="str">
        <f t="shared" si="9"/>
        <v>C</v>
      </c>
      <c r="G36" s="199" t="e">
        <f t="shared" si="12"/>
        <v>#DIV/0!</v>
      </c>
      <c r="I36" s="196" t="s">
        <v>237</v>
      </c>
      <c r="J36" s="197">
        <f>'Юнит 22-31.12'!R34</f>
        <v>0</v>
      </c>
      <c r="K36" s="198" t="e">
        <f t="shared" si="13"/>
        <v>#DIV/0!</v>
      </c>
      <c r="L36" s="198" t="e">
        <f t="shared" si="15"/>
        <v>#DIV/0!</v>
      </c>
      <c r="M36" s="199" t="e">
        <f t="shared" si="10"/>
        <v>#DIV/0!</v>
      </c>
    </row>
    <row r="37" spans="2:13" ht="15" thickBot="1">
      <c r="B37" s="196" t="s">
        <v>62</v>
      </c>
      <c r="C37" s="197">
        <f>'Юнит 22-31.12'!AE37</f>
        <v>0</v>
      </c>
      <c r="D37" s="198">
        <f t="shared" si="11"/>
        <v>0</v>
      </c>
      <c r="E37" s="198">
        <f t="shared" si="14"/>
        <v>0</v>
      </c>
      <c r="F37" s="199" t="str">
        <f>IF(AND(E37&lt;=0),"C",IF(E37&lt;=0.8,"A",IF(E37&lt;=0.95,"B","C")))</f>
        <v>C</v>
      </c>
      <c r="G37" s="199" t="e">
        <f t="shared" si="12"/>
        <v>#DIV/0!</v>
      </c>
      <c r="I37" s="196" t="s">
        <v>142</v>
      </c>
      <c r="J37" s="197">
        <f>'Юнит 22-31.12'!R35</f>
        <v>0</v>
      </c>
      <c r="K37" s="198" t="e">
        <f t="shared" si="13"/>
        <v>#DIV/0!</v>
      </c>
      <c r="L37" s="198" t="e">
        <f t="shared" si="15"/>
        <v>#DIV/0!</v>
      </c>
      <c r="M37" s="199" t="e">
        <f>_xlfn.IFS(L37&lt;80%,"A",L37&lt;=95%,"B",L37&gt;95%,"C")</f>
        <v>#DIV/0!</v>
      </c>
    </row>
    <row r="38" spans="2:13" ht="26.5" thickBot="1">
      <c r="B38" s="196" t="s">
        <v>240</v>
      </c>
      <c r="C38" s="197">
        <f>'Юнит 22-31.12'!AE39</f>
        <v>0</v>
      </c>
      <c r="D38" s="198">
        <f t="shared" si="11"/>
        <v>0</v>
      </c>
      <c r="E38" s="198">
        <f t="shared" si="14"/>
        <v>0</v>
      </c>
      <c r="F38" s="199" t="str">
        <f t="shared" ref="F38:F49" si="16">IF(AND(E38&lt;=0),"C",IF(E38&lt;=0.8,"A",IF(E38&lt;=0.95,"B","C")))</f>
        <v>C</v>
      </c>
      <c r="G38" s="199" t="e">
        <f t="shared" si="12"/>
        <v>#DIV/0!</v>
      </c>
      <c r="I38" s="196" t="s">
        <v>238</v>
      </c>
      <c r="J38" s="197">
        <f>'Юнит 22-31.12'!R36</f>
        <v>0</v>
      </c>
      <c r="K38" s="198" t="e">
        <f t="shared" si="13"/>
        <v>#DIV/0!</v>
      </c>
      <c r="L38" s="198" t="e">
        <f t="shared" si="15"/>
        <v>#DIV/0!</v>
      </c>
      <c r="M38" s="199" t="e">
        <f t="shared" ref="M38:M49" si="17">_xlfn.IFS(L38&lt;80%,"A",L38&lt;=95%,"B",L38&gt;95%,"C")</f>
        <v>#DIV/0!</v>
      </c>
    </row>
    <row r="39" spans="2:13" ht="15" thickBot="1">
      <c r="B39" s="196" t="s">
        <v>241</v>
      </c>
      <c r="C39" s="197">
        <f>'Юнит 22-31.12'!AE40</f>
        <v>0</v>
      </c>
      <c r="D39" s="198">
        <f t="shared" si="11"/>
        <v>0</v>
      </c>
      <c r="E39" s="198">
        <f t="shared" si="14"/>
        <v>0</v>
      </c>
      <c r="F39" s="199" t="str">
        <f t="shared" si="16"/>
        <v>C</v>
      </c>
      <c r="G39" s="199" t="e">
        <f t="shared" si="12"/>
        <v>#DIV/0!</v>
      </c>
      <c r="I39" s="196" t="s">
        <v>62</v>
      </c>
      <c r="J39" s="197">
        <f>'Юнит 22-31.12'!R37</f>
        <v>0</v>
      </c>
      <c r="K39" s="198" t="e">
        <f t="shared" si="13"/>
        <v>#DIV/0!</v>
      </c>
      <c r="L39" s="198" t="e">
        <f t="shared" si="15"/>
        <v>#DIV/0!</v>
      </c>
      <c r="M39" s="199" t="e">
        <f t="shared" si="17"/>
        <v>#DIV/0!</v>
      </c>
    </row>
    <row r="40" spans="2:13" ht="26.5" thickBot="1">
      <c r="B40" s="196" t="s">
        <v>242</v>
      </c>
      <c r="C40" s="197">
        <f>'Юнит 22-31.12'!AE41</f>
        <v>0</v>
      </c>
      <c r="D40" s="198">
        <f t="shared" si="11"/>
        <v>0</v>
      </c>
      <c r="E40" s="198">
        <f t="shared" si="14"/>
        <v>0</v>
      </c>
      <c r="F40" s="199" t="str">
        <f t="shared" si="16"/>
        <v>C</v>
      </c>
      <c r="G40" s="199" t="e">
        <f t="shared" si="12"/>
        <v>#DIV/0!</v>
      </c>
      <c r="I40" s="196" t="s">
        <v>239</v>
      </c>
      <c r="J40" s="197">
        <f>'Юнит 22-31.12'!R38</f>
        <v>0</v>
      </c>
      <c r="K40" s="198" t="e">
        <f t="shared" si="13"/>
        <v>#DIV/0!</v>
      </c>
      <c r="L40" s="198" t="e">
        <f t="shared" si="15"/>
        <v>#DIV/0!</v>
      </c>
      <c r="M40" s="199" t="e">
        <f t="shared" si="17"/>
        <v>#DIV/0!</v>
      </c>
    </row>
    <row r="41" spans="2:13" ht="26.5" thickBot="1">
      <c r="B41" s="196" t="s">
        <v>771</v>
      </c>
      <c r="C41" s="197">
        <f>'Юнит 22-31.12'!AE43</f>
        <v>0</v>
      </c>
      <c r="D41" s="198">
        <f t="shared" si="11"/>
        <v>0</v>
      </c>
      <c r="E41" s="198">
        <f t="shared" si="14"/>
        <v>0</v>
      </c>
      <c r="F41" s="199" t="str">
        <f t="shared" si="16"/>
        <v>C</v>
      </c>
      <c r="G41" s="199" t="e">
        <f t="shared" si="12"/>
        <v>#DIV/0!</v>
      </c>
      <c r="I41" s="196" t="s">
        <v>240</v>
      </c>
      <c r="J41" s="197">
        <f>'Юнит 22-31.12'!R39</f>
        <v>0</v>
      </c>
      <c r="K41" s="198" t="e">
        <f t="shared" si="13"/>
        <v>#DIV/0!</v>
      </c>
      <c r="L41" s="198" t="e">
        <f t="shared" si="15"/>
        <v>#DIV/0!</v>
      </c>
      <c r="M41" s="199" t="e">
        <f t="shared" si="17"/>
        <v>#DIV/0!</v>
      </c>
    </row>
    <row r="42" spans="2:13" ht="26.5" thickBot="1">
      <c r="B42" s="196" t="s">
        <v>245</v>
      </c>
      <c r="C42" s="197">
        <f>'Юнит 22-31.12'!AE47</f>
        <v>0</v>
      </c>
      <c r="D42" s="198">
        <f t="shared" si="11"/>
        <v>0</v>
      </c>
      <c r="E42" s="198">
        <f t="shared" si="14"/>
        <v>0</v>
      </c>
      <c r="F42" s="199" t="str">
        <f t="shared" si="16"/>
        <v>C</v>
      </c>
      <c r="G42" s="199" t="e">
        <f t="shared" si="12"/>
        <v>#DIV/0!</v>
      </c>
      <c r="I42" s="196" t="s">
        <v>241</v>
      </c>
      <c r="J42" s="197">
        <f>'Юнит 22-31.12'!R40</f>
        <v>0</v>
      </c>
      <c r="K42" s="198" t="e">
        <f t="shared" si="13"/>
        <v>#DIV/0!</v>
      </c>
      <c r="L42" s="198" t="e">
        <f t="shared" si="15"/>
        <v>#DIV/0!</v>
      </c>
      <c r="M42" s="199" t="e">
        <f t="shared" si="17"/>
        <v>#DIV/0!</v>
      </c>
    </row>
    <row r="43" spans="2:13" ht="26.5" thickBot="1">
      <c r="B43" s="196" t="s">
        <v>236</v>
      </c>
      <c r="C43" s="197">
        <f>'Юнит 22-31.12'!AE33</f>
        <v>-56.94</v>
      </c>
      <c r="D43" s="198">
        <f t="shared" si="11"/>
        <v>1.0258137677164155E-2</v>
      </c>
      <c r="E43" s="198">
        <f t="shared" si="14"/>
        <v>1.0258137677164155E-2</v>
      </c>
      <c r="F43" s="199" t="str">
        <f t="shared" si="16"/>
        <v>A</v>
      </c>
      <c r="G43" s="199" t="e">
        <f t="shared" si="12"/>
        <v>#DIV/0!</v>
      </c>
      <c r="I43" s="196" t="s">
        <v>242</v>
      </c>
      <c r="J43" s="197">
        <f>'Юнит 22-31.12'!R41</f>
        <v>0</v>
      </c>
      <c r="K43" s="198" t="e">
        <f t="shared" si="13"/>
        <v>#DIV/0!</v>
      </c>
      <c r="L43" s="198" t="e">
        <f t="shared" si="15"/>
        <v>#DIV/0!</v>
      </c>
      <c r="M43" s="199" t="e">
        <f t="shared" si="17"/>
        <v>#DIV/0!</v>
      </c>
    </row>
    <row r="44" spans="2:13" ht="26.5" thickBot="1">
      <c r="B44" s="196" t="s">
        <v>171</v>
      </c>
      <c r="C44" s="197">
        <f>'Юнит 22-31.12'!AE31</f>
        <v>-113.88</v>
      </c>
      <c r="D44" s="198">
        <f t="shared" si="11"/>
        <v>2.051627535432831E-2</v>
      </c>
      <c r="E44" s="198">
        <f t="shared" si="14"/>
        <v>3.0774413031492465E-2</v>
      </c>
      <c r="F44" s="199" t="str">
        <f t="shared" si="16"/>
        <v>A</v>
      </c>
      <c r="G44" s="199" t="e">
        <f t="shared" si="12"/>
        <v>#DIV/0!</v>
      </c>
      <c r="I44" s="196" t="s">
        <v>243</v>
      </c>
      <c r="J44" s="197">
        <f>'Юнит 22-31.12'!R42</f>
        <v>0</v>
      </c>
      <c r="K44" s="198" t="e">
        <f t="shared" si="13"/>
        <v>#DIV/0!</v>
      </c>
      <c r="L44" s="198" t="e">
        <f t="shared" si="15"/>
        <v>#DIV/0!</v>
      </c>
      <c r="M44" s="199" t="e">
        <f t="shared" si="17"/>
        <v>#DIV/0!</v>
      </c>
    </row>
    <row r="45" spans="2:13" ht="26.5" thickBot="1">
      <c r="B45" s="196" t="s">
        <v>239</v>
      </c>
      <c r="C45" s="197">
        <f>'Юнит 22-31.12'!AE38</f>
        <v>-113.88</v>
      </c>
      <c r="D45" s="198">
        <f t="shared" si="11"/>
        <v>2.051627535432831E-2</v>
      </c>
      <c r="E45" s="198">
        <f t="shared" si="14"/>
        <v>5.1290688385820779E-2</v>
      </c>
      <c r="F45" s="199" t="str">
        <f t="shared" si="16"/>
        <v>A</v>
      </c>
      <c r="G45" s="199" t="e">
        <f t="shared" si="12"/>
        <v>#DIV/0!</v>
      </c>
      <c r="I45" s="196" t="s">
        <v>771</v>
      </c>
      <c r="J45" s="197">
        <f>'Юнит 22-31.12'!R43</f>
        <v>0</v>
      </c>
      <c r="K45" s="198" t="e">
        <f t="shared" si="13"/>
        <v>#DIV/0!</v>
      </c>
      <c r="L45" s="198" t="e">
        <f t="shared" si="15"/>
        <v>#DIV/0!</v>
      </c>
      <c r="M45" s="199" t="e">
        <f t="shared" si="17"/>
        <v>#DIV/0!</v>
      </c>
    </row>
    <row r="46" spans="2:13" ht="26.5" thickBot="1">
      <c r="B46" s="196" t="s">
        <v>66</v>
      </c>
      <c r="C46" s="197">
        <f>'Юнит 22-31.12'!AE46</f>
        <v>-1233.836329</v>
      </c>
      <c r="D46" s="198">
        <f t="shared" si="11"/>
        <v>0.22228421029098716</v>
      </c>
      <c r="E46" s="198">
        <f t="shared" si="14"/>
        <v>0.27357489867680795</v>
      </c>
      <c r="F46" s="199" t="str">
        <f t="shared" si="16"/>
        <v>A</v>
      </c>
      <c r="G46" s="199" t="e">
        <f t="shared" si="12"/>
        <v>#DIV/0!</v>
      </c>
      <c r="I46" s="196" t="s">
        <v>51</v>
      </c>
      <c r="J46" s="197">
        <f>'Юнит 22-31.12'!R44</f>
        <v>0</v>
      </c>
      <c r="K46" s="198" t="e">
        <f t="shared" si="13"/>
        <v>#DIV/0!</v>
      </c>
      <c r="L46" s="198" t="e">
        <f t="shared" si="15"/>
        <v>#DIV/0!</v>
      </c>
      <c r="M46" s="199" t="e">
        <f t="shared" si="17"/>
        <v>#DIV/0!</v>
      </c>
    </row>
    <row r="47" spans="2:13" ht="26.5" thickBot="1">
      <c r="B47" s="196" t="s">
        <v>51</v>
      </c>
      <c r="C47" s="197">
        <f>'Юнит 22-31.12'!AE44</f>
        <v>-1248.861138</v>
      </c>
      <c r="D47" s="198">
        <f t="shared" si="11"/>
        <v>0.22499103430389716</v>
      </c>
      <c r="E47" s="198">
        <f t="shared" si="14"/>
        <v>0.49856593298070512</v>
      </c>
      <c r="F47" s="199" t="str">
        <f t="shared" si="16"/>
        <v>A</v>
      </c>
      <c r="G47" s="199" t="e">
        <f t="shared" si="12"/>
        <v>#DIV/0!</v>
      </c>
      <c r="I47" s="196" t="s">
        <v>70</v>
      </c>
      <c r="J47" s="197">
        <f>'Юнит 22-31.12'!R45</f>
        <v>0</v>
      </c>
      <c r="K47" s="198" t="e">
        <f t="shared" si="13"/>
        <v>#DIV/0!</v>
      </c>
      <c r="L47" s="198" t="e">
        <f t="shared" si="15"/>
        <v>#DIV/0!</v>
      </c>
      <c r="M47" s="199" t="e">
        <f t="shared" si="17"/>
        <v>#DIV/0!</v>
      </c>
    </row>
    <row r="48" spans="2:13" ht="26.5" thickBot="1">
      <c r="B48" s="196" t="s">
        <v>70</v>
      </c>
      <c r="C48" s="197">
        <f>'Юнит 22-31.12'!AE45</f>
        <v>-1288.3176619999999</v>
      </c>
      <c r="D48" s="198">
        <f t="shared" si="11"/>
        <v>0.23209940197959669</v>
      </c>
      <c r="E48" s="198">
        <f t="shared" si="14"/>
        <v>0.73066533496030184</v>
      </c>
      <c r="F48" s="199" t="str">
        <f t="shared" si="16"/>
        <v>A</v>
      </c>
      <c r="G48" s="199" t="e">
        <f t="shared" si="12"/>
        <v>#DIV/0!</v>
      </c>
      <c r="I48" s="196" t="s">
        <v>66</v>
      </c>
      <c r="J48" s="197">
        <f>'Юнит 22-31.12'!R46</f>
        <v>0</v>
      </c>
      <c r="K48" s="198" t="e">
        <f t="shared" si="13"/>
        <v>#DIV/0!</v>
      </c>
      <c r="L48" s="198" t="e">
        <f t="shared" si="15"/>
        <v>#DIV/0!</v>
      </c>
      <c r="M48" s="199" t="e">
        <f t="shared" si="17"/>
        <v>#DIV/0!</v>
      </c>
    </row>
    <row r="49" spans="2:13" ht="26.5" thickBot="1">
      <c r="B49" s="196" t="s">
        <v>243</v>
      </c>
      <c r="C49" s="197">
        <f>'Юнит 22-31.12'!AE42</f>
        <v>-1495</v>
      </c>
      <c r="D49" s="198">
        <f t="shared" si="11"/>
        <v>0.26933466503969816</v>
      </c>
      <c r="E49" s="198">
        <f t="shared" si="14"/>
        <v>1</v>
      </c>
      <c r="F49" s="199" t="str">
        <f t="shared" si="16"/>
        <v>C</v>
      </c>
      <c r="G49" s="199" t="e">
        <f t="shared" si="12"/>
        <v>#DIV/0!</v>
      </c>
      <c r="I49" s="196" t="s">
        <v>245</v>
      </c>
      <c r="J49" s="197">
        <f>'Юнит 22-31.12'!R47</f>
        <v>0</v>
      </c>
      <c r="K49" s="198" t="e">
        <f t="shared" si="13"/>
        <v>#DIV/0!</v>
      </c>
      <c r="L49" s="198" t="e">
        <f t="shared" si="15"/>
        <v>#DIV/0!</v>
      </c>
      <c r="M49" s="199" t="e">
        <f t="shared" si="17"/>
        <v>#DIV/0!</v>
      </c>
    </row>
    <row r="50" spans="2:13">
      <c r="C50" s="205">
        <f>SUM(C30:C49)</f>
        <v>-5550.7151290000002</v>
      </c>
      <c r="D50" s="206">
        <f>SUM(D30:D49)</f>
        <v>1</v>
      </c>
      <c r="J50" s="205">
        <f>SUM(J30:J49)</f>
        <v>0</v>
      </c>
      <c r="K50" s="206" t="e">
        <f>SUM(K30:K49)</f>
        <v>#DIV/0!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78" priority="4" operator="equal">
      <formula>"C"</formula>
    </cfRule>
    <cfRule type="cellIs" dxfId="377" priority="5" operator="equal">
      <formula>"B"</formula>
    </cfRule>
    <cfRule type="cellIs" dxfId="376" priority="6" operator="equal">
      <formula>"A"</formula>
    </cfRule>
  </conditionalFormatting>
  <conditionalFormatting sqref="M30:M49 D30:D49 K30:K49 F30:G49">
    <cfRule type="cellIs" dxfId="375" priority="1" operator="equal">
      <formula>"C"</formula>
    </cfRule>
    <cfRule type="cellIs" dxfId="374" priority="2" operator="equal">
      <formula>"B"</formula>
    </cfRule>
    <cfRule type="cellIs" dxfId="373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2B99-C62A-4256-82EC-1748EF9A382B}">
  <dimension ref="B1:Q50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54</v>
      </c>
      <c r="C4" s="197">
        <f>'Юнит 15-21.12'!AE7</f>
        <v>569.91999999999996</v>
      </c>
      <c r="D4" s="198">
        <f>C4/C$26</f>
        <v>-1.4004686429267001</v>
      </c>
      <c r="E4" s="198">
        <f>D4</f>
        <v>-1.4004686429267001</v>
      </c>
      <c r="F4" s="199" t="str">
        <f t="shared" ref="F4:F12" si="0">IF(AND(E4&lt;=0),"C",IF(E4&lt;=0.8,"A",IF(E4&lt;=0.95,"B","C")))</f>
        <v>C</v>
      </c>
      <c r="G4" s="199" t="str">
        <f>VLOOKUP(B$4:B$25,I$4:M$25,5,0)</f>
        <v>B</v>
      </c>
      <c r="I4" s="196" t="s">
        <v>25</v>
      </c>
      <c r="J4" s="197">
        <f>'Юнит 15-21.12'!R3</f>
        <v>17</v>
      </c>
      <c r="K4" s="198">
        <f>J4/J$26</f>
        <v>0.40476190476190477</v>
      </c>
      <c r="L4" s="198">
        <f>K4</f>
        <v>0.40476190476190477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223</v>
      </c>
      <c r="C5" s="197">
        <f>'Юнит 15-21.12'!AE6</f>
        <v>494.53307400000517</v>
      </c>
      <c r="D5" s="198">
        <f>C5/C$26</f>
        <v>-1.2152197905445619</v>
      </c>
      <c r="E5" s="198">
        <f>D5+E4</f>
        <v>-2.615688433471262</v>
      </c>
      <c r="F5" s="199" t="str">
        <f t="shared" si="0"/>
        <v>C</v>
      </c>
      <c r="G5" s="199" t="str">
        <f>VLOOKUP(B$4:B$25,I$4:M$25,5,0)</f>
        <v>A</v>
      </c>
      <c r="I5" s="196" t="s">
        <v>223</v>
      </c>
      <c r="J5" s="197">
        <f>'Юнит 15-21.12'!R6</f>
        <v>16</v>
      </c>
      <c r="K5" s="198">
        <f>J5/J$26</f>
        <v>0.38095238095238093</v>
      </c>
      <c r="L5" s="198">
        <f>K5+L4</f>
        <v>0.7857142857142857</v>
      </c>
      <c r="M5" s="199" t="str">
        <f t="shared" si="1"/>
        <v>A</v>
      </c>
    </row>
    <row r="6" spans="2:17" ht="28.5" customHeight="1" outlineLevel="1" thickBot="1">
      <c r="B6" s="196" t="s">
        <v>222</v>
      </c>
      <c r="C6" s="197">
        <f>'Юнит 15-21.12'!AE5</f>
        <v>460.99</v>
      </c>
      <c r="D6" s="198">
        <f>C6/C$26</f>
        <v>-1.1327941460253712</v>
      </c>
      <c r="E6" s="198">
        <f t="shared" ref="E6:E25" si="2">D6+E5</f>
        <v>-3.748482579496633</v>
      </c>
      <c r="F6" s="199" t="str">
        <f t="shared" si="0"/>
        <v>C</v>
      </c>
      <c r="G6" s="199" t="str">
        <f>VLOOKUP(B$4:B$25,I$4:M$25,5,0)</f>
        <v>B</v>
      </c>
      <c r="I6" s="196" t="s">
        <v>222</v>
      </c>
      <c r="J6" s="197">
        <f>'Юнит 15-21.12'!R5</f>
        <v>2</v>
      </c>
      <c r="K6" s="198">
        <f>J6/J$26</f>
        <v>4.7619047619047616E-2</v>
      </c>
      <c r="L6" s="198">
        <f t="shared" ref="L6:L25" si="3">K6+L5</f>
        <v>0.83333333333333326</v>
      </c>
      <c r="M6" s="199" t="str">
        <f t="shared" si="1"/>
        <v>B</v>
      </c>
    </row>
    <row r="7" spans="2:17" ht="28.5" customHeight="1" outlineLevel="1" thickBot="1">
      <c r="B7" s="196" t="s">
        <v>227</v>
      </c>
      <c r="C7" s="197">
        <f>'Юнит 15-21.12'!AE14</f>
        <v>395.12000000000012</v>
      </c>
      <c r="D7" s="198">
        <f>C7/C$26</f>
        <v>-0.9709313064872227</v>
      </c>
      <c r="E7" s="198">
        <f t="shared" si="2"/>
        <v>-4.7194138859838555</v>
      </c>
      <c r="F7" s="199" t="str">
        <f t="shared" si="0"/>
        <v>C</v>
      </c>
      <c r="G7" s="199" t="str">
        <f>VLOOKUP(B$4:B$25,I$4:M$25,5,0)</f>
        <v>C</v>
      </c>
      <c r="I7" s="196" t="s">
        <v>228</v>
      </c>
      <c r="J7" s="197">
        <f>'Юнит 15-21.12'!R15</f>
        <v>2</v>
      </c>
      <c r="K7" s="198">
        <f>J7/J$26</f>
        <v>4.7619047619047616E-2</v>
      </c>
      <c r="L7" s="198">
        <f t="shared" si="3"/>
        <v>0.88095238095238093</v>
      </c>
      <c r="M7" s="199" t="str">
        <f t="shared" si="1"/>
        <v>B</v>
      </c>
    </row>
    <row r="8" spans="2:17" ht="28.5" customHeight="1" outlineLevel="1" thickBot="1">
      <c r="B8" s="196" t="s">
        <v>1054</v>
      </c>
      <c r="C8" s="197">
        <f>'Юнит 15-21.12'!AE8</f>
        <v>373.60912900000005</v>
      </c>
      <c r="D8" s="198">
        <f>C8/C$26</f>
        <v>-0.91807248363920646</v>
      </c>
      <c r="E8" s="198">
        <f t="shared" si="2"/>
        <v>-5.6374863696230619</v>
      </c>
      <c r="F8" s="199" t="str">
        <f t="shared" si="0"/>
        <v>C</v>
      </c>
      <c r="G8" s="199" t="str">
        <f>VLOOKUP(B$4:B$25,I$4:M$25,5,0)</f>
        <v>C</v>
      </c>
      <c r="I8" s="196" t="s">
        <v>92</v>
      </c>
      <c r="J8" s="197">
        <f>'Юнит 15-21.12'!R4</f>
        <v>1</v>
      </c>
      <c r="K8" s="198">
        <f>J8/J$26</f>
        <v>2.3809523809523808E-2</v>
      </c>
      <c r="L8" s="198">
        <f t="shared" si="3"/>
        <v>0.90476190476190477</v>
      </c>
      <c r="M8" s="199" t="str">
        <f t="shared" si="1"/>
        <v>B</v>
      </c>
    </row>
    <row r="9" spans="2:17" ht="28.5" customHeight="1" outlineLevel="1" thickBot="1">
      <c r="B9" s="196" t="s">
        <v>228</v>
      </c>
      <c r="C9" s="197">
        <f>'Юнит 15-21.12'!AE15</f>
        <v>373.60000000000031</v>
      </c>
      <c r="D9" s="198">
        <f t="shared" ref="D9:D25" si="4">C9/C$26</f>
        <v>-0.91805005087980007</v>
      </c>
      <c r="E9" s="198">
        <f t="shared" si="2"/>
        <v>-6.5555364205028619</v>
      </c>
      <c r="F9" s="199" t="str">
        <f t="shared" si="0"/>
        <v>C</v>
      </c>
      <c r="G9" s="199" t="str">
        <f t="shared" ref="G9:G25" si="5">VLOOKUP(B$4:B$25,I$4:M$25,5,0)</f>
        <v>B</v>
      </c>
      <c r="I9" s="196" t="s">
        <v>54</v>
      </c>
      <c r="J9" s="197">
        <f>'Юнит 15-21.12'!R7</f>
        <v>1</v>
      </c>
      <c r="K9" s="198">
        <f t="shared" ref="K9:K25" si="6">J9/J$26</f>
        <v>2.3809523809523808E-2</v>
      </c>
      <c r="L9" s="198">
        <f t="shared" si="3"/>
        <v>0.9285714285714286</v>
      </c>
      <c r="M9" s="199" t="str">
        <f t="shared" si="1"/>
        <v>B</v>
      </c>
    </row>
    <row r="10" spans="2:17" ht="28.5" customHeight="1" outlineLevel="1" thickBot="1">
      <c r="B10" s="196" t="s">
        <v>225</v>
      </c>
      <c r="C10" s="197">
        <f>'Юнит 15-21.12'!AE12</f>
        <v>300.53999999999996</v>
      </c>
      <c r="D10" s="198">
        <f t="shared" si="4"/>
        <v>-0.73851917101556441</v>
      </c>
      <c r="E10" s="198">
        <f t="shared" si="2"/>
        <v>-7.2940555915184264</v>
      </c>
      <c r="F10" s="199" t="str">
        <f t="shared" si="0"/>
        <v>C</v>
      </c>
      <c r="G10" s="199" t="str">
        <f t="shared" si="5"/>
        <v>B</v>
      </c>
      <c r="I10" s="196" t="s">
        <v>1054</v>
      </c>
      <c r="J10" s="197">
        <f>'Юнит 15-21.12'!R8</f>
        <v>1</v>
      </c>
      <c r="K10" s="198">
        <f t="shared" si="6"/>
        <v>2.3809523809523808E-2</v>
      </c>
      <c r="L10" s="198">
        <f t="shared" si="3"/>
        <v>0.95238095238095244</v>
      </c>
      <c r="M10" s="199" t="str">
        <f t="shared" si="1"/>
        <v>C</v>
      </c>
    </row>
    <row r="11" spans="2:17" ht="28.5" customHeight="1" outlineLevel="1" thickBot="1">
      <c r="B11" s="196" t="s">
        <v>92</v>
      </c>
      <c r="C11" s="197">
        <f>'Юнит 15-21.12'!AE4</f>
        <v>254.84999999999997</v>
      </c>
      <c r="D11" s="198">
        <f t="shared" si="4"/>
        <v>-0.62624479514645826</v>
      </c>
      <c r="E11" s="198">
        <f>D11+E8</f>
        <v>-6.2637311647695206</v>
      </c>
      <c r="F11" s="199" t="str">
        <f t="shared" si="0"/>
        <v>C</v>
      </c>
      <c r="G11" s="199" t="str">
        <f t="shared" si="5"/>
        <v>B</v>
      </c>
      <c r="I11" s="196" t="s">
        <v>225</v>
      </c>
      <c r="J11" s="197">
        <f>'Юнит 15-21.12'!R12</f>
        <v>1</v>
      </c>
      <c r="K11" s="198">
        <f t="shared" si="6"/>
        <v>2.3809523809523808E-2</v>
      </c>
      <c r="L11" s="198">
        <f>K11+L8</f>
        <v>0.9285714285714286</v>
      </c>
      <c r="M11" s="199" t="str">
        <f t="shared" si="1"/>
        <v>B</v>
      </c>
    </row>
    <row r="12" spans="2:17" ht="28.5" customHeight="1" outlineLevel="1" thickBot="1">
      <c r="B12" s="196" t="s">
        <v>88</v>
      </c>
      <c r="C12" s="197">
        <f>'Юнит 15-21.12'!AE10</f>
        <v>0</v>
      </c>
      <c r="D12" s="198">
        <f t="shared" si="4"/>
        <v>0</v>
      </c>
      <c r="E12" s="198">
        <f t="shared" si="2"/>
        <v>-6.2637311647695206</v>
      </c>
      <c r="F12" s="199" t="str">
        <f t="shared" si="0"/>
        <v>C</v>
      </c>
      <c r="G12" s="199" t="str">
        <f t="shared" si="5"/>
        <v>C</v>
      </c>
      <c r="I12" s="196" t="s">
        <v>227</v>
      </c>
      <c r="J12" s="197">
        <f>'Юнит 15-21.12'!R14</f>
        <v>1</v>
      </c>
      <c r="K12" s="198">
        <f t="shared" si="6"/>
        <v>2.3809523809523808E-2</v>
      </c>
      <c r="L12" s="198">
        <f t="shared" si="3"/>
        <v>0.95238095238095244</v>
      </c>
      <c r="M12" s="199" t="str">
        <f t="shared" si="1"/>
        <v>C</v>
      </c>
    </row>
    <row r="13" spans="2:17" ht="15" outlineLevel="1" thickBot="1">
      <c r="B13" s="196" t="s">
        <v>224</v>
      </c>
      <c r="C13" s="197">
        <f>'Юнит 15-21.12'!AE11</f>
        <v>0</v>
      </c>
      <c r="D13" s="198">
        <f t="shared" si="4"/>
        <v>0</v>
      </c>
      <c r="E13" s="198">
        <f t="shared" si="2"/>
        <v>-6.2637311647695206</v>
      </c>
      <c r="F13" s="199" t="str">
        <f>IF(AND(E13&lt;=0),"C",IF(E13&lt;=0.8,"A",IF(E13&lt;=0.95,"B","C")))</f>
        <v>C</v>
      </c>
      <c r="G13" s="199" t="str">
        <f t="shared" si="5"/>
        <v>C</v>
      </c>
      <c r="I13" s="196" t="s">
        <v>1055</v>
      </c>
      <c r="J13" s="197">
        <f>'Юнит 15-21.12'!R9</f>
        <v>0</v>
      </c>
      <c r="K13" s="198">
        <f t="shared" si="6"/>
        <v>0</v>
      </c>
      <c r="L13" s="198">
        <f t="shared" si="3"/>
        <v>0.95238095238095244</v>
      </c>
      <c r="M13" s="199" t="str">
        <f>_xlfn.IFS(L13&lt;80%,"A",L13&lt;=95%,"B",L13&gt;95%,"C")</f>
        <v>C</v>
      </c>
      <c r="P13" s="200" t="s">
        <v>301</v>
      </c>
      <c r="Q13" s="201">
        <v>0.8</v>
      </c>
    </row>
    <row r="14" spans="2:17" ht="15" outlineLevel="1" thickBot="1">
      <c r="B14" s="196" t="s">
        <v>226</v>
      </c>
      <c r="C14" s="197">
        <f>'Юнит 15-21.12'!AE13</f>
        <v>0</v>
      </c>
      <c r="D14" s="198">
        <f t="shared" si="4"/>
        <v>0</v>
      </c>
      <c r="E14" s="198">
        <f t="shared" si="2"/>
        <v>-6.2637311647695206</v>
      </c>
      <c r="F14" s="199" t="str">
        <f t="shared" ref="F14:F25" si="7">IF(AND(E14&lt;=0),"C",IF(E14&lt;=0.8,"A",IF(E14&lt;=0.95,"B","C")))</f>
        <v>C</v>
      </c>
      <c r="G14" s="199" t="str">
        <f t="shared" si="5"/>
        <v>C</v>
      </c>
      <c r="I14" s="196" t="s">
        <v>88</v>
      </c>
      <c r="J14" s="197">
        <f>'Юнит 15-21.12'!R10</f>
        <v>0</v>
      </c>
      <c r="K14" s="198">
        <f t="shared" si="6"/>
        <v>0</v>
      </c>
      <c r="L14" s="198">
        <f t="shared" si="3"/>
        <v>0.95238095238095244</v>
      </c>
      <c r="M14" s="199" t="str">
        <f t="shared" ref="M14:M25" si="8">_xlfn.IFS(L14&lt;80%,"A",L14&lt;=95%,"B",L14&gt;95%,"C")</f>
        <v>C</v>
      </c>
      <c r="P14" s="202" t="s">
        <v>302</v>
      </c>
      <c r="Q14" s="201">
        <v>0.15</v>
      </c>
    </row>
    <row r="15" spans="2:17" ht="15" outlineLevel="1" thickBot="1">
      <c r="B15" s="196" t="s">
        <v>19</v>
      </c>
      <c r="C15" s="197">
        <f>'Юнит 15-21.12'!AE16</f>
        <v>0</v>
      </c>
      <c r="D15" s="198">
        <f t="shared" si="4"/>
        <v>0</v>
      </c>
      <c r="E15" s="198">
        <f t="shared" si="2"/>
        <v>-6.2637311647695206</v>
      </c>
      <c r="F15" s="199" t="str">
        <f t="shared" si="7"/>
        <v>C</v>
      </c>
      <c r="G15" s="199" t="str">
        <f t="shared" si="5"/>
        <v>C</v>
      </c>
      <c r="I15" s="196" t="s">
        <v>224</v>
      </c>
      <c r="J15" s="197">
        <f>'Юнит 15-21.12'!R11</f>
        <v>0</v>
      </c>
      <c r="K15" s="198">
        <f t="shared" si="6"/>
        <v>0</v>
      </c>
      <c r="L15" s="198">
        <f t="shared" si="3"/>
        <v>0.95238095238095244</v>
      </c>
      <c r="M15" s="199" t="str">
        <f t="shared" si="8"/>
        <v>C</v>
      </c>
      <c r="P15" s="203" t="s">
        <v>303</v>
      </c>
      <c r="Q15" s="201">
        <v>0.05</v>
      </c>
    </row>
    <row r="16" spans="2:17" ht="15" outlineLevel="1" thickBot="1">
      <c r="B16" s="196" t="s">
        <v>229</v>
      </c>
      <c r="C16" s="197">
        <f>'Юнит 15-21.12'!AE17</f>
        <v>0</v>
      </c>
      <c r="D16" s="198">
        <f t="shared" si="4"/>
        <v>0</v>
      </c>
      <c r="E16" s="198">
        <f t="shared" si="2"/>
        <v>-6.2637311647695206</v>
      </c>
      <c r="F16" s="199" t="str">
        <f t="shared" si="7"/>
        <v>C</v>
      </c>
      <c r="G16" s="199" t="str">
        <f t="shared" si="5"/>
        <v>C</v>
      </c>
      <c r="I16" s="196" t="s">
        <v>226</v>
      </c>
      <c r="J16" s="197">
        <f>'Юнит 15-21.12'!R13</f>
        <v>0</v>
      </c>
      <c r="K16" s="198">
        <f t="shared" si="6"/>
        <v>0</v>
      </c>
      <c r="L16" s="198">
        <f t="shared" si="3"/>
        <v>0.95238095238095244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230</v>
      </c>
      <c r="C17" s="197">
        <f>'Юнит 15-21.12'!AE18</f>
        <v>0</v>
      </c>
      <c r="D17" s="198">
        <f t="shared" si="4"/>
        <v>0</v>
      </c>
      <c r="E17" s="198">
        <f t="shared" si="2"/>
        <v>-6.2637311647695206</v>
      </c>
      <c r="F17" s="199" t="str">
        <f t="shared" si="7"/>
        <v>C</v>
      </c>
      <c r="G17" s="199" t="str">
        <f t="shared" si="5"/>
        <v>C</v>
      </c>
      <c r="I17" s="196" t="s">
        <v>19</v>
      </c>
      <c r="J17" s="197">
        <f>'Юнит 15-21.12'!R16</f>
        <v>0</v>
      </c>
      <c r="K17" s="198">
        <f t="shared" si="6"/>
        <v>0</v>
      </c>
      <c r="L17" s="198">
        <f t="shared" si="3"/>
        <v>0.95238095238095244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231</v>
      </c>
      <c r="C18" s="197">
        <f>'Юнит 15-21.12'!AE19</f>
        <v>0</v>
      </c>
      <c r="D18" s="198">
        <f t="shared" si="4"/>
        <v>0</v>
      </c>
      <c r="E18" s="198">
        <f t="shared" si="2"/>
        <v>-6.2637311647695206</v>
      </c>
      <c r="F18" s="199" t="str">
        <f t="shared" si="7"/>
        <v>C</v>
      </c>
      <c r="G18" s="199" t="str">
        <f t="shared" si="5"/>
        <v>C</v>
      </c>
      <c r="I18" s="196" t="s">
        <v>229</v>
      </c>
      <c r="J18" s="197">
        <f>'Юнит 15-21.12'!R17</f>
        <v>0</v>
      </c>
      <c r="K18" s="198">
        <f t="shared" si="6"/>
        <v>0</v>
      </c>
      <c r="L18" s="198">
        <f t="shared" si="3"/>
        <v>0.95238095238095244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111</v>
      </c>
      <c r="C19" s="197">
        <f>'Юнит 15-21.12'!AE20</f>
        <v>0</v>
      </c>
      <c r="D19" s="198">
        <f t="shared" si="4"/>
        <v>0</v>
      </c>
      <c r="E19" s="198">
        <f t="shared" si="2"/>
        <v>-6.2637311647695206</v>
      </c>
      <c r="F19" s="199" t="str">
        <f t="shared" si="7"/>
        <v>C</v>
      </c>
      <c r="G19" s="199" t="str">
        <f t="shared" si="5"/>
        <v>C</v>
      </c>
      <c r="I19" s="196" t="s">
        <v>230</v>
      </c>
      <c r="J19" s="197">
        <f>'Юнит 15-21.12'!R18</f>
        <v>0</v>
      </c>
      <c r="K19" s="198">
        <f t="shared" si="6"/>
        <v>0</v>
      </c>
      <c r="L19" s="198">
        <f t="shared" si="3"/>
        <v>0.95238095238095244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232</v>
      </c>
      <c r="C20" s="197">
        <f>'Юнит 15-21.12'!AE21</f>
        <v>0</v>
      </c>
      <c r="D20" s="198">
        <f t="shared" si="4"/>
        <v>0</v>
      </c>
      <c r="E20" s="198">
        <f t="shared" si="2"/>
        <v>-6.2637311647695206</v>
      </c>
      <c r="F20" s="199" t="str">
        <f t="shared" si="7"/>
        <v>C</v>
      </c>
      <c r="G20" s="199" t="str">
        <f t="shared" si="5"/>
        <v>C</v>
      </c>
      <c r="I20" s="196" t="s">
        <v>231</v>
      </c>
      <c r="J20" s="197">
        <f>'Юнит 15-21.12'!R19</f>
        <v>0</v>
      </c>
      <c r="K20" s="198">
        <f t="shared" si="6"/>
        <v>0</v>
      </c>
      <c r="L20" s="198">
        <f t="shared" si="3"/>
        <v>0.95238095238095244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136</v>
      </c>
      <c r="C21" s="197">
        <f>'Юнит 15-21.12'!AE22</f>
        <v>0</v>
      </c>
      <c r="D21" s="198">
        <f t="shared" si="4"/>
        <v>0</v>
      </c>
      <c r="E21" s="198">
        <f t="shared" si="2"/>
        <v>-6.2637311647695206</v>
      </c>
      <c r="F21" s="199" t="str">
        <f t="shared" si="7"/>
        <v>C</v>
      </c>
      <c r="G21" s="199" t="str">
        <f t="shared" si="5"/>
        <v>C</v>
      </c>
      <c r="I21" s="196" t="s">
        <v>111</v>
      </c>
      <c r="J21" s="197">
        <f>'Юнит 15-21.12'!R20</f>
        <v>0</v>
      </c>
      <c r="K21" s="198">
        <f t="shared" si="6"/>
        <v>0</v>
      </c>
      <c r="L21" s="198">
        <f t="shared" si="3"/>
        <v>0.95238095238095244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233</v>
      </c>
      <c r="C22" s="197">
        <f>'Юнит 15-21.12'!AE23</f>
        <v>0</v>
      </c>
      <c r="D22" s="198">
        <f t="shared" si="4"/>
        <v>0</v>
      </c>
      <c r="E22" s="198">
        <f t="shared" si="2"/>
        <v>-6.2637311647695206</v>
      </c>
      <c r="F22" s="199" t="str">
        <f t="shared" si="7"/>
        <v>C</v>
      </c>
      <c r="G22" s="199" t="str">
        <f t="shared" si="5"/>
        <v>C</v>
      </c>
      <c r="I22" s="196" t="s">
        <v>232</v>
      </c>
      <c r="J22" s="197">
        <f>'Юнит 15-21.12'!R21</f>
        <v>0</v>
      </c>
      <c r="K22" s="198">
        <f t="shared" si="6"/>
        <v>0</v>
      </c>
      <c r="L22" s="198">
        <f t="shared" si="3"/>
        <v>0.95238095238095244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234</v>
      </c>
      <c r="C23" s="197">
        <f>'Юнит 15-21.12'!AE24</f>
        <v>0</v>
      </c>
      <c r="D23" s="198">
        <f t="shared" si="4"/>
        <v>0</v>
      </c>
      <c r="E23" s="198">
        <f t="shared" si="2"/>
        <v>-6.2637311647695206</v>
      </c>
      <c r="F23" s="199" t="str">
        <f t="shared" si="7"/>
        <v>C</v>
      </c>
      <c r="G23" s="199" t="str">
        <f t="shared" si="5"/>
        <v>C</v>
      </c>
      <c r="I23" s="196" t="s">
        <v>136</v>
      </c>
      <c r="J23" s="197">
        <f>'Юнит 15-21.12'!R22</f>
        <v>0</v>
      </c>
      <c r="K23" s="198">
        <f t="shared" si="6"/>
        <v>0</v>
      </c>
      <c r="L23" s="198">
        <f t="shared" si="3"/>
        <v>0.95238095238095244</v>
      </c>
      <c r="M23" s="199" t="str">
        <f t="shared" si="8"/>
        <v>C</v>
      </c>
      <c r="P23" s="204"/>
      <c r="Q23" s="198"/>
    </row>
    <row r="24" spans="2:17" ht="15" outlineLevel="1" thickBot="1">
      <c r="B24" s="196" t="s">
        <v>1055</v>
      </c>
      <c r="C24" s="197">
        <f>'Юнит 15-21.12'!AE9</f>
        <v>-92</v>
      </c>
      <c r="D24" s="198">
        <f t="shared" si="4"/>
        <v>0.22607228233656729</v>
      </c>
      <c r="E24" s="198">
        <f t="shared" si="2"/>
        <v>-6.0376588824329538</v>
      </c>
      <c r="F24" s="199" t="str">
        <f t="shared" si="7"/>
        <v>C</v>
      </c>
      <c r="G24" s="199" t="str">
        <f t="shared" si="5"/>
        <v>C</v>
      </c>
      <c r="I24" s="196" t="s">
        <v>233</v>
      </c>
      <c r="J24" s="197">
        <f>'Юнит 15-21.12'!R23</f>
        <v>0</v>
      </c>
      <c r="K24" s="198">
        <f t="shared" si="6"/>
        <v>0</v>
      </c>
      <c r="L24" s="198">
        <f t="shared" si="3"/>
        <v>0.95238095238095244</v>
      </c>
      <c r="M24" s="199" t="str">
        <f t="shared" si="8"/>
        <v>C</v>
      </c>
      <c r="P24" s="204"/>
      <c r="Q24" s="198"/>
    </row>
    <row r="25" spans="2:17" ht="26.5" outlineLevel="1" thickBot="1">
      <c r="B25" s="196" t="s">
        <v>25</v>
      </c>
      <c r="C25" s="197">
        <f>'Юнит 15-21.12'!AE3</f>
        <v>-3538.1116929999962</v>
      </c>
      <c r="D25" s="198">
        <f t="shared" si="4"/>
        <v>8.6942281043283174</v>
      </c>
      <c r="E25" s="198">
        <f t="shared" si="2"/>
        <v>2.6565692218953636</v>
      </c>
      <c r="F25" s="199" t="str">
        <f t="shared" si="7"/>
        <v>C</v>
      </c>
      <c r="G25" s="199" t="str">
        <f t="shared" si="5"/>
        <v>A</v>
      </c>
      <c r="I25" s="196" t="s">
        <v>234</v>
      </c>
      <c r="J25" s="197">
        <f>'Юнит 15-21.12'!R24</f>
        <v>0</v>
      </c>
      <c r="K25" s="198">
        <f t="shared" si="6"/>
        <v>0</v>
      </c>
      <c r="L25" s="198">
        <f t="shared" si="3"/>
        <v>0.95238095238095244</v>
      </c>
      <c r="M25" s="199" t="str">
        <f t="shared" si="8"/>
        <v>C</v>
      </c>
      <c r="P25" s="204"/>
      <c r="Q25" s="198"/>
    </row>
    <row r="26" spans="2:17" outlineLevel="1">
      <c r="C26" s="205">
        <f>SUM(C4:C25)</f>
        <v>-406.94948999999087</v>
      </c>
      <c r="D26" s="206">
        <f>SUM(D4:D25)</f>
        <v>1</v>
      </c>
      <c r="J26" s="205">
        <f>SUM(J4:J25)</f>
        <v>42</v>
      </c>
      <c r="K26" s="206">
        <f>SUM(K4:K25)</f>
        <v>1</v>
      </c>
    </row>
    <row r="27" spans="2:17" ht="15" thickBot="1"/>
    <row r="28" spans="2:17" ht="15" thickBot="1">
      <c r="B28" s="516" t="s">
        <v>304</v>
      </c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8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98</v>
      </c>
      <c r="C30" s="197">
        <f>'Юнит 15-21.12'!AE28</f>
        <v>0</v>
      </c>
      <c r="D30" s="198">
        <f>C30/C$50</f>
        <v>0</v>
      </c>
      <c r="E30" s="198">
        <f>D30</f>
        <v>0</v>
      </c>
      <c r="F30" s="199" t="str">
        <f t="shared" ref="F30:F36" si="9">IF(AND(E30&lt;=0),"C",IF(E30&lt;=0.8,"A",IF(E30&lt;=0.95,"B","C")))</f>
        <v>C</v>
      </c>
      <c r="G30" s="199" t="str">
        <f>VLOOKUP(B$30:B$50,I$30:M$50,5,0)</f>
        <v>A</v>
      </c>
      <c r="I30" s="196" t="s">
        <v>98</v>
      </c>
      <c r="J30" s="197">
        <f>'Юнит 15-21.12'!R28</f>
        <v>0</v>
      </c>
      <c r="K30" s="198">
        <f>J30/J$50</f>
        <v>0</v>
      </c>
      <c r="L30" s="198">
        <f>K30</f>
        <v>0</v>
      </c>
      <c r="M30" s="199" t="str">
        <f t="shared" ref="M30:M36" si="10">_xlfn.IFS(L30&lt;80%,"A",L30&lt;=95%,"B",L30&gt;95%,"C")</f>
        <v>A</v>
      </c>
    </row>
    <row r="31" spans="2:17" ht="26.5" thickBot="1">
      <c r="B31" s="196" t="s">
        <v>43</v>
      </c>
      <c r="C31" s="197">
        <f>'Юнит 15-21.12'!AE29</f>
        <v>0</v>
      </c>
      <c r="D31" s="198">
        <f t="shared" ref="D31:D49" si="11">C31/C$50</f>
        <v>0</v>
      </c>
      <c r="E31" s="198">
        <f>D31+E30</f>
        <v>0</v>
      </c>
      <c r="F31" s="199" t="str">
        <f t="shared" si="9"/>
        <v>C</v>
      </c>
      <c r="G31" s="199" t="str">
        <f t="shared" ref="G31:G49" si="12">VLOOKUP(B$30:B$50,I$30:M$50,5,0)</f>
        <v>A</v>
      </c>
      <c r="I31" s="196" t="s">
        <v>43</v>
      </c>
      <c r="J31" s="197">
        <f>'Юнит 15-21.12'!R29</f>
        <v>0</v>
      </c>
      <c r="K31" s="198">
        <f t="shared" ref="K31:K49" si="13">J31/J$50</f>
        <v>0</v>
      </c>
      <c r="L31" s="198">
        <f>K31+L30</f>
        <v>0</v>
      </c>
      <c r="M31" s="199" t="str">
        <f t="shared" si="10"/>
        <v>A</v>
      </c>
    </row>
    <row r="32" spans="2:17" ht="26.5" thickBot="1">
      <c r="B32" s="196" t="s">
        <v>235</v>
      </c>
      <c r="C32" s="197">
        <f>'Юнит 15-21.12'!AE30</f>
        <v>0</v>
      </c>
      <c r="D32" s="198">
        <f t="shared" si="11"/>
        <v>0</v>
      </c>
      <c r="E32" s="198">
        <f t="shared" ref="E32:E49" si="14">D32+E31</f>
        <v>0</v>
      </c>
      <c r="F32" s="199" t="str">
        <f t="shared" si="9"/>
        <v>C</v>
      </c>
      <c r="G32" s="199" t="str">
        <f t="shared" si="12"/>
        <v>A</v>
      </c>
      <c r="I32" s="196" t="s">
        <v>235</v>
      </c>
      <c r="J32" s="197">
        <f>'Юнит 15-21.12'!R30</f>
        <v>0</v>
      </c>
      <c r="K32" s="198">
        <f t="shared" si="13"/>
        <v>0</v>
      </c>
      <c r="L32" s="198">
        <f t="shared" ref="L32:L49" si="15">K32+L31</f>
        <v>0</v>
      </c>
      <c r="M32" s="199" t="str">
        <f t="shared" si="10"/>
        <v>A</v>
      </c>
    </row>
    <row r="33" spans="2:13" ht="15" thickBot="1">
      <c r="B33" s="196" t="s">
        <v>171</v>
      </c>
      <c r="C33" s="197">
        <f>'Юнит 15-21.12'!AE31</f>
        <v>0</v>
      </c>
      <c r="D33" s="198">
        <f t="shared" si="11"/>
        <v>0</v>
      </c>
      <c r="E33" s="198">
        <f t="shared" si="14"/>
        <v>0</v>
      </c>
      <c r="F33" s="199" t="str">
        <f t="shared" si="9"/>
        <v>C</v>
      </c>
      <c r="G33" s="199" t="str">
        <f t="shared" si="12"/>
        <v>A</v>
      </c>
      <c r="I33" s="196" t="s">
        <v>171</v>
      </c>
      <c r="J33" s="197">
        <f>'Юнит 15-21.12'!R31</f>
        <v>0</v>
      </c>
      <c r="K33" s="198">
        <f t="shared" si="13"/>
        <v>0</v>
      </c>
      <c r="L33" s="198">
        <f t="shared" si="15"/>
        <v>0</v>
      </c>
      <c r="M33" s="199" t="str">
        <f t="shared" si="10"/>
        <v>A</v>
      </c>
    </row>
    <row r="34" spans="2:13" ht="15" thickBot="1">
      <c r="B34" s="196" t="s">
        <v>39</v>
      </c>
      <c r="C34" s="197">
        <f>'Юнит 15-21.12'!AE32</f>
        <v>0</v>
      </c>
      <c r="D34" s="198">
        <f t="shared" si="11"/>
        <v>0</v>
      </c>
      <c r="E34" s="198">
        <f t="shared" si="14"/>
        <v>0</v>
      </c>
      <c r="F34" s="199" t="str">
        <f t="shared" si="9"/>
        <v>C</v>
      </c>
      <c r="G34" s="199" t="str">
        <f t="shared" si="12"/>
        <v>A</v>
      </c>
      <c r="I34" s="196" t="s">
        <v>39</v>
      </c>
      <c r="J34" s="197">
        <f>'Юнит 15-21.12'!R32</f>
        <v>0</v>
      </c>
      <c r="K34" s="198">
        <f t="shared" si="13"/>
        <v>0</v>
      </c>
      <c r="L34" s="198">
        <f t="shared" si="15"/>
        <v>0</v>
      </c>
      <c r="M34" s="199" t="str">
        <f t="shared" si="10"/>
        <v>A</v>
      </c>
    </row>
    <row r="35" spans="2:13" ht="15" thickBot="1">
      <c r="B35" s="196" t="s">
        <v>236</v>
      </c>
      <c r="C35" s="197">
        <f>'Юнит 15-21.12'!AE33</f>
        <v>-170.85</v>
      </c>
      <c r="D35" s="198">
        <f t="shared" si="11"/>
        <v>-0.12992099039565635</v>
      </c>
      <c r="E35" s="198">
        <f t="shared" si="14"/>
        <v>-0.12992099039565635</v>
      </c>
      <c r="F35" s="199" t="str">
        <f t="shared" si="9"/>
        <v>C</v>
      </c>
      <c r="G35" s="199" t="str">
        <f t="shared" si="12"/>
        <v>A</v>
      </c>
      <c r="I35" s="196" t="s">
        <v>236</v>
      </c>
      <c r="J35" s="197">
        <f>'Юнит 15-21.12'!R33</f>
        <v>0</v>
      </c>
      <c r="K35" s="198">
        <f t="shared" si="13"/>
        <v>0</v>
      </c>
      <c r="L35" s="198">
        <f t="shared" si="15"/>
        <v>0</v>
      </c>
      <c r="M35" s="199" t="str">
        <f t="shared" si="10"/>
        <v>A</v>
      </c>
    </row>
    <row r="36" spans="2:13" ht="15" thickBot="1">
      <c r="B36" s="196" t="s">
        <v>237</v>
      </c>
      <c r="C36" s="197">
        <f>'Юнит 15-21.12'!AE34</f>
        <v>0</v>
      </c>
      <c r="D36" s="198">
        <f t="shared" si="11"/>
        <v>0</v>
      </c>
      <c r="E36" s="198">
        <f t="shared" si="14"/>
        <v>-0.12992099039565635</v>
      </c>
      <c r="F36" s="199" t="str">
        <f t="shared" si="9"/>
        <v>C</v>
      </c>
      <c r="G36" s="199" t="str">
        <f t="shared" si="12"/>
        <v>A</v>
      </c>
      <c r="I36" s="196" t="s">
        <v>237</v>
      </c>
      <c r="J36" s="197">
        <f>'Юнит 15-21.12'!R34</f>
        <v>0</v>
      </c>
      <c r="K36" s="198">
        <f t="shared" si="13"/>
        <v>0</v>
      </c>
      <c r="L36" s="198">
        <f t="shared" si="15"/>
        <v>0</v>
      </c>
      <c r="M36" s="199" t="str">
        <f t="shared" si="10"/>
        <v>A</v>
      </c>
    </row>
    <row r="37" spans="2:13" ht="15" thickBot="1">
      <c r="B37" s="196" t="s">
        <v>142</v>
      </c>
      <c r="C37" s="197">
        <f>'Юнит 15-21.12'!AE35</f>
        <v>0</v>
      </c>
      <c r="D37" s="198">
        <f t="shared" si="11"/>
        <v>0</v>
      </c>
      <c r="E37" s="198">
        <f t="shared" si="14"/>
        <v>-0.12992099039565635</v>
      </c>
      <c r="F37" s="199" t="str">
        <f>IF(AND(E37&lt;=0),"C",IF(E37&lt;=0.8,"A",IF(E37&lt;=0.95,"B","C")))</f>
        <v>C</v>
      </c>
      <c r="G37" s="199" t="str">
        <f t="shared" si="12"/>
        <v>A</v>
      </c>
      <c r="I37" s="196" t="s">
        <v>142</v>
      </c>
      <c r="J37" s="197">
        <f>'Юнит 15-21.12'!R35</f>
        <v>0</v>
      </c>
      <c r="K37" s="198">
        <f t="shared" si="13"/>
        <v>0</v>
      </c>
      <c r="L37" s="198">
        <f t="shared" si="15"/>
        <v>0</v>
      </c>
      <c r="M37" s="199" t="str">
        <f>_xlfn.IFS(L37&lt;80%,"A",L37&lt;=95%,"B",L37&gt;95%,"C")</f>
        <v>A</v>
      </c>
    </row>
    <row r="38" spans="2:13" ht="15" thickBot="1">
      <c r="B38" s="196" t="s">
        <v>238</v>
      </c>
      <c r="C38" s="197">
        <f>'Юнит 15-21.12'!AE36</f>
        <v>-112</v>
      </c>
      <c r="D38" s="198">
        <f t="shared" si="11"/>
        <v>-8.5169159638943587E-2</v>
      </c>
      <c r="E38" s="198">
        <f t="shared" si="14"/>
        <v>-0.21509015003459994</v>
      </c>
      <c r="F38" s="199" t="str">
        <f t="shared" ref="F38:F49" si="16">IF(AND(E38&lt;=0),"C",IF(E38&lt;=0.8,"A",IF(E38&lt;=0.95,"B","C")))</f>
        <v>C</v>
      </c>
      <c r="G38" s="199" t="str">
        <f t="shared" si="12"/>
        <v>A</v>
      </c>
      <c r="I38" s="196" t="s">
        <v>238</v>
      </c>
      <c r="J38" s="197">
        <f>'Юнит 15-21.12'!R36</f>
        <v>0</v>
      </c>
      <c r="K38" s="198">
        <f t="shared" si="13"/>
        <v>0</v>
      </c>
      <c r="L38" s="198">
        <f t="shared" si="15"/>
        <v>0</v>
      </c>
      <c r="M38" s="199" t="str">
        <f t="shared" ref="M38:M49" si="17">_xlfn.IFS(L38&lt;80%,"A",L38&lt;=95%,"B",L38&gt;95%,"C")</f>
        <v>A</v>
      </c>
    </row>
    <row r="39" spans="2:13" ht="15" thickBot="1">
      <c r="B39" s="196" t="s">
        <v>62</v>
      </c>
      <c r="C39" s="197">
        <f>'Юнит 15-21.12'!AE37</f>
        <v>0</v>
      </c>
      <c r="D39" s="198">
        <f t="shared" si="11"/>
        <v>0</v>
      </c>
      <c r="E39" s="198">
        <f t="shared" si="14"/>
        <v>-0.21509015003459994</v>
      </c>
      <c r="F39" s="199" t="str">
        <f t="shared" si="16"/>
        <v>C</v>
      </c>
      <c r="G39" s="199" t="str">
        <f t="shared" si="12"/>
        <v>A</v>
      </c>
      <c r="I39" s="196" t="s">
        <v>62</v>
      </c>
      <c r="J39" s="197">
        <f>'Юнит 15-21.12'!R37</f>
        <v>0</v>
      </c>
      <c r="K39" s="198">
        <f t="shared" si="13"/>
        <v>0</v>
      </c>
      <c r="L39" s="198">
        <f t="shared" si="15"/>
        <v>0</v>
      </c>
      <c r="M39" s="199" t="str">
        <f t="shared" si="17"/>
        <v>A</v>
      </c>
    </row>
    <row r="40" spans="2:13" ht="15" thickBot="1">
      <c r="B40" s="196" t="s">
        <v>239</v>
      </c>
      <c r="C40" s="197">
        <f>'Юнит 15-21.12'!AE38</f>
        <v>0</v>
      </c>
      <c r="D40" s="198">
        <f t="shared" si="11"/>
        <v>0</v>
      </c>
      <c r="E40" s="198">
        <f t="shared" si="14"/>
        <v>-0.21509015003459994</v>
      </c>
      <c r="F40" s="199" t="str">
        <f t="shared" si="16"/>
        <v>C</v>
      </c>
      <c r="G40" s="199" t="str">
        <f t="shared" si="12"/>
        <v>A</v>
      </c>
      <c r="I40" s="196" t="s">
        <v>239</v>
      </c>
      <c r="J40" s="197">
        <f>'Юнит 15-21.12'!R38</f>
        <v>0</v>
      </c>
      <c r="K40" s="198">
        <f t="shared" si="13"/>
        <v>0</v>
      </c>
      <c r="L40" s="198">
        <f t="shared" si="15"/>
        <v>0</v>
      </c>
      <c r="M40" s="199" t="str">
        <f t="shared" si="17"/>
        <v>A</v>
      </c>
    </row>
    <row r="41" spans="2:13" ht="26.5" thickBot="1">
      <c r="B41" s="196" t="s">
        <v>240</v>
      </c>
      <c r="C41" s="197">
        <f>'Юнит 15-21.12'!AE39</f>
        <v>0</v>
      </c>
      <c r="D41" s="198">
        <f t="shared" si="11"/>
        <v>0</v>
      </c>
      <c r="E41" s="198">
        <f t="shared" si="14"/>
        <v>-0.21509015003459994</v>
      </c>
      <c r="F41" s="199" t="str">
        <f t="shared" si="16"/>
        <v>C</v>
      </c>
      <c r="G41" s="199" t="str">
        <f t="shared" si="12"/>
        <v>A</v>
      </c>
      <c r="I41" s="196" t="s">
        <v>240</v>
      </c>
      <c r="J41" s="197">
        <f>'Юнит 15-21.12'!R39</f>
        <v>0</v>
      </c>
      <c r="K41" s="198">
        <f t="shared" si="13"/>
        <v>0</v>
      </c>
      <c r="L41" s="198">
        <f t="shared" si="15"/>
        <v>0</v>
      </c>
      <c r="M41" s="199" t="str">
        <f t="shared" si="17"/>
        <v>A</v>
      </c>
    </row>
    <row r="42" spans="2:13" ht="15" thickBot="1">
      <c r="B42" s="196" t="s">
        <v>241</v>
      </c>
      <c r="C42" s="197">
        <f>'Юнит 15-21.12'!AE40</f>
        <v>0</v>
      </c>
      <c r="D42" s="198">
        <f t="shared" si="11"/>
        <v>0</v>
      </c>
      <c r="E42" s="198">
        <f t="shared" si="14"/>
        <v>-0.21509015003459994</v>
      </c>
      <c r="F42" s="199" t="str">
        <f t="shared" si="16"/>
        <v>C</v>
      </c>
      <c r="G42" s="199" t="str">
        <f t="shared" si="12"/>
        <v>A</v>
      </c>
      <c r="I42" s="196" t="s">
        <v>241</v>
      </c>
      <c r="J42" s="197">
        <f>'Юнит 15-21.12'!R40</f>
        <v>0</v>
      </c>
      <c r="K42" s="198">
        <f t="shared" si="13"/>
        <v>0</v>
      </c>
      <c r="L42" s="198">
        <f t="shared" si="15"/>
        <v>0</v>
      </c>
      <c r="M42" s="199" t="str">
        <f t="shared" si="17"/>
        <v>A</v>
      </c>
    </row>
    <row r="43" spans="2:13" ht="26.5" thickBot="1">
      <c r="B43" s="196" t="s">
        <v>242</v>
      </c>
      <c r="C43" s="197">
        <f>'Юнит 15-21.12'!AE41</f>
        <v>0</v>
      </c>
      <c r="D43" s="198">
        <f t="shared" si="11"/>
        <v>0</v>
      </c>
      <c r="E43" s="198">
        <f t="shared" si="14"/>
        <v>-0.21509015003459994</v>
      </c>
      <c r="F43" s="199" t="str">
        <f t="shared" si="16"/>
        <v>C</v>
      </c>
      <c r="G43" s="199" t="str">
        <f t="shared" si="12"/>
        <v>A</v>
      </c>
      <c r="I43" s="196" t="s">
        <v>242</v>
      </c>
      <c r="J43" s="197">
        <f>'Юнит 15-21.12'!R41</f>
        <v>0</v>
      </c>
      <c r="K43" s="198">
        <f t="shared" si="13"/>
        <v>0</v>
      </c>
      <c r="L43" s="198">
        <f t="shared" si="15"/>
        <v>0</v>
      </c>
      <c r="M43" s="199" t="str">
        <f t="shared" si="17"/>
        <v>A</v>
      </c>
    </row>
    <row r="44" spans="2:13" ht="26.5" thickBot="1">
      <c r="B44" s="196" t="s">
        <v>243</v>
      </c>
      <c r="C44" s="197">
        <f>'Юнит 15-21.12'!AE42</f>
        <v>-820.4</v>
      </c>
      <c r="D44" s="198">
        <f t="shared" si="11"/>
        <v>-0.6238640943552618</v>
      </c>
      <c r="E44" s="198">
        <f t="shared" si="14"/>
        <v>-0.83895424438986177</v>
      </c>
      <c r="F44" s="199" t="str">
        <f t="shared" si="16"/>
        <v>C</v>
      </c>
      <c r="G44" s="199" t="str">
        <f t="shared" si="12"/>
        <v>A</v>
      </c>
      <c r="I44" s="196" t="s">
        <v>243</v>
      </c>
      <c r="J44" s="197">
        <f>'Юнит 15-21.12'!R42</f>
        <v>0</v>
      </c>
      <c r="K44" s="198">
        <f t="shared" si="13"/>
        <v>0</v>
      </c>
      <c r="L44" s="198">
        <f t="shared" si="15"/>
        <v>0</v>
      </c>
      <c r="M44" s="199" t="str">
        <f t="shared" si="17"/>
        <v>A</v>
      </c>
    </row>
    <row r="45" spans="2:13" ht="26.5" thickBot="1">
      <c r="B45" s="196" t="s">
        <v>771</v>
      </c>
      <c r="C45" s="197">
        <f>'Юнит 15-21.12'!AE43</f>
        <v>0</v>
      </c>
      <c r="D45" s="198">
        <f t="shared" si="11"/>
        <v>0</v>
      </c>
      <c r="E45" s="198">
        <f t="shared" si="14"/>
        <v>-0.83895424438986177</v>
      </c>
      <c r="F45" s="199" t="str">
        <f t="shared" si="16"/>
        <v>C</v>
      </c>
      <c r="G45" s="199" t="str">
        <f t="shared" si="12"/>
        <v>A</v>
      </c>
      <c r="I45" s="196" t="s">
        <v>771</v>
      </c>
      <c r="J45" s="197">
        <f>'Юнит 15-21.12'!R43</f>
        <v>0</v>
      </c>
      <c r="K45" s="198">
        <f t="shared" si="13"/>
        <v>0</v>
      </c>
      <c r="L45" s="198">
        <f t="shared" si="15"/>
        <v>0</v>
      </c>
      <c r="M45" s="199" t="str">
        <f t="shared" si="17"/>
        <v>A</v>
      </c>
    </row>
    <row r="46" spans="2:13" ht="26.5" thickBot="1">
      <c r="B46" s="196" t="s">
        <v>51</v>
      </c>
      <c r="C46" s="197">
        <f>'Юнит 15-21.12'!AE44</f>
        <v>0</v>
      </c>
      <c r="D46" s="198">
        <f t="shared" si="11"/>
        <v>0</v>
      </c>
      <c r="E46" s="198">
        <f t="shared" si="14"/>
        <v>-0.83895424438986177</v>
      </c>
      <c r="F46" s="199" t="str">
        <f t="shared" si="16"/>
        <v>C</v>
      </c>
      <c r="G46" s="199" t="str">
        <f t="shared" si="12"/>
        <v>A</v>
      </c>
      <c r="I46" s="196" t="s">
        <v>51</v>
      </c>
      <c r="J46" s="197">
        <f>'Юнит 15-21.12'!R44</f>
        <v>0</v>
      </c>
      <c r="K46" s="198">
        <f t="shared" si="13"/>
        <v>0</v>
      </c>
      <c r="L46" s="198">
        <f t="shared" si="15"/>
        <v>0</v>
      </c>
      <c r="M46" s="199" t="str">
        <f t="shared" si="17"/>
        <v>A</v>
      </c>
    </row>
    <row r="47" spans="2:13" ht="26.5" thickBot="1">
      <c r="B47" s="196" t="s">
        <v>70</v>
      </c>
      <c r="C47" s="197">
        <f>'Юнит 15-21.12'!AE45</f>
        <v>2418.2800000000002</v>
      </c>
      <c r="D47" s="198">
        <f t="shared" si="11"/>
        <v>1.8389542443898617</v>
      </c>
      <c r="E47" s="198">
        <f t="shared" si="14"/>
        <v>0.99999999999999989</v>
      </c>
      <c r="F47" s="199" t="str">
        <f t="shared" si="16"/>
        <v>C</v>
      </c>
      <c r="G47" s="199" t="str">
        <f t="shared" si="12"/>
        <v>C</v>
      </c>
      <c r="I47" s="196" t="s">
        <v>70</v>
      </c>
      <c r="J47" s="197">
        <f>'Юнит 15-21.12'!R45</f>
        <v>1</v>
      </c>
      <c r="K47" s="198">
        <f t="shared" si="13"/>
        <v>1</v>
      </c>
      <c r="L47" s="198">
        <f t="shared" si="15"/>
        <v>1</v>
      </c>
      <c r="M47" s="199" t="str">
        <f t="shared" si="17"/>
        <v>C</v>
      </c>
    </row>
    <row r="48" spans="2:13" ht="15" thickBot="1">
      <c r="B48" s="196" t="s">
        <v>66</v>
      </c>
      <c r="C48" s="197">
        <f>'Юнит 15-21.12'!AE46</f>
        <v>0</v>
      </c>
      <c r="D48" s="198">
        <f t="shared" si="11"/>
        <v>0</v>
      </c>
      <c r="E48" s="198">
        <f t="shared" si="14"/>
        <v>0.99999999999999989</v>
      </c>
      <c r="F48" s="199" t="str">
        <f t="shared" si="16"/>
        <v>C</v>
      </c>
      <c r="G48" s="199" t="str">
        <f t="shared" si="12"/>
        <v>C</v>
      </c>
      <c r="I48" s="196" t="s">
        <v>66</v>
      </c>
      <c r="J48" s="197">
        <f>'Юнит 15-21.12'!R46</f>
        <v>0</v>
      </c>
      <c r="K48" s="198">
        <f t="shared" si="13"/>
        <v>0</v>
      </c>
      <c r="L48" s="198">
        <f t="shared" si="15"/>
        <v>1</v>
      </c>
      <c r="M48" s="199" t="str">
        <f t="shared" si="17"/>
        <v>C</v>
      </c>
    </row>
    <row r="49" spans="2:13" ht="26.5" thickBot="1">
      <c r="B49" s="196" t="s">
        <v>245</v>
      </c>
      <c r="C49" s="197">
        <f>'Юнит 15-21.12'!AE47</f>
        <v>0</v>
      </c>
      <c r="D49" s="198">
        <f t="shared" si="11"/>
        <v>0</v>
      </c>
      <c r="E49" s="198">
        <f t="shared" si="14"/>
        <v>0.99999999999999989</v>
      </c>
      <c r="F49" s="199" t="str">
        <f t="shared" si="16"/>
        <v>C</v>
      </c>
      <c r="G49" s="199" t="str">
        <f t="shared" si="12"/>
        <v>C</v>
      </c>
      <c r="I49" s="196" t="s">
        <v>245</v>
      </c>
      <c r="J49" s="197">
        <f>'Юнит 15-21.12'!R47</f>
        <v>0</v>
      </c>
      <c r="K49" s="198">
        <f t="shared" si="13"/>
        <v>0</v>
      </c>
      <c r="L49" s="198">
        <f t="shared" si="15"/>
        <v>1</v>
      </c>
      <c r="M49" s="199" t="str">
        <f t="shared" si="17"/>
        <v>C</v>
      </c>
    </row>
    <row r="50" spans="2:13">
      <c r="C50" s="205">
        <f>SUM(C30:C49)</f>
        <v>1315.0300000000002</v>
      </c>
      <c r="D50" s="206">
        <f>SUM(D30:D49)</f>
        <v>0.99999999999999989</v>
      </c>
      <c r="J50" s="205">
        <f>SUM(J30:J49)</f>
        <v>1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72" priority="4" operator="equal">
      <formula>"C"</formula>
    </cfRule>
    <cfRule type="cellIs" dxfId="371" priority="5" operator="equal">
      <formula>"B"</formula>
    </cfRule>
    <cfRule type="cellIs" dxfId="370" priority="6" operator="equal">
      <formula>"A"</formula>
    </cfRule>
  </conditionalFormatting>
  <conditionalFormatting sqref="M30:M49 D30:D49 K30:K49 F30:G49">
    <cfRule type="cellIs" dxfId="369" priority="1" operator="equal">
      <formula>"C"</formula>
    </cfRule>
    <cfRule type="cellIs" dxfId="368" priority="2" operator="equal">
      <formula>"B"</formula>
    </cfRule>
    <cfRule type="cellIs" dxfId="367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5E47-282C-4CA2-B353-BCA2ACBFD0D2}">
  <dimension ref="B1:Q50"/>
  <sheetViews>
    <sheetView workbookViewId="0">
      <selection activeCell="I6" sqref="I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'Юнит 08-14.12'!AE3</f>
        <v>1208.500335000002</v>
      </c>
      <c r="D4" s="198">
        <f>C4/C$26</f>
        <v>0.49416994510169238</v>
      </c>
      <c r="E4" s="198">
        <f>D4</f>
        <v>0.49416994510169238</v>
      </c>
      <c r="F4" s="199" t="str">
        <f t="shared" ref="F4:F12" si="0">IF(AND(E4&lt;=0),"C",IF(E4&lt;=0.8,"A",IF(E4&lt;=0.95,"B","C")))</f>
        <v>A</v>
      </c>
      <c r="G4" s="199" t="str">
        <f>VLOOKUP(B$4:B$25,I$4:M$25,5,0)</f>
        <v>A</v>
      </c>
      <c r="I4" s="196" t="s">
        <v>25</v>
      </c>
      <c r="J4" s="197">
        <f>'Юнит 08-14.12'!R3</f>
        <v>15</v>
      </c>
      <c r="K4" s="198">
        <f>J4/J$26</f>
        <v>0.39473684210526316</v>
      </c>
      <c r="L4" s="198">
        <f>K4</f>
        <v>0.39473684210526316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223</v>
      </c>
      <c r="C5" s="197">
        <f>'Юнит 08-14.12'!AE6</f>
        <v>603.4060370000027</v>
      </c>
      <c r="D5" s="198">
        <f>C5/C$26</f>
        <v>0.24673979770003174</v>
      </c>
      <c r="E5" s="198">
        <f>D5+E4</f>
        <v>0.74090974280172417</v>
      </c>
      <c r="F5" s="199" t="str">
        <f t="shared" si="0"/>
        <v>A</v>
      </c>
      <c r="G5" s="199" t="str">
        <f>VLOOKUP(B$4:B$25,I$4:M$25,5,0)</f>
        <v>A</v>
      </c>
      <c r="I5" s="196" t="s">
        <v>223</v>
      </c>
      <c r="J5" s="197">
        <f>'Юнит 08-14.12'!R6</f>
        <v>13</v>
      </c>
      <c r="K5" s="198">
        <f>J5/J$26</f>
        <v>0.34210526315789475</v>
      </c>
      <c r="L5" s="198">
        <f>K5+L4</f>
        <v>0.73684210526315796</v>
      </c>
      <c r="M5" s="199" t="str">
        <f t="shared" si="1"/>
        <v>A</v>
      </c>
    </row>
    <row r="6" spans="2:17" ht="28.5" customHeight="1" outlineLevel="1" thickBot="1">
      <c r="B6" s="196" t="s">
        <v>54</v>
      </c>
      <c r="C6" s="197">
        <f>'Юнит 08-14.12'!AE7</f>
        <v>556.33000000000004</v>
      </c>
      <c r="D6" s="198">
        <f>C6/C$26</f>
        <v>0.22748985465397001</v>
      </c>
      <c r="E6" s="198">
        <f t="shared" ref="E6:E25" si="2">D6+E5</f>
        <v>0.96839959745569415</v>
      </c>
      <c r="F6" s="199" t="str">
        <f t="shared" si="0"/>
        <v>C</v>
      </c>
      <c r="G6" s="199" t="str">
        <f>VLOOKUP(B$4:B$25,I$4:M$25,5,0)</f>
        <v>B</v>
      </c>
      <c r="I6" s="196" t="s">
        <v>1054</v>
      </c>
      <c r="J6" s="197">
        <f>'Юнит 08-14.12'!R8</f>
        <v>2</v>
      </c>
      <c r="K6" s="198">
        <f>J6/J$26</f>
        <v>5.2631578947368418E-2</v>
      </c>
      <c r="L6" s="198">
        <f t="shared" ref="L6:L25" si="3">K6+L5</f>
        <v>0.78947368421052633</v>
      </c>
      <c r="M6" s="199" t="str">
        <f t="shared" si="1"/>
        <v>A</v>
      </c>
    </row>
    <row r="7" spans="2:17" ht="28.5" customHeight="1" outlineLevel="1" thickBot="1">
      <c r="B7" s="196" t="s">
        <v>226</v>
      </c>
      <c r="C7" s="197">
        <f>'Юнит 08-14.12'!AE13</f>
        <v>528.5100000000001</v>
      </c>
      <c r="D7" s="198">
        <f>C7/C$26</f>
        <v>0.2161139307302675</v>
      </c>
      <c r="E7" s="198">
        <f t="shared" si="2"/>
        <v>1.1845135281859616</v>
      </c>
      <c r="F7" s="199" t="str">
        <f t="shared" si="0"/>
        <v>C</v>
      </c>
      <c r="G7" s="199" t="str">
        <f>VLOOKUP(B$4:B$25,I$4:M$25,5,0)</f>
        <v>B</v>
      </c>
      <c r="I7" s="196" t="s">
        <v>92</v>
      </c>
      <c r="J7" s="197">
        <f>'Юнит 08-14.12'!R4</f>
        <v>1</v>
      </c>
      <c r="K7" s="198">
        <f>J7/J$26</f>
        <v>2.6315789473684209E-2</v>
      </c>
      <c r="L7" s="198">
        <f t="shared" si="3"/>
        <v>0.81578947368421051</v>
      </c>
      <c r="M7" s="199" t="str">
        <f t="shared" si="1"/>
        <v>B</v>
      </c>
    </row>
    <row r="8" spans="2:17" ht="28.5" customHeight="1" outlineLevel="1" thickBot="1">
      <c r="B8" s="196" t="s">
        <v>88</v>
      </c>
      <c r="C8" s="197">
        <f>'Юнит 08-14.12'!AE10</f>
        <v>374.32000000000016</v>
      </c>
      <c r="D8" s="198">
        <f>C8/C$26</f>
        <v>0.15306383332567736</v>
      </c>
      <c r="E8" s="198">
        <f t="shared" si="2"/>
        <v>1.3375773615116389</v>
      </c>
      <c r="F8" s="199" t="str">
        <f t="shared" si="0"/>
        <v>C</v>
      </c>
      <c r="G8" s="199" t="str">
        <f>VLOOKUP(B$4:B$25,I$4:M$25,5,0)</f>
        <v>B</v>
      </c>
      <c r="I8" s="196" t="s">
        <v>222</v>
      </c>
      <c r="J8" s="197">
        <f>'Юнит 08-14.12'!R5</f>
        <v>1</v>
      </c>
      <c r="K8" s="198">
        <f>J8/J$26</f>
        <v>2.6315789473684209E-2</v>
      </c>
      <c r="L8" s="198">
        <f t="shared" si="3"/>
        <v>0.84210526315789469</v>
      </c>
      <c r="M8" s="199" t="str">
        <f t="shared" si="1"/>
        <v>B</v>
      </c>
    </row>
    <row r="9" spans="2:17" ht="28.5" customHeight="1" outlineLevel="1" thickBot="1">
      <c r="B9" s="196" t="s">
        <v>19</v>
      </c>
      <c r="C9" s="197">
        <f>'Юнит 08-14.12'!AE16</f>
        <v>356.88000000000005</v>
      </c>
      <c r="D9" s="198">
        <f t="shared" ref="D9:D25" si="4">C9/C$26</f>
        <v>0.14593241300830231</v>
      </c>
      <c r="E9" s="198">
        <f t="shared" si="2"/>
        <v>1.4835097745199413</v>
      </c>
      <c r="F9" s="199" t="str">
        <f t="shared" si="0"/>
        <v>C</v>
      </c>
      <c r="G9" s="199" t="str">
        <f t="shared" ref="G9:G25" si="5">VLOOKUP(B$4:B$25,I$4:M$25,5,0)</f>
        <v>B</v>
      </c>
      <c r="I9" s="196" t="s">
        <v>54</v>
      </c>
      <c r="J9" s="197">
        <f>'Юнит 08-14.12'!R7</f>
        <v>1</v>
      </c>
      <c r="K9" s="198">
        <f t="shared" ref="K9:K25" si="6">J9/J$26</f>
        <v>2.6315789473684209E-2</v>
      </c>
      <c r="L9" s="198">
        <f t="shared" si="3"/>
        <v>0.86842105263157887</v>
      </c>
      <c r="M9" s="199" t="str">
        <f t="shared" si="1"/>
        <v>B</v>
      </c>
    </row>
    <row r="10" spans="2:17" ht="28.5" customHeight="1" outlineLevel="1" thickBot="1">
      <c r="B10" s="196" t="s">
        <v>227</v>
      </c>
      <c r="C10" s="197">
        <f>'Юнит 08-14.12'!AE14</f>
        <v>340.66000000000014</v>
      </c>
      <c r="D10" s="198">
        <f t="shared" si="4"/>
        <v>0.13929986498377123</v>
      </c>
      <c r="E10" s="198">
        <f t="shared" si="2"/>
        <v>1.6228096395037124</v>
      </c>
      <c r="F10" s="199" t="str">
        <f t="shared" si="0"/>
        <v>C</v>
      </c>
      <c r="G10" s="199" t="str">
        <f t="shared" si="5"/>
        <v>B</v>
      </c>
      <c r="I10" s="196" t="s">
        <v>1055</v>
      </c>
      <c r="J10" s="197">
        <f>'Юнит 08-14.12'!R9</f>
        <v>1</v>
      </c>
      <c r="K10" s="198">
        <f t="shared" si="6"/>
        <v>2.6315789473684209E-2</v>
      </c>
      <c r="L10" s="198">
        <f t="shared" si="3"/>
        <v>0.89473684210526305</v>
      </c>
      <c r="M10" s="199" t="str">
        <f t="shared" si="1"/>
        <v>B</v>
      </c>
    </row>
    <row r="11" spans="2:17" ht="28.5" customHeight="1" outlineLevel="1" thickBot="1">
      <c r="B11" s="196" t="s">
        <v>92</v>
      </c>
      <c r="C11" s="197">
        <f>'Юнит 08-14.12'!AE4</f>
        <v>339.71999999999997</v>
      </c>
      <c r="D11" s="198">
        <f t="shared" si="4"/>
        <v>0.13891548797125211</v>
      </c>
      <c r="E11" s="198">
        <f>D11+E8</f>
        <v>1.4764928494828911</v>
      </c>
      <c r="F11" s="199" t="str">
        <f t="shared" si="0"/>
        <v>C</v>
      </c>
      <c r="G11" s="199" t="str">
        <f t="shared" si="5"/>
        <v>B</v>
      </c>
      <c r="I11" s="196" t="s">
        <v>88</v>
      </c>
      <c r="J11" s="197">
        <f>'Юнит 08-14.12'!R10</f>
        <v>1</v>
      </c>
      <c r="K11" s="198">
        <f t="shared" si="6"/>
        <v>2.6315789473684209E-2</v>
      </c>
      <c r="L11" s="198">
        <f>K11+L8</f>
        <v>0.86842105263157887</v>
      </c>
      <c r="M11" s="199" t="str">
        <f t="shared" si="1"/>
        <v>B</v>
      </c>
    </row>
    <row r="12" spans="2:17" ht="28.5" customHeight="1" outlineLevel="1" thickBot="1">
      <c r="B12" s="196" t="s">
        <v>222</v>
      </c>
      <c r="C12" s="197">
        <f>'Юнит 08-14.12'!AE5</f>
        <v>43.039999999999964</v>
      </c>
      <c r="D12" s="198">
        <f t="shared" si="4"/>
        <v>1.7599560232787841E-2</v>
      </c>
      <c r="E12" s="198">
        <f t="shared" si="2"/>
        <v>1.4940924097156789</v>
      </c>
      <c r="F12" s="199" t="str">
        <f t="shared" si="0"/>
        <v>C</v>
      </c>
      <c r="G12" s="199" t="str">
        <f t="shared" si="5"/>
        <v>B</v>
      </c>
      <c r="I12" s="196" t="s">
        <v>226</v>
      </c>
      <c r="J12" s="197">
        <f>'Юнит 08-14.12'!R13</f>
        <v>1</v>
      </c>
      <c r="K12" s="198">
        <f t="shared" si="6"/>
        <v>2.6315789473684209E-2</v>
      </c>
      <c r="L12" s="198">
        <f t="shared" si="3"/>
        <v>0.89473684210526305</v>
      </c>
      <c r="M12" s="199" t="str">
        <f t="shared" si="1"/>
        <v>B</v>
      </c>
    </row>
    <row r="13" spans="2:17" ht="15" outlineLevel="1" thickBot="1">
      <c r="B13" s="196" t="s">
        <v>224</v>
      </c>
      <c r="C13" s="197">
        <f>'Юнит 08-14.12'!AE11</f>
        <v>0</v>
      </c>
      <c r="D13" s="198">
        <f t="shared" si="4"/>
        <v>0</v>
      </c>
      <c r="E13" s="198">
        <f t="shared" si="2"/>
        <v>1.4940924097156789</v>
      </c>
      <c r="F13" s="199" t="str">
        <f>IF(AND(E13&lt;=0),"C",IF(E13&lt;=0.8,"A",IF(E13&lt;=0.95,"B","C")))</f>
        <v>C</v>
      </c>
      <c r="G13" s="199" t="str">
        <f t="shared" si="5"/>
        <v>B</v>
      </c>
      <c r="I13" s="196" t="s">
        <v>227</v>
      </c>
      <c r="J13" s="197">
        <f>'Юнит 08-14.12'!R14</f>
        <v>1</v>
      </c>
      <c r="K13" s="198">
        <f t="shared" si="6"/>
        <v>2.6315789473684209E-2</v>
      </c>
      <c r="L13" s="198">
        <f t="shared" si="3"/>
        <v>0.92105263157894723</v>
      </c>
      <c r="M13" s="199" t="str">
        <f>_xlfn.IFS(L13&lt;80%,"A",L13&lt;=95%,"B",L13&gt;95%,"C")</f>
        <v>B</v>
      </c>
      <c r="P13" s="200" t="s">
        <v>301</v>
      </c>
      <c r="Q13" s="201">
        <v>0.8</v>
      </c>
    </row>
    <row r="14" spans="2:17" ht="15" outlineLevel="1" thickBot="1">
      <c r="B14" s="196" t="s">
        <v>225</v>
      </c>
      <c r="C14" s="197">
        <f>'Юнит 08-14.12'!AE12</f>
        <v>0</v>
      </c>
      <c r="D14" s="198">
        <f t="shared" si="4"/>
        <v>0</v>
      </c>
      <c r="E14" s="198">
        <f t="shared" si="2"/>
        <v>1.4940924097156789</v>
      </c>
      <c r="F14" s="199" t="str">
        <f t="shared" ref="F14:F25" si="7">IF(AND(E14&lt;=0),"C",IF(E14&lt;=0.8,"A",IF(E14&lt;=0.95,"B","C")))</f>
        <v>C</v>
      </c>
      <c r="G14" s="199" t="str">
        <f t="shared" si="5"/>
        <v>B</v>
      </c>
      <c r="I14" s="196" t="s">
        <v>19</v>
      </c>
      <c r="J14" s="197">
        <f>'Юнит 08-14.12'!R16</f>
        <v>1</v>
      </c>
      <c r="K14" s="198">
        <f t="shared" si="6"/>
        <v>2.6315789473684209E-2</v>
      </c>
      <c r="L14" s="198">
        <f t="shared" si="3"/>
        <v>0.94736842105263142</v>
      </c>
      <c r="M14" s="199" t="str">
        <f t="shared" ref="M14:M25" si="8">_xlfn.IFS(L14&lt;80%,"A",L14&lt;=95%,"B",L14&gt;95%,"C")</f>
        <v>B</v>
      </c>
      <c r="P14" s="202" t="s">
        <v>302</v>
      </c>
      <c r="Q14" s="201">
        <v>0.15</v>
      </c>
    </row>
    <row r="15" spans="2:17" ht="15" outlineLevel="1" thickBot="1">
      <c r="B15" s="196" t="s">
        <v>229</v>
      </c>
      <c r="C15" s="197">
        <f>'Юнит 08-14.12'!AE17</f>
        <v>0</v>
      </c>
      <c r="D15" s="198">
        <f t="shared" si="4"/>
        <v>0</v>
      </c>
      <c r="E15" s="198">
        <f t="shared" si="2"/>
        <v>1.4940924097156789</v>
      </c>
      <c r="F15" s="199" t="str">
        <f t="shared" si="7"/>
        <v>C</v>
      </c>
      <c r="G15" s="199" t="str">
        <f t="shared" si="5"/>
        <v>B</v>
      </c>
      <c r="I15" s="196" t="s">
        <v>224</v>
      </c>
      <c r="J15" s="197">
        <f>'Юнит 08-14.12'!R11</f>
        <v>0</v>
      </c>
      <c r="K15" s="198">
        <f t="shared" si="6"/>
        <v>0</v>
      </c>
      <c r="L15" s="198">
        <f t="shared" si="3"/>
        <v>0.94736842105263142</v>
      </c>
      <c r="M15" s="199" t="str">
        <f t="shared" si="8"/>
        <v>B</v>
      </c>
      <c r="P15" s="203" t="s">
        <v>303</v>
      </c>
      <c r="Q15" s="201">
        <v>0.05</v>
      </c>
    </row>
    <row r="16" spans="2:17" ht="15" outlineLevel="1" thickBot="1">
      <c r="B16" s="196" t="s">
        <v>230</v>
      </c>
      <c r="C16" s="197">
        <f>'Юнит 08-14.12'!AE18</f>
        <v>0</v>
      </c>
      <c r="D16" s="198">
        <f t="shared" si="4"/>
        <v>0</v>
      </c>
      <c r="E16" s="198">
        <f t="shared" si="2"/>
        <v>1.4940924097156789</v>
      </c>
      <c r="F16" s="199" t="str">
        <f t="shared" si="7"/>
        <v>C</v>
      </c>
      <c r="G16" s="199" t="str">
        <f t="shared" si="5"/>
        <v>B</v>
      </c>
      <c r="I16" s="196" t="s">
        <v>225</v>
      </c>
      <c r="J16" s="197">
        <f>'Юнит 08-14.12'!R12</f>
        <v>0</v>
      </c>
      <c r="K16" s="198">
        <f t="shared" si="6"/>
        <v>0</v>
      </c>
      <c r="L16" s="198">
        <f t="shared" si="3"/>
        <v>0.94736842105263142</v>
      </c>
      <c r="M16" s="199" t="str">
        <f t="shared" si="8"/>
        <v>B</v>
      </c>
      <c r="P16" s="204"/>
      <c r="Q16" s="198"/>
    </row>
    <row r="17" spans="2:17" ht="26.5" outlineLevel="1" thickBot="1">
      <c r="B17" s="196" t="s">
        <v>231</v>
      </c>
      <c r="C17" s="197">
        <f>'Юнит 08-14.12'!AE19</f>
        <v>0</v>
      </c>
      <c r="D17" s="198">
        <f t="shared" si="4"/>
        <v>0</v>
      </c>
      <c r="E17" s="198">
        <f t="shared" si="2"/>
        <v>1.4940924097156789</v>
      </c>
      <c r="F17" s="199" t="str">
        <f t="shared" si="7"/>
        <v>C</v>
      </c>
      <c r="G17" s="199" t="str">
        <f t="shared" si="5"/>
        <v>B</v>
      </c>
      <c r="I17" s="196" t="s">
        <v>228</v>
      </c>
      <c r="J17" s="197">
        <f>'Юнит 08-14.12'!R15</f>
        <v>0</v>
      </c>
      <c r="K17" s="198">
        <f t="shared" si="6"/>
        <v>0</v>
      </c>
      <c r="L17" s="198">
        <f t="shared" si="3"/>
        <v>0.94736842105263142</v>
      </c>
      <c r="M17" s="199" t="str">
        <f t="shared" si="8"/>
        <v>B</v>
      </c>
      <c r="P17" s="204"/>
      <c r="Q17" s="198"/>
    </row>
    <row r="18" spans="2:17" ht="15" outlineLevel="1" thickBot="1">
      <c r="B18" s="196" t="s">
        <v>111</v>
      </c>
      <c r="C18" s="197">
        <f>'Юнит 08-14.12'!AE20</f>
        <v>0</v>
      </c>
      <c r="D18" s="198">
        <f t="shared" si="4"/>
        <v>0</v>
      </c>
      <c r="E18" s="198">
        <f t="shared" si="2"/>
        <v>1.4940924097156789</v>
      </c>
      <c r="F18" s="199" t="str">
        <f t="shared" si="7"/>
        <v>C</v>
      </c>
      <c r="G18" s="199" t="str">
        <f t="shared" si="5"/>
        <v>B</v>
      </c>
      <c r="I18" s="196" t="s">
        <v>229</v>
      </c>
      <c r="J18" s="197">
        <f>'Юнит 08-14.12'!R17</f>
        <v>0</v>
      </c>
      <c r="K18" s="198">
        <f t="shared" si="6"/>
        <v>0</v>
      </c>
      <c r="L18" s="198">
        <f t="shared" si="3"/>
        <v>0.94736842105263142</v>
      </c>
      <c r="M18" s="199" t="str">
        <f t="shared" si="8"/>
        <v>B</v>
      </c>
      <c r="P18" s="204"/>
      <c r="Q18" s="198"/>
    </row>
    <row r="19" spans="2:17" ht="15" outlineLevel="1" thickBot="1">
      <c r="B19" s="196" t="s">
        <v>232</v>
      </c>
      <c r="C19" s="197">
        <f>'Юнит 08-14.12'!AE21</f>
        <v>0</v>
      </c>
      <c r="D19" s="198">
        <f t="shared" si="4"/>
        <v>0</v>
      </c>
      <c r="E19" s="198">
        <f t="shared" si="2"/>
        <v>1.4940924097156789</v>
      </c>
      <c r="F19" s="199" t="str">
        <f t="shared" si="7"/>
        <v>C</v>
      </c>
      <c r="G19" s="199" t="str">
        <f t="shared" si="5"/>
        <v>B</v>
      </c>
      <c r="I19" s="196" t="s">
        <v>230</v>
      </c>
      <c r="J19" s="197">
        <f>'Юнит 08-14.12'!R18</f>
        <v>0</v>
      </c>
      <c r="K19" s="198">
        <f t="shared" si="6"/>
        <v>0</v>
      </c>
      <c r="L19" s="198">
        <f t="shared" si="3"/>
        <v>0.94736842105263142</v>
      </c>
      <c r="M19" s="199" t="str">
        <f t="shared" si="8"/>
        <v>B</v>
      </c>
      <c r="P19" s="204"/>
      <c r="Q19" s="198"/>
    </row>
    <row r="20" spans="2:17" ht="15" outlineLevel="1" thickBot="1">
      <c r="B20" s="196" t="s">
        <v>136</v>
      </c>
      <c r="C20" s="197">
        <f>'Юнит 08-14.12'!AE22</f>
        <v>0</v>
      </c>
      <c r="D20" s="198">
        <f t="shared" si="4"/>
        <v>0</v>
      </c>
      <c r="E20" s="198">
        <f t="shared" si="2"/>
        <v>1.4940924097156789</v>
      </c>
      <c r="F20" s="199" t="str">
        <f t="shared" si="7"/>
        <v>C</v>
      </c>
      <c r="G20" s="199" t="str">
        <f t="shared" si="5"/>
        <v>B</v>
      </c>
      <c r="I20" s="196" t="s">
        <v>231</v>
      </c>
      <c r="J20" s="197">
        <f>'Юнит 08-14.12'!R19</f>
        <v>0</v>
      </c>
      <c r="K20" s="198">
        <f t="shared" si="6"/>
        <v>0</v>
      </c>
      <c r="L20" s="198">
        <f t="shared" si="3"/>
        <v>0.94736842105263142</v>
      </c>
      <c r="M20" s="199" t="str">
        <f t="shared" si="8"/>
        <v>B</v>
      </c>
      <c r="P20" s="204"/>
      <c r="Q20" s="198"/>
    </row>
    <row r="21" spans="2:17" ht="15" outlineLevel="1" thickBot="1">
      <c r="B21" s="196" t="s">
        <v>233</v>
      </c>
      <c r="C21" s="197">
        <f>'Юнит 08-14.12'!AE23</f>
        <v>0</v>
      </c>
      <c r="D21" s="198">
        <f t="shared" si="4"/>
        <v>0</v>
      </c>
      <c r="E21" s="198">
        <f t="shared" si="2"/>
        <v>1.4940924097156789</v>
      </c>
      <c r="F21" s="199" t="str">
        <f t="shared" si="7"/>
        <v>C</v>
      </c>
      <c r="G21" s="199" t="str">
        <f t="shared" si="5"/>
        <v>B</v>
      </c>
      <c r="I21" s="196" t="s">
        <v>111</v>
      </c>
      <c r="J21" s="197">
        <f>'Юнит 08-14.12'!R20</f>
        <v>0</v>
      </c>
      <c r="K21" s="198">
        <f t="shared" si="6"/>
        <v>0</v>
      </c>
      <c r="L21" s="198">
        <f t="shared" si="3"/>
        <v>0.94736842105263142</v>
      </c>
      <c r="M21" s="199" t="str">
        <f t="shared" si="8"/>
        <v>B</v>
      </c>
      <c r="P21" s="204"/>
      <c r="Q21" s="198"/>
    </row>
    <row r="22" spans="2:17" ht="15" outlineLevel="1" thickBot="1">
      <c r="B22" s="196" t="s">
        <v>234</v>
      </c>
      <c r="C22" s="197">
        <f>'Юнит 08-14.12'!AE24</f>
        <v>0</v>
      </c>
      <c r="D22" s="198">
        <f t="shared" si="4"/>
        <v>0</v>
      </c>
      <c r="E22" s="198">
        <f t="shared" si="2"/>
        <v>1.4940924097156789</v>
      </c>
      <c r="F22" s="199" t="str">
        <f t="shared" si="7"/>
        <v>C</v>
      </c>
      <c r="G22" s="199" t="str">
        <f t="shared" si="5"/>
        <v>B</v>
      </c>
      <c r="I22" s="196" t="s">
        <v>232</v>
      </c>
      <c r="J22" s="197">
        <f>'Юнит 08-14.12'!R21</f>
        <v>0</v>
      </c>
      <c r="K22" s="198">
        <f t="shared" si="6"/>
        <v>0</v>
      </c>
      <c r="L22" s="198">
        <f t="shared" si="3"/>
        <v>0.94736842105263142</v>
      </c>
      <c r="M22" s="199" t="str">
        <f t="shared" si="8"/>
        <v>B</v>
      </c>
      <c r="P22" s="204"/>
      <c r="Q22" s="198"/>
    </row>
    <row r="23" spans="2:17" ht="26.5" outlineLevel="1" thickBot="1">
      <c r="B23" s="196" t="s">
        <v>228</v>
      </c>
      <c r="C23" s="197">
        <f>'Юнит 08-14.12'!AE15</f>
        <v>-559.58999999999992</v>
      </c>
      <c r="D23" s="198">
        <f t="shared" si="4"/>
        <v>-0.22882290684632331</v>
      </c>
      <c r="E23" s="198">
        <f t="shared" si="2"/>
        <v>1.2652695028693557</v>
      </c>
      <c r="F23" s="199" t="str">
        <f t="shared" si="7"/>
        <v>C</v>
      </c>
      <c r="G23" s="199" t="str">
        <f t="shared" si="5"/>
        <v>B</v>
      </c>
      <c r="I23" s="196" t="s">
        <v>136</v>
      </c>
      <c r="J23" s="197">
        <f>'Юнит 08-14.12'!R22</f>
        <v>0</v>
      </c>
      <c r="K23" s="198">
        <f t="shared" si="6"/>
        <v>0</v>
      </c>
      <c r="L23" s="198">
        <f t="shared" si="3"/>
        <v>0.94736842105263142</v>
      </c>
      <c r="M23" s="199" t="str">
        <f t="shared" si="8"/>
        <v>B</v>
      </c>
      <c r="P23" s="204"/>
      <c r="Q23" s="198"/>
    </row>
    <row r="24" spans="2:17" ht="15" outlineLevel="1" thickBot="1">
      <c r="B24" s="196" t="s">
        <v>1055</v>
      </c>
      <c r="C24" s="197">
        <f>'Юнит 08-14.12'!AE9</f>
        <v>-660.01</v>
      </c>
      <c r="D24" s="198">
        <f t="shared" si="4"/>
        <v>-0.26988582131139205</v>
      </c>
      <c r="E24" s="198">
        <f t="shared" si="2"/>
        <v>0.99538368155796364</v>
      </c>
      <c r="F24" s="199" t="str">
        <f t="shared" si="7"/>
        <v>C</v>
      </c>
      <c r="G24" s="199" t="str">
        <f t="shared" si="5"/>
        <v>B</v>
      </c>
      <c r="I24" s="196" t="s">
        <v>233</v>
      </c>
      <c r="J24" s="197">
        <f>'Юнит 08-14.12'!R23</f>
        <v>0</v>
      </c>
      <c r="K24" s="198">
        <f t="shared" si="6"/>
        <v>0</v>
      </c>
      <c r="L24" s="198">
        <f t="shared" si="3"/>
        <v>0.94736842105263142</v>
      </c>
      <c r="M24" s="199" t="str">
        <f t="shared" si="8"/>
        <v>B</v>
      </c>
      <c r="P24" s="204"/>
      <c r="Q24" s="198"/>
    </row>
    <row r="25" spans="2:17" ht="15" outlineLevel="1" thickBot="1">
      <c r="B25" s="196" t="s">
        <v>1054</v>
      </c>
      <c r="C25" s="197">
        <f>'Юнит 08-14.12'!AE8</f>
        <v>-686.25072100000034</v>
      </c>
      <c r="D25" s="198">
        <f t="shared" si="4"/>
        <v>-0.28061595955003721</v>
      </c>
      <c r="E25" s="198">
        <f t="shared" si="2"/>
        <v>0.71476772200792649</v>
      </c>
      <c r="F25" s="199" t="str">
        <f t="shared" si="7"/>
        <v>A</v>
      </c>
      <c r="G25" s="199" t="str">
        <f t="shared" si="5"/>
        <v>A</v>
      </c>
      <c r="I25" s="196" t="s">
        <v>234</v>
      </c>
      <c r="J25" s="197">
        <f>'Юнит 08-14.12'!R24</f>
        <v>0</v>
      </c>
      <c r="K25" s="198">
        <f t="shared" si="6"/>
        <v>0</v>
      </c>
      <c r="L25" s="198">
        <f t="shared" si="3"/>
        <v>0.94736842105263142</v>
      </c>
      <c r="M25" s="199" t="str">
        <f t="shared" si="8"/>
        <v>B</v>
      </c>
      <c r="P25" s="204"/>
      <c r="Q25" s="198"/>
    </row>
    <row r="26" spans="2:17" outlineLevel="1">
      <c r="C26" s="205">
        <f>SUM(C4:C25)</f>
        <v>2445.5156510000052</v>
      </c>
      <c r="D26" s="206">
        <f>SUM(D4:D25)</f>
        <v>1</v>
      </c>
      <c r="J26" s="205">
        <f>SUM(J4:J25)</f>
        <v>38</v>
      </c>
      <c r="K26" s="206">
        <f>SUM(K4:K25)</f>
        <v>0.99999999999999978</v>
      </c>
    </row>
    <row r="27" spans="2:17" ht="15" thickBot="1"/>
    <row r="28" spans="2:17" ht="15" thickBot="1">
      <c r="B28" s="516" t="s">
        <v>304</v>
      </c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8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15" thickBot="1">
      <c r="B30" s="196" t="s">
        <v>236</v>
      </c>
      <c r="C30" s="197">
        <f>'Юнит 08-14.12'!AE33</f>
        <v>1418.2999999999997</v>
      </c>
      <c r="D30" s="198">
        <f>C30/C$50</f>
        <v>2.0234256855080321</v>
      </c>
      <c r="E30" s="198">
        <f>D30</f>
        <v>2.0234256855080321</v>
      </c>
      <c r="F30" s="199" t="str">
        <f t="shared" ref="F30:F36" si="9">IF(AND(E30&lt;=0),"C",IF(E30&lt;=0.8,"A",IF(E30&lt;=0.95,"B","C")))</f>
        <v>C</v>
      </c>
      <c r="G30" s="199" t="str">
        <f>VLOOKUP(B$30:B$50,I$30:M$50,5,0)</f>
        <v>A</v>
      </c>
      <c r="I30" s="196" t="s">
        <v>236</v>
      </c>
      <c r="J30" s="197">
        <f>'Юнит 08-14.12'!R33</f>
        <v>2</v>
      </c>
      <c r="K30" s="198">
        <f>J30/J$50</f>
        <v>0.66666666666666663</v>
      </c>
      <c r="L30" s="198">
        <f>K30</f>
        <v>0.66666666666666663</v>
      </c>
      <c r="M30" s="199" t="str">
        <f t="shared" ref="M30:M36" si="10">_xlfn.IFS(L30&lt;80%,"A",L30&lt;=95%,"B",L30&gt;95%,"C")</f>
        <v>A</v>
      </c>
    </row>
    <row r="31" spans="2:17" ht="26.5" thickBot="1">
      <c r="B31" s="196" t="s">
        <v>242</v>
      </c>
      <c r="C31" s="197">
        <f>'Юнит 08-14.12'!AE41</f>
        <v>432.16</v>
      </c>
      <c r="D31" s="198">
        <f t="shared" ref="D31:D49" si="11">C31/C$50</f>
        <v>0.6165434987302767</v>
      </c>
      <c r="E31" s="198">
        <f>D31+E30</f>
        <v>2.6399691842383088</v>
      </c>
      <c r="F31" s="199" t="str">
        <f t="shared" si="9"/>
        <v>C</v>
      </c>
      <c r="G31" s="199" t="str">
        <f t="shared" ref="G31:G49" si="12">VLOOKUP(B$30:B$50,I$30:M$50,5,0)</f>
        <v>C</v>
      </c>
      <c r="I31" s="196" t="s">
        <v>242</v>
      </c>
      <c r="J31" s="197">
        <f>'Юнит 08-14.12'!R41</f>
        <v>1</v>
      </c>
      <c r="K31" s="198">
        <f t="shared" ref="K31:K49" si="13">J31/J$50</f>
        <v>0.33333333333333331</v>
      </c>
      <c r="L31" s="198">
        <f>K31+L30</f>
        <v>1</v>
      </c>
      <c r="M31" s="199" t="str">
        <f t="shared" si="10"/>
        <v>C</v>
      </c>
    </row>
    <row r="32" spans="2:17" ht="26.5" thickBot="1">
      <c r="B32" s="196" t="s">
        <v>98</v>
      </c>
      <c r="C32" s="197">
        <f>'Юнит 08-14.12'!AE28</f>
        <v>0</v>
      </c>
      <c r="D32" s="198">
        <f t="shared" si="11"/>
        <v>0</v>
      </c>
      <c r="E32" s="198">
        <f t="shared" ref="E32:E49" si="14">D32+E31</f>
        <v>2.6399691842383088</v>
      </c>
      <c r="F32" s="199" t="str">
        <f t="shared" si="9"/>
        <v>C</v>
      </c>
      <c r="G32" s="199" t="str">
        <f t="shared" si="12"/>
        <v>C</v>
      </c>
      <c r="I32" s="196" t="s">
        <v>98</v>
      </c>
      <c r="J32" s="197">
        <f>'Юнит 08-14.12'!R28</f>
        <v>0</v>
      </c>
      <c r="K32" s="198">
        <f t="shared" si="13"/>
        <v>0</v>
      </c>
      <c r="L32" s="198">
        <f t="shared" ref="L32:L49" si="15">K32+L31</f>
        <v>1</v>
      </c>
      <c r="M32" s="199" t="str">
        <f t="shared" si="10"/>
        <v>C</v>
      </c>
    </row>
    <row r="33" spans="2:13" ht="26.5" thickBot="1">
      <c r="B33" s="196" t="s">
        <v>43</v>
      </c>
      <c r="C33" s="197">
        <f>'Юнит 08-14.12'!AE29</f>
        <v>0</v>
      </c>
      <c r="D33" s="198">
        <f t="shared" si="11"/>
        <v>0</v>
      </c>
      <c r="E33" s="198">
        <f t="shared" si="14"/>
        <v>2.6399691842383088</v>
      </c>
      <c r="F33" s="199" t="str">
        <f t="shared" si="9"/>
        <v>C</v>
      </c>
      <c r="G33" s="199" t="str">
        <f t="shared" si="12"/>
        <v>C</v>
      </c>
      <c r="I33" s="196" t="s">
        <v>43</v>
      </c>
      <c r="J33" s="197">
        <f>'Юнит 08-14.12'!R29</f>
        <v>0</v>
      </c>
      <c r="K33" s="198">
        <f t="shared" si="13"/>
        <v>0</v>
      </c>
      <c r="L33" s="198">
        <f t="shared" si="15"/>
        <v>1</v>
      </c>
      <c r="M33" s="199" t="str">
        <f t="shared" si="10"/>
        <v>C</v>
      </c>
    </row>
    <row r="34" spans="2:13" ht="26.5" thickBot="1">
      <c r="B34" s="196" t="s">
        <v>235</v>
      </c>
      <c r="C34" s="197">
        <f>'Юнит 08-14.12'!AE30</f>
        <v>0</v>
      </c>
      <c r="D34" s="198">
        <f t="shared" si="11"/>
        <v>0</v>
      </c>
      <c r="E34" s="198">
        <f t="shared" si="14"/>
        <v>2.6399691842383088</v>
      </c>
      <c r="F34" s="199" t="str">
        <f t="shared" si="9"/>
        <v>C</v>
      </c>
      <c r="G34" s="199" t="str">
        <f t="shared" si="12"/>
        <v>C</v>
      </c>
      <c r="I34" s="196" t="s">
        <v>235</v>
      </c>
      <c r="J34" s="197">
        <f>'Юнит 08-14.12'!R30</f>
        <v>0</v>
      </c>
      <c r="K34" s="198">
        <f t="shared" si="13"/>
        <v>0</v>
      </c>
      <c r="L34" s="198">
        <f t="shared" si="15"/>
        <v>1</v>
      </c>
      <c r="M34" s="199" t="str">
        <f t="shared" si="10"/>
        <v>C</v>
      </c>
    </row>
    <row r="35" spans="2:13" ht="15" thickBot="1">
      <c r="B35" s="196" t="s">
        <v>171</v>
      </c>
      <c r="C35" s="197">
        <f>'Юнит 08-14.12'!AE31</f>
        <v>0</v>
      </c>
      <c r="D35" s="198">
        <f t="shared" si="11"/>
        <v>0</v>
      </c>
      <c r="E35" s="198">
        <f t="shared" si="14"/>
        <v>2.6399691842383088</v>
      </c>
      <c r="F35" s="199" t="str">
        <f t="shared" si="9"/>
        <v>C</v>
      </c>
      <c r="G35" s="199" t="str">
        <f t="shared" si="12"/>
        <v>C</v>
      </c>
      <c r="I35" s="196" t="s">
        <v>171</v>
      </c>
      <c r="J35" s="197">
        <f>'Юнит 08-14.12'!R31</f>
        <v>0</v>
      </c>
      <c r="K35" s="198">
        <f t="shared" si="13"/>
        <v>0</v>
      </c>
      <c r="L35" s="198">
        <f t="shared" si="15"/>
        <v>1</v>
      </c>
      <c r="M35" s="199" t="str">
        <f t="shared" si="10"/>
        <v>C</v>
      </c>
    </row>
    <row r="36" spans="2:13" ht="15" thickBot="1">
      <c r="B36" s="196" t="s">
        <v>39</v>
      </c>
      <c r="C36" s="197">
        <f>'Юнит 08-14.12'!AE32</f>
        <v>0</v>
      </c>
      <c r="D36" s="198">
        <f t="shared" si="11"/>
        <v>0</v>
      </c>
      <c r="E36" s="198">
        <f t="shared" si="14"/>
        <v>2.6399691842383088</v>
      </c>
      <c r="F36" s="199" t="str">
        <f t="shared" si="9"/>
        <v>C</v>
      </c>
      <c r="G36" s="199" t="str">
        <f t="shared" si="12"/>
        <v>C</v>
      </c>
      <c r="I36" s="196" t="s">
        <v>39</v>
      </c>
      <c r="J36" s="197">
        <f>'Юнит 08-14.12'!R32</f>
        <v>0</v>
      </c>
      <c r="K36" s="198">
        <f t="shared" si="13"/>
        <v>0</v>
      </c>
      <c r="L36" s="198">
        <f t="shared" si="15"/>
        <v>1</v>
      </c>
      <c r="M36" s="199" t="str">
        <f t="shared" si="10"/>
        <v>C</v>
      </c>
    </row>
    <row r="37" spans="2:13" ht="15" thickBot="1">
      <c r="B37" s="196" t="s">
        <v>237</v>
      </c>
      <c r="C37" s="197">
        <f>'Юнит 08-14.12'!AE34</f>
        <v>0</v>
      </c>
      <c r="D37" s="198">
        <f t="shared" si="11"/>
        <v>0</v>
      </c>
      <c r="E37" s="198">
        <f t="shared" si="14"/>
        <v>2.6399691842383088</v>
      </c>
      <c r="F37" s="199" t="str">
        <f>IF(AND(E37&lt;=0),"C",IF(E37&lt;=0.8,"A",IF(E37&lt;=0.95,"B","C")))</f>
        <v>C</v>
      </c>
      <c r="G37" s="199" t="str">
        <f t="shared" si="12"/>
        <v>C</v>
      </c>
      <c r="I37" s="196" t="s">
        <v>237</v>
      </c>
      <c r="J37" s="197">
        <f>'Юнит 08-14.12'!R34</f>
        <v>0</v>
      </c>
      <c r="K37" s="198">
        <f t="shared" si="13"/>
        <v>0</v>
      </c>
      <c r="L37" s="198">
        <f t="shared" si="15"/>
        <v>1</v>
      </c>
      <c r="M37" s="199" t="str">
        <f>_xlfn.IFS(L37&lt;80%,"A",L37&lt;=95%,"B",L37&gt;95%,"C")</f>
        <v>C</v>
      </c>
    </row>
    <row r="38" spans="2:13" ht="15" thickBot="1">
      <c r="B38" s="196" t="s">
        <v>142</v>
      </c>
      <c r="C38" s="197">
        <f>'Юнит 08-14.12'!AE35</f>
        <v>0</v>
      </c>
      <c r="D38" s="198">
        <f t="shared" si="11"/>
        <v>0</v>
      </c>
      <c r="E38" s="198">
        <f t="shared" si="14"/>
        <v>2.6399691842383088</v>
      </c>
      <c r="F38" s="199" t="str">
        <f t="shared" ref="F38:F49" si="16">IF(AND(E38&lt;=0),"C",IF(E38&lt;=0.8,"A",IF(E38&lt;=0.95,"B","C")))</f>
        <v>C</v>
      </c>
      <c r="G38" s="199" t="str">
        <f t="shared" si="12"/>
        <v>C</v>
      </c>
      <c r="I38" s="196" t="s">
        <v>142</v>
      </c>
      <c r="J38" s="197">
        <f>'Юнит 08-14.12'!R35</f>
        <v>0</v>
      </c>
      <c r="K38" s="198">
        <f t="shared" si="13"/>
        <v>0</v>
      </c>
      <c r="L38" s="198">
        <f t="shared" si="15"/>
        <v>1</v>
      </c>
      <c r="M38" s="199" t="str">
        <f t="shared" ref="M38:M49" si="17">_xlfn.IFS(L38&lt;80%,"A",L38&lt;=95%,"B",L38&gt;95%,"C")</f>
        <v>C</v>
      </c>
    </row>
    <row r="39" spans="2:13" ht="15" thickBot="1">
      <c r="B39" s="196" t="s">
        <v>238</v>
      </c>
      <c r="C39" s="197">
        <f>'Юнит 08-14.12'!AE36</f>
        <v>0</v>
      </c>
      <c r="D39" s="198">
        <f t="shared" si="11"/>
        <v>0</v>
      </c>
      <c r="E39" s="198">
        <f t="shared" si="14"/>
        <v>2.6399691842383088</v>
      </c>
      <c r="F39" s="199" t="str">
        <f t="shared" si="16"/>
        <v>C</v>
      </c>
      <c r="G39" s="199" t="str">
        <f t="shared" si="12"/>
        <v>C</v>
      </c>
      <c r="I39" s="196" t="s">
        <v>238</v>
      </c>
      <c r="J39" s="197">
        <f>'Юнит 08-14.12'!R36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15" thickBot="1">
      <c r="B40" s="196" t="s">
        <v>62</v>
      </c>
      <c r="C40" s="197">
        <f>'Юнит 08-14.12'!AE37</f>
        <v>0</v>
      </c>
      <c r="D40" s="198">
        <f t="shared" si="11"/>
        <v>0</v>
      </c>
      <c r="E40" s="198">
        <f t="shared" si="14"/>
        <v>2.6399691842383088</v>
      </c>
      <c r="F40" s="199" t="str">
        <f t="shared" si="16"/>
        <v>C</v>
      </c>
      <c r="G40" s="199" t="str">
        <f t="shared" si="12"/>
        <v>C</v>
      </c>
      <c r="I40" s="196" t="s">
        <v>62</v>
      </c>
      <c r="J40" s="197">
        <f>'Юнит 08-14.12'!R37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15" thickBot="1">
      <c r="B41" s="196" t="s">
        <v>239</v>
      </c>
      <c r="C41" s="197">
        <f>'Юнит 08-14.12'!AE38</f>
        <v>0</v>
      </c>
      <c r="D41" s="198">
        <f t="shared" si="11"/>
        <v>0</v>
      </c>
      <c r="E41" s="198">
        <f t="shared" si="14"/>
        <v>2.6399691842383088</v>
      </c>
      <c r="F41" s="199" t="str">
        <f t="shared" si="16"/>
        <v>C</v>
      </c>
      <c r="G41" s="199" t="str">
        <f t="shared" si="12"/>
        <v>C</v>
      </c>
      <c r="I41" s="196" t="s">
        <v>239</v>
      </c>
      <c r="J41" s="197">
        <f>'Юнит 08-14.12'!R38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26.5" thickBot="1">
      <c r="B42" s="196" t="s">
        <v>241</v>
      </c>
      <c r="C42" s="197">
        <f>'Юнит 08-14.12'!AE40</f>
        <v>0</v>
      </c>
      <c r="D42" s="198">
        <f t="shared" si="11"/>
        <v>0</v>
      </c>
      <c r="E42" s="198">
        <f t="shared" si="14"/>
        <v>2.6399691842383088</v>
      </c>
      <c r="F42" s="199" t="str">
        <f t="shared" si="16"/>
        <v>C</v>
      </c>
      <c r="G42" s="199" t="str">
        <f t="shared" si="12"/>
        <v>C</v>
      </c>
      <c r="I42" s="196" t="s">
        <v>240</v>
      </c>
      <c r="J42" s="197">
        <f>'Юнит 08-14.12'!R39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26.5" thickBot="1">
      <c r="B43" s="196" t="s">
        <v>771</v>
      </c>
      <c r="C43" s="197">
        <f>'Юнит 08-14.12'!AE43</f>
        <v>0</v>
      </c>
      <c r="D43" s="198">
        <f t="shared" si="11"/>
        <v>0</v>
      </c>
      <c r="E43" s="198">
        <f t="shared" si="14"/>
        <v>2.6399691842383088</v>
      </c>
      <c r="F43" s="199" t="str">
        <f t="shared" si="16"/>
        <v>C</v>
      </c>
      <c r="G43" s="199" t="str">
        <f t="shared" si="12"/>
        <v>C</v>
      </c>
      <c r="I43" s="196" t="s">
        <v>241</v>
      </c>
      <c r="J43" s="197">
        <f>'Юнит 08-14.12'!R40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51</v>
      </c>
      <c r="C44" s="197">
        <f>'Юнит 08-14.12'!AE44</f>
        <v>0</v>
      </c>
      <c r="D44" s="198">
        <f t="shared" si="11"/>
        <v>0</v>
      </c>
      <c r="E44" s="198">
        <f t="shared" si="14"/>
        <v>2.6399691842383088</v>
      </c>
      <c r="F44" s="199" t="str">
        <f t="shared" si="16"/>
        <v>C</v>
      </c>
      <c r="G44" s="199" t="str">
        <f t="shared" si="12"/>
        <v>C</v>
      </c>
      <c r="I44" s="196" t="s">
        <v>243</v>
      </c>
      <c r="J44" s="197">
        <f>'Юнит 08-14.12'!R42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66</v>
      </c>
      <c r="C45" s="197">
        <f>'Юнит 08-14.12'!AE46</f>
        <v>0</v>
      </c>
      <c r="D45" s="198">
        <f t="shared" si="11"/>
        <v>0</v>
      </c>
      <c r="E45" s="198">
        <f t="shared" si="14"/>
        <v>2.6399691842383088</v>
      </c>
      <c r="F45" s="199" t="str">
        <f t="shared" si="16"/>
        <v>C</v>
      </c>
      <c r="G45" s="199" t="str">
        <f t="shared" si="12"/>
        <v>C</v>
      </c>
      <c r="I45" s="196" t="s">
        <v>771</v>
      </c>
      <c r="J45" s="197">
        <f>'Юнит 08-14.12'!R43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245</v>
      </c>
      <c r="C46" s="197">
        <f>'Юнит 08-14.12'!AE47</f>
        <v>0</v>
      </c>
      <c r="D46" s="198">
        <f t="shared" si="11"/>
        <v>0</v>
      </c>
      <c r="E46" s="198">
        <f t="shared" si="14"/>
        <v>2.6399691842383088</v>
      </c>
      <c r="F46" s="199" t="str">
        <f t="shared" si="16"/>
        <v>C</v>
      </c>
      <c r="G46" s="199" t="str">
        <f t="shared" si="12"/>
        <v>C</v>
      </c>
      <c r="I46" s="196" t="s">
        <v>51</v>
      </c>
      <c r="J46" s="197">
        <f>'Юнит 08-14.12'!R44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240</v>
      </c>
      <c r="C47" s="197">
        <f>'Юнит 08-14.12'!AE39</f>
        <v>-112</v>
      </c>
      <c r="D47" s="198">
        <f t="shared" si="11"/>
        <v>-0.15978543099266704</v>
      </c>
      <c r="E47" s="198">
        <f t="shared" si="14"/>
        <v>2.4801837532456417</v>
      </c>
      <c r="F47" s="199" t="str">
        <f t="shared" si="16"/>
        <v>C</v>
      </c>
      <c r="G47" s="199" t="str">
        <f t="shared" si="12"/>
        <v>C</v>
      </c>
      <c r="I47" s="196" t="s">
        <v>70</v>
      </c>
      <c r="J47" s="197">
        <f>'Юнит 08-14.12'!R45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 ht="26.5" thickBot="1">
      <c r="B48" s="196" t="s">
        <v>70</v>
      </c>
      <c r="C48" s="197">
        <f>'Юнит 08-14.12'!AE45</f>
        <v>-112</v>
      </c>
      <c r="D48" s="198">
        <f t="shared" si="11"/>
        <v>-0.15978543099266704</v>
      </c>
      <c r="E48" s="198">
        <f t="shared" si="14"/>
        <v>2.3203983222529745</v>
      </c>
      <c r="F48" s="199" t="str">
        <f t="shared" si="16"/>
        <v>C</v>
      </c>
      <c r="G48" s="199" t="str">
        <f t="shared" si="12"/>
        <v>C</v>
      </c>
      <c r="I48" s="196" t="s">
        <v>66</v>
      </c>
      <c r="J48" s="197">
        <f>'Юнит 08-14.12'!R46</f>
        <v>0</v>
      </c>
      <c r="K48" s="198">
        <f t="shared" si="13"/>
        <v>0</v>
      </c>
      <c r="L48" s="198">
        <f t="shared" si="15"/>
        <v>1</v>
      </c>
      <c r="M48" s="199" t="str">
        <f t="shared" si="17"/>
        <v>C</v>
      </c>
    </row>
    <row r="49" spans="2:13" ht="26.5" thickBot="1">
      <c r="B49" s="196" t="s">
        <v>243</v>
      </c>
      <c r="C49" s="197">
        <f>'Юнит 08-14.12'!AE42</f>
        <v>-925.52</v>
      </c>
      <c r="D49" s="198">
        <f t="shared" si="11"/>
        <v>-1.3203983222529749</v>
      </c>
      <c r="E49" s="198">
        <f t="shared" si="14"/>
        <v>0.99999999999999956</v>
      </c>
      <c r="F49" s="199" t="str">
        <f t="shared" si="16"/>
        <v>C</v>
      </c>
      <c r="G49" s="199" t="str">
        <f t="shared" si="12"/>
        <v>C</v>
      </c>
      <c r="I49" s="196" t="s">
        <v>245</v>
      </c>
      <c r="J49" s="197">
        <f>'Юнит 08-14.12'!R47</f>
        <v>0</v>
      </c>
      <c r="K49" s="198">
        <f t="shared" si="13"/>
        <v>0</v>
      </c>
      <c r="L49" s="198">
        <f t="shared" si="15"/>
        <v>1</v>
      </c>
      <c r="M49" s="199" t="str">
        <f t="shared" si="17"/>
        <v>C</v>
      </c>
    </row>
    <row r="50" spans="2:13">
      <c r="C50" s="205">
        <f>SUM(C30:C49)</f>
        <v>700.93999999999983</v>
      </c>
      <c r="D50" s="206">
        <f>SUM(D30:D49)</f>
        <v>0.99999999999999956</v>
      </c>
      <c r="J50" s="205">
        <f>SUM(J30:J49)</f>
        <v>3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66" priority="4" operator="equal">
      <formula>"C"</formula>
    </cfRule>
    <cfRule type="cellIs" dxfId="365" priority="5" operator="equal">
      <formula>"B"</formula>
    </cfRule>
    <cfRule type="cellIs" dxfId="364" priority="6" operator="equal">
      <formula>"A"</formula>
    </cfRule>
  </conditionalFormatting>
  <conditionalFormatting sqref="M30:M49 D30:D49 K30:K49 F30:G49">
    <cfRule type="cellIs" dxfId="363" priority="1" operator="equal">
      <formula>"C"</formula>
    </cfRule>
    <cfRule type="cellIs" dxfId="362" priority="2" operator="equal">
      <formula>"B"</formula>
    </cfRule>
    <cfRule type="cellIs" dxfId="361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1F52-F1B2-41E7-9860-CF0CC6BCD503}">
  <dimension ref="B1:Q50"/>
  <sheetViews>
    <sheetView workbookViewId="0">
      <selection activeCell="I6" sqref="I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223</v>
      </c>
      <c r="C4" s="197">
        <f>'Юнит 01-07.12'!AE6</f>
        <v>2281.5883620000022</v>
      </c>
      <c r="D4" s="198">
        <f>C4/C$26</f>
        <v>0.27488937185196838</v>
      </c>
      <c r="E4" s="198">
        <f>D4</f>
        <v>0.27488937185196838</v>
      </c>
      <c r="F4" s="199" t="str">
        <f t="shared" ref="F4:F12" si="0">IF(AND(E4&lt;=0),"C",IF(E4&lt;=0.8,"A",IF(E4&lt;=0.95,"B","C")))</f>
        <v>A</v>
      </c>
      <c r="G4" s="199" t="str">
        <f>VLOOKUP(B$4:B$25,I$4:M$25,5,0)</f>
        <v>A</v>
      </c>
      <c r="I4" s="196" t="s">
        <v>25</v>
      </c>
      <c r="J4" s="197">
        <f>'Юнит 01-07.12'!R3</f>
        <v>23</v>
      </c>
      <c r="K4" s="198">
        <f>J4/J$26</f>
        <v>0.39655172413793105</v>
      </c>
      <c r="L4" s="198">
        <f>K4</f>
        <v>0.39655172413793105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54</v>
      </c>
      <c r="C5" s="197">
        <f>'Юнит 01-07.12'!AE7</f>
        <v>2197.4499999999998</v>
      </c>
      <c r="D5" s="198">
        <f>C5/C$26</f>
        <v>0.26475224901945188</v>
      </c>
      <c r="E5" s="198">
        <f>D5+E4</f>
        <v>0.53964162087142031</v>
      </c>
      <c r="F5" s="199" t="str">
        <f t="shared" si="0"/>
        <v>A</v>
      </c>
      <c r="G5" s="199" t="str">
        <f>VLOOKUP(B$4:B$25,I$4:M$25,5,0)</f>
        <v>B</v>
      </c>
      <c r="I5" s="196" t="s">
        <v>223</v>
      </c>
      <c r="J5" s="197">
        <f>'Юнит 01-07.12'!R6</f>
        <v>22</v>
      </c>
      <c r="K5" s="198">
        <f>J5/J$26</f>
        <v>0.37931034482758619</v>
      </c>
      <c r="L5" s="198">
        <f>K5+L4</f>
        <v>0.77586206896551724</v>
      </c>
      <c r="M5" s="199" t="str">
        <f t="shared" si="1"/>
        <v>A</v>
      </c>
    </row>
    <row r="6" spans="2:17" ht="28.5" customHeight="1" outlineLevel="1" thickBot="1">
      <c r="B6" s="196" t="s">
        <v>25</v>
      </c>
      <c r="C6" s="197">
        <f>'Юнит 01-07.12'!AE3</f>
        <v>2154.0258709999989</v>
      </c>
      <c r="D6" s="198">
        <f>C6/C$26</f>
        <v>0.25952044132668933</v>
      </c>
      <c r="E6" s="198">
        <f t="shared" ref="E6:E25" si="2">D6+E5</f>
        <v>0.7991620621981097</v>
      </c>
      <c r="F6" s="199" t="str">
        <f t="shared" si="0"/>
        <v>A</v>
      </c>
      <c r="G6" s="199" t="str">
        <f>VLOOKUP(B$4:B$25,I$4:M$25,5,0)</f>
        <v>A</v>
      </c>
      <c r="I6" s="196" t="s">
        <v>54</v>
      </c>
      <c r="J6" s="197">
        <f>'Юнит 01-07.12'!R7</f>
        <v>4</v>
      </c>
      <c r="K6" s="198">
        <f>J6/J$26</f>
        <v>6.8965517241379309E-2</v>
      </c>
      <c r="L6" s="198">
        <f t="shared" ref="L6:L25" si="3">K6+L5</f>
        <v>0.84482758620689657</v>
      </c>
      <c r="M6" s="199" t="str">
        <f t="shared" si="1"/>
        <v>B</v>
      </c>
    </row>
    <row r="7" spans="2:17" ht="28.5" customHeight="1" outlineLevel="1" thickBot="1">
      <c r="B7" s="196" t="s">
        <v>1055</v>
      </c>
      <c r="C7" s="197">
        <f>'Юнит 01-07.12'!AE9</f>
        <v>901.79061799999999</v>
      </c>
      <c r="D7" s="198">
        <f>C7/C$26</f>
        <v>0.10864915891608065</v>
      </c>
      <c r="E7" s="198">
        <f t="shared" si="2"/>
        <v>0.90781122111419033</v>
      </c>
      <c r="F7" s="199" t="str">
        <f t="shared" si="0"/>
        <v>B</v>
      </c>
      <c r="G7" s="199" t="str">
        <f>VLOOKUP(B$4:B$25,I$4:M$25,5,0)</f>
        <v>B</v>
      </c>
      <c r="I7" s="196" t="s">
        <v>1055</v>
      </c>
      <c r="J7" s="197">
        <f>'Юнит 01-07.12'!R9</f>
        <v>4</v>
      </c>
      <c r="K7" s="198">
        <f>J7/J$26</f>
        <v>6.8965517241379309E-2</v>
      </c>
      <c r="L7" s="198">
        <f t="shared" si="3"/>
        <v>0.91379310344827591</v>
      </c>
      <c r="M7" s="199" t="str">
        <f t="shared" si="1"/>
        <v>B</v>
      </c>
    </row>
    <row r="8" spans="2:17" ht="28.5" customHeight="1" outlineLevel="1" thickBot="1">
      <c r="B8" s="196" t="s">
        <v>226</v>
      </c>
      <c r="C8" s="197">
        <f>'Юнит 01-07.12'!AE13</f>
        <v>628.67000000000007</v>
      </c>
      <c r="D8" s="198">
        <f>C8/C$26</f>
        <v>7.5743155198552348E-2</v>
      </c>
      <c r="E8" s="198">
        <f t="shared" si="2"/>
        <v>0.98355437631274267</v>
      </c>
      <c r="F8" s="199" t="str">
        <f t="shared" si="0"/>
        <v>C</v>
      </c>
      <c r="G8" s="199" t="str">
        <f>VLOOKUP(B$4:B$25,I$4:M$25,5,0)</f>
        <v>C</v>
      </c>
      <c r="I8" s="196" t="s">
        <v>228</v>
      </c>
      <c r="J8" s="197">
        <f>'Юнит 01-07.12'!R15</f>
        <v>2</v>
      </c>
      <c r="K8" s="198">
        <f>J8/J$26</f>
        <v>3.4482758620689655E-2</v>
      </c>
      <c r="L8" s="198">
        <f t="shared" si="3"/>
        <v>0.94827586206896552</v>
      </c>
      <c r="M8" s="199" t="str">
        <f t="shared" si="1"/>
        <v>B</v>
      </c>
    </row>
    <row r="9" spans="2:17" ht="28.5" customHeight="1" outlineLevel="1" thickBot="1">
      <c r="B9" s="196" t="s">
        <v>228</v>
      </c>
      <c r="C9" s="197">
        <f>'Юнит 01-07.12'!AE15</f>
        <v>383.17000000000019</v>
      </c>
      <c r="D9" s="198">
        <f t="shared" ref="D9:D25" si="4">C9/C$26</f>
        <v>4.6164927191418889E-2</v>
      </c>
      <c r="E9" s="198">
        <f t="shared" si="2"/>
        <v>1.0297193035041616</v>
      </c>
      <c r="F9" s="199" t="str">
        <f t="shared" si="0"/>
        <v>C</v>
      </c>
      <c r="G9" s="199" t="str">
        <f t="shared" ref="G9:G25" si="5">VLOOKUP(B$4:B$25,I$4:M$25,5,0)</f>
        <v>B</v>
      </c>
      <c r="I9" s="196" t="s">
        <v>92</v>
      </c>
      <c r="J9" s="197">
        <f>'Юнит 01-07.12'!R4</f>
        <v>1</v>
      </c>
      <c r="K9" s="198">
        <f t="shared" ref="K9:K25" si="6">J9/J$26</f>
        <v>1.7241379310344827E-2</v>
      </c>
      <c r="L9" s="198">
        <f t="shared" si="3"/>
        <v>0.96551724137931039</v>
      </c>
      <c r="M9" s="199" t="str">
        <f t="shared" si="1"/>
        <v>C</v>
      </c>
    </row>
    <row r="10" spans="2:17" ht="28.5" customHeight="1" outlineLevel="1" thickBot="1">
      <c r="B10" s="196" t="s">
        <v>92</v>
      </c>
      <c r="C10" s="197">
        <f>'Юнит 01-07.12'!AE4</f>
        <v>185.01000000000005</v>
      </c>
      <c r="D10" s="198">
        <f t="shared" si="4"/>
        <v>2.229029720407236E-2</v>
      </c>
      <c r="E10" s="198">
        <f t="shared" si="2"/>
        <v>1.052009600708234</v>
      </c>
      <c r="F10" s="199" t="str">
        <f t="shared" si="0"/>
        <v>C</v>
      </c>
      <c r="G10" s="199" t="str">
        <f t="shared" si="5"/>
        <v>C</v>
      </c>
      <c r="I10" s="196" t="s">
        <v>1054</v>
      </c>
      <c r="J10" s="197">
        <f>'Юнит 01-07.12'!R8</f>
        <v>1</v>
      </c>
      <c r="K10" s="198">
        <f t="shared" si="6"/>
        <v>1.7241379310344827E-2</v>
      </c>
      <c r="L10" s="198">
        <f t="shared" si="3"/>
        <v>0.98275862068965525</v>
      </c>
      <c r="M10" s="199" t="str">
        <f t="shared" si="1"/>
        <v>C</v>
      </c>
    </row>
    <row r="11" spans="2:17" ht="28.5" customHeight="1" outlineLevel="1" thickBot="1">
      <c r="B11" s="196" t="s">
        <v>222</v>
      </c>
      <c r="C11" s="197">
        <f>'Юнит 01-07.12'!AE5</f>
        <v>0</v>
      </c>
      <c r="D11" s="198">
        <f t="shared" si="4"/>
        <v>0</v>
      </c>
      <c r="E11" s="198">
        <f>D11+E8</f>
        <v>0.98355437631274267</v>
      </c>
      <c r="F11" s="199" t="str">
        <f t="shared" si="0"/>
        <v>C</v>
      </c>
      <c r="G11" s="199" t="str">
        <f t="shared" si="5"/>
        <v>C</v>
      </c>
      <c r="I11" s="196" t="s">
        <v>226</v>
      </c>
      <c r="J11" s="197">
        <f>'Юнит 01-07.12'!R13</f>
        <v>1</v>
      </c>
      <c r="K11" s="198">
        <f t="shared" si="6"/>
        <v>1.7241379310344827E-2</v>
      </c>
      <c r="L11" s="198">
        <f>K11+L8</f>
        <v>0.96551724137931039</v>
      </c>
      <c r="M11" s="199" t="str">
        <f t="shared" si="1"/>
        <v>C</v>
      </c>
    </row>
    <row r="12" spans="2:17" ht="28.5" customHeight="1" outlineLevel="1" thickBot="1">
      <c r="B12" s="196" t="s">
        <v>88</v>
      </c>
      <c r="C12" s="197">
        <f>'Юнит 01-07.12'!AE10</f>
        <v>0</v>
      </c>
      <c r="D12" s="198">
        <f t="shared" si="4"/>
        <v>0</v>
      </c>
      <c r="E12" s="198">
        <f t="shared" si="2"/>
        <v>0.98355437631274267</v>
      </c>
      <c r="F12" s="199" t="str">
        <f t="shared" si="0"/>
        <v>C</v>
      </c>
      <c r="G12" s="199" t="str">
        <f t="shared" si="5"/>
        <v>C</v>
      </c>
      <c r="I12" s="196" t="s">
        <v>222</v>
      </c>
      <c r="J12" s="197">
        <f>'Юнит 01-07.12'!R5</f>
        <v>0</v>
      </c>
      <c r="K12" s="198">
        <f t="shared" si="6"/>
        <v>0</v>
      </c>
      <c r="L12" s="198">
        <f t="shared" si="3"/>
        <v>0.96551724137931039</v>
      </c>
      <c r="M12" s="199" t="str">
        <f t="shared" si="1"/>
        <v>C</v>
      </c>
    </row>
    <row r="13" spans="2:17" ht="15" outlineLevel="1" thickBot="1">
      <c r="B13" s="196" t="s">
        <v>224</v>
      </c>
      <c r="C13" s="197">
        <f>'Юнит 01-07.12'!AE11</f>
        <v>0</v>
      </c>
      <c r="D13" s="198">
        <f t="shared" si="4"/>
        <v>0</v>
      </c>
      <c r="E13" s="198">
        <f t="shared" si="2"/>
        <v>0.98355437631274267</v>
      </c>
      <c r="F13" s="199" t="str">
        <f>IF(AND(E13&lt;=0),"C",IF(E13&lt;=0.8,"A",IF(E13&lt;=0.95,"B","C")))</f>
        <v>C</v>
      </c>
      <c r="G13" s="199" t="str">
        <f t="shared" si="5"/>
        <v>C</v>
      </c>
      <c r="I13" s="196" t="s">
        <v>88</v>
      </c>
      <c r="J13" s="197">
        <f>'Юнит 01-07.12'!R10</f>
        <v>0</v>
      </c>
      <c r="K13" s="198">
        <f t="shared" si="6"/>
        <v>0</v>
      </c>
      <c r="L13" s="198">
        <f t="shared" si="3"/>
        <v>0.96551724137931039</v>
      </c>
      <c r="M13" s="199" t="str">
        <f>_xlfn.IFS(L13&lt;80%,"A",L13&lt;=95%,"B",L13&gt;95%,"C")</f>
        <v>C</v>
      </c>
      <c r="P13" s="200" t="s">
        <v>301</v>
      </c>
      <c r="Q13" s="201">
        <v>0.8</v>
      </c>
    </row>
    <row r="14" spans="2:17" ht="15" outlineLevel="1" thickBot="1">
      <c r="B14" s="196" t="s">
        <v>225</v>
      </c>
      <c r="C14" s="197">
        <f>'Юнит 01-07.12'!AE12</f>
        <v>0</v>
      </c>
      <c r="D14" s="198">
        <f t="shared" si="4"/>
        <v>0</v>
      </c>
      <c r="E14" s="198">
        <f t="shared" si="2"/>
        <v>0.98355437631274267</v>
      </c>
      <c r="F14" s="199" t="str">
        <f t="shared" ref="F14:F25" si="7">IF(AND(E14&lt;=0),"C",IF(E14&lt;=0.8,"A",IF(E14&lt;=0.95,"B","C")))</f>
        <v>C</v>
      </c>
      <c r="G14" s="199" t="str">
        <f t="shared" si="5"/>
        <v>C</v>
      </c>
      <c r="I14" s="196" t="s">
        <v>224</v>
      </c>
      <c r="J14" s="197">
        <f>'Юнит 01-07.12'!R11</f>
        <v>0</v>
      </c>
      <c r="K14" s="198">
        <f t="shared" si="6"/>
        <v>0</v>
      </c>
      <c r="L14" s="198">
        <f t="shared" si="3"/>
        <v>0.96551724137931039</v>
      </c>
      <c r="M14" s="199" t="str">
        <f t="shared" ref="M14:M25" si="8">_xlfn.IFS(L14&lt;80%,"A",L14&lt;=95%,"B",L14&gt;95%,"C")</f>
        <v>C</v>
      </c>
      <c r="P14" s="202" t="s">
        <v>302</v>
      </c>
      <c r="Q14" s="201">
        <v>0.15</v>
      </c>
    </row>
    <row r="15" spans="2:17" ht="15" outlineLevel="1" thickBot="1">
      <c r="B15" s="196" t="s">
        <v>227</v>
      </c>
      <c r="C15" s="197">
        <f>'Юнит 01-07.12'!AE14</f>
        <v>0</v>
      </c>
      <c r="D15" s="198">
        <f t="shared" si="4"/>
        <v>0</v>
      </c>
      <c r="E15" s="198">
        <f t="shared" si="2"/>
        <v>0.98355437631274267</v>
      </c>
      <c r="F15" s="199" t="str">
        <f t="shared" si="7"/>
        <v>C</v>
      </c>
      <c r="G15" s="199" t="str">
        <f t="shared" si="5"/>
        <v>C</v>
      </c>
      <c r="I15" s="196" t="s">
        <v>225</v>
      </c>
      <c r="J15" s="197">
        <f>'Юнит 01-07.12'!R12</f>
        <v>0</v>
      </c>
      <c r="K15" s="198">
        <f t="shared" si="6"/>
        <v>0</v>
      </c>
      <c r="L15" s="198">
        <f t="shared" si="3"/>
        <v>0.96551724137931039</v>
      </c>
      <c r="M15" s="199" t="str">
        <f t="shared" si="8"/>
        <v>C</v>
      </c>
      <c r="P15" s="203" t="s">
        <v>303</v>
      </c>
      <c r="Q15" s="201">
        <v>0.05</v>
      </c>
    </row>
    <row r="16" spans="2:17" ht="15" outlineLevel="1" thickBot="1">
      <c r="B16" s="196" t="s">
        <v>19</v>
      </c>
      <c r="C16" s="197">
        <f>'Юнит 01-07.12'!AE16</f>
        <v>0</v>
      </c>
      <c r="D16" s="198">
        <f t="shared" si="4"/>
        <v>0</v>
      </c>
      <c r="E16" s="198">
        <f t="shared" si="2"/>
        <v>0.98355437631274267</v>
      </c>
      <c r="F16" s="199" t="str">
        <f t="shared" si="7"/>
        <v>C</v>
      </c>
      <c r="G16" s="199" t="str">
        <f t="shared" si="5"/>
        <v>C</v>
      </c>
      <c r="I16" s="196" t="s">
        <v>227</v>
      </c>
      <c r="J16" s="197">
        <f>'Юнит 01-07.12'!R14</f>
        <v>0</v>
      </c>
      <c r="K16" s="198">
        <f t="shared" si="6"/>
        <v>0</v>
      </c>
      <c r="L16" s="198">
        <f t="shared" si="3"/>
        <v>0.96551724137931039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229</v>
      </c>
      <c r="C17" s="197">
        <f>'Юнит 01-07.12'!AE17</f>
        <v>0</v>
      </c>
      <c r="D17" s="198">
        <f t="shared" si="4"/>
        <v>0</v>
      </c>
      <c r="E17" s="198">
        <f t="shared" si="2"/>
        <v>0.98355437631274267</v>
      </c>
      <c r="F17" s="199" t="str">
        <f t="shared" si="7"/>
        <v>C</v>
      </c>
      <c r="G17" s="199" t="str">
        <f t="shared" si="5"/>
        <v>C</v>
      </c>
      <c r="I17" s="196" t="s">
        <v>19</v>
      </c>
      <c r="J17" s="197">
        <f>'Юнит 01-07.12'!R16</f>
        <v>0</v>
      </c>
      <c r="K17" s="198">
        <f t="shared" si="6"/>
        <v>0</v>
      </c>
      <c r="L17" s="198">
        <f t="shared" si="3"/>
        <v>0.96551724137931039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230</v>
      </c>
      <c r="C18" s="197">
        <f>'Юнит 01-07.12'!AE18</f>
        <v>0</v>
      </c>
      <c r="D18" s="198">
        <f t="shared" si="4"/>
        <v>0</v>
      </c>
      <c r="E18" s="198">
        <f t="shared" si="2"/>
        <v>0.98355437631274267</v>
      </c>
      <c r="F18" s="199" t="str">
        <f t="shared" si="7"/>
        <v>C</v>
      </c>
      <c r="G18" s="199" t="str">
        <f t="shared" si="5"/>
        <v>C</v>
      </c>
      <c r="I18" s="196" t="s">
        <v>229</v>
      </c>
      <c r="J18" s="197">
        <f>'Юнит 01-07.12'!R17</f>
        <v>0</v>
      </c>
      <c r="K18" s="198">
        <f t="shared" si="6"/>
        <v>0</v>
      </c>
      <c r="L18" s="198">
        <f t="shared" si="3"/>
        <v>0.96551724137931039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231</v>
      </c>
      <c r="C19" s="197">
        <f>'Юнит 01-07.12'!AE19</f>
        <v>0</v>
      </c>
      <c r="D19" s="198">
        <f t="shared" si="4"/>
        <v>0</v>
      </c>
      <c r="E19" s="198">
        <f t="shared" si="2"/>
        <v>0.98355437631274267</v>
      </c>
      <c r="F19" s="199" t="str">
        <f t="shared" si="7"/>
        <v>C</v>
      </c>
      <c r="G19" s="199" t="str">
        <f t="shared" si="5"/>
        <v>C</v>
      </c>
      <c r="I19" s="196" t="s">
        <v>230</v>
      </c>
      <c r="J19" s="197">
        <f>'Юнит 01-07.12'!R18</f>
        <v>0</v>
      </c>
      <c r="K19" s="198">
        <f t="shared" si="6"/>
        <v>0</v>
      </c>
      <c r="L19" s="198">
        <f t="shared" si="3"/>
        <v>0.96551724137931039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111</v>
      </c>
      <c r="C20" s="197">
        <f>'Юнит 01-07.12'!AE20</f>
        <v>0</v>
      </c>
      <c r="D20" s="198">
        <f t="shared" si="4"/>
        <v>0</v>
      </c>
      <c r="E20" s="198">
        <f t="shared" si="2"/>
        <v>0.98355437631274267</v>
      </c>
      <c r="F20" s="199" t="str">
        <f t="shared" si="7"/>
        <v>C</v>
      </c>
      <c r="G20" s="199" t="str">
        <f t="shared" si="5"/>
        <v>C</v>
      </c>
      <c r="I20" s="196" t="s">
        <v>231</v>
      </c>
      <c r="J20" s="197">
        <f>'Юнит 01-07.12'!R19</f>
        <v>0</v>
      </c>
      <c r="K20" s="198">
        <f t="shared" si="6"/>
        <v>0</v>
      </c>
      <c r="L20" s="198">
        <f t="shared" si="3"/>
        <v>0.96551724137931039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232</v>
      </c>
      <c r="C21" s="197">
        <f>'Юнит 01-07.12'!AE21</f>
        <v>0</v>
      </c>
      <c r="D21" s="198">
        <f t="shared" si="4"/>
        <v>0</v>
      </c>
      <c r="E21" s="198">
        <f t="shared" si="2"/>
        <v>0.98355437631274267</v>
      </c>
      <c r="F21" s="199" t="str">
        <f t="shared" si="7"/>
        <v>C</v>
      </c>
      <c r="G21" s="199" t="str">
        <f t="shared" si="5"/>
        <v>C</v>
      </c>
      <c r="I21" s="196" t="s">
        <v>111</v>
      </c>
      <c r="J21" s="197">
        <f>'Юнит 01-07.12'!R20</f>
        <v>0</v>
      </c>
      <c r="K21" s="198">
        <f t="shared" si="6"/>
        <v>0</v>
      </c>
      <c r="L21" s="198">
        <f t="shared" si="3"/>
        <v>0.96551724137931039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136</v>
      </c>
      <c r="C22" s="197">
        <f>'Юнит 01-07.12'!AE22</f>
        <v>0</v>
      </c>
      <c r="D22" s="198">
        <f t="shared" si="4"/>
        <v>0</v>
      </c>
      <c r="E22" s="198">
        <f t="shared" si="2"/>
        <v>0.98355437631274267</v>
      </c>
      <c r="F22" s="199" t="str">
        <f t="shared" si="7"/>
        <v>C</v>
      </c>
      <c r="G22" s="199" t="str">
        <f t="shared" si="5"/>
        <v>C</v>
      </c>
      <c r="I22" s="196" t="s">
        <v>232</v>
      </c>
      <c r="J22" s="197">
        <f>'Юнит 01-07.12'!R21</f>
        <v>0</v>
      </c>
      <c r="K22" s="198">
        <f t="shared" si="6"/>
        <v>0</v>
      </c>
      <c r="L22" s="198">
        <f t="shared" si="3"/>
        <v>0.96551724137931039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233</v>
      </c>
      <c r="C23" s="197">
        <f>'Юнит 01-07.12'!AE23</f>
        <v>0</v>
      </c>
      <c r="D23" s="198">
        <f t="shared" si="4"/>
        <v>0</v>
      </c>
      <c r="E23" s="198">
        <f t="shared" si="2"/>
        <v>0.98355437631274267</v>
      </c>
      <c r="F23" s="199" t="str">
        <f t="shared" si="7"/>
        <v>C</v>
      </c>
      <c r="G23" s="199" t="str">
        <f t="shared" si="5"/>
        <v>C</v>
      </c>
      <c r="I23" s="196" t="s">
        <v>136</v>
      </c>
      <c r="J23" s="197">
        <f>'Юнит 01-07.12'!R22</f>
        <v>0</v>
      </c>
      <c r="K23" s="198">
        <f t="shared" si="6"/>
        <v>0</v>
      </c>
      <c r="L23" s="198">
        <f t="shared" si="3"/>
        <v>0.96551724137931039</v>
      </c>
      <c r="M23" s="199" t="str">
        <f t="shared" si="8"/>
        <v>C</v>
      </c>
      <c r="P23" s="204"/>
      <c r="Q23" s="198"/>
    </row>
    <row r="24" spans="2:17" ht="15" outlineLevel="1" thickBot="1">
      <c r="B24" s="196" t="s">
        <v>234</v>
      </c>
      <c r="C24" s="197">
        <f>'Юнит 01-07.12'!AE24</f>
        <v>0</v>
      </c>
      <c r="D24" s="198">
        <f t="shared" si="4"/>
        <v>0</v>
      </c>
      <c r="E24" s="198">
        <f t="shared" si="2"/>
        <v>0.98355437631274267</v>
      </c>
      <c r="F24" s="199" t="str">
        <f t="shared" si="7"/>
        <v>C</v>
      </c>
      <c r="G24" s="199" t="str">
        <f t="shared" si="5"/>
        <v>C</v>
      </c>
      <c r="I24" s="196" t="s">
        <v>233</v>
      </c>
      <c r="J24" s="197">
        <f>'Юнит 01-07.12'!R23</f>
        <v>0</v>
      </c>
      <c r="K24" s="198">
        <f t="shared" si="6"/>
        <v>0</v>
      </c>
      <c r="L24" s="198">
        <f t="shared" si="3"/>
        <v>0.96551724137931039</v>
      </c>
      <c r="M24" s="199" t="str">
        <f t="shared" si="8"/>
        <v>C</v>
      </c>
      <c r="P24" s="204"/>
      <c r="Q24" s="198"/>
    </row>
    <row r="25" spans="2:17" ht="15" outlineLevel="1" thickBot="1">
      <c r="B25" s="196" t="s">
        <v>1054</v>
      </c>
      <c r="C25" s="197">
        <f>'Юнит 01-07.12'!AE8</f>
        <v>-431.68092999999999</v>
      </c>
      <c r="D25" s="198">
        <f t="shared" si="4"/>
        <v>-5.2009600708233898E-2</v>
      </c>
      <c r="E25" s="198">
        <f t="shared" si="2"/>
        <v>0.93154477560450877</v>
      </c>
      <c r="F25" s="199" t="str">
        <f t="shared" si="7"/>
        <v>B</v>
      </c>
      <c r="G25" s="199" t="str">
        <f t="shared" si="5"/>
        <v>C</v>
      </c>
      <c r="I25" s="196" t="s">
        <v>234</v>
      </c>
      <c r="J25" s="197">
        <f>'Юнит 01-07.12'!R24</f>
        <v>0</v>
      </c>
      <c r="K25" s="198">
        <f t="shared" si="6"/>
        <v>0</v>
      </c>
      <c r="L25" s="198">
        <f t="shared" si="3"/>
        <v>0.96551724137931039</v>
      </c>
      <c r="M25" s="199" t="str">
        <f t="shared" si="8"/>
        <v>C</v>
      </c>
      <c r="P25" s="204"/>
      <c r="Q25" s="198"/>
    </row>
    <row r="26" spans="2:17" outlineLevel="1">
      <c r="C26" s="205">
        <f>SUM(C4:C25)</f>
        <v>8300.0239210000018</v>
      </c>
      <c r="D26" s="206">
        <f>SUM(D4:D25)</f>
        <v>1.0000000000000002</v>
      </c>
      <c r="J26" s="205">
        <f>SUM(J4:J25)</f>
        <v>58</v>
      </c>
      <c r="K26" s="206">
        <f>SUM(K4:K25)</f>
        <v>1</v>
      </c>
    </row>
    <row r="27" spans="2:17" ht="15" thickBot="1"/>
    <row r="28" spans="2:17" ht="15" thickBot="1">
      <c r="B28" s="516" t="s">
        <v>304</v>
      </c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8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43</v>
      </c>
      <c r="C30" s="197">
        <f>'Юнит 01-07.12'!AE29</f>
        <v>0</v>
      </c>
      <c r="D30" s="198">
        <f>C30/C$50</f>
        <v>0</v>
      </c>
      <c r="E30" s="198">
        <f>D30</f>
        <v>0</v>
      </c>
      <c r="F30" s="199" t="str">
        <f t="shared" ref="F30:F36" si="9">IF(AND(E30&lt;=0),"C",IF(E30&lt;=0.8,"A",IF(E30&lt;=0.95,"B","C")))</f>
        <v>C</v>
      </c>
      <c r="G30" s="199" t="str">
        <f>VLOOKUP(B$30:B$50,I$30:M$50,5,0)</f>
        <v>A</v>
      </c>
      <c r="I30" s="196" t="s">
        <v>98</v>
      </c>
      <c r="J30" s="197">
        <f>'Юнит 01-07.12'!R28</f>
        <v>0</v>
      </c>
      <c r="K30" s="198">
        <f>J30/J$50</f>
        <v>0</v>
      </c>
      <c r="L30" s="198">
        <f>K30</f>
        <v>0</v>
      </c>
      <c r="M30" s="199" t="str">
        <f t="shared" ref="M30:M36" si="10">_xlfn.IFS(L30&lt;80%,"A",L30&lt;=95%,"B",L30&gt;95%,"C")</f>
        <v>A</v>
      </c>
    </row>
    <row r="31" spans="2:17" ht="26.5" thickBot="1">
      <c r="B31" s="196" t="s">
        <v>235</v>
      </c>
      <c r="C31" s="197">
        <f>'Юнит 01-07.12'!AE30</f>
        <v>0</v>
      </c>
      <c r="D31" s="198">
        <f t="shared" ref="D31:D49" si="11">C31/C$50</f>
        <v>0</v>
      </c>
      <c r="E31" s="198">
        <f>D31+E30</f>
        <v>0</v>
      </c>
      <c r="F31" s="199" t="str">
        <f t="shared" si="9"/>
        <v>C</v>
      </c>
      <c r="G31" s="199" t="str">
        <f t="shared" ref="G31:G49" si="12">VLOOKUP(B$30:B$50,I$30:M$50,5,0)</f>
        <v>A</v>
      </c>
      <c r="I31" s="196" t="s">
        <v>43</v>
      </c>
      <c r="J31" s="197">
        <f>'Юнит 01-07.12'!R29</f>
        <v>0</v>
      </c>
      <c r="K31" s="198">
        <f t="shared" ref="K31:K49" si="13">J31/J$50</f>
        <v>0</v>
      </c>
      <c r="L31" s="198">
        <f>K31+L30</f>
        <v>0</v>
      </c>
      <c r="M31" s="199" t="str">
        <f t="shared" si="10"/>
        <v>A</v>
      </c>
    </row>
    <row r="32" spans="2:17" ht="26.5" thickBot="1">
      <c r="B32" s="196" t="s">
        <v>171</v>
      </c>
      <c r="C32" s="197">
        <f>'Юнит 01-07.12'!AE31</f>
        <v>0</v>
      </c>
      <c r="D32" s="198">
        <f t="shared" si="11"/>
        <v>0</v>
      </c>
      <c r="E32" s="198">
        <f t="shared" ref="E32:E49" si="14">D32+E31</f>
        <v>0</v>
      </c>
      <c r="F32" s="199" t="str">
        <f t="shared" si="9"/>
        <v>C</v>
      </c>
      <c r="G32" s="199" t="str">
        <f t="shared" si="12"/>
        <v>A</v>
      </c>
      <c r="I32" s="196" t="s">
        <v>235</v>
      </c>
      <c r="J32" s="197">
        <f>'Юнит 01-07.12'!R30</f>
        <v>0</v>
      </c>
      <c r="K32" s="198">
        <f t="shared" si="13"/>
        <v>0</v>
      </c>
      <c r="L32" s="198">
        <f t="shared" ref="L32:L49" si="15">K32+L31</f>
        <v>0</v>
      </c>
      <c r="M32" s="199" t="str">
        <f t="shared" si="10"/>
        <v>A</v>
      </c>
    </row>
    <row r="33" spans="2:13" ht="15" thickBot="1">
      <c r="B33" s="196" t="s">
        <v>39</v>
      </c>
      <c r="C33" s="197">
        <f>'Юнит 01-07.12'!AE32</f>
        <v>0</v>
      </c>
      <c r="D33" s="198">
        <f t="shared" si="11"/>
        <v>0</v>
      </c>
      <c r="E33" s="198">
        <f t="shared" si="14"/>
        <v>0</v>
      </c>
      <c r="F33" s="199" t="str">
        <f t="shared" si="9"/>
        <v>C</v>
      </c>
      <c r="G33" s="199" t="str">
        <f t="shared" si="12"/>
        <v>A</v>
      </c>
      <c r="I33" s="196" t="s">
        <v>171</v>
      </c>
      <c r="J33" s="197">
        <f>'Юнит 01-07.12'!R31</f>
        <v>0</v>
      </c>
      <c r="K33" s="198">
        <f t="shared" si="13"/>
        <v>0</v>
      </c>
      <c r="L33" s="198">
        <f t="shared" si="15"/>
        <v>0</v>
      </c>
      <c r="M33" s="199" t="str">
        <f t="shared" si="10"/>
        <v>A</v>
      </c>
    </row>
    <row r="34" spans="2:13" ht="15" thickBot="1">
      <c r="B34" s="196" t="s">
        <v>236</v>
      </c>
      <c r="C34" s="197">
        <f>'Юнит 01-07.12'!AE33</f>
        <v>0</v>
      </c>
      <c r="D34" s="198">
        <f t="shared" si="11"/>
        <v>0</v>
      </c>
      <c r="E34" s="198">
        <f t="shared" si="14"/>
        <v>0</v>
      </c>
      <c r="F34" s="199" t="str">
        <f t="shared" si="9"/>
        <v>C</v>
      </c>
      <c r="G34" s="199" t="str">
        <f t="shared" si="12"/>
        <v>A</v>
      </c>
      <c r="I34" s="196" t="s">
        <v>39</v>
      </c>
      <c r="J34" s="197">
        <f>'Юнит 01-07.12'!R32</f>
        <v>0</v>
      </c>
      <c r="K34" s="198">
        <f t="shared" si="13"/>
        <v>0</v>
      </c>
      <c r="L34" s="198">
        <f t="shared" si="15"/>
        <v>0</v>
      </c>
      <c r="M34" s="199" t="str">
        <f t="shared" si="10"/>
        <v>A</v>
      </c>
    </row>
    <row r="35" spans="2:13" ht="15" thickBot="1">
      <c r="B35" s="196" t="s">
        <v>237</v>
      </c>
      <c r="C35" s="197">
        <f>'Юнит 01-07.12'!AE34</f>
        <v>0</v>
      </c>
      <c r="D35" s="198">
        <f t="shared" si="11"/>
        <v>0</v>
      </c>
      <c r="E35" s="198">
        <f t="shared" si="14"/>
        <v>0</v>
      </c>
      <c r="F35" s="199" t="str">
        <f t="shared" si="9"/>
        <v>C</v>
      </c>
      <c r="G35" s="199" t="str">
        <f t="shared" si="12"/>
        <v>A</v>
      </c>
      <c r="I35" s="196" t="s">
        <v>236</v>
      </c>
      <c r="J35" s="197">
        <f>'Юнит 01-07.12'!R33</f>
        <v>0</v>
      </c>
      <c r="K35" s="198">
        <f t="shared" si="13"/>
        <v>0</v>
      </c>
      <c r="L35" s="198">
        <f t="shared" si="15"/>
        <v>0</v>
      </c>
      <c r="M35" s="199" t="str">
        <f t="shared" si="10"/>
        <v>A</v>
      </c>
    </row>
    <row r="36" spans="2:13" ht="15" thickBot="1">
      <c r="B36" s="196" t="s">
        <v>142</v>
      </c>
      <c r="C36" s="197">
        <f>'Юнит 01-07.12'!AE35</f>
        <v>0</v>
      </c>
      <c r="D36" s="198">
        <f t="shared" si="11"/>
        <v>0</v>
      </c>
      <c r="E36" s="198">
        <f t="shared" si="14"/>
        <v>0</v>
      </c>
      <c r="F36" s="199" t="str">
        <f t="shared" si="9"/>
        <v>C</v>
      </c>
      <c r="G36" s="199" t="str">
        <f t="shared" si="12"/>
        <v>A</v>
      </c>
      <c r="I36" s="196" t="s">
        <v>237</v>
      </c>
      <c r="J36" s="197">
        <f>'Юнит 01-07.12'!R34</f>
        <v>0</v>
      </c>
      <c r="K36" s="198">
        <f t="shared" si="13"/>
        <v>0</v>
      </c>
      <c r="L36" s="198">
        <f t="shared" si="15"/>
        <v>0</v>
      </c>
      <c r="M36" s="199" t="str">
        <f t="shared" si="10"/>
        <v>A</v>
      </c>
    </row>
    <row r="37" spans="2:13" ht="15" thickBot="1">
      <c r="B37" s="196" t="s">
        <v>238</v>
      </c>
      <c r="C37" s="197">
        <f>'Юнит 01-07.12'!AE36</f>
        <v>0</v>
      </c>
      <c r="D37" s="198">
        <f t="shared" si="11"/>
        <v>0</v>
      </c>
      <c r="E37" s="198">
        <f t="shared" si="14"/>
        <v>0</v>
      </c>
      <c r="F37" s="199" t="str">
        <f>IF(AND(E37&lt;=0),"C",IF(E37&lt;=0.8,"A",IF(E37&lt;=0.95,"B","C")))</f>
        <v>C</v>
      </c>
      <c r="G37" s="199" t="str">
        <f t="shared" si="12"/>
        <v>A</v>
      </c>
      <c r="I37" s="196" t="s">
        <v>142</v>
      </c>
      <c r="J37" s="197">
        <f>'Юнит 01-07.12'!R35</f>
        <v>0</v>
      </c>
      <c r="K37" s="198">
        <f t="shared" si="13"/>
        <v>0</v>
      </c>
      <c r="L37" s="198">
        <f t="shared" si="15"/>
        <v>0</v>
      </c>
      <c r="M37" s="199" t="str">
        <f>_xlfn.IFS(L37&lt;80%,"A",L37&lt;=95%,"B",L37&gt;95%,"C")</f>
        <v>A</v>
      </c>
    </row>
    <row r="38" spans="2:13" ht="15" thickBot="1">
      <c r="B38" s="196" t="s">
        <v>62</v>
      </c>
      <c r="C38" s="197">
        <f>'Юнит 01-07.12'!AE37</f>
        <v>0</v>
      </c>
      <c r="D38" s="198">
        <f t="shared" si="11"/>
        <v>0</v>
      </c>
      <c r="E38" s="198">
        <f t="shared" si="14"/>
        <v>0</v>
      </c>
      <c r="F38" s="199" t="str">
        <f t="shared" ref="F38:F49" si="16">IF(AND(E38&lt;=0),"C",IF(E38&lt;=0.8,"A",IF(E38&lt;=0.95,"B","C")))</f>
        <v>C</v>
      </c>
      <c r="G38" s="199" t="str">
        <f t="shared" si="12"/>
        <v>A</v>
      </c>
      <c r="I38" s="196" t="s">
        <v>238</v>
      </c>
      <c r="J38" s="197">
        <f>'Юнит 01-07.12'!R36</f>
        <v>0</v>
      </c>
      <c r="K38" s="198">
        <f t="shared" si="13"/>
        <v>0</v>
      </c>
      <c r="L38" s="198">
        <f t="shared" si="15"/>
        <v>0</v>
      </c>
      <c r="M38" s="199" t="str">
        <f t="shared" ref="M38:M49" si="17">_xlfn.IFS(L38&lt;80%,"A",L38&lt;=95%,"B",L38&gt;95%,"C")</f>
        <v>A</v>
      </c>
    </row>
    <row r="39" spans="2:13" ht="15" thickBot="1">
      <c r="B39" s="196" t="s">
        <v>239</v>
      </c>
      <c r="C39" s="197">
        <f>'Юнит 01-07.12'!AE38</f>
        <v>0</v>
      </c>
      <c r="D39" s="198">
        <f t="shared" si="11"/>
        <v>0</v>
      </c>
      <c r="E39" s="198">
        <f t="shared" si="14"/>
        <v>0</v>
      </c>
      <c r="F39" s="199" t="str">
        <f t="shared" si="16"/>
        <v>C</v>
      </c>
      <c r="G39" s="199" t="str">
        <f t="shared" si="12"/>
        <v>A</v>
      </c>
      <c r="I39" s="196" t="s">
        <v>62</v>
      </c>
      <c r="J39" s="197">
        <f>'Юнит 01-07.12'!R37</f>
        <v>0</v>
      </c>
      <c r="K39" s="198">
        <f t="shared" si="13"/>
        <v>0</v>
      </c>
      <c r="L39" s="198">
        <f t="shared" si="15"/>
        <v>0</v>
      </c>
      <c r="M39" s="199" t="str">
        <f t="shared" si="17"/>
        <v>A</v>
      </c>
    </row>
    <row r="40" spans="2:13" ht="15" thickBot="1">
      <c r="B40" s="196" t="s">
        <v>241</v>
      </c>
      <c r="C40" s="197">
        <f>'Юнит 01-07.12'!AE40</f>
        <v>0</v>
      </c>
      <c r="D40" s="198">
        <f t="shared" si="11"/>
        <v>0</v>
      </c>
      <c r="E40" s="198">
        <f t="shared" si="14"/>
        <v>0</v>
      </c>
      <c r="F40" s="199" t="str">
        <f t="shared" si="16"/>
        <v>C</v>
      </c>
      <c r="G40" s="199" t="str">
        <f t="shared" si="12"/>
        <v>A</v>
      </c>
      <c r="I40" s="196" t="s">
        <v>239</v>
      </c>
      <c r="J40" s="197">
        <f>'Юнит 01-07.12'!R38</f>
        <v>0</v>
      </c>
      <c r="K40" s="198">
        <f t="shared" si="13"/>
        <v>0</v>
      </c>
      <c r="L40" s="198">
        <f t="shared" si="15"/>
        <v>0</v>
      </c>
      <c r="M40" s="199" t="str">
        <f t="shared" si="17"/>
        <v>A</v>
      </c>
    </row>
    <row r="41" spans="2:13" ht="26.5" thickBot="1">
      <c r="B41" s="196" t="s">
        <v>242</v>
      </c>
      <c r="C41" s="197">
        <f>'Юнит 01-07.12'!AE41</f>
        <v>0</v>
      </c>
      <c r="D41" s="198">
        <f t="shared" si="11"/>
        <v>0</v>
      </c>
      <c r="E41" s="198">
        <f t="shared" si="14"/>
        <v>0</v>
      </c>
      <c r="F41" s="199" t="str">
        <f t="shared" si="16"/>
        <v>C</v>
      </c>
      <c r="G41" s="199" t="str">
        <f t="shared" si="12"/>
        <v>A</v>
      </c>
      <c r="I41" s="196" t="s">
        <v>241</v>
      </c>
      <c r="J41" s="197">
        <f>'Юнит 01-07.12'!R40</f>
        <v>0</v>
      </c>
      <c r="K41" s="198">
        <f t="shared" si="13"/>
        <v>0</v>
      </c>
      <c r="L41" s="198">
        <f t="shared" si="15"/>
        <v>0</v>
      </c>
      <c r="M41" s="199" t="str">
        <f t="shared" si="17"/>
        <v>A</v>
      </c>
    </row>
    <row r="42" spans="2:13" ht="26.5" thickBot="1">
      <c r="B42" s="196" t="s">
        <v>771</v>
      </c>
      <c r="C42" s="197">
        <f>'Юнит 01-07.12'!AE43</f>
        <v>0</v>
      </c>
      <c r="D42" s="198">
        <f t="shared" si="11"/>
        <v>0</v>
      </c>
      <c r="E42" s="198">
        <f t="shared" si="14"/>
        <v>0</v>
      </c>
      <c r="F42" s="199" t="str">
        <f t="shared" si="16"/>
        <v>C</v>
      </c>
      <c r="G42" s="199" t="str">
        <f t="shared" si="12"/>
        <v>A</v>
      </c>
      <c r="I42" s="196" t="s">
        <v>242</v>
      </c>
      <c r="J42" s="197">
        <f>'Юнит 01-07.12'!R41</f>
        <v>0</v>
      </c>
      <c r="K42" s="198">
        <f t="shared" si="13"/>
        <v>0</v>
      </c>
      <c r="L42" s="198">
        <f t="shared" si="15"/>
        <v>0</v>
      </c>
      <c r="M42" s="199" t="str">
        <f t="shared" si="17"/>
        <v>A</v>
      </c>
    </row>
    <row r="43" spans="2:13" ht="26.5" thickBot="1">
      <c r="B43" s="196" t="s">
        <v>66</v>
      </c>
      <c r="C43" s="197">
        <f>'Юнит 01-07.12'!AE46</f>
        <v>0</v>
      </c>
      <c r="D43" s="198">
        <f t="shared" si="11"/>
        <v>0</v>
      </c>
      <c r="E43" s="198">
        <f t="shared" si="14"/>
        <v>0</v>
      </c>
      <c r="F43" s="199" t="str">
        <f t="shared" si="16"/>
        <v>C</v>
      </c>
      <c r="G43" s="199" t="str">
        <f t="shared" si="12"/>
        <v>A</v>
      </c>
      <c r="I43" s="196" t="s">
        <v>243</v>
      </c>
      <c r="J43" s="197">
        <f>'Юнит 01-07.12'!R42</f>
        <v>0</v>
      </c>
      <c r="K43" s="198">
        <f t="shared" si="13"/>
        <v>0</v>
      </c>
      <c r="L43" s="198">
        <f t="shared" si="15"/>
        <v>0</v>
      </c>
      <c r="M43" s="199" t="str">
        <f t="shared" si="17"/>
        <v>A</v>
      </c>
    </row>
    <row r="44" spans="2:13" ht="26.5" thickBot="1">
      <c r="B44" s="196" t="s">
        <v>245</v>
      </c>
      <c r="C44" s="197">
        <f>'Юнит 01-07.12'!AE47</f>
        <v>0</v>
      </c>
      <c r="D44" s="198">
        <f t="shared" si="11"/>
        <v>0</v>
      </c>
      <c r="E44" s="198">
        <f t="shared" si="14"/>
        <v>0</v>
      </c>
      <c r="F44" s="199" t="str">
        <f t="shared" si="16"/>
        <v>C</v>
      </c>
      <c r="G44" s="199" t="str">
        <f t="shared" si="12"/>
        <v>A</v>
      </c>
      <c r="I44" s="196" t="s">
        <v>771</v>
      </c>
      <c r="J44" s="197">
        <f>'Юнит 01-07.12'!R43</f>
        <v>0</v>
      </c>
      <c r="K44" s="198">
        <f t="shared" si="13"/>
        <v>0</v>
      </c>
      <c r="L44" s="198">
        <f t="shared" si="15"/>
        <v>0</v>
      </c>
      <c r="M44" s="199" t="str">
        <f t="shared" si="17"/>
        <v>A</v>
      </c>
    </row>
    <row r="45" spans="2:13" ht="26.5" thickBot="1">
      <c r="B45" s="196" t="s">
        <v>243</v>
      </c>
      <c r="C45" s="197">
        <f>'Юнит 01-07.12'!AE42</f>
        <v>-112</v>
      </c>
      <c r="D45" s="198">
        <f t="shared" si="11"/>
        <v>2.5219374784678332E-2</v>
      </c>
      <c r="E45" s="198">
        <f t="shared" si="14"/>
        <v>2.5219374784678332E-2</v>
      </c>
      <c r="F45" s="199" t="str">
        <f t="shared" si="16"/>
        <v>A</v>
      </c>
      <c r="G45" s="199" t="str">
        <f t="shared" si="12"/>
        <v>A</v>
      </c>
      <c r="I45" s="196" t="s">
        <v>51</v>
      </c>
      <c r="J45" s="197">
        <f>'Юнит 01-07.12'!R44</f>
        <v>0</v>
      </c>
      <c r="K45" s="198">
        <f t="shared" si="13"/>
        <v>0</v>
      </c>
      <c r="L45" s="198">
        <f t="shared" si="15"/>
        <v>0</v>
      </c>
      <c r="M45" s="199" t="str">
        <f t="shared" si="17"/>
        <v>A</v>
      </c>
    </row>
    <row r="46" spans="2:13" ht="26.5" thickBot="1">
      <c r="B46" s="196" t="s">
        <v>51</v>
      </c>
      <c r="C46" s="197">
        <f>'Юнит 01-07.12'!AE44</f>
        <v>-112</v>
      </c>
      <c r="D46" s="198">
        <f t="shared" si="11"/>
        <v>2.5219374784678332E-2</v>
      </c>
      <c r="E46" s="198">
        <f t="shared" si="14"/>
        <v>5.0438749569356664E-2</v>
      </c>
      <c r="F46" s="199" t="str">
        <f t="shared" si="16"/>
        <v>A</v>
      </c>
      <c r="G46" s="199" t="str">
        <f t="shared" si="12"/>
        <v>A</v>
      </c>
      <c r="I46" s="196" t="s">
        <v>70</v>
      </c>
      <c r="J46" s="197">
        <f>'Юнит 01-07.12'!R45</f>
        <v>0</v>
      </c>
      <c r="K46" s="198">
        <f t="shared" si="13"/>
        <v>0</v>
      </c>
      <c r="L46" s="198">
        <f t="shared" si="15"/>
        <v>0</v>
      </c>
      <c r="M46" s="199" t="str">
        <f t="shared" si="17"/>
        <v>A</v>
      </c>
    </row>
    <row r="47" spans="2:13" ht="26.5" thickBot="1">
      <c r="B47" s="196" t="s">
        <v>98</v>
      </c>
      <c r="C47" s="197">
        <f>'Юнит 01-07.12'!AE28</f>
        <v>-352.03</v>
      </c>
      <c r="D47" s="198">
        <f t="shared" si="11"/>
        <v>7.9267647370092065E-2</v>
      </c>
      <c r="E47" s="198">
        <f t="shared" si="14"/>
        <v>0.12970639693944874</v>
      </c>
      <c r="F47" s="199" t="str">
        <f t="shared" si="16"/>
        <v>A</v>
      </c>
      <c r="G47" s="199" t="str">
        <f t="shared" si="12"/>
        <v>A</v>
      </c>
      <c r="I47" s="196" t="s">
        <v>66</v>
      </c>
      <c r="J47" s="197">
        <f>'Юнит 01-07.12'!R46</f>
        <v>0</v>
      </c>
      <c r="K47" s="198">
        <f t="shared" si="13"/>
        <v>0</v>
      </c>
      <c r="L47" s="198">
        <f t="shared" si="15"/>
        <v>0</v>
      </c>
      <c r="M47" s="199" t="str">
        <f t="shared" si="17"/>
        <v>A</v>
      </c>
    </row>
    <row r="48" spans="2:13" ht="26.5" thickBot="1">
      <c r="B48" s="196" t="s">
        <v>70</v>
      </c>
      <c r="C48" s="197">
        <f>'Юнит 01-07.12'!AE45</f>
        <v>-1489</v>
      </c>
      <c r="D48" s="198">
        <f t="shared" si="11"/>
        <v>0.33528258084273244</v>
      </c>
      <c r="E48" s="198">
        <f t="shared" si="14"/>
        <v>0.46498897778218118</v>
      </c>
      <c r="F48" s="199" t="str">
        <f t="shared" si="16"/>
        <v>A</v>
      </c>
      <c r="G48" s="199" t="str">
        <f t="shared" si="12"/>
        <v>A</v>
      </c>
      <c r="I48" s="196" t="s">
        <v>245</v>
      </c>
      <c r="J48" s="197">
        <f>'Юнит 01-07.12'!R47</f>
        <v>0</v>
      </c>
      <c r="K48" s="198">
        <f t="shared" si="13"/>
        <v>0</v>
      </c>
      <c r="L48" s="198">
        <f t="shared" si="15"/>
        <v>0</v>
      </c>
      <c r="M48" s="199" t="str">
        <f t="shared" si="17"/>
        <v>A</v>
      </c>
    </row>
    <row r="49" spans="2:13" ht="26.5" thickBot="1">
      <c r="B49" s="196" t="s">
        <v>240</v>
      </c>
      <c r="C49" s="197">
        <f>'Юнит 01-07.12'!AE39</f>
        <v>-2376</v>
      </c>
      <c r="D49" s="198">
        <f t="shared" si="11"/>
        <v>0.53501102221781882</v>
      </c>
      <c r="E49" s="198">
        <f t="shared" si="14"/>
        <v>1</v>
      </c>
      <c r="F49" s="199" t="str">
        <f t="shared" si="16"/>
        <v>C</v>
      </c>
      <c r="G49" s="199" t="str">
        <f t="shared" si="12"/>
        <v>C</v>
      </c>
      <c r="I49" s="196" t="s">
        <v>240</v>
      </c>
      <c r="J49" s="197">
        <f>'Юнит 01-07.12'!R39</f>
        <v>-1</v>
      </c>
      <c r="K49" s="198">
        <f t="shared" si="13"/>
        <v>1</v>
      </c>
      <c r="L49" s="198">
        <f t="shared" si="15"/>
        <v>1</v>
      </c>
      <c r="M49" s="199" t="str">
        <f t="shared" si="17"/>
        <v>C</v>
      </c>
    </row>
    <row r="50" spans="2:13">
      <c r="C50" s="205">
        <f>SUM(C30:C49)</f>
        <v>-4441.03</v>
      </c>
      <c r="D50" s="206">
        <f>SUM(D30:D49)</f>
        <v>1</v>
      </c>
      <c r="J50" s="205">
        <f>SUM(J30:J49)</f>
        <v>-1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60" priority="4" operator="equal">
      <formula>"C"</formula>
    </cfRule>
    <cfRule type="cellIs" dxfId="359" priority="5" operator="equal">
      <formula>"B"</formula>
    </cfRule>
    <cfRule type="cellIs" dxfId="358" priority="6" operator="equal">
      <formula>"A"</formula>
    </cfRule>
  </conditionalFormatting>
  <conditionalFormatting sqref="M30:M49 D30:D49 K30:K49 F30:G49">
    <cfRule type="cellIs" dxfId="357" priority="1" operator="equal">
      <formula>"C"</formula>
    </cfRule>
    <cfRule type="cellIs" dxfId="356" priority="2" operator="equal">
      <formula>"B"</formula>
    </cfRule>
    <cfRule type="cellIs" dxfId="355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95A2-6568-4426-AA28-9EC98C8813F8}">
  <dimension ref="B1:Q50"/>
  <sheetViews>
    <sheetView workbookViewId="0">
      <selection activeCell="I5" sqref="I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226</v>
      </c>
      <c r="C4" s="197">
        <f>НОЯБРЬ!AE13</f>
        <v>2399.5200000000004</v>
      </c>
      <c r="D4" s="198">
        <f>C4/C$26</f>
        <v>-0.45057987910571518</v>
      </c>
      <c r="E4" s="198">
        <f>D4</f>
        <v>-0.45057987910571518</v>
      </c>
      <c r="F4" s="199" t="str">
        <f t="shared" ref="F4:F12" si="0">IF(AND(E4&lt;=0),"C",IF(E4&lt;=0.8,"A",IF(E4&lt;=0.95,"B","C")))</f>
        <v>C</v>
      </c>
      <c r="G4" s="199" t="str">
        <f>VLOOKUP(B$4:B$25,I$4:M$25,5,0)</f>
        <v>B</v>
      </c>
      <c r="I4" s="196" t="s">
        <v>223</v>
      </c>
      <c r="J4" s="197">
        <f>НОЯБРЬ!R6</f>
        <v>51</v>
      </c>
      <c r="K4" s="198">
        <f>J4/J$26</f>
        <v>0.5</v>
      </c>
      <c r="L4" s="198">
        <f>K4</f>
        <v>0.5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136</v>
      </c>
      <c r="C5" s="197">
        <f>НОЯБРЬ!AE22</f>
        <v>1369.48</v>
      </c>
      <c r="D5" s="198">
        <f>C5/C$26</f>
        <v>-0.25715982064650206</v>
      </c>
      <c r="E5" s="198">
        <f>D5+E4</f>
        <v>-0.70773969975221718</v>
      </c>
      <c r="F5" s="199" t="str">
        <f t="shared" si="0"/>
        <v>C</v>
      </c>
      <c r="G5" s="199" t="str">
        <f>VLOOKUP(B$4:B$25,I$4:M$25,5,0)</f>
        <v>B</v>
      </c>
      <c r="I5" s="196" t="s">
        <v>25</v>
      </c>
      <c r="J5" s="197">
        <f>НОЯБРЬ!R3</f>
        <v>26</v>
      </c>
      <c r="K5" s="198">
        <f>J5/J$26</f>
        <v>0.25490196078431371</v>
      </c>
      <c r="L5" s="198">
        <f>K5+L4</f>
        <v>0.75490196078431371</v>
      </c>
      <c r="M5" s="199" t="str">
        <f t="shared" si="1"/>
        <v>A</v>
      </c>
    </row>
    <row r="6" spans="2:17" ht="28.5" customHeight="1" outlineLevel="1" thickBot="1">
      <c r="B6" s="196" t="s">
        <v>224</v>
      </c>
      <c r="C6" s="197">
        <f>НОЯБРЬ!AE11</f>
        <v>792.11000000000013</v>
      </c>
      <c r="D6" s="198">
        <f>C6/C$26</f>
        <v>-0.14874176003468528</v>
      </c>
      <c r="E6" s="198">
        <f t="shared" ref="E6:E25" si="2">D6+E5</f>
        <v>-0.85648145978690249</v>
      </c>
      <c r="F6" s="199" t="str">
        <f t="shared" si="0"/>
        <v>C</v>
      </c>
      <c r="G6" s="199" t="str">
        <f>VLOOKUP(B$4:B$25,I$4:M$25,5,0)</f>
        <v>B</v>
      </c>
      <c r="I6" s="196" t="s">
        <v>226</v>
      </c>
      <c r="J6" s="197">
        <f>НОЯБРЬ!R13</f>
        <v>5</v>
      </c>
      <c r="K6" s="198">
        <f>J6/J$26</f>
        <v>4.9019607843137254E-2</v>
      </c>
      <c r="L6" s="198">
        <f t="shared" ref="L6:L25" si="3">K6+L5</f>
        <v>0.80392156862745101</v>
      </c>
      <c r="M6" s="199" t="str">
        <f t="shared" si="1"/>
        <v>B</v>
      </c>
    </row>
    <row r="7" spans="2:17" ht="28.5" customHeight="1" outlineLevel="1" thickBot="1">
      <c r="B7" s="196" t="s">
        <v>227</v>
      </c>
      <c r="C7" s="197">
        <f>НОЯБРЬ!AE14</f>
        <v>918.40319499999987</v>
      </c>
      <c r="D7" s="198">
        <f>C7/C$26</f>
        <v>-0.17245699163724512</v>
      </c>
      <c r="E7" s="198">
        <f t="shared" si="2"/>
        <v>-1.0289384514241475</v>
      </c>
      <c r="F7" s="199" t="str">
        <f t="shared" si="0"/>
        <v>C</v>
      </c>
      <c r="G7" s="199" t="str">
        <f>VLOOKUP(B$4:B$25,I$4:M$25,5,0)</f>
        <v>C</v>
      </c>
      <c r="I7" s="196" t="s">
        <v>228</v>
      </c>
      <c r="J7" s="197">
        <f>НОЯБРЬ!R15</f>
        <v>5</v>
      </c>
      <c r="K7" s="198">
        <f>J7/J$26</f>
        <v>4.9019607843137254E-2</v>
      </c>
      <c r="L7" s="198">
        <f t="shared" si="3"/>
        <v>0.85294117647058831</v>
      </c>
      <c r="M7" s="199" t="str">
        <f t="shared" si="1"/>
        <v>B</v>
      </c>
    </row>
    <row r="8" spans="2:17" ht="28.5" customHeight="1" outlineLevel="1" thickBot="1">
      <c r="B8" s="196" t="s">
        <v>222</v>
      </c>
      <c r="C8" s="197">
        <f>НОЯБРЬ!AE5</f>
        <v>279.36</v>
      </c>
      <c r="D8" s="198">
        <f>C8/C$26</f>
        <v>-5.2457989525810399E-2</v>
      </c>
      <c r="E8" s="198">
        <f t="shared" si="2"/>
        <v>-1.0813964409499579</v>
      </c>
      <c r="F8" s="199" t="str">
        <f t="shared" si="0"/>
        <v>C</v>
      </c>
      <c r="G8" s="199" t="str">
        <f>VLOOKUP(B$4:B$25,I$4:M$25,5,0)</f>
        <v>B</v>
      </c>
      <c r="I8" s="196" t="s">
        <v>88</v>
      </c>
      <c r="J8" s="197">
        <f>НОЯБРЬ!R10</f>
        <v>4</v>
      </c>
      <c r="K8" s="198">
        <f>J8/J$26</f>
        <v>3.9215686274509803E-2</v>
      </c>
      <c r="L8" s="198">
        <f t="shared" si="3"/>
        <v>0.89215686274509809</v>
      </c>
      <c r="M8" s="199" t="str">
        <f t="shared" si="1"/>
        <v>B</v>
      </c>
    </row>
    <row r="9" spans="2:17" ht="28.5" customHeight="1" outlineLevel="1" thickBot="1">
      <c r="B9" s="196" t="s">
        <v>225</v>
      </c>
      <c r="C9" s="197">
        <f>НОЯБРЬ!AE12</f>
        <v>0</v>
      </c>
      <c r="D9" s="198">
        <f t="shared" ref="D9:D25" si="4">C9/C$26</f>
        <v>0</v>
      </c>
      <c r="E9" s="198">
        <f t="shared" si="2"/>
        <v>-1.0813964409499579</v>
      </c>
      <c r="F9" s="199" t="str">
        <f t="shared" si="0"/>
        <v>C</v>
      </c>
      <c r="G9" s="199" t="str">
        <f t="shared" ref="G9:G25" si="5">VLOOKUP(B$4:B$25,I$4:M$25,5,0)</f>
        <v>B</v>
      </c>
      <c r="I9" s="196" t="s">
        <v>1055</v>
      </c>
      <c r="J9" s="197">
        <f>НОЯБРЬ!R9</f>
        <v>3</v>
      </c>
      <c r="K9" s="198">
        <f t="shared" ref="K9:K25" si="6">J9/J$26</f>
        <v>2.9411764705882353E-2</v>
      </c>
      <c r="L9" s="198">
        <f t="shared" si="3"/>
        <v>0.92156862745098045</v>
      </c>
      <c r="M9" s="199" t="str">
        <f t="shared" si="1"/>
        <v>B</v>
      </c>
    </row>
    <row r="10" spans="2:17" ht="28.5" customHeight="1" outlineLevel="1" thickBot="1">
      <c r="B10" s="196" t="s">
        <v>230</v>
      </c>
      <c r="C10" s="197">
        <f>НОЯБРЬ!AE18</f>
        <v>0</v>
      </c>
      <c r="D10" s="198">
        <f t="shared" si="4"/>
        <v>0</v>
      </c>
      <c r="E10" s="198">
        <f t="shared" si="2"/>
        <v>-1.0813964409499579</v>
      </c>
      <c r="F10" s="199" t="str">
        <f t="shared" si="0"/>
        <v>C</v>
      </c>
      <c r="G10" s="199" t="str">
        <f t="shared" si="5"/>
        <v>B</v>
      </c>
      <c r="I10" s="196" t="s">
        <v>227</v>
      </c>
      <c r="J10" s="197">
        <f>НОЯБРЬ!R14</f>
        <v>3</v>
      </c>
      <c r="K10" s="198">
        <f t="shared" si="6"/>
        <v>2.9411764705882353E-2</v>
      </c>
      <c r="L10" s="198">
        <f t="shared" si="3"/>
        <v>0.95098039215686281</v>
      </c>
      <c r="M10" s="199" t="str">
        <f t="shared" si="1"/>
        <v>C</v>
      </c>
    </row>
    <row r="11" spans="2:17" ht="28.5" customHeight="1" outlineLevel="1" thickBot="1">
      <c r="B11" s="196" t="s">
        <v>234</v>
      </c>
      <c r="C11" s="197">
        <f>НОЯБРЬ!AE24</f>
        <v>0</v>
      </c>
      <c r="D11" s="198">
        <f t="shared" si="4"/>
        <v>0</v>
      </c>
      <c r="E11" s="198">
        <f>D11+E8</f>
        <v>-1.0813964409499579</v>
      </c>
      <c r="F11" s="199" t="str">
        <f t="shared" si="0"/>
        <v>C</v>
      </c>
      <c r="G11" s="199" t="str">
        <f t="shared" si="5"/>
        <v>B</v>
      </c>
      <c r="I11" s="196" t="s">
        <v>222</v>
      </c>
      <c r="J11" s="197">
        <f>НОЯБРЬ!R5</f>
        <v>1</v>
      </c>
      <c r="K11" s="198">
        <f t="shared" si="6"/>
        <v>9.8039215686274508E-3</v>
      </c>
      <c r="L11" s="198">
        <f>K11+L8</f>
        <v>0.90196078431372551</v>
      </c>
      <c r="M11" s="199" t="str">
        <f t="shared" si="1"/>
        <v>B</v>
      </c>
    </row>
    <row r="12" spans="2:17" ht="28.5" customHeight="1" outlineLevel="1" thickBot="1">
      <c r="B12" s="196" t="s">
        <v>54</v>
      </c>
      <c r="C12" s="197">
        <f>НОЯБРЬ!AE7</f>
        <v>51.222343999999971</v>
      </c>
      <c r="D12" s="198">
        <f t="shared" si="4"/>
        <v>-9.6184893507998831E-3</v>
      </c>
      <c r="E12" s="198">
        <f t="shared" si="2"/>
        <v>-1.0910149303007577</v>
      </c>
      <c r="F12" s="199" t="str">
        <f t="shared" si="0"/>
        <v>C</v>
      </c>
      <c r="G12" s="199" t="str">
        <f t="shared" si="5"/>
        <v>B</v>
      </c>
      <c r="I12" s="196" t="s">
        <v>54</v>
      </c>
      <c r="J12" s="197">
        <f>НОЯБРЬ!R7</f>
        <v>1</v>
      </c>
      <c r="K12" s="198">
        <f t="shared" si="6"/>
        <v>9.8039215686274508E-3</v>
      </c>
      <c r="L12" s="198">
        <f t="shared" si="3"/>
        <v>0.91176470588235292</v>
      </c>
      <c r="M12" s="199" t="str">
        <f t="shared" si="1"/>
        <v>B</v>
      </c>
    </row>
    <row r="13" spans="2:17" ht="15" outlineLevel="1" thickBot="1">
      <c r="B13" s="196" t="s">
        <v>223</v>
      </c>
      <c r="C13" s="197">
        <f>НОЯБРЬ!AE6</f>
        <v>3823.6461600000011</v>
      </c>
      <c r="D13" s="198">
        <f t="shared" si="4"/>
        <v>-0.71800111043701742</v>
      </c>
      <c r="E13" s="198">
        <f t="shared" si="2"/>
        <v>-1.8090160407377751</v>
      </c>
      <c r="F13" s="199" t="str">
        <f>IF(AND(E13&lt;=0),"C",IF(E13&lt;=0.8,"A",IF(E13&lt;=0.95,"B","C")))</f>
        <v>C</v>
      </c>
      <c r="G13" s="199" t="str">
        <f t="shared" si="5"/>
        <v>A</v>
      </c>
      <c r="I13" s="196" t="s">
        <v>224</v>
      </c>
      <c r="J13" s="197">
        <f>НОЯБРЬ!R11</f>
        <v>1</v>
      </c>
      <c r="K13" s="198">
        <f t="shared" si="6"/>
        <v>9.8039215686274508E-3</v>
      </c>
      <c r="L13" s="198">
        <f t="shared" si="3"/>
        <v>0.92156862745098034</v>
      </c>
      <c r="M13" s="199" t="str">
        <f>_xlfn.IFS(L13&lt;80%,"A",L13&lt;=95%,"B",L13&gt;95%,"C")</f>
        <v>B</v>
      </c>
      <c r="P13" s="200" t="s">
        <v>301</v>
      </c>
      <c r="Q13" s="201">
        <v>0.8</v>
      </c>
    </row>
    <row r="14" spans="2:17" ht="15" outlineLevel="1" thickBot="1">
      <c r="B14" s="196" t="s">
        <v>92</v>
      </c>
      <c r="C14" s="197">
        <f>НОЯБРЬ!AE4</f>
        <v>-92</v>
      </c>
      <c r="D14" s="198">
        <f t="shared" si="4"/>
        <v>1.7275683835819573E-2</v>
      </c>
      <c r="E14" s="198">
        <f t="shared" si="2"/>
        <v>-1.7917403569019554</v>
      </c>
      <c r="F14" s="199" t="str">
        <f t="shared" ref="F14:F25" si="7">IF(AND(E14&lt;=0),"C",IF(E14&lt;=0.8,"A",IF(E14&lt;=0.95,"B","C")))</f>
        <v>C</v>
      </c>
      <c r="G14" s="199" t="str">
        <f t="shared" si="5"/>
        <v>B</v>
      </c>
      <c r="I14" s="196" t="s">
        <v>19</v>
      </c>
      <c r="J14" s="197">
        <f>НОЯБРЬ!R16</f>
        <v>1</v>
      </c>
      <c r="K14" s="198">
        <f t="shared" si="6"/>
        <v>9.8039215686274508E-3</v>
      </c>
      <c r="L14" s="198">
        <f t="shared" si="3"/>
        <v>0.93137254901960775</v>
      </c>
      <c r="M14" s="199" t="str">
        <f t="shared" ref="M14:M25" si="8">_xlfn.IFS(L14&lt;80%,"A",L14&lt;=95%,"B",L14&gt;95%,"C")</f>
        <v>B</v>
      </c>
      <c r="P14" s="202" t="s">
        <v>302</v>
      </c>
      <c r="Q14" s="201">
        <v>0.15</v>
      </c>
    </row>
    <row r="15" spans="2:17" ht="15" outlineLevel="1" thickBot="1">
      <c r="B15" s="196" t="s">
        <v>19</v>
      </c>
      <c r="C15" s="197">
        <f>НОЯБРЬ!AE16</f>
        <v>-177.41999999999987</v>
      </c>
      <c r="D15" s="198">
        <f t="shared" si="4"/>
        <v>3.3315780719033766E-2</v>
      </c>
      <c r="E15" s="198">
        <f t="shared" si="2"/>
        <v>-1.7584245761829216</v>
      </c>
      <c r="F15" s="199" t="str">
        <f t="shared" si="7"/>
        <v>C</v>
      </c>
      <c r="G15" s="199" t="str">
        <f t="shared" si="5"/>
        <v>B</v>
      </c>
      <c r="I15" s="196" t="s">
        <v>136</v>
      </c>
      <c r="J15" s="197">
        <f>НОЯБРЬ!R22</f>
        <v>1</v>
      </c>
      <c r="K15" s="198">
        <f t="shared" si="6"/>
        <v>9.8039215686274508E-3</v>
      </c>
      <c r="L15" s="198">
        <f t="shared" si="3"/>
        <v>0.94117647058823517</v>
      </c>
      <c r="M15" s="199" t="str">
        <f t="shared" si="8"/>
        <v>B</v>
      </c>
      <c r="P15" s="203" t="s">
        <v>303</v>
      </c>
      <c r="Q15" s="201">
        <v>0.05</v>
      </c>
    </row>
    <row r="16" spans="2:17" ht="15" outlineLevel="1" thickBot="1">
      <c r="B16" s="196" t="s">
        <v>233</v>
      </c>
      <c r="C16" s="197">
        <f>НОЯБРЬ!AE23</f>
        <v>-322.66627299999999</v>
      </c>
      <c r="D16" s="198">
        <f t="shared" si="4"/>
        <v>6.0590005617720065E-2</v>
      </c>
      <c r="E16" s="198">
        <f t="shared" si="2"/>
        <v>-1.6978345705652016</v>
      </c>
      <c r="F16" s="199" t="str">
        <f t="shared" si="7"/>
        <v>C</v>
      </c>
      <c r="G16" s="199" t="str">
        <f t="shared" si="5"/>
        <v>B</v>
      </c>
      <c r="I16" s="196" t="s">
        <v>92</v>
      </c>
      <c r="J16" s="197">
        <f>НОЯБРЬ!R4</f>
        <v>0</v>
      </c>
      <c r="K16" s="198">
        <f t="shared" si="6"/>
        <v>0</v>
      </c>
      <c r="L16" s="198">
        <f t="shared" si="3"/>
        <v>0.94117647058823517</v>
      </c>
      <c r="M16" s="199" t="str">
        <f t="shared" si="8"/>
        <v>B</v>
      </c>
      <c r="P16" s="204"/>
      <c r="Q16" s="198"/>
    </row>
    <row r="17" spans="2:17" ht="15" outlineLevel="1" thickBot="1">
      <c r="B17" s="196" t="s">
        <v>111</v>
      </c>
      <c r="C17" s="197">
        <f>НОЯБРЬ!AE20</f>
        <v>-377.96732400000002</v>
      </c>
      <c r="D17" s="198">
        <f t="shared" si="4"/>
        <v>7.0974391192334563E-2</v>
      </c>
      <c r="E17" s="198">
        <f t="shared" si="2"/>
        <v>-1.626860179372867</v>
      </c>
      <c r="F17" s="199" t="str">
        <f t="shared" si="7"/>
        <v>C</v>
      </c>
      <c r="G17" s="199" t="str">
        <f t="shared" si="5"/>
        <v>B</v>
      </c>
      <c r="I17" s="196" t="s">
        <v>1054</v>
      </c>
      <c r="J17" s="197">
        <f>НОЯБРЬ!R8</f>
        <v>0</v>
      </c>
      <c r="K17" s="198">
        <f t="shared" si="6"/>
        <v>0</v>
      </c>
      <c r="L17" s="198">
        <f t="shared" si="3"/>
        <v>0.94117647058823517</v>
      </c>
      <c r="M17" s="199" t="str">
        <f t="shared" si="8"/>
        <v>B</v>
      </c>
      <c r="P17" s="204"/>
      <c r="Q17" s="198"/>
    </row>
    <row r="18" spans="2:17" ht="26.5" outlineLevel="1" thickBot="1">
      <c r="B18" s="196" t="s">
        <v>25</v>
      </c>
      <c r="C18" s="197">
        <f>НОЯБРЬ!AE3</f>
        <v>1365.0221570000033</v>
      </c>
      <c r="D18" s="198">
        <f t="shared" si="4"/>
        <v>-0.25632273057848398</v>
      </c>
      <c r="E18" s="198">
        <f t="shared" si="2"/>
        <v>-1.8831829099513508</v>
      </c>
      <c r="F18" s="199" t="str">
        <f t="shared" si="7"/>
        <v>C</v>
      </c>
      <c r="G18" s="199" t="str">
        <f t="shared" si="5"/>
        <v>A</v>
      </c>
      <c r="I18" s="196" t="s">
        <v>225</v>
      </c>
      <c r="J18" s="197">
        <f>НОЯБРЬ!R12</f>
        <v>0</v>
      </c>
      <c r="K18" s="198">
        <f t="shared" si="6"/>
        <v>0</v>
      </c>
      <c r="L18" s="198">
        <f t="shared" si="3"/>
        <v>0.94117647058823517</v>
      </c>
      <c r="M18" s="199" t="str">
        <f t="shared" si="8"/>
        <v>B</v>
      </c>
      <c r="P18" s="204"/>
      <c r="Q18" s="198"/>
    </row>
    <row r="19" spans="2:17" ht="15" outlineLevel="1" thickBot="1">
      <c r="B19" s="196" t="s">
        <v>229</v>
      </c>
      <c r="C19" s="197">
        <f>НОЯБРЬ!AE17</f>
        <v>-1099.236549</v>
      </c>
      <c r="D19" s="198">
        <f t="shared" si="4"/>
        <v>0.20641372914458034</v>
      </c>
      <c r="E19" s="198">
        <f t="shared" si="2"/>
        <v>-1.6767691808067706</v>
      </c>
      <c r="F19" s="199" t="str">
        <f t="shared" si="7"/>
        <v>C</v>
      </c>
      <c r="G19" s="199" t="str">
        <f t="shared" si="5"/>
        <v>B</v>
      </c>
      <c r="I19" s="196" t="s">
        <v>229</v>
      </c>
      <c r="J19" s="197">
        <f>НОЯБРЬ!R17</f>
        <v>0</v>
      </c>
      <c r="K19" s="198">
        <f t="shared" si="6"/>
        <v>0</v>
      </c>
      <c r="L19" s="198">
        <f t="shared" si="3"/>
        <v>0.94117647058823517</v>
      </c>
      <c r="M19" s="199" t="str">
        <f t="shared" si="8"/>
        <v>B</v>
      </c>
      <c r="P19" s="204"/>
      <c r="Q19" s="198"/>
    </row>
    <row r="20" spans="2:17" ht="15" outlineLevel="1" thickBot="1">
      <c r="B20" s="196" t="s">
        <v>88</v>
      </c>
      <c r="C20" s="197">
        <f>НОЯБРЬ!AE10</f>
        <v>-877.71511699999928</v>
      </c>
      <c r="D20" s="198">
        <f t="shared" si="4"/>
        <v>0.16481661803490624</v>
      </c>
      <c r="E20" s="198">
        <f t="shared" si="2"/>
        <v>-1.5119525627718644</v>
      </c>
      <c r="F20" s="199" t="str">
        <f t="shared" si="7"/>
        <v>C</v>
      </c>
      <c r="G20" s="199" t="str">
        <f t="shared" si="5"/>
        <v>B</v>
      </c>
      <c r="I20" s="196" t="s">
        <v>230</v>
      </c>
      <c r="J20" s="197">
        <f>НОЯБРЬ!R18</f>
        <v>0</v>
      </c>
      <c r="K20" s="198">
        <f t="shared" si="6"/>
        <v>0</v>
      </c>
      <c r="L20" s="198">
        <f t="shared" si="3"/>
        <v>0.94117647058823517</v>
      </c>
      <c r="M20" s="199" t="str">
        <f t="shared" si="8"/>
        <v>B</v>
      </c>
      <c r="P20" s="204"/>
      <c r="Q20" s="198"/>
    </row>
    <row r="21" spans="2:17" ht="15" outlineLevel="1" thickBot="1">
      <c r="B21" s="196" t="s">
        <v>232</v>
      </c>
      <c r="C21" s="197">
        <f>НОЯБРЬ!AE21</f>
        <v>-1259.968691</v>
      </c>
      <c r="D21" s="198">
        <f t="shared" si="4"/>
        <v>0.23659587770377663</v>
      </c>
      <c r="E21" s="198">
        <f t="shared" si="2"/>
        <v>-1.2753566850680877</v>
      </c>
      <c r="F21" s="199" t="str">
        <f t="shared" si="7"/>
        <v>C</v>
      </c>
      <c r="G21" s="199" t="str">
        <f t="shared" si="5"/>
        <v>B</v>
      </c>
      <c r="I21" s="196" t="s">
        <v>231</v>
      </c>
      <c r="J21" s="197">
        <f>НОЯБРЬ!R19</f>
        <v>0</v>
      </c>
      <c r="K21" s="198">
        <f t="shared" si="6"/>
        <v>0</v>
      </c>
      <c r="L21" s="198">
        <f t="shared" si="3"/>
        <v>0.94117647058823517</v>
      </c>
      <c r="M21" s="199" t="str">
        <f t="shared" si="8"/>
        <v>B</v>
      </c>
      <c r="P21" s="204"/>
      <c r="Q21" s="198"/>
    </row>
    <row r="22" spans="2:17" ht="15" outlineLevel="1" thickBot="1">
      <c r="B22" s="196" t="s">
        <v>231</v>
      </c>
      <c r="C22" s="197">
        <f>НОЯБРЬ!AE19</f>
        <v>-1370.17959</v>
      </c>
      <c r="D22" s="198">
        <f t="shared" si="4"/>
        <v>0.25729118907753146</v>
      </c>
      <c r="E22" s="198">
        <f t="shared" si="2"/>
        <v>-1.0180654959905562</v>
      </c>
      <c r="F22" s="199" t="str">
        <f t="shared" si="7"/>
        <v>C</v>
      </c>
      <c r="G22" s="199" t="str">
        <f t="shared" si="5"/>
        <v>B</v>
      </c>
      <c r="I22" s="196" t="s">
        <v>111</v>
      </c>
      <c r="J22" s="197">
        <f>НОЯБРЬ!R20</f>
        <v>0</v>
      </c>
      <c r="K22" s="198">
        <f t="shared" si="6"/>
        <v>0</v>
      </c>
      <c r="L22" s="198">
        <f t="shared" si="3"/>
        <v>0.94117647058823517</v>
      </c>
      <c r="M22" s="199" t="str">
        <f t="shared" si="8"/>
        <v>B</v>
      </c>
      <c r="P22" s="204"/>
      <c r="Q22" s="198"/>
    </row>
    <row r="23" spans="2:17" ht="15" outlineLevel="1" thickBot="1">
      <c r="B23" s="196" t="s">
        <v>1054</v>
      </c>
      <c r="C23" s="197">
        <f>НОЯБРЬ!AE8</f>
        <v>-2269.4517700000001</v>
      </c>
      <c r="D23" s="198">
        <f t="shared" si="4"/>
        <v>0.42615577455609921</v>
      </c>
      <c r="E23" s="198">
        <f t="shared" si="2"/>
        <v>-0.59190972143445697</v>
      </c>
      <c r="F23" s="199" t="str">
        <f t="shared" si="7"/>
        <v>C</v>
      </c>
      <c r="G23" s="199" t="str">
        <f t="shared" si="5"/>
        <v>B</v>
      </c>
      <c r="I23" s="196" t="s">
        <v>232</v>
      </c>
      <c r="J23" s="197">
        <f>НОЯБРЬ!R21</f>
        <v>0</v>
      </c>
      <c r="K23" s="198">
        <f t="shared" si="6"/>
        <v>0</v>
      </c>
      <c r="L23" s="198">
        <f t="shared" si="3"/>
        <v>0.94117647058823517</v>
      </c>
      <c r="M23" s="199" t="str">
        <f t="shared" si="8"/>
        <v>B</v>
      </c>
      <c r="P23" s="204"/>
      <c r="Q23" s="198"/>
    </row>
    <row r="24" spans="2:17" ht="26.5" outlineLevel="1" thickBot="1">
      <c r="B24" s="196" t="s">
        <v>228</v>
      </c>
      <c r="C24" s="197">
        <f>НОЯБРЬ!AE15</f>
        <v>-3808.2064030000006</v>
      </c>
      <c r="D24" s="198">
        <f t="shared" si="4"/>
        <v>0.71510184564969259</v>
      </c>
      <c r="E24" s="198">
        <f t="shared" si="2"/>
        <v>0.12319212421523562</v>
      </c>
      <c r="F24" s="199" t="str">
        <f t="shared" si="7"/>
        <v>A</v>
      </c>
      <c r="G24" s="199" t="str">
        <f t="shared" si="5"/>
        <v>B</v>
      </c>
      <c r="I24" s="196" t="s">
        <v>233</v>
      </c>
      <c r="J24" s="197">
        <f>НОЯБРЬ!R23</f>
        <v>0</v>
      </c>
      <c r="K24" s="198">
        <f t="shared" si="6"/>
        <v>0</v>
      </c>
      <c r="L24" s="198">
        <f t="shared" si="3"/>
        <v>0.94117647058823517</v>
      </c>
      <c r="M24" s="199" t="str">
        <f t="shared" si="8"/>
        <v>B</v>
      </c>
      <c r="P24" s="204"/>
      <c r="Q24" s="198"/>
    </row>
    <row r="25" spans="2:17" ht="15" outlineLevel="1" thickBot="1">
      <c r="B25" s="196" t="s">
        <v>1055</v>
      </c>
      <c r="C25" s="197">
        <f>НОЯБРЬ!AE9</f>
        <v>-4669.3563820000008</v>
      </c>
      <c r="D25" s="198">
        <f t="shared" si="4"/>
        <v>0.87680787578476505</v>
      </c>
      <c r="E25" s="198">
        <f t="shared" si="2"/>
        <v>1.0000000000000007</v>
      </c>
      <c r="F25" s="199" t="str">
        <f t="shared" si="7"/>
        <v>C</v>
      </c>
      <c r="G25" s="199" t="str">
        <f t="shared" si="5"/>
        <v>B</v>
      </c>
      <c r="I25" s="196" t="s">
        <v>234</v>
      </c>
      <c r="J25" s="197">
        <f>НОЯБРЬ!R24</f>
        <v>0</v>
      </c>
      <c r="K25" s="198">
        <f t="shared" si="6"/>
        <v>0</v>
      </c>
      <c r="L25" s="198">
        <f t="shared" si="3"/>
        <v>0.94117647058823517</v>
      </c>
      <c r="M25" s="199" t="str">
        <f t="shared" si="8"/>
        <v>B</v>
      </c>
      <c r="P25" s="204"/>
      <c r="Q25" s="198"/>
    </row>
    <row r="26" spans="2:17" outlineLevel="1">
      <c r="C26" s="205">
        <f>SUM(C4:C25)</f>
        <v>-5325.4042429999954</v>
      </c>
      <c r="D26" s="206">
        <f>SUM(D4:D25)</f>
        <v>1.0000000000000007</v>
      </c>
      <c r="J26" s="205">
        <f>SUM(J4:J25)</f>
        <v>102</v>
      </c>
      <c r="K26" s="206">
        <f>SUM(K4:K25)</f>
        <v>0.99999999999999989</v>
      </c>
    </row>
    <row r="27" spans="2:17" ht="15" thickBot="1"/>
    <row r="28" spans="2:17" ht="15" thickBot="1">
      <c r="B28" s="516" t="s">
        <v>304</v>
      </c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8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15" thickBot="1">
      <c r="B30" s="196" t="s">
        <v>236</v>
      </c>
      <c r="C30" s="197">
        <f>НОЯБРЬ!AE33</f>
        <v>2131.12</v>
      </c>
      <c r="D30" s="198">
        <f>C30/C$50</f>
        <v>-0.32807405634799996</v>
      </c>
      <c r="E30" s="198">
        <f>D30</f>
        <v>-0.32807405634799996</v>
      </c>
      <c r="F30" s="199" t="str">
        <f t="shared" ref="F30:F36" si="9">IF(AND(E30&lt;=0),"C",IF(E30&lt;=0.8,"A",IF(E30&lt;=0.95,"B","C")))</f>
        <v>C</v>
      </c>
      <c r="G30" s="199" t="str">
        <f>VLOOKUP(B$30:B$50,I$30:M$50,5,0)</f>
        <v>A</v>
      </c>
      <c r="I30" s="196" t="s">
        <v>239</v>
      </c>
      <c r="J30" s="197">
        <f>НОЯБРЬ!R38</f>
        <v>3</v>
      </c>
      <c r="K30" s="198">
        <f>J30/J$50</f>
        <v>0.23076923076923078</v>
      </c>
      <c r="L30" s="198">
        <f>K30</f>
        <v>0.23076923076923078</v>
      </c>
      <c r="M30" s="199" t="str">
        <f t="shared" ref="M30:M36" si="10">_xlfn.IFS(L30&lt;80%,"A",L30&lt;=95%,"B",L30&gt;95%,"C")</f>
        <v>A</v>
      </c>
    </row>
    <row r="31" spans="2:17" ht="26.5" thickBot="1">
      <c r="B31" s="196" t="s">
        <v>237</v>
      </c>
      <c r="C31" s="197">
        <f>НОЯБРЬ!AE34</f>
        <v>1723.84</v>
      </c>
      <c r="D31" s="198">
        <f t="shared" ref="D31:D49" si="11">C31/C$50</f>
        <v>-0.26537556838419996</v>
      </c>
      <c r="E31" s="198">
        <f>D31+E30</f>
        <v>-0.59344962473219987</v>
      </c>
      <c r="F31" s="199" t="str">
        <f t="shared" si="9"/>
        <v>C</v>
      </c>
      <c r="G31" s="199" t="str">
        <f t="shared" ref="G31:G49" si="12">VLOOKUP(B$30:B$50,I$30:M$50,5,0)</f>
        <v>B</v>
      </c>
      <c r="I31" s="196" t="s">
        <v>240</v>
      </c>
      <c r="J31" s="197">
        <f>НОЯБРЬ!R39</f>
        <v>3</v>
      </c>
      <c r="K31" s="198">
        <f t="shared" ref="K31:K49" si="13">J31/J$50</f>
        <v>0.23076923076923078</v>
      </c>
      <c r="L31" s="198">
        <f>K31+L30</f>
        <v>0.46153846153846156</v>
      </c>
      <c r="M31" s="199" t="str">
        <f t="shared" si="10"/>
        <v>A</v>
      </c>
    </row>
    <row r="32" spans="2:17" ht="26.5" thickBot="1">
      <c r="B32" s="196" t="s">
        <v>235</v>
      </c>
      <c r="C32" s="197">
        <f>НОЯБРЬ!AE30</f>
        <v>1492.08</v>
      </c>
      <c r="D32" s="198">
        <f t="shared" si="11"/>
        <v>-0.2296974069952531</v>
      </c>
      <c r="E32" s="198">
        <f t="shared" ref="E32:E49" si="14">D32+E31</f>
        <v>-0.82314703172745296</v>
      </c>
      <c r="F32" s="199" t="str">
        <f t="shared" si="9"/>
        <v>C</v>
      </c>
      <c r="G32" s="199" t="str">
        <f t="shared" si="12"/>
        <v>B</v>
      </c>
      <c r="I32" s="196" t="s">
        <v>236</v>
      </c>
      <c r="J32" s="197">
        <f>НОЯБРЬ!R33</f>
        <v>2</v>
      </c>
      <c r="K32" s="198">
        <f t="shared" si="13"/>
        <v>0.15384615384615385</v>
      </c>
      <c r="L32" s="198">
        <f t="shared" ref="L32:L49" si="15">K32+L31</f>
        <v>0.61538461538461542</v>
      </c>
      <c r="M32" s="199" t="str">
        <f t="shared" si="10"/>
        <v>A</v>
      </c>
    </row>
    <row r="33" spans="2:13" ht="26.5" thickBot="1">
      <c r="B33" s="196" t="s">
        <v>239</v>
      </c>
      <c r="C33" s="197">
        <f>НОЯБРЬ!AE38</f>
        <v>1367.0849450000001</v>
      </c>
      <c r="D33" s="198">
        <f t="shared" si="11"/>
        <v>-0.21045511434289596</v>
      </c>
      <c r="E33" s="198">
        <f t="shared" si="14"/>
        <v>-1.0336021460703488</v>
      </c>
      <c r="F33" s="199" t="str">
        <f t="shared" si="9"/>
        <v>C</v>
      </c>
      <c r="G33" s="199" t="str">
        <f t="shared" si="12"/>
        <v>A</v>
      </c>
      <c r="I33" s="196" t="s">
        <v>70</v>
      </c>
      <c r="J33" s="197">
        <f>НОЯБРЬ!R45</f>
        <v>2</v>
      </c>
      <c r="K33" s="198">
        <f t="shared" si="13"/>
        <v>0.15384615384615385</v>
      </c>
      <c r="L33" s="198">
        <f t="shared" si="15"/>
        <v>0.76923076923076927</v>
      </c>
      <c r="M33" s="199" t="str">
        <f t="shared" si="10"/>
        <v>A</v>
      </c>
    </row>
    <row r="34" spans="2:13" ht="26.5" thickBot="1">
      <c r="B34" s="196" t="s">
        <v>39</v>
      </c>
      <c r="C34" s="197">
        <f>НОЯБРЬ!AE32</f>
        <v>0</v>
      </c>
      <c r="D34" s="198">
        <f t="shared" si="11"/>
        <v>0</v>
      </c>
      <c r="E34" s="198">
        <f t="shared" si="14"/>
        <v>-1.0336021460703488</v>
      </c>
      <c r="F34" s="199" t="str">
        <f t="shared" si="9"/>
        <v>C</v>
      </c>
      <c r="G34" s="199" t="str">
        <f t="shared" si="12"/>
        <v>C</v>
      </c>
      <c r="I34" s="196" t="s">
        <v>235</v>
      </c>
      <c r="J34" s="197">
        <f>НОЯБРЬ!R30</f>
        <v>1</v>
      </c>
      <c r="K34" s="198">
        <f t="shared" si="13"/>
        <v>7.6923076923076927E-2</v>
      </c>
      <c r="L34" s="198">
        <f t="shared" si="15"/>
        <v>0.84615384615384626</v>
      </c>
      <c r="M34" s="199" t="str">
        <f t="shared" si="10"/>
        <v>B</v>
      </c>
    </row>
    <row r="35" spans="2:13" ht="15" thickBot="1">
      <c r="B35" s="196" t="s">
        <v>142</v>
      </c>
      <c r="C35" s="197">
        <f>НОЯБРЬ!AE35</f>
        <v>0</v>
      </c>
      <c r="D35" s="198">
        <f t="shared" si="11"/>
        <v>0</v>
      </c>
      <c r="E35" s="198">
        <f t="shared" si="14"/>
        <v>-1.0336021460703488</v>
      </c>
      <c r="F35" s="199" t="str">
        <f t="shared" si="9"/>
        <v>C</v>
      </c>
      <c r="G35" s="199" t="str">
        <f t="shared" si="12"/>
        <v>C</v>
      </c>
      <c r="I35" s="196" t="s">
        <v>237</v>
      </c>
      <c r="J35" s="197">
        <f>НОЯБРЬ!R34</f>
        <v>1</v>
      </c>
      <c r="K35" s="198">
        <f t="shared" si="13"/>
        <v>7.6923076923076927E-2</v>
      </c>
      <c r="L35" s="198">
        <f t="shared" si="15"/>
        <v>0.92307692307692313</v>
      </c>
      <c r="M35" s="199" t="str">
        <f t="shared" si="10"/>
        <v>B</v>
      </c>
    </row>
    <row r="36" spans="2:13" ht="26.5" thickBot="1">
      <c r="B36" s="196" t="s">
        <v>66</v>
      </c>
      <c r="C36" s="197">
        <f>НОЯБРЬ!AE46</f>
        <v>0</v>
      </c>
      <c r="D36" s="198">
        <f t="shared" si="11"/>
        <v>0</v>
      </c>
      <c r="E36" s="198">
        <f t="shared" si="14"/>
        <v>-1.0336021460703488</v>
      </c>
      <c r="F36" s="199" t="str">
        <f t="shared" si="9"/>
        <v>C</v>
      </c>
      <c r="G36" s="199" t="str">
        <f t="shared" si="12"/>
        <v>C</v>
      </c>
      <c r="I36" s="196" t="s">
        <v>51</v>
      </c>
      <c r="J36" s="197">
        <f>НОЯБРЬ!R44</f>
        <v>1</v>
      </c>
      <c r="K36" s="198">
        <f t="shared" si="13"/>
        <v>7.6923076923076927E-2</v>
      </c>
      <c r="L36" s="198">
        <f t="shared" si="15"/>
        <v>1</v>
      </c>
      <c r="M36" s="199" t="str">
        <f t="shared" si="10"/>
        <v>C</v>
      </c>
    </row>
    <row r="37" spans="2:13" ht="26.5" thickBot="1">
      <c r="B37" s="196" t="s">
        <v>771</v>
      </c>
      <c r="C37" s="197">
        <f>НОЯБРЬ!AE43</f>
        <v>-112</v>
      </c>
      <c r="D37" s="198">
        <f t="shared" si="11"/>
        <v>1.7241776301182475E-2</v>
      </c>
      <c r="E37" s="198">
        <f t="shared" si="14"/>
        <v>-1.0163603697691663</v>
      </c>
      <c r="F37" s="199" t="str">
        <f>IF(AND(E37&lt;=0),"C",IF(E37&lt;=0.8,"A",IF(E37&lt;=0.95,"B","C")))</f>
        <v>C</v>
      </c>
      <c r="G37" s="199" t="str">
        <f t="shared" si="12"/>
        <v>C</v>
      </c>
      <c r="I37" s="196" t="s">
        <v>98</v>
      </c>
      <c r="J37" s="197">
        <f>НОЯБРЬ!R28</f>
        <v>0</v>
      </c>
      <c r="K37" s="198">
        <f t="shared" si="13"/>
        <v>0</v>
      </c>
      <c r="L37" s="198">
        <f t="shared" si="15"/>
        <v>1</v>
      </c>
      <c r="M37" s="199" t="str">
        <f>_xlfn.IFS(L37&lt;80%,"A",L37&lt;=95%,"B",L37&gt;95%,"C")</f>
        <v>C</v>
      </c>
    </row>
    <row r="38" spans="2:13" ht="26.5" thickBot="1">
      <c r="B38" s="196" t="s">
        <v>171</v>
      </c>
      <c r="C38" s="197">
        <f>НОЯБРЬ!AE31</f>
        <v>-224</v>
      </c>
      <c r="D38" s="198">
        <f t="shared" si="11"/>
        <v>3.448355260236495E-2</v>
      </c>
      <c r="E38" s="198">
        <f t="shared" si="14"/>
        <v>-0.98187681716680142</v>
      </c>
      <c r="F38" s="199" t="str">
        <f t="shared" ref="F38:F49" si="16">IF(AND(E38&lt;=0),"C",IF(E38&lt;=0.8,"A",IF(E38&lt;=0.95,"B","C")))</f>
        <v>C</v>
      </c>
      <c r="G38" s="199" t="str">
        <f t="shared" si="12"/>
        <v>C</v>
      </c>
      <c r="I38" s="196" t="s">
        <v>43</v>
      </c>
      <c r="J38" s="197">
        <f>НОЯБРЬ!R29</f>
        <v>0</v>
      </c>
      <c r="K38" s="198">
        <f t="shared" si="13"/>
        <v>0</v>
      </c>
      <c r="L38" s="198">
        <f t="shared" si="15"/>
        <v>1</v>
      </c>
      <c r="M38" s="199" t="str">
        <f t="shared" ref="M38:M49" si="17">_xlfn.IFS(L38&lt;80%,"A",L38&lt;=95%,"B",L38&gt;95%,"C")</f>
        <v>C</v>
      </c>
    </row>
    <row r="39" spans="2:13" ht="15" thickBot="1">
      <c r="B39" s="196" t="s">
        <v>241</v>
      </c>
      <c r="C39" s="197">
        <f>НОЯБРЬ!AE40</f>
        <v>-224</v>
      </c>
      <c r="D39" s="198">
        <f t="shared" si="11"/>
        <v>3.448355260236495E-2</v>
      </c>
      <c r="E39" s="198">
        <f t="shared" si="14"/>
        <v>-0.94739326456443651</v>
      </c>
      <c r="F39" s="199" t="str">
        <f t="shared" si="16"/>
        <v>C</v>
      </c>
      <c r="G39" s="199" t="str">
        <f t="shared" si="12"/>
        <v>C</v>
      </c>
      <c r="I39" s="196" t="s">
        <v>171</v>
      </c>
      <c r="J39" s="197">
        <f>НОЯБРЬ!R31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26.5" thickBot="1">
      <c r="B40" s="196" t="s">
        <v>242</v>
      </c>
      <c r="C40" s="197">
        <f>НОЯБРЬ!AE41</f>
        <v>-224</v>
      </c>
      <c r="D40" s="198">
        <f t="shared" si="11"/>
        <v>3.448355260236495E-2</v>
      </c>
      <c r="E40" s="198">
        <f t="shared" si="14"/>
        <v>-0.9129097119620716</v>
      </c>
      <c r="F40" s="199" t="str">
        <f t="shared" si="16"/>
        <v>C</v>
      </c>
      <c r="G40" s="199" t="str">
        <f t="shared" si="12"/>
        <v>C</v>
      </c>
      <c r="I40" s="196" t="s">
        <v>39</v>
      </c>
      <c r="J40" s="197">
        <f>НОЯБРЬ!R32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26.5" thickBot="1">
      <c r="B41" s="196" t="s">
        <v>51</v>
      </c>
      <c r="C41" s="197">
        <f>НОЯБРЬ!AE44</f>
        <v>-257.33840099999998</v>
      </c>
      <c r="D41" s="198">
        <f t="shared" si="11"/>
        <v>3.9615813783446356E-2</v>
      </c>
      <c r="E41" s="198">
        <f t="shared" si="14"/>
        <v>-0.87329389817862524</v>
      </c>
      <c r="F41" s="199" t="str">
        <f t="shared" si="16"/>
        <v>C</v>
      </c>
      <c r="G41" s="199" t="str">
        <f t="shared" si="12"/>
        <v>C</v>
      </c>
      <c r="I41" s="196" t="s">
        <v>142</v>
      </c>
      <c r="J41" s="197">
        <f>НОЯБРЬ!R35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15" thickBot="1">
      <c r="B42" s="196" t="s">
        <v>62</v>
      </c>
      <c r="C42" s="197">
        <f>НОЯБРЬ!AE37</f>
        <v>-560</v>
      </c>
      <c r="D42" s="198">
        <f t="shared" si="11"/>
        <v>8.6208881505912383E-2</v>
      </c>
      <c r="E42" s="198">
        <f t="shared" si="14"/>
        <v>-0.7870850166727128</v>
      </c>
      <c r="F42" s="199" t="str">
        <f t="shared" si="16"/>
        <v>C</v>
      </c>
      <c r="G42" s="199" t="str">
        <f t="shared" si="12"/>
        <v>C</v>
      </c>
      <c r="I42" s="196" t="s">
        <v>238</v>
      </c>
      <c r="J42" s="197">
        <f>НОЯБРЬ!R36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26.5" thickBot="1">
      <c r="B43" s="196" t="s">
        <v>243</v>
      </c>
      <c r="C43" s="197">
        <f>НОЯБРЬ!AE42</f>
        <v>-976.42566599999998</v>
      </c>
      <c r="D43" s="198">
        <f t="shared" si="11"/>
        <v>0.15031529382058137</v>
      </c>
      <c r="E43" s="198">
        <f t="shared" si="14"/>
        <v>-0.6367697228521314</v>
      </c>
      <c r="F43" s="199" t="str">
        <f t="shared" si="16"/>
        <v>C</v>
      </c>
      <c r="G43" s="199" t="str">
        <f t="shared" si="12"/>
        <v>C</v>
      </c>
      <c r="I43" s="196" t="s">
        <v>62</v>
      </c>
      <c r="J43" s="197">
        <f>НОЯБРЬ!R37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240</v>
      </c>
      <c r="C44" s="197">
        <f>НОЯБРЬ!AE39</f>
        <v>-233.92466699999932</v>
      </c>
      <c r="D44" s="198">
        <f t="shared" si="11"/>
        <v>3.601139981913027E-2</v>
      </c>
      <c r="E44" s="198">
        <f t="shared" si="14"/>
        <v>-0.60075832303300114</v>
      </c>
      <c r="F44" s="199" t="str">
        <f t="shared" si="16"/>
        <v>C</v>
      </c>
      <c r="G44" s="199" t="str">
        <f t="shared" si="12"/>
        <v>A</v>
      </c>
      <c r="I44" s="196" t="s">
        <v>241</v>
      </c>
      <c r="J44" s="197">
        <f>НОЯБРЬ!R40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245</v>
      </c>
      <c r="C45" s="197">
        <f>НОЯБРЬ!AE47</f>
        <v>-1150</v>
      </c>
      <c r="D45" s="198">
        <f t="shared" si="11"/>
        <v>0.17703609594964148</v>
      </c>
      <c r="E45" s="198">
        <f t="shared" si="14"/>
        <v>-0.42372222708335966</v>
      </c>
      <c r="F45" s="199" t="str">
        <f t="shared" si="16"/>
        <v>C</v>
      </c>
      <c r="G45" s="199" t="str">
        <f t="shared" si="12"/>
        <v>C</v>
      </c>
      <c r="I45" s="196" t="s">
        <v>242</v>
      </c>
      <c r="J45" s="197">
        <f>НОЯБРЬ!R41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238</v>
      </c>
      <c r="C46" s="197">
        <f>НОЯБРЬ!AE36</f>
        <v>-1709.0556700000002</v>
      </c>
      <c r="D46" s="198">
        <f t="shared" si="11"/>
        <v>0.26309960311078162</v>
      </c>
      <c r="E46" s="198">
        <f t="shared" si="14"/>
        <v>-0.16062262397257804</v>
      </c>
      <c r="F46" s="199" t="str">
        <f t="shared" si="16"/>
        <v>C</v>
      </c>
      <c r="G46" s="199" t="str">
        <f t="shared" si="12"/>
        <v>C</v>
      </c>
      <c r="I46" s="196" t="s">
        <v>243</v>
      </c>
      <c r="J46" s="197">
        <f>НОЯБРЬ!R42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70</v>
      </c>
      <c r="C47" s="197">
        <f>НОЯБРЬ!AE45</f>
        <v>-2051.6038160000007</v>
      </c>
      <c r="D47" s="198">
        <f t="shared" si="11"/>
        <v>0.3158329826261102</v>
      </c>
      <c r="E47" s="198">
        <f t="shared" si="14"/>
        <v>0.15521035865353217</v>
      </c>
      <c r="F47" s="199" t="str">
        <f t="shared" si="16"/>
        <v>A</v>
      </c>
      <c r="G47" s="199" t="str">
        <f t="shared" si="12"/>
        <v>A</v>
      </c>
      <c r="I47" s="196" t="s">
        <v>771</v>
      </c>
      <c r="J47" s="197">
        <f>НОЯБРЬ!R43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 ht="26.5" thickBot="1">
      <c r="B48" s="196" t="s">
        <v>98</v>
      </c>
      <c r="C48" s="197">
        <f>НОЯБРЬ!AE28</f>
        <v>-2614.6171469999999</v>
      </c>
      <c r="D48" s="198">
        <f t="shared" si="11"/>
        <v>0.40250574965901731</v>
      </c>
      <c r="E48" s="198">
        <f t="shared" si="14"/>
        <v>0.55771610831254947</v>
      </c>
      <c r="F48" s="199" t="str">
        <f t="shared" si="16"/>
        <v>A</v>
      </c>
      <c r="G48" s="199" t="str">
        <f t="shared" si="12"/>
        <v>C</v>
      </c>
      <c r="I48" s="196" t="s">
        <v>66</v>
      </c>
      <c r="J48" s="197">
        <f>НОЯБРЬ!R46</f>
        <v>0</v>
      </c>
      <c r="K48" s="198">
        <f t="shared" si="13"/>
        <v>0</v>
      </c>
      <c r="L48" s="198">
        <f t="shared" si="15"/>
        <v>1</v>
      </c>
      <c r="M48" s="199" t="str">
        <f t="shared" si="17"/>
        <v>C</v>
      </c>
    </row>
    <row r="49" spans="2:13" ht="26.5" thickBot="1">
      <c r="B49" s="196" t="s">
        <v>43</v>
      </c>
      <c r="C49" s="197">
        <f>НОЯБРЬ!AE29</f>
        <v>-2873.0100079999997</v>
      </c>
      <c r="D49" s="198">
        <f t="shared" si="11"/>
        <v>0.44228389168745064</v>
      </c>
      <c r="E49" s="198">
        <f t="shared" si="14"/>
        <v>1</v>
      </c>
      <c r="F49" s="199" t="str">
        <f t="shared" si="16"/>
        <v>C</v>
      </c>
      <c r="G49" s="199" t="str">
        <f t="shared" si="12"/>
        <v>C</v>
      </c>
      <c r="I49" s="196" t="s">
        <v>245</v>
      </c>
      <c r="J49" s="197">
        <f>НОЯБРЬ!R47</f>
        <v>0</v>
      </c>
      <c r="K49" s="198">
        <f t="shared" si="13"/>
        <v>0</v>
      </c>
      <c r="L49" s="198">
        <f t="shared" si="15"/>
        <v>1</v>
      </c>
      <c r="M49" s="199" t="str">
        <f t="shared" si="17"/>
        <v>C</v>
      </c>
    </row>
    <row r="50" spans="2:13">
      <c r="C50" s="205">
        <f>SUM(C30:C49)</f>
        <v>-6495.8504300000004</v>
      </c>
      <c r="D50" s="206">
        <f>SUM(D30:D49)</f>
        <v>1</v>
      </c>
      <c r="J50" s="205">
        <f>SUM(J30:J49)</f>
        <v>13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54" priority="4" operator="equal">
      <formula>"C"</formula>
    </cfRule>
    <cfRule type="cellIs" dxfId="353" priority="5" operator="equal">
      <formula>"B"</formula>
    </cfRule>
    <cfRule type="cellIs" dxfId="352" priority="6" operator="equal">
      <formula>"A"</formula>
    </cfRule>
  </conditionalFormatting>
  <conditionalFormatting sqref="M30:M49 D30:D49 K30:K49 F30:G49">
    <cfRule type="cellIs" dxfId="351" priority="1" operator="equal">
      <formula>"C"</formula>
    </cfRule>
    <cfRule type="cellIs" dxfId="350" priority="2" operator="equal">
      <formula>"B"</formula>
    </cfRule>
    <cfRule type="cellIs" dxfId="349" priority="3" operator="equal">
      <formula>"A"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7A1E-CE87-4141-9F8F-E0D492EE42D5}">
  <dimension ref="B1:Q50"/>
  <sheetViews>
    <sheetView workbookViewId="0">
      <selection activeCell="L6" sqref="L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'Юнит 24-30.11'!AE3</f>
        <v>446.2721569999967</v>
      </c>
      <c r="D4" s="198">
        <f>C4/C$26</f>
        <v>-0.20435622063066516</v>
      </c>
      <c r="E4" s="198">
        <f>D4</f>
        <v>-0.20435622063066516</v>
      </c>
      <c r="F4" s="199" t="str">
        <f t="shared" ref="F4:F12" si="0">IF(AND(E4&lt;=0),"C",IF(E4&lt;=0.8,"A",IF(E4&lt;=0.95,"B","C")))</f>
        <v>C</v>
      </c>
      <c r="G4" s="199" t="str">
        <f>VLOOKUP(B$4:B$25,I$4:M$25,5,0)</f>
        <v>A</v>
      </c>
      <c r="I4" s="196" t="s">
        <v>25</v>
      </c>
      <c r="J4" s="197">
        <f>'Юнит 24-30.11'!R3</f>
        <v>14</v>
      </c>
      <c r="K4" s="198">
        <f>J4/J$26</f>
        <v>0.4375</v>
      </c>
      <c r="L4" s="198">
        <f>K4</f>
        <v>0.4375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92</v>
      </c>
      <c r="C5" s="197">
        <f>'Юнит 24-30.11'!AE4</f>
        <v>0</v>
      </c>
      <c r="D5" s="198">
        <f>C5/C$26</f>
        <v>0</v>
      </c>
      <c r="E5" s="198">
        <f>D5+E4</f>
        <v>-0.20435622063066516</v>
      </c>
      <c r="F5" s="199" t="str">
        <f t="shared" si="0"/>
        <v>C</v>
      </c>
      <c r="G5" s="199" t="str">
        <f>VLOOKUP(B$4:B$25,I$4:M$25,5,0)</f>
        <v>C</v>
      </c>
      <c r="I5" s="196" t="s">
        <v>223</v>
      </c>
      <c r="J5" s="197">
        <f>'Юнит 24-30.11'!R6</f>
        <v>14</v>
      </c>
      <c r="K5" s="198">
        <f>J5/J$26</f>
        <v>0.4375</v>
      </c>
      <c r="L5" s="198">
        <f>K5+L4</f>
        <v>0.875</v>
      </c>
      <c r="M5" s="199" t="str">
        <f t="shared" si="1"/>
        <v>B</v>
      </c>
    </row>
    <row r="6" spans="2:17" ht="28.5" customHeight="1" outlineLevel="1" thickBot="1">
      <c r="B6" s="196" t="s">
        <v>54</v>
      </c>
      <c r="C6" s="197">
        <f>'Юнит 24-30.11'!AE7</f>
        <v>0</v>
      </c>
      <c r="D6" s="198">
        <f>C6/C$26</f>
        <v>0</v>
      </c>
      <c r="E6" s="198">
        <f t="shared" ref="E6:E25" si="2">D6+E5</f>
        <v>-0.20435622063066516</v>
      </c>
      <c r="F6" s="199" t="str">
        <f t="shared" si="0"/>
        <v>C</v>
      </c>
      <c r="G6" s="199" t="str">
        <f>VLOOKUP(B$4:B$25,I$4:M$25,5,0)</f>
        <v>C</v>
      </c>
      <c r="I6" s="196" t="s">
        <v>1055</v>
      </c>
      <c r="J6" s="197">
        <f>'Юнит 24-30.11'!R9</f>
        <v>3</v>
      </c>
      <c r="K6" s="198">
        <f>J6/J$26</f>
        <v>9.375E-2</v>
      </c>
      <c r="L6" s="198">
        <f t="shared" ref="L6:L25" si="3">K6+L5</f>
        <v>0.96875</v>
      </c>
      <c r="M6" s="199" t="str">
        <f t="shared" si="1"/>
        <v>C</v>
      </c>
    </row>
    <row r="7" spans="2:17" ht="28.5" customHeight="1" outlineLevel="1" thickBot="1">
      <c r="B7" s="196" t="s">
        <v>88</v>
      </c>
      <c r="C7" s="197">
        <f>'Юнит 24-30.11'!AE10</f>
        <v>0</v>
      </c>
      <c r="D7" s="198">
        <f>C7/C$26</f>
        <v>0</v>
      </c>
      <c r="E7" s="198">
        <f t="shared" si="2"/>
        <v>-0.20435622063066516</v>
      </c>
      <c r="F7" s="199" t="str">
        <f t="shared" si="0"/>
        <v>C</v>
      </c>
      <c r="G7" s="199" t="str">
        <f>VLOOKUP(B$4:B$25,I$4:M$25,5,0)</f>
        <v>C</v>
      </c>
      <c r="I7" s="196" t="s">
        <v>19</v>
      </c>
      <c r="J7" s="197">
        <f>'Юнит 24-30.11'!R16</f>
        <v>1</v>
      </c>
      <c r="K7" s="198">
        <f>J7/J$26</f>
        <v>3.125E-2</v>
      </c>
      <c r="L7" s="198">
        <f t="shared" si="3"/>
        <v>1</v>
      </c>
      <c r="M7" s="199" t="str">
        <f t="shared" si="1"/>
        <v>C</v>
      </c>
    </row>
    <row r="8" spans="2:17" ht="28.5" customHeight="1" outlineLevel="1" thickBot="1">
      <c r="B8" s="196" t="s">
        <v>224</v>
      </c>
      <c r="C8" s="197">
        <f>'Юнит 24-30.11'!AE11</f>
        <v>0</v>
      </c>
      <c r="D8" s="198">
        <f>C8/C$26</f>
        <v>0</v>
      </c>
      <c r="E8" s="198">
        <f t="shared" si="2"/>
        <v>-0.20435622063066516</v>
      </c>
      <c r="F8" s="199" t="str">
        <f t="shared" si="0"/>
        <v>C</v>
      </c>
      <c r="G8" s="199" t="str">
        <f>VLOOKUP(B$4:B$25,I$4:M$25,5,0)</f>
        <v>C</v>
      </c>
      <c r="I8" s="196" t="s">
        <v>222</v>
      </c>
      <c r="J8" s="197">
        <f>'Юнит 24-30.11'!R5</f>
        <v>0</v>
      </c>
      <c r="K8" s="198">
        <f>J8/J$26</f>
        <v>0</v>
      </c>
      <c r="L8" s="198">
        <f t="shared" si="3"/>
        <v>1</v>
      </c>
      <c r="M8" s="199" t="str">
        <f t="shared" si="1"/>
        <v>C</v>
      </c>
    </row>
    <row r="9" spans="2:17" ht="28.5" customHeight="1" outlineLevel="1" thickBot="1">
      <c r="B9" s="196" t="s">
        <v>225</v>
      </c>
      <c r="C9" s="197">
        <f>'Юнит 24-30.11'!AE12</f>
        <v>0</v>
      </c>
      <c r="D9" s="198">
        <f t="shared" ref="D9:D10" si="4">C9/C$26</f>
        <v>0</v>
      </c>
      <c r="E9" s="198">
        <f t="shared" ref="E9:E10" si="5">D9+E8</f>
        <v>-0.20435622063066516</v>
      </c>
      <c r="F9" s="199" t="str">
        <f t="shared" ref="F9:F10" si="6">IF(AND(E9&lt;=0),"C",IF(E9&lt;=0.8,"A",IF(E9&lt;=0.95,"B","C")))</f>
        <v>C</v>
      </c>
      <c r="G9" s="199" t="str">
        <f t="shared" ref="G9:G10" si="7">VLOOKUP(B$4:B$25,I$4:M$25,5,0)</f>
        <v>C</v>
      </c>
      <c r="I9" s="196" t="s">
        <v>226</v>
      </c>
      <c r="J9" s="197">
        <f>'Юнит 24-30.11'!R13</f>
        <v>0</v>
      </c>
      <c r="K9" s="198">
        <f t="shared" ref="K9:K10" si="8">J9/J$26</f>
        <v>0</v>
      </c>
      <c r="L9" s="198">
        <f t="shared" ref="L9:L10" si="9">K9+L8</f>
        <v>1</v>
      </c>
      <c r="M9" s="199" t="str">
        <f t="shared" ref="M9:M10" si="10">_xlfn.IFS(L9&lt;80%,"A",L9&lt;=95%,"B",L9&gt;95%,"C")</f>
        <v>C</v>
      </c>
    </row>
    <row r="10" spans="2:17" ht="28.5" customHeight="1" outlineLevel="1" thickBot="1">
      <c r="B10" s="196" t="s">
        <v>227</v>
      </c>
      <c r="C10" s="197">
        <f>'Юнит 24-30.11'!AE14</f>
        <v>0</v>
      </c>
      <c r="D10" s="198">
        <f t="shared" si="4"/>
        <v>0</v>
      </c>
      <c r="E10" s="198">
        <f t="shared" si="5"/>
        <v>-0.20435622063066516</v>
      </c>
      <c r="F10" s="199" t="str">
        <f t="shared" si="6"/>
        <v>C</v>
      </c>
      <c r="G10" s="199" t="str">
        <f t="shared" si="7"/>
        <v>C</v>
      </c>
      <c r="I10" s="196" t="s">
        <v>1054</v>
      </c>
      <c r="J10" s="197">
        <f>'Юнит 24-30.11'!R8</f>
        <v>-1</v>
      </c>
      <c r="K10" s="198">
        <f t="shared" si="8"/>
        <v>-3.125E-2</v>
      </c>
      <c r="L10" s="198">
        <f t="shared" si="9"/>
        <v>0.96875</v>
      </c>
      <c r="M10" s="199" t="str">
        <f t="shared" si="10"/>
        <v>C</v>
      </c>
    </row>
    <row r="11" spans="2:17" ht="28.5" customHeight="1" outlineLevel="1" thickBot="1">
      <c r="B11" s="196" t="s">
        <v>229</v>
      </c>
      <c r="C11" s="197">
        <f>'Юнит 24-30.11'!AE17</f>
        <v>0</v>
      </c>
      <c r="D11" s="198">
        <f t="shared" ref="D11:D25" si="11">C11/C$26</f>
        <v>0</v>
      </c>
      <c r="E11" s="198">
        <f>D11+E8</f>
        <v>-0.20435622063066516</v>
      </c>
      <c r="F11" s="199" t="str">
        <f t="shared" si="0"/>
        <v>C</v>
      </c>
      <c r="G11" s="199" t="str">
        <f t="shared" ref="G11:G25" si="12">VLOOKUP(B$4:B$25,I$4:M$25,5,0)</f>
        <v>C</v>
      </c>
      <c r="I11" s="196" t="s">
        <v>228</v>
      </c>
      <c r="J11" s="197">
        <f>'Юнит 24-30.11'!R15</f>
        <v>1</v>
      </c>
      <c r="K11" s="198">
        <f t="shared" ref="K11:K25" si="13">J11/J$26</f>
        <v>3.125E-2</v>
      </c>
      <c r="L11" s="198">
        <f>K11+L8</f>
        <v>1.03125</v>
      </c>
      <c r="M11" s="199" t="str">
        <f t="shared" si="1"/>
        <v>C</v>
      </c>
    </row>
    <row r="12" spans="2:17" ht="28.5" customHeight="1" outlineLevel="1" thickBot="1">
      <c r="B12" s="196" t="s">
        <v>230</v>
      </c>
      <c r="C12" s="197">
        <f>'Юнит 24-30.11'!AE18</f>
        <v>0</v>
      </c>
      <c r="D12" s="198">
        <f t="shared" si="11"/>
        <v>0</v>
      </c>
      <c r="E12" s="198">
        <f t="shared" si="2"/>
        <v>-0.20435622063066516</v>
      </c>
      <c r="F12" s="199" t="str">
        <f t="shared" si="0"/>
        <v>C</v>
      </c>
      <c r="G12" s="199" t="str">
        <f t="shared" si="12"/>
        <v>C</v>
      </c>
      <c r="I12" s="196" t="s">
        <v>92</v>
      </c>
      <c r="J12" s="197">
        <f>'Юнит 24-30.11'!R4</f>
        <v>0</v>
      </c>
      <c r="K12" s="198">
        <f t="shared" si="13"/>
        <v>0</v>
      </c>
      <c r="L12" s="198">
        <f t="shared" si="3"/>
        <v>1.03125</v>
      </c>
      <c r="M12" s="199" t="str">
        <f t="shared" si="1"/>
        <v>C</v>
      </c>
    </row>
    <row r="13" spans="2:17" ht="15" outlineLevel="1" thickBot="1">
      <c r="B13" s="196" t="s">
        <v>231</v>
      </c>
      <c r="C13" s="197">
        <f>'Юнит 24-30.11'!AE19</f>
        <v>0</v>
      </c>
      <c r="D13" s="198">
        <f t="shared" si="11"/>
        <v>0</v>
      </c>
      <c r="E13" s="198">
        <f t="shared" si="2"/>
        <v>-0.20435622063066516</v>
      </c>
      <c r="F13" s="199" t="str">
        <f>IF(AND(E13&lt;=0),"C",IF(E13&lt;=0.8,"A",IF(E13&lt;=0.95,"B","C")))</f>
        <v>C</v>
      </c>
      <c r="G13" s="199" t="str">
        <f t="shared" si="12"/>
        <v>C</v>
      </c>
      <c r="I13" s="196" t="s">
        <v>54</v>
      </c>
      <c r="J13" s="197">
        <f>'Юнит 24-30.11'!R7</f>
        <v>0</v>
      </c>
      <c r="K13" s="198">
        <f t="shared" si="13"/>
        <v>0</v>
      </c>
      <c r="L13" s="198">
        <f t="shared" si="3"/>
        <v>1.03125</v>
      </c>
      <c r="M13" s="199" t="str">
        <f>_xlfn.IFS(L13&lt;80%,"A",L13&lt;=95%,"B",L13&gt;95%,"C")</f>
        <v>C</v>
      </c>
      <c r="P13" s="200" t="s">
        <v>301</v>
      </c>
      <c r="Q13" s="201">
        <v>0.8</v>
      </c>
    </row>
    <row r="14" spans="2:17" ht="15" outlineLevel="1" thickBot="1">
      <c r="B14" s="196" t="s">
        <v>111</v>
      </c>
      <c r="C14" s="197">
        <f>'Юнит 24-30.11'!AE20</f>
        <v>0</v>
      </c>
      <c r="D14" s="198">
        <f t="shared" si="11"/>
        <v>0</v>
      </c>
      <c r="E14" s="198">
        <f t="shared" si="2"/>
        <v>-0.20435622063066516</v>
      </c>
      <c r="F14" s="199" t="str">
        <f t="shared" ref="F14:F25" si="14">IF(AND(E14&lt;=0),"C",IF(E14&lt;=0.8,"A",IF(E14&lt;=0.95,"B","C")))</f>
        <v>C</v>
      </c>
      <c r="G14" s="199" t="str">
        <f t="shared" si="12"/>
        <v>C</v>
      </c>
      <c r="I14" s="196" t="s">
        <v>88</v>
      </c>
      <c r="J14" s="197">
        <f>'Юнит 24-30.11'!R10</f>
        <v>0</v>
      </c>
      <c r="K14" s="198">
        <f t="shared" si="13"/>
        <v>0</v>
      </c>
      <c r="L14" s="198">
        <f t="shared" si="3"/>
        <v>1.03125</v>
      </c>
      <c r="M14" s="199" t="str">
        <f t="shared" ref="M14:M25" si="15">_xlfn.IFS(L14&lt;80%,"A",L14&lt;=95%,"B",L14&gt;95%,"C")</f>
        <v>C</v>
      </c>
      <c r="P14" s="202" t="s">
        <v>302</v>
      </c>
      <c r="Q14" s="201">
        <v>0.15</v>
      </c>
    </row>
    <row r="15" spans="2:17" ht="15" outlineLevel="1" thickBot="1">
      <c r="B15" s="196" t="s">
        <v>232</v>
      </c>
      <c r="C15" s="197">
        <f>'Юнит 24-30.11'!AE21</f>
        <v>0</v>
      </c>
      <c r="D15" s="198">
        <f t="shared" si="11"/>
        <v>0</v>
      </c>
      <c r="E15" s="198">
        <f t="shared" si="2"/>
        <v>-0.20435622063066516</v>
      </c>
      <c r="F15" s="199" t="str">
        <f t="shared" si="14"/>
        <v>C</v>
      </c>
      <c r="G15" s="199" t="str">
        <f t="shared" si="12"/>
        <v>C</v>
      </c>
      <c r="I15" s="196" t="s">
        <v>224</v>
      </c>
      <c r="J15" s="197">
        <f>'Юнит 24-30.11'!R11</f>
        <v>0</v>
      </c>
      <c r="K15" s="198">
        <f t="shared" si="13"/>
        <v>0</v>
      </c>
      <c r="L15" s="198">
        <f t="shared" si="3"/>
        <v>1.03125</v>
      </c>
      <c r="M15" s="199" t="str">
        <f t="shared" si="15"/>
        <v>C</v>
      </c>
      <c r="P15" s="203" t="s">
        <v>303</v>
      </c>
      <c r="Q15" s="201">
        <v>0.05</v>
      </c>
    </row>
    <row r="16" spans="2:17" ht="15" outlineLevel="1" thickBot="1">
      <c r="B16" s="196" t="s">
        <v>136</v>
      </c>
      <c r="C16" s="197">
        <f>'Юнит 24-30.11'!AE22</f>
        <v>0</v>
      </c>
      <c r="D16" s="198">
        <f t="shared" si="11"/>
        <v>0</v>
      </c>
      <c r="E16" s="198">
        <f t="shared" si="2"/>
        <v>-0.20435622063066516</v>
      </c>
      <c r="F16" s="199" t="str">
        <f t="shared" si="14"/>
        <v>C</v>
      </c>
      <c r="G16" s="199" t="str">
        <f t="shared" si="12"/>
        <v>C</v>
      </c>
      <c r="I16" s="196" t="s">
        <v>225</v>
      </c>
      <c r="J16" s="197">
        <f>'Юнит 24-30.11'!R12</f>
        <v>0</v>
      </c>
      <c r="K16" s="198">
        <f t="shared" si="13"/>
        <v>0</v>
      </c>
      <c r="L16" s="198">
        <f t="shared" si="3"/>
        <v>1.03125</v>
      </c>
      <c r="M16" s="199" t="str">
        <f t="shared" si="15"/>
        <v>C</v>
      </c>
      <c r="P16" s="204"/>
      <c r="Q16" s="198"/>
    </row>
    <row r="17" spans="2:17" ht="15" outlineLevel="1" thickBot="1">
      <c r="B17" s="196" t="s">
        <v>233</v>
      </c>
      <c r="C17" s="197">
        <f>'Юнит 24-30.11'!AE23</f>
        <v>0</v>
      </c>
      <c r="D17" s="198">
        <f t="shared" si="11"/>
        <v>0</v>
      </c>
      <c r="E17" s="198">
        <f t="shared" si="2"/>
        <v>-0.20435622063066516</v>
      </c>
      <c r="F17" s="199" t="str">
        <f t="shared" si="14"/>
        <v>C</v>
      </c>
      <c r="G17" s="199" t="str">
        <f t="shared" si="12"/>
        <v>C</v>
      </c>
      <c r="I17" s="196" t="s">
        <v>227</v>
      </c>
      <c r="J17" s="197">
        <f>'Юнит 24-30.11'!R14</f>
        <v>0</v>
      </c>
      <c r="K17" s="198">
        <f t="shared" si="13"/>
        <v>0</v>
      </c>
      <c r="L17" s="198">
        <f t="shared" si="3"/>
        <v>1.03125</v>
      </c>
      <c r="M17" s="199" t="str">
        <f t="shared" si="15"/>
        <v>C</v>
      </c>
      <c r="P17" s="204"/>
      <c r="Q17" s="198"/>
    </row>
    <row r="18" spans="2:17" ht="15" outlineLevel="1" thickBot="1">
      <c r="B18" s="196" t="s">
        <v>234</v>
      </c>
      <c r="C18" s="197">
        <f>'Юнит 24-30.11'!AE24</f>
        <v>0</v>
      </c>
      <c r="D18" s="198">
        <f t="shared" si="11"/>
        <v>0</v>
      </c>
      <c r="E18" s="198">
        <f t="shared" si="2"/>
        <v>-0.20435622063066516</v>
      </c>
      <c r="F18" s="199" t="str">
        <f t="shared" si="14"/>
        <v>C</v>
      </c>
      <c r="G18" s="199" t="str">
        <f t="shared" si="12"/>
        <v>C</v>
      </c>
      <c r="I18" s="196" t="s">
        <v>229</v>
      </c>
      <c r="J18" s="197">
        <f>'Юнит 24-30.11'!R17</f>
        <v>0</v>
      </c>
      <c r="K18" s="198">
        <f t="shared" si="13"/>
        <v>0</v>
      </c>
      <c r="L18" s="198">
        <f t="shared" si="3"/>
        <v>1.03125</v>
      </c>
      <c r="M18" s="199" t="str">
        <f t="shared" si="15"/>
        <v>C</v>
      </c>
      <c r="P18" s="204"/>
      <c r="Q18" s="198"/>
    </row>
    <row r="19" spans="2:17" ht="26.5" outlineLevel="1" thickBot="1">
      <c r="B19" s="196" t="s">
        <v>228</v>
      </c>
      <c r="C19" s="197">
        <f>'Юнит 24-30.11'!AE15</f>
        <v>-64.979999999999862</v>
      </c>
      <c r="D19" s="198">
        <f t="shared" si="11"/>
        <v>2.9755535962286556E-2</v>
      </c>
      <c r="E19" s="198">
        <f t="shared" si="2"/>
        <v>-0.17460068466837861</v>
      </c>
      <c r="F19" s="199" t="str">
        <f t="shared" si="14"/>
        <v>C</v>
      </c>
      <c r="G19" s="199" t="str">
        <f t="shared" si="12"/>
        <v>C</v>
      </c>
      <c r="I19" s="196" t="s">
        <v>230</v>
      </c>
      <c r="J19" s="197">
        <f>'Юнит 24-30.11'!R18</f>
        <v>0</v>
      </c>
      <c r="K19" s="198">
        <f t="shared" si="13"/>
        <v>0</v>
      </c>
      <c r="L19" s="198">
        <f t="shared" si="3"/>
        <v>1.03125</v>
      </c>
      <c r="M19" s="199" t="str">
        <f t="shared" si="15"/>
        <v>C</v>
      </c>
      <c r="P19" s="204"/>
      <c r="Q19" s="198"/>
    </row>
    <row r="20" spans="2:17" ht="15" outlineLevel="1" thickBot="1">
      <c r="B20" s="196" t="s">
        <v>19</v>
      </c>
      <c r="C20" s="197">
        <f>'Юнит 24-30.11'!AE16</f>
        <v>263.68000000000012</v>
      </c>
      <c r="D20" s="198">
        <f t="shared" si="11"/>
        <v>-0.1207439169365303</v>
      </c>
      <c r="E20" s="198">
        <f t="shared" si="2"/>
        <v>-0.29534460160490894</v>
      </c>
      <c r="F20" s="199" t="str">
        <f t="shared" si="14"/>
        <v>C</v>
      </c>
      <c r="G20" s="199" t="str">
        <f t="shared" si="12"/>
        <v>C</v>
      </c>
      <c r="I20" s="196" t="s">
        <v>231</v>
      </c>
      <c r="J20" s="197">
        <f>'Юнит 24-30.11'!R19</f>
        <v>0</v>
      </c>
      <c r="K20" s="198">
        <f t="shared" si="13"/>
        <v>0</v>
      </c>
      <c r="L20" s="198">
        <f t="shared" si="3"/>
        <v>1.03125</v>
      </c>
      <c r="M20" s="199" t="str">
        <f t="shared" si="15"/>
        <v>C</v>
      </c>
      <c r="P20" s="204"/>
      <c r="Q20" s="198"/>
    </row>
    <row r="21" spans="2:17" ht="15" outlineLevel="1" thickBot="1">
      <c r="B21" s="196" t="s">
        <v>222</v>
      </c>
      <c r="C21" s="197">
        <f>'Юнит 24-30.11'!AE5</f>
        <v>-109.09</v>
      </c>
      <c r="D21" s="198">
        <f t="shared" si="11"/>
        <v>4.9954315452844684E-2</v>
      </c>
      <c r="E21" s="198">
        <f t="shared" si="2"/>
        <v>-0.24539028615206426</v>
      </c>
      <c r="F21" s="199" t="str">
        <f t="shared" si="14"/>
        <v>C</v>
      </c>
      <c r="G21" s="199" t="str">
        <f t="shared" si="12"/>
        <v>C</v>
      </c>
      <c r="I21" s="196" t="s">
        <v>111</v>
      </c>
      <c r="J21" s="197">
        <f>'Юнит 24-30.11'!R20</f>
        <v>0</v>
      </c>
      <c r="K21" s="198">
        <f t="shared" si="13"/>
        <v>0</v>
      </c>
      <c r="L21" s="198">
        <f t="shared" si="3"/>
        <v>1.03125</v>
      </c>
      <c r="M21" s="199" t="str">
        <f t="shared" si="15"/>
        <v>C</v>
      </c>
      <c r="P21" s="204"/>
      <c r="Q21" s="198"/>
    </row>
    <row r="22" spans="2:17" ht="15" outlineLevel="1" thickBot="1">
      <c r="B22" s="196" t="s">
        <v>223</v>
      </c>
      <c r="C22" s="197">
        <f>'Юнит 24-30.11'!AE6</f>
        <v>-536.77409099999636</v>
      </c>
      <c r="D22" s="198">
        <f t="shared" si="11"/>
        <v>0.2457987191193306</v>
      </c>
      <c r="E22" s="198">
        <f t="shared" si="2"/>
        <v>4.0843296726633671E-4</v>
      </c>
      <c r="F22" s="199" t="str">
        <f t="shared" si="14"/>
        <v>A</v>
      </c>
      <c r="G22" s="199" t="str">
        <f t="shared" si="12"/>
        <v>B</v>
      </c>
      <c r="I22" s="196" t="s">
        <v>232</v>
      </c>
      <c r="J22" s="197">
        <f>'Юнит 24-30.11'!R21</f>
        <v>0</v>
      </c>
      <c r="K22" s="198">
        <f t="shared" si="13"/>
        <v>0</v>
      </c>
      <c r="L22" s="198">
        <f t="shared" si="3"/>
        <v>1.03125</v>
      </c>
      <c r="M22" s="199" t="str">
        <f t="shared" si="15"/>
        <v>C</v>
      </c>
      <c r="P22" s="204"/>
      <c r="Q22" s="198"/>
    </row>
    <row r="23" spans="2:17" ht="15" outlineLevel="1" thickBot="1">
      <c r="B23" s="196" t="s">
        <v>226</v>
      </c>
      <c r="C23" s="197">
        <f>'Юнит 24-30.11'!AE13</f>
        <v>-269.68</v>
      </c>
      <c r="D23" s="198">
        <f t="shared" si="11"/>
        <v>0.12349142718235542</v>
      </c>
      <c r="E23" s="198">
        <f t="shared" si="2"/>
        <v>0.12389986014962176</v>
      </c>
      <c r="F23" s="199" t="str">
        <f t="shared" si="14"/>
        <v>A</v>
      </c>
      <c r="G23" s="199" t="str">
        <f t="shared" si="12"/>
        <v>C</v>
      </c>
      <c r="I23" s="196" t="s">
        <v>136</v>
      </c>
      <c r="J23" s="197">
        <f>'Юнит 24-30.11'!R22</f>
        <v>0</v>
      </c>
      <c r="K23" s="198">
        <f t="shared" si="13"/>
        <v>0</v>
      </c>
      <c r="L23" s="198">
        <f t="shared" si="3"/>
        <v>1.03125</v>
      </c>
      <c r="M23" s="199" t="str">
        <f t="shared" si="15"/>
        <v>C</v>
      </c>
      <c r="P23" s="204"/>
      <c r="Q23" s="198"/>
    </row>
    <row r="24" spans="2:17" ht="15" outlineLevel="1" thickBot="1">
      <c r="B24" s="196" t="s">
        <v>1054</v>
      </c>
      <c r="C24" s="197">
        <f>'Юнит 24-30.11'!AE8</f>
        <v>-795</v>
      </c>
      <c r="D24" s="198">
        <f t="shared" si="11"/>
        <v>0.36404510757183539</v>
      </c>
      <c r="E24" s="198">
        <f t="shared" si="2"/>
        <v>0.48794496772145712</v>
      </c>
      <c r="F24" s="199" t="str">
        <f t="shared" si="14"/>
        <v>A</v>
      </c>
      <c r="G24" s="199" t="str">
        <f t="shared" si="12"/>
        <v>C</v>
      </c>
      <c r="I24" s="196" t="s">
        <v>233</v>
      </c>
      <c r="J24" s="197">
        <f>'Юнит 24-30.11'!R23</f>
        <v>0</v>
      </c>
      <c r="K24" s="198">
        <f t="shared" si="13"/>
        <v>0</v>
      </c>
      <c r="L24" s="198">
        <f t="shared" si="3"/>
        <v>1.03125</v>
      </c>
      <c r="M24" s="199" t="str">
        <f t="shared" si="15"/>
        <v>C</v>
      </c>
      <c r="P24" s="204"/>
      <c r="Q24" s="198"/>
    </row>
    <row r="25" spans="2:17" ht="15" outlineLevel="1" thickBot="1">
      <c r="B25" s="196" t="s">
        <v>1055</v>
      </c>
      <c r="C25" s="197">
        <f>'Юнит 24-30.11'!AE9</f>
        <v>-1118.2233800000008</v>
      </c>
      <c r="D25" s="198">
        <f t="shared" si="11"/>
        <v>0.51205503227854299</v>
      </c>
      <c r="E25" s="198">
        <f t="shared" si="2"/>
        <v>1</v>
      </c>
      <c r="F25" s="199" t="str">
        <f t="shared" si="14"/>
        <v>C</v>
      </c>
      <c r="G25" s="199" t="str">
        <f t="shared" si="12"/>
        <v>C</v>
      </c>
      <c r="I25" s="196" t="s">
        <v>234</v>
      </c>
      <c r="J25" s="197">
        <f>'Юнит 24-30.11'!R24</f>
        <v>0</v>
      </c>
      <c r="K25" s="198">
        <f t="shared" si="13"/>
        <v>0</v>
      </c>
      <c r="L25" s="198">
        <f t="shared" si="3"/>
        <v>1.03125</v>
      </c>
      <c r="M25" s="199" t="str">
        <f t="shared" si="15"/>
        <v>C</v>
      </c>
      <c r="P25" s="204"/>
      <c r="Q25" s="198"/>
    </row>
    <row r="26" spans="2:17" outlineLevel="1">
      <c r="C26" s="205">
        <f>SUM(C4:C25)</f>
        <v>-2183.795314</v>
      </c>
      <c r="D26" s="206">
        <f>SUM(D4:D25)</f>
        <v>1</v>
      </c>
      <c r="J26" s="205">
        <f>SUM(J4:J25)</f>
        <v>32</v>
      </c>
      <c r="K26" s="206">
        <f>SUM(K4:K25)</f>
        <v>1</v>
      </c>
    </row>
    <row r="27" spans="2:17" ht="15" thickBot="1"/>
    <row r="28" spans="2:17" ht="15" thickBot="1">
      <c r="B28" s="516" t="s">
        <v>304</v>
      </c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8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43</v>
      </c>
      <c r="C30" s="197">
        <f>'Юнит 24-30.11'!AE29</f>
        <v>1563.4</v>
      </c>
      <c r="D30" s="198">
        <f>C30/C$50</f>
        <v>-6.582182553048165</v>
      </c>
      <c r="E30" s="198">
        <f>D30</f>
        <v>-6.582182553048165</v>
      </c>
      <c r="F30" s="199" t="str">
        <f t="shared" ref="F30:F36" si="16">IF(AND(E30&lt;=0),"C",IF(E30&lt;=0.8,"A",IF(E30&lt;=0.95,"B","C")))</f>
        <v>C</v>
      </c>
      <c r="G30" s="199" t="str">
        <f>VLOOKUP(B$30:B$50,I$30:M$50,5,0)</f>
        <v>C</v>
      </c>
      <c r="I30" s="196" t="s">
        <v>235</v>
      </c>
      <c r="J30" s="197">
        <f>'Юнит 24-30.11'!R30</f>
        <v>0</v>
      </c>
      <c r="K30" s="198">
        <f>J30/J$50</f>
        <v>0</v>
      </c>
      <c r="L30" s="198">
        <f>K30</f>
        <v>0</v>
      </c>
      <c r="M30" s="199" t="str">
        <f t="shared" ref="M30:M36" si="17">_xlfn.IFS(L30&lt;80%,"A",L30&lt;=95%,"B",L30&gt;95%,"C")</f>
        <v>A</v>
      </c>
    </row>
    <row r="31" spans="2:17" ht="26.5" thickBot="1">
      <c r="B31" s="196" t="s">
        <v>98</v>
      </c>
      <c r="C31" s="197">
        <f>'Юнит 24-30.11'!AE28</f>
        <v>0</v>
      </c>
      <c r="D31" s="198">
        <f t="shared" ref="D31:D49" si="18">C31/C$50</f>
        <v>0</v>
      </c>
      <c r="E31" s="198">
        <f>D31+E30</f>
        <v>-6.582182553048165</v>
      </c>
      <c r="F31" s="199" t="str">
        <f t="shared" si="16"/>
        <v>C</v>
      </c>
      <c r="G31" s="199" t="str">
        <f t="shared" ref="G31:G49" si="19">VLOOKUP(B$30:B$50,I$30:M$50,5,0)</f>
        <v>C</v>
      </c>
      <c r="I31" s="196" t="s">
        <v>43</v>
      </c>
      <c r="J31" s="197">
        <f>'Юнит 24-30.11'!R29</f>
        <v>1</v>
      </c>
      <c r="K31" s="198">
        <f t="shared" ref="K31:K49" si="20">J31/J$50</f>
        <v>1</v>
      </c>
      <c r="L31" s="198">
        <f>K31+L30</f>
        <v>1</v>
      </c>
      <c r="M31" s="199" t="str">
        <f t="shared" si="17"/>
        <v>C</v>
      </c>
    </row>
    <row r="32" spans="2:17" ht="26.5" thickBot="1">
      <c r="B32" s="196" t="s">
        <v>171</v>
      </c>
      <c r="C32" s="197">
        <f>'Юнит 24-30.11'!AE31</f>
        <v>0</v>
      </c>
      <c r="D32" s="198">
        <f t="shared" si="18"/>
        <v>0</v>
      </c>
      <c r="E32" s="198">
        <f t="shared" ref="E32:E49" si="21">D32+E31</f>
        <v>-6.582182553048165</v>
      </c>
      <c r="F32" s="199" t="str">
        <f t="shared" si="16"/>
        <v>C</v>
      </c>
      <c r="G32" s="199" t="str">
        <f t="shared" si="19"/>
        <v>C</v>
      </c>
      <c r="I32" s="196" t="s">
        <v>98</v>
      </c>
      <c r="J32" s="197">
        <f>'Юнит 24-30.11'!R28</f>
        <v>0</v>
      </c>
      <c r="K32" s="198">
        <f t="shared" si="20"/>
        <v>0</v>
      </c>
      <c r="L32" s="198">
        <f t="shared" ref="L32:L49" si="22">K32+L31</f>
        <v>1</v>
      </c>
      <c r="M32" s="199" t="str">
        <f t="shared" si="17"/>
        <v>C</v>
      </c>
    </row>
    <row r="33" spans="2:13" ht="15" thickBot="1">
      <c r="B33" s="196" t="s">
        <v>39</v>
      </c>
      <c r="C33" s="197">
        <f>'Юнит 24-30.11'!AE32</f>
        <v>0</v>
      </c>
      <c r="D33" s="198">
        <f t="shared" si="18"/>
        <v>0</v>
      </c>
      <c r="E33" s="198">
        <f t="shared" si="21"/>
        <v>-6.582182553048165</v>
      </c>
      <c r="F33" s="199" t="str">
        <f t="shared" si="16"/>
        <v>C</v>
      </c>
      <c r="G33" s="199" t="str">
        <f t="shared" si="19"/>
        <v>C</v>
      </c>
      <c r="I33" s="196" t="s">
        <v>171</v>
      </c>
      <c r="J33" s="197">
        <f>'Юнит 24-30.11'!R31</f>
        <v>0</v>
      </c>
      <c r="K33" s="198">
        <f t="shared" si="20"/>
        <v>0</v>
      </c>
      <c r="L33" s="198">
        <f t="shared" si="22"/>
        <v>1</v>
      </c>
      <c r="M33" s="199" t="str">
        <f t="shared" si="17"/>
        <v>C</v>
      </c>
    </row>
    <row r="34" spans="2:13" ht="15" thickBot="1">
      <c r="B34" s="196" t="s">
        <v>236</v>
      </c>
      <c r="C34" s="197">
        <f>'Юнит 24-30.11'!AE33</f>
        <v>0</v>
      </c>
      <c r="D34" s="198">
        <f t="shared" si="18"/>
        <v>0</v>
      </c>
      <c r="E34" s="198">
        <f t="shared" si="21"/>
        <v>-6.582182553048165</v>
      </c>
      <c r="F34" s="199" t="str">
        <f t="shared" si="16"/>
        <v>C</v>
      </c>
      <c r="G34" s="199" t="str">
        <f t="shared" si="19"/>
        <v>C</v>
      </c>
      <c r="I34" s="196" t="s">
        <v>39</v>
      </c>
      <c r="J34" s="197">
        <f>'Юнит 24-30.11'!R32</f>
        <v>0</v>
      </c>
      <c r="K34" s="198">
        <f t="shared" si="20"/>
        <v>0</v>
      </c>
      <c r="L34" s="198">
        <f t="shared" si="22"/>
        <v>1</v>
      </c>
      <c r="M34" s="199" t="str">
        <f t="shared" si="17"/>
        <v>C</v>
      </c>
    </row>
    <row r="35" spans="2:13" ht="15" thickBot="1">
      <c r="B35" s="196" t="s">
        <v>237</v>
      </c>
      <c r="C35" s="197">
        <f>'Юнит 24-30.11'!AE34</f>
        <v>0</v>
      </c>
      <c r="D35" s="198">
        <f t="shared" si="18"/>
        <v>0</v>
      </c>
      <c r="E35" s="198">
        <f t="shared" si="21"/>
        <v>-6.582182553048165</v>
      </c>
      <c r="F35" s="199" t="str">
        <f t="shared" si="16"/>
        <v>C</v>
      </c>
      <c r="G35" s="199" t="str">
        <f t="shared" si="19"/>
        <v>C</v>
      </c>
      <c r="I35" s="196" t="s">
        <v>236</v>
      </c>
      <c r="J35" s="197">
        <f>'Юнит 24-30.11'!R33</f>
        <v>0</v>
      </c>
      <c r="K35" s="198">
        <f t="shared" si="20"/>
        <v>0</v>
      </c>
      <c r="L35" s="198">
        <f t="shared" si="22"/>
        <v>1</v>
      </c>
      <c r="M35" s="199" t="str">
        <f t="shared" si="17"/>
        <v>C</v>
      </c>
    </row>
    <row r="36" spans="2:13" ht="15" thickBot="1">
      <c r="B36" s="196" t="s">
        <v>142</v>
      </c>
      <c r="C36" s="197">
        <f>'Юнит 24-30.11'!AE35</f>
        <v>0</v>
      </c>
      <c r="D36" s="198">
        <f t="shared" si="18"/>
        <v>0</v>
      </c>
      <c r="E36" s="198">
        <f t="shared" si="21"/>
        <v>-6.582182553048165</v>
      </c>
      <c r="F36" s="199" t="str">
        <f t="shared" si="16"/>
        <v>C</v>
      </c>
      <c r="G36" s="199" t="str">
        <f t="shared" si="19"/>
        <v>C</v>
      </c>
      <c r="I36" s="196" t="s">
        <v>237</v>
      </c>
      <c r="J36" s="197">
        <f>'Юнит 24-30.11'!R34</f>
        <v>0</v>
      </c>
      <c r="K36" s="198">
        <f t="shared" si="20"/>
        <v>0</v>
      </c>
      <c r="L36" s="198">
        <f t="shared" si="22"/>
        <v>1</v>
      </c>
      <c r="M36" s="199" t="str">
        <f t="shared" si="17"/>
        <v>C</v>
      </c>
    </row>
    <row r="37" spans="2:13" ht="15" thickBot="1">
      <c r="B37" s="196" t="s">
        <v>238</v>
      </c>
      <c r="C37" s="197">
        <f>'Юнит 24-30.11'!AE36</f>
        <v>0</v>
      </c>
      <c r="D37" s="198">
        <f t="shared" si="18"/>
        <v>0</v>
      </c>
      <c r="E37" s="198">
        <f t="shared" si="21"/>
        <v>-6.582182553048165</v>
      </c>
      <c r="F37" s="199" t="str">
        <f>IF(AND(E37&lt;=0),"C",IF(E37&lt;=0.8,"A",IF(E37&lt;=0.95,"B","C")))</f>
        <v>C</v>
      </c>
      <c r="G37" s="199" t="str">
        <f t="shared" si="19"/>
        <v>C</v>
      </c>
      <c r="I37" s="196" t="s">
        <v>142</v>
      </c>
      <c r="J37" s="197">
        <f>'Юнит 24-30.11'!R35</f>
        <v>0</v>
      </c>
      <c r="K37" s="198">
        <f t="shared" si="20"/>
        <v>0</v>
      </c>
      <c r="L37" s="198">
        <f t="shared" si="22"/>
        <v>1</v>
      </c>
      <c r="M37" s="199" t="str">
        <f>_xlfn.IFS(L37&lt;80%,"A",L37&lt;=95%,"B",L37&gt;95%,"C")</f>
        <v>C</v>
      </c>
    </row>
    <row r="38" spans="2:13" ht="15" thickBot="1">
      <c r="B38" s="196" t="s">
        <v>62</v>
      </c>
      <c r="C38" s="197">
        <f>'Юнит 24-30.11'!AE37</f>
        <v>0</v>
      </c>
      <c r="D38" s="198">
        <f t="shared" si="18"/>
        <v>0</v>
      </c>
      <c r="E38" s="198">
        <f t="shared" si="21"/>
        <v>-6.582182553048165</v>
      </c>
      <c r="F38" s="199" t="str">
        <f t="shared" ref="F38:F49" si="23">IF(AND(E38&lt;=0),"C",IF(E38&lt;=0.8,"A",IF(E38&lt;=0.95,"B","C")))</f>
        <v>C</v>
      </c>
      <c r="G38" s="199" t="str">
        <f t="shared" si="19"/>
        <v>C</v>
      </c>
      <c r="I38" s="196" t="s">
        <v>238</v>
      </c>
      <c r="J38" s="197">
        <f>'Юнит 24-30.11'!R36</f>
        <v>0</v>
      </c>
      <c r="K38" s="198">
        <f t="shared" si="20"/>
        <v>0</v>
      </c>
      <c r="L38" s="198">
        <f t="shared" si="22"/>
        <v>1</v>
      </c>
      <c r="M38" s="199" t="str">
        <f t="shared" ref="M38:M49" si="24">_xlfn.IFS(L38&lt;80%,"A",L38&lt;=95%,"B",L38&gt;95%,"C")</f>
        <v>C</v>
      </c>
    </row>
    <row r="39" spans="2:13" ht="15" thickBot="1">
      <c r="B39" s="196" t="s">
        <v>239</v>
      </c>
      <c r="C39" s="197">
        <f>'Юнит 24-30.11'!AE38</f>
        <v>0</v>
      </c>
      <c r="D39" s="198">
        <f t="shared" si="18"/>
        <v>0</v>
      </c>
      <c r="E39" s="198">
        <f t="shared" si="21"/>
        <v>-6.582182553048165</v>
      </c>
      <c r="F39" s="199" t="str">
        <f t="shared" si="23"/>
        <v>C</v>
      </c>
      <c r="G39" s="199" t="str">
        <f t="shared" si="19"/>
        <v>C</v>
      </c>
      <c r="I39" s="196" t="s">
        <v>62</v>
      </c>
      <c r="J39" s="197">
        <f>'Юнит 24-30.11'!R37</f>
        <v>0</v>
      </c>
      <c r="K39" s="198">
        <f t="shared" si="20"/>
        <v>0</v>
      </c>
      <c r="L39" s="198">
        <f t="shared" si="22"/>
        <v>1</v>
      </c>
      <c r="M39" s="199" t="str">
        <f t="shared" si="24"/>
        <v>C</v>
      </c>
    </row>
    <row r="40" spans="2:13" ht="26.5" thickBot="1">
      <c r="B40" s="196" t="s">
        <v>240</v>
      </c>
      <c r="C40" s="197">
        <f>'Юнит 24-30.11'!AE39</f>
        <v>0</v>
      </c>
      <c r="D40" s="198">
        <f t="shared" si="18"/>
        <v>0</v>
      </c>
      <c r="E40" s="198">
        <f t="shared" si="21"/>
        <v>-6.582182553048165</v>
      </c>
      <c r="F40" s="199" t="str">
        <f t="shared" si="23"/>
        <v>C</v>
      </c>
      <c r="G40" s="199" t="str">
        <f t="shared" si="19"/>
        <v>C</v>
      </c>
      <c r="I40" s="196" t="s">
        <v>239</v>
      </c>
      <c r="J40" s="197">
        <f>'Юнит 24-30.11'!R38</f>
        <v>0</v>
      </c>
      <c r="K40" s="198">
        <f t="shared" si="20"/>
        <v>0</v>
      </c>
      <c r="L40" s="198">
        <f t="shared" si="22"/>
        <v>1</v>
      </c>
      <c r="M40" s="199" t="str">
        <f t="shared" si="24"/>
        <v>C</v>
      </c>
    </row>
    <row r="41" spans="2:13" ht="26.5" thickBot="1">
      <c r="B41" s="196" t="s">
        <v>241</v>
      </c>
      <c r="C41" s="197">
        <f>'Юнит 24-30.11'!AE40</f>
        <v>0</v>
      </c>
      <c r="D41" s="198">
        <f t="shared" si="18"/>
        <v>0</v>
      </c>
      <c r="E41" s="198">
        <f t="shared" si="21"/>
        <v>-6.582182553048165</v>
      </c>
      <c r="F41" s="199" t="str">
        <f t="shared" si="23"/>
        <v>C</v>
      </c>
      <c r="G41" s="199" t="str">
        <f t="shared" si="19"/>
        <v>C</v>
      </c>
      <c r="I41" s="196" t="s">
        <v>240</v>
      </c>
      <c r="J41" s="197">
        <f>'Юнит 24-30.11'!R39</f>
        <v>0</v>
      </c>
      <c r="K41" s="198">
        <f t="shared" si="20"/>
        <v>0</v>
      </c>
      <c r="L41" s="198">
        <f t="shared" si="22"/>
        <v>1</v>
      </c>
      <c r="M41" s="199" t="str">
        <f t="shared" si="24"/>
        <v>C</v>
      </c>
    </row>
    <row r="42" spans="2:13" ht="26.5" thickBot="1">
      <c r="B42" s="196" t="s">
        <v>242</v>
      </c>
      <c r="C42" s="197">
        <f>'Юнит 24-30.11'!AE41</f>
        <v>0</v>
      </c>
      <c r="D42" s="198">
        <f t="shared" si="18"/>
        <v>0</v>
      </c>
      <c r="E42" s="198">
        <f t="shared" si="21"/>
        <v>-6.582182553048165</v>
      </c>
      <c r="F42" s="199" t="str">
        <f t="shared" si="23"/>
        <v>C</v>
      </c>
      <c r="G42" s="199" t="str">
        <f t="shared" si="19"/>
        <v>C</v>
      </c>
      <c r="I42" s="196" t="s">
        <v>241</v>
      </c>
      <c r="J42" s="197">
        <f>'Юнит 24-30.11'!R40</f>
        <v>0</v>
      </c>
      <c r="K42" s="198">
        <f t="shared" si="20"/>
        <v>0</v>
      </c>
      <c r="L42" s="198">
        <f t="shared" si="22"/>
        <v>1</v>
      </c>
      <c r="M42" s="199" t="str">
        <f t="shared" si="24"/>
        <v>C</v>
      </c>
    </row>
    <row r="43" spans="2:13" ht="26.5" thickBot="1">
      <c r="B43" s="196" t="s">
        <v>243</v>
      </c>
      <c r="C43" s="197">
        <f>'Юнит 24-30.11'!AE42</f>
        <v>0</v>
      </c>
      <c r="D43" s="198">
        <f t="shared" si="18"/>
        <v>0</v>
      </c>
      <c r="E43" s="198">
        <f t="shared" si="21"/>
        <v>-6.582182553048165</v>
      </c>
      <c r="F43" s="199" t="str">
        <f t="shared" si="23"/>
        <v>C</v>
      </c>
      <c r="G43" s="199" t="str">
        <f t="shared" si="19"/>
        <v>C</v>
      </c>
      <c r="I43" s="196" t="s">
        <v>242</v>
      </c>
      <c r="J43" s="197">
        <f>'Юнит 24-30.11'!R41</f>
        <v>0</v>
      </c>
      <c r="K43" s="198">
        <f t="shared" si="20"/>
        <v>0</v>
      </c>
      <c r="L43" s="198">
        <f t="shared" si="22"/>
        <v>1</v>
      </c>
      <c r="M43" s="199" t="str">
        <f t="shared" si="24"/>
        <v>C</v>
      </c>
    </row>
    <row r="44" spans="2:13" ht="26.5" thickBot="1">
      <c r="B44" s="196" t="s">
        <v>771</v>
      </c>
      <c r="C44" s="197">
        <f>'Юнит 24-30.11'!AE43</f>
        <v>0</v>
      </c>
      <c r="D44" s="198">
        <f t="shared" si="18"/>
        <v>0</v>
      </c>
      <c r="E44" s="198">
        <f t="shared" si="21"/>
        <v>-6.582182553048165</v>
      </c>
      <c r="F44" s="199" t="str">
        <f t="shared" si="23"/>
        <v>C</v>
      </c>
      <c r="G44" s="199" t="str">
        <f t="shared" si="19"/>
        <v>C</v>
      </c>
      <c r="I44" s="196" t="s">
        <v>243</v>
      </c>
      <c r="J44" s="197">
        <f>'Юнит 24-30.11'!R42</f>
        <v>0</v>
      </c>
      <c r="K44" s="198">
        <f t="shared" si="20"/>
        <v>0</v>
      </c>
      <c r="L44" s="198">
        <f t="shared" si="22"/>
        <v>1</v>
      </c>
      <c r="M44" s="199" t="str">
        <f t="shared" si="24"/>
        <v>C</v>
      </c>
    </row>
    <row r="45" spans="2:13" ht="26.5" thickBot="1">
      <c r="B45" s="196" t="s">
        <v>51</v>
      </c>
      <c r="C45" s="197">
        <f>'Юнит 24-30.11'!AE44</f>
        <v>0</v>
      </c>
      <c r="D45" s="198">
        <f t="shared" si="18"/>
        <v>0</v>
      </c>
      <c r="E45" s="198">
        <f t="shared" si="21"/>
        <v>-6.582182553048165</v>
      </c>
      <c r="F45" s="199" t="str">
        <f t="shared" si="23"/>
        <v>C</v>
      </c>
      <c r="G45" s="199" t="str">
        <f t="shared" si="19"/>
        <v>C</v>
      </c>
      <c r="I45" s="196" t="s">
        <v>771</v>
      </c>
      <c r="J45" s="197">
        <f>'Юнит 24-30.11'!R43</f>
        <v>0</v>
      </c>
      <c r="K45" s="198">
        <f t="shared" si="20"/>
        <v>0</v>
      </c>
      <c r="L45" s="198">
        <f t="shared" si="22"/>
        <v>1</v>
      </c>
      <c r="M45" s="199" t="str">
        <f t="shared" si="24"/>
        <v>C</v>
      </c>
    </row>
    <row r="46" spans="2:13" ht="26.5" thickBot="1">
      <c r="B46" s="196" t="s">
        <v>66</v>
      </c>
      <c r="C46" s="197">
        <f>'Юнит 24-30.11'!AE46</f>
        <v>0</v>
      </c>
      <c r="D46" s="198">
        <f t="shared" si="18"/>
        <v>0</v>
      </c>
      <c r="E46" s="198">
        <f t="shared" si="21"/>
        <v>-6.582182553048165</v>
      </c>
      <c r="F46" s="199" t="str">
        <f t="shared" si="23"/>
        <v>C</v>
      </c>
      <c r="G46" s="199" t="str">
        <f t="shared" si="19"/>
        <v>C</v>
      </c>
      <c r="I46" s="196" t="s">
        <v>51</v>
      </c>
      <c r="J46" s="197">
        <f>'Юнит 24-30.11'!R44</f>
        <v>0</v>
      </c>
      <c r="K46" s="198">
        <f t="shared" si="20"/>
        <v>0</v>
      </c>
      <c r="L46" s="198">
        <f t="shared" si="22"/>
        <v>1</v>
      </c>
      <c r="M46" s="199" t="str">
        <f t="shared" si="24"/>
        <v>C</v>
      </c>
    </row>
    <row r="47" spans="2:13" ht="26.5" thickBot="1">
      <c r="B47" s="196" t="s">
        <v>70</v>
      </c>
      <c r="C47" s="197">
        <f>'Юнит 24-30.11'!AE45</f>
        <v>-112</v>
      </c>
      <c r="D47" s="198">
        <f t="shared" si="18"/>
        <v>0.47153923880094312</v>
      </c>
      <c r="E47" s="198">
        <f t="shared" si="21"/>
        <v>-6.1106433142472216</v>
      </c>
      <c r="F47" s="199" t="str">
        <f t="shared" si="23"/>
        <v>C</v>
      </c>
      <c r="G47" s="199" t="str">
        <f t="shared" si="19"/>
        <v>C</v>
      </c>
      <c r="I47" s="196" t="s">
        <v>70</v>
      </c>
      <c r="J47" s="197">
        <f>'Юнит 24-30.11'!R45</f>
        <v>0</v>
      </c>
      <c r="K47" s="198">
        <f t="shared" si="20"/>
        <v>0</v>
      </c>
      <c r="L47" s="198">
        <f t="shared" si="22"/>
        <v>1</v>
      </c>
      <c r="M47" s="199" t="str">
        <f t="shared" si="24"/>
        <v>C</v>
      </c>
    </row>
    <row r="48" spans="2:13" ht="26.5" thickBot="1">
      <c r="B48" s="196" t="s">
        <v>245</v>
      </c>
      <c r="C48" s="197">
        <f>'Юнит 24-30.11'!AE47</f>
        <v>-1150</v>
      </c>
      <c r="D48" s="198">
        <f t="shared" si="18"/>
        <v>4.8416975412596841</v>
      </c>
      <c r="E48" s="198">
        <f t="shared" si="21"/>
        <v>-1.2689457729875375</v>
      </c>
      <c r="F48" s="199" t="str">
        <f t="shared" si="23"/>
        <v>C</v>
      </c>
      <c r="G48" s="199" t="str">
        <f t="shared" si="19"/>
        <v>C</v>
      </c>
      <c r="I48" s="196" t="s">
        <v>66</v>
      </c>
      <c r="J48" s="197">
        <f>'Юнит 24-30.11'!R46</f>
        <v>0</v>
      </c>
      <c r="K48" s="198">
        <f t="shared" si="20"/>
        <v>0</v>
      </c>
      <c r="L48" s="198">
        <f t="shared" si="22"/>
        <v>1</v>
      </c>
      <c r="M48" s="199" t="str">
        <f t="shared" si="24"/>
        <v>C</v>
      </c>
    </row>
    <row r="49" spans="2:13" ht="26.5" thickBot="1">
      <c r="B49" s="196" t="s">
        <v>235</v>
      </c>
      <c r="C49" s="197">
        <f>'Юнит 24-30.11'!AE30</f>
        <v>-538.92000000000007</v>
      </c>
      <c r="D49" s="198">
        <f t="shared" si="18"/>
        <v>2.2689457729875384</v>
      </c>
      <c r="E49" s="198">
        <f t="shared" si="21"/>
        <v>1.0000000000000009</v>
      </c>
      <c r="F49" s="199" t="str">
        <f t="shared" si="23"/>
        <v>C</v>
      </c>
      <c r="G49" s="199" t="str">
        <f t="shared" si="19"/>
        <v>A</v>
      </c>
      <c r="I49" s="196" t="s">
        <v>245</v>
      </c>
      <c r="J49" s="197">
        <f>'Юнит 24-30.11'!R47</f>
        <v>0</v>
      </c>
      <c r="K49" s="198">
        <f t="shared" si="20"/>
        <v>0</v>
      </c>
      <c r="L49" s="198">
        <f t="shared" si="22"/>
        <v>1</v>
      </c>
      <c r="M49" s="199" t="str">
        <f t="shared" si="24"/>
        <v>C</v>
      </c>
    </row>
    <row r="50" spans="2:13">
      <c r="C50" s="205">
        <f>SUM(C30:C49)</f>
        <v>-237.51999999999998</v>
      </c>
      <c r="D50" s="206">
        <f>SUM(D30:D49)</f>
        <v>1.0000000000000009</v>
      </c>
      <c r="J50" s="205">
        <f>SUM(J30:J49)</f>
        <v>1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48" priority="4" operator="equal">
      <formula>"C"</formula>
    </cfRule>
    <cfRule type="cellIs" dxfId="347" priority="5" operator="equal">
      <formula>"B"</formula>
    </cfRule>
    <cfRule type="cellIs" dxfId="346" priority="6" operator="equal">
      <formula>"A"</formula>
    </cfRule>
  </conditionalFormatting>
  <conditionalFormatting sqref="M30:M49 D30:D49 K30:K49 F30:G49">
    <cfRule type="cellIs" dxfId="345" priority="1" operator="equal">
      <formula>"C"</formula>
    </cfRule>
    <cfRule type="cellIs" dxfId="344" priority="2" operator="equal">
      <formula>"B"</formula>
    </cfRule>
    <cfRule type="cellIs" dxfId="343" priority="3" operator="equal">
      <formula>"A"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4E02-48B6-455B-9FF3-233C64C404B3}">
  <dimension ref="B1:Q50"/>
  <sheetViews>
    <sheetView topLeftCell="A16" workbookViewId="0">
      <selection activeCell="I5" sqref="I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226</v>
      </c>
      <c r="C4" s="197">
        <f>'Юнит 17-23.11'!AE13</f>
        <v>814.7800000000002</v>
      </c>
      <c r="D4" s="198">
        <f>C4/C$26</f>
        <v>-0.21707778186528243</v>
      </c>
      <c r="E4" s="198">
        <f>D4</f>
        <v>-0.21707778186528243</v>
      </c>
      <c r="F4" s="199" t="str">
        <f t="shared" ref="F4:F12" si="0">IF(AND(E4&lt;=0),"C",IF(E4&lt;=0.8,"A",IF(E4&lt;=0.95,"B","C")))</f>
        <v>C</v>
      </c>
      <c r="G4" s="199" t="str">
        <f>VLOOKUP(B$4:B$25,I$4:M$25,5,0)</f>
        <v>B</v>
      </c>
      <c r="I4" s="196" t="s">
        <v>223</v>
      </c>
      <c r="J4" s="197">
        <f>'Юнит 17-23.11'!R6</f>
        <v>16</v>
      </c>
      <c r="K4" s="198">
        <f>J4/J$26</f>
        <v>0.5161290322580645</v>
      </c>
      <c r="L4" s="198">
        <f>K4</f>
        <v>0.5161290322580645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54</v>
      </c>
      <c r="C5" s="197">
        <f>'Юнит 17-23.11'!AE7</f>
        <v>558.06999999999994</v>
      </c>
      <c r="D5" s="198">
        <f>C5/C$26</f>
        <v>-0.14868381369886119</v>
      </c>
      <c r="E5" s="198">
        <f>D5+E4</f>
        <v>-0.36576159556414362</v>
      </c>
      <c r="F5" s="199" t="str">
        <f t="shared" si="0"/>
        <v>C</v>
      </c>
      <c r="G5" s="199" t="str">
        <f>VLOOKUP(B$4:B$25,I$4:M$25,5,0)</f>
        <v>B</v>
      </c>
      <c r="I5" s="196" t="s">
        <v>25</v>
      </c>
      <c r="J5" s="197">
        <f>'Юнит 17-23.11'!R3</f>
        <v>7</v>
      </c>
      <c r="K5" s="198">
        <f>J5/J$26</f>
        <v>0.22580645161290322</v>
      </c>
      <c r="L5" s="198">
        <f>K5+L4</f>
        <v>0.74193548387096775</v>
      </c>
      <c r="M5" s="199" t="str">
        <f t="shared" si="1"/>
        <v>A</v>
      </c>
    </row>
    <row r="6" spans="2:17" ht="28.5" customHeight="1" outlineLevel="1" thickBot="1">
      <c r="B6" s="196" t="s">
        <v>88</v>
      </c>
      <c r="C6" s="197">
        <f>'Юнит 17-23.11'!AE10</f>
        <v>401.17000000000007</v>
      </c>
      <c r="D6" s="198">
        <f>C6/C$26</f>
        <v>-0.10688172727717339</v>
      </c>
      <c r="E6" s="198">
        <f t="shared" ref="E6:E25" si="2">D6+E5</f>
        <v>-0.47264332284131699</v>
      </c>
      <c r="F6" s="199" t="str">
        <f t="shared" si="0"/>
        <v>C</v>
      </c>
      <c r="G6" s="199" t="str">
        <f>VLOOKUP(B$4:B$25,I$4:M$25,5,0)</f>
        <v>C</v>
      </c>
      <c r="I6" s="196" t="s">
        <v>228</v>
      </c>
      <c r="J6" s="197">
        <f>'Юнит 17-23.11'!R15</f>
        <v>3</v>
      </c>
      <c r="K6" s="198">
        <f>J6/J$26</f>
        <v>9.6774193548387094E-2</v>
      </c>
      <c r="L6" s="198">
        <f t="shared" ref="L6:L25" si="3">K6+L5</f>
        <v>0.83870967741935487</v>
      </c>
      <c r="M6" s="199" t="str">
        <f t="shared" si="1"/>
        <v>B</v>
      </c>
    </row>
    <row r="7" spans="2:17" ht="28.5" customHeight="1" outlineLevel="1" thickBot="1">
      <c r="B7" s="196" t="s">
        <v>92</v>
      </c>
      <c r="C7" s="197">
        <f>'Юнит 17-23.11'!AE4</f>
        <v>0</v>
      </c>
      <c r="D7" s="198">
        <f>C7/C$26</f>
        <v>0</v>
      </c>
      <c r="E7" s="198">
        <f t="shared" si="2"/>
        <v>-0.47264332284131699</v>
      </c>
      <c r="F7" s="199" t="str">
        <f t="shared" si="0"/>
        <v>C</v>
      </c>
      <c r="G7" s="199" t="str">
        <f>VLOOKUP(B$4:B$25,I$4:M$25,5,0)</f>
        <v>B</v>
      </c>
      <c r="I7" s="196" t="s">
        <v>226</v>
      </c>
      <c r="J7" s="197">
        <f>'Юнит 17-23.11'!R13</f>
        <v>2</v>
      </c>
      <c r="K7" s="198">
        <f>J7/J$26</f>
        <v>6.4516129032258063E-2</v>
      </c>
      <c r="L7" s="198">
        <f t="shared" si="3"/>
        <v>0.90322580645161299</v>
      </c>
      <c r="M7" s="199" t="str">
        <f t="shared" si="1"/>
        <v>B</v>
      </c>
    </row>
    <row r="8" spans="2:17" ht="28.5" customHeight="1" outlineLevel="1" thickBot="1">
      <c r="B8" s="196" t="s">
        <v>222</v>
      </c>
      <c r="C8" s="197">
        <f>'Юнит 17-23.11'!AE5</f>
        <v>0</v>
      </c>
      <c r="D8" s="198">
        <f>C8/C$26</f>
        <v>0</v>
      </c>
      <c r="E8" s="198">
        <f t="shared" si="2"/>
        <v>-0.47264332284131699</v>
      </c>
      <c r="F8" s="199" t="str">
        <f t="shared" si="0"/>
        <v>C</v>
      </c>
      <c r="G8" s="199" t="str">
        <f>VLOOKUP(B$4:B$25,I$4:M$25,5,0)</f>
        <v>B</v>
      </c>
      <c r="I8" s="196" t="s">
        <v>54</v>
      </c>
      <c r="J8" s="197">
        <f>'Юнит 17-23.11'!R7</f>
        <v>1</v>
      </c>
      <c r="K8" s="198">
        <f>J8/J$26</f>
        <v>3.2258064516129031E-2</v>
      </c>
      <c r="L8" s="198">
        <f t="shared" si="3"/>
        <v>0.93548387096774199</v>
      </c>
      <c r="M8" s="199" t="str">
        <f t="shared" si="1"/>
        <v>B</v>
      </c>
    </row>
    <row r="9" spans="2:17" ht="28.5" customHeight="1" outlineLevel="1" thickBot="1">
      <c r="B9" s="196" t="s">
        <v>224</v>
      </c>
      <c r="C9" s="197">
        <f>'Юнит 17-23.11'!AE11</f>
        <v>0</v>
      </c>
      <c r="D9" s="198">
        <f t="shared" ref="D9:D10" si="4">C9/C$26</f>
        <v>0</v>
      </c>
      <c r="E9" s="198">
        <f t="shared" ref="E9:E10" si="5">D9+E8</f>
        <v>-0.47264332284131699</v>
      </c>
      <c r="F9" s="199" t="str">
        <f t="shared" ref="F9:F10" si="6">IF(AND(E9&lt;=0),"C",IF(E9&lt;=0.8,"A",IF(E9&lt;=0.95,"B","C")))</f>
        <v>C</v>
      </c>
      <c r="G9" s="199" t="str">
        <f t="shared" ref="G9:G10" si="7">VLOOKUP(B$4:B$25,I$4:M$25,5,0)</f>
        <v>B</v>
      </c>
      <c r="I9" s="196" t="s">
        <v>1054</v>
      </c>
      <c r="J9" s="197">
        <f>'Юнит 17-23.11'!R8</f>
        <v>1</v>
      </c>
      <c r="K9" s="198">
        <f t="shared" ref="K9:K10" si="8">J9/J$26</f>
        <v>3.2258064516129031E-2</v>
      </c>
      <c r="L9" s="198">
        <f t="shared" ref="L9:L10" si="9">K9+L8</f>
        <v>0.967741935483871</v>
      </c>
      <c r="M9" s="199" t="str">
        <f t="shared" ref="M9:M10" si="10">_xlfn.IFS(L9&lt;80%,"A",L9&lt;=95%,"B",L9&gt;95%,"C")</f>
        <v>C</v>
      </c>
    </row>
    <row r="10" spans="2:17" ht="28.5" customHeight="1" outlineLevel="1" thickBot="1">
      <c r="B10" s="196" t="s">
        <v>225</v>
      </c>
      <c r="C10" s="197">
        <f>'Юнит 17-23.11'!AE12</f>
        <v>0</v>
      </c>
      <c r="D10" s="198">
        <f t="shared" si="4"/>
        <v>0</v>
      </c>
      <c r="E10" s="198">
        <f t="shared" si="5"/>
        <v>-0.47264332284131699</v>
      </c>
      <c r="F10" s="199" t="str">
        <f t="shared" si="6"/>
        <v>C</v>
      </c>
      <c r="G10" s="199" t="str">
        <f t="shared" si="7"/>
        <v>B</v>
      </c>
      <c r="I10" s="196" t="s">
        <v>88</v>
      </c>
      <c r="J10" s="197">
        <f>'Юнит 17-23.11'!R10</f>
        <v>1</v>
      </c>
      <c r="K10" s="198">
        <f t="shared" si="8"/>
        <v>3.2258064516129031E-2</v>
      </c>
      <c r="L10" s="198">
        <f t="shared" si="9"/>
        <v>1</v>
      </c>
      <c r="M10" s="199" t="str">
        <f t="shared" si="10"/>
        <v>C</v>
      </c>
    </row>
    <row r="11" spans="2:17" ht="28.5" customHeight="1" outlineLevel="1" thickBot="1">
      <c r="B11" s="196" t="s">
        <v>227</v>
      </c>
      <c r="C11" s="197">
        <f>'Юнит 17-23.11'!AE14</f>
        <v>0</v>
      </c>
      <c r="D11" s="198">
        <f t="shared" ref="D11:D25" si="11">C11/C$26</f>
        <v>0</v>
      </c>
      <c r="E11" s="198">
        <f>D11+E8</f>
        <v>-0.47264332284131699</v>
      </c>
      <c r="F11" s="199" t="str">
        <f t="shared" si="0"/>
        <v>C</v>
      </c>
      <c r="G11" s="199" t="str">
        <f t="shared" ref="G11:G25" si="12">VLOOKUP(B$4:B$25,I$4:M$25,5,0)</f>
        <v>B</v>
      </c>
      <c r="I11" s="196" t="s">
        <v>92</v>
      </c>
      <c r="J11" s="197">
        <f>'Юнит 17-23.11'!R4</f>
        <v>0</v>
      </c>
      <c r="K11" s="198">
        <f t="shared" ref="K11:K25" si="13">J11/J$26</f>
        <v>0</v>
      </c>
      <c r="L11" s="198">
        <f>K11+L8</f>
        <v>0.93548387096774199</v>
      </c>
      <c r="M11" s="199" t="str">
        <f t="shared" si="1"/>
        <v>B</v>
      </c>
    </row>
    <row r="12" spans="2:17" ht="28.5" customHeight="1" outlineLevel="1" thickBot="1">
      <c r="B12" s="196" t="s">
        <v>229</v>
      </c>
      <c r="C12" s="197">
        <f>'Юнит 17-23.11'!AE17</f>
        <v>0</v>
      </c>
      <c r="D12" s="198">
        <f t="shared" si="11"/>
        <v>0</v>
      </c>
      <c r="E12" s="198">
        <f t="shared" si="2"/>
        <v>-0.47264332284131699</v>
      </c>
      <c r="F12" s="199" t="str">
        <f t="shared" si="0"/>
        <v>C</v>
      </c>
      <c r="G12" s="199" t="str">
        <f t="shared" si="12"/>
        <v>B</v>
      </c>
      <c r="I12" s="196" t="s">
        <v>222</v>
      </c>
      <c r="J12" s="197">
        <f>'Юнит 17-23.11'!R5</f>
        <v>0</v>
      </c>
      <c r="K12" s="198">
        <f t="shared" si="13"/>
        <v>0</v>
      </c>
      <c r="L12" s="198">
        <f t="shared" si="3"/>
        <v>0.93548387096774199</v>
      </c>
      <c r="M12" s="199" t="str">
        <f t="shared" si="1"/>
        <v>B</v>
      </c>
    </row>
    <row r="13" spans="2:17" ht="15" outlineLevel="1" thickBot="1">
      <c r="B13" s="196" t="s">
        <v>230</v>
      </c>
      <c r="C13" s="197">
        <f>'Юнит 17-23.11'!AE18</f>
        <v>0</v>
      </c>
      <c r="D13" s="198">
        <f t="shared" si="11"/>
        <v>0</v>
      </c>
      <c r="E13" s="198">
        <f t="shared" si="2"/>
        <v>-0.47264332284131699</v>
      </c>
      <c r="F13" s="199" t="str">
        <f>IF(AND(E13&lt;=0),"C",IF(E13&lt;=0.8,"A",IF(E13&lt;=0.95,"B","C")))</f>
        <v>C</v>
      </c>
      <c r="G13" s="199" t="str">
        <f t="shared" si="12"/>
        <v>B</v>
      </c>
      <c r="I13" s="196" t="s">
        <v>1055</v>
      </c>
      <c r="J13" s="197">
        <f>'Юнит 17-23.11'!R9</f>
        <v>0</v>
      </c>
      <c r="K13" s="198">
        <f t="shared" si="13"/>
        <v>0</v>
      </c>
      <c r="L13" s="198">
        <f t="shared" si="3"/>
        <v>0.93548387096774199</v>
      </c>
      <c r="M13" s="199" t="str">
        <f>_xlfn.IFS(L13&lt;80%,"A",L13&lt;=95%,"B",L13&gt;95%,"C")</f>
        <v>B</v>
      </c>
      <c r="P13" s="200" t="s">
        <v>301</v>
      </c>
      <c r="Q13" s="201">
        <v>0.8</v>
      </c>
    </row>
    <row r="14" spans="2:17" ht="15" outlineLevel="1" thickBot="1">
      <c r="B14" s="196" t="s">
        <v>111</v>
      </c>
      <c r="C14" s="197">
        <f>'Юнит 17-23.11'!AE20</f>
        <v>0</v>
      </c>
      <c r="D14" s="198">
        <f t="shared" si="11"/>
        <v>0</v>
      </c>
      <c r="E14" s="198">
        <f t="shared" si="2"/>
        <v>-0.47264332284131699</v>
      </c>
      <c r="F14" s="199" t="str">
        <f t="shared" ref="F14:F25" si="14">IF(AND(E14&lt;=0),"C",IF(E14&lt;=0.8,"A",IF(E14&lt;=0.95,"B","C")))</f>
        <v>C</v>
      </c>
      <c r="G14" s="199" t="str">
        <f t="shared" si="12"/>
        <v>B</v>
      </c>
      <c r="I14" s="196" t="s">
        <v>224</v>
      </c>
      <c r="J14" s="197">
        <f>'Юнит 17-23.11'!R11</f>
        <v>0</v>
      </c>
      <c r="K14" s="198">
        <f t="shared" si="13"/>
        <v>0</v>
      </c>
      <c r="L14" s="198">
        <f t="shared" si="3"/>
        <v>0.93548387096774199</v>
      </c>
      <c r="M14" s="199" t="str">
        <f t="shared" ref="M14:M25" si="15">_xlfn.IFS(L14&lt;80%,"A",L14&lt;=95%,"B",L14&gt;95%,"C")</f>
        <v>B</v>
      </c>
      <c r="P14" s="202" t="s">
        <v>302</v>
      </c>
      <c r="Q14" s="201">
        <v>0.15</v>
      </c>
    </row>
    <row r="15" spans="2:17" ht="15" outlineLevel="1" thickBot="1">
      <c r="B15" s="196" t="s">
        <v>136</v>
      </c>
      <c r="C15" s="197">
        <f>'Юнит 17-23.11'!AE22</f>
        <v>0</v>
      </c>
      <c r="D15" s="198">
        <f t="shared" si="11"/>
        <v>0</v>
      </c>
      <c r="E15" s="198">
        <f t="shared" si="2"/>
        <v>-0.47264332284131699</v>
      </c>
      <c r="F15" s="199" t="str">
        <f t="shared" si="14"/>
        <v>C</v>
      </c>
      <c r="G15" s="199" t="str">
        <f t="shared" si="12"/>
        <v>B</v>
      </c>
      <c r="I15" s="196" t="s">
        <v>225</v>
      </c>
      <c r="J15" s="197">
        <f>'Юнит 17-23.11'!R12</f>
        <v>0</v>
      </c>
      <c r="K15" s="198">
        <f t="shared" si="13"/>
        <v>0</v>
      </c>
      <c r="L15" s="198">
        <f t="shared" si="3"/>
        <v>0.93548387096774199</v>
      </c>
      <c r="M15" s="199" t="str">
        <f t="shared" si="15"/>
        <v>B</v>
      </c>
      <c r="P15" s="203" t="s">
        <v>303</v>
      </c>
      <c r="Q15" s="201">
        <v>0.05</v>
      </c>
    </row>
    <row r="16" spans="2:17" ht="15" outlineLevel="1" thickBot="1">
      <c r="B16" s="196" t="s">
        <v>234</v>
      </c>
      <c r="C16" s="197">
        <f>'Юнит 17-23.11'!AE24</f>
        <v>0</v>
      </c>
      <c r="D16" s="198">
        <f t="shared" si="11"/>
        <v>0</v>
      </c>
      <c r="E16" s="198">
        <f t="shared" si="2"/>
        <v>-0.47264332284131699</v>
      </c>
      <c r="F16" s="199" t="str">
        <f t="shared" si="14"/>
        <v>C</v>
      </c>
      <c r="G16" s="199" t="str">
        <f t="shared" si="12"/>
        <v>B</v>
      </c>
      <c r="I16" s="196" t="s">
        <v>227</v>
      </c>
      <c r="J16" s="197">
        <f>'Юнит 17-23.11'!R14</f>
        <v>0</v>
      </c>
      <c r="K16" s="198">
        <f t="shared" si="13"/>
        <v>0</v>
      </c>
      <c r="L16" s="198">
        <f t="shared" si="3"/>
        <v>0.93548387096774199</v>
      </c>
      <c r="M16" s="199" t="str">
        <f t="shared" si="15"/>
        <v>B</v>
      </c>
      <c r="P16" s="204"/>
      <c r="Q16" s="198"/>
    </row>
    <row r="17" spans="2:17" ht="15" outlineLevel="1" thickBot="1">
      <c r="B17" s="196" t="s">
        <v>1054</v>
      </c>
      <c r="C17" s="197">
        <f>'Юнит 17-23.11'!AE8</f>
        <v>-61.298273000000108</v>
      </c>
      <c r="D17" s="198">
        <f t="shared" si="11"/>
        <v>1.633139391616455E-2</v>
      </c>
      <c r="E17" s="198">
        <f t="shared" si="2"/>
        <v>-0.45631192892515243</v>
      </c>
      <c r="F17" s="199" t="str">
        <f t="shared" si="14"/>
        <v>C</v>
      </c>
      <c r="G17" s="199" t="str">
        <f t="shared" si="12"/>
        <v>C</v>
      </c>
      <c r="I17" s="196" t="s">
        <v>19</v>
      </c>
      <c r="J17" s="197">
        <f>'Юнит 17-23.11'!R16</f>
        <v>0</v>
      </c>
      <c r="K17" s="198">
        <f t="shared" si="13"/>
        <v>0</v>
      </c>
      <c r="L17" s="198">
        <f t="shared" si="3"/>
        <v>0.93548387096774199</v>
      </c>
      <c r="M17" s="199" t="str">
        <f t="shared" si="15"/>
        <v>B</v>
      </c>
      <c r="P17" s="204"/>
      <c r="Q17" s="198"/>
    </row>
    <row r="18" spans="2:17" ht="15" outlineLevel="1" thickBot="1">
      <c r="B18" s="196" t="s">
        <v>19</v>
      </c>
      <c r="C18" s="197">
        <f>'Юнит 17-23.11'!AE16</f>
        <v>-92</v>
      </c>
      <c r="D18" s="198">
        <f t="shared" si="11"/>
        <v>2.451110229952377E-2</v>
      </c>
      <c r="E18" s="198">
        <f t="shared" si="2"/>
        <v>-0.43180082662562869</v>
      </c>
      <c r="F18" s="199" t="str">
        <f t="shared" si="14"/>
        <v>C</v>
      </c>
      <c r="G18" s="199" t="str">
        <f t="shared" si="12"/>
        <v>B</v>
      </c>
      <c r="I18" s="196" t="s">
        <v>229</v>
      </c>
      <c r="J18" s="197">
        <f>'Юнит 17-23.11'!R17</f>
        <v>0</v>
      </c>
      <c r="K18" s="198">
        <f t="shared" si="13"/>
        <v>0</v>
      </c>
      <c r="L18" s="198">
        <f t="shared" si="3"/>
        <v>0.93548387096774199</v>
      </c>
      <c r="M18" s="199" t="str">
        <f t="shared" si="15"/>
        <v>B</v>
      </c>
      <c r="P18" s="204"/>
      <c r="Q18" s="198"/>
    </row>
    <row r="19" spans="2:17" ht="15" outlineLevel="1" thickBot="1">
      <c r="B19" s="196" t="s">
        <v>232</v>
      </c>
      <c r="C19" s="197">
        <f>'Юнит 17-23.11'!AE21</f>
        <v>-92.662850000000006</v>
      </c>
      <c r="D19" s="198">
        <f t="shared" si="11"/>
        <v>2.4687702127341591E-2</v>
      </c>
      <c r="E19" s="198">
        <f t="shared" si="2"/>
        <v>-0.40711312449828707</v>
      </c>
      <c r="F19" s="199" t="str">
        <f t="shared" si="14"/>
        <v>C</v>
      </c>
      <c r="G19" s="199" t="str">
        <f t="shared" si="12"/>
        <v>B</v>
      </c>
      <c r="I19" s="196" t="s">
        <v>230</v>
      </c>
      <c r="J19" s="197">
        <f>'Юнит 17-23.11'!R18</f>
        <v>0</v>
      </c>
      <c r="K19" s="198">
        <f t="shared" si="13"/>
        <v>0</v>
      </c>
      <c r="L19" s="198">
        <f t="shared" si="3"/>
        <v>0.93548387096774199</v>
      </c>
      <c r="M19" s="199" t="str">
        <f t="shared" si="15"/>
        <v>B</v>
      </c>
      <c r="P19" s="204"/>
      <c r="Q19" s="198"/>
    </row>
    <row r="20" spans="2:17" ht="15" outlineLevel="1" thickBot="1">
      <c r="B20" s="196" t="s">
        <v>231</v>
      </c>
      <c r="C20" s="197">
        <f>'Юнит 17-23.11'!AE19</f>
        <v>-164</v>
      </c>
      <c r="D20" s="198">
        <f t="shared" si="11"/>
        <v>4.3693704099151069E-2</v>
      </c>
      <c r="E20" s="198">
        <f t="shared" si="2"/>
        <v>-0.363419420399136</v>
      </c>
      <c r="F20" s="199" t="str">
        <f t="shared" si="14"/>
        <v>C</v>
      </c>
      <c r="G20" s="199" t="str">
        <f t="shared" si="12"/>
        <v>B</v>
      </c>
      <c r="I20" s="196" t="s">
        <v>231</v>
      </c>
      <c r="J20" s="197">
        <f>'Юнит 17-23.11'!R19</f>
        <v>0</v>
      </c>
      <c r="K20" s="198">
        <f t="shared" si="13"/>
        <v>0</v>
      </c>
      <c r="L20" s="198">
        <f t="shared" si="3"/>
        <v>0.93548387096774199</v>
      </c>
      <c r="M20" s="199" t="str">
        <f t="shared" si="15"/>
        <v>B</v>
      </c>
      <c r="P20" s="204"/>
      <c r="Q20" s="198"/>
    </row>
    <row r="21" spans="2:17" ht="15" outlineLevel="1" thickBot="1">
      <c r="B21" s="196" t="s">
        <v>233</v>
      </c>
      <c r="C21" s="197">
        <f>'Юнит 17-23.11'!AE23</f>
        <v>-322.66627299999999</v>
      </c>
      <c r="D21" s="198">
        <f t="shared" si="11"/>
        <v>8.596636984901157E-2</v>
      </c>
      <c r="E21" s="198">
        <f t="shared" si="2"/>
        <v>-0.27745305055012442</v>
      </c>
      <c r="F21" s="199" t="str">
        <f t="shared" si="14"/>
        <v>C</v>
      </c>
      <c r="G21" s="199" t="str">
        <f t="shared" si="12"/>
        <v>B</v>
      </c>
      <c r="I21" s="196" t="s">
        <v>111</v>
      </c>
      <c r="J21" s="197">
        <f>'Юнит 17-23.11'!R20</f>
        <v>0</v>
      </c>
      <c r="K21" s="198">
        <f t="shared" si="13"/>
        <v>0</v>
      </c>
      <c r="L21" s="198">
        <f t="shared" si="3"/>
        <v>0.93548387096774199</v>
      </c>
      <c r="M21" s="199" t="str">
        <f t="shared" si="15"/>
        <v>B</v>
      </c>
      <c r="P21" s="204"/>
      <c r="Q21" s="198"/>
    </row>
    <row r="22" spans="2:17" ht="26.5" outlineLevel="1" thickBot="1">
      <c r="B22" s="196" t="s">
        <v>25</v>
      </c>
      <c r="C22" s="197">
        <f>'Юнит 17-23.11'!AE3</f>
        <v>-348.66999999999996</v>
      </c>
      <c r="D22" s="198">
        <f t="shared" si="11"/>
        <v>9.2894413464945133E-2</v>
      </c>
      <c r="E22" s="198">
        <f t="shared" si="2"/>
        <v>-0.18455863708517928</v>
      </c>
      <c r="F22" s="199" t="str">
        <f t="shared" si="14"/>
        <v>C</v>
      </c>
      <c r="G22" s="199" t="str">
        <f t="shared" si="12"/>
        <v>A</v>
      </c>
      <c r="I22" s="196" t="s">
        <v>232</v>
      </c>
      <c r="J22" s="197">
        <f>'Юнит 17-23.11'!R21</f>
        <v>0</v>
      </c>
      <c r="K22" s="198">
        <f t="shared" si="13"/>
        <v>0</v>
      </c>
      <c r="L22" s="198">
        <f t="shared" si="3"/>
        <v>0.93548387096774199</v>
      </c>
      <c r="M22" s="199" t="str">
        <f t="shared" si="15"/>
        <v>B</v>
      </c>
      <c r="P22" s="204"/>
      <c r="Q22" s="198"/>
    </row>
    <row r="23" spans="2:17" ht="15" outlineLevel="1" thickBot="1">
      <c r="B23" s="196" t="s">
        <v>223</v>
      </c>
      <c r="C23" s="197">
        <f>'Юнит 17-23.11'!AE6</f>
        <v>76.360323000000335</v>
      </c>
      <c r="D23" s="198">
        <f t="shared" si="11"/>
        <v>-2.0344300963887892E-2</v>
      </c>
      <c r="E23" s="198">
        <f t="shared" si="2"/>
        <v>-0.20490293804906717</v>
      </c>
      <c r="F23" s="199" t="str">
        <f t="shared" si="14"/>
        <v>C</v>
      </c>
      <c r="G23" s="199" t="str">
        <f t="shared" si="12"/>
        <v>A</v>
      </c>
      <c r="I23" s="196" t="s">
        <v>136</v>
      </c>
      <c r="J23" s="197">
        <f>'Юнит 17-23.11'!R22</f>
        <v>0</v>
      </c>
      <c r="K23" s="198">
        <f t="shared" si="13"/>
        <v>0</v>
      </c>
      <c r="L23" s="198">
        <f t="shared" si="3"/>
        <v>0.93548387096774199</v>
      </c>
      <c r="M23" s="199" t="str">
        <f t="shared" si="15"/>
        <v>B</v>
      </c>
      <c r="P23" s="204"/>
      <c r="Q23" s="198"/>
    </row>
    <row r="24" spans="2:17" ht="26.5" outlineLevel="1" thickBot="1">
      <c r="B24" s="196" t="s">
        <v>228</v>
      </c>
      <c r="C24" s="197">
        <f>'Юнит 17-23.11'!AE15</f>
        <v>-656.35109300000033</v>
      </c>
      <c r="D24" s="198">
        <f t="shared" si="11"/>
        <v>0.17486835635790487</v>
      </c>
      <c r="E24" s="198">
        <f t="shared" si="2"/>
        <v>-3.0034581691162299E-2</v>
      </c>
      <c r="F24" s="199" t="str">
        <f t="shared" si="14"/>
        <v>C</v>
      </c>
      <c r="G24" s="199" t="str">
        <f t="shared" si="12"/>
        <v>B</v>
      </c>
      <c r="I24" s="196" t="s">
        <v>233</v>
      </c>
      <c r="J24" s="197">
        <f>'Юнит 17-23.11'!R23</f>
        <v>0</v>
      </c>
      <c r="K24" s="198">
        <f t="shared" si="13"/>
        <v>0</v>
      </c>
      <c r="L24" s="198">
        <f t="shared" si="3"/>
        <v>0.93548387096774199</v>
      </c>
      <c r="M24" s="199" t="str">
        <f t="shared" si="15"/>
        <v>B</v>
      </c>
      <c r="P24" s="204"/>
      <c r="Q24" s="198"/>
    </row>
    <row r="25" spans="2:17" ht="15" outlineLevel="1" thickBot="1">
      <c r="B25" s="196" t="s">
        <v>1055</v>
      </c>
      <c r="C25" s="197">
        <f>'Юнит 17-23.11'!AE9</f>
        <v>-3866.133002</v>
      </c>
      <c r="D25" s="198">
        <f t="shared" si="11"/>
        <v>1.0300345816911622</v>
      </c>
      <c r="E25" s="198">
        <f t="shared" si="2"/>
        <v>1</v>
      </c>
      <c r="F25" s="199" t="str">
        <f t="shared" si="14"/>
        <v>C</v>
      </c>
      <c r="G25" s="199" t="str">
        <f t="shared" si="12"/>
        <v>B</v>
      </c>
      <c r="I25" s="196" t="s">
        <v>234</v>
      </c>
      <c r="J25" s="197">
        <f>'Юнит 17-23.11'!R24</f>
        <v>0</v>
      </c>
      <c r="K25" s="198">
        <f t="shared" si="13"/>
        <v>0</v>
      </c>
      <c r="L25" s="198">
        <f t="shared" si="3"/>
        <v>0.93548387096774199</v>
      </c>
      <c r="M25" s="199" t="str">
        <f t="shared" si="15"/>
        <v>B</v>
      </c>
      <c r="P25" s="204"/>
      <c r="Q25" s="198"/>
    </row>
    <row r="26" spans="2:17" outlineLevel="1">
      <c r="C26" s="205">
        <f>SUM(C4:C25)</f>
        <v>-3753.4011679999999</v>
      </c>
      <c r="D26" s="206">
        <f>SUM(D4:D25)</f>
        <v>1</v>
      </c>
      <c r="J26" s="205">
        <f>SUM(J4:J25)</f>
        <v>31</v>
      </c>
      <c r="K26" s="206">
        <f>SUM(K4:K25)</f>
        <v>1</v>
      </c>
    </row>
    <row r="27" spans="2:17" ht="15" thickBot="1"/>
    <row r="28" spans="2:17" ht="15" thickBot="1">
      <c r="B28" s="516" t="s">
        <v>304</v>
      </c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8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237</v>
      </c>
      <c r="C30" s="197">
        <f>'Юнит 17-23.11'!AE34</f>
        <v>1496.44</v>
      </c>
      <c r="D30" s="198">
        <f>C30/C$50</f>
        <v>-0.24383846840914614</v>
      </c>
      <c r="E30" s="198">
        <f>D30</f>
        <v>-0.24383846840914614</v>
      </c>
      <c r="F30" s="199" t="str">
        <f t="shared" ref="F30:F36" si="16">IF(AND(E30&lt;=0),"C",IF(E30&lt;=0.8,"A",IF(E30&lt;=0.95,"B","C")))</f>
        <v>C</v>
      </c>
      <c r="G30" s="199" t="str">
        <f>VLOOKUP(B$30:B$50,I$30:M$50,5,0)</f>
        <v>A</v>
      </c>
      <c r="I30" s="196" t="s">
        <v>43</v>
      </c>
      <c r="J30" s="197">
        <f>'Юнит 17-23.11'!R29</f>
        <v>-1</v>
      </c>
      <c r="K30" s="198">
        <f>J30/J$50</f>
        <v>-0.5</v>
      </c>
      <c r="L30" s="198">
        <f>K30</f>
        <v>-0.5</v>
      </c>
      <c r="M30" s="199" t="str">
        <f t="shared" ref="M30:M36" si="17">_xlfn.IFS(L30&lt;80%,"A",L30&lt;=95%,"B",L30&gt;95%,"C")</f>
        <v>A</v>
      </c>
    </row>
    <row r="31" spans="2:17" ht="15" thickBot="1">
      <c r="B31" s="196" t="s">
        <v>236</v>
      </c>
      <c r="C31" s="197">
        <f>'Юнит 17-23.11'!AE33</f>
        <v>957.76</v>
      </c>
      <c r="D31" s="198">
        <f t="shared" ref="D31:D49" si="18">C31/C$50</f>
        <v>-0.15606287689686441</v>
      </c>
      <c r="E31" s="198">
        <f>D31+E30</f>
        <v>-0.39990134530601051</v>
      </c>
      <c r="F31" s="199" t="str">
        <f t="shared" si="16"/>
        <v>C</v>
      </c>
      <c r="G31" s="199" t="str">
        <f t="shared" ref="G31:G49" si="19">VLOOKUP(B$30:B$50,I$30:M$50,5,0)</f>
        <v>A</v>
      </c>
      <c r="I31" s="196" t="s">
        <v>236</v>
      </c>
      <c r="J31" s="197">
        <f>'Юнит 17-23.11'!R33</f>
        <v>1</v>
      </c>
      <c r="K31" s="198">
        <f t="shared" ref="K31:K49" si="20">J31/J$50</f>
        <v>0.5</v>
      </c>
      <c r="L31" s="198">
        <f>K31+L30</f>
        <v>0</v>
      </c>
      <c r="M31" s="199" t="str">
        <f t="shared" si="17"/>
        <v>A</v>
      </c>
    </row>
    <row r="32" spans="2:17" ht="26.5" thickBot="1">
      <c r="B32" s="196" t="s">
        <v>98</v>
      </c>
      <c r="C32" s="197">
        <f>'Юнит 17-23.11'!AE28</f>
        <v>0</v>
      </c>
      <c r="D32" s="198">
        <f t="shared" si="18"/>
        <v>0</v>
      </c>
      <c r="E32" s="198">
        <f t="shared" ref="E32:E49" si="21">D32+E31</f>
        <v>-0.39990134530601051</v>
      </c>
      <c r="F32" s="199" t="str">
        <f t="shared" si="16"/>
        <v>C</v>
      </c>
      <c r="G32" s="199" t="str">
        <f t="shared" si="19"/>
        <v>C</v>
      </c>
      <c r="I32" s="196" t="s">
        <v>237</v>
      </c>
      <c r="J32" s="197">
        <f>'Юнит 17-23.11'!R34</f>
        <v>1</v>
      </c>
      <c r="K32" s="198">
        <f t="shared" si="20"/>
        <v>0.5</v>
      </c>
      <c r="L32" s="198">
        <f t="shared" ref="L32:L49" si="22">K32+L31</f>
        <v>0.5</v>
      </c>
      <c r="M32" s="199" t="str">
        <f t="shared" si="17"/>
        <v>A</v>
      </c>
    </row>
    <row r="33" spans="2:13" ht="26.5" thickBot="1">
      <c r="B33" s="196" t="s">
        <v>171</v>
      </c>
      <c r="C33" s="197">
        <f>'Юнит 17-23.11'!AE31</f>
        <v>0</v>
      </c>
      <c r="D33" s="198">
        <f t="shared" si="18"/>
        <v>0</v>
      </c>
      <c r="E33" s="198">
        <f t="shared" si="21"/>
        <v>-0.39990134530601051</v>
      </c>
      <c r="F33" s="199" t="str">
        <f t="shared" si="16"/>
        <v>C</v>
      </c>
      <c r="G33" s="199" t="str">
        <f t="shared" si="19"/>
        <v>C</v>
      </c>
      <c r="I33" s="196" t="s">
        <v>240</v>
      </c>
      <c r="J33" s="197">
        <f>'Юнит 17-23.11'!R39</f>
        <v>1</v>
      </c>
      <c r="K33" s="198">
        <f t="shared" si="20"/>
        <v>0.5</v>
      </c>
      <c r="L33" s="198">
        <f t="shared" si="22"/>
        <v>1</v>
      </c>
      <c r="M33" s="199" t="str">
        <f t="shared" si="17"/>
        <v>C</v>
      </c>
    </row>
    <row r="34" spans="2:13" ht="26.5" thickBot="1">
      <c r="B34" s="196" t="s">
        <v>39</v>
      </c>
      <c r="C34" s="197">
        <f>'Юнит 17-23.11'!AE32</f>
        <v>0</v>
      </c>
      <c r="D34" s="198">
        <f t="shared" si="18"/>
        <v>0</v>
      </c>
      <c r="E34" s="198">
        <f t="shared" si="21"/>
        <v>-0.39990134530601051</v>
      </c>
      <c r="F34" s="199" t="str">
        <f t="shared" si="16"/>
        <v>C</v>
      </c>
      <c r="G34" s="199" t="str">
        <f t="shared" si="19"/>
        <v>C</v>
      </c>
      <c r="I34" s="196" t="s">
        <v>98</v>
      </c>
      <c r="J34" s="197">
        <f>'Юнит 17-23.11'!R28</f>
        <v>0</v>
      </c>
      <c r="K34" s="198">
        <f t="shared" si="20"/>
        <v>0</v>
      </c>
      <c r="L34" s="198">
        <f t="shared" si="22"/>
        <v>1</v>
      </c>
      <c r="M34" s="199" t="str">
        <f t="shared" si="17"/>
        <v>C</v>
      </c>
    </row>
    <row r="35" spans="2:13" ht="26.5" thickBot="1">
      <c r="B35" s="196" t="s">
        <v>142</v>
      </c>
      <c r="C35" s="197">
        <f>'Юнит 17-23.11'!AE35</f>
        <v>0</v>
      </c>
      <c r="D35" s="198">
        <f t="shared" si="18"/>
        <v>0</v>
      </c>
      <c r="E35" s="198">
        <f t="shared" si="21"/>
        <v>-0.39990134530601051</v>
      </c>
      <c r="F35" s="199" t="str">
        <f t="shared" si="16"/>
        <v>C</v>
      </c>
      <c r="G35" s="199" t="str">
        <f t="shared" si="19"/>
        <v>C</v>
      </c>
      <c r="I35" s="196" t="s">
        <v>235</v>
      </c>
      <c r="J35" s="197">
        <f>'Юнит 17-23.11'!R30</f>
        <v>0</v>
      </c>
      <c r="K35" s="198">
        <f t="shared" si="20"/>
        <v>0</v>
      </c>
      <c r="L35" s="198">
        <f t="shared" si="22"/>
        <v>1</v>
      </c>
      <c r="M35" s="199" t="str">
        <f t="shared" si="17"/>
        <v>C</v>
      </c>
    </row>
    <row r="36" spans="2:13" ht="15" thickBot="1">
      <c r="B36" s="196" t="s">
        <v>238</v>
      </c>
      <c r="C36" s="197">
        <f>'Юнит 17-23.11'!AE36</f>
        <v>0</v>
      </c>
      <c r="D36" s="198">
        <f t="shared" si="18"/>
        <v>0</v>
      </c>
      <c r="E36" s="198">
        <f t="shared" si="21"/>
        <v>-0.39990134530601051</v>
      </c>
      <c r="F36" s="199" t="str">
        <f t="shared" si="16"/>
        <v>C</v>
      </c>
      <c r="G36" s="199" t="str">
        <f t="shared" si="19"/>
        <v>C</v>
      </c>
      <c r="I36" s="196" t="s">
        <v>171</v>
      </c>
      <c r="J36" s="197">
        <f>'Юнит 17-23.11'!R31</f>
        <v>0</v>
      </c>
      <c r="K36" s="198">
        <f t="shared" si="20"/>
        <v>0</v>
      </c>
      <c r="L36" s="198">
        <f t="shared" si="22"/>
        <v>1</v>
      </c>
      <c r="M36" s="199" t="str">
        <f t="shared" si="17"/>
        <v>C</v>
      </c>
    </row>
    <row r="37" spans="2:13" ht="15" thickBot="1">
      <c r="B37" s="196" t="s">
        <v>241</v>
      </c>
      <c r="C37" s="197">
        <f>'Юнит 17-23.11'!AE40</f>
        <v>0</v>
      </c>
      <c r="D37" s="198">
        <f t="shared" si="18"/>
        <v>0</v>
      </c>
      <c r="E37" s="198">
        <f t="shared" si="21"/>
        <v>-0.39990134530601051</v>
      </c>
      <c r="F37" s="199" t="str">
        <f>IF(AND(E37&lt;=0),"C",IF(E37&lt;=0.8,"A",IF(E37&lt;=0.95,"B","C")))</f>
        <v>C</v>
      </c>
      <c r="G37" s="199" t="str">
        <f t="shared" si="19"/>
        <v>C</v>
      </c>
      <c r="I37" s="196" t="s">
        <v>39</v>
      </c>
      <c r="J37" s="197">
        <f>'Юнит 17-23.11'!R32</f>
        <v>0</v>
      </c>
      <c r="K37" s="198">
        <f t="shared" si="20"/>
        <v>0</v>
      </c>
      <c r="L37" s="198">
        <f t="shared" si="22"/>
        <v>1</v>
      </c>
      <c r="M37" s="199" t="str">
        <f>_xlfn.IFS(L37&lt;80%,"A",L37&lt;=95%,"B",L37&gt;95%,"C")</f>
        <v>C</v>
      </c>
    </row>
    <row r="38" spans="2:13" ht="26.5" thickBot="1">
      <c r="B38" s="196" t="s">
        <v>243</v>
      </c>
      <c r="C38" s="197">
        <f>'Юнит 17-23.11'!AE42</f>
        <v>0</v>
      </c>
      <c r="D38" s="198">
        <f t="shared" si="18"/>
        <v>0</v>
      </c>
      <c r="E38" s="198">
        <f t="shared" si="21"/>
        <v>-0.39990134530601051</v>
      </c>
      <c r="F38" s="199" t="str">
        <f t="shared" ref="F38:F49" si="23">IF(AND(E38&lt;=0),"C",IF(E38&lt;=0.8,"A",IF(E38&lt;=0.95,"B","C")))</f>
        <v>C</v>
      </c>
      <c r="G38" s="199" t="str">
        <f t="shared" si="19"/>
        <v>C</v>
      </c>
      <c r="I38" s="196" t="s">
        <v>142</v>
      </c>
      <c r="J38" s="197">
        <f>'Юнит 17-23.11'!R35</f>
        <v>0</v>
      </c>
      <c r="K38" s="198">
        <f t="shared" si="20"/>
        <v>0</v>
      </c>
      <c r="L38" s="198">
        <f t="shared" si="22"/>
        <v>1</v>
      </c>
      <c r="M38" s="199" t="str">
        <f t="shared" ref="M38:M49" si="24">_xlfn.IFS(L38&lt;80%,"A",L38&lt;=95%,"B",L38&gt;95%,"C")</f>
        <v>C</v>
      </c>
    </row>
    <row r="39" spans="2:13" ht="26.5" thickBot="1">
      <c r="B39" s="196" t="s">
        <v>771</v>
      </c>
      <c r="C39" s="197">
        <f>'Юнит 17-23.11'!AE43</f>
        <v>0</v>
      </c>
      <c r="D39" s="198">
        <f t="shared" si="18"/>
        <v>0</v>
      </c>
      <c r="E39" s="198">
        <f t="shared" si="21"/>
        <v>-0.39990134530601051</v>
      </c>
      <c r="F39" s="199" t="str">
        <f t="shared" si="23"/>
        <v>C</v>
      </c>
      <c r="G39" s="199" t="str">
        <f t="shared" si="19"/>
        <v>C</v>
      </c>
      <c r="I39" s="196" t="s">
        <v>238</v>
      </c>
      <c r="J39" s="197">
        <f>'Юнит 17-23.11'!R36</f>
        <v>0</v>
      </c>
      <c r="K39" s="198">
        <f t="shared" si="20"/>
        <v>0</v>
      </c>
      <c r="L39" s="198">
        <f t="shared" si="22"/>
        <v>1</v>
      </c>
      <c r="M39" s="199" t="str">
        <f t="shared" si="24"/>
        <v>C</v>
      </c>
    </row>
    <row r="40" spans="2:13" ht="15" thickBot="1">
      <c r="B40" s="196" t="s">
        <v>66</v>
      </c>
      <c r="C40" s="197">
        <f>'Юнит 17-23.11'!AE46</f>
        <v>0</v>
      </c>
      <c r="D40" s="198">
        <f t="shared" si="18"/>
        <v>0</v>
      </c>
      <c r="E40" s="198">
        <f t="shared" si="21"/>
        <v>-0.39990134530601051</v>
      </c>
      <c r="F40" s="199" t="str">
        <f t="shared" si="23"/>
        <v>C</v>
      </c>
      <c r="G40" s="199" t="str">
        <f t="shared" si="19"/>
        <v>C</v>
      </c>
      <c r="I40" s="196" t="s">
        <v>62</v>
      </c>
      <c r="J40" s="197">
        <f>'Юнит 17-23.11'!R37</f>
        <v>0</v>
      </c>
      <c r="K40" s="198">
        <f t="shared" si="20"/>
        <v>0</v>
      </c>
      <c r="L40" s="198">
        <f t="shared" si="22"/>
        <v>1</v>
      </c>
      <c r="M40" s="199" t="str">
        <f t="shared" si="24"/>
        <v>C</v>
      </c>
    </row>
    <row r="41" spans="2:13" ht="26.5" thickBot="1">
      <c r="B41" s="196" t="s">
        <v>245</v>
      </c>
      <c r="C41" s="197">
        <f>'Юнит 17-23.11'!AE47</f>
        <v>0</v>
      </c>
      <c r="D41" s="198">
        <f t="shared" si="18"/>
        <v>0</v>
      </c>
      <c r="E41" s="198">
        <f t="shared" si="21"/>
        <v>-0.39990134530601051</v>
      </c>
      <c r="F41" s="199" t="str">
        <f t="shared" si="23"/>
        <v>C</v>
      </c>
      <c r="G41" s="199" t="str">
        <f t="shared" si="19"/>
        <v>C</v>
      </c>
      <c r="I41" s="196" t="s">
        <v>239</v>
      </c>
      <c r="J41" s="197">
        <f>'Юнит 17-23.11'!R38</f>
        <v>0</v>
      </c>
      <c r="K41" s="198">
        <f t="shared" si="20"/>
        <v>0</v>
      </c>
      <c r="L41" s="198">
        <f t="shared" si="22"/>
        <v>1</v>
      </c>
      <c r="M41" s="199" t="str">
        <f t="shared" si="24"/>
        <v>C</v>
      </c>
    </row>
    <row r="42" spans="2:13" ht="26.5" thickBot="1">
      <c r="B42" s="196" t="s">
        <v>235</v>
      </c>
      <c r="C42" s="197">
        <f>'Юнит 17-23.11'!AE30</f>
        <v>-112</v>
      </c>
      <c r="D42" s="198">
        <f t="shared" si="18"/>
        <v>1.8249918781791698E-2</v>
      </c>
      <c r="E42" s="198">
        <f t="shared" si="21"/>
        <v>-0.3816514265242188</v>
      </c>
      <c r="F42" s="199" t="str">
        <f t="shared" si="23"/>
        <v>C</v>
      </c>
      <c r="G42" s="199" t="str">
        <f t="shared" si="19"/>
        <v>C</v>
      </c>
      <c r="I42" s="196" t="s">
        <v>241</v>
      </c>
      <c r="J42" s="197">
        <f>'Юнит 17-23.11'!R40</f>
        <v>0</v>
      </c>
      <c r="K42" s="198">
        <f t="shared" si="20"/>
        <v>0</v>
      </c>
      <c r="L42" s="198">
        <f t="shared" si="22"/>
        <v>1</v>
      </c>
      <c r="M42" s="199" t="str">
        <f t="shared" si="24"/>
        <v>C</v>
      </c>
    </row>
    <row r="43" spans="2:13" ht="26.5" thickBot="1">
      <c r="B43" s="196" t="s">
        <v>62</v>
      </c>
      <c r="C43" s="197">
        <f>'Юнит 17-23.11'!AE37</f>
        <v>-112</v>
      </c>
      <c r="D43" s="198">
        <f t="shared" si="18"/>
        <v>1.8249918781791698E-2</v>
      </c>
      <c r="E43" s="198">
        <f t="shared" si="21"/>
        <v>-0.36340150774242708</v>
      </c>
      <c r="F43" s="199" t="str">
        <f t="shared" si="23"/>
        <v>C</v>
      </c>
      <c r="G43" s="199" t="str">
        <f t="shared" si="19"/>
        <v>C</v>
      </c>
      <c r="I43" s="196" t="s">
        <v>242</v>
      </c>
      <c r="J43" s="197">
        <f>'Юнит 17-23.11'!R41</f>
        <v>0</v>
      </c>
      <c r="K43" s="198">
        <f t="shared" si="20"/>
        <v>0</v>
      </c>
      <c r="L43" s="198">
        <f t="shared" si="22"/>
        <v>1</v>
      </c>
      <c r="M43" s="199" t="str">
        <f t="shared" si="24"/>
        <v>C</v>
      </c>
    </row>
    <row r="44" spans="2:13" ht="26.5" thickBot="1">
      <c r="B44" s="196" t="s">
        <v>239</v>
      </c>
      <c r="C44" s="197">
        <f>'Юнит 17-23.11'!AE38</f>
        <v>-112</v>
      </c>
      <c r="D44" s="198">
        <f t="shared" si="18"/>
        <v>1.8249918781791698E-2</v>
      </c>
      <c r="E44" s="198">
        <f t="shared" si="21"/>
        <v>-0.34515158896063536</v>
      </c>
      <c r="F44" s="199" t="str">
        <f t="shared" si="23"/>
        <v>C</v>
      </c>
      <c r="G44" s="199" t="str">
        <f t="shared" si="19"/>
        <v>C</v>
      </c>
      <c r="I44" s="196" t="s">
        <v>243</v>
      </c>
      <c r="J44" s="197">
        <f>'Юнит 17-23.11'!R42</f>
        <v>0</v>
      </c>
      <c r="K44" s="198">
        <f t="shared" si="20"/>
        <v>0</v>
      </c>
      <c r="L44" s="198">
        <f t="shared" si="22"/>
        <v>1</v>
      </c>
      <c r="M44" s="199" t="str">
        <f t="shared" si="24"/>
        <v>C</v>
      </c>
    </row>
    <row r="45" spans="2:13" ht="26.5" thickBot="1">
      <c r="B45" s="196" t="s">
        <v>242</v>
      </c>
      <c r="C45" s="197">
        <f>'Юнит 17-23.11'!AE41</f>
        <v>-112</v>
      </c>
      <c r="D45" s="198">
        <f t="shared" si="18"/>
        <v>1.8249918781791698E-2</v>
      </c>
      <c r="E45" s="198">
        <f t="shared" si="21"/>
        <v>-0.32690167017884364</v>
      </c>
      <c r="F45" s="199" t="str">
        <f t="shared" si="23"/>
        <v>C</v>
      </c>
      <c r="G45" s="199" t="str">
        <f t="shared" si="19"/>
        <v>C</v>
      </c>
      <c r="I45" s="196" t="s">
        <v>771</v>
      </c>
      <c r="J45" s="197">
        <f>'Юнит 17-23.11'!R43</f>
        <v>0</v>
      </c>
      <c r="K45" s="198">
        <f t="shared" si="20"/>
        <v>0</v>
      </c>
      <c r="L45" s="198">
        <f t="shared" si="22"/>
        <v>1</v>
      </c>
      <c r="M45" s="199" t="str">
        <f t="shared" si="24"/>
        <v>C</v>
      </c>
    </row>
    <row r="46" spans="2:13" ht="26.5" thickBot="1">
      <c r="B46" s="196" t="s">
        <v>51</v>
      </c>
      <c r="C46" s="197">
        <f>'Юнит 17-23.11'!AE44</f>
        <v>-224</v>
      </c>
      <c r="D46" s="198">
        <f t="shared" si="18"/>
        <v>3.6499837563583395E-2</v>
      </c>
      <c r="E46" s="198">
        <f t="shared" si="21"/>
        <v>-0.29040183261526026</v>
      </c>
      <c r="F46" s="199" t="str">
        <f t="shared" si="23"/>
        <v>C</v>
      </c>
      <c r="G46" s="199" t="str">
        <f t="shared" si="19"/>
        <v>C</v>
      </c>
      <c r="I46" s="196" t="s">
        <v>51</v>
      </c>
      <c r="J46" s="197">
        <f>'Юнит 17-23.11'!R44</f>
        <v>0</v>
      </c>
      <c r="K46" s="198">
        <f t="shared" si="20"/>
        <v>0</v>
      </c>
      <c r="L46" s="198">
        <f t="shared" si="22"/>
        <v>1</v>
      </c>
      <c r="M46" s="199" t="str">
        <f t="shared" si="24"/>
        <v>C</v>
      </c>
    </row>
    <row r="47" spans="2:13" ht="26.5" thickBot="1">
      <c r="B47" s="196" t="s">
        <v>240</v>
      </c>
      <c r="C47" s="197">
        <f>'Юнит 17-23.11'!AE39</f>
        <v>-1250.2070329999997</v>
      </c>
      <c r="D47" s="198">
        <f t="shared" si="18"/>
        <v>0.20371586439888184</v>
      </c>
      <c r="E47" s="198">
        <f t="shared" si="21"/>
        <v>-8.6685968216378417E-2</v>
      </c>
      <c r="F47" s="199" t="str">
        <f t="shared" si="23"/>
        <v>C</v>
      </c>
      <c r="G47" s="199" t="str">
        <f t="shared" si="19"/>
        <v>C</v>
      </c>
      <c r="I47" s="196" t="s">
        <v>70</v>
      </c>
      <c r="J47" s="197">
        <f>'Юнит 17-23.11'!R45</f>
        <v>0</v>
      </c>
      <c r="K47" s="198">
        <f t="shared" si="20"/>
        <v>0</v>
      </c>
      <c r="L47" s="198">
        <f t="shared" si="22"/>
        <v>1</v>
      </c>
      <c r="M47" s="199" t="str">
        <f t="shared" si="24"/>
        <v>C</v>
      </c>
    </row>
    <row r="48" spans="2:13" ht="26.5" thickBot="1">
      <c r="B48" s="196" t="s">
        <v>70</v>
      </c>
      <c r="C48" s="197">
        <f>'Юнит 17-23.11'!AE45</f>
        <v>-3576.27</v>
      </c>
      <c r="D48" s="198">
        <f t="shared" si="18"/>
        <v>0.58273783072998386</v>
      </c>
      <c r="E48" s="198">
        <f t="shared" si="21"/>
        <v>0.49605186251360545</v>
      </c>
      <c r="F48" s="199" t="str">
        <f t="shared" si="23"/>
        <v>A</v>
      </c>
      <c r="G48" s="199" t="str">
        <f t="shared" si="19"/>
        <v>C</v>
      </c>
      <c r="I48" s="196" t="s">
        <v>66</v>
      </c>
      <c r="J48" s="197">
        <f>'Юнит 17-23.11'!R46</f>
        <v>0</v>
      </c>
      <c r="K48" s="198">
        <f t="shared" si="20"/>
        <v>0</v>
      </c>
      <c r="L48" s="198">
        <f t="shared" si="22"/>
        <v>1</v>
      </c>
      <c r="M48" s="199" t="str">
        <f t="shared" si="24"/>
        <v>C</v>
      </c>
    </row>
    <row r="49" spans="2:13" ht="26.5" thickBot="1">
      <c r="B49" s="196" t="s">
        <v>43</v>
      </c>
      <c r="C49" s="197">
        <f>'Юнит 17-23.11'!AE29</f>
        <v>-3092.7365799999998</v>
      </c>
      <c r="D49" s="198">
        <f t="shared" si="18"/>
        <v>0.50394813748639478</v>
      </c>
      <c r="E49" s="198">
        <f t="shared" si="21"/>
        <v>1.0000000000000002</v>
      </c>
      <c r="F49" s="199" t="str">
        <f t="shared" si="23"/>
        <v>C</v>
      </c>
      <c r="G49" s="199" t="str">
        <f t="shared" si="19"/>
        <v>A</v>
      </c>
      <c r="I49" s="196" t="s">
        <v>245</v>
      </c>
      <c r="J49" s="197">
        <f>'Юнит 17-23.11'!R47</f>
        <v>0</v>
      </c>
      <c r="K49" s="198">
        <f t="shared" si="20"/>
        <v>0</v>
      </c>
      <c r="L49" s="198">
        <f t="shared" si="22"/>
        <v>1</v>
      </c>
      <c r="M49" s="199" t="str">
        <f t="shared" si="24"/>
        <v>C</v>
      </c>
    </row>
    <row r="50" spans="2:13">
      <c r="C50" s="205">
        <f>SUM(C30:C49)</f>
        <v>-6137.0136129999992</v>
      </c>
      <c r="D50" s="206">
        <f>SUM(D30:D49)</f>
        <v>1.0000000000000002</v>
      </c>
      <c r="J50" s="205">
        <f>SUM(J30:J49)</f>
        <v>2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42" priority="4" operator="equal">
      <formula>"C"</formula>
    </cfRule>
    <cfRule type="cellIs" dxfId="341" priority="5" operator="equal">
      <formula>"B"</formula>
    </cfRule>
    <cfRule type="cellIs" dxfId="340" priority="6" operator="equal">
      <formula>"A"</formula>
    </cfRule>
  </conditionalFormatting>
  <conditionalFormatting sqref="M30:M49 D30:D49 K30:K49 F30:G49">
    <cfRule type="cellIs" dxfId="339" priority="1" operator="equal">
      <formula>"C"</formula>
    </cfRule>
    <cfRule type="cellIs" dxfId="338" priority="2" operator="equal">
      <formula>"B"</formula>
    </cfRule>
    <cfRule type="cellIs" dxfId="337" priority="3" operator="equal">
      <formula>"A"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2BEE1-BDE4-4372-8EAE-F782F77AA030}">
  <dimension ref="B1:Q50"/>
  <sheetViews>
    <sheetView topLeftCell="A10" workbookViewId="0">
      <selection activeCell="G9" sqref="G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223</v>
      </c>
      <c r="C4" s="197">
        <f>'Юнит 10-16.11'!AE6</f>
        <v>1496.3232609999945</v>
      </c>
      <c r="D4" s="198">
        <f t="shared" ref="D4:D21" si="0">C4/C$26</f>
        <v>-0.51665164694743704</v>
      </c>
      <c r="E4" s="198">
        <f>D4</f>
        <v>-0.51665164694743704</v>
      </c>
      <c r="F4" s="199" t="str">
        <f t="shared" ref="F4:F10" si="1">IF(AND(E4&lt;=0),"C",IF(E4&lt;=0.8,"A",IF(E4&lt;=0.95,"B","C")))</f>
        <v>C</v>
      </c>
      <c r="G4" s="199" t="str">
        <f t="shared" ref="G4:G21" si="2">VLOOKUP(B$4:B$23,I$4:M$25,5,0)</f>
        <v>A</v>
      </c>
      <c r="I4" s="196" t="s">
        <v>223</v>
      </c>
      <c r="J4" s="197">
        <f>'Юнит 10-16.11'!R6</f>
        <v>15</v>
      </c>
      <c r="K4" s="198">
        <f t="shared" ref="K4:K21" si="3">J4/J$26</f>
        <v>0.57692307692307687</v>
      </c>
      <c r="L4" s="198">
        <f>K4</f>
        <v>0.57692307692307687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226</v>
      </c>
      <c r="C5" s="197">
        <f>'Юнит 10-16.11'!AE13</f>
        <v>998.62000000000035</v>
      </c>
      <c r="D5" s="198">
        <f t="shared" si="0"/>
        <v>-0.34480428201714064</v>
      </c>
      <c r="E5" s="198">
        <f>D5+E4</f>
        <v>-0.86145592896457768</v>
      </c>
      <c r="F5" s="199" t="str">
        <f t="shared" si="1"/>
        <v>C</v>
      </c>
      <c r="G5" s="199" t="str">
        <f t="shared" si="2"/>
        <v>B</v>
      </c>
      <c r="I5" s="196" t="s">
        <v>25</v>
      </c>
      <c r="J5" s="197">
        <f>'Юнит 10-16.11'!R3</f>
        <v>5</v>
      </c>
      <c r="K5" s="198">
        <f t="shared" si="3"/>
        <v>0.19230769230769232</v>
      </c>
      <c r="L5" s="198">
        <f>K5+L4</f>
        <v>0.76923076923076916</v>
      </c>
      <c r="M5" s="199" t="str">
        <f t="shared" si="4"/>
        <v>A</v>
      </c>
    </row>
    <row r="6" spans="2:17" ht="28.5" customHeight="1" outlineLevel="1" thickBot="1">
      <c r="B6" s="196" t="s">
        <v>224</v>
      </c>
      <c r="C6" s="197">
        <f>'Юнит 10-16.11'!AE11</f>
        <v>702.11000000000013</v>
      </c>
      <c r="D6" s="198">
        <f t="shared" si="0"/>
        <v>-0.24242508105891589</v>
      </c>
      <c r="E6" s="198">
        <f t="shared" ref="E6:E25" si="5">D6+E5</f>
        <v>-1.1038810100234935</v>
      </c>
      <c r="F6" s="199" t="str">
        <f t="shared" si="1"/>
        <v>C</v>
      </c>
      <c r="G6" s="199" t="str">
        <f t="shared" si="2"/>
        <v>B</v>
      </c>
      <c r="I6" s="196" t="s">
        <v>88</v>
      </c>
      <c r="J6" s="197">
        <f>'Юнит 10-16.11'!R10</f>
        <v>1</v>
      </c>
      <c r="K6" s="198">
        <f t="shared" si="3"/>
        <v>3.8461538461538464E-2</v>
      </c>
      <c r="L6" s="198">
        <f t="shared" ref="L6:L25" si="6">K6+L5</f>
        <v>0.8076923076923076</v>
      </c>
      <c r="M6" s="199" t="str">
        <f t="shared" si="4"/>
        <v>B</v>
      </c>
    </row>
    <row r="7" spans="2:17" ht="28.5" customHeight="1" outlineLevel="1" thickBot="1">
      <c r="B7" s="196" t="s">
        <v>227</v>
      </c>
      <c r="C7" s="197">
        <f>'Юнит 10-16.11'!AE14</f>
        <v>702.11000000000013</v>
      </c>
      <c r="D7" s="198">
        <f t="shared" si="0"/>
        <v>-0.24242508105891589</v>
      </c>
      <c r="E7" s="198">
        <f t="shared" si="5"/>
        <v>-1.3463060910824094</v>
      </c>
      <c r="F7" s="199" t="str">
        <f t="shared" si="1"/>
        <v>C</v>
      </c>
      <c r="G7" s="199" t="str">
        <f t="shared" si="2"/>
        <v>C</v>
      </c>
      <c r="I7" s="196" t="s">
        <v>226</v>
      </c>
      <c r="J7" s="197">
        <f>'Юнит 10-16.11'!R13</f>
        <v>2</v>
      </c>
      <c r="K7" s="198">
        <f t="shared" si="3"/>
        <v>7.6923076923076927E-2</v>
      </c>
      <c r="L7" s="198">
        <f t="shared" si="6"/>
        <v>0.88461538461538458</v>
      </c>
      <c r="M7" s="199" t="str">
        <f t="shared" si="4"/>
        <v>B</v>
      </c>
    </row>
    <row r="8" spans="2:17" ht="28.5" customHeight="1" outlineLevel="1" thickBot="1">
      <c r="B8" s="196" t="s">
        <v>25</v>
      </c>
      <c r="C8" s="197">
        <f>'Юнит 10-16.11'!AE3</f>
        <v>116.76000000000056</v>
      </c>
      <c r="D8" s="198">
        <f t="shared" si="0"/>
        <v>-4.0314982644370757E-2</v>
      </c>
      <c r="E8" s="198">
        <f t="shared" si="5"/>
        <v>-1.3866210737267801</v>
      </c>
      <c r="F8" s="199" t="str">
        <f t="shared" si="1"/>
        <v>C</v>
      </c>
      <c r="G8" s="199" t="str">
        <f t="shared" si="2"/>
        <v>A</v>
      </c>
      <c r="I8" s="196" t="s">
        <v>224</v>
      </c>
      <c r="J8" s="197">
        <f>'Юнит 10-16.11'!R11</f>
        <v>1</v>
      </c>
      <c r="K8" s="198">
        <f t="shared" si="3"/>
        <v>3.8461538461538464E-2</v>
      </c>
      <c r="L8" s="198">
        <f t="shared" si="6"/>
        <v>0.92307692307692302</v>
      </c>
      <c r="M8" s="199" t="str">
        <f t="shared" si="4"/>
        <v>B</v>
      </c>
    </row>
    <row r="9" spans="2:17" ht="28.5" customHeight="1" outlineLevel="1" thickBot="1">
      <c r="B9" s="196" t="s">
        <v>92</v>
      </c>
      <c r="C9" s="197">
        <f>'Юнит 10-16.11'!AE4</f>
        <v>0</v>
      </c>
      <c r="D9" s="198">
        <f t="shared" si="0"/>
        <v>0</v>
      </c>
      <c r="E9" s="198">
        <f t="shared" si="5"/>
        <v>-1.3866210737267801</v>
      </c>
      <c r="F9" s="199" t="str">
        <f t="shared" si="1"/>
        <v>C</v>
      </c>
      <c r="G9" s="199" t="str">
        <f t="shared" si="2"/>
        <v>C</v>
      </c>
      <c r="I9" s="196" t="s">
        <v>227</v>
      </c>
      <c r="J9" s="197">
        <f>'Юнит 10-16.11'!R14</f>
        <v>1</v>
      </c>
      <c r="K9" s="198">
        <f t="shared" si="3"/>
        <v>3.8461538461538464E-2</v>
      </c>
      <c r="L9" s="198">
        <f t="shared" si="6"/>
        <v>0.96153846153846145</v>
      </c>
      <c r="M9" s="199" t="str">
        <f t="shared" si="4"/>
        <v>C</v>
      </c>
    </row>
    <row r="10" spans="2:17" ht="28.5" customHeight="1" outlineLevel="1" thickBot="1">
      <c r="B10" s="196" t="s">
        <v>222</v>
      </c>
      <c r="C10" s="197">
        <f>'Юнит 10-16.11'!AE5</f>
        <v>0</v>
      </c>
      <c r="D10" s="198">
        <f t="shared" si="0"/>
        <v>0</v>
      </c>
      <c r="E10" s="198">
        <f t="shared" si="5"/>
        <v>-1.3866210737267801</v>
      </c>
      <c r="F10" s="199" t="str">
        <f t="shared" si="1"/>
        <v>C</v>
      </c>
      <c r="G10" s="199" t="str">
        <f t="shared" si="2"/>
        <v>C</v>
      </c>
      <c r="I10" s="196" t="s">
        <v>228</v>
      </c>
      <c r="J10" s="197">
        <f>'Юнит 10-16.11'!R15</f>
        <v>1</v>
      </c>
      <c r="K10" s="198">
        <f t="shared" si="3"/>
        <v>3.8461538461538464E-2</v>
      </c>
      <c r="L10" s="198">
        <f t="shared" si="6"/>
        <v>0.99999999999999989</v>
      </c>
      <c r="M10" s="199" t="str">
        <f t="shared" si="4"/>
        <v>C</v>
      </c>
    </row>
    <row r="11" spans="2:17" ht="15" outlineLevel="1" thickBot="1">
      <c r="B11" s="196" t="s">
        <v>1055</v>
      </c>
      <c r="C11" s="197">
        <f>'Юнит 10-16.11'!AE9</f>
        <v>0</v>
      </c>
      <c r="D11" s="198">
        <f t="shared" si="0"/>
        <v>0</v>
      </c>
      <c r="E11" s="198">
        <f t="shared" si="5"/>
        <v>-1.3866210737267801</v>
      </c>
      <c r="F11" s="199" t="str">
        <f>IF(AND(E11&lt;=0),"C",IF(E11&lt;=0.8,"A",IF(E11&lt;=0.95,"B","C")))</f>
        <v>C</v>
      </c>
      <c r="G11" s="199" t="str">
        <f t="shared" si="2"/>
        <v>C</v>
      </c>
      <c r="I11" s="196" t="s">
        <v>92</v>
      </c>
      <c r="J11" s="197">
        <f>'Юнит 10-16.11'!R4</f>
        <v>0</v>
      </c>
      <c r="K11" s="198">
        <f t="shared" si="3"/>
        <v>0</v>
      </c>
      <c r="L11" s="198">
        <f t="shared" si="6"/>
        <v>0.99999999999999989</v>
      </c>
      <c r="M11" s="199" t="str">
        <f>_xlfn.IFS(L11&lt;80%,"A",L11&lt;=95%,"B",L11&gt;95%,"C")</f>
        <v>C</v>
      </c>
      <c r="P11" s="200" t="s">
        <v>301</v>
      </c>
      <c r="Q11" s="201">
        <v>0.8</v>
      </c>
    </row>
    <row r="12" spans="2:17" ht="15" outlineLevel="1" thickBot="1">
      <c r="B12" s="196" t="s">
        <v>225</v>
      </c>
      <c r="C12" s="197">
        <f>'Юнит 10-16.11'!AE12</f>
        <v>0</v>
      </c>
      <c r="D12" s="198">
        <f t="shared" si="0"/>
        <v>0</v>
      </c>
      <c r="E12" s="198">
        <f t="shared" si="5"/>
        <v>-1.3866210737267801</v>
      </c>
      <c r="F12" s="199" t="str">
        <f t="shared" ref="F12:F25" si="7">IF(AND(E12&lt;=0),"C",IF(E12&lt;=0.8,"A",IF(E12&lt;=0.95,"B","C")))</f>
        <v>C</v>
      </c>
      <c r="G12" s="199" t="str">
        <f t="shared" si="2"/>
        <v>C</v>
      </c>
      <c r="I12" s="196" t="s">
        <v>222</v>
      </c>
      <c r="J12" s="197">
        <f>'Юнит 10-16.11'!R5</f>
        <v>0</v>
      </c>
      <c r="K12" s="198">
        <f t="shared" si="3"/>
        <v>0</v>
      </c>
      <c r="L12" s="198">
        <f t="shared" si="6"/>
        <v>0.99999999999999989</v>
      </c>
      <c r="M12" s="199" t="str">
        <f t="shared" ref="M12:M25" si="8">_xlfn.IFS(L12&lt;80%,"A",L12&lt;=95%,"B",L12&gt;95%,"C")</f>
        <v>C</v>
      </c>
      <c r="P12" s="202" t="s">
        <v>302</v>
      </c>
      <c r="Q12" s="201">
        <v>0.15</v>
      </c>
    </row>
    <row r="13" spans="2:17" ht="15" outlineLevel="1" thickBot="1">
      <c r="B13" s="196" t="s">
        <v>229</v>
      </c>
      <c r="C13" s="197">
        <f>'Юнит 10-16.11'!AE17</f>
        <v>0</v>
      </c>
      <c r="D13" s="198">
        <f t="shared" si="0"/>
        <v>0</v>
      </c>
      <c r="E13" s="198">
        <f t="shared" si="5"/>
        <v>-1.3866210737267801</v>
      </c>
      <c r="F13" s="199" t="str">
        <f t="shared" si="7"/>
        <v>C</v>
      </c>
      <c r="G13" s="199" t="str">
        <f t="shared" si="2"/>
        <v>C</v>
      </c>
      <c r="I13" s="196" t="s">
        <v>54</v>
      </c>
      <c r="J13" s="197">
        <f>'Юнит 10-16.11'!R7</f>
        <v>0</v>
      </c>
      <c r="K13" s="198">
        <f t="shared" si="3"/>
        <v>0</v>
      </c>
      <c r="L13" s="198">
        <f t="shared" si="6"/>
        <v>0.99999999999999989</v>
      </c>
      <c r="M13" s="199" t="str">
        <f t="shared" si="8"/>
        <v>C</v>
      </c>
      <c r="P13" s="203" t="s">
        <v>303</v>
      </c>
      <c r="Q13" s="201">
        <v>0.05</v>
      </c>
    </row>
    <row r="14" spans="2:17" ht="15" outlineLevel="1" thickBot="1">
      <c r="B14" s="196" t="s">
        <v>230</v>
      </c>
      <c r="C14" s="197">
        <f>'Юнит 10-16.11'!AE18</f>
        <v>0</v>
      </c>
      <c r="D14" s="198">
        <f t="shared" si="0"/>
        <v>0</v>
      </c>
      <c r="E14" s="198">
        <f t="shared" si="5"/>
        <v>-1.3866210737267801</v>
      </c>
      <c r="F14" s="199" t="str">
        <f t="shared" si="7"/>
        <v>C</v>
      </c>
      <c r="G14" s="199" t="str">
        <f t="shared" si="2"/>
        <v>C</v>
      </c>
      <c r="I14" s="196" t="s">
        <v>1054</v>
      </c>
      <c r="J14" s="197">
        <f>'Юнит 10-16.11'!R8</f>
        <v>0</v>
      </c>
      <c r="K14" s="198">
        <f t="shared" si="3"/>
        <v>0</v>
      </c>
      <c r="L14" s="198">
        <f t="shared" si="6"/>
        <v>0.99999999999999989</v>
      </c>
      <c r="M14" s="199" t="str">
        <f t="shared" si="8"/>
        <v>C</v>
      </c>
      <c r="P14" s="204"/>
      <c r="Q14" s="198"/>
    </row>
    <row r="15" spans="2:17" ht="15" outlineLevel="1" thickBot="1">
      <c r="B15" s="196" t="s">
        <v>231</v>
      </c>
      <c r="C15" s="197">
        <f>'Юнит 10-16.11'!AE19</f>
        <v>0</v>
      </c>
      <c r="D15" s="198">
        <f t="shared" si="0"/>
        <v>0</v>
      </c>
      <c r="E15" s="198">
        <f t="shared" si="5"/>
        <v>-1.3866210737267801</v>
      </c>
      <c r="F15" s="199" t="str">
        <f t="shared" si="7"/>
        <v>C</v>
      </c>
      <c r="G15" s="199" t="str">
        <f t="shared" si="2"/>
        <v>C</v>
      </c>
      <c r="I15" s="196" t="s">
        <v>1055</v>
      </c>
      <c r="J15" s="197">
        <f>'Юнит 10-16.11'!R9</f>
        <v>0</v>
      </c>
      <c r="K15" s="198">
        <f t="shared" si="3"/>
        <v>0</v>
      </c>
      <c r="L15" s="198">
        <f t="shared" si="6"/>
        <v>0.99999999999999989</v>
      </c>
      <c r="M15" s="199" t="str">
        <f t="shared" si="8"/>
        <v>C</v>
      </c>
      <c r="P15" s="204"/>
      <c r="Q15" s="198"/>
    </row>
    <row r="16" spans="2:17" ht="15" outlineLevel="1" thickBot="1">
      <c r="B16" s="196" t="s">
        <v>136</v>
      </c>
      <c r="C16" s="197">
        <f>'Юнит 10-16.11'!AE22</f>
        <v>0</v>
      </c>
      <c r="D16" s="198">
        <f t="shared" si="0"/>
        <v>0</v>
      </c>
      <c r="E16" s="198">
        <f t="shared" si="5"/>
        <v>-1.3866210737267801</v>
      </c>
      <c r="F16" s="199" t="str">
        <f t="shared" si="7"/>
        <v>C</v>
      </c>
      <c r="G16" s="199" t="str">
        <f t="shared" si="2"/>
        <v>C</v>
      </c>
      <c r="I16" s="196" t="s">
        <v>225</v>
      </c>
      <c r="J16" s="197">
        <f>'Юнит 10-16.11'!R12</f>
        <v>0</v>
      </c>
      <c r="K16" s="198">
        <f t="shared" si="3"/>
        <v>0</v>
      </c>
      <c r="L16" s="198">
        <f t="shared" si="6"/>
        <v>0.99999999999999989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233</v>
      </c>
      <c r="C17" s="197">
        <f>'Юнит 10-16.11'!AE23</f>
        <v>0</v>
      </c>
      <c r="D17" s="198">
        <f t="shared" si="0"/>
        <v>0</v>
      </c>
      <c r="E17" s="198">
        <f t="shared" si="5"/>
        <v>-1.3866210737267801</v>
      </c>
      <c r="F17" s="199" t="str">
        <f t="shared" si="7"/>
        <v>C</v>
      </c>
      <c r="G17" s="199" t="str">
        <f t="shared" si="2"/>
        <v>C</v>
      </c>
      <c r="I17" s="196" t="s">
        <v>19</v>
      </c>
      <c r="J17" s="197">
        <f>'Юнит 10-16.11'!R16</f>
        <v>0</v>
      </c>
      <c r="K17" s="198">
        <f t="shared" si="3"/>
        <v>0</v>
      </c>
      <c r="L17" s="198">
        <f t="shared" si="6"/>
        <v>0.99999999999999989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234</v>
      </c>
      <c r="C18" s="197">
        <f>'Юнит 10-16.11'!AE24</f>
        <v>0</v>
      </c>
      <c r="D18" s="198">
        <f t="shared" si="0"/>
        <v>0</v>
      </c>
      <c r="E18" s="198">
        <f t="shared" si="5"/>
        <v>-1.3866210737267801</v>
      </c>
      <c r="F18" s="199" t="str">
        <f t="shared" si="7"/>
        <v>C</v>
      </c>
      <c r="G18" s="199" t="str">
        <f t="shared" si="2"/>
        <v>C</v>
      </c>
      <c r="I18" s="196" t="s">
        <v>229</v>
      </c>
      <c r="J18" s="197">
        <f>'Юнит 10-16.11'!R17</f>
        <v>0</v>
      </c>
      <c r="K18" s="198">
        <f t="shared" si="3"/>
        <v>0</v>
      </c>
      <c r="L18" s="198">
        <f t="shared" si="6"/>
        <v>0.99999999999999989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54</v>
      </c>
      <c r="C19" s="197">
        <f>'Юнит 10-16.11'!AE7</f>
        <v>-184</v>
      </c>
      <c r="D19" s="198">
        <f t="shared" si="0"/>
        <v>6.3531661584139976E-2</v>
      </c>
      <c r="E19" s="198">
        <f t="shared" si="5"/>
        <v>-1.3230894121426402</v>
      </c>
      <c r="F19" s="199" t="str">
        <f t="shared" si="7"/>
        <v>C</v>
      </c>
      <c r="G19" s="199" t="str">
        <f t="shared" si="2"/>
        <v>C</v>
      </c>
      <c r="I19" s="196" t="s">
        <v>230</v>
      </c>
      <c r="J19" s="197">
        <f>'Юнит 10-16.11'!R18</f>
        <v>0</v>
      </c>
      <c r="K19" s="198">
        <f t="shared" si="3"/>
        <v>0</v>
      </c>
      <c r="L19" s="198">
        <f t="shared" si="6"/>
        <v>0.99999999999999989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111</v>
      </c>
      <c r="C20" s="197">
        <f>'Юнит 10-16.11'!AE20</f>
        <v>-377.96732400000002</v>
      </c>
      <c r="D20" s="198">
        <f t="shared" si="0"/>
        <v>0.13050484846864668</v>
      </c>
      <c r="E20" s="198">
        <f t="shared" si="5"/>
        <v>-1.1925845636739936</v>
      </c>
      <c r="F20" s="199" t="str">
        <f t="shared" si="7"/>
        <v>C</v>
      </c>
      <c r="G20" s="199" t="str">
        <f t="shared" si="2"/>
        <v>C</v>
      </c>
      <c r="I20" s="196" t="s">
        <v>231</v>
      </c>
      <c r="J20" s="197">
        <f>'Юнит 10-16.11'!R19</f>
        <v>0</v>
      </c>
      <c r="K20" s="198">
        <f t="shared" si="3"/>
        <v>0</v>
      </c>
      <c r="L20" s="198">
        <f t="shared" si="6"/>
        <v>0.99999999999999989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19</v>
      </c>
      <c r="C21" s="197">
        <f>'Юнит 10-16.11'!AE16</f>
        <v>-414</v>
      </c>
      <c r="D21" s="198">
        <f t="shared" si="0"/>
        <v>0.14294623856431493</v>
      </c>
      <c r="E21" s="198">
        <f t="shared" si="5"/>
        <v>-1.0496383251096786</v>
      </c>
      <c r="F21" s="199" t="str">
        <f t="shared" si="7"/>
        <v>C</v>
      </c>
      <c r="G21" s="199" t="str">
        <f t="shared" si="2"/>
        <v>C</v>
      </c>
      <c r="I21" s="196" t="s">
        <v>111</v>
      </c>
      <c r="J21" s="197">
        <f>'Юнит 10-16.11'!R20</f>
        <v>0</v>
      </c>
      <c r="K21" s="198">
        <f t="shared" si="3"/>
        <v>0</v>
      </c>
      <c r="L21" s="198">
        <f t="shared" si="6"/>
        <v>0.99999999999999989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232</v>
      </c>
      <c r="C22" s="197">
        <f>'Юнит 10-16.11'!AE21</f>
        <v>-1167.3058410000001</v>
      </c>
      <c r="D22" s="198">
        <f t="shared" ref="D22:D23" si="9">C22/C$26</f>
        <v>0.40304825899783647</v>
      </c>
      <c r="E22" s="198">
        <f t="shared" ref="E22:E23" si="10">D22+E21</f>
        <v>-0.64659006611184211</v>
      </c>
      <c r="F22" s="199" t="str">
        <f t="shared" ref="F22:F23" si="11">IF(AND(E22&lt;=0),"C",IF(E22&lt;=0.8,"A",IF(E22&lt;=0.95,"B","C")))</f>
        <v>C</v>
      </c>
      <c r="G22" s="199" t="str">
        <f t="shared" ref="G22:G23" si="12">VLOOKUP(B$4:B$23,I$4:M$25,5,0)</f>
        <v>C</v>
      </c>
      <c r="I22" s="196" t="s">
        <v>232</v>
      </c>
      <c r="J22" s="197">
        <f>'Юнит 10-16.11'!R21</f>
        <v>0</v>
      </c>
      <c r="K22" s="198">
        <f t="shared" ref="K22:K23" si="13">J22/J$26</f>
        <v>0</v>
      </c>
      <c r="L22" s="198">
        <f t="shared" ref="L22:L23" si="14">K22+L21</f>
        <v>0.99999999999999989</v>
      </c>
      <c r="M22" s="199" t="str">
        <f t="shared" ref="M22:M23" si="15">_xlfn.IFS(L22&lt;80%,"A",L22&lt;=95%,"B",L22&gt;95%,"C")</f>
        <v>C</v>
      </c>
      <c r="P22" s="204"/>
      <c r="Q22" s="198"/>
    </row>
    <row r="23" spans="2:17" ht="15" outlineLevel="1" thickBot="1">
      <c r="B23" s="196" t="s">
        <v>1054</v>
      </c>
      <c r="C23" s="197">
        <f>'Юнит 10-16.11'!AE8</f>
        <v>-1413.153497</v>
      </c>
      <c r="D23" s="198">
        <f t="shared" si="9"/>
        <v>0.48793472683613026</v>
      </c>
      <c r="E23" s="198">
        <f t="shared" si="10"/>
        <v>-0.15865533927571185</v>
      </c>
      <c r="F23" s="199" t="str">
        <f t="shared" si="11"/>
        <v>C</v>
      </c>
      <c r="G23" s="199" t="str">
        <f t="shared" si="12"/>
        <v>C</v>
      </c>
      <c r="I23" s="196" t="s">
        <v>136</v>
      </c>
      <c r="J23" s="197">
        <f>'Юнит 10-16.11'!R22</f>
        <v>0</v>
      </c>
      <c r="K23" s="198">
        <f t="shared" si="13"/>
        <v>0</v>
      </c>
      <c r="L23" s="198">
        <f t="shared" si="14"/>
        <v>0.99999999999999989</v>
      </c>
      <c r="M23" s="199" t="str">
        <f t="shared" si="15"/>
        <v>C</v>
      </c>
      <c r="P23" s="204"/>
      <c r="Q23" s="198"/>
    </row>
    <row r="24" spans="2:17" ht="26.5" outlineLevel="1" thickBot="1">
      <c r="B24" s="196" t="s">
        <v>228</v>
      </c>
      <c r="C24" s="197">
        <f>'Юнит 10-16.11'!AE15</f>
        <v>-1827.35943</v>
      </c>
      <c r="D24" s="198">
        <f>C24/C$26</f>
        <v>0.63095207010514631</v>
      </c>
      <c r="E24" s="198">
        <f>D24+E21</f>
        <v>-0.41868625500453227</v>
      </c>
      <c r="F24" s="199" t="str">
        <f t="shared" si="7"/>
        <v>C</v>
      </c>
      <c r="G24" s="199" t="str">
        <f>VLOOKUP(B$4:B$25,I$4:M$25,5,0)</f>
        <v>C</v>
      </c>
      <c r="I24" s="196" t="s">
        <v>233</v>
      </c>
      <c r="J24" s="197">
        <f>'Юнит 10-16.11'!R23</f>
        <v>0</v>
      </c>
      <c r="K24" s="198">
        <f>J24/J$26</f>
        <v>0</v>
      </c>
      <c r="L24" s="198">
        <f>K24+L21</f>
        <v>0.99999999999999989</v>
      </c>
      <c r="M24" s="199" t="str">
        <f t="shared" si="8"/>
        <v>C</v>
      </c>
      <c r="P24" s="204"/>
      <c r="Q24" s="198"/>
    </row>
    <row r="25" spans="2:17" ht="15" outlineLevel="1" thickBot="1">
      <c r="B25" s="196" t="s">
        <v>88</v>
      </c>
      <c r="C25" s="197">
        <f>'Юнит 10-16.11'!AE10</f>
        <v>-1528.3308999999999</v>
      </c>
      <c r="D25" s="198">
        <f>C25/C$26</f>
        <v>0.52770326917056554</v>
      </c>
      <c r="E25" s="198">
        <f t="shared" si="5"/>
        <v>0.10901701416603327</v>
      </c>
      <c r="F25" s="199" t="str">
        <f t="shared" si="7"/>
        <v>A</v>
      </c>
      <c r="G25" s="199" t="str">
        <f>VLOOKUP(B$4:B$25,I$4:M$25,5,0)</f>
        <v>B</v>
      </c>
      <c r="I25" s="196" t="s">
        <v>234</v>
      </c>
      <c r="J25" s="197">
        <f>'Юнит 10-16.11'!R24</f>
        <v>0</v>
      </c>
      <c r="K25" s="198">
        <f>J25/J$26</f>
        <v>0</v>
      </c>
      <c r="L25" s="198">
        <f t="shared" si="6"/>
        <v>0.99999999999999989</v>
      </c>
      <c r="M25" s="199" t="str">
        <f t="shared" si="8"/>
        <v>C</v>
      </c>
      <c r="P25" s="204"/>
      <c r="Q25" s="198"/>
    </row>
    <row r="26" spans="2:17" outlineLevel="1">
      <c r="C26" s="205">
        <f>SUM(C4:C25)</f>
        <v>-2896.1937310000044</v>
      </c>
      <c r="D26" s="206">
        <f>SUM(D4:D25)</f>
        <v>1</v>
      </c>
      <c r="J26" s="205">
        <f>SUM(J4:J25)</f>
        <v>26</v>
      </c>
      <c r="K26" s="206">
        <f>SUM(K4:K25)</f>
        <v>0.99999999999999989</v>
      </c>
    </row>
    <row r="27" spans="2:17" ht="15" thickBot="1"/>
    <row r="28" spans="2:17" ht="15" thickBot="1">
      <c r="B28" s="516" t="s">
        <v>304</v>
      </c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8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236</v>
      </c>
      <c r="C30" s="197">
        <f>'Юнит 10-16.11'!AE33</f>
        <v>957.76</v>
      </c>
      <c r="D30" s="198">
        <f>C30/C$50</f>
        <v>-0.31348417650798432</v>
      </c>
      <c r="E30" s="198">
        <f>D30</f>
        <v>-0.31348417650798432</v>
      </c>
      <c r="F30" s="199" t="str">
        <f t="shared" ref="F30:F36" si="16">IF(AND(E30&lt;=0),"C",IF(E30&lt;=0.8,"A",IF(E30&lt;=0.95,"B","C")))</f>
        <v>C</v>
      </c>
      <c r="G30" s="199" t="str">
        <f>VLOOKUP(B$30:B$50,I$30:M$50,5,0)</f>
        <v>A</v>
      </c>
      <c r="I30" s="196" t="s">
        <v>240</v>
      </c>
      <c r="J30" s="197">
        <f>'Юнит 10-16.11'!R39</f>
        <v>2</v>
      </c>
      <c r="K30" s="198">
        <f>J30/J$50</f>
        <v>0.5</v>
      </c>
      <c r="L30" s="198">
        <f>K30</f>
        <v>0.5</v>
      </c>
      <c r="M30" s="199" t="str">
        <f t="shared" ref="M30:M36" si="17">_xlfn.IFS(L30&lt;80%,"A",L30&lt;=95%,"B",L30&gt;95%,"C")</f>
        <v>A</v>
      </c>
    </row>
    <row r="31" spans="2:17" ht="26.5" thickBot="1">
      <c r="B31" s="196" t="s">
        <v>70</v>
      </c>
      <c r="C31" s="197">
        <f>'Юнит 10-16.11'!AE45</f>
        <v>792</v>
      </c>
      <c r="D31" s="198">
        <f t="shared" ref="D31:D49" si="18">C31/C$50</f>
        <v>-0.2592293140184635</v>
      </c>
      <c r="E31" s="198">
        <f>D31+E30</f>
        <v>-0.57271349052644782</v>
      </c>
      <c r="F31" s="199" t="str">
        <f t="shared" si="16"/>
        <v>C</v>
      </c>
      <c r="G31" s="199" t="str">
        <f t="shared" ref="G31:G49" si="19">VLOOKUP(B$30:B$50,I$30:M$50,5,0)</f>
        <v>C</v>
      </c>
      <c r="I31" s="196" t="s">
        <v>236</v>
      </c>
      <c r="J31" s="197">
        <f>'Юнит 10-16.11'!R33</f>
        <v>1</v>
      </c>
      <c r="K31" s="198">
        <f t="shared" ref="K31:K49" si="20">J31/J$50</f>
        <v>0.25</v>
      </c>
      <c r="L31" s="198">
        <f>K31+L30</f>
        <v>0.75</v>
      </c>
      <c r="M31" s="199" t="str">
        <f t="shared" si="17"/>
        <v>A</v>
      </c>
    </row>
    <row r="32" spans="2:17" ht="26.5" thickBot="1">
      <c r="B32" s="196" t="s">
        <v>51</v>
      </c>
      <c r="C32" s="197">
        <f>'Юнит 10-16.11'!AE44</f>
        <v>409.98656800000003</v>
      </c>
      <c r="D32" s="198">
        <f t="shared" si="18"/>
        <v>-0.13419259694371735</v>
      </c>
      <c r="E32" s="198">
        <f t="shared" ref="E32:E49" si="21">D32+E31</f>
        <v>-0.70690608747016515</v>
      </c>
      <c r="F32" s="199" t="str">
        <f t="shared" si="16"/>
        <v>C</v>
      </c>
      <c r="G32" s="199" t="str">
        <f t="shared" si="19"/>
        <v>A</v>
      </c>
      <c r="I32" s="196" t="s">
        <v>62</v>
      </c>
      <c r="J32" s="197">
        <f>'Юнит 10-16.11'!R37</f>
        <v>-1</v>
      </c>
      <c r="K32" s="198">
        <f t="shared" si="20"/>
        <v>-0.25</v>
      </c>
      <c r="L32" s="198">
        <f t="shared" ref="L32:L49" si="22">K32+L31</f>
        <v>0.5</v>
      </c>
      <c r="M32" s="199" t="str">
        <f t="shared" si="17"/>
        <v>A</v>
      </c>
    </row>
    <row r="33" spans="2:13" ht="26.5" thickBot="1">
      <c r="B33" s="196" t="s">
        <v>240</v>
      </c>
      <c r="C33" s="197">
        <f>'Юнит 10-16.11'!AE39</f>
        <v>303.28236599999991</v>
      </c>
      <c r="D33" s="198">
        <f t="shared" si="18"/>
        <v>-9.9267272338480497E-2</v>
      </c>
      <c r="E33" s="198">
        <f t="shared" si="21"/>
        <v>-0.80617335980864568</v>
      </c>
      <c r="F33" s="199" t="str">
        <f t="shared" si="16"/>
        <v>C</v>
      </c>
      <c r="G33" s="199" t="str">
        <f t="shared" si="19"/>
        <v>A</v>
      </c>
      <c r="I33" s="196" t="s">
        <v>51</v>
      </c>
      <c r="J33" s="197">
        <f>'Юнит 10-16.11'!R44</f>
        <v>1</v>
      </c>
      <c r="K33" s="198">
        <f t="shared" si="20"/>
        <v>0.25</v>
      </c>
      <c r="L33" s="198">
        <f t="shared" si="22"/>
        <v>0.75</v>
      </c>
      <c r="M33" s="199" t="str">
        <f t="shared" si="17"/>
        <v>A</v>
      </c>
    </row>
    <row r="34" spans="2:13" ht="26.5" thickBot="1">
      <c r="B34" s="196" t="s">
        <v>98</v>
      </c>
      <c r="C34" s="197">
        <f>'Юнит 10-16.11'!AE28</f>
        <v>0</v>
      </c>
      <c r="D34" s="198">
        <f t="shared" si="18"/>
        <v>0</v>
      </c>
      <c r="E34" s="198">
        <f t="shared" si="21"/>
        <v>-0.80617335980864568</v>
      </c>
      <c r="F34" s="199" t="str">
        <f t="shared" si="16"/>
        <v>C</v>
      </c>
      <c r="G34" s="199" t="str">
        <f t="shared" si="19"/>
        <v>C</v>
      </c>
      <c r="I34" s="196" t="s">
        <v>70</v>
      </c>
      <c r="J34" s="197">
        <f>'Юнит 10-16.11'!R45</f>
        <v>1</v>
      </c>
      <c r="K34" s="198">
        <f t="shared" si="20"/>
        <v>0.25</v>
      </c>
      <c r="L34" s="198">
        <f t="shared" si="22"/>
        <v>1</v>
      </c>
      <c r="M34" s="199" t="str">
        <f t="shared" si="17"/>
        <v>C</v>
      </c>
    </row>
    <row r="35" spans="2:13" ht="26.5" thickBot="1">
      <c r="B35" s="196" t="s">
        <v>235</v>
      </c>
      <c r="C35" s="197">
        <f>'Юнит 10-16.11'!AE30</f>
        <v>0</v>
      </c>
      <c r="D35" s="198">
        <f t="shared" si="18"/>
        <v>0</v>
      </c>
      <c r="E35" s="198">
        <f t="shared" si="21"/>
        <v>-0.80617335980864568</v>
      </c>
      <c r="F35" s="199" t="str">
        <f t="shared" si="16"/>
        <v>C</v>
      </c>
      <c r="G35" s="199" t="str">
        <f t="shared" si="19"/>
        <v>C</v>
      </c>
      <c r="I35" s="196" t="s">
        <v>98</v>
      </c>
      <c r="J35" s="197">
        <f>'Юнит 10-16.11'!R28</f>
        <v>0</v>
      </c>
      <c r="K35" s="198">
        <f t="shared" si="20"/>
        <v>0</v>
      </c>
      <c r="L35" s="198">
        <f t="shared" si="22"/>
        <v>1</v>
      </c>
      <c r="M35" s="199" t="str">
        <f t="shared" si="17"/>
        <v>C</v>
      </c>
    </row>
    <row r="36" spans="2:13" ht="26.5" thickBot="1">
      <c r="B36" s="196" t="s">
        <v>39</v>
      </c>
      <c r="C36" s="197">
        <f>'Юнит 10-16.11'!AE32</f>
        <v>0</v>
      </c>
      <c r="D36" s="198">
        <f t="shared" si="18"/>
        <v>0</v>
      </c>
      <c r="E36" s="198">
        <f t="shared" si="21"/>
        <v>-0.80617335980864568</v>
      </c>
      <c r="F36" s="199" t="str">
        <f t="shared" si="16"/>
        <v>C</v>
      </c>
      <c r="G36" s="199" t="str">
        <f t="shared" si="19"/>
        <v>C</v>
      </c>
      <c r="I36" s="196" t="s">
        <v>43</v>
      </c>
      <c r="J36" s="197">
        <f>'Юнит 10-16.11'!R29</f>
        <v>0</v>
      </c>
      <c r="K36" s="198">
        <f t="shared" si="20"/>
        <v>0</v>
      </c>
      <c r="L36" s="198">
        <f t="shared" si="22"/>
        <v>1</v>
      </c>
      <c r="M36" s="199" t="str">
        <f t="shared" si="17"/>
        <v>C</v>
      </c>
    </row>
    <row r="37" spans="2:13" ht="26.5" thickBot="1">
      <c r="B37" s="196" t="s">
        <v>237</v>
      </c>
      <c r="C37" s="197">
        <f>'Юнит 10-16.11'!AE34</f>
        <v>0</v>
      </c>
      <c r="D37" s="198">
        <f t="shared" si="18"/>
        <v>0</v>
      </c>
      <c r="E37" s="198">
        <f t="shared" si="21"/>
        <v>-0.80617335980864568</v>
      </c>
      <c r="F37" s="199" t="str">
        <f>IF(AND(E37&lt;=0),"C",IF(E37&lt;=0.8,"A",IF(E37&lt;=0.95,"B","C")))</f>
        <v>C</v>
      </c>
      <c r="G37" s="199" t="str">
        <f t="shared" si="19"/>
        <v>C</v>
      </c>
      <c r="I37" s="196" t="s">
        <v>235</v>
      </c>
      <c r="J37" s="197">
        <f>'Юнит 10-16.11'!R30</f>
        <v>0</v>
      </c>
      <c r="K37" s="198">
        <f t="shared" si="20"/>
        <v>0</v>
      </c>
      <c r="L37" s="198">
        <f t="shared" si="22"/>
        <v>1</v>
      </c>
      <c r="M37" s="199" t="str">
        <f>_xlfn.IFS(L37&lt;80%,"A",L37&lt;=95%,"B",L37&gt;95%,"C")</f>
        <v>C</v>
      </c>
    </row>
    <row r="38" spans="2:13" ht="15" thickBot="1">
      <c r="B38" s="196" t="s">
        <v>142</v>
      </c>
      <c r="C38" s="197">
        <f>'Юнит 10-16.11'!AE35</f>
        <v>0</v>
      </c>
      <c r="D38" s="198">
        <f t="shared" si="18"/>
        <v>0</v>
      </c>
      <c r="E38" s="198">
        <f t="shared" si="21"/>
        <v>-0.80617335980864568</v>
      </c>
      <c r="F38" s="199" t="str">
        <f t="shared" ref="F38:F49" si="23">IF(AND(E38&lt;=0),"C",IF(E38&lt;=0.8,"A",IF(E38&lt;=0.95,"B","C")))</f>
        <v>C</v>
      </c>
      <c r="G38" s="199" t="str">
        <f t="shared" si="19"/>
        <v>C</v>
      </c>
      <c r="I38" s="196" t="s">
        <v>171</v>
      </c>
      <c r="J38" s="197">
        <f>'Юнит 10-16.11'!R31</f>
        <v>0</v>
      </c>
      <c r="K38" s="198">
        <f t="shared" si="20"/>
        <v>0</v>
      </c>
      <c r="L38" s="198">
        <f t="shared" si="22"/>
        <v>1</v>
      </c>
      <c r="M38" s="199" t="str">
        <f t="shared" ref="M38:M49" si="24">_xlfn.IFS(L38&lt;80%,"A",L38&lt;=95%,"B",L38&gt;95%,"C")</f>
        <v>C</v>
      </c>
    </row>
    <row r="39" spans="2:13" ht="15" thickBot="1">
      <c r="B39" s="196" t="s">
        <v>241</v>
      </c>
      <c r="C39" s="197">
        <f>'Юнит 10-16.11'!AE40</f>
        <v>0</v>
      </c>
      <c r="D39" s="198">
        <f t="shared" si="18"/>
        <v>0</v>
      </c>
      <c r="E39" s="198">
        <f t="shared" si="21"/>
        <v>-0.80617335980864568</v>
      </c>
      <c r="F39" s="199" t="str">
        <f t="shared" si="23"/>
        <v>C</v>
      </c>
      <c r="G39" s="199" t="str">
        <f t="shared" si="19"/>
        <v>C</v>
      </c>
      <c r="I39" s="196" t="s">
        <v>39</v>
      </c>
      <c r="J39" s="197">
        <f>'Юнит 10-16.11'!R32</f>
        <v>0</v>
      </c>
      <c r="K39" s="198">
        <f t="shared" si="20"/>
        <v>0</v>
      </c>
      <c r="L39" s="198">
        <f t="shared" si="22"/>
        <v>1</v>
      </c>
      <c r="M39" s="199" t="str">
        <f t="shared" si="24"/>
        <v>C</v>
      </c>
    </row>
    <row r="40" spans="2:13" ht="26.5" thickBot="1">
      <c r="B40" s="196" t="s">
        <v>771</v>
      </c>
      <c r="C40" s="197">
        <f>'Юнит 10-16.11'!AE43</f>
        <v>0</v>
      </c>
      <c r="D40" s="198">
        <f t="shared" si="18"/>
        <v>0</v>
      </c>
      <c r="E40" s="198">
        <f t="shared" si="21"/>
        <v>-0.80617335980864568</v>
      </c>
      <c r="F40" s="199" t="str">
        <f t="shared" si="23"/>
        <v>C</v>
      </c>
      <c r="G40" s="199" t="str">
        <f t="shared" si="19"/>
        <v>C</v>
      </c>
      <c r="I40" s="196" t="s">
        <v>237</v>
      </c>
      <c r="J40" s="197">
        <f>'Юнит 10-16.11'!R34</f>
        <v>0</v>
      </c>
      <c r="K40" s="198">
        <f t="shared" si="20"/>
        <v>0</v>
      </c>
      <c r="L40" s="198">
        <f t="shared" si="22"/>
        <v>1</v>
      </c>
      <c r="M40" s="199" t="str">
        <f t="shared" si="24"/>
        <v>C</v>
      </c>
    </row>
    <row r="41" spans="2:13" ht="15" thickBot="1">
      <c r="B41" s="196" t="s">
        <v>66</v>
      </c>
      <c r="C41" s="197">
        <f>'Юнит 10-16.11'!AE46</f>
        <v>0</v>
      </c>
      <c r="D41" s="198">
        <f t="shared" si="18"/>
        <v>0</v>
      </c>
      <c r="E41" s="198">
        <f t="shared" si="21"/>
        <v>-0.80617335980864568</v>
      </c>
      <c r="F41" s="199" t="str">
        <f t="shared" si="23"/>
        <v>C</v>
      </c>
      <c r="G41" s="199" t="str">
        <f t="shared" si="19"/>
        <v>C</v>
      </c>
      <c r="I41" s="196" t="s">
        <v>142</v>
      </c>
      <c r="J41" s="197">
        <f>'Юнит 10-16.11'!R35</f>
        <v>0</v>
      </c>
      <c r="K41" s="198">
        <f t="shared" si="20"/>
        <v>0</v>
      </c>
      <c r="L41" s="198">
        <f t="shared" si="22"/>
        <v>1</v>
      </c>
      <c r="M41" s="199" t="str">
        <f t="shared" si="24"/>
        <v>C</v>
      </c>
    </row>
    <row r="42" spans="2:13" ht="26.5" thickBot="1">
      <c r="B42" s="196" t="s">
        <v>245</v>
      </c>
      <c r="C42" s="197">
        <f>'Юнит 10-16.11'!AE47</f>
        <v>0</v>
      </c>
      <c r="D42" s="198">
        <f t="shared" si="18"/>
        <v>0</v>
      </c>
      <c r="E42" s="198">
        <f t="shared" si="21"/>
        <v>-0.80617335980864568</v>
      </c>
      <c r="F42" s="199" t="str">
        <f t="shared" si="23"/>
        <v>C</v>
      </c>
      <c r="G42" s="199" t="str">
        <f t="shared" si="19"/>
        <v>C</v>
      </c>
      <c r="I42" s="196" t="s">
        <v>238</v>
      </c>
      <c r="J42" s="197">
        <f>'Юнит 10-16.11'!R36</f>
        <v>0</v>
      </c>
      <c r="K42" s="198">
        <f t="shared" si="20"/>
        <v>0</v>
      </c>
      <c r="L42" s="198">
        <f t="shared" si="22"/>
        <v>1</v>
      </c>
      <c r="M42" s="199" t="str">
        <f t="shared" si="24"/>
        <v>C</v>
      </c>
    </row>
    <row r="43" spans="2:13" ht="26.5" thickBot="1">
      <c r="B43" s="196" t="s">
        <v>242</v>
      </c>
      <c r="C43" s="197">
        <f>'Юнит 10-16.11'!AE41</f>
        <v>-56</v>
      </c>
      <c r="D43" s="198">
        <f t="shared" si="18"/>
        <v>1.8329345435648934E-2</v>
      </c>
      <c r="E43" s="198">
        <f t="shared" si="21"/>
        <v>-0.78784401437299678</v>
      </c>
      <c r="F43" s="199" t="str">
        <f t="shared" si="23"/>
        <v>C</v>
      </c>
      <c r="G43" s="199" t="str">
        <f t="shared" si="19"/>
        <v>C</v>
      </c>
      <c r="I43" s="196" t="s">
        <v>239</v>
      </c>
      <c r="J43" s="197">
        <f>'Юнит 10-16.11'!R38</f>
        <v>0</v>
      </c>
      <c r="K43" s="198">
        <f t="shared" si="20"/>
        <v>0</v>
      </c>
      <c r="L43" s="198">
        <f t="shared" si="22"/>
        <v>1</v>
      </c>
      <c r="M43" s="199" t="str">
        <f t="shared" si="24"/>
        <v>C</v>
      </c>
    </row>
    <row r="44" spans="2:13" ht="15" thickBot="1">
      <c r="B44" s="196" t="s">
        <v>171</v>
      </c>
      <c r="C44" s="197">
        <f>'Юнит 10-16.11'!AE31</f>
        <v>-112</v>
      </c>
      <c r="D44" s="198">
        <f t="shared" si="18"/>
        <v>3.6658690871297868E-2</v>
      </c>
      <c r="E44" s="198">
        <f t="shared" si="21"/>
        <v>-0.75118532350169887</v>
      </c>
      <c r="F44" s="199" t="str">
        <f t="shared" si="23"/>
        <v>C</v>
      </c>
      <c r="G44" s="199" t="str">
        <f t="shared" si="19"/>
        <v>C</v>
      </c>
      <c r="I44" s="196" t="s">
        <v>241</v>
      </c>
      <c r="J44" s="197">
        <f>'Юнит 10-16.11'!R40</f>
        <v>0</v>
      </c>
      <c r="K44" s="198">
        <f t="shared" si="20"/>
        <v>0</v>
      </c>
      <c r="L44" s="198">
        <f t="shared" si="22"/>
        <v>1</v>
      </c>
      <c r="M44" s="199" t="str">
        <f t="shared" si="24"/>
        <v>C</v>
      </c>
    </row>
    <row r="45" spans="2:13" ht="26.5" thickBot="1">
      <c r="B45" s="196" t="s">
        <v>239</v>
      </c>
      <c r="C45" s="197">
        <f>'Юнит 10-16.11'!AE38</f>
        <v>-224</v>
      </c>
      <c r="D45" s="198">
        <f t="shared" si="18"/>
        <v>7.3317381742595736E-2</v>
      </c>
      <c r="E45" s="198">
        <f t="shared" si="21"/>
        <v>-0.67786794175910314</v>
      </c>
      <c r="F45" s="199" t="str">
        <f t="shared" si="23"/>
        <v>C</v>
      </c>
      <c r="G45" s="199" t="str">
        <f t="shared" si="19"/>
        <v>C</v>
      </c>
      <c r="I45" s="196" t="s">
        <v>242</v>
      </c>
      <c r="J45" s="197">
        <f>'Юнит 10-16.11'!R41</f>
        <v>0</v>
      </c>
      <c r="K45" s="198">
        <f t="shared" si="20"/>
        <v>0</v>
      </c>
      <c r="L45" s="198">
        <f t="shared" si="22"/>
        <v>1</v>
      </c>
      <c r="M45" s="199" t="str">
        <f t="shared" si="24"/>
        <v>C</v>
      </c>
    </row>
    <row r="46" spans="2:13" ht="26.5" thickBot="1">
      <c r="B46" s="196" t="s">
        <v>238</v>
      </c>
      <c r="C46" s="197">
        <f>'Юнит 10-16.11'!AE36</f>
        <v>-444.13986899999998</v>
      </c>
      <c r="D46" s="198">
        <f t="shared" si="18"/>
        <v>0.14537130501151543</v>
      </c>
      <c r="E46" s="198">
        <f t="shared" si="21"/>
        <v>-0.53249663674758774</v>
      </c>
      <c r="F46" s="199" t="str">
        <f t="shared" si="23"/>
        <v>C</v>
      </c>
      <c r="G46" s="199" t="str">
        <f t="shared" si="19"/>
        <v>C</v>
      </c>
      <c r="I46" s="196" t="s">
        <v>243</v>
      </c>
      <c r="J46" s="197">
        <f>'Юнит 10-16.11'!R42</f>
        <v>0</v>
      </c>
      <c r="K46" s="198">
        <f t="shared" si="20"/>
        <v>0</v>
      </c>
      <c r="L46" s="198">
        <f t="shared" si="22"/>
        <v>1</v>
      </c>
      <c r="M46" s="199" t="str">
        <f t="shared" si="24"/>
        <v>C</v>
      </c>
    </row>
    <row r="47" spans="2:13" ht="26.5" thickBot="1">
      <c r="B47" s="196" t="s">
        <v>243</v>
      </c>
      <c r="C47" s="197">
        <f>'Юнит 10-16.11'!AE42</f>
        <v>-976.42566599999998</v>
      </c>
      <c r="D47" s="198">
        <f t="shared" si="18"/>
        <v>0.31959363079192088</v>
      </c>
      <c r="E47" s="198">
        <f t="shared" si="21"/>
        <v>-0.21290300595566686</v>
      </c>
      <c r="F47" s="199" t="str">
        <f t="shared" si="23"/>
        <v>C</v>
      </c>
      <c r="G47" s="199" t="str">
        <f t="shared" si="19"/>
        <v>C</v>
      </c>
      <c r="I47" s="196" t="s">
        <v>771</v>
      </c>
      <c r="J47" s="197">
        <f>'Юнит 10-16.11'!R43</f>
        <v>0</v>
      </c>
      <c r="K47" s="198">
        <f t="shared" si="20"/>
        <v>0</v>
      </c>
      <c r="L47" s="198">
        <f t="shared" si="22"/>
        <v>1</v>
      </c>
      <c r="M47" s="199" t="str">
        <f t="shared" si="24"/>
        <v>C</v>
      </c>
    </row>
    <row r="48" spans="2:13" ht="26.5" thickBot="1">
      <c r="B48" s="196" t="s">
        <v>43</v>
      </c>
      <c r="C48" s="197">
        <f>'Юнит 10-16.11'!AE29</f>
        <v>-1144.6734280000001</v>
      </c>
      <c r="D48" s="198">
        <f t="shared" si="18"/>
        <v>0.37466276201465032</v>
      </c>
      <c r="E48" s="198">
        <f t="shared" si="21"/>
        <v>0.16175975605898346</v>
      </c>
      <c r="F48" s="199" t="str">
        <f t="shared" si="23"/>
        <v>A</v>
      </c>
      <c r="G48" s="199" t="str">
        <f t="shared" si="19"/>
        <v>C</v>
      </c>
      <c r="I48" s="196" t="s">
        <v>66</v>
      </c>
      <c r="J48" s="197">
        <f>'Юнит 10-16.11'!R46</f>
        <v>0</v>
      </c>
      <c r="K48" s="198">
        <f t="shared" si="20"/>
        <v>0</v>
      </c>
      <c r="L48" s="198">
        <f t="shared" si="22"/>
        <v>1</v>
      </c>
      <c r="M48" s="199" t="str">
        <f t="shared" si="24"/>
        <v>C</v>
      </c>
    </row>
    <row r="49" spans="2:13" ht="26.5" thickBot="1">
      <c r="B49" s="196" t="s">
        <v>62</v>
      </c>
      <c r="C49" s="197">
        <f>'Юнит 10-16.11'!AE37</f>
        <v>-2561</v>
      </c>
      <c r="D49" s="198">
        <f t="shared" si="18"/>
        <v>0.83824024394101637</v>
      </c>
      <c r="E49" s="198">
        <f t="shared" si="21"/>
        <v>0.99999999999999978</v>
      </c>
      <c r="F49" s="199" t="str">
        <f t="shared" si="23"/>
        <v>C</v>
      </c>
      <c r="G49" s="199" t="str">
        <f t="shared" si="19"/>
        <v>A</v>
      </c>
      <c r="I49" s="196" t="s">
        <v>245</v>
      </c>
      <c r="J49" s="197">
        <f>'Юнит 10-16.11'!R47</f>
        <v>0</v>
      </c>
      <c r="K49" s="198">
        <f t="shared" si="20"/>
        <v>0</v>
      </c>
      <c r="L49" s="198">
        <f t="shared" si="22"/>
        <v>1</v>
      </c>
      <c r="M49" s="199" t="str">
        <f t="shared" si="24"/>
        <v>C</v>
      </c>
    </row>
    <row r="50" spans="2:13">
      <c r="C50" s="205">
        <f>SUM(C30:C49)</f>
        <v>-3055.2100290000003</v>
      </c>
      <c r="D50" s="206">
        <f>SUM(D30:D49)</f>
        <v>0.99999999999999978</v>
      </c>
      <c r="J50" s="205">
        <f>SUM(J30:J49)</f>
        <v>4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36" priority="4" operator="equal">
      <formula>"C"</formula>
    </cfRule>
    <cfRule type="cellIs" dxfId="335" priority="5" operator="equal">
      <formula>"B"</formula>
    </cfRule>
    <cfRule type="cellIs" dxfId="334" priority="6" operator="equal">
      <formula>"A"</formula>
    </cfRule>
  </conditionalFormatting>
  <conditionalFormatting sqref="M30:M49 D30:D49 K30:K49 F30:G49">
    <cfRule type="cellIs" dxfId="333" priority="1" operator="equal">
      <formula>"C"</formula>
    </cfRule>
    <cfRule type="cellIs" dxfId="332" priority="2" operator="equal">
      <formula>"B"</formula>
    </cfRule>
    <cfRule type="cellIs" dxfId="331" priority="3" operator="equal">
      <formula>"A"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0CB6-A9D3-42AB-AAF3-E4CFD6C0D16D}">
  <dimension ref="B1:Q50"/>
  <sheetViews>
    <sheetView topLeftCell="A52" workbookViewId="0">
      <selection activeCell="I32" sqref="I3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226</v>
      </c>
      <c r="C4" s="197">
        <f>'Юнит 03-09.11'!AE13</f>
        <v>428.90000000000009</v>
      </c>
      <c r="D4" s="198">
        <f>C4/C$26</f>
        <v>-0.12202799436280745</v>
      </c>
      <c r="E4" s="198">
        <f>D4</f>
        <v>-0.12202799436280745</v>
      </c>
      <c r="F4" s="199" t="str">
        <f t="shared" ref="F4:F12" si="0">IF(AND(E4&lt;=0),"C",IF(E4&lt;=0.8,"A",IF(E4&lt;=0.95,"B","C")))</f>
        <v>C</v>
      </c>
      <c r="G4" s="199" t="str">
        <f>VLOOKUP(B$4:B$25,I$4:M$25,5,0)</f>
        <v>C</v>
      </c>
      <c r="I4" s="196" t="s">
        <v>223</v>
      </c>
      <c r="J4" s="197">
        <f>'Юнит 03-09.11'!R6</f>
        <v>6</v>
      </c>
      <c r="K4" s="198">
        <f>J4/J$26</f>
        <v>0.6</v>
      </c>
      <c r="L4" s="198">
        <f>K4</f>
        <v>0.6</v>
      </c>
      <c r="M4" s="199" t="str">
        <f t="shared" ref="M4:M12" si="1">_xlfn.IFS(L4&lt;80%,"A",L4&lt;=95%,"B",L4&gt;95%,"C")</f>
        <v>A</v>
      </c>
    </row>
    <row r="5" spans="2:17" ht="28.5" customHeight="1" outlineLevel="1" thickBot="1">
      <c r="B5" s="196" t="s">
        <v>227</v>
      </c>
      <c r="C5" s="197">
        <f>'Юнит 03-09.11'!AE14</f>
        <v>170.98664500000018</v>
      </c>
      <c r="D5" s="198">
        <f>C5/C$26</f>
        <v>-4.8648070301178306E-2</v>
      </c>
      <c r="E5" s="198">
        <f>D5+E4</f>
        <v>-0.17067606466398577</v>
      </c>
      <c r="F5" s="199" t="str">
        <f t="shared" si="0"/>
        <v>C</v>
      </c>
      <c r="G5" s="199" t="str">
        <f>VLOOKUP(B$4:B$25,I$4:M$25,5,0)</f>
        <v>B</v>
      </c>
      <c r="I5" s="196" t="s">
        <v>227</v>
      </c>
      <c r="J5" s="197">
        <f>'Юнит 03-09.11'!R14</f>
        <v>2</v>
      </c>
      <c r="K5" s="198">
        <f>J5/J$26</f>
        <v>0.2</v>
      </c>
      <c r="L5" s="198">
        <f>K5+L4</f>
        <v>0.8</v>
      </c>
      <c r="M5" s="199" t="str">
        <f t="shared" si="1"/>
        <v>B</v>
      </c>
    </row>
    <row r="6" spans="2:17" ht="28.5" customHeight="1" outlineLevel="1" thickBot="1">
      <c r="B6" s="196" t="s">
        <v>222</v>
      </c>
      <c r="C6" s="197">
        <f>'Юнит 03-09.11'!AE5</f>
        <v>0</v>
      </c>
      <c r="D6" s="198">
        <f t="shared" ref="D6:D7" si="2">C6/C$26</f>
        <v>0</v>
      </c>
      <c r="E6" s="198">
        <f t="shared" ref="E6:E7" si="3">D6+E5</f>
        <v>-0.17067606466398577</v>
      </c>
      <c r="F6" s="199" t="str">
        <f t="shared" ref="F6:F7" si="4">IF(AND(E6&lt;=0),"C",IF(E6&lt;=0.8,"A",IF(E6&lt;=0.95,"B","C")))</f>
        <v>C</v>
      </c>
      <c r="G6" s="199" t="str">
        <f t="shared" ref="G6:G7" si="5">VLOOKUP(B$4:B$25,I$4:M$25,5,0)</f>
        <v>B</v>
      </c>
      <c r="I6" s="196" t="s">
        <v>88</v>
      </c>
      <c r="J6" s="197">
        <f>'Юнит 03-09.11'!R10</f>
        <v>1</v>
      </c>
      <c r="K6" s="198">
        <f>J6/J$26</f>
        <v>0.1</v>
      </c>
      <c r="L6" s="198">
        <f>K6+L5</f>
        <v>0.9</v>
      </c>
      <c r="M6" s="199" t="str">
        <f t="shared" ref="M6:M7" si="6">_xlfn.IFS(L6&lt;80%,"A",L6&lt;=95%,"B",L6&gt;95%,"C")</f>
        <v>B</v>
      </c>
    </row>
    <row r="7" spans="2:17" ht="28.5" customHeight="1" outlineLevel="1" thickBot="1">
      <c r="B7" s="196" t="s">
        <v>1054</v>
      </c>
      <c r="C7" s="197">
        <f>'Юнит 03-09.11'!AE8</f>
        <v>0</v>
      </c>
      <c r="D7" s="198">
        <f t="shared" si="2"/>
        <v>0</v>
      </c>
      <c r="E7" s="198">
        <f t="shared" si="3"/>
        <v>-0.17067606466398577</v>
      </c>
      <c r="F7" s="199" t="str">
        <f t="shared" si="4"/>
        <v>C</v>
      </c>
      <c r="G7" s="199" t="str">
        <f t="shared" si="5"/>
        <v>B</v>
      </c>
      <c r="I7" s="196" t="s">
        <v>226</v>
      </c>
      <c r="J7" s="197">
        <f>'Юнит 03-09.11'!R13</f>
        <v>1</v>
      </c>
      <c r="K7" s="198">
        <f t="shared" ref="K7" si="7">J7/J$26</f>
        <v>0.1</v>
      </c>
      <c r="L7" s="198">
        <f t="shared" ref="L7" si="8">K7+L6</f>
        <v>1</v>
      </c>
      <c r="M7" s="199" t="str">
        <f t="shared" si="6"/>
        <v>C</v>
      </c>
    </row>
    <row r="8" spans="2:17" ht="28.5" customHeight="1" outlineLevel="1" thickBot="1">
      <c r="B8" s="196" t="s">
        <v>1055</v>
      </c>
      <c r="C8" s="197">
        <f>'Юнит 03-09.11'!AE9</f>
        <v>0</v>
      </c>
      <c r="D8" s="198">
        <f t="shared" ref="D8:D25" si="9">C8/C$26</f>
        <v>0</v>
      </c>
      <c r="E8" s="198">
        <f>D8+E5</f>
        <v>-0.17067606466398577</v>
      </c>
      <c r="F8" s="199" t="str">
        <f t="shared" si="0"/>
        <v>C</v>
      </c>
      <c r="G8" s="199" t="str">
        <f t="shared" ref="G8:G25" si="10">VLOOKUP(B$4:B$25,I$4:M$25,5,0)</f>
        <v>B</v>
      </c>
      <c r="I8" s="196" t="s">
        <v>25</v>
      </c>
      <c r="J8" s="197">
        <f>'Юнит 03-09.11'!R3</f>
        <v>0</v>
      </c>
      <c r="K8" s="198">
        <f t="shared" ref="K8:K25" si="11">J8/J$26</f>
        <v>0</v>
      </c>
      <c r="L8" s="198">
        <f>K8+L5</f>
        <v>0.8</v>
      </c>
      <c r="M8" s="199" t="str">
        <f t="shared" si="1"/>
        <v>B</v>
      </c>
    </row>
    <row r="9" spans="2:17" ht="28.5" customHeight="1" outlineLevel="1" thickBot="1">
      <c r="B9" s="196" t="s">
        <v>224</v>
      </c>
      <c r="C9" s="197">
        <f>'Юнит 03-09.11'!AE11</f>
        <v>0</v>
      </c>
      <c r="D9" s="198">
        <f t="shared" si="9"/>
        <v>0</v>
      </c>
      <c r="E9" s="198">
        <f t="shared" ref="E9:E25" si="12">D9+E8</f>
        <v>-0.17067606466398577</v>
      </c>
      <c r="F9" s="199" t="str">
        <f t="shared" si="0"/>
        <v>C</v>
      </c>
      <c r="G9" s="199" t="str">
        <f t="shared" si="10"/>
        <v>B</v>
      </c>
      <c r="I9" s="196" t="s">
        <v>92</v>
      </c>
      <c r="J9" s="197">
        <f>'Юнит 03-09.11'!R4</f>
        <v>0</v>
      </c>
      <c r="K9" s="198">
        <f t="shared" si="11"/>
        <v>0</v>
      </c>
      <c r="L9" s="198">
        <f t="shared" ref="L9:L25" si="13">K9+L8</f>
        <v>0.8</v>
      </c>
      <c r="M9" s="199" t="str">
        <f t="shared" si="1"/>
        <v>B</v>
      </c>
    </row>
    <row r="10" spans="2:17" ht="28.5" customHeight="1" outlineLevel="1" thickBot="1">
      <c r="B10" s="196" t="s">
        <v>225</v>
      </c>
      <c r="C10" s="197">
        <f>'Юнит 03-09.11'!AE12</f>
        <v>0</v>
      </c>
      <c r="D10" s="198">
        <f t="shared" si="9"/>
        <v>0</v>
      </c>
      <c r="E10" s="198">
        <f t="shared" si="12"/>
        <v>-0.17067606466398577</v>
      </c>
      <c r="F10" s="199" t="str">
        <f t="shared" si="0"/>
        <v>C</v>
      </c>
      <c r="G10" s="199" t="str">
        <f t="shared" si="10"/>
        <v>B</v>
      </c>
      <c r="I10" s="196" t="s">
        <v>222</v>
      </c>
      <c r="J10" s="197">
        <f>'Юнит 03-09.11'!R5</f>
        <v>0</v>
      </c>
      <c r="K10" s="198">
        <f t="shared" si="11"/>
        <v>0</v>
      </c>
      <c r="L10" s="198">
        <f t="shared" si="13"/>
        <v>0.8</v>
      </c>
      <c r="M10" s="199" t="str">
        <f t="shared" si="1"/>
        <v>B</v>
      </c>
    </row>
    <row r="11" spans="2:17" ht="28.5" customHeight="1" outlineLevel="1" thickBot="1">
      <c r="B11" s="196" t="s">
        <v>19</v>
      </c>
      <c r="C11" s="197">
        <f>'Юнит 03-09.11'!AE16</f>
        <v>0</v>
      </c>
      <c r="D11" s="198">
        <f t="shared" si="9"/>
        <v>0</v>
      </c>
      <c r="E11" s="198">
        <f t="shared" si="12"/>
        <v>-0.17067606466398577</v>
      </c>
      <c r="F11" s="199" t="str">
        <f t="shared" si="0"/>
        <v>C</v>
      </c>
      <c r="G11" s="199" t="str">
        <f t="shared" si="10"/>
        <v>B</v>
      </c>
      <c r="I11" s="196" t="s">
        <v>54</v>
      </c>
      <c r="J11" s="197">
        <f>'Юнит 03-09.11'!R7</f>
        <v>0</v>
      </c>
      <c r="K11" s="198">
        <f t="shared" si="11"/>
        <v>0</v>
      </c>
      <c r="L11" s="198">
        <f t="shared" si="13"/>
        <v>0.8</v>
      </c>
      <c r="M11" s="199" t="str">
        <f t="shared" si="1"/>
        <v>B</v>
      </c>
    </row>
    <row r="12" spans="2:17" ht="28.5" customHeight="1" outlineLevel="1" thickBot="1">
      <c r="B12" s="196" t="s">
        <v>230</v>
      </c>
      <c r="C12" s="197">
        <f>'Юнит 03-09.11'!AE18</f>
        <v>0</v>
      </c>
      <c r="D12" s="198">
        <f t="shared" si="9"/>
        <v>0</v>
      </c>
      <c r="E12" s="198">
        <f t="shared" si="12"/>
        <v>-0.17067606466398577</v>
      </c>
      <c r="F12" s="199" t="str">
        <f t="shared" si="0"/>
        <v>C</v>
      </c>
      <c r="G12" s="199" t="str">
        <f t="shared" si="10"/>
        <v>B</v>
      </c>
      <c r="I12" s="196" t="s">
        <v>1054</v>
      </c>
      <c r="J12" s="197">
        <f>'Юнит 03-09.11'!R8</f>
        <v>0</v>
      </c>
      <c r="K12" s="198">
        <f t="shared" si="11"/>
        <v>0</v>
      </c>
      <c r="L12" s="198">
        <f t="shared" si="13"/>
        <v>0.8</v>
      </c>
      <c r="M12" s="199" t="str">
        <f t="shared" si="1"/>
        <v>B</v>
      </c>
    </row>
    <row r="13" spans="2:17" ht="15" outlineLevel="1" thickBot="1">
      <c r="B13" s="196" t="s">
        <v>111</v>
      </c>
      <c r="C13" s="197">
        <f>'Юнит 03-09.11'!AE20</f>
        <v>0</v>
      </c>
      <c r="D13" s="198">
        <f t="shared" si="9"/>
        <v>0</v>
      </c>
      <c r="E13" s="198">
        <f t="shared" si="12"/>
        <v>-0.17067606466398577</v>
      </c>
      <c r="F13" s="199" t="str">
        <f>IF(AND(E13&lt;=0),"C",IF(E13&lt;=0.8,"A",IF(E13&lt;=0.95,"B","C")))</f>
        <v>C</v>
      </c>
      <c r="G13" s="199" t="str">
        <f t="shared" si="10"/>
        <v>B</v>
      </c>
      <c r="I13" s="196" t="s">
        <v>1055</v>
      </c>
      <c r="J13" s="197">
        <f>'Юнит 03-09.11'!R9</f>
        <v>0</v>
      </c>
      <c r="K13" s="198">
        <f t="shared" si="11"/>
        <v>0</v>
      </c>
      <c r="L13" s="198">
        <f t="shared" si="13"/>
        <v>0.8</v>
      </c>
      <c r="M13" s="199" t="str">
        <f>_xlfn.IFS(L13&lt;80%,"A",L13&lt;=95%,"B",L13&gt;95%,"C")</f>
        <v>B</v>
      </c>
      <c r="P13" s="200" t="s">
        <v>301</v>
      </c>
      <c r="Q13" s="201">
        <v>0.8</v>
      </c>
    </row>
    <row r="14" spans="2:17" ht="15" outlineLevel="1" thickBot="1">
      <c r="B14" s="196" t="s">
        <v>232</v>
      </c>
      <c r="C14" s="197">
        <f>'Юнит 03-09.11'!AE21</f>
        <v>0</v>
      </c>
      <c r="D14" s="198">
        <f t="shared" si="9"/>
        <v>0</v>
      </c>
      <c r="E14" s="198">
        <f t="shared" si="12"/>
        <v>-0.17067606466398577</v>
      </c>
      <c r="F14" s="199" t="str">
        <f t="shared" ref="F14:F25" si="14">IF(AND(E14&lt;=0),"C",IF(E14&lt;=0.8,"A",IF(E14&lt;=0.95,"B","C")))</f>
        <v>C</v>
      </c>
      <c r="G14" s="199" t="str">
        <f t="shared" si="10"/>
        <v>B</v>
      </c>
      <c r="I14" s="196" t="s">
        <v>224</v>
      </c>
      <c r="J14" s="197">
        <f>'Юнит 03-09.11'!R11</f>
        <v>0</v>
      </c>
      <c r="K14" s="198">
        <f t="shared" si="11"/>
        <v>0</v>
      </c>
      <c r="L14" s="198">
        <f t="shared" si="13"/>
        <v>0.8</v>
      </c>
      <c r="M14" s="199" t="str">
        <f t="shared" ref="M14:M25" si="15">_xlfn.IFS(L14&lt;80%,"A",L14&lt;=95%,"B",L14&gt;95%,"C")</f>
        <v>B</v>
      </c>
      <c r="P14" s="202" t="s">
        <v>302</v>
      </c>
      <c r="Q14" s="201">
        <v>0.15</v>
      </c>
    </row>
    <row r="15" spans="2:17" ht="15" outlineLevel="1" thickBot="1">
      <c r="B15" s="196" t="s">
        <v>136</v>
      </c>
      <c r="C15" s="197">
        <f>'Юнит 03-09.11'!AE22</f>
        <v>0</v>
      </c>
      <c r="D15" s="198">
        <f t="shared" si="9"/>
        <v>0</v>
      </c>
      <c r="E15" s="198">
        <f t="shared" si="12"/>
        <v>-0.17067606466398577</v>
      </c>
      <c r="F15" s="199" t="str">
        <f t="shared" si="14"/>
        <v>C</v>
      </c>
      <c r="G15" s="199" t="str">
        <f t="shared" si="10"/>
        <v>B</v>
      </c>
      <c r="I15" s="196" t="s">
        <v>225</v>
      </c>
      <c r="J15" s="197">
        <f>'Юнит 03-09.11'!R12</f>
        <v>0</v>
      </c>
      <c r="K15" s="198">
        <f t="shared" si="11"/>
        <v>0</v>
      </c>
      <c r="L15" s="198">
        <f t="shared" si="13"/>
        <v>0.8</v>
      </c>
      <c r="M15" s="199" t="str">
        <f t="shared" si="15"/>
        <v>B</v>
      </c>
      <c r="P15" s="203" t="s">
        <v>303</v>
      </c>
      <c r="Q15" s="201">
        <v>0.05</v>
      </c>
    </row>
    <row r="16" spans="2:17" ht="26.5" outlineLevel="1" thickBot="1">
      <c r="B16" s="196" t="s">
        <v>233</v>
      </c>
      <c r="C16" s="197">
        <f>'Юнит 03-09.11'!AE23</f>
        <v>0</v>
      </c>
      <c r="D16" s="198">
        <f t="shared" si="9"/>
        <v>0</v>
      </c>
      <c r="E16" s="198">
        <f t="shared" si="12"/>
        <v>-0.17067606466398577</v>
      </c>
      <c r="F16" s="199" t="str">
        <f t="shared" si="14"/>
        <v>C</v>
      </c>
      <c r="G16" s="199" t="str">
        <f t="shared" si="10"/>
        <v>B</v>
      </c>
      <c r="I16" s="196" t="s">
        <v>228</v>
      </c>
      <c r="J16" s="197">
        <f>'Юнит 03-09.11'!R15</f>
        <v>0</v>
      </c>
      <c r="K16" s="198">
        <f t="shared" si="11"/>
        <v>0</v>
      </c>
      <c r="L16" s="198">
        <f t="shared" si="13"/>
        <v>0.8</v>
      </c>
      <c r="M16" s="199" t="str">
        <f t="shared" si="15"/>
        <v>B</v>
      </c>
      <c r="P16" s="204"/>
      <c r="Q16" s="198"/>
    </row>
    <row r="17" spans="2:17" ht="15" outlineLevel="1" thickBot="1">
      <c r="B17" s="196" t="s">
        <v>234</v>
      </c>
      <c r="C17" s="197">
        <f>'Юнит 03-09.11'!AE24</f>
        <v>0</v>
      </c>
      <c r="D17" s="198">
        <f t="shared" si="9"/>
        <v>0</v>
      </c>
      <c r="E17" s="198">
        <f t="shared" si="12"/>
        <v>-0.17067606466398577</v>
      </c>
      <c r="F17" s="199" t="str">
        <f t="shared" si="14"/>
        <v>C</v>
      </c>
      <c r="G17" s="199" t="str">
        <f t="shared" si="10"/>
        <v>B</v>
      </c>
      <c r="I17" s="196" t="s">
        <v>19</v>
      </c>
      <c r="J17" s="197">
        <f>'Юнит 03-09.11'!R16</f>
        <v>0</v>
      </c>
      <c r="K17" s="198">
        <f t="shared" si="11"/>
        <v>0</v>
      </c>
      <c r="L17" s="198">
        <f t="shared" si="13"/>
        <v>0.8</v>
      </c>
      <c r="M17" s="199" t="str">
        <f t="shared" si="15"/>
        <v>B</v>
      </c>
      <c r="P17" s="204"/>
      <c r="Q17" s="198"/>
    </row>
    <row r="18" spans="2:17" ht="15" outlineLevel="1" thickBot="1">
      <c r="B18" s="196" t="s">
        <v>92</v>
      </c>
      <c r="C18" s="197">
        <f>'Юнит 03-09.11'!AE4</f>
        <v>-92</v>
      </c>
      <c r="D18" s="198">
        <f t="shared" si="9"/>
        <v>2.6175275078988768E-2</v>
      </c>
      <c r="E18" s="198">
        <f t="shared" si="12"/>
        <v>-0.14450078958499701</v>
      </c>
      <c r="F18" s="199" t="str">
        <f t="shared" si="14"/>
        <v>C</v>
      </c>
      <c r="G18" s="199" t="str">
        <f t="shared" si="10"/>
        <v>B</v>
      </c>
      <c r="I18" s="196" t="s">
        <v>229</v>
      </c>
      <c r="J18" s="197">
        <f>'Юнит 03-09.11'!R17</f>
        <v>0</v>
      </c>
      <c r="K18" s="198">
        <f t="shared" si="11"/>
        <v>0</v>
      </c>
      <c r="L18" s="198">
        <f t="shared" si="13"/>
        <v>0.8</v>
      </c>
      <c r="M18" s="199" t="str">
        <f t="shared" si="15"/>
        <v>B</v>
      </c>
      <c r="P18" s="204"/>
      <c r="Q18" s="198"/>
    </row>
    <row r="19" spans="2:17" ht="15" outlineLevel="1" thickBot="1">
      <c r="B19" s="196" t="s">
        <v>229</v>
      </c>
      <c r="C19" s="197">
        <f>'Юнит 03-09.11'!AE17</f>
        <v>-250.094821</v>
      </c>
      <c r="D19" s="198">
        <f t="shared" si="9"/>
        <v>7.1155442777233222E-2</v>
      </c>
      <c r="E19" s="198">
        <f t="shared" si="12"/>
        <v>-7.3345346807763792E-2</v>
      </c>
      <c r="F19" s="199" t="str">
        <f t="shared" si="14"/>
        <v>C</v>
      </c>
      <c r="G19" s="199" t="str">
        <f t="shared" si="10"/>
        <v>B</v>
      </c>
      <c r="I19" s="196" t="s">
        <v>230</v>
      </c>
      <c r="J19" s="197">
        <f>'Юнит 03-09.11'!R18</f>
        <v>0</v>
      </c>
      <c r="K19" s="198">
        <f t="shared" si="11"/>
        <v>0</v>
      </c>
      <c r="L19" s="198">
        <f t="shared" si="13"/>
        <v>0.8</v>
      </c>
      <c r="M19" s="199" t="str">
        <f t="shared" si="15"/>
        <v>B</v>
      </c>
      <c r="P19" s="204"/>
      <c r="Q19" s="198"/>
    </row>
    <row r="20" spans="2:17" ht="15" outlineLevel="1" thickBot="1">
      <c r="B20" s="196" t="s">
        <v>88</v>
      </c>
      <c r="C20" s="197">
        <f>'Юнит 03-09.11'!AE10</f>
        <v>-253.38421699999989</v>
      </c>
      <c r="D20" s="198">
        <f t="shared" si="9"/>
        <v>7.2091321528795424E-2</v>
      </c>
      <c r="E20" s="198">
        <f t="shared" si="12"/>
        <v>-1.2540252789683681E-3</v>
      </c>
      <c r="F20" s="199" t="str">
        <f t="shared" si="14"/>
        <v>C</v>
      </c>
      <c r="G20" s="199" t="str">
        <f t="shared" si="10"/>
        <v>B</v>
      </c>
      <c r="I20" s="196" t="s">
        <v>231</v>
      </c>
      <c r="J20" s="197">
        <f>'Юнит 03-09.11'!R19</f>
        <v>0</v>
      </c>
      <c r="K20" s="198">
        <f t="shared" si="11"/>
        <v>0</v>
      </c>
      <c r="L20" s="198">
        <f t="shared" si="13"/>
        <v>0.8</v>
      </c>
      <c r="M20" s="199" t="str">
        <f t="shared" si="15"/>
        <v>B</v>
      </c>
      <c r="P20" s="204"/>
      <c r="Q20" s="198"/>
    </row>
    <row r="21" spans="2:17" ht="15" outlineLevel="1" thickBot="1">
      <c r="B21" s="196" t="s">
        <v>223</v>
      </c>
      <c r="C21" s="197">
        <f>'Юнит 03-09.11'!AE6</f>
        <v>-302.71981099999988</v>
      </c>
      <c r="D21" s="198">
        <f t="shared" si="9"/>
        <v>8.6127981791135733E-2</v>
      </c>
      <c r="E21" s="198">
        <f t="shared" si="12"/>
        <v>8.4873956512167364E-2</v>
      </c>
      <c r="F21" s="199" t="str">
        <f t="shared" si="14"/>
        <v>A</v>
      </c>
      <c r="G21" s="199" t="str">
        <f t="shared" si="10"/>
        <v>A</v>
      </c>
      <c r="I21" s="196" t="s">
        <v>111</v>
      </c>
      <c r="J21" s="197">
        <f>'Юнит 03-09.11'!R20</f>
        <v>0</v>
      </c>
      <c r="K21" s="198">
        <f t="shared" si="11"/>
        <v>0</v>
      </c>
      <c r="L21" s="198">
        <f t="shared" si="13"/>
        <v>0.8</v>
      </c>
      <c r="M21" s="199" t="str">
        <f t="shared" si="15"/>
        <v>B</v>
      </c>
      <c r="P21" s="204"/>
      <c r="Q21" s="198"/>
    </row>
    <row r="22" spans="2:17" ht="15" outlineLevel="1" thickBot="1">
      <c r="B22" s="196" t="s">
        <v>54</v>
      </c>
      <c r="C22" s="197">
        <f>'Юнит 03-09.11'!AE7</f>
        <v>-401.24765600000001</v>
      </c>
      <c r="D22" s="198">
        <f t="shared" si="9"/>
        <v>0.11416051924564628</v>
      </c>
      <c r="E22" s="198">
        <f t="shared" si="12"/>
        <v>0.19903447575781363</v>
      </c>
      <c r="F22" s="199" t="str">
        <f t="shared" si="14"/>
        <v>A</v>
      </c>
      <c r="G22" s="199" t="str">
        <f t="shared" si="10"/>
        <v>B</v>
      </c>
      <c r="I22" s="196" t="s">
        <v>232</v>
      </c>
      <c r="J22" s="197">
        <f>'Юнит 03-09.11'!R21</f>
        <v>0</v>
      </c>
      <c r="K22" s="198">
        <f t="shared" si="11"/>
        <v>0</v>
      </c>
      <c r="L22" s="198">
        <f t="shared" si="13"/>
        <v>0.8</v>
      </c>
      <c r="M22" s="199" t="str">
        <f t="shared" si="15"/>
        <v>B</v>
      </c>
      <c r="P22" s="204"/>
      <c r="Q22" s="198"/>
    </row>
    <row r="23" spans="2:17" ht="26.5" outlineLevel="1" thickBot="1">
      <c r="B23" s="196" t="s">
        <v>25</v>
      </c>
      <c r="C23" s="197">
        <f>'Юнит 03-09.11'!AE3</f>
        <v>-675.74</v>
      </c>
      <c r="D23" s="198">
        <f t="shared" si="9"/>
        <v>0.19225739545517251</v>
      </c>
      <c r="E23" s="198">
        <f t="shared" si="12"/>
        <v>0.39129187121298614</v>
      </c>
      <c r="F23" s="199" t="str">
        <f t="shared" si="14"/>
        <v>A</v>
      </c>
      <c r="G23" s="199" t="str">
        <f t="shared" si="10"/>
        <v>B</v>
      </c>
      <c r="I23" s="196" t="s">
        <v>136</v>
      </c>
      <c r="J23" s="197">
        <f>'Юнит 03-09.11'!R22</f>
        <v>0</v>
      </c>
      <c r="K23" s="198">
        <f t="shared" si="11"/>
        <v>0</v>
      </c>
      <c r="L23" s="198">
        <f t="shared" si="13"/>
        <v>0.8</v>
      </c>
      <c r="M23" s="199" t="str">
        <f t="shared" si="15"/>
        <v>B</v>
      </c>
      <c r="P23" s="204"/>
      <c r="Q23" s="198"/>
    </row>
    <row r="24" spans="2:17" ht="26.5" outlineLevel="1" thickBot="1">
      <c r="B24" s="196" t="s">
        <v>228</v>
      </c>
      <c r="C24" s="197">
        <f>'Юнит 03-09.11'!AE15</f>
        <v>-933.28781500000002</v>
      </c>
      <c r="D24" s="198">
        <f t="shared" si="9"/>
        <v>0.26553331832058025</v>
      </c>
      <c r="E24" s="198">
        <f t="shared" si="12"/>
        <v>0.65682518953356639</v>
      </c>
      <c r="F24" s="199" t="str">
        <f t="shared" si="14"/>
        <v>A</v>
      </c>
      <c r="G24" s="199" t="str">
        <f t="shared" si="10"/>
        <v>B</v>
      </c>
      <c r="I24" s="196" t="s">
        <v>233</v>
      </c>
      <c r="J24" s="197">
        <f>'Юнит 03-09.11'!R23</f>
        <v>0</v>
      </c>
      <c r="K24" s="198">
        <f t="shared" si="11"/>
        <v>0</v>
      </c>
      <c r="L24" s="198">
        <f t="shared" si="13"/>
        <v>0.8</v>
      </c>
      <c r="M24" s="199" t="str">
        <f t="shared" si="15"/>
        <v>B</v>
      </c>
      <c r="P24" s="204"/>
      <c r="Q24" s="198"/>
    </row>
    <row r="25" spans="2:17" ht="15" outlineLevel="1" thickBot="1">
      <c r="B25" s="196" t="s">
        <v>231</v>
      </c>
      <c r="C25" s="197">
        <f>'Юнит 03-09.11'!AE19</f>
        <v>-1206.17959</v>
      </c>
      <c r="D25" s="198">
        <f t="shared" si="9"/>
        <v>0.34317481046643356</v>
      </c>
      <c r="E25" s="198">
        <f t="shared" si="12"/>
        <v>1</v>
      </c>
      <c r="F25" s="199" t="str">
        <f t="shared" si="14"/>
        <v>C</v>
      </c>
      <c r="G25" s="199" t="str">
        <f t="shared" si="10"/>
        <v>B</v>
      </c>
      <c r="I25" s="196" t="s">
        <v>234</v>
      </c>
      <c r="J25" s="197">
        <f>'Юнит 03-09.11'!R24</f>
        <v>0</v>
      </c>
      <c r="K25" s="198">
        <f t="shared" si="11"/>
        <v>0</v>
      </c>
      <c r="L25" s="198">
        <f t="shared" si="13"/>
        <v>0.8</v>
      </c>
      <c r="M25" s="199" t="str">
        <f t="shared" si="15"/>
        <v>B</v>
      </c>
      <c r="P25" s="204"/>
      <c r="Q25" s="198"/>
    </row>
    <row r="26" spans="2:17" outlineLevel="1">
      <c r="C26" s="205">
        <f>SUM(C4:C25)</f>
        <v>-3514.7672649999995</v>
      </c>
      <c r="D26" s="206">
        <f>SUM(D4:D25)</f>
        <v>1</v>
      </c>
      <c r="J26" s="205">
        <f>SUM(J4:J25)</f>
        <v>10</v>
      </c>
      <c r="K26" s="206">
        <f>SUM(K4:K25)</f>
        <v>1</v>
      </c>
    </row>
    <row r="27" spans="2:17" ht="15" thickBot="1"/>
    <row r="28" spans="2:17" ht="15" thickBot="1">
      <c r="B28" s="516" t="s">
        <v>304</v>
      </c>
      <c r="C28" s="517"/>
      <c r="D28" s="517"/>
      <c r="E28" s="517"/>
      <c r="F28" s="517"/>
      <c r="G28" s="517"/>
      <c r="H28" s="517"/>
      <c r="I28" s="517"/>
      <c r="J28" s="517"/>
      <c r="K28" s="517"/>
      <c r="L28" s="517"/>
      <c r="M28" s="518"/>
    </row>
    <row r="29" spans="2:17" ht="23.5" thickBot="1">
      <c r="C29" s="192" t="s">
        <v>212</v>
      </c>
      <c r="D29" s="193" t="s">
        <v>295</v>
      </c>
      <c r="E29" s="194" t="s">
        <v>296</v>
      </c>
      <c r="F29" s="193" t="s">
        <v>297</v>
      </c>
      <c r="G29" s="193" t="s">
        <v>298</v>
      </c>
      <c r="J29" s="192" t="s">
        <v>299</v>
      </c>
      <c r="K29" s="193" t="s">
        <v>300</v>
      </c>
      <c r="L29" s="194" t="s">
        <v>296</v>
      </c>
      <c r="M29" s="195" t="s">
        <v>298</v>
      </c>
    </row>
    <row r="30" spans="2:17" ht="26.5" thickBot="1">
      <c r="B30" s="196" t="s">
        <v>171</v>
      </c>
      <c r="C30" s="197">
        <f>'Юнит 03-09.11'!AE37</f>
        <v>2225</v>
      </c>
      <c r="D30" s="198">
        <f>C30/C$50</f>
        <v>-2.4722019446724932</v>
      </c>
      <c r="E30" s="198">
        <f>D30</f>
        <v>-2.4722019446724932</v>
      </c>
      <c r="F30" s="199" t="str">
        <f t="shared" ref="F30:F36" si="16">IF(AND(E30&lt;=0),"C",IF(E30&lt;=0.8,"A",IF(E30&lt;=0.95,"B","C")))</f>
        <v>C</v>
      </c>
      <c r="G30" s="199" t="str">
        <f>VLOOKUP(B$30:B$50,I$30:M$50,5,0)</f>
        <v>C</v>
      </c>
      <c r="I30" s="196" t="s">
        <v>51</v>
      </c>
      <c r="J30" s="197">
        <f>'Юнит 03-09.11'!R45</f>
        <v>1</v>
      </c>
      <c r="K30" s="198">
        <f>J30/J$50</f>
        <v>0.25</v>
      </c>
      <c r="L30" s="198">
        <f>K30</f>
        <v>0.25</v>
      </c>
      <c r="M30" s="199" t="str">
        <f t="shared" ref="M30:M36" si="17">_xlfn.IFS(L30&lt;80%,"A",L30&lt;=95%,"B",L30&gt;95%,"C")</f>
        <v>A</v>
      </c>
    </row>
    <row r="31" spans="2:17" ht="26.5" thickBot="1">
      <c r="B31" s="196" t="s">
        <v>236</v>
      </c>
      <c r="C31" s="197">
        <f>'Юнит 03-09.11'!AE38</f>
        <v>918.45117500000038</v>
      </c>
      <c r="D31" s="198">
        <f t="shared" ref="D31:D49" si="18">C31/C$50</f>
        <v>-1.0204929352457246</v>
      </c>
      <c r="E31" s="198">
        <f>D31+E30</f>
        <v>-3.4926948799182176</v>
      </c>
      <c r="F31" s="199" t="str">
        <f t="shared" si="16"/>
        <v>C</v>
      </c>
      <c r="G31" s="199" t="str">
        <f t="shared" ref="G31:G49" si="19">VLOOKUP(B$30:B$50,I$30:M$50,5,0)</f>
        <v>C</v>
      </c>
      <c r="I31" s="196" t="s">
        <v>43</v>
      </c>
      <c r="J31" s="197">
        <f>'Юнит 03-09.11'!R29</f>
        <v>0</v>
      </c>
      <c r="K31" s="198">
        <f t="shared" ref="K31:K49" si="20">J31/J$50</f>
        <v>0</v>
      </c>
      <c r="L31" s="198">
        <f>K31+L30</f>
        <v>0.25</v>
      </c>
      <c r="M31" s="199" t="str">
        <f t="shared" si="17"/>
        <v>A</v>
      </c>
    </row>
    <row r="32" spans="2:17" ht="15" thickBot="1">
      <c r="B32" s="196" t="s">
        <v>142</v>
      </c>
      <c r="C32" s="197">
        <f>'Юнит 03-09.11'!AE32</f>
        <v>0</v>
      </c>
      <c r="D32" s="198">
        <f t="shared" si="18"/>
        <v>0</v>
      </c>
      <c r="E32" s="198">
        <f t="shared" ref="E32:E49" si="21">D32+E31</f>
        <v>-3.4926948799182176</v>
      </c>
      <c r="F32" s="199" t="str">
        <f t="shared" si="16"/>
        <v>C</v>
      </c>
      <c r="G32" s="199" t="str">
        <f t="shared" si="19"/>
        <v>C</v>
      </c>
      <c r="I32" s="196" t="s">
        <v>237</v>
      </c>
      <c r="J32" s="197">
        <f>'Юнит 03-09.11'!R38</f>
        <v>2</v>
      </c>
      <c r="K32" s="198">
        <f t="shared" si="20"/>
        <v>0.5</v>
      </c>
      <c r="L32" s="198">
        <f t="shared" ref="L32:L49" si="22">K32+L31</f>
        <v>0.75</v>
      </c>
      <c r="M32" s="199" t="str">
        <f t="shared" si="17"/>
        <v>A</v>
      </c>
    </row>
    <row r="33" spans="2:13" ht="26.5" thickBot="1">
      <c r="B33" s="196" t="s">
        <v>771</v>
      </c>
      <c r="C33" s="197">
        <f>'Юнит 03-09.11'!AE34</f>
        <v>0</v>
      </c>
      <c r="D33" s="198">
        <f t="shared" si="18"/>
        <v>0</v>
      </c>
      <c r="E33" s="198">
        <f t="shared" si="21"/>
        <v>-3.4926948799182176</v>
      </c>
      <c r="F33" s="199" t="str">
        <f t="shared" si="16"/>
        <v>C</v>
      </c>
      <c r="G33" s="199" t="str">
        <f t="shared" si="19"/>
        <v>C</v>
      </c>
      <c r="I33" s="196" t="s">
        <v>240</v>
      </c>
      <c r="J33" s="197">
        <f>'Юнит 03-09.11'!R41</f>
        <v>0</v>
      </c>
      <c r="K33" s="198">
        <f t="shared" si="20"/>
        <v>0</v>
      </c>
      <c r="L33" s="198">
        <f t="shared" si="22"/>
        <v>0.75</v>
      </c>
      <c r="M33" s="199" t="str">
        <f t="shared" si="17"/>
        <v>A</v>
      </c>
    </row>
    <row r="34" spans="2:13" ht="15" thickBot="1">
      <c r="B34" s="196" t="s">
        <v>66</v>
      </c>
      <c r="C34" s="197">
        <f>'Юнит 03-09.11'!AE35</f>
        <v>0</v>
      </c>
      <c r="D34" s="198">
        <f t="shared" si="18"/>
        <v>0</v>
      </c>
      <c r="E34" s="198">
        <f t="shared" si="21"/>
        <v>-3.4926948799182176</v>
      </c>
      <c r="F34" s="199" t="str">
        <f t="shared" si="16"/>
        <v>C</v>
      </c>
      <c r="G34" s="199" t="str">
        <f t="shared" si="19"/>
        <v>C</v>
      </c>
      <c r="I34" s="196" t="s">
        <v>236</v>
      </c>
      <c r="J34" s="197">
        <f>'Юнит 03-09.11'!R37</f>
        <v>1</v>
      </c>
      <c r="K34" s="198">
        <f t="shared" si="20"/>
        <v>0.25</v>
      </c>
      <c r="L34" s="198">
        <f t="shared" si="22"/>
        <v>1</v>
      </c>
      <c r="M34" s="199" t="str">
        <f t="shared" si="17"/>
        <v>C</v>
      </c>
    </row>
    <row r="35" spans="2:13" ht="26.5" thickBot="1">
      <c r="B35" s="196" t="s">
        <v>51</v>
      </c>
      <c r="C35" s="197">
        <f>'Юнит 03-09.11'!AE42</f>
        <v>0</v>
      </c>
      <c r="D35" s="198">
        <f t="shared" si="18"/>
        <v>0</v>
      </c>
      <c r="E35" s="198">
        <f t="shared" si="21"/>
        <v>-3.4926948799182176</v>
      </c>
      <c r="F35" s="199" t="str">
        <f t="shared" si="16"/>
        <v>C</v>
      </c>
      <c r="G35" s="199" t="str">
        <f t="shared" si="19"/>
        <v>A</v>
      </c>
      <c r="I35" s="196" t="s">
        <v>70</v>
      </c>
      <c r="J35" s="197">
        <f>'Юнит 03-09.11'!R28</f>
        <v>0</v>
      </c>
      <c r="K35" s="198">
        <f t="shared" si="20"/>
        <v>0</v>
      </c>
      <c r="L35" s="198">
        <f t="shared" si="22"/>
        <v>1</v>
      </c>
      <c r="M35" s="199" t="str">
        <f t="shared" si="17"/>
        <v>C</v>
      </c>
    </row>
    <row r="36" spans="2:13" ht="26.5" thickBot="1">
      <c r="B36" s="196" t="s">
        <v>70</v>
      </c>
      <c r="C36" s="197">
        <f>'Юнит 03-09.11'!AE43</f>
        <v>0</v>
      </c>
      <c r="D36" s="198">
        <f t="shared" si="18"/>
        <v>0</v>
      </c>
      <c r="E36" s="198">
        <f t="shared" si="21"/>
        <v>-3.4926948799182176</v>
      </c>
      <c r="F36" s="199" t="str">
        <f t="shared" si="16"/>
        <v>C</v>
      </c>
      <c r="G36" s="199" t="str">
        <f t="shared" si="19"/>
        <v>C</v>
      </c>
      <c r="I36" s="196" t="s">
        <v>239</v>
      </c>
      <c r="J36" s="197">
        <f>'Юнит 03-09.11'!R30</f>
        <v>0</v>
      </c>
      <c r="K36" s="198">
        <f t="shared" si="20"/>
        <v>0</v>
      </c>
      <c r="L36" s="198">
        <f t="shared" si="22"/>
        <v>1</v>
      </c>
      <c r="M36" s="199" t="str">
        <f t="shared" si="17"/>
        <v>C</v>
      </c>
    </row>
    <row r="37" spans="2:13" ht="26.5" thickBot="1">
      <c r="B37" s="196" t="s">
        <v>43</v>
      </c>
      <c r="C37" s="197">
        <f>'Юнит 03-09.11'!AE46</f>
        <v>0</v>
      </c>
      <c r="D37" s="198">
        <f t="shared" si="18"/>
        <v>0</v>
      </c>
      <c r="E37" s="198">
        <f t="shared" si="21"/>
        <v>-3.4926948799182176</v>
      </c>
      <c r="F37" s="199" t="str">
        <f>IF(AND(E37&lt;=0),"C",IF(E37&lt;=0.8,"A",IF(E37&lt;=0.95,"B","C")))</f>
        <v>C</v>
      </c>
      <c r="G37" s="199" t="str">
        <f t="shared" si="19"/>
        <v>A</v>
      </c>
      <c r="I37" s="196" t="s">
        <v>242</v>
      </c>
      <c r="J37" s="197">
        <f>'Юнит 03-09.11'!R31</f>
        <v>0</v>
      </c>
      <c r="K37" s="198">
        <f t="shared" si="20"/>
        <v>0</v>
      </c>
      <c r="L37" s="198">
        <f t="shared" si="22"/>
        <v>1</v>
      </c>
      <c r="M37" s="199" t="str">
        <f>_xlfn.IFS(L37&lt;80%,"A",L37&lt;=95%,"B",L37&gt;95%,"C")</f>
        <v>C</v>
      </c>
    </row>
    <row r="38" spans="2:13" ht="26.5" thickBot="1">
      <c r="B38" s="196" t="s">
        <v>98</v>
      </c>
      <c r="C38" s="197">
        <f>'Юнит 03-09.11'!AE47</f>
        <v>0</v>
      </c>
      <c r="D38" s="198">
        <f t="shared" si="18"/>
        <v>0</v>
      </c>
      <c r="E38" s="198">
        <f t="shared" si="21"/>
        <v>-3.4926948799182176</v>
      </c>
      <c r="F38" s="199" t="str">
        <f t="shared" ref="F38:F49" si="23">IF(AND(E38&lt;=0),"C",IF(E38&lt;=0.8,"A",IF(E38&lt;=0.95,"B","C")))</f>
        <v>C</v>
      </c>
      <c r="G38" s="199" t="str">
        <f t="shared" si="19"/>
        <v>C</v>
      </c>
      <c r="I38" s="196" t="s">
        <v>62</v>
      </c>
      <c r="J38" s="197">
        <f>'Юнит 03-09.11'!R32</f>
        <v>0</v>
      </c>
      <c r="K38" s="198">
        <f t="shared" si="20"/>
        <v>0</v>
      </c>
      <c r="L38" s="198">
        <f t="shared" si="22"/>
        <v>1</v>
      </c>
      <c r="M38" s="199" t="str">
        <f t="shared" ref="M38:M49" si="24">_xlfn.IFS(L38&lt;80%,"A",L38&lt;=95%,"B",L38&gt;95%,"C")</f>
        <v>C</v>
      </c>
    </row>
    <row r="39" spans="2:13" ht="26.5" thickBot="1">
      <c r="B39" s="196" t="s">
        <v>237</v>
      </c>
      <c r="C39" s="197">
        <f>'Юнит 03-09.11'!AE31</f>
        <v>-112</v>
      </c>
      <c r="D39" s="198">
        <f t="shared" si="18"/>
        <v>0.12444342373182887</v>
      </c>
      <c r="E39" s="198">
        <f t="shared" si="21"/>
        <v>-3.3682514561863885</v>
      </c>
      <c r="F39" s="199" t="str">
        <f t="shared" si="23"/>
        <v>C</v>
      </c>
      <c r="G39" s="199" t="str">
        <f t="shared" si="19"/>
        <v>A</v>
      </c>
      <c r="I39" s="196" t="s">
        <v>98</v>
      </c>
      <c r="J39" s="197">
        <f>'Юнит 03-09.11'!R33</f>
        <v>0</v>
      </c>
      <c r="K39" s="198">
        <f t="shared" si="20"/>
        <v>0</v>
      </c>
      <c r="L39" s="198">
        <f t="shared" si="22"/>
        <v>1</v>
      </c>
      <c r="M39" s="199" t="str">
        <f t="shared" si="24"/>
        <v>C</v>
      </c>
    </row>
    <row r="40" spans="2:13" ht="26.5" thickBot="1">
      <c r="B40" s="196" t="s">
        <v>243</v>
      </c>
      <c r="C40" s="197">
        <f>'Юнит 03-09.11'!AE33</f>
        <v>-112</v>
      </c>
      <c r="D40" s="198">
        <f t="shared" si="18"/>
        <v>0.12444342373182887</v>
      </c>
      <c r="E40" s="198">
        <f t="shared" si="21"/>
        <v>-3.2438080324545595</v>
      </c>
      <c r="F40" s="199" t="str">
        <f t="shared" si="23"/>
        <v>C</v>
      </c>
      <c r="G40" s="199" t="str">
        <f t="shared" si="19"/>
        <v>C</v>
      </c>
      <c r="I40" s="196" t="s">
        <v>235</v>
      </c>
      <c r="J40" s="197">
        <f>'Юнит 03-09.11'!R34</f>
        <v>0</v>
      </c>
      <c r="K40" s="198">
        <f t="shared" si="20"/>
        <v>0</v>
      </c>
      <c r="L40" s="198">
        <f t="shared" si="22"/>
        <v>1</v>
      </c>
      <c r="M40" s="199" t="str">
        <f t="shared" si="24"/>
        <v>C</v>
      </c>
    </row>
    <row r="41" spans="2:13" ht="26.5" thickBot="1">
      <c r="B41" s="196" t="s">
        <v>240</v>
      </c>
      <c r="C41" s="197">
        <f>'Юнит 03-09.11'!AE39</f>
        <v>-112</v>
      </c>
      <c r="D41" s="198">
        <f t="shared" si="18"/>
        <v>0.12444342373182887</v>
      </c>
      <c r="E41" s="198">
        <f t="shared" si="21"/>
        <v>-3.1193646087227305</v>
      </c>
      <c r="F41" s="199" t="str">
        <f t="shared" si="23"/>
        <v>C</v>
      </c>
      <c r="G41" s="199" t="str">
        <f t="shared" si="19"/>
        <v>A</v>
      </c>
      <c r="I41" s="196" t="s">
        <v>171</v>
      </c>
      <c r="J41" s="197">
        <f>'Юнит 03-09.11'!R35</f>
        <v>0</v>
      </c>
      <c r="K41" s="198">
        <f t="shared" si="20"/>
        <v>0</v>
      </c>
      <c r="L41" s="198">
        <f t="shared" si="22"/>
        <v>1</v>
      </c>
      <c r="M41" s="199" t="str">
        <f t="shared" si="24"/>
        <v>C</v>
      </c>
    </row>
    <row r="42" spans="2:13" ht="15" thickBot="1">
      <c r="B42" s="196" t="s">
        <v>241</v>
      </c>
      <c r="C42" s="197">
        <f>'Юнит 03-09.11'!AE40</f>
        <v>-112</v>
      </c>
      <c r="D42" s="198">
        <f t="shared" si="18"/>
        <v>0.12444342373182887</v>
      </c>
      <c r="E42" s="198">
        <f t="shared" si="21"/>
        <v>-2.9949211849909014</v>
      </c>
      <c r="F42" s="199" t="str">
        <f t="shared" si="23"/>
        <v>C</v>
      </c>
      <c r="G42" s="199" t="str">
        <f t="shared" si="19"/>
        <v>C</v>
      </c>
      <c r="I42" s="196" t="s">
        <v>39</v>
      </c>
      <c r="J42" s="197">
        <f>'Юнит 03-09.11'!R36</f>
        <v>0</v>
      </c>
      <c r="K42" s="198">
        <f t="shared" si="20"/>
        <v>0</v>
      </c>
      <c r="L42" s="198">
        <f t="shared" si="22"/>
        <v>1</v>
      </c>
      <c r="M42" s="199" t="str">
        <f t="shared" si="24"/>
        <v>C</v>
      </c>
    </row>
    <row r="43" spans="2:13" ht="15" thickBot="1">
      <c r="B43" s="196" t="s">
        <v>39</v>
      </c>
      <c r="C43" s="197">
        <f>'Юнит 03-09.11'!AE30</f>
        <v>-224</v>
      </c>
      <c r="D43" s="198">
        <f t="shared" si="18"/>
        <v>0.24888684746365775</v>
      </c>
      <c r="E43" s="198">
        <f t="shared" si="21"/>
        <v>-2.7460343375272438</v>
      </c>
      <c r="F43" s="199" t="str">
        <f t="shared" si="23"/>
        <v>C</v>
      </c>
      <c r="G43" s="199" t="str">
        <f t="shared" si="19"/>
        <v>C</v>
      </c>
      <c r="I43" s="196" t="s">
        <v>142</v>
      </c>
      <c r="J43" s="197">
        <f>'Юнит 03-09.11'!R39</f>
        <v>0</v>
      </c>
      <c r="K43" s="198">
        <f t="shared" si="20"/>
        <v>0</v>
      </c>
      <c r="L43" s="198">
        <f t="shared" si="22"/>
        <v>1</v>
      </c>
      <c r="M43" s="199" t="str">
        <f t="shared" si="24"/>
        <v>C</v>
      </c>
    </row>
    <row r="44" spans="2:13" ht="26.5" thickBot="1">
      <c r="B44" s="196" t="s">
        <v>242</v>
      </c>
      <c r="C44" s="197">
        <f>'Юнит 03-09.11'!AE44</f>
        <v>-494.32496900000001</v>
      </c>
      <c r="D44" s="198">
        <f t="shared" si="18"/>
        <v>0.54924546052223366</v>
      </c>
      <c r="E44" s="198">
        <f t="shared" si="21"/>
        <v>-2.1967888770050101</v>
      </c>
      <c r="F44" s="199" t="str">
        <f t="shared" si="23"/>
        <v>C</v>
      </c>
      <c r="G44" s="199" t="str">
        <f t="shared" si="19"/>
        <v>C</v>
      </c>
      <c r="I44" s="196" t="s">
        <v>238</v>
      </c>
      <c r="J44" s="197">
        <f>'Юнит 03-09.11'!R40</f>
        <v>0</v>
      </c>
      <c r="K44" s="198">
        <f t="shared" si="20"/>
        <v>0</v>
      </c>
      <c r="L44" s="198">
        <f t="shared" si="22"/>
        <v>1</v>
      </c>
      <c r="M44" s="199" t="str">
        <f t="shared" si="24"/>
        <v>C</v>
      </c>
    </row>
    <row r="45" spans="2:13" ht="15" thickBot="1">
      <c r="B45" s="196" t="s">
        <v>238</v>
      </c>
      <c r="C45" s="197">
        <f>'Юнит 03-09.11'!AE45</f>
        <v>568</v>
      </c>
      <c r="D45" s="198">
        <f t="shared" si="18"/>
        <v>-0.63110593463998932</v>
      </c>
      <c r="E45" s="198">
        <f t="shared" si="21"/>
        <v>-2.8278948116449993</v>
      </c>
      <c r="F45" s="199" t="str">
        <f t="shared" si="23"/>
        <v>C</v>
      </c>
      <c r="G45" s="199" t="str">
        <f t="shared" si="19"/>
        <v>C</v>
      </c>
      <c r="I45" s="196" t="s">
        <v>241</v>
      </c>
      <c r="J45" s="197">
        <f>'Юнит 03-09.11'!R42</f>
        <v>0</v>
      </c>
      <c r="K45" s="198">
        <f t="shared" si="20"/>
        <v>0</v>
      </c>
      <c r="L45" s="198">
        <f t="shared" si="22"/>
        <v>1</v>
      </c>
      <c r="M45" s="199" t="str">
        <f t="shared" si="24"/>
        <v>C</v>
      </c>
    </row>
    <row r="46" spans="2:13" ht="26.5" thickBot="1">
      <c r="B46" s="196" t="s">
        <v>235</v>
      </c>
      <c r="C46" s="197">
        <f>'Юнит 03-09.11'!AE41</f>
        <v>-56</v>
      </c>
      <c r="D46" s="198">
        <f t="shared" si="18"/>
        <v>6.2221711865914436E-2</v>
      </c>
      <c r="E46" s="198">
        <f t="shared" si="21"/>
        <v>-2.765673099779085</v>
      </c>
      <c r="F46" s="199" t="str">
        <f t="shared" si="23"/>
        <v>C</v>
      </c>
      <c r="G46" s="199" t="str">
        <f t="shared" si="19"/>
        <v>C</v>
      </c>
      <c r="I46" s="196" t="s">
        <v>243</v>
      </c>
      <c r="J46" s="197">
        <f>'Юнит 03-09.11'!R43</f>
        <v>0</v>
      </c>
      <c r="K46" s="198">
        <f t="shared" si="20"/>
        <v>0</v>
      </c>
      <c r="L46" s="198">
        <f t="shared" si="22"/>
        <v>1</v>
      </c>
      <c r="M46" s="199" t="str">
        <f t="shared" si="24"/>
        <v>C</v>
      </c>
    </row>
    <row r="47" spans="2:13" ht="26.5" thickBot="1">
      <c r="B47" s="196" t="s">
        <v>245</v>
      </c>
      <c r="C47" s="197">
        <f>'Юнит 03-09.11'!AE36</f>
        <v>-1264.9158010000001</v>
      </c>
      <c r="D47" s="198">
        <f t="shared" si="18"/>
        <v>1.4054504732940065</v>
      </c>
      <c r="E47" s="198">
        <f t="shared" si="21"/>
        <v>-1.3602226264850785</v>
      </c>
      <c r="F47" s="199" t="str">
        <f t="shared" si="23"/>
        <v>C</v>
      </c>
      <c r="G47" s="199" t="str">
        <f t="shared" si="19"/>
        <v>C</v>
      </c>
      <c r="I47" s="196" t="s">
        <v>771</v>
      </c>
      <c r="J47" s="197">
        <f>'Юнит 03-09.11'!R44</f>
        <v>0</v>
      </c>
      <c r="K47" s="198">
        <f t="shared" si="20"/>
        <v>0</v>
      </c>
      <c r="L47" s="198">
        <f t="shared" si="22"/>
        <v>1</v>
      </c>
      <c r="M47" s="199" t="str">
        <f t="shared" si="24"/>
        <v>C</v>
      </c>
    </row>
    <row r="48" spans="2:13" ht="15" thickBot="1">
      <c r="B48" s="196" t="s">
        <v>239</v>
      </c>
      <c r="C48" s="197">
        <f>'Юнит 03-09.11'!AE29</f>
        <v>-168</v>
      </c>
      <c r="D48" s="198">
        <f t="shared" si="18"/>
        <v>0.18666513559774331</v>
      </c>
      <c r="E48" s="198">
        <f t="shared" si="21"/>
        <v>-1.1735574908873352</v>
      </c>
      <c r="F48" s="199" t="str">
        <f t="shared" si="23"/>
        <v>C</v>
      </c>
      <c r="G48" s="199" t="str">
        <f t="shared" si="19"/>
        <v>C</v>
      </c>
      <c r="I48" s="196" t="s">
        <v>66</v>
      </c>
      <c r="J48" s="197">
        <f>'Юнит 03-09.11'!R46</f>
        <v>0</v>
      </c>
      <c r="K48" s="198">
        <f t="shared" si="20"/>
        <v>0</v>
      </c>
      <c r="L48" s="198">
        <f t="shared" si="22"/>
        <v>1</v>
      </c>
      <c r="M48" s="199" t="str">
        <f t="shared" si="24"/>
        <v>C</v>
      </c>
    </row>
    <row r="49" spans="2:13" ht="26.5" thickBot="1">
      <c r="B49" s="196" t="s">
        <v>62</v>
      </c>
      <c r="C49" s="197">
        <f>'Юнит 03-09.11'!AE28</f>
        <v>-1956.217787</v>
      </c>
      <c r="D49" s="198">
        <f t="shared" si="18"/>
        <v>2.1735574908873354</v>
      </c>
      <c r="E49" s="198">
        <f t="shared" si="21"/>
        <v>1.0000000000000002</v>
      </c>
      <c r="F49" s="199" t="str">
        <f t="shared" si="23"/>
        <v>C</v>
      </c>
      <c r="G49" s="199" t="str">
        <f t="shared" si="19"/>
        <v>C</v>
      </c>
      <c r="I49" s="196" t="s">
        <v>245</v>
      </c>
      <c r="J49" s="197">
        <f>'Юнит 03-09.11'!R47</f>
        <v>0</v>
      </c>
      <c r="K49" s="198">
        <f t="shared" si="20"/>
        <v>0</v>
      </c>
      <c r="L49" s="198">
        <f t="shared" si="22"/>
        <v>1</v>
      </c>
      <c r="M49" s="199" t="str">
        <f t="shared" si="24"/>
        <v>C</v>
      </c>
    </row>
    <row r="50" spans="2:13">
      <c r="C50" s="205">
        <f>SUM(C30:C49)</f>
        <v>-900.00738200000023</v>
      </c>
      <c r="D50" s="206">
        <f>SUM(D30:D49)</f>
        <v>1.0000000000000002</v>
      </c>
      <c r="J50" s="205">
        <f>SUM(J30:J49)</f>
        <v>4</v>
      </c>
      <c r="K50" s="206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330" priority="4" operator="equal">
      <formula>"C"</formula>
    </cfRule>
    <cfRule type="cellIs" dxfId="329" priority="5" operator="equal">
      <formula>"B"</formula>
    </cfRule>
    <cfRule type="cellIs" dxfId="328" priority="6" operator="equal">
      <formula>"A"</formula>
    </cfRule>
  </conditionalFormatting>
  <conditionalFormatting sqref="M30:M49 D30:D49 K30:K49 F30:G49">
    <cfRule type="cellIs" dxfId="327" priority="1" operator="equal">
      <formula>"C"</formula>
    </cfRule>
    <cfRule type="cellIs" dxfId="326" priority="2" operator="equal">
      <formula>"B"</formula>
    </cfRule>
    <cfRule type="cellIs" dxfId="325" priority="3" operator="equal">
      <formula>"A"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2E1D-99C6-4C7F-8499-9DA9F512BE57}">
  <dimension ref="B1:Q48"/>
  <sheetViews>
    <sheetView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'Юнит 27.10-02.11'!AE3</f>
        <v>752.42833500000097</v>
      </c>
      <c r="D4" s="198">
        <f t="shared" ref="D4:D23" si="0">C4/C$24</f>
        <v>-6.192197332153726E-2</v>
      </c>
      <c r="E4" s="198">
        <f>D4</f>
        <v>-6.192197332153726E-2</v>
      </c>
      <c r="F4" s="199" t="str">
        <f t="shared" ref="F4:F10" si="1">IF(AND(E4&lt;=0),"C",IF(E4&lt;=0.8,"A",IF(E4&lt;=0.95,"B","C")))</f>
        <v>C</v>
      </c>
      <c r="G4" s="199" t="str">
        <f t="shared" ref="G4:G23" si="2">VLOOKUP(B$4:B$23,I$4:M$23,5,0)</f>
        <v>A</v>
      </c>
      <c r="I4" s="196" t="s">
        <v>25</v>
      </c>
      <c r="J4" s="197">
        <f>'Юнит 27.10-02.11'!R3</f>
        <v>6</v>
      </c>
      <c r="K4" s="198">
        <f t="shared" ref="K4:K23" si="3">J4/J$24</f>
        <v>0.46153846153846156</v>
      </c>
      <c r="L4" s="198">
        <f>K4</f>
        <v>0.46153846153846156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19</v>
      </c>
      <c r="C5" s="197">
        <f>'Юнит 27.10-02.11'!AE14</f>
        <v>533.3900000000001</v>
      </c>
      <c r="D5" s="198">
        <f t="shared" si="0"/>
        <v>-4.3895956350414059E-2</v>
      </c>
      <c r="E5" s="198">
        <f>D5+E4</f>
        <v>-0.10581792967195132</v>
      </c>
      <c r="F5" s="199" t="str">
        <f t="shared" si="1"/>
        <v>C</v>
      </c>
      <c r="G5" s="199" t="str">
        <f t="shared" si="2"/>
        <v>B</v>
      </c>
      <c r="I5" s="196" t="s">
        <v>222</v>
      </c>
      <c r="J5" s="197">
        <f>'Юнит 27.10-02.11'!R5</f>
        <v>1</v>
      </c>
      <c r="K5" s="198">
        <f t="shared" si="3"/>
        <v>7.6923076923076927E-2</v>
      </c>
      <c r="L5" s="198">
        <f>K5+L4</f>
        <v>0.53846153846153855</v>
      </c>
      <c r="M5" s="199" t="str">
        <f t="shared" si="4"/>
        <v>A</v>
      </c>
    </row>
    <row r="6" spans="2:17" ht="28.5" customHeight="1" outlineLevel="1" thickBot="1">
      <c r="B6" s="196" t="s">
        <v>222</v>
      </c>
      <c r="C6" s="197">
        <f>'Юнит 27.10-02.11'!AE5</f>
        <v>342.75</v>
      </c>
      <c r="D6" s="198">
        <f t="shared" si="0"/>
        <v>-2.8207013703114823E-2</v>
      </c>
      <c r="E6" s="198">
        <f t="shared" ref="E6:E23" si="5">D6+E5</f>
        <v>-0.13402494337506615</v>
      </c>
      <c r="F6" s="199" t="str">
        <f t="shared" si="1"/>
        <v>C</v>
      </c>
      <c r="G6" s="199" t="str">
        <f t="shared" si="2"/>
        <v>A</v>
      </c>
      <c r="I6" s="196" t="s">
        <v>54</v>
      </c>
      <c r="J6" s="197">
        <f>'Юнит 27.10-02.11'!R7</f>
        <v>1</v>
      </c>
      <c r="K6" s="198">
        <f t="shared" si="3"/>
        <v>7.6923076923076927E-2</v>
      </c>
      <c r="L6" s="198">
        <f t="shared" ref="L6:L23" si="6">K6+L5</f>
        <v>0.61538461538461542</v>
      </c>
      <c r="M6" s="199" t="str">
        <f t="shared" si="4"/>
        <v>A</v>
      </c>
    </row>
    <row r="7" spans="2:17" ht="28.5" customHeight="1" outlineLevel="1" thickBot="1">
      <c r="B7" s="196" t="s">
        <v>54</v>
      </c>
      <c r="C7" s="197">
        <f>'Юнит 27.10-02.11'!AE7</f>
        <v>332.53999999999991</v>
      </c>
      <c r="D7" s="198">
        <f t="shared" si="0"/>
        <v>-2.7366769764650037E-2</v>
      </c>
      <c r="E7" s="198">
        <f t="shared" si="5"/>
        <v>-0.16139171313971618</v>
      </c>
      <c r="F7" s="199" t="str">
        <f t="shared" si="1"/>
        <v>C</v>
      </c>
      <c r="G7" s="199" t="str">
        <f t="shared" si="2"/>
        <v>A</v>
      </c>
      <c r="I7" s="196" t="s">
        <v>88</v>
      </c>
      <c r="J7" s="197">
        <f>'Юнит 27.10-02.11'!R8</f>
        <v>1</v>
      </c>
      <c r="K7" s="198">
        <f t="shared" si="3"/>
        <v>7.6923076923076927E-2</v>
      </c>
      <c r="L7" s="198">
        <f t="shared" si="6"/>
        <v>0.69230769230769229</v>
      </c>
      <c r="M7" s="199" t="str">
        <f t="shared" si="4"/>
        <v>A</v>
      </c>
    </row>
    <row r="8" spans="2:17" ht="28.5" customHeight="1" outlineLevel="1" thickBot="1">
      <c r="B8" s="196" t="s">
        <v>88</v>
      </c>
      <c r="C8" s="197">
        <f>'Юнит 27.10-02.11'!AE8</f>
        <v>50.230000000000047</v>
      </c>
      <c r="D8" s="198">
        <f t="shared" si="0"/>
        <v>-4.1337368294893035E-3</v>
      </c>
      <c r="E8" s="198">
        <f t="shared" si="5"/>
        <v>-0.16552544996920548</v>
      </c>
      <c r="F8" s="199" t="str">
        <f t="shared" si="1"/>
        <v>C</v>
      </c>
      <c r="G8" s="199" t="str">
        <f t="shared" si="2"/>
        <v>A</v>
      </c>
      <c r="I8" s="196" t="s">
        <v>227</v>
      </c>
      <c r="J8" s="197">
        <f>'Юнит 27.10-02.11'!R12</f>
        <v>1</v>
      </c>
      <c r="K8" s="198">
        <f t="shared" si="3"/>
        <v>7.6923076923076927E-2</v>
      </c>
      <c r="L8" s="198">
        <f t="shared" si="6"/>
        <v>0.76923076923076916</v>
      </c>
      <c r="M8" s="199" t="str">
        <f t="shared" si="4"/>
        <v>A</v>
      </c>
    </row>
    <row r="9" spans="2:17" ht="28.5" customHeight="1" outlineLevel="1" thickBot="1">
      <c r="B9" s="196" t="s">
        <v>224</v>
      </c>
      <c r="C9" s="197">
        <f>'Юнит 27.10-02.11'!AE9</f>
        <v>0</v>
      </c>
      <c r="D9" s="198">
        <f t="shared" si="0"/>
        <v>0</v>
      </c>
      <c r="E9" s="198">
        <f t="shared" si="5"/>
        <v>-0.16552544996920548</v>
      </c>
      <c r="F9" s="199" t="str">
        <f t="shared" si="1"/>
        <v>C</v>
      </c>
      <c r="G9" s="199" t="str">
        <f t="shared" si="2"/>
        <v>C</v>
      </c>
      <c r="I9" s="196" t="s">
        <v>19</v>
      </c>
      <c r="J9" s="197">
        <f>'Юнит 27.10-02.11'!R14</f>
        <v>1</v>
      </c>
      <c r="K9" s="198">
        <f t="shared" si="3"/>
        <v>7.6923076923076927E-2</v>
      </c>
      <c r="L9" s="198">
        <f t="shared" si="6"/>
        <v>0.84615384615384603</v>
      </c>
      <c r="M9" s="199" t="str">
        <f t="shared" si="4"/>
        <v>B</v>
      </c>
    </row>
    <row r="10" spans="2:17" ht="28.5" customHeight="1" outlineLevel="1" thickBot="1">
      <c r="B10" s="196" t="s">
        <v>225</v>
      </c>
      <c r="C10" s="197">
        <f>'Юнит 27.10-02.11'!AE10</f>
        <v>0</v>
      </c>
      <c r="D10" s="198">
        <f t="shared" si="0"/>
        <v>0</v>
      </c>
      <c r="E10" s="198">
        <f t="shared" si="5"/>
        <v>-0.16552544996920548</v>
      </c>
      <c r="F10" s="199" t="str">
        <f t="shared" si="1"/>
        <v>C</v>
      </c>
      <c r="G10" s="199" t="str">
        <f t="shared" si="2"/>
        <v>C</v>
      </c>
      <c r="I10" s="196" t="s">
        <v>229</v>
      </c>
      <c r="J10" s="197">
        <f>'Юнит 27.10-02.11'!R15</f>
        <v>1</v>
      </c>
      <c r="K10" s="198">
        <f t="shared" si="3"/>
        <v>7.6923076923076927E-2</v>
      </c>
      <c r="L10" s="198">
        <f t="shared" si="6"/>
        <v>0.92307692307692291</v>
      </c>
      <c r="M10" s="199" t="str">
        <f t="shared" si="4"/>
        <v>B</v>
      </c>
    </row>
    <row r="11" spans="2:17" ht="15" outlineLevel="1" thickBot="1">
      <c r="B11" s="196" t="s">
        <v>226</v>
      </c>
      <c r="C11" s="197">
        <f>'Юнит 27.10-02.11'!AE11</f>
        <v>0</v>
      </c>
      <c r="D11" s="198">
        <f t="shared" si="0"/>
        <v>0</v>
      </c>
      <c r="E11" s="198">
        <f t="shared" si="5"/>
        <v>-0.16552544996920548</v>
      </c>
      <c r="F11" s="199" t="str">
        <f>IF(AND(E11&lt;=0),"C",IF(E11&lt;=0.8,"A",IF(E11&lt;=0.95,"B","C")))</f>
        <v>C</v>
      </c>
      <c r="G11" s="199" t="str">
        <f t="shared" si="2"/>
        <v>C</v>
      </c>
      <c r="I11" s="196" t="s">
        <v>136</v>
      </c>
      <c r="J11" s="197">
        <f>'Юнит 27.10-02.11'!R20</f>
        <v>1</v>
      </c>
      <c r="K11" s="198">
        <f t="shared" si="3"/>
        <v>7.6923076923076927E-2</v>
      </c>
      <c r="L11" s="198">
        <f t="shared" si="6"/>
        <v>0.99999999999999978</v>
      </c>
      <c r="M11" s="199" t="str">
        <f>_xlfn.IFS(L11&lt;80%,"A",L11&lt;=95%,"B",L11&gt;95%,"C")</f>
        <v>C</v>
      </c>
      <c r="P11" s="200" t="s">
        <v>301</v>
      </c>
      <c r="Q11" s="201">
        <v>0.8</v>
      </c>
    </row>
    <row r="12" spans="2:17" ht="15" outlineLevel="1" thickBot="1">
      <c r="B12" s="196" t="s">
        <v>230</v>
      </c>
      <c r="C12" s="197">
        <f>'Юнит 27.10-02.11'!AE16</f>
        <v>0</v>
      </c>
      <c r="D12" s="198">
        <f t="shared" si="0"/>
        <v>0</v>
      </c>
      <c r="E12" s="198">
        <f t="shared" si="5"/>
        <v>-0.16552544996920548</v>
      </c>
      <c r="F12" s="199" t="str">
        <f t="shared" ref="F12:F23" si="7">IF(AND(E12&lt;=0),"C",IF(E12&lt;=0.8,"A",IF(E12&lt;=0.95,"B","C")))</f>
        <v>C</v>
      </c>
      <c r="G12" s="199" t="str">
        <f t="shared" si="2"/>
        <v>C</v>
      </c>
      <c r="I12" s="196" t="s">
        <v>92</v>
      </c>
      <c r="J12" s="197">
        <f>'Юнит 27.10-02.11'!R4</f>
        <v>0</v>
      </c>
      <c r="K12" s="198">
        <f t="shared" si="3"/>
        <v>0</v>
      </c>
      <c r="L12" s="198">
        <f t="shared" si="6"/>
        <v>0.99999999999999978</v>
      </c>
      <c r="M12" s="199" t="str">
        <f t="shared" ref="M12:M23" si="8">_xlfn.IFS(L12&lt;80%,"A",L12&lt;=95%,"B",L12&gt;95%,"C")</f>
        <v>C</v>
      </c>
      <c r="P12" s="202" t="s">
        <v>302</v>
      </c>
      <c r="Q12" s="201">
        <v>0.15</v>
      </c>
    </row>
    <row r="13" spans="2:17" ht="15" outlineLevel="1" thickBot="1">
      <c r="B13" s="196" t="s">
        <v>231</v>
      </c>
      <c r="C13" s="197">
        <f>'Юнит 27.10-02.11'!AE17</f>
        <v>0</v>
      </c>
      <c r="D13" s="198">
        <f t="shared" si="0"/>
        <v>0</v>
      </c>
      <c r="E13" s="198">
        <f t="shared" si="5"/>
        <v>-0.16552544996920548</v>
      </c>
      <c r="F13" s="199" t="str">
        <f t="shared" si="7"/>
        <v>C</v>
      </c>
      <c r="G13" s="199" t="str">
        <f t="shared" si="2"/>
        <v>C</v>
      </c>
      <c r="I13" s="196" t="s">
        <v>223</v>
      </c>
      <c r="J13" s="197">
        <f>'Юнит 27.10-02.11'!R6</f>
        <v>0</v>
      </c>
      <c r="K13" s="198">
        <f t="shared" si="3"/>
        <v>0</v>
      </c>
      <c r="L13" s="198">
        <f t="shared" si="6"/>
        <v>0.99999999999999978</v>
      </c>
      <c r="M13" s="199" t="str">
        <f t="shared" si="8"/>
        <v>C</v>
      </c>
      <c r="P13" s="203" t="s">
        <v>303</v>
      </c>
      <c r="Q13" s="201">
        <v>0.05</v>
      </c>
    </row>
    <row r="14" spans="2:17" ht="15" outlineLevel="1" thickBot="1">
      <c r="B14" s="196" t="s">
        <v>111</v>
      </c>
      <c r="C14" s="197">
        <f>'Юнит 27.10-02.11'!AE18</f>
        <v>0</v>
      </c>
      <c r="D14" s="198">
        <f t="shared" si="0"/>
        <v>0</v>
      </c>
      <c r="E14" s="198">
        <f t="shared" si="5"/>
        <v>-0.16552544996920548</v>
      </c>
      <c r="F14" s="199" t="str">
        <f t="shared" si="7"/>
        <v>C</v>
      </c>
      <c r="G14" s="199" t="str">
        <f t="shared" si="2"/>
        <v>C</v>
      </c>
      <c r="I14" s="196" t="s">
        <v>224</v>
      </c>
      <c r="J14" s="197">
        <f>'Юнит 27.10-02.11'!R9</f>
        <v>0</v>
      </c>
      <c r="K14" s="198">
        <f t="shared" si="3"/>
        <v>0</v>
      </c>
      <c r="L14" s="198">
        <f t="shared" si="6"/>
        <v>0.99999999999999978</v>
      </c>
      <c r="M14" s="199" t="str">
        <f t="shared" si="8"/>
        <v>C</v>
      </c>
      <c r="P14" s="204"/>
      <c r="Q14" s="198"/>
    </row>
    <row r="15" spans="2:17" ht="15" outlineLevel="1" thickBot="1">
      <c r="B15" s="196" t="s">
        <v>232</v>
      </c>
      <c r="C15" s="197">
        <f>'Юнит 27.10-02.11'!AE19</f>
        <v>0</v>
      </c>
      <c r="D15" s="198">
        <f t="shared" si="0"/>
        <v>0</v>
      </c>
      <c r="E15" s="198">
        <f t="shared" si="5"/>
        <v>-0.16552544996920548</v>
      </c>
      <c r="F15" s="199" t="str">
        <f t="shared" si="7"/>
        <v>C</v>
      </c>
      <c r="G15" s="199" t="str">
        <f t="shared" si="2"/>
        <v>C</v>
      </c>
      <c r="I15" s="196" t="s">
        <v>225</v>
      </c>
      <c r="J15" s="197">
        <f>'Юнит 27.10-02.11'!R10</f>
        <v>0</v>
      </c>
      <c r="K15" s="198">
        <f t="shared" si="3"/>
        <v>0</v>
      </c>
      <c r="L15" s="198">
        <f t="shared" si="6"/>
        <v>0.99999999999999978</v>
      </c>
      <c r="M15" s="199" t="str">
        <f t="shared" si="8"/>
        <v>C</v>
      </c>
      <c r="P15" s="204"/>
      <c r="Q15" s="198"/>
    </row>
    <row r="16" spans="2:17" ht="15" outlineLevel="1" thickBot="1">
      <c r="B16" s="196" t="s">
        <v>233</v>
      </c>
      <c r="C16" s="197">
        <f>'Юнит 27.10-02.11'!AE21</f>
        <v>0</v>
      </c>
      <c r="D16" s="198">
        <f t="shared" si="0"/>
        <v>0</v>
      </c>
      <c r="E16" s="198">
        <f t="shared" si="5"/>
        <v>-0.16552544996920548</v>
      </c>
      <c r="F16" s="199" t="str">
        <f t="shared" si="7"/>
        <v>C</v>
      </c>
      <c r="G16" s="199" t="str">
        <f t="shared" si="2"/>
        <v>C</v>
      </c>
      <c r="I16" s="196" t="s">
        <v>226</v>
      </c>
      <c r="J16" s="197">
        <f>'Юнит 27.10-02.11'!R11</f>
        <v>0</v>
      </c>
      <c r="K16" s="198">
        <f t="shared" si="3"/>
        <v>0</v>
      </c>
      <c r="L16" s="198">
        <f t="shared" si="6"/>
        <v>0.99999999999999978</v>
      </c>
      <c r="M16" s="199" t="str">
        <f t="shared" si="8"/>
        <v>C</v>
      </c>
      <c r="P16" s="204"/>
      <c r="Q16" s="198"/>
    </row>
    <row r="17" spans="2:17" ht="26.5" outlineLevel="1" thickBot="1">
      <c r="B17" s="196" t="s">
        <v>234</v>
      </c>
      <c r="C17" s="197">
        <f>'Юнит 27.10-02.11'!AE22</f>
        <v>0</v>
      </c>
      <c r="D17" s="198">
        <f t="shared" si="0"/>
        <v>0</v>
      </c>
      <c r="E17" s="198">
        <f t="shared" si="5"/>
        <v>-0.16552544996920548</v>
      </c>
      <c r="F17" s="199" t="str">
        <f t="shared" si="7"/>
        <v>C</v>
      </c>
      <c r="G17" s="199" t="str">
        <f t="shared" si="2"/>
        <v>C</v>
      </c>
      <c r="I17" s="196" t="s">
        <v>228</v>
      </c>
      <c r="J17" s="197">
        <f>'Юнит 27.10-02.11'!R13</f>
        <v>0</v>
      </c>
      <c r="K17" s="198">
        <f t="shared" si="3"/>
        <v>0</v>
      </c>
      <c r="L17" s="198">
        <f t="shared" si="6"/>
        <v>0.99999999999999978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92</v>
      </c>
      <c r="C18" s="197">
        <f>'Юнит 27.10-02.11'!AE4</f>
        <v>-92</v>
      </c>
      <c r="D18" s="198">
        <f t="shared" si="0"/>
        <v>7.5712480253437306E-3</v>
      </c>
      <c r="E18" s="198">
        <f t="shared" si="5"/>
        <v>-0.15795420194386176</v>
      </c>
      <c r="F18" s="199" t="str">
        <f t="shared" si="7"/>
        <v>C</v>
      </c>
      <c r="G18" s="199" t="str">
        <f t="shared" si="2"/>
        <v>C</v>
      </c>
      <c r="I18" s="196" t="s">
        <v>230</v>
      </c>
      <c r="J18" s="197">
        <f>'Юнит 27.10-02.11'!R16</f>
        <v>0</v>
      </c>
      <c r="K18" s="198">
        <f t="shared" si="3"/>
        <v>0</v>
      </c>
      <c r="L18" s="198">
        <f t="shared" si="6"/>
        <v>0.99999999999999978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136</v>
      </c>
      <c r="C19" s="197">
        <f>'Юнит 27.10-02.11'!AE20</f>
        <v>-326.12933999999996</v>
      </c>
      <c r="D19" s="198">
        <f t="shared" si="0"/>
        <v>2.6839196972626669E-2</v>
      </c>
      <c r="E19" s="198">
        <f t="shared" si="5"/>
        <v>-0.13111500497123507</v>
      </c>
      <c r="F19" s="199" t="str">
        <f t="shared" si="7"/>
        <v>C</v>
      </c>
      <c r="G19" s="199" t="str">
        <f t="shared" si="2"/>
        <v>C</v>
      </c>
      <c r="I19" s="196" t="s">
        <v>231</v>
      </c>
      <c r="J19" s="197">
        <f>'Юнит 27.10-02.11'!R17</f>
        <v>0</v>
      </c>
      <c r="K19" s="198">
        <f t="shared" si="3"/>
        <v>0</v>
      </c>
      <c r="L19" s="198">
        <f t="shared" si="6"/>
        <v>0.99999999999999978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223</v>
      </c>
      <c r="C20" s="197">
        <f>'Юнит 27.10-02.11'!AE6</f>
        <v>-2021.798959</v>
      </c>
      <c r="D20" s="198">
        <f t="shared" si="0"/>
        <v>0.16638631930403</v>
      </c>
      <c r="E20" s="198">
        <f t="shared" si="5"/>
        <v>3.5271314332794929E-2</v>
      </c>
      <c r="F20" s="199" t="str">
        <f t="shared" si="7"/>
        <v>A</v>
      </c>
      <c r="G20" s="199" t="str">
        <f t="shared" si="2"/>
        <v>C</v>
      </c>
      <c r="I20" s="196" t="s">
        <v>111</v>
      </c>
      <c r="J20" s="197">
        <f>'Юнит 27.10-02.11'!R18</f>
        <v>0</v>
      </c>
      <c r="K20" s="198">
        <f t="shared" si="3"/>
        <v>0</v>
      </c>
      <c r="L20" s="198">
        <f t="shared" si="6"/>
        <v>0.99999999999999978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229</v>
      </c>
      <c r="C21" s="197">
        <f>'Юнит 27.10-02.11'!AE15</f>
        <v>-3210.9554600000001</v>
      </c>
      <c r="D21" s="198">
        <f t="shared" si="0"/>
        <v>0.26424934984773557</v>
      </c>
      <c r="E21" s="198">
        <f t="shared" si="5"/>
        <v>0.29952066418053047</v>
      </c>
      <c r="F21" s="199" t="str">
        <f t="shared" si="7"/>
        <v>A</v>
      </c>
      <c r="G21" s="199" t="str">
        <f t="shared" si="2"/>
        <v>B</v>
      </c>
      <c r="I21" s="196" t="s">
        <v>232</v>
      </c>
      <c r="J21" s="197">
        <f>'Юнит 27.10-02.11'!R19</f>
        <v>0</v>
      </c>
      <c r="K21" s="198">
        <f t="shared" si="3"/>
        <v>0</v>
      </c>
      <c r="L21" s="198">
        <f t="shared" si="6"/>
        <v>0.99999999999999978</v>
      </c>
      <c r="M21" s="199" t="str">
        <f t="shared" si="8"/>
        <v>C</v>
      </c>
      <c r="P21" s="204"/>
      <c r="Q21" s="198"/>
    </row>
    <row r="22" spans="2:17" ht="26.5" outlineLevel="1" thickBot="1">
      <c r="B22" s="196" t="s">
        <v>228</v>
      </c>
      <c r="C22" s="197">
        <f>'Юнит 27.10-02.11'!AE13</f>
        <v>-3881.1426289999999</v>
      </c>
      <c r="D22" s="198">
        <f t="shared" si="0"/>
        <v>0.31940318984666982</v>
      </c>
      <c r="E22" s="198">
        <f t="shared" si="5"/>
        <v>0.61892385402720029</v>
      </c>
      <c r="F22" s="199" t="str">
        <f t="shared" si="7"/>
        <v>A</v>
      </c>
      <c r="G22" s="199" t="str">
        <f t="shared" si="2"/>
        <v>C</v>
      </c>
      <c r="I22" s="196" t="s">
        <v>233</v>
      </c>
      <c r="J22" s="197">
        <f>'Юнит 27.10-02.11'!R21</f>
        <v>0</v>
      </c>
      <c r="K22" s="198">
        <f t="shared" si="3"/>
        <v>0</v>
      </c>
      <c r="L22" s="198">
        <f t="shared" si="6"/>
        <v>0.99999999999999978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227</v>
      </c>
      <c r="C23" s="197">
        <f>'Юнит 27.10-02.11'!AE12</f>
        <v>-4630.5450979999987</v>
      </c>
      <c r="D23" s="198">
        <f t="shared" si="0"/>
        <v>0.38107614597279976</v>
      </c>
      <c r="E23" s="198">
        <f t="shared" si="5"/>
        <v>1</v>
      </c>
      <c r="F23" s="199" t="str">
        <f t="shared" si="7"/>
        <v>C</v>
      </c>
      <c r="G23" s="199" t="str">
        <f t="shared" si="2"/>
        <v>A</v>
      </c>
      <c r="I23" s="196" t="s">
        <v>234</v>
      </c>
      <c r="J23" s="197">
        <f>'Юнит 27.10-02.11'!R22</f>
        <v>0</v>
      </c>
      <c r="K23" s="198">
        <f t="shared" si="3"/>
        <v>0</v>
      </c>
      <c r="L23" s="198">
        <f t="shared" si="6"/>
        <v>0.99999999999999978</v>
      </c>
      <c r="M23" s="199" t="str">
        <f t="shared" si="8"/>
        <v>C</v>
      </c>
      <c r="P23" s="204"/>
      <c r="Q23" s="198"/>
    </row>
    <row r="24" spans="2:17" outlineLevel="1">
      <c r="C24" s="205">
        <f>SUM(C4:C23)</f>
        <v>-12151.233150999997</v>
      </c>
      <c r="D24" s="206">
        <f>SUM(D4:D23)</f>
        <v>1</v>
      </c>
      <c r="J24" s="205">
        <f>SUM(J4:J23)</f>
        <v>13</v>
      </c>
      <c r="K24" s="206">
        <f>SUM(K4:K23)</f>
        <v>0.99999999999999978</v>
      </c>
    </row>
    <row r="25" spans="2:17" ht="15" thickBot="1"/>
    <row r="26" spans="2:17" ht="15" thickBot="1">
      <c r="B26" s="516" t="s">
        <v>304</v>
      </c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8"/>
    </row>
    <row r="27" spans="2:17" ht="23.5" thickBot="1">
      <c r="C27" s="192" t="s">
        <v>212</v>
      </c>
      <c r="D27" s="193" t="s">
        <v>295</v>
      </c>
      <c r="E27" s="194" t="s">
        <v>296</v>
      </c>
      <c r="F27" s="193" t="s">
        <v>297</v>
      </c>
      <c r="G27" s="193" t="s">
        <v>298</v>
      </c>
      <c r="J27" s="192" t="s">
        <v>299</v>
      </c>
      <c r="K27" s="193" t="s">
        <v>300</v>
      </c>
      <c r="L27" s="194" t="s">
        <v>296</v>
      </c>
      <c r="M27" s="195" t="s">
        <v>298</v>
      </c>
    </row>
    <row r="28" spans="2:17" ht="26.5" thickBot="1">
      <c r="B28" s="196" t="s">
        <v>235</v>
      </c>
      <c r="C28" s="197">
        <f>'Юнит 27.10-02.11'!AE28</f>
        <v>4514</v>
      </c>
      <c r="D28" s="198">
        <f>C28/C$48</f>
        <v>1.752729228498326</v>
      </c>
      <c r="E28" s="198">
        <f>D28</f>
        <v>1.752729228498326</v>
      </c>
      <c r="F28" s="199" t="str">
        <f t="shared" ref="F28:F34" si="9">IF(AND(E28&lt;=0),"C",IF(E28&lt;=0.8,"A",IF(E28&lt;=0.95,"B","C")))</f>
        <v>C</v>
      </c>
      <c r="G28" s="199" t="str">
        <f>VLOOKUP(B$28:B$48,I$28:M$48,5,0)</f>
        <v>B</v>
      </c>
      <c r="I28" s="196" t="s">
        <v>239</v>
      </c>
      <c r="J28" s="197">
        <f>'Юнит 27.10-02.11'!R36</f>
        <v>5</v>
      </c>
      <c r="K28" s="198">
        <f>J28/J$48</f>
        <v>0.45454545454545453</v>
      </c>
      <c r="L28" s="198">
        <f>K28</f>
        <v>0.45454545454545453</v>
      </c>
      <c r="M28" s="199" t="str">
        <f t="shared" ref="M28:M34" si="10">_xlfn.IFS(L28&lt;80%,"A",L28&lt;=95%,"B",L28&gt;95%,"C")</f>
        <v>A</v>
      </c>
    </row>
    <row r="29" spans="2:17" ht="26.5" thickBot="1">
      <c r="B29" s="196" t="s">
        <v>66</v>
      </c>
      <c r="C29" s="197">
        <f>'Юнит 27.10-02.11'!AE44</f>
        <v>2392</v>
      </c>
      <c r="D29" s="198">
        <f t="shared" ref="D29:D47" si="11">C29/C$48</f>
        <v>0.92878341040496137</v>
      </c>
      <c r="E29" s="198">
        <f>D29+E28</f>
        <v>2.6815126389032873</v>
      </c>
      <c r="F29" s="199" t="str">
        <f t="shared" si="9"/>
        <v>C</v>
      </c>
      <c r="G29" s="199" t="str">
        <f t="shared" ref="G29:G47" si="12">VLOOKUP(B$28:B$48,I$28:M$48,5,0)</f>
        <v>C</v>
      </c>
      <c r="I29" s="196" t="s">
        <v>43</v>
      </c>
      <c r="J29" s="197">
        <f>'Юнит 27.10-02.11'!R27</f>
        <v>3</v>
      </c>
      <c r="K29" s="198">
        <f t="shared" ref="K29:K47" si="13">J29/J$48</f>
        <v>0.27272727272727271</v>
      </c>
      <c r="L29" s="198">
        <f>K29+L28</f>
        <v>0.72727272727272729</v>
      </c>
      <c r="M29" s="199" t="str">
        <f t="shared" si="10"/>
        <v>A</v>
      </c>
    </row>
    <row r="30" spans="2:17" ht="26.5" thickBot="1">
      <c r="B30" s="196" t="s">
        <v>239</v>
      </c>
      <c r="C30" s="197">
        <f>'Юнит 27.10-02.11'!AE36</f>
        <v>996.89356999999995</v>
      </c>
      <c r="D30" s="198">
        <f t="shared" si="11"/>
        <v>0.3870811913693048</v>
      </c>
      <c r="E30" s="198">
        <f t="shared" ref="E30:E47" si="14">D30+E29</f>
        <v>3.0685938302725919</v>
      </c>
      <c r="F30" s="199" t="str">
        <f t="shared" si="9"/>
        <v>C</v>
      </c>
      <c r="G30" s="199" t="str">
        <f t="shared" si="12"/>
        <v>A</v>
      </c>
      <c r="I30" s="196" t="s">
        <v>235</v>
      </c>
      <c r="J30" s="197">
        <f>'Юнит 27.10-02.11'!R28</f>
        <v>2</v>
      </c>
      <c r="K30" s="198">
        <f t="shared" si="13"/>
        <v>0.18181818181818182</v>
      </c>
      <c r="L30" s="198">
        <f t="shared" ref="L30:L47" si="15">K30+L29</f>
        <v>0.90909090909090917</v>
      </c>
      <c r="M30" s="199" t="str">
        <f t="shared" si="10"/>
        <v>B</v>
      </c>
    </row>
    <row r="31" spans="2:17" ht="26.5" thickBot="1">
      <c r="B31" s="196" t="s">
        <v>43</v>
      </c>
      <c r="C31" s="197">
        <f>'Юнит 27.10-02.11'!AE27</f>
        <v>919</v>
      </c>
      <c r="D31" s="198">
        <f t="shared" si="11"/>
        <v>0.35683610123836101</v>
      </c>
      <c r="E31" s="198">
        <f t="shared" si="14"/>
        <v>3.4254299315109531</v>
      </c>
      <c r="F31" s="199" t="str">
        <f t="shared" si="9"/>
        <v>C</v>
      </c>
      <c r="G31" s="199" t="str">
        <f t="shared" si="12"/>
        <v>A</v>
      </c>
      <c r="I31" s="196" t="s">
        <v>66</v>
      </c>
      <c r="J31" s="197">
        <f>'Юнит 27.10-02.11'!R44</f>
        <v>1</v>
      </c>
      <c r="K31" s="198">
        <f t="shared" si="13"/>
        <v>9.0909090909090912E-2</v>
      </c>
      <c r="L31" s="198">
        <f t="shared" si="15"/>
        <v>1</v>
      </c>
      <c r="M31" s="199" t="str">
        <f t="shared" si="10"/>
        <v>C</v>
      </c>
    </row>
    <row r="32" spans="2:17" ht="26.5" thickBot="1">
      <c r="B32" s="196" t="s">
        <v>171</v>
      </c>
      <c r="C32" s="197">
        <f>'Юнит 27.10-02.11'!AE29</f>
        <v>0</v>
      </c>
      <c r="D32" s="198">
        <f t="shared" si="11"/>
        <v>0</v>
      </c>
      <c r="E32" s="198">
        <f t="shared" si="14"/>
        <v>3.4254299315109531</v>
      </c>
      <c r="F32" s="199" t="str">
        <f t="shared" si="9"/>
        <v>C</v>
      </c>
      <c r="G32" s="199" t="str">
        <f t="shared" si="12"/>
        <v>C</v>
      </c>
      <c r="I32" s="196" t="s">
        <v>98</v>
      </c>
      <c r="J32" s="197">
        <f>'Юнит 27.10-02.11'!R26</f>
        <v>0</v>
      </c>
      <c r="K32" s="198">
        <f t="shared" si="13"/>
        <v>0</v>
      </c>
      <c r="L32" s="198">
        <f t="shared" si="15"/>
        <v>1</v>
      </c>
      <c r="M32" s="199" t="str">
        <f t="shared" si="10"/>
        <v>C</v>
      </c>
    </row>
    <row r="33" spans="2:13" ht="15" thickBot="1">
      <c r="B33" s="196" t="s">
        <v>39</v>
      </c>
      <c r="C33" s="197">
        <f>'Юнит 27.10-02.11'!AE30</f>
        <v>0</v>
      </c>
      <c r="D33" s="198">
        <f t="shared" si="11"/>
        <v>0</v>
      </c>
      <c r="E33" s="198">
        <f t="shared" si="14"/>
        <v>3.4254299315109531</v>
      </c>
      <c r="F33" s="199" t="str">
        <f t="shared" si="9"/>
        <v>C</v>
      </c>
      <c r="G33" s="199" t="str">
        <f t="shared" si="12"/>
        <v>C</v>
      </c>
      <c r="I33" s="196" t="s">
        <v>171</v>
      </c>
      <c r="J33" s="197">
        <f>'Юнит 27.10-02.11'!R29</f>
        <v>0</v>
      </c>
      <c r="K33" s="198">
        <f t="shared" si="13"/>
        <v>0</v>
      </c>
      <c r="L33" s="198">
        <f t="shared" si="15"/>
        <v>1</v>
      </c>
      <c r="M33" s="199" t="str">
        <f t="shared" si="10"/>
        <v>C</v>
      </c>
    </row>
    <row r="34" spans="2:13" ht="15" thickBot="1">
      <c r="B34" s="196" t="s">
        <v>236</v>
      </c>
      <c r="C34" s="197">
        <f>'Юнит 27.10-02.11'!AE31</f>
        <v>0</v>
      </c>
      <c r="D34" s="198">
        <f t="shared" si="11"/>
        <v>0</v>
      </c>
      <c r="E34" s="198">
        <f t="shared" si="14"/>
        <v>3.4254299315109531</v>
      </c>
      <c r="F34" s="199" t="str">
        <f t="shared" si="9"/>
        <v>C</v>
      </c>
      <c r="G34" s="199" t="str">
        <f t="shared" si="12"/>
        <v>C</v>
      </c>
      <c r="I34" s="196" t="s">
        <v>39</v>
      </c>
      <c r="J34" s="197">
        <f>'Юнит 27.10-02.11'!R30</f>
        <v>0</v>
      </c>
      <c r="K34" s="198">
        <f t="shared" si="13"/>
        <v>0</v>
      </c>
      <c r="L34" s="198">
        <f t="shared" si="15"/>
        <v>1</v>
      </c>
      <c r="M34" s="199" t="str">
        <f t="shared" si="10"/>
        <v>C</v>
      </c>
    </row>
    <row r="35" spans="2:13" ht="15" thickBot="1">
      <c r="B35" s="196" t="s">
        <v>237</v>
      </c>
      <c r="C35" s="197">
        <f>'Юнит 27.10-02.11'!AE32</f>
        <v>0</v>
      </c>
      <c r="D35" s="198">
        <f t="shared" si="11"/>
        <v>0</v>
      </c>
      <c r="E35" s="198">
        <f t="shared" si="14"/>
        <v>3.4254299315109531</v>
      </c>
      <c r="F35" s="199" t="str">
        <f>IF(AND(E35&lt;=0),"C",IF(E35&lt;=0.8,"A",IF(E35&lt;=0.95,"B","C")))</f>
        <v>C</v>
      </c>
      <c r="G35" s="199" t="str">
        <f t="shared" si="12"/>
        <v>C</v>
      </c>
      <c r="I35" s="196" t="s">
        <v>236</v>
      </c>
      <c r="J35" s="197">
        <f>'Юнит 27.10-02.11'!R31</f>
        <v>0</v>
      </c>
      <c r="K35" s="198">
        <f t="shared" si="13"/>
        <v>0</v>
      </c>
      <c r="L35" s="198">
        <f t="shared" si="15"/>
        <v>1</v>
      </c>
      <c r="M35" s="199" t="str">
        <f>_xlfn.IFS(L35&lt;80%,"A",L35&lt;=95%,"B",L35&gt;95%,"C")</f>
        <v>C</v>
      </c>
    </row>
    <row r="36" spans="2:13" ht="15" thickBot="1">
      <c r="B36" s="196" t="s">
        <v>238</v>
      </c>
      <c r="C36" s="197">
        <f>'Юнит 27.10-02.11'!AE34</f>
        <v>0</v>
      </c>
      <c r="D36" s="198">
        <f t="shared" si="11"/>
        <v>0</v>
      </c>
      <c r="E36" s="198">
        <f t="shared" si="14"/>
        <v>3.4254299315109531</v>
      </c>
      <c r="F36" s="199" t="str">
        <f t="shared" ref="F36:F47" si="16">IF(AND(E36&lt;=0),"C",IF(E36&lt;=0.8,"A",IF(E36&lt;=0.95,"B","C")))</f>
        <v>C</v>
      </c>
      <c r="G36" s="199" t="str">
        <f t="shared" si="12"/>
        <v>C</v>
      </c>
      <c r="I36" s="196" t="s">
        <v>237</v>
      </c>
      <c r="J36" s="197">
        <f>'Юнит 27.10-02.11'!R32</f>
        <v>0</v>
      </c>
      <c r="K36" s="198">
        <f t="shared" si="13"/>
        <v>0</v>
      </c>
      <c r="L36" s="198">
        <f t="shared" si="15"/>
        <v>1</v>
      </c>
      <c r="M36" s="199" t="str">
        <f t="shared" ref="M36:M47" si="17">_xlfn.IFS(L36&lt;80%,"A",L36&lt;=95%,"B",L36&gt;95%,"C")</f>
        <v>C</v>
      </c>
    </row>
    <row r="37" spans="2:13" ht="26.5" thickBot="1">
      <c r="B37" s="196" t="s">
        <v>240</v>
      </c>
      <c r="C37" s="197">
        <f>'Юнит 27.10-02.11'!AE37</f>
        <v>0</v>
      </c>
      <c r="D37" s="198">
        <f t="shared" si="11"/>
        <v>0</v>
      </c>
      <c r="E37" s="198">
        <f t="shared" si="14"/>
        <v>3.4254299315109531</v>
      </c>
      <c r="F37" s="199" t="str">
        <f t="shared" si="16"/>
        <v>C</v>
      </c>
      <c r="G37" s="199" t="str">
        <f t="shared" si="12"/>
        <v>C</v>
      </c>
      <c r="I37" s="196" t="s">
        <v>142</v>
      </c>
      <c r="J37" s="197">
        <f>'Юнит 27.10-02.11'!R33</f>
        <v>0</v>
      </c>
      <c r="K37" s="198">
        <f t="shared" si="13"/>
        <v>0</v>
      </c>
      <c r="L37" s="198">
        <f t="shared" si="15"/>
        <v>1</v>
      </c>
      <c r="M37" s="199" t="str">
        <f t="shared" si="17"/>
        <v>C</v>
      </c>
    </row>
    <row r="38" spans="2:13" ht="26.5" thickBot="1">
      <c r="B38" s="196" t="s">
        <v>242</v>
      </c>
      <c r="C38" s="197">
        <f>'Юнит 27.10-02.11'!AE39</f>
        <v>0</v>
      </c>
      <c r="D38" s="198">
        <f t="shared" si="11"/>
        <v>0</v>
      </c>
      <c r="E38" s="198">
        <f t="shared" si="14"/>
        <v>3.4254299315109531</v>
      </c>
      <c r="F38" s="199" t="str">
        <f t="shared" si="16"/>
        <v>C</v>
      </c>
      <c r="G38" s="199" t="str">
        <f t="shared" si="12"/>
        <v>C</v>
      </c>
      <c r="I38" s="196" t="s">
        <v>238</v>
      </c>
      <c r="J38" s="197">
        <f>'Юнит 27.10-02.11'!R34</f>
        <v>0</v>
      </c>
      <c r="K38" s="198">
        <f t="shared" si="13"/>
        <v>0</v>
      </c>
      <c r="L38" s="198">
        <f t="shared" si="15"/>
        <v>1</v>
      </c>
      <c r="M38" s="199" t="str">
        <f t="shared" si="17"/>
        <v>C</v>
      </c>
    </row>
    <row r="39" spans="2:13" ht="26.5" thickBot="1">
      <c r="B39" s="196" t="s">
        <v>243</v>
      </c>
      <c r="C39" s="197">
        <f>'Юнит 27.10-02.11'!AE40</f>
        <v>0</v>
      </c>
      <c r="D39" s="198">
        <f t="shared" si="11"/>
        <v>0</v>
      </c>
      <c r="E39" s="198">
        <f t="shared" si="14"/>
        <v>3.4254299315109531</v>
      </c>
      <c r="F39" s="199" t="str">
        <f t="shared" si="16"/>
        <v>C</v>
      </c>
      <c r="G39" s="199" t="str">
        <f t="shared" si="12"/>
        <v>C</v>
      </c>
      <c r="I39" s="196" t="s">
        <v>62</v>
      </c>
      <c r="J39" s="197">
        <f>'Юнит 27.10-02.11'!R35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26.5" thickBot="1">
      <c r="B40" s="196" t="s">
        <v>245</v>
      </c>
      <c r="C40" s="197">
        <f>'Юнит 27.10-02.11'!AE45</f>
        <v>-56</v>
      </c>
      <c r="D40" s="198">
        <f t="shared" si="11"/>
        <v>-2.1744093220183044E-2</v>
      </c>
      <c r="E40" s="198">
        <f t="shared" si="14"/>
        <v>3.40368583829077</v>
      </c>
      <c r="F40" s="199" t="str">
        <f t="shared" si="16"/>
        <v>C</v>
      </c>
      <c r="G40" s="199" t="str">
        <f t="shared" si="12"/>
        <v>C</v>
      </c>
      <c r="I40" s="196" t="s">
        <v>240</v>
      </c>
      <c r="J40" s="197">
        <f>'Юнит 27.10-02.11'!R37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15" thickBot="1">
      <c r="B41" s="196" t="s">
        <v>142</v>
      </c>
      <c r="C41" s="197">
        <f>'Юнит 27.10-02.11'!AE33</f>
        <v>-112</v>
      </c>
      <c r="D41" s="198">
        <f t="shared" si="11"/>
        <v>-4.3488186440366089E-2</v>
      </c>
      <c r="E41" s="198">
        <f t="shared" si="14"/>
        <v>3.3601976518504038</v>
      </c>
      <c r="F41" s="199" t="str">
        <f t="shared" si="16"/>
        <v>C</v>
      </c>
      <c r="G41" s="199" t="str">
        <f t="shared" si="12"/>
        <v>C</v>
      </c>
      <c r="I41" s="196" t="s">
        <v>241</v>
      </c>
      <c r="J41" s="197">
        <f>'Юнит 27.10-02.11'!R38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26.5" thickBot="1">
      <c r="B42" s="196" t="s">
        <v>62</v>
      </c>
      <c r="C42" s="197">
        <f>'Юнит 27.10-02.11'!AE35</f>
        <v>-112</v>
      </c>
      <c r="D42" s="198">
        <f t="shared" si="11"/>
        <v>-4.3488186440366089E-2</v>
      </c>
      <c r="E42" s="198">
        <f t="shared" si="14"/>
        <v>3.3167094654100375</v>
      </c>
      <c r="F42" s="199" t="str">
        <f t="shared" si="16"/>
        <v>C</v>
      </c>
      <c r="G42" s="199" t="str">
        <f t="shared" si="12"/>
        <v>C</v>
      </c>
      <c r="I42" s="196" t="s">
        <v>242</v>
      </c>
      <c r="J42" s="197">
        <f>'Юнит 27.10-02.11'!R39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26.5" thickBot="1">
      <c r="B43" s="196" t="s">
        <v>241</v>
      </c>
      <c r="C43" s="197">
        <f>'Юнит 27.10-02.11'!AE38</f>
        <v>-112</v>
      </c>
      <c r="D43" s="198">
        <f t="shared" si="11"/>
        <v>-4.3488186440366089E-2</v>
      </c>
      <c r="E43" s="198">
        <f t="shared" si="14"/>
        <v>3.2732212789696713</v>
      </c>
      <c r="F43" s="199" t="str">
        <f t="shared" si="16"/>
        <v>C</v>
      </c>
      <c r="G43" s="199" t="str">
        <f t="shared" si="12"/>
        <v>C</v>
      </c>
      <c r="I43" s="196" t="s">
        <v>243</v>
      </c>
      <c r="J43" s="197">
        <f>'Юнит 27.10-02.11'!R40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771</v>
      </c>
      <c r="C44" s="197">
        <f>'Юнит 27.10-02.11'!AE41</f>
        <v>-112</v>
      </c>
      <c r="D44" s="198">
        <f t="shared" si="11"/>
        <v>-4.3488186440366089E-2</v>
      </c>
      <c r="E44" s="198">
        <f t="shared" si="14"/>
        <v>3.2297330925293051</v>
      </c>
      <c r="F44" s="199" t="str">
        <f t="shared" si="16"/>
        <v>C</v>
      </c>
      <c r="G44" s="199" t="str">
        <f t="shared" si="12"/>
        <v>C</v>
      </c>
      <c r="I44" s="196" t="s">
        <v>771</v>
      </c>
      <c r="J44" s="197">
        <f>'Юнит 27.10-02.11'!R41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51</v>
      </c>
      <c r="C45" s="197">
        <f>'Юнит 27.10-02.11'!AE42</f>
        <v>-224</v>
      </c>
      <c r="D45" s="198">
        <f t="shared" si="11"/>
        <v>-8.6976372880732178E-2</v>
      </c>
      <c r="E45" s="198">
        <f t="shared" si="14"/>
        <v>3.1427567196485731</v>
      </c>
      <c r="F45" s="199" t="str">
        <f t="shared" si="16"/>
        <v>C</v>
      </c>
      <c r="G45" s="199" t="str">
        <f t="shared" si="12"/>
        <v>C</v>
      </c>
      <c r="I45" s="196" t="s">
        <v>51</v>
      </c>
      <c r="J45" s="197">
        <f>'Юнит 27.10-02.11'!R42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98</v>
      </c>
      <c r="C46" s="197">
        <f>'Юнит 27.10-02.11'!AE26</f>
        <v>-658.39936</v>
      </c>
      <c r="D46" s="198">
        <f t="shared" si="11"/>
        <v>-0.25564816178480099</v>
      </c>
      <c r="E46" s="198">
        <f t="shared" si="14"/>
        <v>2.8871085578637721</v>
      </c>
      <c r="F46" s="199" t="str">
        <f t="shared" si="16"/>
        <v>C</v>
      </c>
      <c r="G46" s="199" t="str">
        <f t="shared" si="12"/>
        <v>C</v>
      </c>
      <c r="I46" s="196" t="s">
        <v>70</v>
      </c>
      <c r="J46" s="197">
        <f>'Юнит 27.10-02.11'!R43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70</v>
      </c>
      <c r="C47" s="197">
        <f>'Юнит 27.10-02.11'!AE43</f>
        <v>-4860.0821460000006</v>
      </c>
      <c r="D47" s="198">
        <f t="shared" si="11"/>
        <v>-1.8871085578637727</v>
      </c>
      <c r="E47" s="198">
        <f t="shared" si="14"/>
        <v>0.99999999999999933</v>
      </c>
      <c r="F47" s="199" t="str">
        <f t="shared" si="16"/>
        <v>C</v>
      </c>
      <c r="G47" s="199" t="str">
        <f t="shared" si="12"/>
        <v>C</v>
      </c>
      <c r="I47" s="196" t="s">
        <v>245</v>
      </c>
      <c r="J47" s="197">
        <f>'Юнит 27.10-02.11'!R45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>
      <c r="C48" s="205">
        <f>SUM(C28:C47)</f>
        <v>2575.4120639999992</v>
      </c>
      <c r="D48" s="206">
        <f>SUM(D28:D47)</f>
        <v>0.99999999999999933</v>
      </c>
      <c r="J48" s="205">
        <f>SUM(J28:J47)</f>
        <v>11</v>
      </c>
      <c r="K48" s="206">
        <f>SUM(K28:K47)</f>
        <v>1</v>
      </c>
    </row>
  </sheetData>
  <sortState xmlns:xlrd2="http://schemas.microsoft.com/office/spreadsheetml/2017/richdata2" ref="I4:J23">
    <sortCondition descending="1" ref="J4:J23"/>
  </sortState>
  <mergeCells count="2">
    <mergeCell ref="B2:M2"/>
    <mergeCell ref="B26:M26"/>
  </mergeCells>
  <conditionalFormatting sqref="M4:M23 K4:K23 D4:D23 F4:G23">
    <cfRule type="cellIs" dxfId="324" priority="4" operator="equal">
      <formula>"C"</formula>
    </cfRule>
    <cfRule type="cellIs" dxfId="323" priority="5" operator="equal">
      <formula>"B"</formula>
    </cfRule>
    <cfRule type="cellIs" dxfId="322" priority="6" operator="equal">
      <formula>"A"</formula>
    </cfRule>
  </conditionalFormatting>
  <conditionalFormatting sqref="M28:M47 D28:D47 K28:K47 F28:G47">
    <cfRule type="cellIs" dxfId="321" priority="1" operator="equal">
      <formula>"C"</formula>
    </cfRule>
    <cfRule type="cellIs" dxfId="320" priority="2" operator="equal">
      <formula>"B"</formula>
    </cfRule>
    <cfRule type="cellIs" dxfId="319" priority="3" operator="equal">
      <formula>"A"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0D1E-89C4-4527-9DD0-4754CC7AA6C3}">
  <dimension ref="B1:Q48"/>
  <sheetViews>
    <sheetView topLeftCell="A16"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231</v>
      </c>
      <c r="C4" s="197">
        <f>'Юнит 20-26.10'!AE17</f>
        <v>1071.7799999999997</v>
      </c>
      <c r="D4" s="198">
        <f t="shared" ref="D4:D23" si="0">C4/C$24</f>
        <v>-0.47004016513779573</v>
      </c>
      <c r="E4" s="198">
        <f>D4</f>
        <v>-0.47004016513779573</v>
      </c>
      <c r="F4" s="199" t="str">
        <f t="shared" ref="F4:F10" si="1">IF(AND(E4&lt;=0),"C",IF(E4&lt;=0.8,"A",IF(E4&lt;=0.95,"B","C")))</f>
        <v>C</v>
      </c>
      <c r="G4" s="199" t="str">
        <f t="shared" ref="G4:G23" si="2">VLOOKUP(B$4:B$23,I$4:M$23,5,0)</f>
        <v>C</v>
      </c>
      <c r="I4" s="196" t="s">
        <v>25</v>
      </c>
      <c r="J4" s="197">
        <f>'Юнит 20-26.10'!R3</f>
        <v>8</v>
      </c>
      <c r="K4" s="198">
        <f t="shared" ref="K4:K23" si="3">J4/J$24</f>
        <v>0.61538461538461542</v>
      </c>
      <c r="L4" s="198">
        <f>K4</f>
        <v>0.61538461538461542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226</v>
      </c>
      <c r="C5" s="197">
        <f>'Юнит 20-26.10'!AE11</f>
        <v>856.93000000000006</v>
      </c>
      <c r="D5" s="198">
        <f t="shared" si="0"/>
        <v>-0.37581548331890069</v>
      </c>
      <c r="E5" s="198">
        <f>D5+E4</f>
        <v>-0.84585564845669636</v>
      </c>
      <c r="F5" s="199" t="str">
        <f t="shared" si="1"/>
        <v>C</v>
      </c>
      <c r="G5" s="199" t="str">
        <f t="shared" si="2"/>
        <v>A</v>
      </c>
      <c r="I5" s="196" t="s">
        <v>226</v>
      </c>
      <c r="J5" s="197">
        <f>'Юнит 20-26.10'!R11</f>
        <v>2</v>
      </c>
      <c r="K5" s="198">
        <f t="shared" si="3"/>
        <v>0.15384615384615385</v>
      </c>
      <c r="L5" s="198">
        <f>K5+L4</f>
        <v>0.76923076923076927</v>
      </c>
      <c r="M5" s="199" t="str">
        <f t="shared" si="4"/>
        <v>A</v>
      </c>
    </row>
    <row r="6" spans="2:17" ht="28.5" customHeight="1" outlineLevel="1" thickBot="1">
      <c r="B6" s="196" t="s">
        <v>54</v>
      </c>
      <c r="C6" s="197">
        <f>'Юнит 20-26.10'!AE7</f>
        <v>613.31999999999994</v>
      </c>
      <c r="D6" s="198">
        <f t="shared" si="0"/>
        <v>-0.26897780708943336</v>
      </c>
      <c r="E6" s="198">
        <f t="shared" ref="E6:E23" si="5">D6+E5</f>
        <v>-1.1148334555461297</v>
      </c>
      <c r="F6" s="199" t="str">
        <f t="shared" si="1"/>
        <v>C</v>
      </c>
      <c r="G6" s="199" t="str">
        <f t="shared" si="2"/>
        <v>B</v>
      </c>
      <c r="I6" s="196" t="s">
        <v>54</v>
      </c>
      <c r="J6" s="197">
        <f>'Юнит 20-26.10'!R7</f>
        <v>1</v>
      </c>
      <c r="K6" s="198">
        <f t="shared" si="3"/>
        <v>7.6923076923076927E-2</v>
      </c>
      <c r="L6" s="198">
        <f t="shared" ref="L6:L23" si="6">K6+L5</f>
        <v>0.84615384615384626</v>
      </c>
      <c r="M6" s="199" t="str">
        <f t="shared" si="4"/>
        <v>B</v>
      </c>
    </row>
    <row r="7" spans="2:17" ht="28.5" customHeight="1" outlineLevel="1" thickBot="1">
      <c r="B7" s="196" t="s">
        <v>92</v>
      </c>
      <c r="C7" s="197">
        <f>'Юнит 20-26.10'!AE4</f>
        <v>0</v>
      </c>
      <c r="D7" s="198">
        <f t="shared" si="0"/>
        <v>0</v>
      </c>
      <c r="E7" s="198">
        <f t="shared" si="5"/>
        <v>-1.1148334555461297</v>
      </c>
      <c r="F7" s="199" t="str">
        <f t="shared" si="1"/>
        <v>C</v>
      </c>
      <c r="G7" s="199" t="str">
        <f t="shared" si="2"/>
        <v>C</v>
      </c>
      <c r="I7" s="196" t="s">
        <v>19</v>
      </c>
      <c r="J7" s="197">
        <f>'Юнит 20-26.10'!R14</f>
        <v>1</v>
      </c>
      <c r="K7" s="198">
        <f t="shared" si="3"/>
        <v>7.6923076923076927E-2</v>
      </c>
      <c r="L7" s="198">
        <f t="shared" si="6"/>
        <v>0.92307692307692313</v>
      </c>
      <c r="M7" s="199" t="str">
        <f t="shared" si="4"/>
        <v>B</v>
      </c>
    </row>
    <row r="8" spans="2:17" ht="28.5" customHeight="1" outlineLevel="1" thickBot="1">
      <c r="B8" s="196" t="s">
        <v>222</v>
      </c>
      <c r="C8" s="197">
        <f>'Юнит 20-26.10'!AE5</f>
        <v>0</v>
      </c>
      <c r="D8" s="198">
        <f t="shared" si="0"/>
        <v>0</v>
      </c>
      <c r="E8" s="198">
        <f t="shared" si="5"/>
        <v>-1.1148334555461297</v>
      </c>
      <c r="F8" s="199" t="str">
        <f t="shared" si="1"/>
        <v>C</v>
      </c>
      <c r="G8" s="199" t="str">
        <f t="shared" si="2"/>
        <v>C</v>
      </c>
      <c r="I8" s="196" t="s">
        <v>231</v>
      </c>
      <c r="J8" s="197">
        <f>'Юнит 20-26.10'!R17</f>
        <v>1</v>
      </c>
      <c r="K8" s="198">
        <f t="shared" si="3"/>
        <v>7.6923076923076927E-2</v>
      </c>
      <c r="L8" s="198">
        <f t="shared" si="6"/>
        <v>1</v>
      </c>
      <c r="M8" s="199" t="str">
        <f t="shared" si="4"/>
        <v>C</v>
      </c>
    </row>
    <row r="9" spans="2:17" ht="28.5" customHeight="1" outlineLevel="1" thickBot="1">
      <c r="B9" s="196" t="s">
        <v>88</v>
      </c>
      <c r="C9" s="197">
        <f>'Юнит 20-26.10'!AE8</f>
        <v>0</v>
      </c>
      <c r="D9" s="198">
        <f t="shared" si="0"/>
        <v>0</v>
      </c>
      <c r="E9" s="198">
        <f t="shared" si="5"/>
        <v>-1.1148334555461297</v>
      </c>
      <c r="F9" s="199" t="str">
        <f t="shared" si="1"/>
        <v>C</v>
      </c>
      <c r="G9" s="199" t="str">
        <f t="shared" si="2"/>
        <v>C</v>
      </c>
      <c r="I9" s="196" t="s">
        <v>92</v>
      </c>
      <c r="J9" s="197">
        <f>'Юнит 20-26.10'!R4</f>
        <v>0</v>
      </c>
      <c r="K9" s="198">
        <f t="shared" si="3"/>
        <v>0</v>
      </c>
      <c r="L9" s="198">
        <f t="shared" si="6"/>
        <v>1</v>
      </c>
      <c r="M9" s="199" t="str">
        <f t="shared" si="4"/>
        <v>C</v>
      </c>
    </row>
    <row r="10" spans="2:17" ht="28.5" customHeight="1" outlineLevel="1" thickBot="1">
      <c r="B10" s="196" t="s">
        <v>224</v>
      </c>
      <c r="C10" s="197">
        <f>'Юнит 20-26.10'!AE9</f>
        <v>0</v>
      </c>
      <c r="D10" s="198">
        <f t="shared" si="0"/>
        <v>0</v>
      </c>
      <c r="E10" s="198">
        <f t="shared" si="5"/>
        <v>-1.1148334555461297</v>
      </c>
      <c r="F10" s="199" t="str">
        <f t="shared" si="1"/>
        <v>C</v>
      </c>
      <c r="G10" s="199" t="str">
        <f t="shared" si="2"/>
        <v>C</v>
      </c>
      <c r="I10" s="196" t="s">
        <v>222</v>
      </c>
      <c r="J10" s="197">
        <f>'Юнит 20-26.10'!R5</f>
        <v>0</v>
      </c>
      <c r="K10" s="198">
        <f t="shared" si="3"/>
        <v>0</v>
      </c>
      <c r="L10" s="198">
        <f t="shared" si="6"/>
        <v>1</v>
      </c>
      <c r="M10" s="199" t="str">
        <f t="shared" si="4"/>
        <v>C</v>
      </c>
    </row>
    <row r="11" spans="2:17" ht="15" outlineLevel="1" thickBot="1">
      <c r="B11" s="196" t="s">
        <v>225</v>
      </c>
      <c r="C11" s="197">
        <f>'Юнит 20-26.10'!AE10</f>
        <v>0</v>
      </c>
      <c r="D11" s="198">
        <f t="shared" si="0"/>
        <v>0</v>
      </c>
      <c r="E11" s="198">
        <f t="shared" si="5"/>
        <v>-1.1148334555461297</v>
      </c>
      <c r="F11" s="199" t="str">
        <f>IF(AND(E11&lt;=0),"C",IF(E11&lt;=0.8,"A",IF(E11&lt;=0.95,"B","C")))</f>
        <v>C</v>
      </c>
      <c r="G11" s="199" t="str">
        <f t="shared" si="2"/>
        <v>C</v>
      </c>
      <c r="I11" s="196" t="s">
        <v>223</v>
      </c>
      <c r="J11" s="197">
        <f>'Юнит 20-26.10'!R6</f>
        <v>0</v>
      </c>
      <c r="K11" s="198">
        <f t="shared" si="3"/>
        <v>0</v>
      </c>
      <c r="L11" s="198">
        <f t="shared" si="6"/>
        <v>1</v>
      </c>
      <c r="M11" s="199" t="str">
        <f>_xlfn.IFS(L11&lt;80%,"A",L11&lt;=95%,"B",L11&gt;95%,"C")</f>
        <v>C</v>
      </c>
      <c r="P11" s="200" t="s">
        <v>301</v>
      </c>
      <c r="Q11" s="201">
        <v>0.8</v>
      </c>
    </row>
    <row r="12" spans="2:17" ht="26.5" outlineLevel="1" thickBot="1">
      <c r="B12" s="196" t="s">
        <v>228</v>
      </c>
      <c r="C12" s="197">
        <f>'Юнит 20-26.10'!AE13</f>
        <v>0</v>
      </c>
      <c r="D12" s="198">
        <f t="shared" si="0"/>
        <v>0</v>
      </c>
      <c r="E12" s="198">
        <f t="shared" si="5"/>
        <v>-1.1148334555461297</v>
      </c>
      <c r="F12" s="199" t="str">
        <f t="shared" ref="F12:F23" si="7">IF(AND(E12&lt;=0),"C",IF(E12&lt;=0.8,"A",IF(E12&lt;=0.95,"B","C")))</f>
        <v>C</v>
      </c>
      <c r="G12" s="199" t="str">
        <f t="shared" si="2"/>
        <v>C</v>
      </c>
      <c r="I12" s="196" t="s">
        <v>88</v>
      </c>
      <c r="J12" s="197">
        <f>'Юнит 20-26.10'!R8</f>
        <v>0</v>
      </c>
      <c r="K12" s="198">
        <f t="shared" si="3"/>
        <v>0</v>
      </c>
      <c r="L12" s="198">
        <f t="shared" si="6"/>
        <v>1</v>
      </c>
      <c r="M12" s="199" t="str">
        <f t="shared" ref="M12:M23" si="8">_xlfn.IFS(L12&lt;80%,"A",L12&lt;=95%,"B",L12&gt;95%,"C")</f>
        <v>C</v>
      </c>
      <c r="P12" s="202" t="s">
        <v>302</v>
      </c>
      <c r="Q12" s="201">
        <v>0.15</v>
      </c>
    </row>
    <row r="13" spans="2:17" ht="15" outlineLevel="1" thickBot="1">
      <c r="B13" s="196" t="s">
        <v>229</v>
      </c>
      <c r="C13" s="197">
        <f>'Юнит 20-26.10'!AE15</f>
        <v>0</v>
      </c>
      <c r="D13" s="198">
        <f t="shared" si="0"/>
        <v>0</v>
      </c>
      <c r="E13" s="198">
        <f t="shared" si="5"/>
        <v>-1.1148334555461297</v>
      </c>
      <c r="F13" s="199" t="str">
        <f t="shared" si="7"/>
        <v>C</v>
      </c>
      <c r="G13" s="199" t="str">
        <f t="shared" si="2"/>
        <v>C</v>
      </c>
      <c r="I13" s="196" t="s">
        <v>224</v>
      </c>
      <c r="J13" s="197">
        <f>'Юнит 20-26.10'!R9</f>
        <v>0</v>
      </c>
      <c r="K13" s="198">
        <f t="shared" si="3"/>
        <v>0</v>
      </c>
      <c r="L13" s="198">
        <f t="shared" si="6"/>
        <v>1</v>
      </c>
      <c r="M13" s="199" t="str">
        <f t="shared" si="8"/>
        <v>C</v>
      </c>
      <c r="P13" s="203" t="s">
        <v>303</v>
      </c>
      <c r="Q13" s="201">
        <v>0.05</v>
      </c>
    </row>
    <row r="14" spans="2:17" ht="15" outlineLevel="1" thickBot="1">
      <c r="B14" s="196" t="s">
        <v>230</v>
      </c>
      <c r="C14" s="197">
        <f>'Юнит 20-26.10'!AE16</f>
        <v>0</v>
      </c>
      <c r="D14" s="198">
        <f t="shared" si="0"/>
        <v>0</v>
      </c>
      <c r="E14" s="198">
        <f t="shared" si="5"/>
        <v>-1.1148334555461297</v>
      </c>
      <c r="F14" s="199" t="str">
        <f t="shared" si="7"/>
        <v>C</v>
      </c>
      <c r="G14" s="199" t="str">
        <f t="shared" si="2"/>
        <v>C</v>
      </c>
      <c r="I14" s="196" t="s">
        <v>225</v>
      </c>
      <c r="J14" s="197">
        <f>'Юнит 20-26.10'!R10</f>
        <v>0</v>
      </c>
      <c r="K14" s="198">
        <f t="shared" si="3"/>
        <v>0</v>
      </c>
      <c r="L14" s="198">
        <f t="shared" si="6"/>
        <v>1</v>
      </c>
      <c r="M14" s="199" t="str">
        <f t="shared" si="8"/>
        <v>C</v>
      </c>
      <c r="P14" s="204"/>
      <c r="Q14" s="198"/>
    </row>
    <row r="15" spans="2:17" ht="15" outlineLevel="1" thickBot="1">
      <c r="B15" s="196" t="s">
        <v>111</v>
      </c>
      <c r="C15" s="197">
        <f>'Юнит 20-26.10'!AE18</f>
        <v>0</v>
      </c>
      <c r="D15" s="198">
        <f t="shared" si="0"/>
        <v>0</v>
      </c>
      <c r="E15" s="198">
        <f t="shared" si="5"/>
        <v>-1.1148334555461297</v>
      </c>
      <c r="F15" s="199" t="str">
        <f t="shared" si="7"/>
        <v>C</v>
      </c>
      <c r="G15" s="199" t="str">
        <f t="shared" si="2"/>
        <v>C</v>
      </c>
      <c r="I15" s="196" t="s">
        <v>227</v>
      </c>
      <c r="J15" s="197">
        <f>'Юнит 20-26.10'!R12</f>
        <v>0</v>
      </c>
      <c r="K15" s="198">
        <f t="shared" si="3"/>
        <v>0</v>
      </c>
      <c r="L15" s="198">
        <f t="shared" si="6"/>
        <v>1</v>
      </c>
      <c r="M15" s="199" t="str">
        <f t="shared" si="8"/>
        <v>C</v>
      </c>
      <c r="P15" s="204"/>
      <c r="Q15" s="198"/>
    </row>
    <row r="16" spans="2:17" ht="26.5" outlineLevel="1" thickBot="1">
      <c r="B16" s="196" t="s">
        <v>232</v>
      </c>
      <c r="C16" s="197">
        <f>'Юнит 20-26.10'!AE19</f>
        <v>0</v>
      </c>
      <c r="D16" s="198">
        <f t="shared" si="0"/>
        <v>0</v>
      </c>
      <c r="E16" s="198">
        <f t="shared" si="5"/>
        <v>-1.1148334555461297</v>
      </c>
      <c r="F16" s="199" t="str">
        <f t="shared" si="7"/>
        <v>C</v>
      </c>
      <c r="G16" s="199" t="str">
        <f t="shared" si="2"/>
        <v>C</v>
      </c>
      <c r="I16" s="196" t="s">
        <v>228</v>
      </c>
      <c r="J16" s="197">
        <f>'Юнит 20-26.10'!R13</f>
        <v>0</v>
      </c>
      <c r="K16" s="198">
        <f t="shared" si="3"/>
        <v>0</v>
      </c>
      <c r="L16" s="198">
        <f t="shared" si="6"/>
        <v>1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233</v>
      </c>
      <c r="C17" s="197">
        <f>'Юнит 20-26.10'!AE21</f>
        <v>0</v>
      </c>
      <c r="D17" s="198">
        <f t="shared" si="0"/>
        <v>0</v>
      </c>
      <c r="E17" s="198">
        <f t="shared" si="5"/>
        <v>-1.1148334555461297</v>
      </c>
      <c r="F17" s="199" t="str">
        <f t="shared" si="7"/>
        <v>C</v>
      </c>
      <c r="G17" s="199" t="str">
        <f t="shared" si="2"/>
        <v>C</v>
      </c>
      <c r="I17" s="196" t="s">
        <v>229</v>
      </c>
      <c r="J17" s="197">
        <f>'Юнит 20-26.10'!R15</f>
        <v>0</v>
      </c>
      <c r="K17" s="198">
        <f t="shared" si="3"/>
        <v>0</v>
      </c>
      <c r="L17" s="198">
        <f t="shared" si="6"/>
        <v>1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234</v>
      </c>
      <c r="C18" s="197">
        <f>'Юнит 20-26.10'!AE22</f>
        <v>0</v>
      </c>
      <c r="D18" s="198">
        <f t="shared" si="0"/>
        <v>0</v>
      </c>
      <c r="E18" s="198">
        <f t="shared" si="5"/>
        <v>-1.1148334555461297</v>
      </c>
      <c r="F18" s="199" t="str">
        <f t="shared" si="7"/>
        <v>C</v>
      </c>
      <c r="G18" s="199" t="str">
        <f t="shared" si="2"/>
        <v>C</v>
      </c>
      <c r="I18" s="196" t="s">
        <v>230</v>
      </c>
      <c r="J18" s="197">
        <f>'Юнит 20-26.10'!R16</f>
        <v>0</v>
      </c>
      <c r="K18" s="198">
        <f t="shared" si="3"/>
        <v>0</v>
      </c>
      <c r="L18" s="198">
        <f t="shared" si="6"/>
        <v>1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223</v>
      </c>
      <c r="C19" s="197">
        <f>'Юнит 20-26.10'!AE6</f>
        <v>-92</v>
      </c>
      <c r="D19" s="198">
        <f t="shared" si="0"/>
        <v>4.0347548184027707E-2</v>
      </c>
      <c r="E19" s="198">
        <f t="shared" si="5"/>
        <v>-1.074485907362102</v>
      </c>
      <c r="F19" s="199" t="str">
        <f t="shared" si="7"/>
        <v>C</v>
      </c>
      <c r="G19" s="199" t="str">
        <f t="shared" si="2"/>
        <v>C</v>
      </c>
      <c r="I19" s="196" t="s">
        <v>111</v>
      </c>
      <c r="J19" s="197">
        <f>'Юнит 20-26.10'!R18</f>
        <v>0</v>
      </c>
      <c r="K19" s="198">
        <f t="shared" si="3"/>
        <v>0</v>
      </c>
      <c r="L19" s="198">
        <f t="shared" si="6"/>
        <v>1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136</v>
      </c>
      <c r="C20" s="197">
        <f>'Юнит 20-26.10'!AE20</f>
        <v>-164</v>
      </c>
      <c r="D20" s="198">
        <f t="shared" si="0"/>
        <v>7.1923890241092872E-2</v>
      </c>
      <c r="E20" s="198">
        <f t="shared" si="5"/>
        <v>-1.0025620171210092</v>
      </c>
      <c r="F20" s="199" t="str">
        <f t="shared" si="7"/>
        <v>C</v>
      </c>
      <c r="G20" s="199" t="str">
        <f t="shared" si="2"/>
        <v>C</v>
      </c>
      <c r="I20" s="196" t="s">
        <v>232</v>
      </c>
      <c r="J20" s="197">
        <f>'Юнит 20-26.10'!R19</f>
        <v>0</v>
      </c>
      <c r="K20" s="198">
        <f t="shared" si="3"/>
        <v>0</v>
      </c>
      <c r="L20" s="198">
        <f t="shared" si="6"/>
        <v>1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227</v>
      </c>
      <c r="C21" s="197">
        <f>'Юнит 20-26.10'!AE12</f>
        <v>-484.98055599999998</v>
      </c>
      <c r="D21" s="198">
        <f t="shared" si="0"/>
        <v>0.21269322121224507</v>
      </c>
      <c r="E21" s="198">
        <f t="shared" si="5"/>
        <v>-0.78986879590876413</v>
      </c>
      <c r="F21" s="199" t="str">
        <f t="shared" si="7"/>
        <v>C</v>
      </c>
      <c r="G21" s="199" t="str">
        <f t="shared" si="2"/>
        <v>C</v>
      </c>
      <c r="I21" s="196" t="s">
        <v>136</v>
      </c>
      <c r="J21" s="197">
        <f>'Юнит 20-26.10'!R20</f>
        <v>0</v>
      </c>
      <c r="K21" s="198">
        <f t="shared" si="3"/>
        <v>0</v>
      </c>
      <c r="L21" s="198">
        <f t="shared" si="6"/>
        <v>1</v>
      </c>
      <c r="M21" s="199" t="str">
        <f t="shared" si="8"/>
        <v>C</v>
      </c>
      <c r="P21" s="204"/>
      <c r="Q21" s="198"/>
    </row>
    <row r="22" spans="2:17" ht="26.5" outlineLevel="1" thickBot="1">
      <c r="B22" s="196" t="s">
        <v>25</v>
      </c>
      <c r="C22" s="197">
        <f>'Юнит 20-26.10'!AE3</f>
        <v>-1096.5025989999999</v>
      </c>
      <c r="D22" s="198">
        <f t="shared" si="0"/>
        <v>0.48088251572895768</v>
      </c>
      <c r="E22" s="198">
        <f t="shared" si="5"/>
        <v>-0.30898628017980645</v>
      </c>
      <c r="F22" s="199" t="str">
        <f t="shared" si="7"/>
        <v>C</v>
      </c>
      <c r="G22" s="199" t="str">
        <f t="shared" si="2"/>
        <v>A</v>
      </c>
      <c r="I22" s="196" t="s">
        <v>233</v>
      </c>
      <c r="J22" s="197">
        <f>'Юнит 20-26.10'!R21</f>
        <v>0</v>
      </c>
      <c r="K22" s="198">
        <f t="shared" si="3"/>
        <v>0</v>
      </c>
      <c r="L22" s="198">
        <f t="shared" si="6"/>
        <v>1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19</v>
      </c>
      <c r="C23" s="197">
        <f>'Юнит 20-26.10'!AE14</f>
        <v>-2984.7349639999998</v>
      </c>
      <c r="D23" s="198">
        <f t="shared" si="0"/>
        <v>1.3089862801798064</v>
      </c>
      <c r="E23" s="198">
        <f t="shared" si="5"/>
        <v>1</v>
      </c>
      <c r="F23" s="199" t="str">
        <f t="shared" si="7"/>
        <v>C</v>
      </c>
      <c r="G23" s="199" t="str">
        <f t="shared" si="2"/>
        <v>B</v>
      </c>
      <c r="I23" s="196" t="s">
        <v>234</v>
      </c>
      <c r="J23" s="197">
        <f>'Юнит 20-26.10'!R22</f>
        <v>0</v>
      </c>
      <c r="K23" s="198">
        <f t="shared" si="3"/>
        <v>0</v>
      </c>
      <c r="L23" s="198">
        <f t="shared" si="6"/>
        <v>1</v>
      </c>
      <c r="M23" s="199" t="str">
        <f t="shared" si="8"/>
        <v>C</v>
      </c>
      <c r="P23" s="204"/>
      <c r="Q23" s="198"/>
    </row>
    <row r="24" spans="2:17" outlineLevel="1">
      <c r="C24" s="205">
        <f>SUM(C4:C23)</f>
        <v>-2280.1881189999999</v>
      </c>
      <c r="D24" s="206">
        <f>SUM(D4:D23)</f>
        <v>1</v>
      </c>
      <c r="J24" s="205">
        <f>SUM(J4:J23)</f>
        <v>13</v>
      </c>
      <c r="K24" s="206">
        <f>SUM(K4:K23)</f>
        <v>1</v>
      </c>
    </row>
    <row r="25" spans="2:17" ht="15" thickBot="1"/>
    <row r="26" spans="2:17" ht="15" thickBot="1">
      <c r="B26" s="516" t="s">
        <v>304</v>
      </c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8"/>
    </row>
    <row r="27" spans="2:17" ht="23.5" thickBot="1">
      <c r="C27" s="192" t="s">
        <v>212</v>
      </c>
      <c r="D27" s="193" t="s">
        <v>295</v>
      </c>
      <c r="E27" s="194" t="s">
        <v>296</v>
      </c>
      <c r="F27" s="193" t="s">
        <v>297</v>
      </c>
      <c r="G27" s="193" t="s">
        <v>298</v>
      </c>
      <c r="J27" s="192" t="s">
        <v>299</v>
      </c>
      <c r="K27" s="193" t="s">
        <v>300</v>
      </c>
      <c r="L27" s="194" t="s">
        <v>296</v>
      </c>
      <c r="M27" s="195" t="s">
        <v>298</v>
      </c>
    </row>
    <row r="28" spans="2:17" ht="15" thickBot="1">
      <c r="B28" s="196" t="s">
        <v>142</v>
      </c>
      <c r="C28" s="197">
        <f>'Юнит 20-26.10'!AE33</f>
        <v>2392</v>
      </c>
      <c r="D28" s="198">
        <f>C28/C$48</f>
        <v>-1.115836986557349</v>
      </c>
      <c r="E28" s="198">
        <f>D28</f>
        <v>-1.115836986557349</v>
      </c>
      <c r="F28" s="199" t="str">
        <f t="shared" ref="F28:F34" si="9">IF(AND(E28&lt;=0),"C",IF(E28&lt;=0.8,"A",IF(E28&lt;=0.95,"B","C")))</f>
        <v>C</v>
      </c>
      <c r="G28" s="199" t="str">
        <f>VLOOKUP(B$28:B$48,I$28:M$48,5,0)</f>
        <v>A</v>
      </c>
      <c r="I28" s="196" t="s">
        <v>239</v>
      </c>
      <c r="J28" s="197">
        <f>'Юнит 20-26.10'!R36</f>
        <v>4</v>
      </c>
      <c r="K28" s="198">
        <f>J28/J$48</f>
        <v>0.4</v>
      </c>
      <c r="L28" s="198">
        <f>K28</f>
        <v>0.4</v>
      </c>
      <c r="M28" s="199" t="str">
        <f t="shared" ref="M28:M34" si="10">_xlfn.IFS(L28&lt;80%,"A",L28&lt;=95%,"B",L28&gt;95%,"C")</f>
        <v>A</v>
      </c>
    </row>
    <row r="29" spans="2:17" ht="26.5" thickBot="1">
      <c r="B29" s="196" t="s">
        <v>238</v>
      </c>
      <c r="C29" s="197">
        <f>'Юнит 20-26.10'!AE34</f>
        <v>2120.8000000000002</v>
      </c>
      <c r="D29" s="198">
        <f t="shared" ref="D29:D47" si="11">C29/C$48</f>
        <v>-0.98932570279716803</v>
      </c>
      <c r="E29" s="198">
        <f>D29+E28</f>
        <v>-2.105162689354517</v>
      </c>
      <c r="F29" s="199" t="str">
        <f t="shared" si="9"/>
        <v>C</v>
      </c>
      <c r="G29" s="199" t="str">
        <f t="shared" ref="G29:G47" si="12">VLOOKUP(B$28:B$48,I$28:M$48,5,0)</f>
        <v>B</v>
      </c>
      <c r="I29" s="196" t="s">
        <v>245</v>
      </c>
      <c r="J29" s="197">
        <f>'Юнит 20-26.10'!R45</f>
        <v>2</v>
      </c>
      <c r="K29" s="198">
        <f t="shared" ref="K29:K47" si="13">J29/J$48</f>
        <v>0.2</v>
      </c>
      <c r="L29" s="198">
        <f>K29+L28</f>
        <v>0.60000000000000009</v>
      </c>
      <c r="M29" s="199" t="str">
        <f t="shared" si="10"/>
        <v>A</v>
      </c>
    </row>
    <row r="30" spans="2:17" ht="26.5" thickBot="1">
      <c r="B30" s="196" t="s">
        <v>51</v>
      </c>
      <c r="C30" s="197">
        <f>'Юнит 20-26.10'!AE42</f>
        <v>1697</v>
      </c>
      <c r="D30" s="198">
        <f t="shared" si="11"/>
        <v>-0.7916284975701593</v>
      </c>
      <c r="E30" s="198">
        <f t="shared" ref="E30:E47" si="14">D30+E29</f>
        <v>-2.8967911869246761</v>
      </c>
      <c r="F30" s="199" t="str">
        <f t="shared" si="9"/>
        <v>C</v>
      </c>
      <c r="G30" s="199" t="str">
        <f t="shared" si="12"/>
        <v>B</v>
      </c>
      <c r="I30" s="196" t="s">
        <v>142</v>
      </c>
      <c r="J30" s="197">
        <f>'Юнит 20-26.10'!R33</f>
        <v>1</v>
      </c>
      <c r="K30" s="198">
        <f t="shared" si="13"/>
        <v>0.1</v>
      </c>
      <c r="L30" s="198">
        <f t="shared" ref="L30:L47" si="15">K30+L29</f>
        <v>0.70000000000000007</v>
      </c>
      <c r="M30" s="199" t="str">
        <f t="shared" si="10"/>
        <v>A</v>
      </c>
    </row>
    <row r="31" spans="2:17" ht="15" thickBot="1">
      <c r="B31" s="196" t="s">
        <v>66</v>
      </c>
      <c r="C31" s="197">
        <f>'Юнит 20-26.10'!AE44</f>
        <v>1080.9000000000001</v>
      </c>
      <c r="D31" s="198">
        <f t="shared" si="11"/>
        <v>-0.50422583560611978</v>
      </c>
      <c r="E31" s="198">
        <f t="shared" si="14"/>
        <v>-3.4010170225307959</v>
      </c>
      <c r="F31" s="199" t="str">
        <f t="shared" si="9"/>
        <v>C</v>
      </c>
      <c r="G31" s="199" t="str">
        <f t="shared" si="12"/>
        <v>C</v>
      </c>
      <c r="I31" s="196" t="s">
        <v>238</v>
      </c>
      <c r="J31" s="197">
        <f>'Юнит 20-26.10'!R34</f>
        <v>1</v>
      </c>
      <c r="K31" s="198">
        <f t="shared" si="13"/>
        <v>0.1</v>
      </c>
      <c r="L31" s="198">
        <f t="shared" si="15"/>
        <v>0.8</v>
      </c>
      <c r="M31" s="199" t="str">
        <f t="shared" si="10"/>
        <v>B</v>
      </c>
    </row>
    <row r="32" spans="2:17" ht="26.5" thickBot="1">
      <c r="B32" s="196" t="s">
        <v>171</v>
      </c>
      <c r="C32" s="197">
        <f>'Юнит 20-26.10'!AE29</f>
        <v>0</v>
      </c>
      <c r="D32" s="198">
        <f t="shared" si="11"/>
        <v>0</v>
      </c>
      <c r="E32" s="198">
        <f t="shared" si="14"/>
        <v>-3.4010170225307959</v>
      </c>
      <c r="F32" s="199" t="str">
        <f t="shared" si="9"/>
        <v>C</v>
      </c>
      <c r="G32" s="199" t="str">
        <f t="shared" si="12"/>
        <v>C</v>
      </c>
      <c r="I32" s="196" t="s">
        <v>51</v>
      </c>
      <c r="J32" s="197">
        <f>'Юнит 20-26.10'!R42</f>
        <v>1</v>
      </c>
      <c r="K32" s="198">
        <f t="shared" si="13"/>
        <v>0.1</v>
      </c>
      <c r="L32" s="198">
        <f t="shared" si="15"/>
        <v>0.9</v>
      </c>
      <c r="M32" s="199" t="str">
        <f t="shared" si="10"/>
        <v>B</v>
      </c>
    </row>
    <row r="33" spans="2:13" ht="15" thickBot="1">
      <c r="B33" s="196" t="s">
        <v>236</v>
      </c>
      <c r="C33" s="197">
        <f>'Юнит 20-26.10'!AE31</f>
        <v>0</v>
      </c>
      <c r="D33" s="198">
        <f t="shared" si="11"/>
        <v>0</v>
      </c>
      <c r="E33" s="198">
        <f t="shared" si="14"/>
        <v>-3.4010170225307959</v>
      </c>
      <c r="F33" s="199" t="str">
        <f t="shared" si="9"/>
        <v>C</v>
      </c>
      <c r="G33" s="199" t="str">
        <f t="shared" si="12"/>
        <v>C</v>
      </c>
      <c r="I33" s="196" t="s">
        <v>66</v>
      </c>
      <c r="J33" s="197">
        <f>'Юнит 20-26.10'!R44</f>
        <v>1</v>
      </c>
      <c r="K33" s="198">
        <f t="shared" si="13"/>
        <v>0.1</v>
      </c>
      <c r="L33" s="198">
        <f t="shared" si="15"/>
        <v>1</v>
      </c>
      <c r="M33" s="199" t="str">
        <f t="shared" si="10"/>
        <v>C</v>
      </c>
    </row>
    <row r="34" spans="2:13" ht="26.5" thickBot="1">
      <c r="B34" s="196" t="s">
        <v>237</v>
      </c>
      <c r="C34" s="197">
        <f>'Юнит 20-26.10'!AE32</f>
        <v>0</v>
      </c>
      <c r="D34" s="198">
        <f t="shared" si="11"/>
        <v>0</v>
      </c>
      <c r="E34" s="198">
        <f t="shared" si="14"/>
        <v>-3.4010170225307959</v>
      </c>
      <c r="F34" s="199" t="str">
        <f t="shared" si="9"/>
        <v>C</v>
      </c>
      <c r="G34" s="199" t="str">
        <f t="shared" si="12"/>
        <v>C</v>
      </c>
      <c r="I34" s="196" t="s">
        <v>98</v>
      </c>
      <c r="J34" s="197">
        <f>'Юнит 20-26.10'!R26</f>
        <v>0</v>
      </c>
      <c r="K34" s="198">
        <f t="shared" si="13"/>
        <v>0</v>
      </c>
      <c r="L34" s="198">
        <f t="shared" si="15"/>
        <v>1</v>
      </c>
      <c r="M34" s="199" t="str">
        <f t="shared" si="10"/>
        <v>C</v>
      </c>
    </row>
    <row r="35" spans="2:13" ht="26.5" thickBot="1">
      <c r="B35" s="196" t="s">
        <v>240</v>
      </c>
      <c r="C35" s="197">
        <f>'Юнит 20-26.10'!AE37</f>
        <v>0</v>
      </c>
      <c r="D35" s="198">
        <f t="shared" si="11"/>
        <v>0</v>
      </c>
      <c r="E35" s="198">
        <f t="shared" si="14"/>
        <v>-3.4010170225307959</v>
      </c>
      <c r="F35" s="199" t="str">
        <f>IF(AND(E35&lt;=0),"C",IF(E35&lt;=0.8,"A",IF(E35&lt;=0.95,"B","C")))</f>
        <v>C</v>
      </c>
      <c r="G35" s="199" t="str">
        <f t="shared" si="12"/>
        <v>C</v>
      </c>
      <c r="I35" s="196" t="s">
        <v>43</v>
      </c>
      <c r="J35" s="197">
        <f>'Юнит 20-26.10'!R27</f>
        <v>0</v>
      </c>
      <c r="K35" s="198">
        <f t="shared" si="13"/>
        <v>0</v>
      </c>
      <c r="L35" s="198">
        <f t="shared" si="15"/>
        <v>1</v>
      </c>
      <c r="M35" s="199" t="str">
        <f>_xlfn.IFS(L35&lt;80%,"A",L35&lt;=95%,"B",L35&gt;95%,"C")</f>
        <v>C</v>
      </c>
    </row>
    <row r="36" spans="2:13" ht="26.5" thickBot="1">
      <c r="B36" s="196" t="s">
        <v>242</v>
      </c>
      <c r="C36" s="197">
        <f>'Юнит 20-26.10'!AE39</f>
        <v>0</v>
      </c>
      <c r="D36" s="198">
        <f t="shared" si="11"/>
        <v>0</v>
      </c>
      <c r="E36" s="198">
        <f t="shared" si="14"/>
        <v>-3.4010170225307959</v>
      </c>
      <c r="F36" s="199" t="str">
        <f t="shared" ref="F36:F47" si="16">IF(AND(E36&lt;=0),"C",IF(E36&lt;=0.8,"A",IF(E36&lt;=0.95,"B","C")))</f>
        <v>C</v>
      </c>
      <c r="G36" s="199" t="str">
        <f t="shared" si="12"/>
        <v>C</v>
      </c>
      <c r="I36" s="196" t="s">
        <v>235</v>
      </c>
      <c r="J36" s="197">
        <f>'Юнит 20-26.10'!R28</f>
        <v>0</v>
      </c>
      <c r="K36" s="198">
        <f t="shared" si="13"/>
        <v>0</v>
      </c>
      <c r="L36" s="198">
        <f t="shared" si="15"/>
        <v>1</v>
      </c>
      <c r="M36" s="199" t="str">
        <f t="shared" ref="M36:M47" si="17">_xlfn.IFS(L36&lt;80%,"A",L36&lt;=95%,"B",L36&gt;95%,"C")</f>
        <v>C</v>
      </c>
    </row>
    <row r="37" spans="2:13" ht="26.5" thickBot="1">
      <c r="B37" s="196" t="s">
        <v>243</v>
      </c>
      <c r="C37" s="197">
        <f>'Юнит 20-26.10'!AE40</f>
        <v>0</v>
      </c>
      <c r="D37" s="198">
        <f t="shared" si="11"/>
        <v>0</v>
      </c>
      <c r="E37" s="198">
        <f t="shared" si="14"/>
        <v>-3.4010170225307959</v>
      </c>
      <c r="F37" s="199" t="str">
        <f t="shared" si="16"/>
        <v>C</v>
      </c>
      <c r="G37" s="199" t="str">
        <f t="shared" si="12"/>
        <v>C</v>
      </c>
      <c r="I37" s="196" t="s">
        <v>171</v>
      </c>
      <c r="J37" s="197">
        <f>'Юнит 20-26.10'!R29</f>
        <v>0</v>
      </c>
      <c r="K37" s="198">
        <f t="shared" si="13"/>
        <v>0</v>
      </c>
      <c r="L37" s="198">
        <f t="shared" si="15"/>
        <v>1</v>
      </c>
      <c r="M37" s="199" t="str">
        <f t="shared" si="17"/>
        <v>C</v>
      </c>
    </row>
    <row r="38" spans="2:13" ht="26.5" thickBot="1">
      <c r="B38" s="196" t="s">
        <v>771</v>
      </c>
      <c r="C38" s="197">
        <f>'Юнит 20-26.10'!AE41</f>
        <v>0</v>
      </c>
      <c r="D38" s="198">
        <f t="shared" si="11"/>
        <v>0</v>
      </c>
      <c r="E38" s="198">
        <f t="shared" si="14"/>
        <v>-3.4010170225307959</v>
      </c>
      <c r="F38" s="199" t="str">
        <f t="shared" si="16"/>
        <v>C</v>
      </c>
      <c r="G38" s="199" t="str">
        <f t="shared" si="12"/>
        <v>C</v>
      </c>
      <c r="I38" s="196" t="s">
        <v>39</v>
      </c>
      <c r="J38" s="197">
        <f>'Юнит 20-26.10'!R30</f>
        <v>0</v>
      </c>
      <c r="K38" s="198">
        <f t="shared" si="13"/>
        <v>0</v>
      </c>
      <c r="L38" s="198">
        <f t="shared" si="15"/>
        <v>1</v>
      </c>
      <c r="M38" s="199" t="str">
        <f t="shared" si="17"/>
        <v>C</v>
      </c>
    </row>
    <row r="39" spans="2:13" ht="26.5" thickBot="1">
      <c r="B39" s="196" t="s">
        <v>43</v>
      </c>
      <c r="C39" s="197">
        <f>'Юнит 20-26.10'!AE27</f>
        <v>-112</v>
      </c>
      <c r="D39" s="198">
        <f t="shared" si="11"/>
        <v>5.2246547865561488E-2</v>
      </c>
      <c r="E39" s="198">
        <f t="shared" si="14"/>
        <v>-3.3487704746652343</v>
      </c>
      <c r="F39" s="199" t="str">
        <f t="shared" si="16"/>
        <v>C</v>
      </c>
      <c r="G39" s="199" t="str">
        <f t="shared" si="12"/>
        <v>C</v>
      </c>
      <c r="I39" s="196" t="s">
        <v>236</v>
      </c>
      <c r="J39" s="197">
        <f>'Юнит 20-26.10'!R31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15" thickBot="1">
      <c r="B40" s="196" t="s">
        <v>39</v>
      </c>
      <c r="C40" s="197">
        <f>'Юнит 20-26.10'!AE30</f>
        <v>-112</v>
      </c>
      <c r="D40" s="198">
        <f t="shared" si="11"/>
        <v>5.2246547865561488E-2</v>
      </c>
      <c r="E40" s="198">
        <f t="shared" si="14"/>
        <v>-3.2965239267996727</v>
      </c>
      <c r="F40" s="199" t="str">
        <f t="shared" si="16"/>
        <v>C</v>
      </c>
      <c r="G40" s="199" t="str">
        <f t="shared" si="12"/>
        <v>C</v>
      </c>
      <c r="I40" s="196" t="s">
        <v>237</v>
      </c>
      <c r="J40" s="197">
        <f>'Юнит 20-26.10'!R32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15" thickBot="1">
      <c r="B41" s="196" t="s">
        <v>62</v>
      </c>
      <c r="C41" s="197">
        <f>'Юнит 20-26.10'!AE35</f>
        <v>-112</v>
      </c>
      <c r="D41" s="198">
        <f t="shared" si="11"/>
        <v>5.2246547865561488E-2</v>
      </c>
      <c r="E41" s="198">
        <f t="shared" si="14"/>
        <v>-3.2442773789341111</v>
      </c>
      <c r="F41" s="199" t="str">
        <f t="shared" si="16"/>
        <v>C</v>
      </c>
      <c r="G41" s="199" t="str">
        <f t="shared" si="12"/>
        <v>C</v>
      </c>
      <c r="I41" s="196" t="s">
        <v>62</v>
      </c>
      <c r="J41" s="197">
        <f>'Юнит 20-26.10'!R35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26.5" thickBot="1">
      <c r="B42" s="196" t="s">
        <v>241</v>
      </c>
      <c r="C42" s="197">
        <f>'Юнит 20-26.10'!AE38</f>
        <v>-112</v>
      </c>
      <c r="D42" s="198">
        <f t="shared" si="11"/>
        <v>5.2246547865561488E-2</v>
      </c>
      <c r="E42" s="198">
        <f t="shared" si="14"/>
        <v>-3.1920308310685495</v>
      </c>
      <c r="F42" s="199" t="str">
        <f t="shared" si="16"/>
        <v>C</v>
      </c>
      <c r="G42" s="199" t="str">
        <f t="shared" si="12"/>
        <v>C</v>
      </c>
      <c r="I42" s="196" t="s">
        <v>240</v>
      </c>
      <c r="J42" s="197">
        <f>'Юнит 20-26.10'!R37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26.5" thickBot="1">
      <c r="B43" s="196" t="s">
        <v>70</v>
      </c>
      <c r="C43" s="197">
        <f>'Юнит 20-26.10'!AE43</f>
        <v>-335.90103599999998</v>
      </c>
      <c r="D43" s="198">
        <f t="shared" si="11"/>
        <v>0.1566934781738008</v>
      </c>
      <c r="E43" s="198">
        <f t="shared" si="14"/>
        <v>-3.0353373528947487</v>
      </c>
      <c r="F43" s="199" t="str">
        <f t="shared" si="16"/>
        <v>C</v>
      </c>
      <c r="G43" s="199" t="str">
        <f t="shared" si="12"/>
        <v>C</v>
      </c>
      <c r="I43" s="196" t="s">
        <v>241</v>
      </c>
      <c r="J43" s="197">
        <f>'Юнит 20-26.10'!R38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245</v>
      </c>
      <c r="C44" s="197">
        <f>'Юнит 20-26.10'!AE45</f>
        <v>-1160</v>
      </c>
      <c r="D44" s="198">
        <f t="shared" si="11"/>
        <v>0.54112496003617261</v>
      </c>
      <c r="E44" s="198">
        <f t="shared" si="14"/>
        <v>-2.494212392858576</v>
      </c>
      <c r="F44" s="199" t="str">
        <f t="shared" si="16"/>
        <v>C</v>
      </c>
      <c r="G44" s="199" t="str">
        <f t="shared" si="12"/>
        <v>A</v>
      </c>
      <c r="I44" s="196" t="s">
        <v>242</v>
      </c>
      <c r="J44" s="197">
        <f>'Юнит 20-26.10'!R39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98</v>
      </c>
      <c r="C45" s="197">
        <f>'Юнит 20-26.10'!AE26</f>
        <v>-1609.8170620000001</v>
      </c>
      <c r="D45" s="198">
        <f t="shared" si="11"/>
        <v>0.75095878736232657</v>
      </c>
      <c r="E45" s="198">
        <f t="shared" si="14"/>
        <v>-1.7432536054962493</v>
      </c>
      <c r="F45" s="199" t="str">
        <f t="shared" si="16"/>
        <v>C</v>
      </c>
      <c r="G45" s="199" t="str">
        <f t="shared" si="12"/>
        <v>C</v>
      </c>
      <c r="I45" s="196" t="s">
        <v>243</v>
      </c>
      <c r="J45" s="197">
        <f>'Юнит 20-26.10'!R40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239</v>
      </c>
      <c r="C46" s="197">
        <f>'Юнит 20-26.10'!AE36</f>
        <v>-2819.3951539999998</v>
      </c>
      <c r="D46" s="198">
        <f t="shared" si="11"/>
        <v>1.3152112845124384</v>
      </c>
      <c r="E46" s="198">
        <f t="shared" si="14"/>
        <v>-0.4280423209838109</v>
      </c>
      <c r="F46" s="199" t="str">
        <f t="shared" si="16"/>
        <v>C</v>
      </c>
      <c r="G46" s="199" t="str">
        <f t="shared" si="12"/>
        <v>A</v>
      </c>
      <c r="I46" s="196" t="s">
        <v>771</v>
      </c>
      <c r="J46" s="197">
        <f>'Юнит 20-26.10'!R41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235</v>
      </c>
      <c r="C47" s="197">
        <f>'Юнит 20-26.10'!AE28</f>
        <v>-3061.2690499999999</v>
      </c>
      <c r="D47" s="198">
        <f t="shared" si="11"/>
        <v>1.428042320983812</v>
      </c>
      <c r="E47" s="198">
        <f t="shared" si="14"/>
        <v>1.0000000000000011</v>
      </c>
      <c r="F47" s="199" t="str">
        <f t="shared" si="16"/>
        <v>C</v>
      </c>
      <c r="G47" s="199" t="str">
        <f t="shared" si="12"/>
        <v>C</v>
      </c>
      <c r="I47" s="196" t="s">
        <v>70</v>
      </c>
      <c r="J47" s="197">
        <f>'Юнит 20-26.10'!R43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>
      <c r="C48" s="205">
        <f>SUM(C28:C47)</f>
        <v>-2143.6823019999993</v>
      </c>
      <c r="D48" s="206">
        <f>SUM(D28:D47)</f>
        <v>1.0000000000000011</v>
      </c>
      <c r="J48" s="205">
        <f>SUM(J28:J47)</f>
        <v>10</v>
      </c>
      <c r="K48" s="206">
        <f>SUM(K28:K47)</f>
        <v>1</v>
      </c>
    </row>
  </sheetData>
  <sortState xmlns:xlrd2="http://schemas.microsoft.com/office/spreadsheetml/2017/richdata2" ref="I4:J23">
    <sortCondition descending="1" ref="J4:J23"/>
  </sortState>
  <mergeCells count="2">
    <mergeCell ref="B2:M2"/>
    <mergeCell ref="B26:M26"/>
  </mergeCells>
  <conditionalFormatting sqref="M4:M23 K4:K23 D4:D23 F4:G23">
    <cfRule type="cellIs" dxfId="318" priority="4" operator="equal">
      <formula>"C"</formula>
    </cfRule>
    <cfRule type="cellIs" dxfId="317" priority="5" operator="equal">
      <formula>"B"</formula>
    </cfRule>
    <cfRule type="cellIs" dxfId="316" priority="6" operator="equal">
      <formula>"A"</formula>
    </cfRule>
  </conditionalFormatting>
  <conditionalFormatting sqref="M28:M47 D28:D47 K28:K47 F28:G47">
    <cfRule type="cellIs" dxfId="315" priority="1" operator="equal">
      <formula>"C"</formula>
    </cfRule>
    <cfRule type="cellIs" dxfId="314" priority="2" operator="equal">
      <formula>"B"</formula>
    </cfRule>
    <cfRule type="cellIs" dxfId="313" priority="3" operator="equal">
      <formula>"A"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8923-8671-45DD-B91B-1A842A165450}">
  <dimension ref="B1:Q48"/>
  <sheetViews>
    <sheetView topLeftCell="A16" workbookViewId="0">
      <selection activeCell="J29" sqref="J2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223</v>
      </c>
      <c r="C4" s="197">
        <f>'Юнит 13-19.10'!AE6</f>
        <v>657.71000000000015</v>
      </c>
      <c r="D4" s="198">
        <f t="shared" ref="D4:D23" si="0">C4/C$24</f>
        <v>-0.22807899366050888</v>
      </c>
      <c r="E4" s="198">
        <f>D4</f>
        <v>-0.22807899366050888</v>
      </c>
      <c r="F4" s="199" t="str">
        <f t="shared" ref="F4:F10" si="1">IF(AND(E4&lt;=0),"C",IF(E4&lt;=0.8,"A",IF(E4&lt;=0.95,"B","C")))</f>
        <v>C</v>
      </c>
      <c r="G4" s="199" t="str">
        <f t="shared" ref="G4:G23" si="2">VLOOKUP(B$4:B$23,I$4:M$23,5,0)</f>
        <v>A</v>
      </c>
      <c r="I4" s="196" t="s">
        <v>25</v>
      </c>
      <c r="J4" s="197">
        <f>'Юнит 13-19.10'!R3</f>
        <v>7</v>
      </c>
      <c r="K4" s="198">
        <f t="shared" ref="K4:K23" si="3">J4/J$24</f>
        <v>0.53846153846153844</v>
      </c>
      <c r="L4" s="198">
        <f>K4</f>
        <v>0.53846153846153844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54</v>
      </c>
      <c r="C5" s="197">
        <f>'Юнит 13-19.10'!AE7</f>
        <v>613.31999999999994</v>
      </c>
      <c r="D5" s="198">
        <f t="shared" si="0"/>
        <v>-0.21268554285606614</v>
      </c>
      <c r="E5" s="198">
        <f>D5+E4</f>
        <v>-0.44076453651657499</v>
      </c>
      <c r="F5" s="199" t="str">
        <f t="shared" si="1"/>
        <v>C</v>
      </c>
      <c r="G5" s="199" t="str">
        <f t="shared" si="2"/>
        <v>A</v>
      </c>
      <c r="I5" s="196" t="s">
        <v>92</v>
      </c>
      <c r="J5" s="197">
        <f>'Юнит 13-19.10'!R4</f>
        <v>1</v>
      </c>
      <c r="K5" s="198">
        <f t="shared" si="3"/>
        <v>7.6923076923076927E-2</v>
      </c>
      <c r="L5" s="198">
        <f>K5+L4</f>
        <v>0.61538461538461542</v>
      </c>
      <c r="M5" s="199" t="str">
        <f t="shared" si="4"/>
        <v>A</v>
      </c>
    </row>
    <row r="6" spans="2:17" ht="28.5" customHeight="1" outlineLevel="1" thickBot="1">
      <c r="B6" s="196" t="s">
        <v>92</v>
      </c>
      <c r="C6" s="197">
        <f>'Юнит 13-19.10'!AE4</f>
        <v>552.19000000000005</v>
      </c>
      <c r="D6" s="198">
        <f t="shared" si="0"/>
        <v>-0.19148703761444463</v>
      </c>
      <c r="E6" s="198">
        <f t="shared" ref="E6:E23" si="5">D6+E5</f>
        <v>-0.63225157413101962</v>
      </c>
      <c r="F6" s="199" t="str">
        <f t="shared" si="1"/>
        <v>C</v>
      </c>
      <c r="G6" s="199" t="str">
        <f t="shared" si="2"/>
        <v>A</v>
      </c>
      <c r="I6" s="196" t="s">
        <v>223</v>
      </c>
      <c r="J6" s="197">
        <f>'Юнит 13-19.10'!R6</f>
        <v>1</v>
      </c>
      <c r="K6" s="198">
        <f t="shared" si="3"/>
        <v>7.6923076923076927E-2</v>
      </c>
      <c r="L6" s="198">
        <f t="shared" ref="L6:L23" si="6">K6+L5</f>
        <v>0.69230769230769229</v>
      </c>
      <c r="M6" s="199" t="str">
        <f t="shared" si="4"/>
        <v>A</v>
      </c>
    </row>
    <row r="7" spans="2:17" ht="28.5" customHeight="1" outlineLevel="1" thickBot="1">
      <c r="B7" s="196" t="s">
        <v>232</v>
      </c>
      <c r="C7" s="197">
        <f>'Юнит 13-19.10'!AE19</f>
        <v>229.70874500000002</v>
      </c>
      <c r="D7" s="198">
        <f t="shared" si="0"/>
        <v>-7.9657811793371613E-2</v>
      </c>
      <c r="E7" s="198">
        <f t="shared" si="5"/>
        <v>-0.71190938592439124</v>
      </c>
      <c r="F7" s="199" t="str">
        <f t="shared" si="1"/>
        <v>C</v>
      </c>
      <c r="G7" s="199" t="str">
        <f t="shared" si="2"/>
        <v>C</v>
      </c>
      <c r="I7" s="196" t="s">
        <v>54</v>
      </c>
      <c r="J7" s="197">
        <f>'Юнит 13-19.10'!R7</f>
        <v>1</v>
      </c>
      <c r="K7" s="198">
        <f t="shared" si="3"/>
        <v>7.6923076923076927E-2</v>
      </c>
      <c r="L7" s="198">
        <f t="shared" si="6"/>
        <v>0.76923076923076916</v>
      </c>
      <c r="M7" s="199" t="str">
        <f t="shared" si="4"/>
        <v>A</v>
      </c>
    </row>
    <row r="8" spans="2:17" ht="28.5" customHeight="1" outlineLevel="1" thickBot="1">
      <c r="B8" s="196" t="s">
        <v>226</v>
      </c>
      <c r="C8" s="197">
        <f>'Юнит 13-19.10'!AE11</f>
        <v>105.56576800000009</v>
      </c>
      <c r="D8" s="198">
        <f t="shared" si="0"/>
        <v>-3.660782735618854E-2</v>
      </c>
      <c r="E8" s="198">
        <f t="shared" si="5"/>
        <v>-0.74851721328057974</v>
      </c>
      <c r="F8" s="199" t="str">
        <f t="shared" si="1"/>
        <v>C</v>
      </c>
      <c r="G8" s="199" t="str">
        <f t="shared" si="2"/>
        <v>B</v>
      </c>
      <c r="I8" s="196" t="s">
        <v>226</v>
      </c>
      <c r="J8" s="197">
        <f>'Юнит 13-19.10'!R11</f>
        <v>1</v>
      </c>
      <c r="K8" s="198">
        <f t="shared" si="3"/>
        <v>7.6923076923076927E-2</v>
      </c>
      <c r="L8" s="198">
        <f t="shared" si="6"/>
        <v>0.84615384615384603</v>
      </c>
      <c r="M8" s="199" t="str">
        <f t="shared" si="4"/>
        <v>B</v>
      </c>
    </row>
    <row r="9" spans="2:17" ht="28.5" customHeight="1" outlineLevel="1" thickBot="1">
      <c r="B9" s="196" t="s">
        <v>222</v>
      </c>
      <c r="C9" s="197">
        <f>'Юнит 13-19.10'!AE5</f>
        <v>0</v>
      </c>
      <c r="D9" s="198">
        <f t="shared" si="0"/>
        <v>0</v>
      </c>
      <c r="E9" s="198">
        <f t="shared" si="5"/>
        <v>-0.74851721328057974</v>
      </c>
      <c r="F9" s="199" t="str">
        <f t="shared" si="1"/>
        <v>C</v>
      </c>
      <c r="G9" s="199" t="str">
        <f t="shared" si="2"/>
        <v>C</v>
      </c>
      <c r="I9" s="196" t="s">
        <v>19</v>
      </c>
      <c r="J9" s="197">
        <f>'Юнит 13-19.10'!R14</f>
        <v>1</v>
      </c>
      <c r="K9" s="198">
        <f t="shared" si="3"/>
        <v>7.6923076923076927E-2</v>
      </c>
      <c r="L9" s="198">
        <f t="shared" si="6"/>
        <v>0.92307692307692291</v>
      </c>
      <c r="M9" s="199" t="str">
        <f t="shared" si="4"/>
        <v>B</v>
      </c>
    </row>
    <row r="10" spans="2:17" ht="28.5" customHeight="1" outlineLevel="1" thickBot="1">
      <c r="B10" s="196" t="s">
        <v>88</v>
      </c>
      <c r="C10" s="197">
        <f>'Юнит 13-19.10'!AE8</f>
        <v>0</v>
      </c>
      <c r="D10" s="198">
        <f t="shared" si="0"/>
        <v>0</v>
      </c>
      <c r="E10" s="198">
        <f t="shared" si="5"/>
        <v>-0.74851721328057974</v>
      </c>
      <c r="F10" s="199" t="str">
        <f t="shared" si="1"/>
        <v>C</v>
      </c>
      <c r="G10" s="199" t="str">
        <f t="shared" si="2"/>
        <v>C</v>
      </c>
      <c r="I10" s="196" t="s">
        <v>232</v>
      </c>
      <c r="J10" s="197">
        <f>'Юнит 13-19.10'!R19</f>
        <v>1</v>
      </c>
      <c r="K10" s="198">
        <f t="shared" si="3"/>
        <v>7.6923076923076927E-2</v>
      </c>
      <c r="L10" s="198">
        <f t="shared" si="6"/>
        <v>0.99999999999999978</v>
      </c>
      <c r="M10" s="199" t="str">
        <f t="shared" si="4"/>
        <v>C</v>
      </c>
    </row>
    <row r="11" spans="2:17" ht="15" outlineLevel="1" thickBot="1">
      <c r="B11" s="196" t="s">
        <v>224</v>
      </c>
      <c r="C11" s="197">
        <f>'Юнит 13-19.10'!AE9</f>
        <v>0</v>
      </c>
      <c r="D11" s="198">
        <f t="shared" si="0"/>
        <v>0</v>
      </c>
      <c r="E11" s="198">
        <f t="shared" si="5"/>
        <v>-0.74851721328057974</v>
      </c>
      <c r="F11" s="199" t="str">
        <f>IF(AND(E11&lt;=0),"C",IF(E11&lt;=0.8,"A",IF(E11&lt;=0.95,"B","C")))</f>
        <v>C</v>
      </c>
      <c r="G11" s="199" t="str">
        <f t="shared" si="2"/>
        <v>C</v>
      </c>
      <c r="I11" s="196" t="s">
        <v>222</v>
      </c>
      <c r="J11" s="197">
        <f>'Юнит 13-19.10'!R5</f>
        <v>0</v>
      </c>
      <c r="K11" s="198">
        <f t="shared" si="3"/>
        <v>0</v>
      </c>
      <c r="L11" s="198">
        <f t="shared" si="6"/>
        <v>0.99999999999999978</v>
      </c>
      <c r="M11" s="199" t="str">
        <f>_xlfn.IFS(L11&lt;80%,"A",L11&lt;=95%,"B",L11&gt;95%,"C")</f>
        <v>C</v>
      </c>
      <c r="P11" s="200" t="s">
        <v>301</v>
      </c>
      <c r="Q11" s="201">
        <v>0.8</v>
      </c>
    </row>
    <row r="12" spans="2:17" ht="15" outlineLevel="1" thickBot="1">
      <c r="B12" s="196" t="s">
        <v>225</v>
      </c>
      <c r="C12" s="197">
        <f>'Юнит 13-19.10'!AE10</f>
        <v>0</v>
      </c>
      <c r="D12" s="198">
        <f t="shared" si="0"/>
        <v>0</v>
      </c>
      <c r="E12" s="198">
        <f t="shared" si="5"/>
        <v>-0.74851721328057974</v>
      </c>
      <c r="F12" s="199" t="str">
        <f t="shared" ref="F12:F23" si="7">IF(AND(E12&lt;=0),"C",IF(E12&lt;=0.8,"A",IF(E12&lt;=0.95,"B","C")))</f>
        <v>C</v>
      </c>
      <c r="G12" s="199" t="str">
        <f t="shared" si="2"/>
        <v>C</v>
      </c>
      <c r="I12" s="196" t="s">
        <v>88</v>
      </c>
      <c r="J12" s="197">
        <f>'Юнит 13-19.10'!R8</f>
        <v>0</v>
      </c>
      <c r="K12" s="198">
        <f t="shared" si="3"/>
        <v>0</v>
      </c>
      <c r="L12" s="198">
        <f t="shared" si="6"/>
        <v>0.99999999999999978</v>
      </c>
      <c r="M12" s="199" t="str">
        <f t="shared" ref="M12:M23" si="8">_xlfn.IFS(L12&lt;80%,"A",L12&lt;=95%,"B",L12&gt;95%,"C")</f>
        <v>C</v>
      </c>
      <c r="P12" s="202" t="s">
        <v>302</v>
      </c>
      <c r="Q12" s="201">
        <v>0.15</v>
      </c>
    </row>
    <row r="13" spans="2:17" ht="15" outlineLevel="1" thickBot="1">
      <c r="B13" s="196" t="s">
        <v>227</v>
      </c>
      <c r="C13" s="197">
        <f>'Юнит 13-19.10'!AE12</f>
        <v>0</v>
      </c>
      <c r="D13" s="198">
        <f t="shared" si="0"/>
        <v>0</v>
      </c>
      <c r="E13" s="198">
        <f t="shared" si="5"/>
        <v>-0.74851721328057974</v>
      </c>
      <c r="F13" s="199" t="str">
        <f t="shared" si="7"/>
        <v>C</v>
      </c>
      <c r="G13" s="199" t="str">
        <f t="shared" si="2"/>
        <v>C</v>
      </c>
      <c r="I13" s="196" t="s">
        <v>224</v>
      </c>
      <c r="J13" s="197">
        <f>'Юнит 13-19.10'!R9</f>
        <v>0</v>
      </c>
      <c r="K13" s="198">
        <f t="shared" si="3"/>
        <v>0</v>
      </c>
      <c r="L13" s="198">
        <f t="shared" si="6"/>
        <v>0.99999999999999978</v>
      </c>
      <c r="M13" s="199" t="str">
        <f t="shared" si="8"/>
        <v>C</v>
      </c>
      <c r="P13" s="203" t="s">
        <v>303</v>
      </c>
      <c r="Q13" s="201">
        <v>0.05</v>
      </c>
    </row>
    <row r="14" spans="2:17" ht="26.5" outlineLevel="1" thickBot="1">
      <c r="B14" s="196" t="s">
        <v>228</v>
      </c>
      <c r="C14" s="197">
        <f>'Юнит 13-19.10'!AE13</f>
        <v>0</v>
      </c>
      <c r="D14" s="198">
        <f t="shared" si="0"/>
        <v>0</v>
      </c>
      <c r="E14" s="198">
        <f t="shared" si="5"/>
        <v>-0.74851721328057974</v>
      </c>
      <c r="F14" s="199" t="str">
        <f t="shared" si="7"/>
        <v>C</v>
      </c>
      <c r="G14" s="199" t="str">
        <f t="shared" si="2"/>
        <v>C</v>
      </c>
      <c r="I14" s="196" t="s">
        <v>225</v>
      </c>
      <c r="J14" s="197">
        <f>'Юнит 13-19.10'!R10</f>
        <v>0</v>
      </c>
      <c r="K14" s="198">
        <f t="shared" si="3"/>
        <v>0</v>
      </c>
      <c r="L14" s="198">
        <f t="shared" si="6"/>
        <v>0.99999999999999978</v>
      </c>
      <c r="M14" s="199" t="str">
        <f t="shared" si="8"/>
        <v>C</v>
      </c>
      <c r="P14" s="204"/>
      <c r="Q14" s="198"/>
    </row>
    <row r="15" spans="2:17" ht="15" outlineLevel="1" thickBot="1">
      <c r="B15" s="196" t="s">
        <v>136</v>
      </c>
      <c r="C15" s="197">
        <f>'Юнит 13-19.10'!AE20</f>
        <v>0</v>
      </c>
      <c r="D15" s="198">
        <f t="shared" si="0"/>
        <v>0</v>
      </c>
      <c r="E15" s="198">
        <f t="shared" si="5"/>
        <v>-0.74851721328057974</v>
      </c>
      <c r="F15" s="199" t="str">
        <f t="shared" si="7"/>
        <v>C</v>
      </c>
      <c r="G15" s="199" t="str">
        <f t="shared" si="2"/>
        <v>C</v>
      </c>
      <c r="I15" s="196" t="s">
        <v>227</v>
      </c>
      <c r="J15" s="197">
        <f>'Юнит 13-19.10'!R12</f>
        <v>0</v>
      </c>
      <c r="K15" s="198">
        <f t="shared" si="3"/>
        <v>0</v>
      </c>
      <c r="L15" s="198">
        <f t="shared" si="6"/>
        <v>0.99999999999999978</v>
      </c>
      <c r="M15" s="199" t="str">
        <f t="shared" si="8"/>
        <v>C</v>
      </c>
      <c r="P15" s="204"/>
      <c r="Q15" s="198"/>
    </row>
    <row r="16" spans="2:17" ht="26.5" outlineLevel="1" thickBot="1">
      <c r="B16" s="196" t="s">
        <v>234</v>
      </c>
      <c r="C16" s="197">
        <f>'Юнит 13-19.10'!AE22</f>
        <v>0</v>
      </c>
      <c r="D16" s="198">
        <f t="shared" si="0"/>
        <v>0</v>
      </c>
      <c r="E16" s="198">
        <f t="shared" si="5"/>
        <v>-0.74851721328057974</v>
      </c>
      <c r="F16" s="199" t="str">
        <f t="shared" si="7"/>
        <v>C</v>
      </c>
      <c r="G16" s="199" t="str">
        <f t="shared" si="2"/>
        <v>C</v>
      </c>
      <c r="I16" s="196" t="s">
        <v>228</v>
      </c>
      <c r="J16" s="197">
        <f>'Юнит 13-19.10'!R13</f>
        <v>0</v>
      </c>
      <c r="K16" s="198">
        <f t="shared" si="3"/>
        <v>0</v>
      </c>
      <c r="L16" s="198">
        <f t="shared" si="6"/>
        <v>0.99999999999999978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233</v>
      </c>
      <c r="C17" s="197">
        <f>'Юнит 13-19.10'!AE21</f>
        <v>-35.861609999999999</v>
      </c>
      <c r="D17" s="198">
        <f t="shared" si="0"/>
        <v>1.2435997506265131E-2</v>
      </c>
      <c r="E17" s="198">
        <f t="shared" si="5"/>
        <v>-0.73608121577431462</v>
      </c>
      <c r="F17" s="199" t="str">
        <f t="shared" si="7"/>
        <v>C</v>
      </c>
      <c r="G17" s="199" t="str">
        <f t="shared" si="2"/>
        <v>C</v>
      </c>
      <c r="I17" s="196" t="s">
        <v>229</v>
      </c>
      <c r="J17" s="197">
        <f>'Юнит 13-19.10'!R15</f>
        <v>0</v>
      </c>
      <c r="K17" s="198">
        <f t="shared" si="3"/>
        <v>0</v>
      </c>
      <c r="L17" s="198">
        <f t="shared" si="6"/>
        <v>0.99999999999999978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229</v>
      </c>
      <c r="C18" s="197">
        <f>'Юнит 13-19.10'!AE15</f>
        <v>-313.70946300000003</v>
      </c>
      <c r="D18" s="198">
        <f t="shared" si="0"/>
        <v>0.10878736619911304</v>
      </c>
      <c r="E18" s="198">
        <f t="shared" si="5"/>
        <v>-0.62729384957520162</v>
      </c>
      <c r="F18" s="199" t="str">
        <f t="shared" si="7"/>
        <v>C</v>
      </c>
      <c r="G18" s="199" t="str">
        <f t="shared" si="2"/>
        <v>C</v>
      </c>
      <c r="I18" s="196" t="s">
        <v>230</v>
      </c>
      <c r="J18" s="197">
        <f>'Юнит 13-19.10'!R16</f>
        <v>0</v>
      </c>
      <c r="K18" s="198">
        <f t="shared" si="3"/>
        <v>0</v>
      </c>
      <c r="L18" s="198">
        <f t="shared" si="6"/>
        <v>0.99999999999999978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111</v>
      </c>
      <c r="C19" s="197">
        <f>'Юнит 13-19.10'!AE18</f>
        <v>-503.76801</v>
      </c>
      <c r="D19" s="198">
        <f t="shared" si="0"/>
        <v>0.1746953836176387</v>
      </c>
      <c r="E19" s="198">
        <f t="shared" si="5"/>
        <v>-0.45259846595756292</v>
      </c>
      <c r="F19" s="199" t="str">
        <f t="shared" si="7"/>
        <v>C</v>
      </c>
      <c r="G19" s="199" t="str">
        <f t="shared" si="2"/>
        <v>C</v>
      </c>
      <c r="I19" s="196" t="s">
        <v>231</v>
      </c>
      <c r="J19" s="197">
        <f>'Юнит 13-19.10'!R17</f>
        <v>0</v>
      </c>
      <c r="K19" s="198">
        <f t="shared" si="3"/>
        <v>0</v>
      </c>
      <c r="L19" s="198">
        <f t="shared" si="6"/>
        <v>0.99999999999999978</v>
      </c>
      <c r="M19" s="199" t="str">
        <f t="shared" si="8"/>
        <v>C</v>
      </c>
      <c r="P19" s="204"/>
      <c r="Q19" s="198"/>
    </row>
    <row r="20" spans="2:17" ht="26.5" outlineLevel="1" thickBot="1">
      <c r="B20" s="196" t="s">
        <v>25</v>
      </c>
      <c r="C20" s="197">
        <f>'Юнит 13-19.10'!AE3</f>
        <v>-507.39294499999983</v>
      </c>
      <c r="D20" s="198">
        <f t="shared" si="0"/>
        <v>0.17595242931693583</v>
      </c>
      <c r="E20" s="198">
        <f t="shared" si="5"/>
        <v>-0.27664603664062709</v>
      </c>
      <c r="F20" s="199" t="str">
        <f t="shared" si="7"/>
        <v>C</v>
      </c>
      <c r="G20" s="199" t="str">
        <f t="shared" si="2"/>
        <v>A</v>
      </c>
      <c r="I20" s="196" t="s">
        <v>111</v>
      </c>
      <c r="J20" s="197">
        <f>'Юнит 13-19.10'!R18</f>
        <v>0</v>
      </c>
      <c r="K20" s="198">
        <f t="shared" si="3"/>
        <v>0</v>
      </c>
      <c r="L20" s="198">
        <f t="shared" si="6"/>
        <v>0.99999999999999978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230</v>
      </c>
      <c r="C21" s="197">
        <f>'Юнит 13-19.10'!AE16</f>
        <v>-635.89006600000005</v>
      </c>
      <c r="D21" s="198">
        <f t="shared" si="0"/>
        <v>0.22051233268765041</v>
      </c>
      <c r="E21" s="198">
        <f t="shared" si="5"/>
        <v>-5.6133703952976677E-2</v>
      </c>
      <c r="F21" s="199" t="str">
        <f t="shared" si="7"/>
        <v>C</v>
      </c>
      <c r="G21" s="199" t="str">
        <f t="shared" si="2"/>
        <v>C</v>
      </c>
      <c r="I21" s="196" t="s">
        <v>136</v>
      </c>
      <c r="J21" s="197">
        <f>'Юнит 13-19.10'!R20</f>
        <v>0</v>
      </c>
      <c r="K21" s="198">
        <f t="shared" si="3"/>
        <v>0</v>
      </c>
      <c r="L21" s="198">
        <f t="shared" si="6"/>
        <v>0.99999999999999978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231</v>
      </c>
      <c r="C22" s="197">
        <f>'Юнит 13-19.10'!AE17</f>
        <v>-639.903144</v>
      </c>
      <c r="D22" s="198">
        <f t="shared" si="0"/>
        <v>0.22190397762496492</v>
      </c>
      <c r="E22" s="198">
        <f t="shared" si="5"/>
        <v>0.16577027367198824</v>
      </c>
      <c r="F22" s="199" t="str">
        <f t="shared" si="7"/>
        <v>A</v>
      </c>
      <c r="G22" s="199" t="str">
        <f t="shared" si="2"/>
        <v>C</v>
      </c>
      <c r="I22" s="196" t="s">
        <v>233</v>
      </c>
      <c r="J22" s="197">
        <f>'Юнит 13-19.10'!R21</f>
        <v>0</v>
      </c>
      <c r="K22" s="198">
        <f t="shared" si="3"/>
        <v>0</v>
      </c>
      <c r="L22" s="198">
        <f t="shared" si="6"/>
        <v>0.99999999999999978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19</v>
      </c>
      <c r="C23" s="197">
        <f>'Юнит 13-19.10'!AE14</f>
        <v>-2405.6631630000002</v>
      </c>
      <c r="D23" s="198">
        <f t="shared" si="0"/>
        <v>0.83422972632801184</v>
      </c>
      <c r="E23" s="198">
        <f t="shared" si="5"/>
        <v>1</v>
      </c>
      <c r="F23" s="199" t="str">
        <f t="shared" si="7"/>
        <v>C</v>
      </c>
      <c r="G23" s="199" t="str">
        <f t="shared" si="2"/>
        <v>B</v>
      </c>
      <c r="I23" s="196" t="s">
        <v>234</v>
      </c>
      <c r="J23" s="197">
        <f>'Юнит 13-19.10'!R22</f>
        <v>0</v>
      </c>
      <c r="K23" s="198">
        <f t="shared" si="3"/>
        <v>0</v>
      </c>
      <c r="L23" s="198">
        <f t="shared" si="6"/>
        <v>0.99999999999999978</v>
      </c>
      <c r="M23" s="199" t="str">
        <f t="shared" si="8"/>
        <v>C</v>
      </c>
      <c r="P23" s="204"/>
      <c r="Q23" s="198"/>
    </row>
    <row r="24" spans="2:17" outlineLevel="1">
      <c r="C24" s="205">
        <f>SUM(C4:C23)</f>
        <v>-2883.6938879999998</v>
      </c>
      <c r="D24" s="206">
        <f>SUM(D4:D23)</f>
        <v>1</v>
      </c>
      <c r="J24" s="205">
        <f>SUM(J4:J23)</f>
        <v>13</v>
      </c>
      <c r="K24" s="206">
        <f>SUM(K4:K23)</f>
        <v>0.99999999999999978</v>
      </c>
    </row>
    <row r="25" spans="2:17" ht="15" thickBot="1"/>
    <row r="26" spans="2:17" ht="15" thickBot="1">
      <c r="B26" s="516" t="s">
        <v>304</v>
      </c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8"/>
    </row>
    <row r="27" spans="2:17" ht="23.5" thickBot="1">
      <c r="C27" s="192" t="s">
        <v>212</v>
      </c>
      <c r="D27" s="193" t="s">
        <v>295</v>
      </c>
      <c r="E27" s="194" t="s">
        <v>296</v>
      </c>
      <c r="F27" s="193" t="s">
        <v>297</v>
      </c>
      <c r="G27" s="193" t="s">
        <v>298</v>
      </c>
      <c r="J27" s="192" t="s">
        <v>299</v>
      </c>
      <c r="K27" s="193" t="s">
        <v>300</v>
      </c>
      <c r="L27" s="194" t="s">
        <v>296</v>
      </c>
      <c r="M27" s="195" t="s">
        <v>298</v>
      </c>
    </row>
    <row r="28" spans="2:17" ht="26.5" thickBot="1">
      <c r="B28" s="196" t="s">
        <v>70</v>
      </c>
      <c r="C28" s="197">
        <f>'Юнит 13-19.10'!AE43</f>
        <v>4851.8999999999978</v>
      </c>
      <c r="D28" s="198">
        <f>C28/C$48</f>
        <v>0.65007572107965172</v>
      </c>
      <c r="E28" s="198">
        <f>D28</f>
        <v>0.65007572107965172</v>
      </c>
      <c r="F28" s="199" t="str">
        <f t="shared" ref="F28:F34" si="9">IF(AND(E28&lt;=0),"C",IF(E28&lt;=0.8,"A",IF(E28&lt;=0.95,"B","C")))</f>
        <v>A</v>
      </c>
      <c r="G28" s="199" t="str">
        <f>VLOOKUP(B$28:B$48,I$28:M$48,5,0)</f>
        <v>A</v>
      </c>
      <c r="I28" s="196" t="s">
        <v>66</v>
      </c>
      <c r="J28" s="197">
        <f>'Юнит 13-19.10'!R44</f>
        <v>5</v>
      </c>
      <c r="K28" s="198">
        <f>J28/J$48</f>
        <v>0.27777777777777779</v>
      </c>
      <c r="L28" s="198">
        <f>K28</f>
        <v>0.27777777777777779</v>
      </c>
      <c r="M28" s="199" t="str">
        <f t="shared" ref="M28:M34" si="10">_xlfn.IFS(L28&lt;80%,"A",L28&lt;=95%,"B",L28&gt;95%,"C")</f>
        <v>A</v>
      </c>
    </row>
    <row r="29" spans="2:17" ht="26.5" thickBot="1">
      <c r="B29" s="196" t="s">
        <v>66</v>
      </c>
      <c r="C29" s="197">
        <f>'Юнит 13-19.10'!AE44</f>
        <v>3215.7889780000005</v>
      </c>
      <c r="D29" s="198">
        <f t="shared" ref="D29:D47" si="11">C29/C$48</f>
        <v>0.43086344292201972</v>
      </c>
      <c r="E29" s="198">
        <f>D29+E28</f>
        <v>1.0809391640016714</v>
      </c>
      <c r="F29" s="199" t="str">
        <f t="shared" si="9"/>
        <v>C</v>
      </c>
      <c r="G29" s="199" t="str">
        <f t="shared" ref="G29:G47" si="12">VLOOKUP(B$28:B$48,I$28:M$48,5,0)</f>
        <v>A</v>
      </c>
      <c r="I29" s="196" t="s">
        <v>98</v>
      </c>
      <c r="J29" s="197">
        <f>'Юнит 13-19.10'!R26</f>
        <v>3</v>
      </c>
      <c r="K29" s="198">
        <f t="shared" ref="K29:K47" si="13">J29/J$48</f>
        <v>0.16666666666666666</v>
      </c>
      <c r="L29" s="198">
        <f>K29+L28</f>
        <v>0.44444444444444442</v>
      </c>
      <c r="M29" s="199" t="str">
        <f t="shared" si="10"/>
        <v>A</v>
      </c>
    </row>
    <row r="30" spans="2:17" ht="26.5" thickBot="1">
      <c r="B30" s="196" t="s">
        <v>62</v>
      </c>
      <c r="C30" s="197">
        <f>'Юнит 13-19.10'!AE35</f>
        <v>2031.6633950000003</v>
      </c>
      <c r="D30" s="198">
        <f t="shared" si="11"/>
        <v>0.27220986551572762</v>
      </c>
      <c r="E30" s="198">
        <f t="shared" ref="E30:E47" si="14">D30+E29</f>
        <v>1.3531490295173991</v>
      </c>
      <c r="F30" s="199" t="str">
        <f t="shared" si="9"/>
        <v>C</v>
      </c>
      <c r="G30" s="199" t="str">
        <f t="shared" si="12"/>
        <v>A</v>
      </c>
      <c r="I30" s="196" t="s">
        <v>70</v>
      </c>
      <c r="J30" s="197">
        <f>'Юнит 13-19.10'!R43</f>
        <v>3</v>
      </c>
      <c r="K30" s="198">
        <f t="shared" si="13"/>
        <v>0.16666666666666666</v>
      </c>
      <c r="L30" s="198">
        <f t="shared" ref="L30:L47" si="15">K30+L29</f>
        <v>0.61111111111111105</v>
      </c>
      <c r="M30" s="199" t="str">
        <f t="shared" si="10"/>
        <v>A</v>
      </c>
    </row>
    <row r="31" spans="2:17" ht="26.5" thickBot="1">
      <c r="B31" s="196" t="s">
        <v>240</v>
      </c>
      <c r="C31" s="197">
        <f>'Юнит 13-19.10'!AE37</f>
        <v>1867</v>
      </c>
      <c r="D31" s="198">
        <f t="shared" si="11"/>
        <v>0.25014764757223157</v>
      </c>
      <c r="E31" s="198">
        <f t="shared" si="14"/>
        <v>1.6032966770896306</v>
      </c>
      <c r="F31" s="199" t="str">
        <f t="shared" si="9"/>
        <v>C</v>
      </c>
      <c r="G31" s="199" t="str">
        <f t="shared" si="12"/>
        <v>B</v>
      </c>
      <c r="I31" s="196" t="s">
        <v>62</v>
      </c>
      <c r="J31" s="197">
        <f>'Юнит 13-19.10'!R35</f>
        <v>2</v>
      </c>
      <c r="K31" s="198">
        <f t="shared" si="13"/>
        <v>0.1111111111111111</v>
      </c>
      <c r="L31" s="198">
        <f t="shared" si="15"/>
        <v>0.7222222222222221</v>
      </c>
      <c r="M31" s="199" t="str">
        <f t="shared" si="10"/>
        <v>A</v>
      </c>
    </row>
    <row r="32" spans="2:17" ht="15" thickBot="1">
      <c r="B32" s="196" t="s">
        <v>239</v>
      </c>
      <c r="C32" s="197">
        <f>'Юнит 13-19.10'!AE36</f>
        <v>1637.9797609999998</v>
      </c>
      <c r="D32" s="198">
        <f t="shared" si="11"/>
        <v>0.21946265880293306</v>
      </c>
      <c r="E32" s="198">
        <f t="shared" si="14"/>
        <v>1.8227593358925638</v>
      </c>
      <c r="F32" s="199" t="str">
        <f t="shared" si="9"/>
        <v>C</v>
      </c>
      <c r="G32" s="199" t="str">
        <f t="shared" si="12"/>
        <v>B</v>
      </c>
      <c r="I32" s="196" t="s">
        <v>239</v>
      </c>
      <c r="J32" s="197">
        <f>'Юнит 13-19.10'!R36</f>
        <v>2</v>
      </c>
      <c r="K32" s="198">
        <f t="shared" si="13"/>
        <v>0.1111111111111111</v>
      </c>
      <c r="L32" s="198">
        <f t="shared" si="15"/>
        <v>0.83333333333333326</v>
      </c>
      <c r="M32" s="199" t="str">
        <f t="shared" si="10"/>
        <v>B</v>
      </c>
    </row>
    <row r="33" spans="2:13" ht="26.5" thickBot="1">
      <c r="B33" s="196" t="s">
        <v>171</v>
      </c>
      <c r="C33" s="197">
        <f>'Юнит 13-19.10'!AE29</f>
        <v>0</v>
      </c>
      <c r="D33" s="198">
        <f t="shared" si="11"/>
        <v>0</v>
      </c>
      <c r="E33" s="198">
        <f t="shared" si="14"/>
        <v>1.8227593358925638</v>
      </c>
      <c r="F33" s="199" t="str">
        <f t="shared" si="9"/>
        <v>C</v>
      </c>
      <c r="G33" s="199" t="str">
        <f t="shared" si="12"/>
        <v>C</v>
      </c>
      <c r="I33" s="196" t="s">
        <v>235</v>
      </c>
      <c r="J33" s="197">
        <f>'Юнит 13-19.10'!R28</f>
        <v>1</v>
      </c>
      <c r="K33" s="198">
        <f t="shared" si="13"/>
        <v>5.5555555555555552E-2</v>
      </c>
      <c r="L33" s="198">
        <f t="shared" si="15"/>
        <v>0.88888888888888884</v>
      </c>
      <c r="M33" s="199" t="str">
        <f t="shared" si="10"/>
        <v>B</v>
      </c>
    </row>
    <row r="34" spans="2:13" ht="26.5" thickBot="1">
      <c r="B34" s="196" t="s">
        <v>39</v>
      </c>
      <c r="C34" s="197">
        <f>'Юнит 13-19.10'!AE30</f>
        <v>0</v>
      </c>
      <c r="D34" s="198">
        <f t="shared" si="11"/>
        <v>0</v>
      </c>
      <c r="E34" s="198">
        <f t="shared" si="14"/>
        <v>1.8227593358925638</v>
      </c>
      <c r="F34" s="199" t="str">
        <f t="shared" si="9"/>
        <v>C</v>
      </c>
      <c r="G34" s="199" t="str">
        <f t="shared" si="12"/>
        <v>C</v>
      </c>
      <c r="I34" s="196" t="s">
        <v>240</v>
      </c>
      <c r="J34" s="197">
        <f>'Юнит 13-19.10'!R37</f>
        <v>1</v>
      </c>
      <c r="K34" s="198">
        <f t="shared" si="13"/>
        <v>5.5555555555555552E-2</v>
      </c>
      <c r="L34" s="198">
        <f t="shared" si="15"/>
        <v>0.94444444444444442</v>
      </c>
      <c r="M34" s="199" t="str">
        <f t="shared" si="10"/>
        <v>B</v>
      </c>
    </row>
    <row r="35" spans="2:13" ht="26.5" thickBot="1">
      <c r="B35" s="196" t="s">
        <v>236</v>
      </c>
      <c r="C35" s="197">
        <f>'Юнит 13-19.10'!AE31</f>
        <v>0</v>
      </c>
      <c r="D35" s="198">
        <f t="shared" si="11"/>
        <v>0</v>
      </c>
      <c r="E35" s="198">
        <f t="shared" si="14"/>
        <v>1.8227593358925638</v>
      </c>
      <c r="F35" s="199" t="str">
        <f>IF(AND(E35&lt;=0),"C",IF(E35&lt;=0.8,"A",IF(E35&lt;=0.95,"B","C")))</f>
        <v>C</v>
      </c>
      <c r="G35" s="199" t="str">
        <f t="shared" si="12"/>
        <v>C</v>
      </c>
      <c r="I35" s="196" t="s">
        <v>51</v>
      </c>
      <c r="J35" s="197">
        <f>'Юнит 13-19.10'!R42</f>
        <v>1</v>
      </c>
      <c r="K35" s="198">
        <f t="shared" si="13"/>
        <v>5.5555555555555552E-2</v>
      </c>
      <c r="L35" s="198">
        <f t="shared" si="15"/>
        <v>1</v>
      </c>
      <c r="M35" s="199" t="str">
        <f>_xlfn.IFS(L35&lt;80%,"A",L35&lt;=95%,"B",L35&gt;95%,"C")</f>
        <v>C</v>
      </c>
    </row>
    <row r="36" spans="2:13" ht="26.5" thickBot="1">
      <c r="B36" s="196" t="s">
        <v>142</v>
      </c>
      <c r="C36" s="197">
        <f>'Юнит 13-19.10'!AE33</f>
        <v>0</v>
      </c>
      <c r="D36" s="198">
        <f t="shared" si="11"/>
        <v>0</v>
      </c>
      <c r="E36" s="198">
        <f t="shared" si="14"/>
        <v>1.8227593358925638</v>
      </c>
      <c r="F36" s="199" t="str">
        <f t="shared" ref="F36:F47" si="16">IF(AND(E36&lt;=0),"C",IF(E36&lt;=0.8,"A",IF(E36&lt;=0.95,"B","C")))</f>
        <v>C</v>
      </c>
      <c r="G36" s="199" t="str">
        <f t="shared" si="12"/>
        <v>C</v>
      </c>
      <c r="I36" s="196" t="s">
        <v>43</v>
      </c>
      <c r="J36" s="197">
        <f>'Юнит 13-19.10'!R27</f>
        <v>0</v>
      </c>
      <c r="K36" s="198">
        <f t="shared" si="13"/>
        <v>0</v>
      </c>
      <c r="L36" s="198">
        <f t="shared" si="15"/>
        <v>1</v>
      </c>
      <c r="M36" s="199" t="str">
        <f t="shared" ref="M36:M47" si="17">_xlfn.IFS(L36&lt;80%,"A",L36&lt;=95%,"B",L36&gt;95%,"C")</f>
        <v>C</v>
      </c>
    </row>
    <row r="37" spans="2:13" ht="15" thickBot="1">
      <c r="B37" s="196" t="s">
        <v>238</v>
      </c>
      <c r="C37" s="197">
        <f>'Юнит 13-19.10'!AE34</f>
        <v>0</v>
      </c>
      <c r="D37" s="198">
        <f t="shared" si="11"/>
        <v>0</v>
      </c>
      <c r="E37" s="198">
        <f t="shared" si="14"/>
        <v>1.8227593358925638</v>
      </c>
      <c r="F37" s="199" t="str">
        <f t="shared" si="16"/>
        <v>C</v>
      </c>
      <c r="G37" s="199" t="str">
        <f t="shared" si="12"/>
        <v>C</v>
      </c>
      <c r="I37" s="196" t="s">
        <v>171</v>
      </c>
      <c r="J37" s="197">
        <f>'Юнит 13-19.10'!R29</f>
        <v>0</v>
      </c>
      <c r="K37" s="198">
        <f t="shared" si="13"/>
        <v>0</v>
      </c>
      <c r="L37" s="198">
        <f t="shared" si="15"/>
        <v>1</v>
      </c>
      <c r="M37" s="199" t="str">
        <f t="shared" si="17"/>
        <v>C</v>
      </c>
    </row>
    <row r="38" spans="2:13" ht="26.5" thickBot="1">
      <c r="B38" s="196" t="s">
        <v>242</v>
      </c>
      <c r="C38" s="197">
        <f>'Юнит 13-19.10'!AE39</f>
        <v>0</v>
      </c>
      <c r="D38" s="198">
        <f t="shared" si="11"/>
        <v>0</v>
      </c>
      <c r="E38" s="198">
        <f t="shared" si="14"/>
        <v>1.8227593358925638</v>
      </c>
      <c r="F38" s="199" t="str">
        <f t="shared" si="16"/>
        <v>C</v>
      </c>
      <c r="G38" s="199" t="str">
        <f t="shared" si="12"/>
        <v>C</v>
      </c>
      <c r="I38" s="196" t="s">
        <v>39</v>
      </c>
      <c r="J38" s="197">
        <f>'Юнит 13-19.10'!R30</f>
        <v>0</v>
      </c>
      <c r="K38" s="198">
        <f t="shared" si="13"/>
        <v>0</v>
      </c>
      <c r="L38" s="198">
        <f t="shared" si="15"/>
        <v>1</v>
      </c>
      <c r="M38" s="199" t="str">
        <f t="shared" si="17"/>
        <v>C</v>
      </c>
    </row>
    <row r="39" spans="2:13" ht="26.5" thickBot="1">
      <c r="B39" s="196" t="s">
        <v>243</v>
      </c>
      <c r="C39" s="197">
        <f>'Юнит 13-19.10'!AE40</f>
        <v>0</v>
      </c>
      <c r="D39" s="198">
        <f t="shared" si="11"/>
        <v>0</v>
      </c>
      <c r="E39" s="198">
        <f t="shared" si="14"/>
        <v>1.8227593358925638</v>
      </c>
      <c r="F39" s="199" t="str">
        <f t="shared" si="16"/>
        <v>C</v>
      </c>
      <c r="G39" s="199" t="str">
        <f t="shared" si="12"/>
        <v>C</v>
      </c>
      <c r="I39" s="196" t="s">
        <v>236</v>
      </c>
      <c r="J39" s="197">
        <f>'Юнит 13-19.10'!R31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26.5" thickBot="1">
      <c r="B40" s="196" t="s">
        <v>245</v>
      </c>
      <c r="C40" s="197">
        <f>'Юнит 13-19.10'!AE45</f>
        <v>0</v>
      </c>
      <c r="D40" s="198">
        <f t="shared" si="11"/>
        <v>0</v>
      </c>
      <c r="E40" s="198">
        <f t="shared" si="14"/>
        <v>1.8227593358925638</v>
      </c>
      <c r="F40" s="199" t="str">
        <f t="shared" si="16"/>
        <v>C</v>
      </c>
      <c r="G40" s="199" t="str">
        <f t="shared" si="12"/>
        <v>C</v>
      </c>
      <c r="I40" s="196" t="s">
        <v>237</v>
      </c>
      <c r="J40" s="197">
        <f>'Юнит 13-19.10'!R32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15" thickBot="1">
      <c r="B41" s="196" t="s">
        <v>241</v>
      </c>
      <c r="C41" s="197">
        <f>'Юнит 13-19.10'!AE38</f>
        <v>-112</v>
      </c>
      <c r="D41" s="198">
        <f t="shared" si="11"/>
        <v>-1.5006179179480415E-2</v>
      </c>
      <c r="E41" s="198">
        <f t="shared" si="14"/>
        <v>1.8077531567130833</v>
      </c>
      <c r="F41" s="199" t="str">
        <f t="shared" si="16"/>
        <v>C</v>
      </c>
      <c r="G41" s="199" t="str">
        <f t="shared" si="12"/>
        <v>C</v>
      </c>
      <c r="I41" s="196" t="s">
        <v>142</v>
      </c>
      <c r="J41" s="197">
        <f>'Юнит 13-19.10'!R33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26.5" thickBot="1">
      <c r="B42" s="196" t="s">
        <v>771</v>
      </c>
      <c r="C42" s="197">
        <f>'Юнит 13-19.10'!AE41</f>
        <v>-112</v>
      </c>
      <c r="D42" s="198">
        <f t="shared" si="11"/>
        <v>-1.5006179179480415E-2</v>
      </c>
      <c r="E42" s="198">
        <f t="shared" si="14"/>
        <v>1.7927469775336029</v>
      </c>
      <c r="F42" s="199" t="str">
        <f t="shared" si="16"/>
        <v>C</v>
      </c>
      <c r="G42" s="199" t="str">
        <f t="shared" si="12"/>
        <v>C</v>
      </c>
      <c r="I42" s="196" t="s">
        <v>238</v>
      </c>
      <c r="J42" s="197">
        <f>'Юнит 13-19.10'!R34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15" thickBot="1">
      <c r="B43" s="196" t="s">
        <v>237</v>
      </c>
      <c r="C43" s="197">
        <f>'Юнит 13-19.10'!AE32</f>
        <v>-224</v>
      </c>
      <c r="D43" s="198">
        <f t="shared" si="11"/>
        <v>-3.0012358358960829E-2</v>
      </c>
      <c r="E43" s="198">
        <f t="shared" si="14"/>
        <v>1.762734619174642</v>
      </c>
      <c r="F43" s="199" t="str">
        <f t="shared" si="16"/>
        <v>C</v>
      </c>
      <c r="G43" s="199" t="str">
        <f t="shared" si="12"/>
        <v>C</v>
      </c>
      <c r="I43" s="196" t="s">
        <v>241</v>
      </c>
      <c r="J43" s="197">
        <f>'Юнит 13-19.10'!R38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43</v>
      </c>
      <c r="C44" s="197">
        <f>'Юнит 13-19.10'!AE27</f>
        <v>-740.48938900000007</v>
      </c>
      <c r="D44" s="198">
        <f t="shared" si="11"/>
        <v>-9.9213539748553348E-2</v>
      </c>
      <c r="E44" s="198">
        <f t="shared" si="14"/>
        <v>1.6635210794260886</v>
      </c>
      <c r="F44" s="199" t="str">
        <f t="shared" si="16"/>
        <v>C</v>
      </c>
      <c r="G44" s="199" t="str">
        <f t="shared" si="12"/>
        <v>C</v>
      </c>
      <c r="I44" s="196" t="s">
        <v>242</v>
      </c>
      <c r="J44" s="197">
        <f>'Юнит 13-19.10'!R39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98</v>
      </c>
      <c r="C45" s="197">
        <f>'Юнит 13-19.10'!AE26</f>
        <v>-1036.6649869999999</v>
      </c>
      <c r="D45" s="198">
        <f t="shared" si="11"/>
        <v>-0.13889625485728332</v>
      </c>
      <c r="E45" s="198">
        <f t="shared" si="14"/>
        <v>1.5246248245688052</v>
      </c>
      <c r="F45" s="199" t="str">
        <f t="shared" si="16"/>
        <v>C</v>
      </c>
      <c r="G45" s="199" t="str">
        <f t="shared" si="12"/>
        <v>A</v>
      </c>
      <c r="I45" s="196" t="s">
        <v>243</v>
      </c>
      <c r="J45" s="197">
        <f>'Юнит 13-19.10'!R40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235</v>
      </c>
      <c r="C46" s="197">
        <f>'Юнит 13-19.10'!AE28</f>
        <v>-1121.5856829999998</v>
      </c>
      <c r="D46" s="198">
        <f t="shared" si="11"/>
        <v>-0.15027424753783855</v>
      </c>
      <c r="E46" s="198">
        <f t="shared" si="14"/>
        <v>1.3743505770309667</v>
      </c>
      <c r="F46" s="199" t="str">
        <f t="shared" si="16"/>
        <v>C</v>
      </c>
      <c r="G46" s="199" t="str">
        <f t="shared" si="12"/>
        <v>B</v>
      </c>
      <c r="I46" s="196" t="s">
        <v>771</v>
      </c>
      <c r="J46" s="197">
        <f>'Юнит 13-19.10'!R41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51</v>
      </c>
      <c r="C47" s="197">
        <f>'Юнит 13-19.10'!AE42</f>
        <v>-2794</v>
      </c>
      <c r="D47" s="198">
        <f t="shared" si="11"/>
        <v>-0.37435057703096675</v>
      </c>
      <c r="E47" s="198">
        <f t="shared" si="14"/>
        <v>1</v>
      </c>
      <c r="F47" s="199" t="str">
        <f t="shared" si="16"/>
        <v>C</v>
      </c>
      <c r="G47" s="199" t="str">
        <f t="shared" si="12"/>
        <v>C</v>
      </c>
      <c r="I47" s="196" t="s">
        <v>245</v>
      </c>
      <c r="J47" s="197">
        <f>'Юнит 13-19.10'!R45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>
      <c r="C48" s="205">
        <f>SUM(C28:C47)</f>
        <v>7463.5920749999987</v>
      </c>
      <c r="D48" s="206">
        <f>SUM(D28:D47)</f>
        <v>1</v>
      </c>
      <c r="J48" s="205">
        <f>SUM(J28:J47)</f>
        <v>18</v>
      </c>
      <c r="K48" s="206">
        <f>SUM(K28:K47)</f>
        <v>1</v>
      </c>
    </row>
  </sheetData>
  <sortState xmlns:xlrd2="http://schemas.microsoft.com/office/spreadsheetml/2017/richdata2" ref="I28:J47">
    <sortCondition descending="1" ref="J28:J47"/>
  </sortState>
  <mergeCells count="2">
    <mergeCell ref="B2:M2"/>
    <mergeCell ref="B26:M26"/>
  </mergeCells>
  <conditionalFormatting sqref="M4:M23 K4:K23 D4:D23 F4:G23">
    <cfRule type="cellIs" dxfId="312" priority="4" operator="equal">
      <formula>"C"</formula>
    </cfRule>
    <cfRule type="cellIs" dxfId="311" priority="5" operator="equal">
      <formula>"B"</formula>
    </cfRule>
    <cfRule type="cellIs" dxfId="310" priority="6" operator="equal">
      <formula>"A"</formula>
    </cfRule>
  </conditionalFormatting>
  <conditionalFormatting sqref="M28:M47 D28:D47 K28:K47 F28:G47">
    <cfRule type="cellIs" dxfId="309" priority="1" operator="equal">
      <formula>"C"</formula>
    </cfRule>
    <cfRule type="cellIs" dxfId="308" priority="2" operator="equal">
      <formula>"B"</formula>
    </cfRule>
    <cfRule type="cellIs" dxfId="307" priority="3" operator="equal">
      <formula>"A"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A53D-51BD-42B5-83A5-3E089FAEB106}">
  <dimension ref="B1:Q48"/>
  <sheetViews>
    <sheetView topLeftCell="A43" workbookViewId="0">
      <selection activeCell="B53" sqref="B5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54</v>
      </c>
      <c r="C4" s="197">
        <f>'Юнит 06-12.10'!AE7</f>
        <v>1620.08</v>
      </c>
      <c r="D4" s="198">
        <f t="shared" ref="D4:D23" si="0">C4/C$24</f>
        <v>-0.15278421427040043</v>
      </c>
      <c r="E4" s="198">
        <f>D4</f>
        <v>-0.15278421427040043</v>
      </c>
      <c r="F4" s="199" t="str">
        <f t="shared" ref="F4:F10" si="1">IF(AND(E4&lt;=0),"C",IF(E4&lt;=0.8,"A",IF(E4&lt;=0.95,"B","C")))</f>
        <v>C</v>
      </c>
      <c r="G4" s="199" t="str">
        <f t="shared" ref="G4:G23" si="2">VLOOKUP(B$4:B$23,I$4:M$23,5,0)</f>
        <v>B</v>
      </c>
      <c r="I4" s="196" t="s">
        <v>25</v>
      </c>
      <c r="J4" s="197">
        <f>'Юнит 06-12.10'!R3</f>
        <v>12</v>
      </c>
      <c r="K4" s="198">
        <f t="shared" ref="K4:K23" si="3">J4/J$24</f>
        <v>0.63157894736842102</v>
      </c>
      <c r="L4" s="198">
        <f>K4</f>
        <v>0.63157894736842102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136</v>
      </c>
      <c r="C5" s="197">
        <f>'Юнит 06-12.10'!AE20</f>
        <v>378.981404</v>
      </c>
      <c r="D5" s="198">
        <f t="shared" si="0"/>
        <v>-3.5740442467799859E-2</v>
      </c>
      <c r="E5" s="198">
        <f>D5+E4</f>
        <v>-0.18852465673820029</v>
      </c>
      <c r="F5" s="199" t="str">
        <f t="shared" si="1"/>
        <v>C</v>
      </c>
      <c r="G5" s="199" t="str">
        <f t="shared" si="2"/>
        <v>C</v>
      </c>
      <c r="I5" s="196" t="s">
        <v>19</v>
      </c>
      <c r="J5" s="197">
        <f>'Юнит 06-12.10'!R14</f>
        <v>3</v>
      </c>
      <c r="K5" s="198">
        <f t="shared" si="3"/>
        <v>0.15789473684210525</v>
      </c>
      <c r="L5" s="198">
        <f>K5+L4</f>
        <v>0.78947368421052633</v>
      </c>
      <c r="M5" s="199" t="str">
        <f t="shared" si="4"/>
        <v>A</v>
      </c>
    </row>
    <row r="6" spans="2:17" ht="28.5" customHeight="1" outlineLevel="1" thickBot="1">
      <c r="B6" s="196" t="s">
        <v>92</v>
      </c>
      <c r="C6" s="197">
        <f>'Юнит 06-12.10'!AE4</f>
        <v>221.79000000000008</v>
      </c>
      <c r="D6" s="198">
        <f t="shared" si="0"/>
        <v>-2.0916257766920229E-2</v>
      </c>
      <c r="E6" s="198">
        <f t="shared" ref="E6:E23" si="5">D6+E5</f>
        <v>-0.20944091450512053</v>
      </c>
      <c r="F6" s="199" t="str">
        <f t="shared" si="1"/>
        <v>C</v>
      </c>
      <c r="G6" s="199" t="str">
        <f t="shared" si="2"/>
        <v>B</v>
      </c>
      <c r="I6" s="196" t="s">
        <v>54</v>
      </c>
      <c r="J6" s="197">
        <f>'Юнит 06-12.10'!R7</f>
        <v>2</v>
      </c>
      <c r="K6" s="198">
        <f t="shared" si="3"/>
        <v>0.10526315789473684</v>
      </c>
      <c r="L6" s="198">
        <f t="shared" ref="L6:L23" si="6">K6+L5</f>
        <v>0.89473684210526316</v>
      </c>
      <c r="M6" s="199" t="str">
        <f t="shared" si="4"/>
        <v>B</v>
      </c>
    </row>
    <row r="7" spans="2:17" ht="28.5" customHeight="1" outlineLevel="1" thickBot="1">
      <c r="B7" s="196" t="s">
        <v>222</v>
      </c>
      <c r="C7" s="197">
        <f>'Юнит 06-12.10'!AE5</f>
        <v>0</v>
      </c>
      <c r="D7" s="198">
        <f t="shared" si="0"/>
        <v>0</v>
      </c>
      <c r="E7" s="198">
        <f t="shared" si="5"/>
        <v>-0.20944091450512053</v>
      </c>
      <c r="F7" s="199" t="str">
        <f t="shared" si="1"/>
        <v>C</v>
      </c>
      <c r="G7" s="199" t="str">
        <f t="shared" si="2"/>
        <v>C</v>
      </c>
      <c r="I7" s="196" t="s">
        <v>92</v>
      </c>
      <c r="J7" s="197">
        <f>'Юнит 06-12.10'!R4</f>
        <v>1</v>
      </c>
      <c r="K7" s="198">
        <f t="shared" si="3"/>
        <v>5.2631578947368418E-2</v>
      </c>
      <c r="L7" s="198">
        <f t="shared" si="6"/>
        <v>0.94736842105263164</v>
      </c>
      <c r="M7" s="199" t="str">
        <f t="shared" si="4"/>
        <v>B</v>
      </c>
    </row>
    <row r="8" spans="2:17" ht="28.5" customHeight="1" outlineLevel="1" thickBot="1">
      <c r="B8" s="196" t="s">
        <v>223</v>
      </c>
      <c r="C8" s="197">
        <f>'Юнит 06-12.10'!AE6</f>
        <v>0</v>
      </c>
      <c r="D8" s="198">
        <f t="shared" si="0"/>
        <v>0</v>
      </c>
      <c r="E8" s="198">
        <f t="shared" si="5"/>
        <v>-0.20944091450512053</v>
      </c>
      <c r="F8" s="199" t="str">
        <f t="shared" si="1"/>
        <v>C</v>
      </c>
      <c r="G8" s="199" t="str">
        <f t="shared" si="2"/>
        <v>C</v>
      </c>
      <c r="I8" s="196" t="s">
        <v>136</v>
      </c>
      <c r="J8" s="197">
        <f>'Юнит 06-12.10'!R20</f>
        <v>1</v>
      </c>
      <c r="K8" s="198">
        <f t="shared" si="3"/>
        <v>5.2631578947368418E-2</v>
      </c>
      <c r="L8" s="198">
        <f t="shared" si="6"/>
        <v>1</v>
      </c>
      <c r="M8" s="199" t="str">
        <f t="shared" si="4"/>
        <v>C</v>
      </c>
    </row>
    <row r="9" spans="2:17" ht="28.5" customHeight="1" outlineLevel="1" thickBot="1">
      <c r="B9" s="196" t="s">
        <v>224</v>
      </c>
      <c r="C9" s="197">
        <f>'Юнит 06-12.10'!AE9</f>
        <v>0</v>
      </c>
      <c r="D9" s="198">
        <f t="shared" si="0"/>
        <v>0</v>
      </c>
      <c r="E9" s="198">
        <f t="shared" si="5"/>
        <v>-0.20944091450512053</v>
      </c>
      <c r="F9" s="199" t="str">
        <f t="shared" si="1"/>
        <v>C</v>
      </c>
      <c r="G9" s="199" t="str">
        <f t="shared" si="2"/>
        <v>C</v>
      </c>
      <c r="I9" s="196" t="s">
        <v>222</v>
      </c>
      <c r="J9" s="197">
        <f>'Юнит 06-12.10'!R5</f>
        <v>0</v>
      </c>
      <c r="K9" s="198">
        <f t="shared" si="3"/>
        <v>0</v>
      </c>
      <c r="L9" s="198">
        <f t="shared" si="6"/>
        <v>1</v>
      </c>
      <c r="M9" s="199" t="str">
        <f t="shared" si="4"/>
        <v>C</v>
      </c>
    </row>
    <row r="10" spans="2:17" ht="28.5" customHeight="1" outlineLevel="1" thickBot="1">
      <c r="B10" s="196" t="s">
        <v>225</v>
      </c>
      <c r="C10" s="197">
        <f>'Юнит 06-12.10'!AE10</f>
        <v>0</v>
      </c>
      <c r="D10" s="198">
        <f t="shared" si="0"/>
        <v>0</v>
      </c>
      <c r="E10" s="198">
        <f t="shared" si="5"/>
        <v>-0.20944091450512053</v>
      </c>
      <c r="F10" s="199" t="str">
        <f t="shared" si="1"/>
        <v>C</v>
      </c>
      <c r="G10" s="199" t="str">
        <f t="shared" si="2"/>
        <v>C</v>
      </c>
      <c r="I10" s="196" t="s">
        <v>223</v>
      </c>
      <c r="J10" s="197">
        <f>'Юнит 06-12.10'!R6</f>
        <v>0</v>
      </c>
      <c r="K10" s="198">
        <f t="shared" si="3"/>
        <v>0</v>
      </c>
      <c r="L10" s="198">
        <f t="shared" si="6"/>
        <v>1</v>
      </c>
      <c r="M10" s="199" t="str">
        <f t="shared" si="4"/>
        <v>C</v>
      </c>
    </row>
    <row r="11" spans="2:17" ht="15" outlineLevel="1" thickBot="1">
      <c r="B11" s="196" t="s">
        <v>227</v>
      </c>
      <c r="C11" s="197">
        <f>'Юнит 06-12.10'!AE12</f>
        <v>0</v>
      </c>
      <c r="D11" s="198">
        <f t="shared" si="0"/>
        <v>0</v>
      </c>
      <c r="E11" s="198">
        <f t="shared" si="5"/>
        <v>-0.20944091450512053</v>
      </c>
      <c r="F11" s="199" t="str">
        <f>IF(AND(E11&lt;=0),"C",IF(E11&lt;=0.8,"A",IF(E11&lt;=0.95,"B","C")))</f>
        <v>C</v>
      </c>
      <c r="G11" s="199" t="str">
        <f t="shared" si="2"/>
        <v>C</v>
      </c>
      <c r="I11" s="196" t="s">
        <v>88</v>
      </c>
      <c r="J11" s="197">
        <f>'Юнит 06-12.10'!R8</f>
        <v>0</v>
      </c>
      <c r="K11" s="198">
        <f t="shared" si="3"/>
        <v>0</v>
      </c>
      <c r="L11" s="198">
        <f t="shared" si="6"/>
        <v>1</v>
      </c>
      <c r="M11" s="199" t="str">
        <f>_xlfn.IFS(L11&lt;80%,"A",L11&lt;=95%,"B",L11&gt;95%,"C")</f>
        <v>C</v>
      </c>
      <c r="P11" s="200" t="s">
        <v>301</v>
      </c>
      <c r="Q11" s="201">
        <v>0.8</v>
      </c>
    </row>
    <row r="12" spans="2:17" ht="15" outlineLevel="1" thickBot="1">
      <c r="B12" s="196" t="s">
        <v>230</v>
      </c>
      <c r="C12" s="197">
        <f>'Юнит 06-12.10'!AE16</f>
        <v>0</v>
      </c>
      <c r="D12" s="198">
        <f t="shared" si="0"/>
        <v>0</v>
      </c>
      <c r="E12" s="198">
        <f t="shared" si="5"/>
        <v>-0.20944091450512053</v>
      </c>
      <c r="F12" s="199" t="str">
        <f t="shared" ref="F12:F23" si="7">IF(AND(E12&lt;=0),"C",IF(E12&lt;=0.8,"A",IF(E12&lt;=0.95,"B","C")))</f>
        <v>C</v>
      </c>
      <c r="G12" s="199" t="str">
        <f t="shared" si="2"/>
        <v>C</v>
      </c>
      <c r="I12" s="196" t="s">
        <v>224</v>
      </c>
      <c r="J12" s="197">
        <f>'Юнит 06-12.10'!R9</f>
        <v>0</v>
      </c>
      <c r="K12" s="198">
        <f t="shared" si="3"/>
        <v>0</v>
      </c>
      <c r="L12" s="198">
        <f t="shared" si="6"/>
        <v>1</v>
      </c>
      <c r="M12" s="199" t="str">
        <f t="shared" ref="M12:M23" si="8">_xlfn.IFS(L12&lt;80%,"A",L12&lt;=95%,"B",L12&gt;95%,"C")</f>
        <v>C</v>
      </c>
      <c r="P12" s="202" t="s">
        <v>302</v>
      </c>
      <c r="Q12" s="201">
        <v>0.15</v>
      </c>
    </row>
    <row r="13" spans="2:17" ht="15" outlineLevel="1" thickBot="1">
      <c r="B13" s="196" t="s">
        <v>88</v>
      </c>
      <c r="C13" s="197">
        <f>'Юнит 06-12.10'!AE8</f>
        <v>-184</v>
      </c>
      <c r="D13" s="198">
        <f t="shared" si="0"/>
        <v>1.7352411872101181E-2</v>
      </c>
      <c r="E13" s="198">
        <f t="shared" si="5"/>
        <v>-0.19208850263301935</v>
      </c>
      <c r="F13" s="199" t="str">
        <f t="shared" si="7"/>
        <v>C</v>
      </c>
      <c r="G13" s="199" t="str">
        <f t="shared" si="2"/>
        <v>C</v>
      </c>
      <c r="I13" s="196" t="s">
        <v>225</v>
      </c>
      <c r="J13" s="197">
        <f>'Юнит 06-12.10'!R10</f>
        <v>0</v>
      </c>
      <c r="K13" s="198">
        <f t="shared" si="3"/>
        <v>0</v>
      </c>
      <c r="L13" s="198">
        <f t="shared" si="6"/>
        <v>1</v>
      </c>
      <c r="M13" s="199" t="str">
        <f t="shared" si="8"/>
        <v>C</v>
      </c>
      <c r="P13" s="203" t="s">
        <v>303</v>
      </c>
      <c r="Q13" s="201">
        <v>0.05</v>
      </c>
    </row>
    <row r="14" spans="2:17" ht="15" outlineLevel="1" thickBot="1">
      <c r="B14" s="196" t="s">
        <v>234</v>
      </c>
      <c r="C14" s="197">
        <f>'Юнит 06-12.10'!AE22</f>
        <v>-296.357707</v>
      </c>
      <c r="D14" s="198">
        <f t="shared" si="0"/>
        <v>2.7948483659431974E-2</v>
      </c>
      <c r="E14" s="198">
        <f t="shared" si="5"/>
        <v>-0.16414001897358738</v>
      </c>
      <c r="F14" s="199" t="str">
        <f t="shared" si="7"/>
        <v>C</v>
      </c>
      <c r="G14" s="199" t="str">
        <f t="shared" si="2"/>
        <v>C</v>
      </c>
      <c r="I14" s="196" t="s">
        <v>226</v>
      </c>
      <c r="J14" s="197">
        <f>'Юнит 06-12.10'!R11</f>
        <v>0</v>
      </c>
      <c r="K14" s="198">
        <f t="shared" si="3"/>
        <v>0</v>
      </c>
      <c r="L14" s="198">
        <f t="shared" si="6"/>
        <v>1</v>
      </c>
      <c r="M14" s="199" t="str">
        <f t="shared" si="8"/>
        <v>C</v>
      </c>
      <c r="P14" s="204"/>
      <c r="Q14" s="198"/>
    </row>
    <row r="15" spans="2:17" ht="15" outlineLevel="1" thickBot="1">
      <c r="B15" s="196" t="s">
        <v>233</v>
      </c>
      <c r="C15" s="197">
        <f>'Юнит 06-12.10'!AE21</f>
        <v>-439.68775900000003</v>
      </c>
      <c r="D15" s="198">
        <f t="shared" si="0"/>
        <v>4.1465451572223713E-2</v>
      </c>
      <c r="E15" s="198">
        <f t="shared" si="5"/>
        <v>-0.12267456740136366</v>
      </c>
      <c r="F15" s="199" t="str">
        <f t="shared" si="7"/>
        <v>C</v>
      </c>
      <c r="G15" s="199" t="str">
        <f t="shared" si="2"/>
        <v>C</v>
      </c>
      <c r="I15" s="196" t="s">
        <v>227</v>
      </c>
      <c r="J15" s="197">
        <f>'Юнит 06-12.10'!R12</f>
        <v>0</v>
      </c>
      <c r="K15" s="198">
        <f t="shared" si="3"/>
        <v>0</v>
      </c>
      <c r="L15" s="198">
        <f t="shared" si="6"/>
        <v>1</v>
      </c>
      <c r="M15" s="199" t="str">
        <f t="shared" si="8"/>
        <v>C</v>
      </c>
      <c r="P15" s="204"/>
      <c r="Q15" s="198"/>
    </row>
    <row r="16" spans="2:17" ht="26.5" outlineLevel="1" thickBot="1">
      <c r="B16" s="196" t="s">
        <v>231</v>
      </c>
      <c r="C16" s="197">
        <f>'Юнит 06-12.10'!AE17</f>
        <v>-664.97304299999996</v>
      </c>
      <c r="D16" s="198">
        <f t="shared" si="0"/>
        <v>6.2711337641198087E-2</v>
      </c>
      <c r="E16" s="198">
        <f t="shared" si="5"/>
        <v>-5.9963229760165576E-2</v>
      </c>
      <c r="F16" s="199" t="str">
        <f t="shared" si="7"/>
        <v>C</v>
      </c>
      <c r="G16" s="199" t="str">
        <f t="shared" si="2"/>
        <v>C</v>
      </c>
      <c r="I16" s="196" t="s">
        <v>228</v>
      </c>
      <c r="J16" s="197">
        <f>'Юнит 06-12.10'!R13</f>
        <v>0</v>
      </c>
      <c r="K16" s="198">
        <f t="shared" si="3"/>
        <v>0</v>
      </c>
      <c r="L16" s="198">
        <f t="shared" si="6"/>
        <v>1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232</v>
      </c>
      <c r="C17" s="197">
        <f>'Юнит 06-12.10'!AE19</f>
        <v>-684.20903499999997</v>
      </c>
      <c r="D17" s="198">
        <f t="shared" si="0"/>
        <v>6.452541838007006E-2</v>
      </c>
      <c r="E17" s="198">
        <f t="shared" si="5"/>
        <v>4.5621886199044837E-3</v>
      </c>
      <c r="F17" s="199" t="str">
        <f t="shared" si="7"/>
        <v>A</v>
      </c>
      <c r="G17" s="199" t="str">
        <f t="shared" si="2"/>
        <v>C</v>
      </c>
      <c r="I17" s="196" t="s">
        <v>229</v>
      </c>
      <c r="J17" s="197">
        <f>'Юнит 06-12.10'!R15</f>
        <v>0</v>
      </c>
      <c r="K17" s="198">
        <f t="shared" si="3"/>
        <v>0</v>
      </c>
      <c r="L17" s="198">
        <f t="shared" si="6"/>
        <v>1</v>
      </c>
      <c r="M17" s="199" t="str">
        <f t="shared" si="8"/>
        <v>C</v>
      </c>
      <c r="P17" s="204"/>
      <c r="Q17" s="198"/>
    </row>
    <row r="18" spans="2:17" ht="26.5" outlineLevel="1" thickBot="1">
      <c r="B18" s="196" t="s">
        <v>228</v>
      </c>
      <c r="C18" s="197">
        <f>'Юнит 06-12.10'!AE13</f>
        <v>-716.049307</v>
      </c>
      <c r="D18" s="198">
        <f t="shared" si="0"/>
        <v>6.7528165738025128E-2</v>
      </c>
      <c r="E18" s="198">
        <f t="shared" si="5"/>
        <v>7.2090354357929612E-2</v>
      </c>
      <c r="F18" s="199" t="str">
        <f t="shared" si="7"/>
        <v>A</v>
      </c>
      <c r="G18" s="199" t="str">
        <f t="shared" si="2"/>
        <v>C</v>
      </c>
      <c r="I18" s="196" t="s">
        <v>230</v>
      </c>
      <c r="J18" s="197">
        <f>'Юнит 06-12.10'!R16</f>
        <v>0</v>
      </c>
      <c r="K18" s="198">
        <f t="shared" si="3"/>
        <v>0</v>
      </c>
      <c r="L18" s="198">
        <f t="shared" si="6"/>
        <v>1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226</v>
      </c>
      <c r="C19" s="197">
        <f>'Юнит 06-12.10'!AE11</f>
        <v>-1184.0311019999999</v>
      </c>
      <c r="D19" s="198">
        <f t="shared" si="0"/>
        <v>0.11166193125696654</v>
      </c>
      <c r="E19" s="198">
        <f t="shared" si="5"/>
        <v>0.18375228561489615</v>
      </c>
      <c r="F19" s="199" t="str">
        <f t="shared" si="7"/>
        <v>A</v>
      </c>
      <c r="G19" s="199" t="str">
        <f t="shared" si="2"/>
        <v>C</v>
      </c>
      <c r="I19" s="196" t="s">
        <v>231</v>
      </c>
      <c r="J19" s="197">
        <f>'Юнит 06-12.10'!R17</f>
        <v>0</v>
      </c>
      <c r="K19" s="198">
        <f t="shared" si="3"/>
        <v>0</v>
      </c>
      <c r="L19" s="198">
        <f t="shared" si="6"/>
        <v>1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19</v>
      </c>
      <c r="C20" s="197">
        <f>'Юнит 06-12.10'!AE14</f>
        <v>-1508.583466</v>
      </c>
      <c r="D20" s="198">
        <f t="shared" si="0"/>
        <v>0.14226935676888017</v>
      </c>
      <c r="E20" s="198">
        <f t="shared" si="5"/>
        <v>0.32602164238377629</v>
      </c>
      <c r="F20" s="199" t="str">
        <f t="shared" si="7"/>
        <v>A</v>
      </c>
      <c r="G20" s="199" t="str">
        <f t="shared" si="2"/>
        <v>A</v>
      </c>
      <c r="I20" s="196" t="s">
        <v>111</v>
      </c>
      <c r="J20" s="197">
        <f>'Юнит 06-12.10'!R18</f>
        <v>0</v>
      </c>
      <c r="K20" s="198">
        <f t="shared" si="3"/>
        <v>0</v>
      </c>
      <c r="L20" s="198">
        <f t="shared" si="6"/>
        <v>1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111</v>
      </c>
      <c r="C21" s="197">
        <f>'Юнит 06-12.10'!AE18</f>
        <v>-2016.2752</v>
      </c>
      <c r="D21" s="198">
        <f t="shared" si="0"/>
        <v>0.19014803107556077</v>
      </c>
      <c r="E21" s="198">
        <f t="shared" si="5"/>
        <v>0.51616967345933706</v>
      </c>
      <c r="F21" s="199" t="str">
        <f t="shared" si="7"/>
        <v>A</v>
      </c>
      <c r="G21" s="199" t="str">
        <f t="shared" si="2"/>
        <v>C</v>
      </c>
      <c r="I21" s="196" t="s">
        <v>232</v>
      </c>
      <c r="J21" s="197">
        <f>'Юнит 06-12.10'!R19</f>
        <v>0</v>
      </c>
      <c r="K21" s="198">
        <f t="shared" si="3"/>
        <v>0</v>
      </c>
      <c r="L21" s="198">
        <f t="shared" si="6"/>
        <v>1</v>
      </c>
      <c r="M21" s="199" t="str">
        <f t="shared" si="8"/>
        <v>C</v>
      </c>
      <c r="P21" s="204"/>
      <c r="Q21" s="198"/>
    </row>
    <row r="22" spans="2:17" ht="26.5" outlineLevel="1" thickBot="1">
      <c r="B22" s="196" t="s">
        <v>25</v>
      </c>
      <c r="C22" s="197">
        <f>'Юнит 06-12.10'!AE3</f>
        <v>-2329.0342729999993</v>
      </c>
      <c r="D22" s="198">
        <f t="shared" si="0"/>
        <v>0.21964327157247679</v>
      </c>
      <c r="E22" s="198">
        <f t="shared" si="5"/>
        <v>0.73581294503181383</v>
      </c>
      <c r="F22" s="199" t="str">
        <f t="shared" si="7"/>
        <v>A</v>
      </c>
      <c r="G22" s="199" t="str">
        <f t="shared" si="2"/>
        <v>A</v>
      </c>
      <c r="I22" s="196" t="s">
        <v>233</v>
      </c>
      <c r="J22" s="197">
        <f>'Юнит 06-12.10'!R21</f>
        <v>0</v>
      </c>
      <c r="K22" s="198">
        <f t="shared" si="3"/>
        <v>0</v>
      </c>
      <c r="L22" s="198">
        <f t="shared" si="6"/>
        <v>1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229</v>
      </c>
      <c r="C23" s="197">
        <f>'Юнит 06-12.10'!AE15</f>
        <v>-2801.3637799999997</v>
      </c>
      <c r="D23" s="198">
        <f t="shared" si="0"/>
        <v>0.26418705496818606</v>
      </c>
      <c r="E23" s="198">
        <f t="shared" si="5"/>
        <v>0.99999999999999989</v>
      </c>
      <c r="F23" s="199" t="str">
        <f t="shared" si="7"/>
        <v>C</v>
      </c>
      <c r="G23" s="199" t="str">
        <f t="shared" si="2"/>
        <v>C</v>
      </c>
      <c r="I23" s="196" t="s">
        <v>234</v>
      </c>
      <c r="J23" s="197">
        <f>'Юнит 06-12.10'!R22</f>
        <v>0</v>
      </c>
      <c r="K23" s="198">
        <f t="shared" si="3"/>
        <v>0</v>
      </c>
      <c r="L23" s="198">
        <f t="shared" si="6"/>
        <v>1</v>
      </c>
      <c r="M23" s="199" t="str">
        <f t="shared" si="8"/>
        <v>C</v>
      </c>
      <c r="P23" s="204"/>
      <c r="Q23" s="198"/>
    </row>
    <row r="24" spans="2:17" outlineLevel="1">
      <c r="C24" s="205">
        <f>SUM(C4:C23)</f>
        <v>-10603.713268</v>
      </c>
      <c r="D24" s="206">
        <f>SUM(D4:D23)</f>
        <v>0.99999999999999989</v>
      </c>
      <c r="J24" s="205">
        <f>SUM(J4:J23)</f>
        <v>19</v>
      </c>
      <c r="K24" s="206">
        <f>SUM(K4:K23)</f>
        <v>1</v>
      </c>
    </row>
    <row r="25" spans="2:17" ht="15" thickBot="1"/>
    <row r="26" spans="2:17" ht="15" thickBot="1">
      <c r="B26" s="516" t="s">
        <v>304</v>
      </c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8"/>
    </row>
    <row r="27" spans="2:17" ht="23.5" thickBot="1">
      <c r="C27" s="192" t="s">
        <v>212</v>
      </c>
      <c r="D27" s="193" t="s">
        <v>295</v>
      </c>
      <c r="E27" s="194" t="s">
        <v>296</v>
      </c>
      <c r="F27" s="193" t="s">
        <v>297</v>
      </c>
      <c r="G27" s="193" t="s">
        <v>298</v>
      </c>
      <c r="J27" s="192" t="s">
        <v>299</v>
      </c>
      <c r="K27" s="193" t="s">
        <v>300</v>
      </c>
      <c r="L27" s="194" t="s">
        <v>296</v>
      </c>
      <c r="M27" s="195" t="s">
        <v>298</v>
      </c>
    </row>
    <row r="28" spans="2:17" ht="15" thickBot="1">
      <c r="B28" s="196" t="s">
        <v>66</v>
      </c>
      <c r="C28" s="197">
        <f>'Юнит 06-12.10'!AE44</f>
        <v>4537.8559679999989</v>
      </c>
      <c r="D28" s="198">
        <f>C28/C$48</f>
        <v>-2.1811750382006974</v>
      </c>
      <c r="E28" s="198">
        <f>D28</f>
        <v>-2.1811750382006974</v>
      </c>
      <c r="F28" s="199" t="str">
        <f t="shared" ref="F28:F34" si="9">IF(AND(E28&lt;=0),"C",IF(E28&lt;=0.8,"A",IF(E28&lt;=0.95,"B","C")))</f>
        <v>C</v>
      </c>
      <c r="G28" s="199" t="str">
        <f>VLOOKUP(B$28:B$48,I$28:M$48,5,0)</f>
        <v>A</v>
      </c>
      <c r="I28" s="196" t="s">
        <v>66</v>
      </c>
      <c r="J28" s="197">
        <f>'Юнит 06-12.10'!R44</f>
        <v>4</v>
      </c>
      <c r="K28" s="198">
        <f>J28/J$48</f>
        <v>0.26666666666666666</v>
      </c>
      <c r="L28" s="198">
        <f>K28</f>
        <v>0.26666666666666666</v>
      </c>
      <c r="M28" s="199" t="str">
        <f t="shared" ref="M28:M34" si="10">_xlfn.IFS(L28&lt;80%,"A",L28&lt;=95%,"B",L28&gt;95%,"C")</f>
        <v>A</v>
      </c>
    </row>
    <row r="29" spans="2:17" ht="26.5" thickBot="1">
      <c r="B29" s="196" t="s">
        <v>51</v>
      </c>
      <c r="C29" s="197">
        <f>'Юнит 06-12.10'!AE42</f>
        <v>1946.1000000000001</v>
      </c>
      <c r="D29" s="198">
        <f t="shared" ref="D29:D47" si="11">C29/C$48</f>
        <v>-0.93541636662240979</v>
      </c>
      <c r="E29" s="198">
        <f>D29+E28</f>
        <v>-3.1165914048231071</v>
      </c>
      <c r="F29" s="199" t="str">
        <f t="shared" si="9"/>
        <v>C</v>
      </c>
      <c r="G29" s="199" t="str">
        <f t="shared" ref="G29:G47" si="12">VLOOKUP(B$28:B$48,I$28:M$48,5,0)</f>
        <v>A</v>
      </c>
      <c r="I29" s="196" t="s">
        <v>51</v>
      </c>
      <c r="J29" s="197">
        <f>'Юнит 06-12.10'!R42</f>
        <v>3</v>
      </c>
      <c r="K29" s="198">
        <f t="shared" ref="K29:K47" si="13">J29/J$48</f>
        <v>0.2</v>
      </c>
      <c r="L29" s="198">
        <f>K29+L28</f>
        <v>0.46666666666666667</v>
      </c>
      <c r="M29" s="199" t="str">
        <f t="shared" si="10"/>
        <v>A</v>
      </c>
    </row>
    <row r="30" spans="2:17" ht="26.5" thickBot="1">
      <c r="B30" s="196" t="s">
        <v>70</v>
      </c>
      <c r="C30" s="197">
        <f>'Юнит 06-12.10'!AE43</f>
        <v>1323.3</v>
      </c>
      <c r="D30" s="198">
        <f t="shared" si="11"/>
        <v>-0.63606005752604422</v>
      </c>
      <c r="E30" s="198">
        <f t="shared" ref="E30:E47" si="14">D30+E29</f>
        <v>-3.7526514623491511</v>
      </c>
      <c r="F30" s="199" t="str">
        <f t="shared" si="9"/>
        <v>C</v>
      </c>
      <c r="G30" s="199" t="str">
        <f t="shared" si="12"/>
        <v>A</v>
      </c>
      <c r="I30" s="196" t="s">
        <v>62</v>
      </c>
      <c r="J30" s="197">
        <f>'Юнит 06-12.10'!R35</f>
        <v>2</v>
      </c>
      <c r="K30" s="198">
        <f t="shared" si="13"/>
        <v>0.13333333333333333</v>
      </c>
      <c r="L30" s="198">
        <f t="shared" ref="L30:L47" si="15">K30+L29</f>
        <v>0.6</v>
      </c>
      <c r="M30" s="199" t="str">
        <f t="shared" si="10"/>
        <v>A</v>
      </c>
    </row>
    <row r="31" spans="2:17" ht="26.5" thickBot="1">
      <c r="B31" s="196" t="s">
        <v>142</v>
      </c>
      <c r="C31" s="197">
        <f>'Юнит 06-12.10'!AE33</f>
        <v>1702</v>
      </c>
      <c r="D31" s="198">
        <f t="shared" si="11"/>
        <v>-0.81808676634876998</v>
      </c>
      <c r="E31" s="198">
        <f t="shared" si="14"/>
        <v>-4.5707382286979215</v>
      </c>
      <c r="F31" s="199" t="str">
        <f t="shared" si="9"/>
        <v>C</v>
      </c>
      <c r="G31" s="199" t="str">
        <f t="shared" si="12"/>
        <v>C</v>
      </c>
      <c r="I31" s="196" t="s">
        <v>70</v>
      </c>
      <c r="J31" s="197">
        <f>'Юнит 06-12.10'!R43</f>
        <v>2</v>
      </c>
      <c r="K31" s="198">
        <f t="shared" si="13"/>
        <v>0.13333333333333333</v>
      </c>
      <c r="L31" s="198">
        <f t="shared" si="15"/>
        <v>0.73333333333333328</v>
      </c>
      <c r="M31" s="199" t="str">
        <f t="shared" si="10"/>
        <v>A</v>
      </c>
    </row>
    <row r="32" spans="2:17" ht="26.5" thickBot="1">
      <c r="B32" s="196" t="s">
        <v>98</v>
      </c>
      <c r="C32" s="197">
        <f>'Юнит 06-12.10'!AE26</f>
        <v>-422.92167099999995</v>
      </c>
      <c r="D32" s="198">
        <f t="shared" si="11"/>
        <v>0.2032823867492411</v>
      </c>
      <c r="E32" s="198">
        <f t="shared" si="14"/>
        <v>-4.3674558419486802</v>
      </c>
      <c r="F32" s="199" t="str">
        <f t="shared" si="9"/>
        <v>C</v>
      </c>
      <c r="G32" s="199" t="str">
        <f t="shared" si="12"/>
        <v>B</v>
      </c>
      <c r="I32" s="196" t="s">
        <v>98</v>
      </c>
      <c r="J32" s="197">
        <f>'Юнит 06-12.10'!R26</f>
        <v>1</v>
      </c>
      <c r="K32" s="198">
        <f t="shared" si="13"/>
        <v>6.6666666666666666E-2</v>
      </c>
      <c r="L32" s="198">
        <f t="shared" si="15"/>
        <v>0.79999999999999993</v>
      </c>
      <c r="M32" s="199" t="str">
        <f t="shared" si="10"/>
        <v>B</v>
      </c>
    </row>
    <row r="33" spans="2:13" ht="26.5" thickBot="1">
      <c r="B33" s="196" t="s">
        <v>235</v>
      </c>
      <c r="C33" s="197">
        <f>'Юнит 06-12.10'!AE28</f>
        <v>0</v>
      </c>
      <c r="D33" s="198">
        <f t="shared" si="11"/>
        <v>0</v>
      </c>
      <c r="E33" s="198">
        <f t="shared" si="14"/>
        <v>-4.3674558419486802</v>
      </c>
      <c r="F33" s="199" t="str">
        <f t="shared" si="9"/>
        <v>C</v>
      </c>
      <c r="G33" s="199" t="str">
        <f t="shared" si="12"/>
        <v>C</v>
      </c>
      <c r="I33" s="196" t="s">
        <v>43</v>
      </c>
      <c r="J33" s="197">
        <f>'Юнит 06-12.10'!R27</f>
        <v>2</v>
      </c>
      <c r="K33" s="198">
        <f t="shared" si="13"/>
        <v>0.13333333333333333</v>
      </c>
      <c r="L33" s="198">
        <f t="shared" si="15"/>
        <v>0.93333333333333324</v>
      </c>
      <c r="M33" s="199" t="str">
        <f t="shared" si="10"/>
        <v>B</v>
      </c>
    </row>
    <row r="34" spans="2:13" ht="15" thickBot="1">
      <c r="B34" s="196" t="s">
        <v>236</v>
      </c>
      <c r="C34" s="197">
        <f>'Юнит 06-12.10'!AE31</f>
        <v>0</v>
      </c>
      <c r="D34" s="198">
        <f t="shared" si="11"/>
        <v>0</v>
      </c>
      <c r="E34" s="198">
        <f t="shared" si="14"/>
        <v>-4.3674558419486802</v>
      </c>
      <c r="F34" s="199" t="str">
        <f t="shared" si="9"/>
        <v>C</v>
      </c>
      <c r="G34" s="199" t="str">
        <f t="shared" si="12"/>
        <v>C</v>
      </c>
      <c r="I34" s="196" t="s">
        <v>142</v>
      </c>
      <c r="J34" s="197">
        <f>'Юнит 06-12.10'!R33</f>
        <v>1</v>
      </c>
      <c r="K34" s="198">
        <f t="shared" si="13"/>
        <v>6.6666666666666666E-2</v>
      </c>
      <c r="L34" s="198">
        <f t="shared" si="15"/>
        <v>0.99999999999999989</v>
      </c>
      <c r="M34" s="199" t="str">
        <f t="shared" si="10"/>
        <v>C</v>
      </c>
    </row>
    <row r="35" spans="2:13" ht="26.5" thickBot="1">
      <c r="B35" s="196" t="s">
        <v>237</v>
      </c>
      <c r="C35" s="197">
        <f>'Юнит 06-12.10'!AE32</f>
        <v>0</v>
      </c>
      <c r="D35" s="198">
        <f t="shared" si="11"/>
        <v>0</v>
      </c>
      <c r="E35" s="198">
        <f t="shared" si="14"/>
        <v>-4.3674558419486802</v>
      </c>
      <c r="F35" s="199" t="str">
        <f>IF(AND(E35&lt;=0),"C",IF(E35&lt;=0.8,"A",IF(E35&lt;=0.95,"B","C")))</f>
        <v>C</v>
      </c>
      <c r="G35" s="199" t="str">
        <f t="shared" si="12"/>
        <v>C</v>
      </c>
      <c r="I35" s="196" t="s">
        <v>235</v>
      </c>
      <c r="J35" s="197">
        <f>'Юнит 06-12.10'!R28</f>
        <v>0</v>
      </c>
      <c r="K35" s="198">
        <f t="shared" si="13"/>
        <v>0</v>
      </c>
      <c r="L35" s="198">
        <f t="shared" si="15"/>
        <v>0.99999999999999989</v>
      </c>
      <c r="M35" s="199" t="str">
        <f>_xlfn.IFS(L35&lt;80%,"A",L35&lt;=95%,"B",L35&gt;95%,"C")</f>
        <v>C</v>
      </c>
    </row>
    <row r="36" spans="2:13" ht="15" thickBot="1">
      <c r="B36" s="196" t="s">
        <v>238</v>
      </c>
      <c r="C36" s="197">
        <f>'Юнит 06-12.10'!AE34</f>
        <v>0</v>
      </c>
      <c r="D36" s="198">
        <f t="shared" si="11"/>
        <v>0</v>
      </c>
      <c r="E36" s="198">
        <f t="shared" si="14"/>
        <v>-4.3674558419486802</v>
      </c>
      <c r="F36" s="199" t="str">
        <f t="shared" ref="F36:F47" si="16">IF(AND(E36&lt;=0),"C",IF(E36&lt;=0.8,"A",IF(E36&lt;=0.95,"B","C")))</f>
        <v>C</v>
      </c>
      <c r="G36" s="199" t="str">
        <f t="shared" si="12"/>
        <v>C</v>
      </c>
      <c r="I36" s="196" t="s">
        <v>171</v>
      </c>
      <c r="J36" s="197">
        <f>'Юнит 06-12.10'!R29</f>
        <v>0</v>
      </c>
      <c r="K36" s="198">
        <f t="shared" si="13"/>
        <v>0</v>
      </c>
      <c r="L36" s="198">
        <f t="shared" si="15"/>
        <v>0.99999999999999989</v>
      </c>
      <c r="M36" s="199" t="str">
        <f t="shared" ref="M36:M47" si="17">_xlfn.IFS(L36&lt;80%,"A",L36&lt;=95%,"B",L36&gt;95%,"C")</f>
        <v>C</v>
      </c>
    </row>
    <row r="37" spans="2:13" ht="26.5" thickBot="1">
      <c r="B37" s="196" t="s">
        <v>240</v>
      </c>
      <c r="C37" s="197">
        <f>'Юнит 06-12.10'!AE37</f>
        <v>0</v>
      </c>
      <c r="D37" s="198">
        <f t="shared" si="11"/>
        <v>0</v>
      </c>
      <c r="E37" s="198">
        <f t="shared" si="14"/>
        <v>-4.3674558419486802</v>
      </c>
      <c r="F37" s="199" t="str">
        <f t="shared" si="16"/>
        <v>C</v>
      </c>
      <c r="G37" s="199" t="str">
        <f t="shared" si="12"/>
        <v>C</v>
      </c>
      <c r="I37" s="196" t="s">
        <v>39</v>
      </c>
      <c r="J37" s="197">
        <f>'Юнит 06-12.10'!R30</f>
        <v>0</v>
      </c>
      <c r="K37" s="198">
        <f t="shared" si="13"/>
        <v>0</v>
      </c>
      <c r="L37" s="198">
        <f t="shared" si="15"/>
        <v>0.99999999999999989</v>
      </c>
      <c r="M37" s="199" t="str">
        <f t="shared" si="17"/>
        <v>C</v>
      </c>
    </row>
    <row r="38" spans="2:13" ht="15" thickBot="1">
      <c r="B38" s="196" t="s">
        <v>241</v>
      </c>
      <c r="C38" s="197">
        <f>'Юнит 06-12.10'!AE38</f>
        <v>0</v>
      </c>
      <c r="D38" s="198">
        <f t="shared" si="11"/>
        <v>0</v>
      </c>
      <c r="E38" s="198">
        <f t="shared" si="14"/>
        <v>-4.3674558419486802</v>
      </c>
      <c r="F38" s="199" t="str">
        <f t="shared" si="16"/>
        <v>C</v>
      </c>
      <c r="G38" s="199" t="str">
        <f t="shared" si="12"/>
        <v>C</v>
      </c>
      <c r="I38" s="196" t="s">
        <v>236</v>
      </c>
      <c r="J38" s="197">
        <f>'Юнит 06-12.10'!R31</f>
        <v>0</v>
      </c>
      <c r="K38" s="198">
        <f t="shared" si="13"/>
        <v>0</v>
      </c>
      <c r="L38" s="198">
        <f t="shared" si="15"/>
        <v>0.99999999999999989</v>
      </c>
      <c r="M38" s="199" t="str">
        <f t="shared" si="17"/>
        <v>C</v>
      </c>
    </row>
    <row r="39" spans="2:13" ht="26.5" thickBot="1">
      <c r="B39" s="196" t="s">
        <v>242</v>
      </c>
      <c r="C39" s="197">
        <f>'Юнит 06-12.10'!AE39</f>
        <v>0</v>
      </c>
      <c r="D39" s="198">
        <f t="shared" si="11"/>
        <v>0</v>
      </c>
      <c r="E39" s="198">
        <f t="shared" si="14"/>
        <v>-4.3674558419486802</v>
      </c>
      <c r="F39" s="199" t="str">
        <f t="shared" si="16"/>
        <v>C</v>
      </c>
      <c r="G39" s="199" t="str">
        <f t="shared" si="12"/>
        <v>C</v>
      </c>
      <c r="I39" s="196" t="s">
        <v>237</v>
      </c>
      <c r="J39" s="197">
        <f>'Юнит 06-12.10'!R32</f>
        <v>0</v>
      </c>
      <c r="K39" s="198">
        <f t="shared" si="13"/>
        <v>0</v>
      </c>
      <c r="L39" s="198">
        <f t="shared" si="15"/>
        <v>0.99999999999999989</v>
      </c>
      <c r="M39" s="199" t="str">
        <f t="shared" si="17"/>
        <v>C</v>
      </c>
    </row>
    <row r="40" spans="2:13" ht="26.5" thickBot="1">
      <c r="B40" s="196" t="s">
        <v>243</v>
      </c>
      <c r="C40" s="197">
        <f>'Юнит 06-12.10'!AE40</f>
        <v>0</v>
      </c>
      <c r="D40" s="198">
        <f t="shared" si="11"/>
        <v>0</v>
      </c>
      <c r="E40" s="198">
        <f t="shared" si="14"/>
        <v>-4.3674558419486802</v>
      </c>
      <c r="F40" s="199" t="str">
        <f t="shared" si="16"/>
        <v>C</v>
      </c>
      <c r="G40" s="199" t="str">
        <f t="shared" si="12"/>
        <v>C</v>
      </c>
      <c r="I40" s="196" t="s">
        <v>238</v>
      </c>
      <c r="J40" s="197">
        <f>'Юнит 06-12.10'!R34</f>
        <v>0</v>
      </c>
      <c r="K40" s="198">
        <f t="shared" si="13"/>
        <v>0</v>
      </c>
      <c r="L40" s="198">
        <f t="shared" si="15"/>
        <v>0.99999999999999989</v>
      </c>
      <c r="M40" s="199" t="str">
        <f t="shared" si="17"/>
        <v>C</v>
      </c>
    </row>
    <row r="41" spans="2:13" ht="26.5" thickBot="1">
      <c r="B41" s="196" t="s">
        <v>244</v>
      </c>
      <c r="C41" s="197">
        <f>'Юнит 06-12.10'!AE41</f>
        <v>0</v>
      </c>
      <c r="D41" s="198">
        <f t="shared" si="11"/>
        <v>0</v>
      </c>
      <c r="E41" s="198">
        <f t="shared" si="14"/>
        <v>-4.3674558419486802</v>
      </c>
      <c r="F41" s="199" t="str">
        <f t="shared" si="16"/>
        <v>C</v>
      </c>
      <c r="G41" s="199" t="str">
        <f t="shared" si="12"/>
        <v>C</v>
      </c>
      <c r="I41" s="196" t="s">
        <v>239</v>
      </c>
      <c r="J41" s="197">
        <f>'Юнит 06-12.10'!R36</f>
        <v>0</v>
      </c>
      <c r="K41" s="198">
        <f t="shared" si="13"/>
        <v>0</v>
      </c>
      <c r="L41" s="198">
        <f t="shared" si="15"/>
        <v>0.99999999999999989</v>
      </c>
      <c r="M41" s="199" t="str">
        <f t="shared" si="17"/>
        <v>C</v>
      </c>
    </row>
    <row r="42" spans="2:13" ht="26.5" thickBot="1">
      <c r="B42" s="196" t="s">
        <v>171</v>
      </c>
      <c r="C42" s="197">
        <f>'Юнит 06-12.10'!AE29</f>
        <v>-112</v>
      </c>
      <c r="D42" s="198">
        <f t="shared" si="11"/>
        <v>5.3834146786758075E-2</v>
      </c>
      <c r="E42" s="198">
        <f t="shared" si="14"/>
        <v>-4.3136216951619222</v>
      </c>
      <c r="F42" s="199" t="str">
        <f t="shared" si="16"/>
        <v>C</v>
      </c>
      <c r="G42" s="199" t="str">
        <f t="shared" si="12"/>
        <v>C</v>
      </c>
      <c r="I42" s="196" t="s">
        <v>240</v>
      </c>
      <c r="J42" s="197">
        <f>'Юнит 06-12.10'!R37</f>
        <v>0</v>
      </c>
      <c r="K42" s="198">
        <f t="shared" si="13"/>
        <v>0</v>
      </c>
      <c r="L42" s="198">
        <f t="shared" si="15"/>
        <v>0.99999999999999989</v>
      </c>
      <c r="M42" s="199" t="str">
        <f t="shared" si="17"/>
        <v>C</v>
      </c>
    </row>
    <row r="43" spans="2:13" ht="15" thickBot="1">
      <c r="B43" s="196" t="s">
        <v>39</v>
      </c>
      <c r="C43" s="197">
        <f>'Юнит 06-12.10'!AE30</f>
        <v>-112</v>
      </c>
      <c r="D43" s="198">
        <f t="shared" si="11"/>
        <v>5.3834146786758075E-2</v>
      </c>
      <c r="E43" s="198">
        <f t="shared" si="14"/>
        <v>-4.2597875483751642</v>
      </c>
      <c r="F43" s="199" t="str">
        <f t="shared" si="16"/>
        <v>C</v>
      </c>
      <c r="G43" s="199" t="str">
        <f t="shared" si="12"/>
        <v>C</v>
      </c>
      <c r="I43" s="196" t="s">
        <v>241</v>
      </c>
      <c r="J43" s="197">
        <f>'Юнит 06-12.10'!R38</f>
        <v>0</v>
      </c>
      <c r="K43" s="198">
        <f t="shared" si="13"/>
        <v>0</v>
      </c>
      <c r="L43" s="198">
        <f t="shared" si="15"/>
        <v>0.99999999999999989</v>
      </c>
      <c r="M43" s="199" t="str">
        <f t="shared" si="17"/>
        <v>C</v>
      </c>
    </row>
    <row r="44" spans="2:13" ht="26.5" thickBot="1">
      <c r="B44" s="196" t="s">
        <v>245</v>
      </c>
      <c r="C44" s="197">
        <f>'Юнит 06-12.10'!AE45</f>
        <v>-219.89350400000001</v>
      </c>
      <c r="D44" s="198">
        <f t="shared" si="11"/>
        <v>0.10569445689098728</v>
      </c>
      <c r="E44" s="198">
        <f t="shared" si="14"/>
        <v>-4.1540930914841772</v>
      </c>
      <c r="F44" s="199" t="str">
        <f t="shared" si="16"/>
        <v>C</v>
      </c>
      <c r="G44" s="199" t="str">
        <f t="shared" si="12"/>
        <v>C</v>
      </c>
      <c r="I44" s="196" t="s">
        <v>242</v>
      </c>
      <c r="J44" s="197">
        <f>'Юнит 06-12.10'!R39</f>
        <v>0</v>
      </c>
      <c r="K44" s="198">
        <f t="shared" si="13"/>
        <v>0</v>
      </c>
      <c r="L44" s="198">
        <f t="shared" si="15"/>
        <v>0.99999999999999989</v>
      </c>
      <c r="M44" s="199" t="str">
        <f t="shared" si="17"/>
        <v>C</v>
      </c>
    </row>
    <row r="45" spans="2:13" ht="26.5" thickBot="1">
      <c r="B45" s="196" t="s">
        <v>62</v>
      </c>
      <c r="C45" s="197">
        <f>'Юнит 06-12.10'!AE35</f>
        <v>-2284.2690929999999</v>
      </c>
      <c r="D45" s="198">
        <f t="shared" si="11"/>
        <v>1.0979614076162207</v>
      </c>
      <c r="E45" s="198">
        <f t="shared" si="14"/>
        <v>-3.0561316838679566</v>
      </c>
      <c r="F45" s="199" t="str">
        <f t="shared" si="16"/>
        <v>C</v>
      </c>
      <c r="G45" s="199" t="str">
        <f t="shared" si="12"/>
        <v>A</v>
      </c>
      <c r="I45" s="196" t="s">
        <v>243</v>
      </c>
      <c r="J45" s="197">
        <f>'Юнит 06-12.10'!R40</f>
        <v>0</v>
      </c>
      <c r="K45" s="198">
        <f t="shared" si="13"/>
        <v>0</v>
      </c>
      <c r="L45" s="198">
        <f t="shared" si="15"/>
        <v>0.99999999999999989</v>
      </c>
      <c r="M45" s="199" t="str">
        <f t="shared" si="17"/>
        <v>C</v>
      </c>
    </row>
    <row r="46" spans="2:13" ht="26.5" thickBot="1">
      <c r="B46" s="196" t="s">
        <v>239</v>
      </c>
      <c r="C46" s="197">
        <f>'Юнит 06-12.10'!AE36</f>
        <v>-2113.9364890000002</v>
      </c>
      <c r="D46" s="198">
        <f t="shared" si="11"/>
        <v>1.0160889932741966</v>
      </c>
      <c r="E46" s="198">
        <f t="shared" si="14"/>
        <v>-2.0400426905937601</v>
      </c>
      <c r="F46" s="199" t="str">
        <f t="shared" si="16"/>
        <v>C</v>
      </c>
      <c r="G46" s="199" t="str">
        <f t="shared" si="12"/>
        <v>C</v>
      </c>
      <c r="I46" s="196" t="s">
        <v>244</v>
      </c>
      <c r="J46" s="197">
        <f>'Юнит 06-12.10'!R41</f>
        <v>0</v>
      </c>
      <c r="K46" s="198">
        <f t="shared" si="13"/>
        <v>0</v>
      </c>
      <c r="L46" s="198">
        <f t="shared" si="15"/>
        <v>0.99999999999999989</v>
      </c>
      <c r="M46" s="199" t="str">
        <f t="shared" si="17"/>
        <v>C</v>
      </c>
    </row>
    <row r="47" spans="2:13" ht="26.5" thickBot="1">
      <c r="B47" s="196" t="s">
        <v>43</v>
      </c>
      <c r="C47" s="197">
        <f>'Юнит 06-12.10'!AE27</f>
        <v>-6324.69913</v>
      </c>
      <c r="D47" s="198">
        <f t="shared" si="11"/>
        <v>3.0400426905937596</v>
      </c>
      <c r="E47" s="198">
        <f t="shared" si="14"/>
        <v>0.99999999999999956</v>
      </c>
      <c r="F47" s="199" t="str">
        <f t="shared" si="16"/>
        <v>C</v>
      </c>
      <c r="G47" s="199" t="str">
        <f t="shared" si="12"/>
        <v>B</v>
      </c>
      <c r="I47" s="196" t="s">
        <v>245</v>
      </c>
      <c r="J47" s="197">
        <f>'Юнит 06-12.10'!R45</f>
        <v>0</v>
      </c>
      <c r="K47" s="198">
        <f t="shared" si="13"/>
        <v>0</v>
      </c>
      <c r="L47" s="198">
        <f t="shared" si="15"/>
        <v>0.99999999999999989</v>
      </c>
      <c r="M47" s="199" t="str">
        <f t="shared" si="17"/>
        <v>C</v>
      </c>
    </row>
    <row r="48" spans="2:13">
      <c r="C48" s="205">
        <f>SUM(C28:C47)</f>
        <v>-2080.4639190000007</v>
      </c>
      <c r="D48" s="206">
        <f>SUM(D28:D47)</f>
        <v>0.99999999999999956</v>
      </c>
      <c r="J48" s="205">
        <f>SUM(J28:J47)</f>
        <v>15</v>
      </c>
      <c r="K48" s="206">
        <f>SUM(K28:K47)</f>
        <v>0.99999999999999989</v>
      </c>
    </row>
  </sheetData>
  <sortState xmlns:xlrd2="http://schemas.microsoft.com/office/spreadsheetml/2017/richdata2" ref="I28:J47">
    <sortCondition descending="1" ref="J28:J47"/>
  </sortState>
  <mergeCells count="2">
    <mergeCell ref="B2:M2"/>
    <mergeCell ref="B26:M26"/>
  </mergeCells>
  <conditionalFormatting sqref="M4:M23 K4:K23 D4:D23 F4:G23">
    <cfRule type="cellIs" dxfId="306" priority="4" operator="equal">
      <formula>"C"</formula>
    </cfRule>
    <cfRule type="cellIs" dxfId="305" priority="5" operator="equal">
      <formula>"B"</formula>
    </cfRule>
    <cfRule type="cellIs" dxfId="304" priority="6" operator="equal">
      <formula>"A"</formula>
    </cfRule>
  </conditionalFormatting>
  <conditionalFormatting sqref="M28:M47 D28:D47 K28:K47 F28:G47">
    <cfRule type="cellIs" dxfId="303" priority="1" operator="equal">
      <formula>"C"</formula>
    </cfRule>
    <cfRule type="cellIs" dxfId="302" priority="2" operator="equal">
      <formula>"B"</formula>
    </cfRule>
    <cfRule type="cellIs" dxfId="301" priority="3" operator="equal">
      <formula>"A"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EC23-E0D6-47EB-A784-4DBC73BF5942}">
  <dimension ref="B1:Q48"/>
  <sheetViews>
    <sheetView topLeftCell="A28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'Юнит 01-05.10'!AE3</f>
        <v>2044.3325999999972</v>
      </c>
      <c r="D4" s="198">
        <f t="shared" ref="D4:D23" si="0">C4/C$24</f>
        <v>-1.7360033326656372</v>
      </c>
      <c r="E4" s="198">
        <f>D4</f>
        <v>-1.7360033326656372</v>
      </c>
      <c r="F4" s="199" t="str">
        <f t="shared" ref="F4:F10" si="1">IF(AND(E4&lt;=0),"C",IF(E4&lt;=0.8,"A",IF(E4&lt;=0.95,"B","C")))</f>
        <v>C</v>
      </c>
      <c r="G4" s="199" t="str">
        <f t="shared" ref="G4:G23" si="2">VLOOKUP(B$4:B$23,I$4:M$23,5,0)</f>
        <v>A</v>
      </c>
      <c r="I4" s="196" t="s">
        <v>25</v>
      </c>
      <c r="J4" s="197">
        <f>'Юнит 01-05.10'!R3</f>
        <v>19</v>
      </c>
      <c r="K4" s="198">
        <f t="shared" ref="K4:K23" si="3">J4/J$24</f>
        <v>0.6785714285714286</v>
      </c>
      <c r="L4" s="198">
        <f>K4</f>
        <v>0.6785714285714286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92</v>
      </c>
      <c r="C5" s="197">
        <f>'Юнит 01-05.10'!AE4</f>
        <v>1429.8200000000002</v>
      </c>
      <c r="D5" s="198">
        <f t="shared" si="0"/>
        <v>-1.2141724321727223</v>
      </c>
      <c r="E5" s="198">
        <f>D5+E4</f>
        <v>-2.9501757648383595</v>
      </c>
      <c r="F5" s="199" t="str">
        <f t="shared" si="1"/>
        <v>C</v>
      </c>
      <c r="G5" s="199" t="str">
        <f t="shared" si="2"/>
        <v>A</v>
      </c>
      <c r="I5" s="196" t="s">
        <v>92</v>
      </c>
      <c r="J5" s="197">
        <f>'Юнит 01-05.10'!R4</f>
        <v>2</v>
      </c>
      <c r="K5" s="198">
        <f t="shared" si="3"/>
        <v>7.1428571428571425E-2</v>
      </c>
      <c r="L5" s="198">
        <f>K5+L4</f>
        <v>0.75</v>
      </c>
      <c r="M5" s="199" t="str">
        <f t="shared" si="4"/>
        <v>A</v>
      </c>
    </row>
    <row r="6" spans="2:17" ht="28.5" customHeight="1" outlineLevel="1" thickBot="1">
      <c r="B6" s="196" t="s">
        <v>54</v>
      </c>
      <c r="C6" s="197">
        <f>'Юнит 01-05.10'!AE7</f>
        <v>1383.9999999999998</v>
      </c>
      <c r="D6" s="198">
        <f t="shared" si="0"/>
        <v>-1.1752630723636872</v>
      </c>
      <c r="E6" s="198">
        <f t="shared" ref="E6:E23" si="5">D6+E5</f>
        <v>-4.1254388372020472</v>
      </c>
      <c r="F6" s="199" t="str">
        <f t="shared" si="1"/>
        <v>C</v>
      </c>
      <c r="G6" s="199" t="str">
        <f t="shared" si="2"/>
        <v>B</v>
      </c>
      <c r="I6" s="196" t="s">
        <v>54</v>
      </c>
      <c r="J6" s="197">
        <f>'Юнит 01-05.10'!R7</f>
        <v>2</v>
      </c>
      <c r="K6" s="198">
        <f t="shared" si="3"/>
        <v>7.1428571428571425E-2</v>
      </c>
      <c r="L6" s="198">
        <f t="shared" ref="L6:L23" si="6">K6+L5</f>
        <v>0.8214285714285714</v>
      </c>
      <c r="M6" s="199" t="str">
        <f t="shared" si="4"/>
        <v>B</v>
      </c>
    </row>
    <row r="7" spans="2:17" ht="28.5" customHeight="1" outlineLevel="1" thickBot="1">
      <c r="B7" s="196" t="s">
        <v>225</v>
      </c>
      <c r="C7" s="197">
        <f>'Юнит 01-05.10'!AE10</f>
        <v>804.11000000000013</v>
      </c>
      <c r="D7" s="198">
        <f t="shared" si="0"/>
        <v>-0.68283294011442541</v>
      </c>
      <c r="E7" s="198">
        <f t="shared" si="5"/>
        <v>-4.8082717773164729</v>
      </c>
      <c r="F7" s="199" t="str">
        <f t="shared" si="1"/>
        <v>C</v>
      </c>
      <c r="G7" s="199" t="str">
        <f t="shared" si="2"/>
        <v>B</v>
      </c>
      <c r="I7" s="196" t="s">
        <v>222</v>
      </c>
      <c r="J7" s="197">
        <f>'Юнит 01-05.10'!R5</f>
        <v>1</v>
      </c>
      <c r="K7" s="198">
        <f t="shared" si="3"/>
        <v>3.5714285714285712E-2</v>
      </c>
      <c r="L7" s="198">
        <f t="shared" si="6"/>
        <v>0.8571428571428571</v>
      </c>
      <c r="M7" s="199" t="str">
        <f t="shared" si="4"/>
        <v>B</v>
      </c>
    </row>
    <row r="8" spans="2:17" ht="28.5" customHeight="1" outlineLevel="1" thickBot="1">
      <c r="B8" s="196" t="s">
        <v>222</v>
      </c>
      <c r="C8" s="197">
        <f>'Юнит 01-05.10'!AE5</f>
        <v>714.91000000000008</v>
      </c>
      <c r="D8" s="198">
        <f t="shared" si="0"/>
        <v>-0.60708621608636115</v>
      </c>
      <c r="E8" s="198">
        <f t="shared" si="5"/>
        <v>-5.415357993402834</v>
      </c>
      <c r="F8" s="199" t="str">
        <f t="shared" si="1"/>
        <v>C</v>
      </c>
      <c r="G8" s="199" t="str">
        <f t="shared" si="2"/>
        <v>B</v>
      </c>
      <c r="I8" s="196" t="s">
        <v>225</v>
      </c>
      <c r="J8" s="197">
        <f>'Юнит 01-05.10'!R10</f>
        <v>1</v>
      </c>
      <c r="K8" s="198">
        <f t="shared" si="3"/>
        <v>3.5714285714285712E-2</v>
      </c>
      <c r="L8" s="198">
        <f t="shared" si="6"/>
        <v>0.89285714285714279</v>
      </c>
      <c r="M8" s="199" t="str">
        <f t="shared" si="4"/>
        <v>B</v>
      </c>
    </row>
    <row r="9" spans="2:17" ht="28.5" customHeight="1" outlineLevel="1" thickBot="1">
      <c r="B9" s="196" t="s">
        <v>227</v>
      </c>
      <c r="C9" s="197">
        <f>'Юнит 01-05.10'!AE12</f>
        <v>578.31000000000017</v>
      </c>
      <c r="D9" s="198">
        <f t="shared" si="0"/>
        <v>-0.49108843018688164</v>
      </c>
      <c r="E9" s="198">
        <f t="shared" si="5"/>
        <v>-5.9064464235897152</v>
      </c>
      <c r="F9" s="199" t="str">
        <f t="shared" si="1"/>
        <v>C</v>
      </c>
      <c r="G9" s="199" t="str">
        <f t="shared" si="2"/>
        <v>B</v>
      </c>
      <c r="I9" s="196" t="s">
        <v>227</v>
      </c>
      <c r="J9" s="197">
        <f>'Юнит 01-05.10'!R12</f>
        <v>1</v>
      </c>
      <c r="K9" s="198">
        <f t="shared" si="3"/>
        <v>3.5714285714285712E-2</v>
      </c>
      <c r="L9" s="198">
        <f t="shared" si="6"/>
        <v>0.92857142857142849</v>
      </c>
      <c r="M9" s="199" t="str">
        <f t="shared" si="4"/>
        <v>B</v>
      </c>
    </row>
    <row r="10" spans="2:17" ht="28.5" customHeight="1" outlineLevel="1" thickBot="1">
      <c r="B10" s="196" t="s">
        <v>224</v>
      </c>
      <c r="C10" s="197">
        <f>'Юнит 01-05.10'!AE9</f>
        <v>0</v>
      </c>
      <c r="D10" s="198">
        <f t="shared" si="0"/>
        <v>0</v>
      </c>
      <c r="E10" s="198">
        <f t="shared" si="5"/>
        <v>-5.9064464235897152</v>
      </c>
      <c r="F10" s="199" t="str">
        <f t="shared" si="1"/>
        <v>C</v>
      </c>
      <c r="G10" s="199" t="str">
        <f t="shared" si="2"/>
        <v>C</v>
      </c>
      <c r="I10" s="196" t="s">
        <v>111</v>
      </c>
      <c r="J10" s="197">
        <f>'Юнит 01-05.10'!R18</f>
        <v>2</v>
      </c>
      <c r="K10" s="198">
        <f t="shared" si="3"/>
        <v>7.1428571428571425E-2</v>
      </c>
      <c r="L10" s="198">
        <f t="shared" si="6"/>
        <v>0.99999999999999989</v>
      </c>
      <c r="M10" s="199" t="str">
        <f t="shared" si="4"/>
        <v>C</v>
      </c>
    </row>
    <row r="11" spans="2:17" ht="15" outlineLevel="1" thickBot="1">
      <c r="B11" s="196" t="s">
        <v>226</v>
      </c>
      <c r="C11" s="197">
        <f>'Юнит 01-05.10'!AE11</f>
        <v>0</v>
      </c>
      <c r="D11" s="198">
        <f t="shared" si="0"/>
        <v>0</v>
      </c>
      <c r="E11" s="198">
        <f t="shared" si="5"/>
        <v>-5.9064464235897152</v>
      </c>
      <c r="F11" s="199" t="str">
        <f>IF(AND(E11&lt;=0),"C",IF(E11&lt;=0.8,"A",IF(E11&lt;=0.95,"B","C")))</f>
        <v>C</v>
      </c>
      <c r="G11" s="199" t="str">
        <f t="shared" si="2"/>
        <v>C</v>
      </c>
      <c r="I11" s="196" t="s">
        <v>223</v>
      </c>
      <c r="J11" s="197">
        <f>'Юнит 01-05.10'!R6</f>
        <v>0</v>
      </c>
      <c r="K11" s="198">
        <f t="shared" si="3"/>
        <v>0</v>
      </c>
      <c r="L11" s="198">
        <f t="shared" si="6"/>
        <v>0.99999999999999989</v>
      </c>
      <c r="M11" s="199" t="str">
        <f>_xlfn.IFS(L11&lt;80%,"A",L11&lt;=95%,"B",L11&gt;95%,"C")</f>
        <v>C</v>
      </c>
      <c r="P11" s="200" t="s">
        <v>301</v>
      </c>
      <c r="Q11" s="201">
        <v>0.8</v>
      </c>
    </row>
    <row r="12" spans="2:17" ht="26.5" outlineLevel="1" thickBot="1">
      <c r="B12" s="196" t="s">
        <v>228</v>
      </c>
      <c r="C12" s="197">
        <f>'Юнит 01-05.10'!AE13</f>
        <v>0</v>
      </c>
      <c r="D12" s="198">
        <f t="shared" si="0"/>
        <v>0</v>
      </c>
      <c r="E12" s="198">
        <f t="shared" si="5"/>
        <v>-5.9064464235897152</v>
      </c>
      <c r="F12" s="199" t="str">
        <f t="shared" ref="F12:F23" si="7">IF(AND(E12&lt;=0),"C",IF(E12&lt;=0.8,"A",IF(E12&lt;=0.95,"B","C")))</f>
        <v>C</v>
      </c>
      <c r="G12" s="199" t="str">
        <f t="shared" si="2"/>
        <v>C</v>
      </c>
      <c r="I12" s="196" t="s">
        <v>88</v>
      </c>
      <c r="J12" s="197">
        <f>'Юнит 01-05.10'!R8</f>
        <v>0</v>
      </c>
      <c r="K12" s="198">
        <f t="shared" si="3"/>
        <v>0</v>
      </c>
      <c r="L12" s="198">
        <f t="shared" si="6"/>
        <v>0.99999999999999989</v>
      </c>
      <c r="M12" s="199" t="str">
        <f t="shared" ref="M12:M23" si="8">_xlfn.IFS(L12&lt;80%,"A",L12&lt;=95%,"B",L12&gt;95%,"C")</f>
        <v>C</v>
      </c>
      <c r="P12" s="202" t="s">
        <v>302</v>
      </c>
      <c r="Q12" s="201">
        <v>0.15</v>
      </c>
    </row>
    <row r="13" spans="2:17" ht="15" outlineLevel="1" thickBot="1">
      <c r="B13" s="196" t="s">
        <v>230</v>
      </c>
      <c r="C13" s="197">
        <f>'Юнит 01-05.10'!AE16</f>
        <v>0</v>
      </c>
      <c r="D13" s="198">
        <f t="shared" si="0"/>
        <v>0</v>
      </c>
      <c r="E13" s="198">
        <f t="shared" si="5"/>
        <v>-5.9064464235897152</v>
      </c>
      <c r="F13" s="199" t="str">
        <f t="shared" si="7"/>
        <v>C</v>
      </c>
      <c r="G13" s="199" t="str">
        <f t="shared" si="2"/>
        <v>C</v>
      </c>
      <c r="I13" s="196" t="s">
        <v>224</v>
      </c>
      <c r="J13" s="197">
        <f>'Юнит 01-05.10'!R9</f>
        <v>0</v>
      </c>
      <c r="K13" s="198">
        <f t="shared" si="3"/>
        <v>0</v>
      </c>
      <c r="L13" s="198">
        <f t="shared" si="6"/>
        <v>0.99999999999999989</v>
      </c>
      <c r="M13" s="199" t="str">
        <f t="shared" si="8"/>
        <v>C</v>
      </c>
      <c r="P13" s="203" t="s">
        <v>303</v>
      </c>
      <c r="Q13" s="201">
        <v>0.05</v>
      </c>
    </row>
    <row r="14" spans="2:17" ht="15" outlineLevel="1" thickBot="1">
      <c r="B14" s="196" t="s">
        <v>232</v>
      </c>
      <c r="C14" s="197">
        <f>'Юнит 01-05.10'!AE19</f>
        <v>0</v>
      </c>
      <c r="D14" s="198">
        <f t="shared" si="0"/>
        <v>0</v>
      </c>
      <c r="E14" s="198">
        <f t="shared" si="5"/>
        <v>-5.9064464235897152</v>
      </c>
      <c r="F14" s="199" t="str">
        <f t="shared" si="7"/>
        <v>C</v>
      </c>
      <c r="G14" s="199" t="str">
        <f t="shared" si="2"/>
        <v>C</v>
      </c>
      <c r="I14" s="196" t="s">
        <v>226</v>
      </c>
      <c r="J14" s="197">
        <f>'Юнит 01-05.10'!R11</f>
        <v>0</v>
      </c>
      <c r="K14" s="198">
        <f t="shared" si="3"/>
        <v>0</v>
      </c>
      <c r="L14" s="198">
        <f t="shared" si="6"/>
        <v>0.99999999999999989</v>
      </c>
      <c r="M14" s="199" t="str">
        <f t="shared" si="8"/>
        <v>C</v>
      </c>
      <c r="P14" s="204"/>
      <c r="Q14" s="198"/>
    </row>
    <row r="15" spans="2:17" ht="26.5" outlineLevel="1" thickBot="1">
      <c r="B15" s="196" t="s">
        <v>233</v>
      </c>
      <c r="C15" s="197">
        <f>'Юнит 01-05.10'!AE21</f>
        <v>0</v>
      </c>
      <c r="D15" s="198">
        <f t="shared" si="0"/>
        <v>0</v>
      </c>
      <c r="E15" s="198">
        <f t="shared" si="5"/>
        <v>-5.9064464235897152</v>
      </c>
      <c r="F15" s="199" t="str">
        <f t="shared" si="7"/>
        <v>C</v>
      </c>
      <c r="G15" s="199" t="str">
        <f t="shared" si="2"/>
        <v>C</v>
      </c>
      <c r="I15" s="196" t="s">
        <v>228</v>
      </c>
      <c r="J15" s="197">
        <f>'Юнит 01-05.10'!R13</f>
        <v>0</v>
      </c>
      <c r="K15" s="198">
        <f t="shared" si="3"/>
        <v>0</v>
      </c>
      <c r="L15" s="198">
        <f t="shared" si="6"/>
        <v>0.99999999999999989</v>
      </c>
      <c r="M15" s="199" t="str">
        <f t="shared" si="8"/>
        <v>C</v>
      </c>
      <c r="P15" s="204"/>
      <c r="Q15" s="198"/>
    </row>
    <row r="16" spans="2:17" ht="15" outlineLevel="1" thickBot="1">
      <c r="B16" s="196" t="s">
        <v>223</v>
      </c>
      <c r="C16" s="197">
        <f>'Юнит 01-05.10'!AE6</f>
        <v>-92</v>
      </c>
      <c r="D16" s="198">
        <f t="shared" si="0"/>
        <v>7.8124423885447422E-2</v>
      </c>
      <c r="E16" s="198">
        <f t="shared" si="5"/>
        <v>-5.8283219997042677</v>
      </c>
      <c r="F16" s="199" t="str">
        <f t="shared" si="7"/>
        <v>C</v>
      </c>
      <c r="G16" s="199" t="str">
        <f t="shared" si="2"/>
        <v>C</v>
      </c>
      <c r="I16" s="196" t="s">
        <v>19</v>
      </c>
      <c r="J16" s="197">
        <f>'Юнит 01-05.10'!R14</f>
        <v>0</v>
      </c>
      <c r="K16" s="198">
        <f t="shared" si="3"/>
        <v>0</v>
      </c>
      <c r="L16" s="198">
        <f t="shared" si="6"/>
        <v>0.99999999999999989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88</v>
      </c>
      <c r="C17" s="197">
        <f>'Юнит 01-05.10'!AE8</f>
        <v>-92</v>
      </c>
      <c r="D17" s="198">
        <f t="shared" si="0"/>
        <v>7.8124423885447422E-2</v>
      </c>
      <c r="E17" s="198">
        <f t="shared" si="5"/>
        <v>-5.7501975758188202</v>
      </c>
      <c r="F17" s="199" t="str">
        <f t="shared" si="7"/>
        <v>C</v>
      </c>
      <c r="G17" s="199" t="str">
        <f t="shared" si="2"/>
        <v>C</v>
      </c>
      <c r="I17" s="196" t="s">
        <v>229</v>
      </c>
      <c r="J17" s="197">
        <f>'Юнит 01-05.10'!R15</f>
        <v>0</v>
      </c>
      <c r="K17" s="198">
        <f t="shared" si="3"/>
        <v>0</v>
      </c>
      <c r="L17" s="198">
        <f t="shared" si="6"/>
        <v>0.99999999999999989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234</v>
      </c>
      <c r="C18" s="197">
        <f>'Юнит 01-05.10'!AE22</f>
        <v>-139.62566899999999</v>
      </c>
      <c r="D18" s="198">
        <f t="shared" si="0"/>
        <v>0.11856711902440407</v>
      </c>
      <c r="E18" s="198">
        <f t="shared" si="5"/>
        <v>-5.631630456794416</v>
      </c>
      <c r="F18" s="199" t="str">
        <f t="shared" si="7"/>
        <v>C</v>
      </c>
      <c r="G18" s="199" t="str">
        <f t="shared" si="2"/>
        <v>C</v>
      </c>
      <c r="I18" s="196" t="s">
        <v>230</v>
      </c>
      <c r="J18" s="197">
        <f>'Юнит 01-05.10'!R16</f>
        <v>0</v>
      </c>
      <c r="K18" s="198">
        <f t="shared" si="3"/>
        <v>0</v>
      </c>
      <c r="L18" s="198">
        <f t="shared" si="6"/>
        <v>0.99999999999999989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136</v>
      </c>
      <c r="C19" s="197">
        <f>'Юнит 01-05.10'!AE20</f>
        <v>-152.31268600000001</v>
      </c>
      <c r="D19" s="198">
        <f t="shared" si="0"/>
        <v>0.12934066134994623</v>
      </c>
      <c r="E19" s="198">
        <f t="shared" si="5"/>
        <v>-5.5022897954444696</v>
      </c>
      <c r="F19" s="199" t="str">
        <f t="shared" si="7"/>
        <v>C</v>
      </c>
      <c r="G19" s="199" t="str">
        <f t="shared" si="2"/>
        <v>C</v>
      </c>
      <c r="I19" s="196" t="s">
        <v>231</v>
      </c>
      <c r="J19" s="197">
        <f>'Юнит 01-05.10'!R17</f>
        <v>0</v>
      </c>
      <c r="K19" s="198">
        <f t="shared" si="3"/>
        <v>0</v>
      </c>
      <c r="L19" s="198">
        <f t="shared" si="6"/>
        <v>0.99999999999999989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111</v>
      </c>
      <c r="C20" s="197">
        <f>'Юнит 01-05.10'!AE18</f>
        <v>-2261.69</v>
      </c>
      <c r="D20" s="198">
        <f t="shared" si="0"/>
        <v>1.9205785680160607</v>
      </c>
      <c r="E20" s="198">
        <f t="shared" si="5"/>
        <v>-3.5817112274284089</v>
      </c>
      <c r="F20" s="199" t="str">
        <f t="shared" si="7"/>
        <v>C</v>
      </c>
      <c r="G20" s="199" t="str">
        <f t="shared" si="2"/>
        <v>C</v>
      </c>
      <c r="I20" s="196" t="s">
        <v>232</v>
      </c>
      <c r="J20" s="197">
        <f>'Юнит 01-05.10'!R19</f>
        <v>0</v>
      </c>
      <c r="K20" s="198">
        <f t="shared" si="3"/>
        <v>0</v>
      </c>
      <c r="L20" s="198">
        <f t="shared" si="6"/>
        <v>0.99999999999999989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229</v>
      </c>
      <c r="C21" s="197">
        <f>'Юнит 01-05.10'!AE15</f>
        <v>-1042.435035</v>
      </c>
      <c r="D21" s="198">
        <f t="shared" si="0"/>
        <v>0.8852134407324046</v>
      </c>
      <c r="E21" s="198">
        <f t="shared" si="5"/>
        <v>-2.6964977866960043</v>
      </c>
      <c r="F21" s="199" t="str">
        <f t="shared" si="7"/>
        <v>C</v>
      </c>
      <c r="G21" s="199" t="str">
        <f t="shared" si="2"/>
        <v>C</v>
      </c>
      <c r="I21" s="196" t="s">
        <v>136</v>
      </c>
      <c r="J21" s="197">
        <f>'Юнит 01-05.10'!R20</f>
        <v>0</v>
      </c>
      <c r="K21" s="198">
        <f t="shared" si="3"/>
        <v>0</v>
      </c>
      <c r="L21" s="198">
        <f t="shared" si="6"/>
        <v>0.99999999999999989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19</v>
      </c>
      <c r="C22" s="197">
        <f>'Юнит 01-05.10'!AE14</f>
        <v>-1678.763105</v>
      </c>
      <c r="D22" s="198">
        <f t="shared" si="0"/>
        <v>1.4255695697638031</v>
      </c>
      <c r="E22" s="198">
        <f t="shared" si="5"/>
        <v>-1.2709282169322011</v>
      </c>
      <c r="F22" s="199" t="str">
        <f t="shared" si="7"/>
        <v>C</v>
      </c>
      <c r="G22" s="199" t="str">
        <f t="shared" si="2"/>
        <v>C</v>
      </c>
      <c r="I22" s="196" t="s">
        <v>233</v>
      </c>
      <c r="J22" s="197">
        <f>'Юнит 01-05.10'!R21</f>
        <v>0</v>
      </c>
      <c r="K22" s="198">
        <f t="shared" si="3"/>
        <v>0</v>
      </c>
      <c r="L22" s="198">
        <f t="shared" si="6"/>
        <v>0.99999999999999989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231</v>
      </c>
      <c r="C23" s="197">
        <f>'Юнит 01-05.10'!AE17</f>
        <v>-2674.2647889999998</v>
      </c>
      <c r="D23" s="198">
        <f t="shared" si="0"/>
        <v>2.270928216932202</v>
      </c>
      <c r="E23" s="198">
        <f t="shared" si="5"/>
        <v>1.0000000000000009</v>
      </c>
      <c r="F23" s="199" t="str">
        <f t="shared" si="7"/>
        <v>C</v>
      </c>
      <c r="G23" s="199" t="str">
        <f t="shared" si="2"/>
        <v>C</v>
      </c>
      <c r="I23" s="196" t="s">
        <v>234</v>
      </c>
      <c r="J23" s="197">
        <f>'Юнит 01-05.10'!R22</f>
        <v>0</v>
      </c>
      <c r="K23" s="198">
        <f t="shared" si="3"/>
        <v>0</v>
      </c>
      <c r="L23" s="198">
        <f t="shared" si="6"/>
        <v>0.99999999999999989</v>
      </c>
      <c r="M23" s="199" t="str">
        <f t="shared" si="8"/>
        <v>C</v>
      </c>
      <c r="P23" s="204"/>
      <c r="Q23" s="198"/>
    </row>
    <row r="24" spans="2:17" outlineLevel="1">
      <c r="C24" s="205">
        <f>SUM(C4:C23)</f>
        <v>-1177.6086840000012</v>
      </c>
      <c r="D24" s="206">
        <f>SUM(D4:D23)</f>
        <v>1.0000000000000009</v>
      </c>
      <c r="J24" s="205">
        <f>SUM(J4:J23)</f>
        <v>28</v>
      </c>
      <c r="K24" s="206">
        <f>SUM(K4:K23)</f>
        <v>0.99999999999999989</v>
      </c>
    </row>
    <row r="25" spans="2:17" ht="15" thickBot="1"/>
    <row r="26" spans="2:17" ht="15" thickBot="1">
      <c r="B26" s="516" t="s">
        <v>304</v>
      </c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8"/>
    </row>
    <row r="27" spans="2:17" ht="23.5" thickBot="1">
      <c r="C27" s="192" t="s">
        <v>212</v>
      </c>
      <c r="D27" s="193" t="s">
        <v>295</v>
      </c>
      <c r="E27" s="194" t="s">
        <v>296</v>
      </c>
      <c r="F27" s="193" t="s">
        <v>297</v>
      </c>
      <c r="G27" s="193" t="s">
        <v>298</v>
      </c>
      <c r="J27" s="192" t="s">
        <v>299</v>
      </c>
      <c r="K27" s="193" t="s">
        <v>300</v>
      </c>
      <c r="L27" s="194" t="s">
        <v>296</v>
      </c>
      <c r="M27" s="195" t="s">
        <v>298</v>
      </c>
    </row>
    <row r="28" spans="2:17" ht="26.5" thickBot="1">
      <c r="B28" s="196" t="s">
        <v>51</v>
      </c>
      <c r="C28" s="197">
        <f>'Юнит 01-05.10'!AE42</f>
        <v>4091.6491069999997</v>
      </c>
      <c r="D28" s="198">
        <f>C28/C$48</f>
        <v>0.85172680004241708</v>
      </c>
      <c r="E28" s="198">
        <f>D28</f>
        <v>0.85172680004241708</v>
      </c>
      <c r="F28" s="199" t="str">
        <f t="shared" ref="F28:F34" si="9">IF(AND(E28&lt;=0),"C",IF(E28&lt;=0.8,"A",IF(E28&lt;=0.95,"B","C")))</f>
        <v>B</v>
      </c>
      <c r="G28" s="199" t="str">
        <f>VLOOKUP(B$28:B$48,I$28:M$48,5,0)</f>
        <v>A</v>
      </c>
      <c r="I28" s="196" t="s">
        <v>51</v>
      </c>
      <c r="J28" s="197">
        <f>'Юнит 01-05.10'!R42</f>
        <v>7</v>
      </c>
      <c r="K28" s="198">
        <f>J28/J$48</f>
        <v>0.5</v>
      </c>
      <c r="L28" s="198">
        <f>K28</f>
        <v>0.5</v>
      </c>
      <c r="M28" s="199" t="str">
        <f t="shared" ref="M28:M34" si="10">_xlfn.IFS(L28&lt;80%,"A",L28&lt;=95%,"B",L28&gt;95%,"C")</f>
        <v>A</v>
      </c>
    </row>
    <row r="29" spans="2:17" ht="26.5" thickBot="1">
      <c r="B29" s="196" t="s">
        <v>70</v>
      </c>
      <c r="C29" s="197">
        <f>'Юнит 01-05.10'!AE43</f>
        <v>2404.5840109999995</v>
      </c>
      <c r="D29" s="198">
        <f t="shared" ref="D29:D47" si="11">C29/C$48</f>
        <v>0.50054356851333726</v>
      </c>
      <c r="E29" s="198">
        <f>D29+E28</f>
        <v>1.3522703685557542</v>
      </c>
      <c r="F29" s="199" t="str">
        <f t="shared" si="9"/>
        <v>C</v>
      </c>
      <c r="G29" s="199" t="str">
        <f t="shared" ref="G29:G47" si="12">VLOOKUP(B$28:B$48,I$28:M$48,5,0)</f>
        <v>A</v>
      </c>
      <c r="I29" s="196" t="s">
        <v>70</v>
      </c>
      <c r="J29" s="197">
        <f>'Юнит 01-05.10'!R43</f>
        <v>3</v>
      </c>
      <c r="K29" s="198">
        <f t="shared" ref="K29:K47" si="13">J29/J$48</f>
        <v>0.21428571428571427</v>
      </c>
      <c r="L29" s="198">
        <f>K29+L28</f>
        <v>0.7142857142857143</v>
      </c>
      <c r="M29" s="199" t="str">
        <f t="shared" si="10"/>
        <v>A</v>
      </c>
    </row>
    <row r="30" spans="2:17" ht="15" thickBot="1">
      <c r="B30" s="196" t="s">
        <v>66</v>
      </c>
      <c r="C30" s="197">
        <f>'Юнит 01-05.10'!AE44</f>
        <v>551.21188200000006</v>
      </c>
      <c r="D30" s="198">
        <f t="shared" si="11"/>
        <v>0.11474149422980284</v>
      </c>
      <c r="E30" s="198">
        <f t="shared" ref="E30:E47" si="14">D30+E29</f>
        <v>1.4670118627855571</v>
      </c>
      <c r="F30" s="199" t="str">
        <f t="shared" si="9"/>
        <v>C</v>
      </c>
      <c r="G30" s="199" t="str">
        <f t="shared" si="12"/>
        <v>B</v>
      </c>
      <c r="I30" s="196" t="s">
        <v>66</v>
      </c>
      <c r="J30" s="197">
        <f>'Юнит 01-05.10'!R44</f>
        <v>2</v>
      </c>
      <c r="K30" s="198">
        <f t="shared" si="13"/>
        <v>0.14285714285714285</v>
      </c>
      <c r="L30" s="198">
        <f t="shared" ref="L30:L47" si="15">K30+L29</f>
        <v>0.85714285714285721</v>
      </c>
      <c r="M30" s="199" t="str">
        <f t="shared" si="10"/>
        <v>B</v>
      </c>
    </row>
    <row r="31" spans="2:17" ht="26.5" thickBot="1">
      <c r="B31" s="196" t="s">
        <v>239</v>
      </c>
      <c r="C31" s="197">
        <f>'Юнит 01-05.10'!AE36</f>
        <v>842.77136400000006</v>
      </c>
      <c r="D31" s="198">
        <f t="shared" si="11"/>
        <v>0.175433166006115</v>
      </c>
      <c r="E31" s="198">
        <f t="shared" si="14"/>
        <v>1.6424450287916721</v>
      </c>
      <c r="F31" s="199" t="str">
        <f t="shared" si="9"/>
        <v>C</v>
      </c>
      <c r="G31" s="199" t="str">
        <f t="shared" si="12"/>
        <v>C</v>
      </c>
      <c r="I31" s="196" t="s">
        <v>98</v>
      </c>
      <c r="J31" s="197">
        <f>'Юнит 01-05.10'!R26</f>
        <v>1</v>
      </c>
      <c r="K31" s="198">
        <f t="shared" si="13"/>
        <v>7.1428571428571425E-2</v>
      </c>
      <c r="L31" s="198">
        <f t="shared" si="15"/>
        <v>0.9285714285714286</v>
      </c>
      <c r="M31" s="199" t="str">
        <f t="shared" si="10"/>
        <v>B</v>
      </c>
    </row>
    <row r="32" spans="2:17" ht="26.5" thickBot="1">
      <c r="B32" s="196" t="s">
        <v>98</v>
      </c>
      <c r="C32" s="197">
        <f>'Юнит 01-05.10'!AE26</f>
        <v>745.43760500000019</v>
      </c>
      <c r="D32" s="198">
        <f t="shared" si="11"/>
        <v>0.15517195373663148</v>
      </c>
      <c r="E32" s="198">
        <f t="shared" si="14"/>
        <v>1.7976169825283035</v>
      </c>
      <c r="F32" s="199" t="str">
        <f t="shared" si="9"/>
        <v>C</v>
      </c>
      <c r="G32" s="199" t="str">
        <f t="shared" si="12"/>
        <v>B</v>
      </c>
      <c r="I32" s="196" t="s">
        <v>239</v>
      </c>
      <c r="J32" s="197">
        <f>'Юнит 01-05.10'!R36</f>
        <v>1</v>
      </c>
      <c r="K32" s="198">
        <f t="shared" si="13"/>
        <v>7.1428571428571425E-2</v>
      </c>
      <c r="L32" s="198">
        <f t="shared" si="15"/>
        <v>1</v>
      </c>
      <c r="M32" s="199" t="str">
        <f t="shared" si="10"/>
        <v>C</v>
      </c>
    </row>
    <row r="33" spans="2:13" ht="26.5" thickBot="1">
      <c r="B33" s="196" t="s">
        <v>235</v>
      </c>
      <c r="C33" s="197">
        <f>'Юнит 01-05.10'!AE28</f>
        <v>0</v>
      </c>
      <c r="D33" s="198">
        <f t="shared" si="11"/>
        <v>0</v>
      </c>
      <c r="E33" s="198">
        <f t="shared" si="14"/>
        <v>1.7976169825283035</v>
      </c>
      <c r="F33" s="199" t="str">
        <f t="shared" si="9"/>
        <v>C</v>
      </c>
      <c r="G33" s="199" t="str">
        <f t="shared" si="12"/>
        <v>C</v>
      </c>
      <c r="I33" s="196" t="s">
        <v>43</v>
      </c>
      <c r="J33" s="197">
        <f>'Юнит 01-05.10'!R27</f>
        <v>0</v>
      </c>
      <c r="K33" s="198">
        <f t="shared" si="13"/>
        <v>0</v>
      </c>
      <c r="L33" s="198">
        <f t="shared" si="15"/>
        <v>1</v>
      </c>
      <c r="M33" s="199" t="str">
        <f t="shared" si="10"/>
        <v>C</v>
      </c>
    </row>
    <row r="34" spans="2:13" ht="26.5" thickBot="1">
      <c r="B34" s="196" t="s">
        <v>39</v>
      </c>
      <c r="C34" s="197">
        <f>'Юнит 01-05.10'!AE30</f>
        <v>0</v>
      </c>
      <c r="D34" s="198">
        <f t="shared" si="11"/>
        <v>0</v>
      </c>
      <c r="E34" s="198">
        <f t="shared" si="14"/>
        <v>1.7976169825283035</v>
      </c>
      <c r="F34" s="199" t="str">
        <f t="shared" si="9"/>
        <v>C</v>
      </c>
      <c r="G34" s="199" t="str">
        <f t="shared" si="12"/>
        <v>C</v>
      </c>
      <c r="I34" s="196" t="s">
        <v>235</v>
      </c>
      <c r="J34" s="197">
        <f>'Юнит 01-05.10'!R28</f>
        <v>0</v>
      </c>
      <c r="K34" s="198">
        <f t="shared" si="13"/>
        <v>0</v>
      </c>
      <c r="L34" s="198">
        <f t="shared" si="15"/>
        <v>1</v>
      </c>
      <c r="M34" s="199" t="str">
        <f t="shared" si="10"/>
        <v>C</v>
      </c>
    </row>
    <row r="35" spans="2:13" ht="15" thickBot="1">
      <c r="B35" s="196" t="s">
        <v>236</v>
      </c>
      <c r="C35" s="197">
        <f>'Юнит 01-05.10'!AE31</f>
        <v>0</v>
      </c>
      <c r="D35" s="198">
        <f t="shared" si="11"/>
        <v>0</v>
      </c>
      <c r="E35" s="198">
        <f t="shared" si="14"/>
        <v>1.7976169825283035</v>
      </c>
      <c r="F35" s="199" t="str">
        <f>IF(AND(E35&lt;=0),"C",IF(E35&lt;=0.8,"A",IF(E35&lt;=0.95,"B","C")))</f>
        <v>C</v>
      </c>
      <c r="G35" s="199" t="str">
        <f t="shared" si="12"/>
        <v>C</v>
      </c>
      <c r="I35" s="196" t="s">
        <v>171</v>
      </c>
      <c r="J35" s="197">
        <f>'Юнит 01-05.10'!R29</f>
        <v>0</v>
      </c>
      <c r="K35" s="198">
        <f t="shared" si="13"/>
        <v>0</v>
      </c>
      <c r="L35" s="198">
        <f t="shared" si="15"/>
        <v>1</v>
      </c>
      <c r="M35" s="199" t="str">
        <f>_xlfn.IFS(L35&lt;80%,"A",L35&lt;=95%,"B",L35&gt;95%,"C")</f>
        <v>C</v>
      </c>
    </row>
    <row r="36" spans="2:13" ht="15" thickBot="1">
      <c r="B36" s="196" t="s">
        <v>237</v>
      </c>
      <c r="C36" s="197">
        <f>'Юнит 01-05.10'!AE32</f>
        <v>0</v>
      </c>
      <c r="D36" s="198">
        <f t="shared" si="11"/>
        <v>0</v>
      </c>
      <c r="E36" s="198">
        <f t="shared" si="14"/>
        <v>1.7976169825283035</v>
      </c>
      <c r="F36" s="199" t="str">
        <f t="shared" ref="F36:F47" si="16">IF(AND(E36&lt;=0),"C",IF(E36&lt;=0.8,"A",IF(E36&lt;=0.95,"B","C")))</f>
        <v>C</v>
      </c>
      <c r="G36" s="199" t="str">
        <f t="shared" si="12"/>
        <v>C</v>
      </c>
      <c r="I36" s="196" t="s">
        <v>39</v>
      </c>
      <c r="J36" s="197">
        <f>'Юнит 01-05.10'!R30</f>
        <v>0</v>
      </c>
      <c r="K36" s="198">
        <f t="shared" si="13"/>
        <v>0</v>
      </c>
      <c r="L36" s="198">
        <f t="shared" si="15"/>
        <v>1</v>
      </c>
      <c r="M36" s="199" t="str">
        <f t="shared" ref="M36:M47" si="17">_xlfn.IFS(L36&lt;80%,"A",L36&lt;=95%,"B",L36&gt;95%,"C")</f>
        <v>C</v>
      </c>
    </row>
    <row r="37" spans="2:13" ht="15" thickBot="1">
      <c r="B37" s="196" t="s">
        <v>142</v>
      </c>
      <c r="C37" s="197">
        <f>'Юнит 01-05.10'!AE33</f>
        <v>0</v>
      </c>
      <c r="D37" s="198">
        <f t="shared" si="11"/>
        <v>0</v>
      </c>
      <c r="E37" s="198">
        <f t="shared" si="14"/>
        <v>1.7976169825283035</v>
      </c>
      <c r="F37" s="199" t="str">
        <f t="shared" si="16"/>
        <v>C</v>
      </c>
      <c r="G37" s="199" t="str">
        <f t="shared" si="12"/>
        <v>C</v>
      </c>
      <c r="I37" s="196" t="s">
        <v>236</v>
      </c>
      <c r="J37" s="197">
        <f>'Юнит 01-05.10'!R31</f>
        <v>0</v>
      </c>
      <c r="K37" s="198">
        <f t="shared" si="13"/>
        <v>0</v>
      </c>
      <c r="L37" s="198">
        <f t="shared" si="15"/>
        <v>1</v>
      </c>
      <c r="M37" s="199" t="str">
        <f t="shared" si="17"/>
        <v>C</v>
      </c>
    </row>
    <row r="38" spans="2:13" ht="15" thickBot="1">
      <c r="B38" s="196" t="s">
        <v>238</v>
      </c>
      <c r="C38" s="197">
        <f>'Юнит 01-05.10'!AE34</f>
        <v>0</v>
      </c>
      <c r="D38" s="198">
        <f t="shared" si="11"/>
        <v>0</v>
      </c>
      <c r="E38" s="198">
        <f t="shared" si="14"/>
        <v>1.7976169825283035</v>
      </c>
      <c r="F38" s="199" t="str">
        <f t="shared" si="16"/>
        <v>C</v>
      </c>
      <c r="G38" s="199" t="str">
        <f t="shared" si="12"/>
        <v>C</v>
      </c>
      <c r="I38" s="196" t="s">
        <v>237</v>
      </c>
      <c r="J38" s="197">
        <f>'Юнит 01-05.10'!R32</f>
        <v>0</v>
      </c>
      <c r="K38" s="198">
        <f t="shared" si="13"/>
        <v>0</v>
      </c>
      <c r="L38" s="198">
        <f t="shared" si="15"/>
        <v>1</v>
      </c>
      <c r="M38" s="199" t="str">
        <f t="shared" si="17"/>
        <v>C</v>
      </c>
    </row>
    <row r="39" spans="2:13" ht="26.5" thickBot="1">
      <c r="B39" s="196" t="s">
        <v>240</v>
      </c>
      <c r="C39" s="197">
        <f>'Юнит 01-05.10'!AE37</f>
        <v>0</v>
      </c>
      <c r="D39" s="198">
        <f t="shared" si="11"/>
        <v>0</v>
      </c>
      <c r="E39" s="198">
        <f t="shared" si="14"/>
        <v>1.7976169825283035</v>
      </c>
      <c r="F39" s="199" t="str">
        <f t="shared" si="16"/>
        <v>C</v>
      </c>
      <c r="G39" s="199" t="str">
        <f t="shared" si="12"/>
        <v>C</v>
      </c>
      <c r="I39" s="196" t="s">
        <v>142</v>
      </c>
      <c r="J39" s="197">
        <f>'Юнит 01-05.10'!R33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15" thickBot="1">
      <c r="B40" s="196" t="s">
        <v>241</v>
      </c>
      <c r="C40" s="197">
        <f>'Юнит 01-05.10'!AE38</f>
        <v>0</v>
      </c>
      <c r="D40" s="198">
        <f t="shared" si="11"/>
        <v>0</v>
      </c>
      <c r="E40" s="198">
        <f t="shared" si="14"/>
        <v>1.7976169825283035</v>
      </c>
      <c r="F40" s="199" t="str">
        <f t="shared" si="16"/>
        <v>C</v>
      </c>
      <c r="G40" s="199" t="str">
        <f t="shared" si="12"/>
        <v>C</v>
      </c>
      <c r="I40" s="196" t="s">
        <v>238</v>
      </c>
      <c r="J40" s="197">
        <f>'Юнит 01-05.10'!R34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26.5" thickBot="1">
      <c r="B41" s="196" t="s">
        <v>242</v>
      </c>
      <c r="C41" s="197">
        <f>'Юнит 01-05.10'!AE39</f>
        <v>0</v>
      </c>
      <c r="D41" s="198">
        <f t="shared" si="11"/>
        <v>0</v>
      </c>
      <c r="E41" s="198">
        <f t="shared" si="14"/>
        <v>1.7976169825283035</v>
      </c>
      <c r="F41" s="199" t="str">
        <f t="shared" si="16"/>
        <v>C</v>
      </c>
      <c r="G41" s="199" t="str">
        <f t="shared" si="12"/>
        <v>C</v>
      </c>
      <c r="I41" s="196" t="s">
        <v>62</v>
      </c>
      <c r="J41" s="197">
        <f>'Юнит 01-05.10'!R35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26.5" thickBot="1">
      <c r="B42" s="196" t="s">
        <v>243</v>
      </c>
      <c r="C42" s="197">
        <f>'Юнит 01-05.10'!AE40</f>
        <v>0</v>
      </c>
      <c r="D42" s="198">
        <f t="shared" si="11"/>
        <v>0</v>
      </c>
      <c r="E42" s="198">
        <f t="shared" si="14"/>
        <v>1.7976169825283035</v>
      </c>
      <c r="F42" s="199" t="str">
        <f t="shared" si="16"/>
        <v>C</v>
      </c>
      <c r="G42" s="199" t="str">
        <f t="shared" si="12"/>
        <v>C</v>
      </c>
      <c r="I42" s="196" t="s">
        <v>240</v>
      </c>
      <c r="J42" s="197">
        <f>'Юнит 01-05.10'!R37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26.5" thickBot="1">
      <c r="B43" s="196" t="s">
        <v>244</v>
      </c>
      <c r="C43" s="197">
        <f>'Юнит 01-05.10'!AE41</f>
        <v>0</v>
      </c>
      <c r="D43" s="198">
        <f t="shared" si="11"/>
        <v>0</v>
      </c>
      <c r="E43" s="198">
        <f t="shared" si="14"/>
        <v>1.7976169825283035</v>
      </c>
      <c r="F43" s="199" t="str">
        <f t="shared" si="16"/>
        <v>C</v>
      </c>
      <c r="G43" s="199" t="str">
        <f t="shared" si="12"/>
        <v>C</v>
      </c>
      <c r="I43" s="196" t="s">
        <v>241</v>
      </c>
      <c r="J43" s="197">
        <f>'Юнит 01-05.10'!R38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245</v>
      </c>
      <c r="C44" s="197">
        <f>'Юнит 01-05.10'!AE45</f>
        <v>0</v>
      </c>
      <c r="D44" s="198">
        <f t="shared" si="11"/>
        <v>0</v>
      </c>
      <c r="E44" s="198">
        <f t="shared" si="14"/>
        <v>1.7976169825283035</v>
      </c>
      <c r="F44" s="199" t="str">
        <f t="shared" si="16"/>
        <v>C</v>
      </c>
      <c r="G44" s="199" t="str">
        <f t="shared" si="12"/>
        <v>C</v>
      </c>
      <c r="I44" s="196" t="s">
        <v>242</v>
      </c>
      <c r="J44" s="197">
        <f>'Юнит 01-05.10'!R39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171</v>
      </c>
      <c r="C45" s="197">
        <f>'Юнит 01-05.10'!AE29</f>
        <v>-112</v>
      </c>
      <c r="D45" s="198">
        <f t="shared" si="11"/>
        <v>-2.3314169692985533E-2</v>
      </c>
      <c r="E45" s="198">
        <f t="shared" si="14"/>
        <v>1.774302812835318</v>
      </c>
      <c r="F45" s="199" t="str">
        <f t="shared" si="16"/>
        <v>C</v>
      </c>
      <c r="G45" s="199" t="str">
        <f t="shared" si="12"/>
        <v>C</v>
      </c>
      <c r="I45" s="196" t="s">
        <v>243</v>
      </c>
      <c r="J45" s="197">
        <f>'Юнит 01-05.10'!R40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43</v>
      </c>
      <c r="C46" s="197">
        <f>'Юнит 01-05.10'!AE27</f>
        <v>-1730.0998119999999</v>
      </c>
      <c r="D46" s="198">
        <f t="shared" si="11"/>
        <v>-0.36014143395330683</v>
      </c>
      <c r="E46" s="198">
        <f t="shared" si="14"/>
        <v>1.4141613788820111</v>
      </c>
      <c r="F46" s="199" t="str">
        <f t="shared" si="16"/>
        <v>C</v>
      </c>
      <c r="G46" s="199" t="str">
        <f t="shared" si="12"/>
        <v>C</v>
      </c>
      <c r="I46" s="196" t="s">
        <v>244</v>
      </c>
      <c r="J46" s="197">
        <f>'Юнит 01-05.10'!R41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62</v>
      </c>
      <c r="C47" s="197">
        <f>'Юнит 01-05.10'!AE35</f>
        <v>-1989.608682</v>
      </c>
      <c r="D47" s="198">
        <f t="shared" si="11"/>
        <v>-0.41416137888201154</v>
      </c>
      <c r="E47" s="198">
        <f t="shared" si="14"/>
        <v>0.99999999999999956</v>
      </c>
      <c r="F47" s="199" t="str">
        <f t="shared" si="16"/>
        <v>C</v>
      </c>
      <c r="G47" s="199" t="str">
        <f t="shared" si="12"/>
        <v>C</v>
      </c>
      <c r="I47" s="196" t="s">
        <v>245</v>
      </c>
      <c r="J47" s="197">
        <f>'Юнит 01-05.10'!R45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>
      <c r="C48" s="205">
        <f>SUM(C28:C47)</f>
        <v>4803.9454750000004</v>
      </c>
      <c r="D48" s="206">
        <f>SUM(D28:D47)</f>
        <v>0.99999999999999956</v>
      </c>
      <c r="J48" s="205">
        <f>SUM(J28:J47)</f>
        <v>14</v>
      </c>
      <c r="K48" s="206">
        <f>SUM(K28:K47)</f>
        <v>1</v>
      </c>
    </row>
  </sheetData>
  <sortState xmlns:xlrd2="http://schemas.microsoft.com/office/spreadsheetml/2017/richdata2" ref="I4:J23">
    <sortCondition descending="1" ref="J4:J23"/>
  </sortState>
  <mergeCells count="2">
    <mergeCell ref="B2:M2"/>
    <mergeCell ref="B26:M26"/>
  </mergeCells>
  <conditionalFormatting sqref="M4:M23 K4:K23 D4:D23 F4:G23">
    <cfRule type="cellIs" dxfId="300" priority="4" operator="equal">
      <formula>"C"</formula>
    </cfRule>
    <cfRule type="cellIs" dxfId="299" priority="5" operator="equal">
      <formula>"B"</formula>
    </cfRule>
    <cfRule type="cellIs" dxfId="298" priority="6" operator="equal">
      <formula>"A"</formula>
    </cfRule>
  </conditionalFormatting>
  <conditionalFormatting sqref="M28:M47 D28:D47 K28:K47 F28:G47">
    <cfRule type="cellIs" dxfId="297" priority="1" operator="equal">
      <formula>"C"</formula>
    </cfRule>
    <cfRule type="cellIs" dxfId="296" priority="2" operator="equal">
      <formula>"B"</formula>
    </cfRule>
    <cfRule type="cellIs" dxfId="295" priority="3" operator="equal">
      <formula>"A"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ECEF-2006-4CFE-BC0F-6D36EA429C5E}">
  <dimension ref="B1:Q48"/>
  <sheetViews>
    <sheetView workbookViewId="0">
      <selection activeCell="D22" sqref="D2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7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7" ht="28.5" customHeight="1" outlineLevel="1" thickBot="1">
      <c r="B4" s="196" t="s">
        <v>25</v>
      </c>
      <c r="C4" s="197">
        <f>СЕНТЯБРЬ!AE3</f>
        <v>16227.518950999949</v>
      </c>
      <c r="D4" s="198">
        <f t="shared" ref="D4:D23" si="0">C4/C$24</f>
        <v>3.4460094854558645</v>
      </c>
      <c r="E4" s="198">
        <f>D4</f>
        <v>3.4460094854558645</v>
      </c>
      <c r="F4" s="199" t="str">
        <f t="shared" ref="F4:F10" si="1">IF(AND(E4&lt;=0),"C",IF(E4&lt;=0.8,"A",IF(E4&lt;=0.95,"B","C")))</f>
        <v>C</v>
      </c>
      <c r="G4" s="199" t="str">
        <f t="shared" ref="G4:G23" si="2">VLOOKUP(B$4:B$23,I$4:M$23,5,0)</f>
        <v>A</v>
      </c>
      <c r="I4" s="196" t="s">
        <v>25</v>
      </c>
      <c r="J4" s="197">
        <f>СЕНТЯБРЬ!R3</f>
        <v>67</v>
      </c>
      <c r="K4" s="198">
        <f t="shared" ref="K4:K23" si="3">J4/J$24</f>
        <v>0.59292035398230092</v>
      </c>
      <c r="L4" s="198">
        <f>K4</f>
        <v>0.59292035398230092</v>
      </c>
      <c r="M4" s="199" t="str">
        <f t="shared" ref="M4:M10" si="4">_xlfn.IFS(L4&lt;80%,"A",L4&lt;=95%,"B",L4&gt;95%,"C")</f>
        <v>A</v>
      </c>
    </row>
    <row r="5" spans="2:17" ht="28.5" customHeight="1" outlineLevel="1" thickBot="1">
      <c r="B5" s="196" t="s">
        <v>54</v>
      </c>
      <c r="C5" s="197">
        <f>СЕНТЯБРЬ!AE7</f>
        <v>2690.9841700000006</v>
      </c>
      <c r="D5" s="198">
        <f t="shared" si="0"/>
        <v>0.57144638086897204</v>
      </c>
      <c r="E5" s="198">
        <f>D5+E4</f>
        <v>4.0174558663248368</v>
      </c>
      <c r="F5" s="199" t="str">
        <f t="shared" si="1"/>
        <v>C</v>
      </c>
      <c r="G5" s="199" t="str">
        <f t="shared" si="2"/>
        <v>A</v>
      </c>
      <c r="I5" s="196" t="s">
        <v>92</v>
      </c>
      <c r="J5" s="197">
        <f>СЕНТЯБРЬ!R4</f>
        <v>7</v>
      </c>
      <c r="K5" s="198">
        <f t="shared" si="3"/>
        <v>6.1946902654867256E-2</v>
      </c>
      <c r="L5" s="198">
        <f>K5+L4</f>
        <v>0.65486725663716816</v>
      </c>
      <c r="M5" s="199" t="str">
        <f t="shared" si="4"/>
        <v>A</v>
      </c>
    </row>
    <row r="6" spans="2:17" ht="28.5" customHeight="1" outlineLevel="1" thickBot="1">
      <c r="B6" s="196" t="s">
        <v>226</v>
      </c>
      <c r="C6" s="197">
        <f>СЕНТЯБРЬ!AE11</f>
        <v>2294.5300000000002</v>
      </c>
      <c r="D6" s="198">
        <f t="shared" si="0"/>
        <v>0.48725699649704085</v>
      </c>
      <c r="E6" s="198">
        <f t="shared" ref="E6:E23" si="5">D6+E5</f>
        <v>4.5047128628218776</v>
      </c>
      <c r="F6" s="199" t="str">
        <f t="shared" si="1"/>
        <v>C</v>
      </c>
      <c r="G6" s="199" t="str">
        <f t="shared" si="2"/>
        <v>B</v>
      </c>
      <c r="I6" s="196" t="s">
        <v>19</v>
      </c>
      <c r="J6" s="197">
        <f>СЕНТЯБРЬ!R14</f>
        <v>6</v>
      </c>
      <c r="K6" s="198">
        <f t="shared" si="3"/>
        <v>5.3097345132743362E-2</v>
      </c>
      <c r="L6" s="198">
        <f t="shared" ref="L6:L23" si="6">K6+L5</f>
        <v>0.70796460176991149</v>
      </c>
      <c r="M6" s="199" t="str">
        <f t="shared" si="4"/>
        <v>A</v>
      </c>
    </row>
    <row r="7" spans="2:17" ht="28.5" customHeight="1" outlineLevel="1" thickBot="1">
      <c r="B7" s="196" t="s">
        <v>225</v>
      </c>
      <c r="C7" s="197">
        <f>СЕНТЯБРЬ!AE10</f>
        <v>1656.6200000000003</v>
      </c>
      <c r="D7" s="198">
        <f t="shared" si="0"/>
        <v>0.35179304063879219</v>
      </c>
      <c r="E7" s="198">
        <f t="shared" si="5"/>
        <v>4.8565059034606701</v>
      </c>
      <c r="F7" s="199" t="str">
        <f t="shared" si="1"/>
        <v>C</v>
      </c>
      <c r="G7" s="199" t="str">
        <f t="shared" si="2"/>
        <v>C</v>
      </c>
      <c r="I7" s="196" t="s">
        <v>222</v>
      </c>
      <c r="J7" s="197">
        <f>СЕНТЯБРЬ!R5</f>
        <v>5</v>
      </c>
      <c r="K7" s="198">
        <f t="shared" si="3"/>
        <v>4.4247787610619468E-2</v>
      </c>
      <c r="L7" s="198">
        <f t="shared" si="6"/>
        <v>0.75221238938053092</v>
      </c>
      <c r="M7" s="199" t="str">
        <f t="shared" si="4"/>
        <v>A</v>
      </c>
    </row>
    <row r="8" spans="2:17" ht="28.5" customHeight="1" outlineLevel="1" thickBot="1">
      <c r="B8" s="196" t="s">
        <v>228</v>
      </c>
      <c r="C8" s="197">
        <f>СЕНТЯБРЬ!AE13</f>
        <v>1538.9746500000006</v>
      </c>
      <c r="D8" s="198">
        <f t="shared" si="0"/>
        <v>0.3268103557783445</v>
      </c>
      <c r="E8" s="198">
        <f t="shared" si="5"/>
        <v>5.1833162592390147</v>
      </c>
      <c r="F8" s="199" t="str">
        <f t="shared" si="1"/>
        <v>C</v>
      </c>
      <c r="G8" s="199" t="str">
        <f t="shared" si="2"/>
        <v>B</v>
      </c>
      <c r="I8" s="196" t="s">
        <v>54</v>
      </c>
      <c r="J8" s="197">
        <f>СЕНТЯБРЬ!R7</f>
        <v>5</v>
      </c>
      <c r="K8" s="198">
        <f t="shared" si="3"/>
        <v>4.4247787610619468E-2</v>
      </c>
      <c r="L8" s="198">
        <f t="shared" si="6"/>
        <v>0.79646017699115035</v>
      </c>
      <c r="M8" s="199" t="str">
        <f t="shared" si="4"/>
        <v>A</v>
      </c>
    </row>
    <row r="9" spans="2:17" ht="28.5" customHeight="1" outlineLevel="1" thickBot="1">
      <c r="B9" s="196" t="s">
        <v>88</v>
      </c>
      <c r="C9" s="197">
        <f>СЕНТЯБРЬ!AE8</f>
        <v>990.34977500000002</v>
      </c>
      <c r="D9" s="198">
        <f t="shared" si="0"/>
        <v>0.21030662351244922</v>
      </c>
      <c r="E9" s="198">
        <f t="shared" si="5"/>
        <v>5.3936228827514636</v>
      </c>
      <c r="F9" s="199" t="str">
        <f t="shared" si="1"/>
        <v>C</v>
      </c>
      <c r="G9" s="199" t="str">
        <f t="shared" si="2"/>
        <v>B</v>
      </c>
      <c r="I9" s="196" t="s">
        <v>88</v>
      </c>
      <c r="J9" s="197">
        <f>СЕНТЯБРЬ!R8</f>
        <v>5</v>
      </c>
      <c r="K9" s="198">
        <f t="shared" si="3"/>
        <v>4.4247787610619468E-2</v>
      </c>
      <c r="L9" s="198">
        <f t="shared" si="6"/>
        <v>0.84070796460176977</v>
      </c>
      <c r="M9" s="199" t="str">
        <f t="shared" si="4"/>
        <v>B</v>
      </c>
    </row>
    <row r="10" spans="2:17" ht="28.5" customHeight="1" outlineLevel="1" thickBot="1">
      <c r="B10" s="196" t="s">
        <v>92</v>
      </c>
      <c r="C10" s="197">
        <f>СЕНТЯБРЬ!AE4</f>
        <v>921.51187000000164</v>
      </c>
      <c r="D10" s="198">
        <f t="shared" si="0"/>
        <v>0.19568848784394727</v>
      </c>
      <c r="E10" s="198">
        <f t="shared" si="5"/>
        <v>5.5893113705954107</v>
      </c>
      <c r="F10" s="199" t="str">
        <f t="shared" si="1"/>
        <v>C</v>
      </c>
      <c r="G10" s="199" t="str">
        <f t="shared" si="2"/>
        <v>A</v>
      </c>
      <c r="I10" s="196" t="s">
        <v>228</v>
      </c>
      <c r="J10" s="197">
        <f>СЕНТЯБРЬ!R13</f>
        <v>4</v>
      </c>
      <c r="K10" s="198">
        <f t="shared" si="3"/>
        <v>3.5398230088495575E-2</v>
      </c>
      <c r="L10" s="198">
        <f t="shared" si="6"/>
        <v>0.87610619469026529</v>
      </c>
      <c r="M10" s="199" t="str">
        <f t="shared" si="4"/>
        <v>B</v>
      </c>
    </row>
    <row r="11" spans="2:17" ht="15" outlineLevel="1" thickBot="1">
      <c r="B11" s="196" t="s">
        <v>222</v>
      </c>
      <c r="C11" s="197">
        <f>СЕНТЯБРЬ!AE5</f>
        <v>615.13328700000045</v>
      </c>
      <c r="D11" s="198">
        <f t="shared" si="0"/>
        <v>0.13062718633836665</v>
      </c>
      <c r="E11" s="198">
        <f t="shared" si="5"/>
        <v>5.7199385569337773</v>
      </c>
      <c r="F11" s="199" t="str">
        <f>IF(AND(E11&lt;=0),"C",IF(E11&lt;=0.8,"A",IF(E11&lt;=0.95,"B","C")))</f>
        <v>C</v>
      </c>
      <c r="G11" s="199" t="str">
        <f t="shared" si="2"/>
        <v>A</v>
      </c>
      <c r="I11" s="196" t="s">
        <v>226</v>
      </c>
      <c r="J11" s="197">
        <f>СЕНТЯБРЬ!R11</f>
        <v>3</v>
      </c>
      <c r="K11" s="198">
        <f t="shared" si="3"/>
        <v>2.6548672566371681E-2</v>
      </c>
      <c r="L11" s="198">
        <f t="shared" si="6"/>
        <v>0.90265486725663702</v>
      </c>
      <c r="M11" s="199" t="str">
        <f>_xlfn.IFS(L11&lt;80%,"A",L11&lt;=95%,"B",L11&gt;95%,"C")</f>
        <v>B</v>
      </c>
      <c r="P11" s="200" t="s">
        <v>301</v>
      </c>
      <c r="Q11" s="201">
        <v>0.8</v>
      </c>
    </row>
    <row r="12" spans="2:17" ht="15" outlineLevel="1" thickBot="1">
      <c r="B12" s="196" t="s">
        <v>224</v>
      </c>
      <c r="C12" s="197">
        <f>СЕНТЯБРЬ!AE9</f>
        <v>74.530000000000044</v>
      </c>
      <c r="D12" s="198">
        <f t="shared" si="0"/>
        <v>1.5826885658032135E-2</v>
      </c>
      <c r="E12" s="198">
        <f t="shared" si="5"/>
        <v>5.7357654425918092</v>
      </c>
      <c r="F12" s="199" t="str">
        <f t="shared" ref="F12:F23" si="7">IF(AND(E12&lt;=0),"C",IF(E12&lt;=0.8,"A",IF(E12&lt;=0.95,"B","C")))</f>
        <v>C</v>
      </c>
      <c r="G12" s="199" t="str">
        <f t="shared" si="2"/>
        <v>C</v>
      </c>
      <c r="I12" s="196" t="s">
        <v>227</v>
      </c>
      <c r="J12" s="197">
        <f>СЕНТЯБРЬ!R12</f>
        <v>3</v>
      </c>
      <c r="K12" s="198">
        <f t="shared" si="3"/>
        <v>2.6548672566371681E-2</v>
      </c>
      <c r="L12" s="198">
        <f t="shared" si="6"/>
        <v>0.92920353982300874</v>
      </c>
      <c r="M12" s="199" t="str">
        <f t="shared" ref="M12:M23" si="8">_xlfn.IFS(L12&lt;80%,"A",L12&lt;=95%,"B",L12&gt;95%,"C")</f>
        <v>B</v>
      </c>
      <c r="P12" s="202" t="s">
        <v>302</v>
      </c>
      <c r="Q12" s="201">
        <v>0.15</v>
      </c>
    </row>
    <row r="13" spans="2:17" ht="15" outlineLevel="1" thickBot="1">
      <c r="B13" s="196" t="s">
        <v>232</v>
      </c>
      <c r="C13" s="197">
        <f>СЕНТЯБРЬ!AE19</f>
        <v>0</v>
      </c>
      <c r="D13" s="198">
        <f t="shared" si="0"/>
        <v>0</v>
      </c>
      <c r="E13" s="198">
        <f t="shared" si="5"/>
        <v>5.7357654425918092</v>
      </c>
      <c r="F13" s="199" t="str">
        <f t="shared" si="7"/>
        <v>C</v>
      </c>
      <c r="G13" s="199" t="str">
        <f t="shared" si="2"/>
        <v>C</v>
      </c>
      <c r="I13" s="196" t="s">
        <v>223</v>
      </c>
      <c r="J13" s="197">
        <f>СЕНТЯБРЬ!R6</f>
        <v>2</v>
      </c>
      <c r="K13" s="198">
        <f t="shared" si="3"/>
        <v>1.7699115044247787E-2</v>
      </c>
      <c r="L13" s="198">
        <f t="shared" si="6"/>
        <v>0.94690265486725655</v>
      </c>
      <c r="M13" s="199" t="str">
        <f t="shared" si="8"/>
        <v>B</v>
      </c>
      <c r="P13" s="203" t="s">
        <v>303</v>
      </c>
      <c r="Q13" s="201">
        <v>0.05</v>
      </c>
    </row>
    <row r="14" spans="2:17" ht="15" outlineLevel="1" thickBot="1">
      <c r="B14" s="196" t="s">
        <v>136</v>
      </c>
      <c r="C14" s="197">
        <f>СЕНТЯБРЬ!AE20</f>
        <v>0</v>
      </c>
      <c r="D14" s="198">
        <f t="shared" si="0"/>
        <v>0</v>
      </c>
      <c r="E14" s="198">
        <f t="shared" si="5"/>
        <v>5.7357654425918092</v>
      </c>
      <c r="F14" s="199" t="str">
        <f t="shared" si="7"/>
        <v>C</v>
      </c>
      <c r="G14" s="199" t="str">
        <f t="shared" si="2"/>
        <v>C</v>
      </c>
      <c r="I14" s="196" t="s">
        <v>224</v>
      </c>
      <c r="J14" s="197">
        <f>СЕНТЯБРЬ!R9</f>
        <v>3</v>
      </c>
      <c r="K14" s="198">
        <f t="shared" si="3"/>
        <v>2.6548672566371681E-2</v>
      </c>
      <c r="L14" s="198">
        <f t="shared" si="6"/>
        <v>0.97345132743362828</v>
      </c>
      <c r="M14" s="199" t="str">
        <f t="shared" si="8"/>
        <v>C</v>
      </c>
      <c r="P14" s="204"/>
      <c r="Q14" s="198"/>
    </row>
    <row r="15" spans="2:17" ht="15" outlineLevel="1" thickBot="1">
      <c r="B15" s="196" t="s">
        <v>233</v>
      </c>
      <c r="C15" s="197">
        <f>СЕНТЯБРЬ!AE21</f>
        <v>0</v>
      </c>
      <c r="D15" s="198">
        <f t="shared" si="0"/>
        <v>0</v>
      </c>
      <c r="E15" s="198">
        <f t="shared" si="5"/>
        <v>5.7357654425918092</v>
      </c>
      <c r="F15" s="199" t="str">
        <f t="shared" si="7"/>
        <v>C</v>
      </c>
      <c r="G15" s="199" t="str">
        <f t="shared" si="2"/>
        <v>C</v>
      </c>
      <c r="I15" s="196" t="s">
        <v>225</v>
      </c>
      <c r="J15" s="197">
        <f>СЕНТЯБРЬ!R10</f>
        <v>2</v>
      </c>
      <c r="K15" s="198">
        <f t="shared" si="3"/>
        <v>1.7699115044247787E-2</v>
      </c>
      <c r="L15" s="198">
        <f t="shared" si="6"/>
        <v>0.99115044247787609</v>
      </c>
      <c r="M15" s="199" t="str">
        <f t="shared" si="8"/>
        <v>C</v>
      </c>
      <c r="P15" s="204"/>
      <c r="Q15" s="198"/>
    </row>
    <row r="16" spans="2:17" ht="15" outlineLevel="1" thickBot="1">
      <c r="B16" s="196" t="s">
        <v>234</v>
      </c>
      <c r="C16" s="197">
        <f>СЕНТЯБРЬ!AE22</f>
        <v>0</v>
      </c>
      <c r="D16" s="198">
        <f t="shared" si="0"/>
        <v>0</v>
      </c>
      <c r="E16" s="198">
        <f t="shared" si="5"/>
        <v>5.7357654425918092</v>
      </c>
      <c r="F16" s="199" t="str">
        <f t="shared" si="7"/>
        <v>C</v>
      </c>
      <c r="G16" s="199" t="str">
        <f t="shared" si="2"/>
        <v>C</v>
      </c>
      <c r="I16" s="196" t="s">
        <v>111</v>
      </c>
      <c r="J16" s="197">
        <f>СЕНТЯБРЬ!R18</f>
        <v>1</v>
      </c>
      <c r="K16" s="198">
        <f t="shared" si="3"/>
        <v>8.8495575221238937E-3</v>
      </c>
      <c r="L16" s="198">
        <f t="shared" si="6"/>
        <v>1</v>
      </c>
      <c r="M16" s="199" t="str">
        <f t="shared" si="8"/>
        <v>C</v>
      </c>
      <c r="P16" s="204"/>
      <c r="Q16" s="198"/>
    </row>
    <row r="17" spans="2:17" ht="15" outlineLevel="1" thickBot="1">
      <c r="B17" s="196" t="s">
        <v>230</v>
      </c>
      <c r="C17" s="197">
        <f>СЕНТЯБРЬ!AE16</f>
        <v>-164</v>
      </c>
      <c r="D17" s="198">
        <f t="shared" si="0"/>
        <v>-3.4826368548467303E-2</v>
      </c>
      <c r="E17" s="198">
        <f t="shared" si="5"/>
        <v>5.7009390740433421</v>
      </c>
      <c r="F17" s="199" t="str">
        <f t="shared" si="7"/>
        <v>C</v>
      </c>
      <c r="G17" s="199" t="str">
        <f t="shared" si="2"/>
        <v>C</v>
      </c>
      <c r="I17" s="196" t="s">
        <v>229</v>
      </c>
      <c r="J17" s="197">
        <f>СЕНТЯБРЬ!R15</f>
        <v>0</v>
      </c>
      <c r="K17" s="198">
        <f t="shared" si="3"/>
        <v>0</v>
      </c>
      <c r="L17" s="198">
        <f t="shared" si="6"/>
        <v>1</v>
      </c>
      <c r="M17" s="199" t="str">
        <f t="shared" si="8"/>
        <v>C</v>
      </c>
      <c r="P17" s="204"/>
      <c r="Q17" s="198"/>
    </row>
    <row r="18" spans="2:17" ht="15" outlineLevel="1" thickBot="1">
      <c r="B18" s="196" t="s">
        <v>223</v>
      </c>
      <c r="C18" s="197">
        <f>СЕНТЯБРЬ!AE6</f>
        <v>-381.67009599999989</v>
      </c>
      <c r="D18" s="198">
        <f t="shared" si="0"/>
        <v>-8.1049898946493254E-2</v>
      </c>
      <c r="E18" s="198">
        <f t="shared" si="5"/>
        <v>5.6198891750968487</v>
      </c>
      <c r="F18" s="199" t="str">
        <f t="shared" si="7"/>
        <v>C</v>
      </c>
      <c r="G18" s="199" t="str">
        <f t="shared" si="2"/>
        <v>B</v>
      </c>
      <c r="I18" s="196" t="s">
        <v>230</v>
      </c>
      <c r="J18" s="197">
        <f>СЕНТЯБРЬ!R16</f>
        <v>0</v>
      </c>
      <c r="K18" s="198">
        <f t="shared" si="3"/>
        <v>0</v>
      </c>
      <c r="L18" s="198">
        <f t="shared" si="6"/>
        <v>1</v>
      </c>
      <c r="M18" s="199" t="str">
        <f t="shared" si="8"/>
        <v>C</v>
      </c>
      <c r="P18" s="204"/>
      <c r="Q18" s="198"/>
    </row>
    <row r="19" spans="2:17" ht="15" outlineLevel="1" thickBot="1">
      <c r="B19" s="196" t="s">
        <v>19</v>
      </c>
      <c r="C19" s="197">
        <f>СЕНТЯБРЬ!AE14</f>
        <v>-320.01259000000027</v>
      </c>
      <c r="D19" s="198">
        <f t="shared" si="0"/>
        <v>-6.7956563411521786E-2</v>
      </c>
      <c r="E19" s="198">
        <f t="shared" si="5"/>
        <v>5.5519326116853271</v>
      </c>
      <c r="F19" s="199" t="str">
        <f t="shared" si="7"/>
        <v>C</v>
      </c>
      <c r="G19" s="199" t="str">
        <f t="shared" si="2"/>
        <v>A</v>
      </c>
      <c r="I19" s="196" t="s">
        <v>231</v>
      </c>
      <c r="J19" s="197">
        <f>СЕНТЯБРЬ!R17</f>
        <v>0</v>
      </c>
      <c r="K19" s="198">
        <f t="shared" si="3"/>
        <v>0</v>
      </c>
      <c r="L19" s="198">
        <f t="shared" si="6"/>
        <v>1</v>
      </c>
      <c r="M19" s="199" t="str">
        <f t="shared" si="8"/>
        <v>C</v>
      </c>
      <c r="P19" s="204"/>
      <c r="Q19" s="198"/>
    </row>
    <row r="20" spans="2:17" ht="15" outlineLevel="1" thickBot="1">
      <c r="B20" s="196" t="s">
        <v>231</v>
      </c>
      <c r="C20" s="197">
        <f>СЕНТЯБРЬ!AE17</f>
        <v>-834.17627000000005</v>
      </c>
      <c r="D20" s="198">
        <f t="shared" si="0"/>
        <v>-0.1771422573988157</v>
      </c>
      <c r="E20" s="198">
        <f t="shared" si="5"/>
        <v>5.3747903542865112</v>
      </c>
      <c r="F20" s="199" t="str">
        <f t="shared" si="7"/>
        <v>C</v>
      </c>
      <c r="G20" s="199" t="str">
        <f t="shared" si="2"/>
        <v>C</v>
      </c>
      <c r="I20" s="196" t="s">
        <v>232</v>
      </c>
      <c r="J20" s="197">
        <f>СЕНТЯБРЬ!R19</f>
        <v>0</v>
      </c>
      <c r="K20" s="198">
        <f t="shared" si="3"/>
        <v>0</v>
      </c>
      <c r="L20" s="198">
        <f t="shared" si="6"/>
        <v>1</v>
      </c>
      <c r="M20" s="199" t="str">
        <f t="shared" si="8"/>
        <v>C</v>
      </c>
      <c r="P20" s="204"/>
      <c r="Q20" s="198"/>
    </row>
    <row r="21" spans="2:17" ht="15" outlineLevel="1" thickBot="1">
      <c r="B21" s="196" t="s">
        <v>111</v>
      </c>
      <c r="C21" s="197">
        <f>СЕНТЯБРЬ!AE18</f>
        <v>-2752.9383069999999</v>
      </c>
      <c r="D21" s="198">
        <f t="shared" si="0"/>
        <v>-0.58460270774863188</v>
      </c>
      <c r="E21" s="198">
        <f t="shared" si="5"/>
        <v>4.7901876465378797</v>
      </c>
      <c r="F21" s="199" t="str">
        <f t="shared" si="7"/>
        <v>C</v>
      </c>
      <c r="G21" s="199" t="str">
        <f t="shared" si="2"/>
        <v>C</v>
      </c>
      <c r="I21" s="196" t="s">
        <v>136</v>
      </c>
      <c r="J21" s="197">
        <f>СЕНТЯБРЬ!R20</f>
        <v>0</v>
      </c>
      <c r="K21" s="198">
        <f t="shared" si="3"/>
        <v>0</v>
      </c>
      <c r="L21" s="198">
        <f t="shared" si="6"/>
        <v>1</v>
      </c>
      <c r="M21" s="199" t="str">
        <f t="shared" si="8"/>
        <v>C</v>
      </c>
      <c r="P21" s="204"/>
      <c r="Q21" s="198"/>
    </row>
    <row r="22" spans="2:17" ht="15" outlineLevel="1" thickBot="1">
      <c r="B22" s="196" t="s">
        <v>229</v>
      </c>
      <c r="C22" s="197">
        <f>СЕНТЯБРЬ!AE15</f>
        <v>-5101.1484579999997</v>
      </c>
      <c r="D22" s="198">
        <f t="shared" si="0"/>
        <v>-1.0832590013338639</v>
      </c>
      <c r="E22" s="198">
        <f t="shared" si="5"/>
        <v>3.706928645204016</v>
      </c>
      <c r="F22" s="199" t="str">
        <f t="shared" si="7"/>
        <v>C</v>
      </c>
      <c r="G22" s="199" t="str">
        <f t="shared" si="2"/>
        <v>C</v>
      </c>
      <c r="I22" s="196" t="s">
        <v>233</v>
      </c>
      <c r="J22" s="197">
        <f>СЕНТЯБРЬ!R21</f>
        <v>0</v>
      </c>
      <c r="K22" s="198">
        <f t="shared" si="3"/>
        <v>0</v>
      </c>
      <c r="L22" s="198">
        <f t="shared" si="6"/>
        <v>1</v>
      </c>
      <c r="M22" s="199" t="str">
        <f t="shared" si="8"/>
        <v>C</v>
      </c>
      <c r="P22" s="204"/>
      <c r="Q22" s="198"/>
    </row>
    <row r="23" spans="2:17" ht="15" outlineLevel="1" thickBot="1">
      <c r="B23" s="196" t="s">
        <v>227</v>
      </c>
      <c r="C23" s="197">
        <f>СЕНТЯБРЬ!AE12</f>
        <v>-12747.131449999999</v>
      </c>
      <c r="D23" s="198">
        <f t="shared" si="0"/>
        <v>-2.7069286452040147</v>
      </c>
      <c r="E23" s="198">
        <f t="shared" si="5"/>
        <v>1.0000000000000013</v>
      </c>
      <c r="F23" s="199" t="str">
        <f t="shared" si="7"/>
        <v>C</v>
      </c>
      <c r="G23" s="199" t="str">
        <f t="shared" si="2"/>
        <v>B</v>
      </c>
      <c r="I23" s="196" t="s">
        <v>234</v>
      </c>
      <c r="J23" s="197">
        <f>СЕНТЯБРЬ!R22</f>
        <v>0</v>
      </c>
      <c r="K23" s="198">
        <f t="shared" si="3"/>
        <v>0</v>
      </c>
      <c r="L23" s="198">
        <f t="shared" si="6"/>
        <v>1</v>
      </c>
      <c r="M23" s="199" t="str">
        <f t="shared" si="8"/>
        <v>C</v>
      </c>
      <c r="P23" s="204"/>
      <c r="Q23" s="198"/>
    </row>
    <row r="24" spans="2:17" outlineLevel="1">
      <c r="C24" s="205">
        <f>SUM(C4:C23)</f>
        <v>4709.0755319999498</v>
      </c>
      <c r="D24" s="206">
        <f>SUM(D4:D23)</f>
        <v>1.0000000000000013</v>
      </c>
      <c r="J24" s="205">
        <f>SUM(J4:J23)</f>
        <v>113</v>
      </c>
      <c r="K24" s="206">
        <f>SUM(K4:K23)</f>
        <v>1</v>
      </c>
    </row>
    <row r="25" spans="2:17" ht="15" thickBot="1"/>
    <row r="26" spans="2:17" ht="15" thickBot="1">
      <c r="B26" s="516" t="s">
        <v>304</v>
      </c>
      <c r="C26" s="517"/>
      <c r="D26" s="517"/>
      <c r="E26" s="517"/>
      <c r="F26" s="517"/>
      <c r="G26" s="517"/>
      <c r="H26" s="517"/>
      <c r="I26" s="517"/>
      <c r="J26" s="517"/>
      <c r="K26" s="517"/>
      <c r="L26" s="517"/>
      <c r="M26" s="518"/>
    </row>
    <row r="27" spans="2:17" ht="23.5" thickBot="1">
      <c r="C27" s="192" t="s">
        <v>212</v>
      </c>
      <c r="D27" s="193" t="s">
        <v>295</v>
      </c>
      <c r="E27" s="194" t="s">
        <v>296</v>
      </c>
      <c r="F27" s="193" t="s">
        <v>297</v>
      </c>
      <c r="G27" s="193" t="s">
        <v>298</v>
      </c>
      <c r="J27" s="192" t="s">
        <v>299</v>
      </c>
      <c r="K27" s="193" t="s">
        <v>300</v>
      </c>
      <c r="L27" s="194" t="s">
        <v>296</v>
      </c>
      <c r="M27" s="195" t="s">
        <v>298</v>
      </c>
    </row>
    <row r="28" spans="2:17" ht="26.5" thickBot="1">
      <c r="B28" s="196" t="s">
        <v>70</v>
      </c>
      <c r="C28" s="197">
        <f>СЕНТЯБРЬ!AE43</f>
        <v>4107.191116</v>
      </c>
      <c r="D28" s="198">
        <f>C28/C$48</f>
        <v>-0.39422986611824384</v>
      </c>
      <c r="E28" s="198">
        <f>D28</f>
        <v>-0.39422986611824384</v>
      </c>
      <c r="F28" s="199" t="str">
        <f t="shared" ref="F28:F34" si="9">IF(AND(E28&lt;=0),"C",IF(E28&lt;=0.8,"A",IF(E28&lt;=0.95,"B","C")))</f>
        <v>C</v>
      </c>
      <c r="G28" s="199" t="str">
        <f>VLOOKUP(B$28:B$48,I$28:M$48,5,0)</f>
        <v>A</v>
      </c>
      <c r="I28" s="196" t="s">
        <v>70</v>
      </c>
      <c r="J28" s="197">
        <f>СЕНТЯБРЬ!R43</f>
        <v>3</v>
      </c>
      <c r="K28" s="198">
        <f>J28/J$48</f>
        <v>0.27272727272727271</v>
      </c>
      <c r="L28" s="198">
        <f>K28</f>
        <v>0.27272727272727271</v>
      </c>
      <c r="M28" s="199" t="str">
        <f t="shared" ref="M28:M34" si="10">_xlfn.IFS(L28&lt;80%,"A",L28&lt;=95%,"B",L28&gt;95%,"C")</f>
        <v>A</v>
      </c>
    </row>
    <row r="29" spans="2:17" ht="26.5" thickBot="1">
      <c r="B29" s="196" t="s">
        <v>98</v>
      </c>
      <c r="C29" s="197">
        <f>СЕНТЯБРЬ!AE26</f>
        <v>0</v>
      </c>
      <c r="D29" s="198">
        <f t="shared" ref="D29:D47" si="11">C29/C$48</f>
        <v>0</v>
      </c>
      <c r="E29" s="198">
        <f>D29+E28</f>
        <v>-0.39422986611824384</v>
      </c>
      <c r="F29" s="199" t="str">
        <f t="shared" si="9"/>
        <v>C</v>
      </c>
      <c r="G29" s="199" t="str">
        <f t="shared" ref="G29:G47" si="12">VLOOKUP(B$28:B$48,I$28:M$48,5,0)</f>
        <v>C</v>
      </c>
      <c r="I29" s="196" t="s">
        <v>51</v>
      </c>
      <c r="J29" s="197">
        <f>СЕНТЯБРЬ!R42</f>
        <v>2</v>
      </c>
      <c r="K29" s="198">
        <f t="shared" ref="K29:K47" si="13">J29/J$48</f>
        <v>0.18181818181818182</v>
      </c>
      <c r="L29" s="198">
        <f>K29+L28</f>
        <v>0.45454545454545453</v>
      </c>
      <c r="M29" s="199" t="str">
        <f t="shared" si="10"/>
        <v>A</v>
      </c>
    </row>
    <row r="30" spans="2:17" ht="15" thickBot="1">
      <c r="B30" s="196" t="s">
        <v>236</v>
      </c>
      <c r="C30" s="197">
        <f>СЕНТЯБРЬ!AE31</f>
        <v>0</v>
      </c>
      <c r="D30" s="198">
        <f t="shared" si="11"/>
        <v>0</v>
      </c>
      <c r="E30" s="198">
        <f t="shared" ref="E30:E47" si="14">D30+E29</f>
        <v>-0.39422986611824384</v>
      </c>
      <c r="F30" s="199" t="str">
        <f t="shared" si="9"/>
        <v>C</v>
      </c>
      <c r="G30" s="199" t="str">
        <f t="shared" si="12"/>
        <v>C</v>
      </c>
      <c r="I30" s="196" t="s">
        <v>66</v>
      </c>
      <c r="J30" s="197">
        <f>СЕНТЯБРЬ!R44</f>
        <v>2</v>
      </c>
      <c r="K30" s="198">
        <f t="shared" si="13"/>
        <v>0.18181818181818182</v>
      </c>
      <c r="L30" s="198">
        <f t="shared" ref="L30:L47" si="15">K30+L29</f>
        <v>0.63636363636363635</v>
      </c>
      <c r="M30" s="199" t="str">
        <f t="shared" si="10"/>
        <v>A</v>
      </c>
    </row>
    <row r="31" spans="2:17" ht="26.5" thickBot="1">
      <c r="B31" s="196" t="s">
        <v>237</v>
      </c>
      <c r="C31" s="197">
        <f>СЕНТЯБРЬ!AE32</f>
        <v>0</v>
      </c>
      <c r="D31" s="198">
        <f t="shared" si="11"/>
        <v>0</v>
      </c>
      <c r="E31" s="198">
        <f t="shared" si="14"/>
        <v>-0.39422986611824384</v>
      </c>
      <c r="F31" s="199" t="str">
        <f t="shared" si="9"/>
        <v>C</v>
      </c>
      <c r="G31" s="199" t="str">
        <f t="shared" si="12"/>
        <v>C</v>
      </c>
      <c r="I31" s="196" t="s">
        <v>43</v>
      </c>
      <c r="J31" s="197">
        <f>СЕНТЯБРЬ!R27</f>
        <v>1</v>
      </c>
      <c r="K31" s="198">
        <f t="shared" si="13"/>
        <v>9.0909090909090912E-2</v>
      </c>
      <c r="L31" s="198">
        <f t="shared" si="15"/>
        <v>0.72727272727272729</v>
      </c>
      <c r="M31" s="199" t="str">
        <f t="shared" si="10"/>
        <v>A</v>
      </c>
    </row>
    <row r="32" spans="2:17" ht="26.5" thickBot="1">
      <c r="B32" s="196" t="s">
        <v>142</v>
      </c>
      <c r="C32" s="197">
        <f>СЕНТЯБРЬ!AE33</f>
        <v>0</v>
      </c>
      <c r="D32" s="198">
        <f t="shared" si="11"/>
        <v>0</v>
      </c>
      <c r="E32" s="198">
        <f t="shared" si="14"/>
        <v>-0.39422986611824384</v>
      </c>
      <c r="F32" s="199" t="str">
        <f t="shared" si="9"/>
        <v>C</v>
      </c>
      <c r="G32" s="199" t="str">
        <f t="shared" si="12"/>
        <v>C</v>
      </c>
      <c r="I32" s="196" t="s">
        <v>235</v>
      </c>
      <c r="J32" s="197">
        <f>СЕНТЯБРЬ!R28</f>
        <v>2</v>
      </c>
      <c r="K32" s="198">
        <f t="shared" si="13"/>
        <v>0.18181818181818182</v>
      </c>
      <c r="L32" s="198">
        <f t="shared" si="15"/>
        <v>0.90909090909090917</v>
      </c>
      <c r="M32" s="199" t="str">
        <f t="shared" si="10"/>
        <v>B</v>
      </c>
    </row>
    <row r="33" spans="2:13" ht="15" thickBot="1">
      <c r="B33" s="196" t="s">
        <v>238</v>
      </c>
      <c r="C33" s="197">
        <f>СЕНТЯБРЬ!AE34</f>
        <v>0</v>
      </c>
      <c r="D33" s="198">
        <f t="shared" si="11"/>
        <v>0</v>
      </c>
      <c r="E33" s="198">
        <f t="shared" si="14"/>
        <v>-0.39422986611824384</v>
      </c>
      <c r="F33" s="199" t="str">
        <f t="shared" si="9"/>
        <v>C</v>
      </c>
      <c r="G33" s="199" t="str">
        <f t="shared" si="12"/>
        <v>C</v>
      </c>
      <c r="I33" s="196" t="s">
        <v>171</v>
      </c>
      <c r="J33" s="197">
        <f>СЕНТЯБРЬ!R29</f>
        <v>1</v>
      </c>
      <c r="K33" s="198">
        <f t="shared" si="13"/>
        <v>9.0909090909090912E-2</v>
      </c>
      <c r="L33" s="198">
        <f t="shared" si="15"/>
        <v>1</v>
      </c>
      <c r="M33" s="199" t="str">
        <f t="shared" si="10"/>
        <v>C</v>
      </c>
    </row>
    <row r="34" spans="2:13" ht="26.5" thickBot="1">
      <c r="B34" s="196" t="s">
        <v>239</v>
      </c>
      <c r="C34" s="197">
        <f>СЕНТЯБРЬ!AE36</f>
        <v>0</v>
      </c>
      <c r="D34" s="198">
        <f t="shared" si="11"/>
        <v>0</v>
      </c>
      <c r="E34" s="198">
        <f t="shared" si="14"/>
        <v>-0.39422986611824384</v>
      </c>
      <c r="F34" s="199" t="str">
        <f t="shared" si="9"/>
        <v>C</v>
      </c>
      <c r="G34" s="199" t="str">
        <f t="shared" si="12"/>
        <v>C</v>
      </c>
      <c r="I34" s="196" t="s">
        <v>98</v>
      </c>
      <c r="J34" s="197">
        <f>СЕНТЯБРЬ!R26</f>
        <v>0</v>
      </c>
      <c r="K34" s="198">
        <f t="shared" si="13"/>
        <v>0</v>
      </c>
      <c r="L34" s="198">
        <f t="shared" si="15"/>
        <v>1</v>
      </c>
      <c r="M34" s="199" t="str">
        <f t="shared" si="10"/>
        <v>C</v>
      </c>
    </row>
    <row r="35" spans="2:13" ht="26.5" thickBot="1">
      <c r="B35" s="196" t="s">
        <v>240</v>
      </c>
      <c r="C35" s="197">
        <f>СЕНТЯБРЬ!AE37</f>
        <v>0</v>
      </c>
      <c r="D35" s="198">
        <f t="shared" si="11"/>
        <v>0</v>
      </c>
      <c r="E35" s="198">
        <f t="shared" si="14"/>
        <v>-0.39422986611824384</v>
      </c>
      <c r="F35" s="199" t="str">
        <f>IF(AND(E35&lt;=0),"C",IF(E35&lt;=0.8,"A",IF(E35&lt;=0.95,"B","C")))</f>
        <v>C</v>
      </c>
      <c r="G35" s="199" t="str">
        <f t="shared" si="12"/>
        <v>C</v>
      </c>
      <c r="I35" s="196" t="s">
        <v>39</v>
      </c>
      <c r="J35" s="197">
        <f>СЕНТЯБРЬ!R30</f>
        <v>0</v>
      </c>
      <c r="K35" s="198">
        <f t="shared" si="13"/>
        <v>0</v>
      </c>
      <c r="L35" s="198">
        <f t="shared" si="15"/>
        <v>1</v>
      </c>
      <c r="M35" s="199" t="str">
        <f>_xlfn.IFS(L35&lt;80%,"A",L35&lt;=95%,"B",L35&gt;95%,"C")</f>
        <v>C</v>
      </c>
    </row>
    <row r="36" spans="2:13" ht="15" thickBot="1">
      <c r="B36" s="196" t="s">
        <v>241</v>
      </c>
      <c r="C36" s="197">
        <f>СЕНТЯБРЬ!AE38</f>
        <v>0</v>
      </c>
      <c r="D36" s="198">
        <f t="shared" si="11"/>
        <v>0</v>
      </c>
      <c r="E36" s="198">
        <f t="shared" si="14"/>
        <v>-0.39422986611824384</v>
      </c>
      <c r="F36" s="199" t="str">
        <f t="shared" ref="F36:F47" si="16">IF(AND(E36&lt;=0),"C",IF(E36&lt;=0.8,"A",IF(E36&lt;=0.95,"B","C")))</f>
        <v>C</v>
      </c>
      <c r="G36" s="199" t="str">
        <f t="shared" si="12"/>
        <v>C</v>
      </c>
      <c r="I36" s="196" t="s">
        <v>236</v>
      </c>
      <c r="J36" s="197">
        <f>СЕНТЯБРЬ!R31</f>
        <v>0</v>
      </c>
      <c r="K36" s="198">
        <f t="shared" si="13"/>
        <v>0</v>
      </c>
      <c r="L36" s="198">
        <f t="shared" si="15"/>
        <v>1</v>
      </c>
      <c r="M36" s="199" t="str">
        <f t="shared" ref="M36:M47" si="17">_xlfn.IFS(L36&lt;80%,"A",L36&lt;=95%,"B",L36&gt;95%,"C")</f>
        <v>C</v>
      </c>
    </row>
    <row r="37" spans="2:13" ht="26.5" thickBot="1">
      <c r="B37" s="196" t="s">
        <v>242</v>
      </c>
      <c r="C37" s="197">
        <f>СЕНТЯБРЬ!AE39</f>
        <v>0</v>
      </c>
      <c r="D37" s="198">
        <f t="shared" si="11"/>
        <v>0</v>
      </c>
      <c r="E37" s="198">
        <f t="shared" si="14"/>
        <v>-0.39422986611824384</v>
      </c>
      <c r="F37" s="199" t="str">
        <f t="shared" si="16"/>
        <v>C</v>
      </c>
      <c r="G37" s="199" t="str">
        <f t="shared" si="12"/>
        <v>C</v>
      </c>
      <c r="I37" s="196" t="s">
        <v>237</v>
      </c>
      <c r="J37" s="197">
        <f>СЕНТЯБРЬ!R32</f>
        <v>0</v>
      </c>
      <c r="K37" s="198">
        <f t="shared" si="13"/>
        <v>0</v>
      </c>
      <c r="L37" s="198">
        <f t="shared" si="15"/>
        <v>1</v>
      </c>
      <c r="M37" s="199" t="str">
        <f t="shared" si="17"/>
        <v>C</v>
      </c>
    </row>
    <row r="38" spans="2:13" ht="26.5" thickBot="1">
      <c r="B38" s="196" t="s">
        <v>244</v>
      </c>
      <c r="C38" s="197">
        <f>СЕНТЯБРЬ!AE41</f>
        <v>0</v>
      </c>
      <c r="D38" s="198">
        <f t="shared" si="11"/>
        <v>0</v>
      </c>
      <c r="E38" s="198">
        <f t="shared" si="14"/>
        <v>-0.39422986611824384</v>
      </c>
      <c r="F38" s="199" t="str">
        <f t="shared" si="16"/>
        <v>C</v>
      </c>
      <c r="G38" s="199" t="str">
        <f t="shared" si="12"/>
        <v>C</v>
      </c>
      <c r="I38" s="196" t="s">
        <v>142</v>
      </c>
      <c r="J38" s="197">
        <f>СЕНТЯБРЬ!R33</f>
        <v>0</v>
      </c>
      <c r="K38" s="198">
        <f t="shared" si="13"/>
        <v>0</v>
      </c>
      <c r="L38" s="198">
        <f t="shared" si="15"/>
        <v>1</v>
      </c>
      <c r="M38" s="199" t="str">
        <f t="shared" si="17"/>
        <v>C</v>
      </c>
    </row>
    <row r="39" spans="2:13" ht="15" thickBot="1">
      <c r="B39" s="196" t="s">
        <v>39</v>
      </c>
      <c r="C39" s="197">
        <f>СЕНТЯБРЬ!AE30</f>
        <v>-112</v>
      </c>
      <c r="D39" s="198">
        <f t="shared" si="11"/>
        <v>1.0750350728320798E-2</v>
      </c>
      <c r="E39" s="198">
        <f t="shared" si="14"/>
        <v>-0.38347951538992303</v>
      </c>
      <c r="F39" s="199" t="str">
        <f t="shared" si="16"/>
        <v>C</v>
      </c>
      <c r="G39" s="199" t="str">
        <f t="shared" si="12"/>
        <v>C</v>
      </c>
      <c r="I39" s="196" t="s">
        <v>238</v>
      </c>
      <c r="J39" s="197">
        <f>СЕНТЯБРЬ!R34</f>
        <v>0</v>
      </c>
      <c r="K39" s="198">
        <f t="shared" si="13"/>
        <v>0</v>
      </c>
      <c r="L39" s="198">
        <f t="shared" si="15"/>
        <v>1</v>
      </c>
      <c r="M39" s="199" t="str">
        <f t="shared" si="17"/>
        <v>C</v>
      </c>
    </row>
    <row r="40" spans="2:13" ht="26.5" thickBot="1">
      <c r="B40" s="196" t="s">
        <v>243</v>
      </c>
      <c r="C40" s="197">
        <f>СЕНТЯБРЬ!AE40</f>
        <v>-112</v>
      </c>
      <c r="D40" s="198">
        <f t="shared" si="11"/>
        <v>1.0750350728320798E-2</v>
      </c>
      <c r="E40" s="198">
        <f t="shared" si="14"/>
        <v>-0.37272916466160222</v>
      </c>
      <c r="F40" s="199" t="str">
        <f t="shared" si="16"/>
        <v>C</v>
      </c>
      <c r="G40" s="199" t="str">
        <f t="shared" si="12"/>
        <v>C</v>
      </c>
      <c r="I40" s="196" t="s">
        <v>62</v>
      </c>
      <c r="J40" s="197">
        <f>СЕНТЯБРЬ!R35</f>
        <v>0</v>
      </c>
      <c r="K40" s="198">
        <f t="shared" si="13"/>
        <v>0</v>
      </c>
      <c r="L40" s="198">
        <f t="shared" si="15"/>
        <v>1</v>
      </c>
      <c r="M40" s="199" t="str">
        <f t="shared" si="17"/>
        <v>C</v>
      </c>
    </row>
    <row r="41" spans="2:13" ht="26.5" thickBot="1">
      <c r="B41" s="196" t="s">
        <v>245</v>
      </c>
      <c r="C41" s="197">
        <f>СЕНТЯБРЬ!AE45</f>
        <v>-112</v>
      </c>
      <c r="D41" s="198">
        <f t="shared" si="11"/>
        <v>1.0750350728320798E-2</v>
      </c>
      <c r="E41" s="198">
        <f t="shared" si="14"/>
        <v>-0.36197881393328141</v>
      </c>
      <c r="F41" s="199" t="str">
        <f t="shared" si="16"/>
        <v>C</v>
      </c>
      <c r="G41" s="199" t="str">
        <f t="shared" si="12"/>
        <v>C</v>
      </c>
      <c r="I41" s="196" t="s">
        <v>239</v>
      </c>
      <c r="J41" s="197">
        <f>СЕНТЯБРЬ!R36</f>
        <v>0</v>
      </c>
      <c r="K41" s="198">
        <f t="shared" si="13"/>
        <v>0</v>
      </c>
      <c r="L41" s="198">
        <f t="shared" si="15"/>
        <v>1</v>
      </c>
      <c r="M41" s="199" t="str">
        <f t="shared" si="17"/>
        <v>C</v>
      </c>
    </row>
    <row r="42" spans="2:13" ht="26.5" thickBot="1">
      <c r="B42" s="196" t="s">
        <v>235</v>
      </c>
      <c r="C42" s="197">
        <f>СЕНТЯБРЬ!AE28</f>
        <v>-1478</v>
      </c>
      <c r="D42" s="198">
        <f t="shared" si="11"/>
        <v>0.14186623550409053</v>
      </c>
      <c r="E42" s="198">
        <f t="shared" si="14"/>
        <v>-0.22011257842919088</v>
      </c>
      <c r="F42" s="199" t="str">
        <f t="shared" si="16"/>
        <v>C</v>
      </c>
      <c r="G42" s="199" t="str">
        <f t="shared" si="12"/>
        <v>B</v>
      </c>
      <c r="I42" s="196" t="s">
        <v>240</v>
      </c>
      <c r="J42" s="197">
        <f>СЕНТЯБРЬ!R37</f>
        <v>0</v>
      </c>
      <c r="K42" s="198">
        <f t="shared" si="13"/>
        <v>0</v>
      </c>
      <c r="L42" s="198">
        <f t="shared" si="15"/>
        <v>1</v>
      </c>
      <c r="M42" s="199" t="str">
        <f t="shared" si="17"/>
        <v>C</v>
      </c>
    </row>
    <row r="43" spans="2:13" ht="26.5" thickBot="1">
      <c r="B43" s="196" t="s">
        <v>51</v>
      </c>
      <c r="C43" s="197">
        <f>СЕНТЯБРЬ!AE42</f>
        <v>-1259.5405980000003</v>
      </c>
      <c r="D43" s="198">
        <f t="shared" si="11"/>
        <v>0.12089734986659746</v>
      </c>
      <c r="E43" s="198">
        <f t="shared" si="14"/>
        <v>-9.9215228562593419E-2</v>
      </c>
      <c r="F43" s="199" t="str">
        <f t="shared" si="16"/>
        <v>C</v>
      </c>
      <c r="G43" s="199" t="str">
        <f t="shared" si="12"/>
        <v>A</v>
      </c>
      <c r="I43" s="196" t="s">
        <v>241</v>
      </c>
      <c r="J43" s="197">
        <f>СЕНТЯБРЬ!R38</f>
        <v>0</v>
      </c>
      <c r="K43" s="198">
        <f t="shared" si="13"/>
        <v>0</v>
      </c>
      <c r="L43" s="198">
        <f t="shared" si="15"/>
        <v>1</v>
      </c>
      <c r="M43" s="199" t="str">
        <f t="shared" si="17"/>
        <v>C</v>
      </c>
    </row>
    <row r="44" spans="2:13" ht="26.5" thickBot="1">
      <c r="B44" s="196" t="s">
        <v>171</v>
      </c>
      <c r="C44" s="197">
        <f>СЕНТЯБРЬ!AE29</f>
        <v>-1902.3661149999998</v>
      </c>
      <c r="D44" s="198">
        <f t="shared" si="11"/>
        <v>0.18259913348145584</v>
      </c>
      <c r="E44" s="198">
        <f t="shared" si="14"/>
        <v>8.3383904918862425E-2</v>
      </c>
      <c r="F44" s="199" t="str">
        <f t="shared" si="16"/>
        <v>A</v>
      </c>
      <c r="G44" s="199" t="str">
        <f t="shared" si="12"/>
        <v>C</v>
      </c>
      <c r="I44" s="196" t="s">
        <v>242</v>
      </c>
      <c r="J44" s="197">
        <f>СЕНТЯБРЬ!R39</f>
        <v>0</v>
      </c>
      <c r="K44" s="198">
        <f t="shared" si="13"/>
        <v>0</v>
      </c>
      <c r="L44" s="198">
        <f t="shared" si="15"/>
        <v>1</v>
      </c>
      <c r="M44" s="199" t="str">
        <f t="shared" si="17"/>
        <v>C</v>
      </c>
    </row>
    <row r="45" spans="2:13" ht="26.5" thickBot="1">
      <c r="B45" s="196" t="s">
        <v>43</v>
      </c>
      <c r="C45" s="197">
        <f>СЕНТЯБРЬ!AE27</f>
        <v>-2004.1913</v>
      </c>
      <c r="D45" s="198">
        <f t="shared" si="11"/>
        <v>0.19237285180043934</v>
      </c>
      <c r="E45" s="198">
        <f t="shared" si="14"/>
        <v>0.27575675671930178</v>
      </c>
      <c r="F45" s="199" t="str">
        <f t="shared" si="16"/>
        <v>A</v>
      </c>
      <c r="G45" s="199" t="str">
        <f t="shared" si="12"/>
        <v>A</v>
      </c>
      <c r="I45" s="196" t="s">
        <v>243</v>
      </c>
      <c r="J45" s="197">
        <f>СЕНТЯБРЬ!R40</f>
        <v>0</v>
      </c>
      <c r="K45" s="198">
        <f t="shared" si="13"/>
        <v>0</v>
      </c>
      <c r="L45" s="198">
        <f t="shared" si="15"/>
        <v>1</v>
      </c>
      <c r="M45" s="199" t="str">
        <f t="shared" si="17"/>
        <v>C</v>
      </c>
    </row>
    <row r="46" spans="2:13" ht="26.5" thickBot="1">
      <c r="B46" s="196" t="s">
        <v>62</v>
      </c>
      <c r="C46" s="197">
        <f>СЕНТЯБРЬ!AE35</f>
        <v>-1875.248104</v>
      </c>
      <c r="D46" s="198">
        <f t="shared" si="11"/>
        <v>0.17999620375552317</v>
      </c>
      <c r="E46" s="198">
        <f t="shared" si="14"/>
        <v>0.45575296047482494</v>
      </c>
      <c r="F46" s="199" t="str">
        <f t="shared" si="16"/>
        <v>A</v>
      </c>
      <c r="G46" s="199" t="str">
        <f t="shared" si="12"/>
        <v>C</v>
      </c>
      <c r="I46" s="196" t="s">
        <v>244</v>
      </c>
      <c r="J46" s="197">
        <f>СЕНТЯБРЬ!R41</f>
        <v>0</v>
      </c>
      <c r="K46" s="198">
        <f t="shared" si="13"/>
        <v>0</v>
      </c>
      <c r="L46" s="198">
        <f t="shared" si="15"/>
        <v>1</v>
      </c>
      <c r="M46" s="199" t="str">
        <f t="shared" si="17"/>
        <v>C</v>
      </c>
    </row>
    <row r="47" spans="2:13" ht="26.5" thickBot="1">
      <c r="B47" s="196" t="s">
        <v>66</v>
      </c>
      <c r="C47" s="197">
        <f>СЕНТЯБРЬ!AE44</f>
        <v>-5670.1097449999997</v>
      </c>
      <c r="D47" s="198">
        <f t="shared" si="11"/>
        <v>0.54424703952517506</v>
      </c>
      <c r="E47" s="198">
        <f t="shared" si="14"/>
        <v>1</v>
      </c>
      <c r="F47" s="199" t="str">
        <f t="shared" si="16"/>
        <v>C</v>
      </c>
      <c r="G47" s="199" t="str">
        <f t="shared" si="12"/>
        <v>A</v>
      </c>
      <c r="I47" s="196" t="s">
        <v>245</v>
      </c>
      <c r="J47" s="197">
        <f>СЕНТЯБРЬ!R45</f>
        <v>0</v>
      </c>
      <c r="K47" s="198">
        <f t="shared" si="13"/>
        <v>0</v>
      </c>
      <c r="L47" s="198">
        <f t="shared" si="15"/>
        <v>1</v>
      </c>
      <c r="M47" s="199" t="str">
        <f t="shared" si="17"/>
        <v>C</v>
      </c>
    </row>
    <row r="48" spans="2:13">
      <c r="C48" s="205">
        <f>SUM(C28:C47)</f>
        <v>-10418.264746000001</v>
      </c>
      <c r="D48" s="206">
        <f>SUM(D28:D47)</f>
        <v>1</v>
      </c>
      <c r="J48" s="205">
        <f>SUM(J28:J47)</f>
        <v>11</v>
      </c>
      <c r="K48" s="206">
        <f>SUM(K28:K47)</f>
        <v>1</v>
      </c>
    </row>
  </sheetData>
  <sortState xmlns:xlrd2="http://schemas.microsoft.com/office/spreadsheetml/2017/richdata2" ref="B4:C23">
    <sortCondition descending="1" ref="C4:C23"/>
  </sortState>
  <mergeCells count="2">
    <mergeCell ref="B2:M2"/>
    <mergeCell ref="B26:M26"/>
  </mergeCells>
  <conditionalFormatting sqref="M4:M23 K4:K23 D4:D23 F4:G23">
    <cfRule type="cellIs" dxfId="294" priority="4" operator="equal">
      <formula>"C"</formula>
    </cfRule>
    <cfRule type="cellIs" dxfId="293" priority="5" operator="equal">
      <formula>"B"</formula>
    </cfRule>
    <cfRule type="cellIs" dxfId="292" priority="6" operator="equal">
      <formula>"A"</formula>
    </cfRule>
  </conditionalFormatting>
  <conditionalFormatting sqref="M28:M47 D28:D47 K28:K47 F28:G47">
    <cfRule type="cellIs" dxfId="291" priority="1" operator="equal">
      <formula>"C"</formula>
    </cfRule>
    <cfRule type="cellIs" dxfId="290" priority="2" operator="equal">
      <formula>"B"</formula>
    </cfRule>
    <cfRule type="cellIs" dxfId="289" priority="3" operator="equal">
      <formula>"A"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AE45-B38F-4262-B757-8CB2875F8B69}">
  <dimension ref="B1:M10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513" t="s">
        <v>294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</row>
    <row r="3" spans="2:13" ht="28.5" customHeight="1" outlineLevel="1" thickBot="1">
      <c r="C3" s="192" t="s">
        <v>212</v>
      </c>
      <c r="D3" s="193" t="s">
        <v>295</v>
      </c>
      <c r="E3" s="194" t="s">
        <v>296</v>
      </c>
      <c r="F3" s="193" t="s">
        <v>297</v>
      </c>
      <c r="G3" s="193" t="s">
        <v>298</v>
      </c>
      <c r="J3" s="192" t="s">
        <v>299</v>
      </c>
      <c r="K3" s="193" t="s">
        <v>300</v>
      </c>
      <c r="L3" s="194" t="s">
        <v>296</v>
      </c>
      <c r="M3" s="195" t="s">
        <v>298</v>
      </c>
    </row>
    <row r="4" spans="2:13" ht="28.5" customHeight="1" outlineLevel="1" thickBot="1">
      <c r="B4" s="196" t="s">
        <v>54</v>
      </c>
      <c r="C4" s="197">
        <f>АВГУСТ!AE7</f>
        <v>240.36044700000002</v>
      </c>
      <c r="D4" s="198">
        <f t="shared" ref="D4:D9" si="0">C4/C$10</f>
        <v>-2.3800800336090448E-2</v>
      </c>
      <c r="E4" s="198">
        <f>D4</f>
        <v>-2.3800800336090448E-2</v>
      </c>
      <c r="F4" s="199" t="str">
        <f t="shared" ref="F4:F9" si="1">IF(AND(E4&lt;=0),"C",IF(E4&lt;=0.8,"A",IF(E4&lt;=0.95,"B","C")))</f>
        <v>C</v>
      </c>
      <c r="G4" s="199" t="str">
        <f t="shared" ref="G4:G9" si="2">VLOOKUP(B$4:B$9,I$4:M$9,5,0)</f>
        <v>C</v>
      </c>
      <c r="I4" s="196" t="s">
        <v>25</v>
      </c>
      <c r="J4" s="197">
        <f>АВГУСТ!R3</f>
        <v>2</v>
      </c>
      <c r="K4" s="198">
        <f t="shared" ref="K4:K9" si="3">J4/J$10</f>
        <v>0.4</v>
      </c>
      <c r="L4" s="198">
        <f>K4</f>
        <v>0.4</v>
      </c>
      <c r="M4" s="199" t="str">
        <f t="shared" ref="M4:M9" si="4">_xlfn.IFS(L4&lt;80%,"A",L4&lt;=95%,"B",L4&gt;95%,"C")</f>
        <v>A</v>
      </c>
    </row>
    <row r="5" spans="2:13" ht="28.5" customHeight="1" outlineLevel="1" thickBot="1">
      <c r="B5" s="196" t="s">
        <v>88</v>
      </c>
      <c r="C5" s="197">
        <f>АВГУСТ!AE8</f>
        <v>-420.93839700000001</v>
      </c>
      <c r="D5" s="198">
        <f t="shared" si="0"/>
        <v>4.1681860996002282E-2</v>
      </c>
      <c r="E5" s="198">
        <f>D5+E4</f>
        <v>1.7881060659911834E-2</v>
      </c>
      <c r="F5" s="199" t="str">
        <f t="shared" si="1"/>
        <v>A</v>
      </c>
      <c r="G5" s="199" t="str">
        <f t="shared" si="2"/>
        <v>C</v>
      </c>
      <c r="I5" s="196" t="s">
        <v>92</v>
      </c>
      <c r="J5" s="197">
        <f>АВГУСТ!R4</f>
        <v>2</v>
      </c>
      <c r="K5" s="198">
        <f t="shared" si="3"/>
        <v>0.4</v>
      </c>
      <c r="L5" s="198">
        <f>K5+L4</f>
        <v>0.8</v>
      </c>
      <c r="M5" s="199" t="str">
        <f t="shared" si="4"/>
        <v>B</v>
      </c>
    </row>
    <row r="6" spans="2:13" ht="28.5" customHeight="1" outlineLevel="1" thickBot="1">
      <c r="B6" s="196" t="s">
        <v>25</v>
      </c>
      <c r="C6" s="197">
        <f>АВГУСТ!AE3</f>
        <v>-1437.5152980000003</v>
      </c>
      <c r="D6" s="198">
        <f t="shared" si="0"/>
        <v>0.14234461208076202</v>
      </c>
      <c r="E6" s="198">
        <f t="shared" ref="E6:E9" si="5">D6+E5</f>
        <v>0.16022567274067384</v>
      </c>
      <c r="F6" s="199" t="str">
        <f t="shared" si="1"/>
        <v>A</v>
      </c>
      <c r="G6" s="199" t="str">
        <f t="shared" si="2"/>
        <v>A</v>
      </c>
      <c r="I6" s="196" t="s">
        <v>54</v>
      </c>
      <c r="J6" s="197">
        <f>АВГУСТ!R7</f>
        <v>1</v>
      </c>
      <c r="K6" s="198">
        <f t="shared" si="3"/>
        <v>0.2</v>
      </c>
      <c r="L6" s="198">
        <f t="shared" ref="L6:L9" si="6">K6+L5</f>
        <v>1</v>
      </c>
      <c r="M6" s="199" t="str">
        <f t="shared" si="4"/>
        <v>C</v>
      </c>
    </row>
    <row r="7" spans="2:13" ht="28.5" customHeight="1" outlineLevel="1" thickBot="1">
      <c r="B7" s="196" t="s">
        <v>92</v>
      </c>
      <c r="C7" s="197">
        <f>АВГУСТ!AE4</f>
        <v>-1466.771158</v>
      </c>
      <c r="D7" s="198">
        <f t="shared" si="0"/>
        <v>0.14524156493307808</v>
      </c>
      <c r="E7" s="198">
        <f t="shared" si="5"/>
        <v>0.30546723767375195</v>
      </c>
      <c r="F7" s="199" t="str">
        <f t="shared" si="1"/>
        <v>A</v>
      </c>
      <c r="G7" s="199" t="str">
        <f t="shared" si="2"/>
        <v>B</v>
      </c>
      <c r="I7" s="196" t="s">
        <v>222</v>
      </c>
      <c r="J7" s="197">
        <f>АВГУСТ!R5</f>
        <v>0</v>
      </c>
      <c r="K7" s="198">
        <f t="shared" si="3"/>
        <v>0</v>
      </c>
      <c r="L7" s="198">
        <f t="shared" si="6"/>
        <v>1</v>
      </c>
      <c r="M7" s="199" t="str">
        <f t="shared" si="4"/>
        <v>C</v>
      </c>
    </row>
    <row r="8" spans="2:13" ht="28.5" customHeight="1" outlineLevel="1" thickBot="1">
      <c r="B8" s="196" t="s">
        <v>222</v>
      </c>
      <c r="C8" s="197">
        <f>АВГУСТ!AE5</f>
        <v>-2570.2273489999998</v>
      </c>
      <c r="D8" s="198">
        <f t="shared" si="0"/>
        <v>0.25450721495749273</v>
      </c>
      <c r="E8" s="198">
        <f t="shared" si="5"/>
        <v>0.55997445263124468</v>
      </c>
      <c r="F8" s="199" t="str">
        <f t="shared" si="1"/>
        <v>A</v>
      </c>
      <c r="G8" s="199" t="str">
        <f t="shared" si="2"/>
        <v>C</v>
      </c>
      <c r="I8" s="196" t="s">
        <v>223</v>
      </c>
      <c r="J8" s="197">
        <f>АВГУСТ!R6</f>
        <v>0</v>
      </c>
      <c r="K8" s="198">
        <f t="shared" si="3"/>
        <v>0</v>
      </c>
      <c r="L8" s="198">
        <f t="shared" si="6"/>
        <v>1</v>
      </c>
      <c r="M8" s="199" t="str">
        <f t="shared" si="4"/>
        <v>C</v>
      </c>
    </row>
    <row r="9" spans="2:13" ht="28.5" customHeight="1" outlineLevel="1" thickBot="1">
      <c r="B9" s="196" t="s">
        <v>223</v>
      </c>
      <c r="C9" s="197">
        <f>АВГУСТ!AE6</f>
        <v>-4443.7470910000002</v>
      </c>
      <c r="D9" s="198">
        <f t="shared" si="0"/>
        <v>0.44002554736875549</v>
      </c>
      <c r="E9" s="198">
        <f t="shared" si="5"/>
        <v>1.0000000000000002</v>
      </c>
      <c r="F9" s="199" t="str">
        <f t="shared" si="1"/>
        <v>C</v>
      </c>
      <c r="G9" s="199" t="str">
        <f t="shared" si="2"/>
        <v>C</v>
      </c>
      <c r="I9" s="196" t="s">
        <v>88</v>
      </c>
      <c r="J9" s="197">
        <f>АВГУСТ!R8</f>
        <v>0</v>
      </c>
      <c r="K9" s="198">
        <f t="shared" si="3"/>
        <v>0</v>
      </c>
      <c r="L9" s="198">
        <f t="shared" si="6"/>
        <v>1</v>
      </c>
      <c r="M9" s="199" t="str">
        <f t="shared" si="4"/>
        <v>C</v>
      </c>
    </row>
    <row r="10" spans="2:13" outlineLevel="1">
      <c r="C10" s="205">
        <f>SUM(C4:C9)</f>
        <v>-10098.838845999999</v>
      </c>
      <c r="D10" s="206">
        <f>SUM(D4:D9)</f>
        <v>1.0000000000000002</v>
      </c>
      <c r="J10" s="205">
        <f>SUM(J4:J9)</f>
        <v>5</v>
      </c>
      <c r="K10" s="206">
        <f>SUM(K4:K9)</f>
        <v>1</v>
      </c>
    </row>
  </sheetData>
  <sortState xmlns:xlrd2="http://schemas.microsoft.com/office/spreadsheetml/2017/richdata2" ref="B4:C9">
    <sortCondition descending="1" ref="C4:C9"/>
  </sortState>
  <mergeCells count="1">
    <mergeCell ref="B2:M2"/>
  </mergeCells>
  <conditionalFormatting sqref="M4:M9 K4:K9 D4:D9 F4:G9">
    <cfRule type="cellIs" dxfId="288" priority="4" operator="equal">
      <formula>"C"</formula>
    </cfRule>
    <cfRule type="cellIs" dxfId="287" priority="5" operator="equal">
      <formula>"B"</formula>
    </cfRule>
    <cfRule type="cellIs" dxfId="286" priority="6" operator="equal">
      <formula>"A"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7695-95CA-4D56-8F06-EFA02DEDC186}">
  <dimension ref="A1:P941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1795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1796</v>
      </c>
      <c r="B3" s="5">
        <v>46013</v>
      </c>
      <c r="C3" s="1" t="s">
        <v>28</v>
      </c>
      <c r="D3" s="1" t="s">
        <v>29</v>
      </c>
      <c r="E3" s="1" t="s">
        <v>25</v>
      </c>
      <c r="F3" s="1" t="s">
        <v>26</v>
      </c>
      <c r="G3" s="1" t="s">
        <v>1229</v>
      </c>
      <c r="H3" s="6">
        <v>1</v>
      </c>
      <c r="I3" s="7">
        <v>0</v>
      </c>
      <c r="J3" s="5">
        <v>46003</v>
      </c>
      <c r="K3" s="1" t="s">
        <v>957</v>
      </c>
      <c r="L3" s="1" t="s">
        <v>30</v>
      </c>
      <c r="M3" s="8">
        <v>0</v>
      </c>
      <c r="N3" s="6"/>
      <c r="O3" s="6">
        <v>40</v>
      </c>
      <c r="P3" s="9">
        <v>-46.77</v>
      </c>
    </row>
    <row r="4" spans="1:16" ht="19.5" customHeight="1">
      <c r="A4" s="1" t="s">
        <v>1796</v>
      </c>
      <c r="B4" s="5">
        <v>46013</v>
      </c>
      <c r="C4" s="1" t="s">
        <v>17</v>
      </c>
      <c r="D4" s="1" t="s">
        <v>37</v>
      </c>
      <c r="E4" s="1" t="s">
        <v>25</v>
      </c>
      <c r="F4" s="1" t="s">
        <v>26</v>
      </c>
      <c r="G4" s="1" t="s">
        <v>1229</v>
      </c>
      <c r="H4" s="6">
        <v>1</v>
      </c>
      <c r="I4" s="7">
        <v>0</v>
      </c>
      <c r="J4" s="5">
        <v>46003</v>
      </c>
      <c r="K4" s="1" t="s">
        <v>957</v>
      </c>
      <c r="L4" s="1" t="s">
        <v>30</v>
      </c>
      <c r="M4" s="8">
        <v>0</v>
      </c>
      <c r="N4" s="6"/>
      <c r="O4" s="6"/>
      <c r="P4" s="9">
        <v>-9.01</v>
      </c>
    </row>
    <row r="5" spans="1:16" ht="19.5" customHeight="1">
      <c r="A5" s="1" t="s">
        <v>1796</v>
      </c>
      <c r="B5" s="5">
        <v>46013</v>
      </c>
      <c r="C5" s="1" t="s">
        <v>28</v>
      </c>
      <c r="D5" s="1" t="s">
        <v>45</v>
      </c>
      <c r="E5" s="1" t="s">
        <v>25</v>
      </c>
      <c r="F5" s="1" t="s">
        <v>26</v>
      </c>
      <c r="G5" s="1" t="s">
        <v>1229</v>
      </c>
      <c r="H5" s="6">
        <v>1</v>
      </c>
      <c r="I5" s="7">
        <v>0</v>
      </c>
      <c r="J5" s="5">
        <v>46003</v>
      </c>
      <c r="K5" s="1" t="s">
        <v>957</v>
      </c>
      <c r="L5" s="1" t="s">
        <v>30</v>
      </c>
      <c r="M5" s="8">
        <v>0</v>
      </c>
      <c r="N5" s="6"/>
      <c r="O5" s="6"/>
      <c r="P5" s="9">
        <v>0</v>
      </c>
    </row>
    <row r="6" spans="1:16" ht="19.5" customHeight="1">
      <c r="A6" s="1" t="s">
        <v>1796</v>
      </c>
      <c r="B6" s="5">
        <v>46013</v>
      </c>
      <c r="C6" s="1" t="s">
        <v>28</v>
      </c>
      <c r="D6" s="1" t="s">
        <v>46</v>
      </c>
      <c r="E6" s="1" t="s">
        <v>25</v>
      </c>
      <c r="F6" s="1" t="s">
        <v>26</v>
      </c>
      <c r="G6" s="1" t="s">
        <v>1229</v>
      </c>
      <c r="H6" s="6">
        <v>1</v>
      </c>
      <c r="I6" s="7">
        <v>0</v>
      </c>
      <c r="J6" s="5">
        <v>46003</v>
      </c>
      <c r="K6" s="1" t="s">
        <v>957</v>
      </c>
      <c r="L6" s="1" t="s">
        <v>30</v>
      </c>
      <c r="M6" s="8">
        <v>0</v>
      </c>
      <c r="N6" s="6"/>
      <c r="O6" s="6"/>
      <c r="P6" s="9">
        <v>-46.77</v>
      </c>
    </row>
    <row r="7" spans="1:16" ht="19.5" customHeight="1">
      <c r="A7" s="1" t="s">
        <v>1796</v>
      </c>
      <c r="B7" s="5">
        <v>46013</v>
      </c>
      <c r="C7" s="1" t="s">
        <v>17</v>
      </c>
      <c r="D7" s="1" t="s">
        <v>47</v>
      </c>
      <c r="E7" s="1" t="s">
        <v>25</v>
      </c>
      <c r="F7" s="1" t="s">
        <v>26</v>
      </c>
      <c r="G7" s="1" t="s">
        <v>1229</v>
      </c>
      <c r="H7" s="6">
        <v>1</v>
      </c>
      <c r="I7" s="7">
        <v>0</v>
      </c>
      <c r="J7" s="5">
        <v>46003</v>
      </c>
      <c r="K7" s="1" t="s">
        <v>957</v>
      </c>
      <c r="L7" s="1" t="s">
        <v>30</v>
      </c>
      <c r="M7" s="8">
        <v>0</v>
      </c>
      <c r="N7" s="6"/>
      <c r="O7" s="6"/>
      <c r="P7" s="9">
        <v>-15</v>
      </c>
    </row>
    <row r="8" spans="1:16" ht="19.5" customHeight="1">
      <c r="A8" s="1" t="s">
        <v>1797</v>
      </c>
      <c r="B8" s="5">
        <v>46013</v>
      </c>
      <c r="C8" s="1" t="s">
        <v>28</v>
      </c>
      <c r="D8" s="1" t="s">
        <v>29</v>
      </c>
      <c r="E8" s="1" t="s">
        <v>25</v>
      </c>
      <c r="F8" s="1" t="s">
        <v>26</v>
      </c>
      <c r="G8" s="1" t="s">
        <v>1229</v>
      </c>
      <c r="H8" s="6">
        <v>1</v>
      </c>
      <c r="I8" s="7">
        <v>0</v>
      </c>
      <c r="J8" s="5">
        <v>45992</v>
      </c>
      <c r="K8" s="1" t="s">
        <v>957</v>
      </c>
      <c r="L8" s="1" t="s">
        <v>30</v>
      </c>
      <c r="M8" s="8">
        <v>0</v>
      </c>
      <c r="N8" s="6"/>
      <c r="O8" s="6">
        <v>45</v>
      </c>
      <c r="P8" s="9">
        <v>-46</v>
      </c>
    </row>
    <row r="9" spans="1:16" ht="19.5" customHeight="1">
      <c r="A9" s="1" t="s">
        <v>1797</v>
      </c>
      <c r="B9" s="5">
        <v>46013</v>
      </c>
      <c r="C9" s="1" t="s">
        <v>17</v>
      </c>
      <c r="D9" s="1" t="s">
        <v>37</v>
      </c>
      <c r="E9" s="1" t="s">
        <v>25</v>
      </c>
      <c r="F9" s="1" t="s">
        <v>26</v>
      </c>
      <c r="G9" s="1" t="s">
        <v>1229</v>
      </c>
      <c r="H9" s="6">
        <v>1</v>
      </c>
      <c r="I9" s="7">
        <v>0</v>
      </c>
      <c r="J9" s="5">
        <v>45992</v>
      </c>
      <c r="K9" s="1" t="s">
        <v>957</v>
      </c>
      <c r="L9" s="1" t="s">
        <v>30</v>
      </c>
      <c r="M9" s="8">
        <v>0</v>
      </c>
      <c r="N9" s="6"/>
      <c r="O9" s="6"/>
      <c r="P9" s="9">
        <v>-20.02</v>
      </c>
    </row>
    <row r="10" spans="1:16" ht="19.5" customHeight="1">
      <c r="A10" s="1" t="s">
        <v>1797</v>
      </c>
      <c r="B10" s="5">
        <v>46013</v>
      </c>
      <c r="C10" s="1" t="s">
        <v>28</v>
      </c>
      <c r="D10" s="1" t="s">
        <v>45</v>
      </c>
      <c r="E10" s="1" t="s">
        <v>25</v>
      </c>
      <c r="F10" s="1" t="s">
        <v>26</v>
      </c>
      <c r="G10" s="1" t="s">
        <v>1229</v>
      </c>
      <c r="H10" s="6">
        <v>1</v>
      </c>
      <c r="I10" s="7">
        <v>0</v>
      </c>
      <c r="J10" s="5">
        <v>45992</v>
      </c>
      <c r="K10" s="1" t="s">
        <v>957</v>
      </c>
      <c r="L10" s="1" t="s">
        <v>30</v>
      </c>
      <c r="M10" s="8">
        <v>0</v>
      </c>
      <c r="N10" s="6"/>
      <c r="O10" s="6"/>
      <c r="P10" s="9">
        <v>0</v>
      </c>
    </row>
    <row r="11" spans="1:16" ht="19.5" customHeight="1">
      <c r="A11" s="1" t="s">
        <v>1797</v>
      </c>
      <c r="B11" s="5">
        <v>46013</v>
      </c>
      <c r="C11" s="1" t="s">
        <v>28</v>
      </c>
      <c r="D11" s="1" t="s">
        <v>46</v>
      </c>
      <c r="E11" s="1" t="s">
        <v>25</v>
      </c>
      <c r="F11" s="1" t="s">
        <v>26</v>
      </c>
      <c r="G11" s="1" t="s">
        <v>1229</v>
      </c>
      <c r="H11" s="6">
        <v>1</v>
      </c>
      <c r="I11" s="7">
        <v>0</v>
      </c>
      <c r="J11" s="5">
        <v>45992</v>
      </c>
      <c r="K11" s="1" t="s">
        <v>957</v>
      </c>
      <c r="L11" s="1" t="s">
        <v>30</v>
      </c>
      <c r="M11" s="8">
        <v>0</v>
      </c>
      <c r="N11" s="6"/>
      <c r="O11" s="6"/>
      <c r="P11" s="9">
        <v>-46</v>
      </c>
    </row>
    <row r="12" spans="1:16" ht="19.5" customHeight="1">
      <c r="A12" s="1" t="s">
        <v>1798</v>
      </c>
      <c r="B12" s="5">
        <v>46013</v>
      </c>
      <c r="C12" s="1" t="s">
        <v>28</v>
      </c>
      <c r="D12" s="1" t="s">
        <v>29</v>
      </c>
      <c r="E12" s="1" t="s">
        <v>25</v>
      </c>
      <c r="F12" s="1" t="s">
        <v>26</v>
      </c>
      <c r="G12" s="1" t="s">
        <v>1229</v>
      </c>
      <c r="H12" s="6">
        <v>1</v>
      </c>
      <c r="I12" s="7">
        <v>0</v>
      </c>
      <c r="J12" s="5">
        <v>46007</v>
      </c>
      <c r="K12" s="1" t="s">
        <v>957</v>
      </c>
      <c r="L12" s="1" t="s">
        <v>30</v>
      </c>
      <c r="M12" s="8">
        <v>0</v>
      </c>
      <c r="N12" s="6"/>
      <c r="O12" s="6">
        <v>37</v>
      </c>
      <c r="P12" s="9">
        <v>-46.77</v>
      </c>
    </row>
    <row r="13" spans="1:16" ht="19.5" customHeight="1">
      <c r="A13" s="1" t="s">
        <v>1798</v>
      </c>
      <c r="B13" s="5">
        <v>46013</v>
      </c>
      <c r="C13" s="1" t="s">
        <v>17</v>
      </c>
      <c r="D13" s="1" t="s">
        <v>37</v>
      </c>
      <c r="E13" s="1" t="s">
        <v>25</v>
      </c>
      <c r="F13" s="1" t="s">
        <v>26</v>
      </c>
      <c r="G13" s="1" t="s">
        <v>1229</v>
      </c>
      <c r="H13" s="6">
        <v>1</v>
      </c>
      <c r="I13" s="7">
        <v>0</v>
      </c>
      <c r="J13" s="5">
        <v>46007</v>
      </c>
      <c r="K13" s="1" t="s">
        <v>957</v>
      </c>
      <c r="L13" s="1" t="s">
        <v>30</v>
      </c>
      <c r="M13" s="8">
        <v>0</v>
      </c>
      <c r="N13" s="6"/>
      <c r="O13" s="6"/>
      <c r="P13" s="9">
        <v>-7.6</v>
      </c>
    </row>
    <row r="14" spans="1:16" ht="19.5" customHeight="1">
      <c r="A14" s="1" t="s">
        <v>1798</v>
      </c>
      <c r="B14" s="5">
        <v>46013</v>
      </c>
      <c r="C14" s="1" t="s">
        <v>28</v>
      </c>
      <c r="D14" s="1" t="s">
        <v>45</v>
      </c>
      <c r="E14" s="1" t="s">
        <v>25</v>
      </c>
      <c r="F14" s="1" t="s">
        <v>26</v>
      </c>
      <c r="G14" s="1" t="s">
        <v>1229</v>
      </c>
      <c r="H14" s="6">
        <v>1</v>
      </c>
      <c r="I14" s="7">
        <v>0</v>
      </c>
      <c r="J14" s="5">
        <v>46007</v>
      </c>
      <c r="K14" s="1" t="s">
        <v>957</v>
      </c>
      <c r="L14" s="1" t="s">
        <v>30</v>
      </c>
      <c r="M14" s="8">
        <v>0</v>
      </c>
      <c r="N14" s="6"/>
      <c r="O14" s="6"/>
      <c r="P14" s="9">
        <v>0</v>
      </c>
    </row>
    <row r="15" spans="1:16" ht="19.5" customHeight="1">
      <c r="A15" s="1" t="s">
        <v>1798</v>
      </c>
      <c r="B15" s="5">
        <v>46013</v>
      </c>
      <c r="C15" s="1" t="s">
        <v>28</v>
      </c>
      <c r="D15" s="1" t="s">
        <v>46</v>
      </c>
      <c r="E15" s="1" t="s">
        <v>25</v>
      </c>
      <c r="F15" s="1" t="s">
        <v>26</v>
      </c>
      <c r="G15" s="1" t="s">
        <v>1229</v>
      </c>
      <c r="H15" s="6">
        <v>1</v>
      </c>
      <c r="I15" s="7">
        <v>0</v>
      </c>
      <c r="J15" s="5">
        <v>46007</v>
      </c>
      <c r="K15" s="1" t="s">
        <v>957</v>
      </c>
      <c r="L15" s="1" t="s">
        <v>30</v>
      </c>
      <c r="M15" s="8">
        <v>0</v>
      </c>
      <c r="N15" s="6"/>
      <c r="O15" s="6"/>
      <c r="P15" s="9">
        <v>-46.77</v>
      </c>
    </row>
    <row r="16" spans="1:16" ht="19.5" customHeight="1">
      <c r="A16" s="1" t="s">
        <v>1798</v>
      </c>
      <c r="B16" s="5">
        <v>46013</v>
      </c>
      <c r="C16" s="1" t="s">
        <v>17</v>
      </c>
      <c r="D16" s="1" t="s">
        <v>47</v>
      </c>
      <c r="E16" s="1" t="s">
        <v>25</v>
      </c>
      <c r="F16" s="1" t="s">
        <v>26</v>
      </c>
      <c r="G16" s="1" t="s">
        <v>1229</v>
      </c>
      <c r="H16" s="6">
        <v>1</v>
      </c>
      <c r="I16" s="7">
        <v>0</v>
      </c>
      <c r="J16" s="5">
        <v>46007</v>
      </c>
      <c r="K16" s="1" t="s">
        <v>957</v>
      </c>
      <c r="L16" s="1" t="s">
        <v>30</v>
      </c>
      <c r="M16" s="8">
        <v>0</v>
      </c>
      <c r="N16" s="6"/>
      <c r="O16" s="6"/>
      <c r="P16" s="9">
        <v>-15</v>
      </c>
    </row>
    <row r="17" spans="1:16" ht="19.5" customHeight="1">
      <c r="A17" s="1" t="s">
        <v>1799</v>
      </c>
      <c r="B17" s="5">
        <v>46013</v>
      </c>
      <c r="C17" s="1" t="s">
        <v>28</v>
      </c>
      <c r="D17" s="1" t="s">
        <v>29</v>
      </c>
      <c r="E17" s="1" t="s">
        <v>92</v>
      </c>
      <c r="F17" s="1" t="s">
        <v>93</v>
      </c>
      <c r="G17" s="1" t="s">
        <v>1229</v>
      </c>
      <c r="H17" s="6">
        <v>1</v>
      </c>
      <c r="I17" s="7">
        <v>932</v>
      </c>
      <c r="J17" s="5">
        <v>46002</v>
      </c>
      <c r="K17" s="1" t="s">
        <v>957</v>
      </c>
      <c r="L17" s="1" t="s">
        <v>30</v>
      </c>
      <c r="M17" s="8">
        <v>0.43</v>
      </c>
      <c r="N17" s="6"/>
      <c r="O17" s="6">
        <v>40</v>
      </c>
      <c r="P17" s="9">
        <v>-94.39</v>
      </c>
    </row>
    <row r="18" spans="1:16" ht="19.5" customHeight="1">
      <c r="A18" s="1" t="s">
        <v>1799</v>
      </c>
      <c r="B18" s="5">
        <v>46013</v>
      </c>
      <c r="C18" s="1" t="s">
        <v>31</v>
      </c>
      <c r="D18" s="1" t="s">
        <v>32</v>
      </c>
      <c r="E18" s="1" t="s">
        <v>92</v>
      </c>
      <c r="F18" s="1" t="s">
        <v>93</v>
      </c>
      <c r="G18" s="1" t="s">
        <v>1229</v>
      </c>
      <c r="H18" s="6">
        <v>1</v>
      </c>
      <c r="I18" s="7">
        <v>932</v>
      </c>
      <c r="J18" s="5">
        <v>46002</v>
      </c>
      <c r="K18" s="1" t="s">
        <v>957</v>
      </c>
      <c r="L18" s="1" t="s">
        <v>30</v>
      </c>
      <c r="M18" s="8">
        <v>0</v>
      </c>
      <c r="N18" s="6"/>
      <c r="O18" s="6"/>
      <c r="P18" s="9">
        <v>553.76</v>
      </c>
    </row>
    <row r="19" spans="1:16" ht="19.5" customHeight="1">
      <c r="A19" s="1" t="s">
        <v>1799</v>
      </c>
      <c r="B19" s="5">
        <v>46013</v>
      </c>
      <c r="C19" s="1" t="s">
        <v>31</v>
      </c>
      <c r="D19" s="1" t="s">
        <v>33</v>
      </c>
      <c r="E19" s="1" t="s">
        <v>92</v>
      </c>
      <c r="F19" s="1" t="s">
        <v>93</v>
      </c>
      <c r="G19" s="1" t="s">
        <v>1229</v>
      </c>
      <c r="H19" s="6">
        <v>1</v>
      </c>
      <c r="I19" s="7">
        <v>932</v>
      </c>
      <c r="J19" s="5">
        <v>46002</v>
      </c>
      <c r="K19" s="1" t="s">
        <v>957</v>
      </c>
      <c r="L19" s="1" t="s">
        <v>30</v>
      </c>
      <c r="M19" s="8">
        <v>0</v>
      </c>
      <c r="N19" s="6"/>
      <c r="O19" s="6"/>
      <c r="P19" s="9">
        <v>0</v>
      </c>
    </row>
    <row r="20" spans="1:16" ht="19.5" customHeight="1">
      <c r="A20" s="1" t="s">
        <v>1799</v>
      </c>
      <c r="B20" s="5">
        <v>46013</v>
      </c>
      <c r="C20" s="1" t="s">
        <v>31</v>
      </c>
      <c r="D20" s="1" t="s">
        <v>34</v>
      </c>
      <c r="E20" s="1" t="s">
        <v>92</v>
      </c>
      <c r="F20" s="1" t="s">
        <v>93</v>
      </c>
      <c r="G20" s="1" t="s">
        <v>1229</v>
      </c>
      <c r="H20" s="6">
        <v>1</v>
      </c>
      <c r="I20" s="7">
        <v>932</v>
      </c>
      <c r="J20" s="5">
        <v>46002</v>
      </c>
      <c r="K20" s="1" t="s">
        <v>957</v>
      </c>
      <c r="L20" s="1" t="s">
        <v>30</v>
      </c>
      <c r="M20" s="8">
        <v>0</v>
      </c>
      <c r="N20" s="6"/>
      <c r="O20" s="6"/>
      <c r="P20" s="9">
        <v>378.24</v>
      </c>
    </row>
    <row r="21" spans="1:16" ht="19.5" customHeight="1">
      <c r="A21" s="1" t="s">
        <v>1799</v>
      </c>
      <c r="B21" s="5">
        <v>46013</v>
      </c>
      <c r="C21" s="1" t="s">
        <v>35</v>
      </c>
      <c r="D21" s="1" t="s">
        <v>36</v>
      </c>
      <c r="E21" s="1" t="s">
        <v>92</v>
      </c>
      <c r="F21" s="1" t="s">
        <v>93</v>
      </c>
      <c r="G21" s="1" t="s">
        <v>1229</v>
      </c>
      <c r="H21" s="6">
        <v>1</v>
      </c>
      <c r="I21" s="7">
        <v>932</v>
      </c>
      <c r="J21" s="5">
        <v>46002</v>
      </c>
      <c r="K21" s="1" t="s">
        <v>957</v>
      </c>
      <c r="L21" s="1" t="s">
        <v>30</v>
      </c>
      <c r="M21" s="8">
        <v>0.43</v>
      </c>
      <c r="N21" s="6"/>
      <c r="O21" s="6"/>
      <c r="P21" s="9">
        <v>-400.76</v>
      </c>
    </row>
    <row r="22" spans="1:16" ht="19.5" customHeight="1">
      <c r="A22" s="1" t="s">
        <v>1799</v>
      </c>
      <c r="B22" s="5">
        <v>46013</v>
      </c>
      <c r="C22" s="1" t="s">
        <v>17</v>
      </c>
      <c r="D22" s="1" t="s">
        <v>37</v>
      </c>
      <c r="E22" s="1" t="s">
        <v>92</v>
      </c>
      <c r="F22" s="1" t="s">
        <v>93</v>
      </c>
      <c r="G22" s="1" t="s">
        <v>1229</v>
      </c>
      <c r="H22" s="6">
        <v>1</v>
      </c>
      <c r="I22" s="7">
        <v>932</v>
      </c>
      <c r="J22" s="5">
        <v>46002</v>
      </c>
      <c r="K22" s="1" t="s">
        <v>957</v>
      </c>
      <c r="L22" s="1" t="s">
        <v>30</v>
      </c>
      <c r="M22" s="8">
        <v>0.43</v>
      </c>
      <c r="N22" s="6"/>
      <c r="O22" s="6"/>
      <c r="P22" s="9">
        <v>-6.46</v>
      </c>
    </row>
    <row r="23" spans="1:16" ht="19.5" customHeight="1">
      <c r="A23" s="1" t="s">
        <v>1800</v>
      </c>
      <c r="B23" s="5">
        <v>46013</v>
      </c>
      <c r="C23" s="1" t="s">
        <v>17</v>
      </c>
      <c r="D23" s="1" t="s">
        <v>18</v>
      </c>
      <c r="E23" s="1" t="s">
        <v>25</v>
      </c>
      <c r="F23" s="1" t="s">
        <v>26</v>
      </c>
      <c r="G23" s="1" t="s">
        <v>1229</v>
      </c>
      <c r="H23" s="6">
        <v>1</v>
      </c>
      <c r="I23" s="7">
        <v>0</v>
      </c>
      <c r="J23" s="5">
        <v>46013</v>
      </c>
      <c r="K23" s="1" t="s">
        <v>22</v>
      </c>
      <c r="L23" s="1" t="s">
        <v>22</v>
      </c>
      <c r="M23" s="8">
        <v>0</v>
      </c>
      <c r="N23" s="6"/>
      <c r="O23" s="6"/>
      <c r="P23" s="9">
        <v>-11.11</v>
      </c>
    </row>
    <row r="24" spans="1:16" ht="19.5" customHeight="1">
      <c r="A24" s="1" t="s">
        <v>1801</v>
      </c>
      <c r="B24" s="5">
        <v>46013</v>
      </c>
      <c r="C24" s="1" t="s">
        <v>17</v>
      </c>
      <c r="D24" s="1" t="s">
        <v>18</v>
      </c>
      <c r="E24" s="1" t="s">
        <v>25</v>
      </c>
      <c r="F24" s="1" t="s">
        <v>26</v>
      </c>
      <c r="G24" s="1" t="s">
        <v>1229</v>
      </c>
      <c r="H24" s="6">
        <v>1</v>
      </c>
      <c r="I24" s="7">
        <v>0</v>
      </c>
      <c r="J24" s="5">
        <v>46013</v>
      </c>
      <c r="K24" s="1" t="s">
        <v>22</v>
      </c>
      <c r="L24" s="1" t="s">
        <v>22</v>
      </c>
      <c r="M24" s="8">
        <v>0</v>
      </c>
      <c r="N24" s="6"/>
      <c r="O24" s="6"/>
      <c r="P24" s="9">
        <v>-11.12</v>
      </c>
    </row>
    <row r="25" spans="1:16" ht="19.5" customHeight="1">
      <c r="A25" s="1" t="s">
        <v>1800</v>
      </c>
      <c r="B25" s="5">
        <v>46013</v>
      </c>
      <c r="C25" s="1" t="s">
        <v>17</v>
      </c>
      <c r="D25" s="1" t="s">
        <v>18</v>
      </c>
      <c r="E25" s="1" t="s">
        <v>25</v>
      </c>
      <c r="F25" s="1" t="s">
        <v>26</v>
      </c>
      <c r="G25" s="1" t="s">
        <v>1229</v>
      </c>
      <c r="H25" s="6">
        <v>1</v>
      </c>
      <c r="I25" s="7">
        <v>0</v>
      </c>
      <c r="J25" s="5">
        <v>46013</v>
      </c>
      <c r="K25" s="1" t="s">
        <v>22</v>
      </c>
      <c r="L25" s="1" t="s">
        <v>22</v>
      </c>
      <c r="M25" s="8">
        <v>0</v>
      </c>
      <c r="N25" s="6"/>
      <c r="O25" s="6"/>
      <c r="P25" s="9">
        <v>11.11</v>
      </c>
    </row>
    <row r="26" spans="1:16" ht="19.5" customHeight="1">
      <c r="A26" s="1" t="s">
        <v>1802</v>
      </c>
      <c r="B26" s="5">
        <v>46013</v>
      </c>
      <c r="C26" s="1" t="s">
        <v>28</v>
      </c>
      <c r="D26" s="1" t="s">
        <v>29</v>
      </c>
      <c r="E26" s="1" t="s">
        <v>223</v>
      </c>
      <c r="F26" s="1" t="s">
        <v>395</v>
      </c>
      <c r="G26" s="1" t="s">
        <v>1229</v>
      </c>
      <c r="H26" s="6">
        <v>1</v>
      </c>
      <c r="I26" s="7">
        <v>1292</v>
      </c>
      <c r="J26" s="5">
        <v>46008</v>
      </c>
      <c r="K26" s="1" t="s">
        <v>957</v>
      </c>
      <c r="L26" s="1" t="s">
        <v>30</v>
      </c>
      <c r="M26" s="8">
        <v>0.43</v>
      </c>
      <c r="N26" s="6"/>
      <c r="O26" s="6">
        <v>41</v>
      </c>
      <c r="P26" s="9">
        <v>-106.91</v>
      </c>
    </row>
    <row r="27" spans="1:16" ht="19.5" customHeight="1">
      <c r="A27" s="1" t="s">
        <v>1802</v>
      </c>
      <c r="B27" s="5">
        <v>46013</v>
      </c>
      <c r="C27" s="1" t="s">
        <v>31</v>
      </c>
      <c r="D27" s="1" t="s">
        <v>32</v>
      </c>
      <c r="E27" s="1" t="s">
        <v>223</v>
      </c>
      <c r="F27" s="1" t="s">
        <v>395</v>
      </c>
      <c r="G27" s="1" t="s">
        <v>1229</v>
      </c>
      <c r="H27" s="6">
        <v>1</v>
      </c>
      <c r="I27" s="7">
        <v>1292</v>
      </c>
      <c r="J27" s="5">
        <v>46008</v>
      </c>
      <c r="K27" s="1" t="s">
        <v>957</v>
      </c>
      <c r="L27" s="1" t="s">
        <v>30</v>
      </c>
      <c r="M27" s="8">
        <v>0</v>
      </c>
      <c r="N27" s="6"/>
      <c r="O27" s="6"/>
      <c r="P27" s="9">
        <v>564.64</v>
      </c>
    </row>
    <row r="28" spans="1:16" ht="19.5" customHeight="1">
      <c r="A28" s="1" t="s">
        <v>1802</v>
      </c>
      <c r="B28" s="5">
        <v>46013</v>
      </c>
      <c r="C28" s="1" t="s">
        <v>31</v>
      </c>
      <c r="D28" s="1" t="s">
        <v>33</v>
      </c>
      <c r="E28" s="1" t="s">
        <v>223</v>
      </c>
      <c r="F28" s="1" t="s">
        <v>395</v>
      </c>
      <c r="G28" s="1" t="s">
        <v>1229</v>
      </c>
      <c r="H28" s="6">
        <v>1</v>
      </c>
      <c r="I28" s="7">
        <v>1292</v>
      </c>
      <c r="J28" s="5">
        <v>46008</v>
      </c>
      <c r="K28" s="1" t="s">
        <v>957</v>
      </c>
      <c r="L28" s="1" t="s">
        <v>30</v>
      </c>
      <c r="M28" s="8">
        <v>0</v>
      </c>
      <c r="N28" s="6"/>
      <c r="O28" s="6"/>
      <c r="P28" s="9">
        <v>0</v>
      </c>
    </row>
    <row r="29" spans="1:16" ht="19.5" customHeight="1">
      <c r="A29" s="1" t="s">
        <v>1802</v>
      </c>
      <c r="B29" s="5">
        <v>46013</v>
      </c>
      <c r="C29" s="1" t="s">
        <v>31</v>
      </c>
      <c r="D29" s="1" t="s">
        <v>34</v>
      </c>
      <c r="E29" s="1" t="s">
        <v>223</v>
      </c>
      <c r="F29" s="1" t="s">
        <v>395</v>
      </c>
      <c r="G29" s="1" t="s">
        <v>1229</v>
      </c>
      <c r="H29" s="6">
        <v>1</v>
      </c>
      <c r="I29" s="7">
        <v>1292</v>
      </c>
      <c r="J29" s="5">
        <v>46008</v>
      </c>
      <c r="K29" s="1" t="s">
        <v>957</v>
      </c>
      <c r="L29" s="1" t="s">
        <v>30</v>
      </c>
      <c r="M29" s="8">
        <v>0</v>
      </c>
      <c r="N29" s="6"/>
      <c r="O29" s="6"/>
      <c r="P29" s="9">
        <v>727.36</v>
      </c>
    </row>
    <row r="30" spans="1:16" ht="19.5" customHeight="1">
      <c r="A30" s="1" t="s">
        <v>1802</v>
      </c>
      <c r="B30" s="5">
        <v>46013</v>
      </c>
      <c r="C30" s="1" t="s">
        <v>35</v>
      </c>
      <c r="D30" s="1" t="s">
        <v>36</v>
      </c>
      <c r="E30" s="1" t="s">
        <v>223</v>
      </c>
      <c r="F30" s="1" t="s">
        <v>395</v>
      </c>
      <c r="G30" s="1" t="s">
        <v>1229</v>
      </c>
      <c r="H30" s="6">
        <v>1</v>
      </c>
      <c r="I30" s="7">
        <v>1292</v>
      </c>
      <c r="J30" s="5">
        <v>46008</v>
      </c>
      <c r="K30" s="1" t="s">
        <v>957</v>
      </c>
      <c r="L30" s="1" t="s">
        <v>30</v>
      </c>
      <c r="M30" s="8">
        <v>0.43</v>
      </c>
      <c r="N30" s="6"/>
      <c r="O30" s="6"/>
      <c r="P30" s="9">
        <v>-555.55999999999995</v>
      </c>
    </row>
    <row r="31" spans="1:16" ht="19.5" customHeight="1">
      <c r="A31" s="1" t="s">
        <v>1802</v>
      </c>
      <c r="B31" s="5">
        <v>46013</v>
      </c>
      <c r="C31" s="1" t="s">
        <v>17</v>
      </c>
      <c r="D31" s="1" t="s">
        <v>37</v>
      </c>
      <c r="E31" s="1" t="s">
        <v>223</v>
      </c>
      <c r="F31" s="1" t="s">
        <v>395</v>
      </c>
      <c r="G31" s="1" t="s">
        <v>1229</v>
      </c>
      <c r="H31" s="6">
        <v>1</v>
      </c>
      <c r="I31" s="7">
        <v>1292</v>
      </c>
      <c r="J31" s="5">
        <v>46008</v>
      </c>
      <c r="K31" s="1" t="s">
        <v>957</v>
      </c>
      <c r="L31" s="1" t="s">
        <v>30</v>
      </c>
      <c r="M31" s="8">
        <v>0.43</v>
      </c>
      <c r="N31" s="6"/>
      <c r="O31" s="6"/>
      <c r="P31" s="9">
        <v>-5.42</v>
      </c>
    </row>
    <row r="32" spans="1:16" ht="19.5" customHeight="1">
      <c r="A32" s="1" t="s">
        <v>1803</v>
      </c>
      <c r="B32" s="5">
        <v>46013</v>
      </c>
      <c r="C32" s="1" t="s">
        <v>28</v>
      </c>
      <c r="D32" s="1" t="s">
        <v>29</v>
      </c>
      <c r="E32" s="1" t="s">
        <v>223</v>
      </c>
      <c r="F32" s="1" t="s">
        <v>395</v>
      </c>
      <c r="G32" s="1" t="s">
        <v>1229</v>
      </c>
      <c r="H32" s="6">
        <v>1</v>
      </c>
      <c r="I32" s="7">
        <v>1292</v>
      </c>
      <c r="J32" s="5">
        <v>46008</v>
      </c>
      <c r="K32" s="1" t="s">
        <v>957</v>
      </c>
      <c r="L32" s="1" t="s">
        <v>30</v>
      </c>
      <c r="M32" s="8">
        <v>0.43</v>
      </c>
      <c r="N32" s="6"/>
      <c r="O32" s="6">
        <v>41</v>
      </c>
      <c r="P32" s="9">
        <v>-106.91</v>
      </c>
    </row>
    <row r="33" spans="1:16" ht="19.5" customHeight="1">
      <c r="A33" s="1" t="s">
        <v>1803</v>
      </c>
      <c r="B33" s="5">
        <v>46013</v>
      </c>
      <c r="C33" s="1" t="s">
        <v>31</v>
      </c>
      <c r="D33" s="1" t="s">
        <v>32</v>
      </c>
      <c r="E33" s="1" t="s">
        <v>223</v>
      </c>
      <c r="F33" s="1" t="s">
        <v>395</v>
      </c>
      <c r="G33" s="1" t="s">
        <v>1229</v>
      </c>
      <c r="H33" s="6">
        <v>1</v>
      </c>
      <c r="I33" s="7">
        <v>1292</v>
      </c>
      <c r="J33" s="5">
        <v>46008</v>
      </c>
      <c r="K33" s="1" t="s">
        <v>957</v>
      </c>
      <c r="L33" s="1" t="s">
        <v>30</v>
      </c>
      <c r="M33" s="8">
        <v>0</v>
      </c>
      <c r="N33" s="6"/>
      <c r="O33" s="6"/>
      <c r="P33" s="9">
        <v>519.51</v>
      </c>
    </row>
    <row r="34" spans="1:16" ht="19.5" customHeight="1">
      <c r="A34" s="1" t="s">
        <v>1803</v>
      </c>
      <c r="B34" s="5">
        <v>46013</v>
      </c>
      <c r="C34" s="1" t="s">
        <v>31</v>
      </c>
      <c r="D34" s="1" t="s">
        <v>33</v>
      </c>
      <c r="E34" s="1" t="s">
        <v>223</v>
      </c>
      <c r="F34" s="1" t="s">
        <v>395</v>
      </c>
      <c r="G34" s="1" t="s">
        <v>1229</v>
      </c>
      <c r="H34" s="6">
        <v>1</v>
      </c>
      <c r="I34" s="7">
        <v>1292</v>
      </c>
      <c r="J34" s="5">
        <v>46008</v>
      </c>
      <c r="K34" s="1" t="s">
        <v>957</v>
      </c>
      <c r="L34" s="1" t="s">
        <v>30</v>
      </c>
      <c r="M34" s="8">
        <v>0</v>
      </c>
      <c r="N34" s="6"/>
      <c r="O34" s="6"/>
      <c r="P34" s="9">
        <v>5.2</v>
      </c>
    </row>
    <row r="35" spans="1:16" ht="19.5" customHeight="1">
      <c r="A35" s="1" t="s">
        <v>1803</v>
      </c>
      <c r="B35" s="5">
        <v>46013</v>
      </c>
      <c r="C35" s="1" t="s">
        <v>31</v>
      </c>
      <c r="D35" s="1" t="s">
        <v>34</v>
      </c>
      <c r="E35" s="1" t="s">
        <v>223</v>
      </c>
      <c r="F35" s="1" t="s">
        <v>395</v>
      </c>
      <c r="G35" s="1" t="s">
        <v>1229</v>
      </c>
      <c r="H35" s="6">
        <v>1</v>
      </c>
      <c r="I35" s="7">
        <v>1292</v>
      </c>
      <c r="J35" s="5">
        <v>46008</v>
      </c>
      <c r="K35" s="1" t="s">
        <v>957</v>
      </c>
      <c r="L35" s="1" t="s">
        <v>30</v>
      </c>
      <c r="M35" s="8">
        <v>0</v>
      </c>
      <c r="N35" s="6"/>
      <c r="O35" s="6"/>
      <c r="P35" s="9">
        <v>767.29</v>
      </c>
    </row>
    <row r="36" spans="1:16" ht="19.5" customHeight="1">
      <c r="A36" s="1" t="s">
        <v>1803</v>
      </c>
      <c r="B36" s="5">
        <v>46013</v>
      </c>
      <c r="C36" s="1" t="s">
        <v>35</v>
      </c>
      <c r="D36" s="1" t="s">
        <v>36</v>
      </c>
      <c r="E36" s="1" t="s">
        <v>223</v>
      </c>
      <c r="F36" s="1" t="s">
        <v>395</v>
      </c>
      <c r="G36" s="1" t="s">
        <v>1229</v>
      </c>
      <c r="H36" s="6">
        <v>1</v>
      </c>
      <c r="I36" s="7">
        <v>1292</v>
      </c>
      <c r="J36" s="5">
        <v>46008</v>
      </c>
      <c r="K36" s="1" t="s">
        <v>957</v>
      </c>
      <c r="L36" s="1" t="s">
        <v>30</v>
      </c>
      <c r="M36" s="8">
        <v>0.43</v>
      </c>
      <c r="N36" s="6"/>
      <c r="O36" s="6"/>
      <c r="P36" s="9">
        <v>-555.55999999999995</v>
      </c>
    </row>
    <row r="37" spans="1:16" ht="19.5" customHeight="1">
      <c r="A37" s="1" t="s">
        <v>1803</v>
      </c>
      <c r="B37" s="5">
        <v>46013</v>
      </c>
      <c r="C37" s="1" t="s">
        <v>17</v>
      </c>
      <c r="D37" s="1" t="s">
        <v>37</v>
      </c>
      <c r="E37" s="1" t="s">
        <v>223</v>
      </c>
      <c r="F37" s="1" t="s">
        <v>395</v>
      </c>
      <c r="G37" s="1" t="s">
        <v>1229</v>
      </c>
      <c r="H37" s="6">
        <v>1</v>
      </c>
      <c r="I37" s="7">
        <v>1292</v>
      </c>
      <c r="J37" s="5">
        <v>46008</v>
      </c>
      <c r="K37" s="1" t="s">
        <v>957</v>
      </c>
      <c r="L37" s="1" t="s">
        <v>30</v>
      </c>
      <c r="M37" s="8">
        <v>0.43</v>
      </c>
      <c r="N37" s="6"/>
      <c r="O37" s="6"/>
      <c r="P37" s="9">
        <v>-6.39</v>
      </c>
    </row>
    <row r="38" spans="1:16" ht="19.5" customHeight="1">
      <c r="A38" s="1" t="s">
        <v>1804</v>
      </c>
      <c r="B38" s="5">
        <v>46013</v>
      </c>
      <c r="C38" s="1" t="s">
        <v>28</v>
      </c>
      <c r="D38" s="1" t="s">
        <v>29</v>
      </c>
      <c r="E38" s="1" t="s">
        <v>223</v>
      </c>
      <c r="F38" s="1" t="s">
        <v>395</v>
      </c>
      <c r="G38" s="1" t="s">
        <v>1229</v>
      </c>
      <c r="H38" s="6">
        <v>1</v>
      </c>
      <c r="I38" s="7">
        <v>1292</v>
      </c>
      <c r="J38" s="5">
        <v>46009</v>
      </c>
      <c r="K38" s="1" t="s">
        <v>957</v>
      </c>
      <c r="L38" s="1" t="s">
        <v>30</v>
      </c>
      <c r="M38" s="8">
        <v>0.43</v>
      </c>
      <c r="N38" s="6"/>
      <c r="O38" s="6">
        <v>40</v>
      </c>
      <c r="P38" s="9">
        <v>-103.57</v>
      </c>
    </row>
    <row r="39" spans="1:16" ht="19.5" customHeight="1">
      <c r="A39" s="1" t="s">
        <v>1804</v>
      </c>
      <c r="B39" s="5">
        <v>46013</v>
      </c>
      <c r="C39" s="1" t="s">
        <v>31</v>
      </c>
      <c r="D39" s="1" t="s">
        <v>32</v>
      </c>
      <c r="E39" s="1" t="s">
        <v>223</v>
      </c>
      <c r="F39" s="1" t="s">
        <v>395</v>
      </c>
      <c r="G39" s="1" t="s">
        <v>1229</v>
      </c>
      <c r="H39" s="6">
        <v>1</v>
      </c>
      <c r="I39" s="7">
        <v>1292</v>
      </c>
      <c r="J39" s="5">
        <v>46009</v>
      </c>
      <c r="K39" s="1" t="s">
        <v>957</v>
      </c>
      <c r="L39" s="1" t="s">
        <v>30</v>
      </c>
      <c r="M39" s="8">
        <v>0</v>
      </c>
      <c r="N39" s="6"/>
      <c r="O39" s="6"/>
      <c r="P39" s="9">
        <v>493.33</v>
      </c>
    </row>
    <row r="40" spans="1:16" ht="19.5" customHeight="1">
      <c r="A40" s="1" t="s">
        <v>1804</v>
      </c>
      <c r="B40" s="5">
        <v>46013</v>
      </c>
      <c r="C40" s="1" t="s">
        <v>31</v>
      </c>
      <c r="D40" s="1" t="s">
        <v>33</v>
      </c>
      <c r="E40" s="1" t="s">
        <v>223</v>
      </c>
      <c r="F40" s="1" t="s">
        <v>395</v>
      </c>
      <c r="G40" s="1" t="s">
        <v>1229</v>
      </c>
      <c r="H40" s="6">
        <v>1</v>
      </c>
      <c r="I40" s="7">
        <v>1292</v>
      </c>
      <c r="J40" s="5">
        <v>46009</v>
      </c>
      <c r="K40" s="1" t="s">
        <v>957</v>
      </c>
      <c r="L40" s="1" t="s">
        <v>30</v>
      </c>
      <c r="M40" s="8">
        <v>0</v>
      </c>
      <c r="N40" s="6"/>
      <c r="O40" s="6"/>
      <c r="P40" s="9">
        <v>4.93</v>
      </c>
    </row>
    <row r="41" spans="1:16" ht="19.5" customHeight="1">
      <c r="A41" s="1" t="s">
        <v>1804</v>
      </c>
      <c r="B41" s="5">
        <v>46013</v>
      </c>
      <c r="C41" s="1" t="s">
        <v>31</v>
      </c>
      <c r="D41" s="1" t="s">
        <v>34</v>
      </c>
      <c r="E41" s="1" t="s">
        <v>223</v>
      </c>
      <c r="F41" s="1" t="s">
        <v>395</v>
      </c>
      <c r="G41" s="1" t="s">
        <v>1229</v>
      </c>
      <c r="H41" s="6">
        <v>1</v>
      </c>
      <c r="I41" s="7">
        <v>1292</v>
      </c>
      <c r="J41" s="5">
        <v>46009</v>
      </c>
      <c r="K41" s="1" t="s">
        <v>957</v>
      </c>
      <c r="L41" s="1" t="s">
        <v>30</v>
      </c>
      <c r="M41" s="8">
        <v>0</v>
      </c>
      <c r="N41" s="6"/>
      <c r="O41" s="6"/>
      <c r="P41" s="9">
        <v>793.74</v>
      </c>
    </row>
    <row r="42" spans="1:16" ht="19.5" customHeight="1">
      <c r="A42" s="1" t="s">
        <v>1804</v>
      </c>
      <c r="B42" s="5">
        <v>46013</v>
      </c>
      <c r="C42" s="1" t="s">
        <v>35</v>
      </c>
      <c r="D42" s="1" t="s">
        <v>36</v>
      </c>
      <c r="E42" s="1" t="s">
        <v>223</v>
      </c>
      <c r="F42" s="1" t="s">
        <v>395</v>
      </c>
      <c r="G42" s="1" t="s">
        <v>1229</v>
      </c>
      <c r="H42" s="6">
        <v>1</v>
      </c>
      <c r="I42" s="7">
        <v>1292</v>
      </c>
      <c r="J42" s="5">
        <v>46009</v>
      </c>
      <c r="K42" s="1" t="s">
        <v>957</v>
      </c>
      <c r="L42" s="1" t="s">
        <v>30</v>
      </c>
      <c r="M42" s="8">
        <v>0.43</v>
      </c>
      <c r="N42" s="6"/>
      <c r="O42" s="6"/>
      <c r="P42" s="9">
        <v>-555.55999999999995</v>
      </c>
    </row>
    <row r="43" spans="1:16" ht="19.5" customHeight="1">
      <c r="A43" s="1" t="s">
        <v>1804</v>
      </c>
      <c r="B43" s="5">
        <v>46013</v>
      </c>
      <c r="C43" s="1" t="s">
        <v>17</v>
      </c>
      <c r="D43" s="1" t="s">
        <v>37</v>
      </c>
      <c r="E43" s="1" t="s">
        <v>223</v>
      </c>
      <c r="F43" s="1" t="s">
        <v>395</v>
      </c>
      <c r="G43" s="1" t="s">
        <v>1229</v>
      </c>
      <c r="H43" s="6">
        <v>1</v>
      </c>
      <c r="I43" s="7">
        <v>1292</v>
      </c>
      <c r="J43" s="5">
        <v>46009</v>
      </c>
      <c r="K43" s="1" t="s">
        <v>957</v>
      </c>
      <c r="L43" s="1" t="s">
        <v>30</v>
      </c>
      <c r="M43" s="8">
        <v>0.43</v>
      </c>
      <c r="N43" s="6"/>
      <c r="O43" s="6"/>
      <c r="P43" s="9">
        <v>-11.26</v>
      </c>
    </row>
    <row r="44" spans="1:16" ht="19.5" customHeight="1">
      <c r="A44" s="1" t="s">
        <v>1804</v>
      </c>
      <c r="B44" s="5">
        <v>46013</v>
      </c>
      <c r="C44" s="1" t="s">
        <v>17</v>
      </c>
      <c r="D44" s="1" t="s">
        <v>18</v>
      </c>
      <c r="E44" s="1" t="s">
        <v>223</v>
      </c>
      <c r="F44" s="1" t="s">
        <v>395</v>
      </c>
      <c r="G44" s="1" t="s">
        <v>1229</v>
      </c>
      <c r="H44" s="6">
        <v>1</v>
      </c>
      <c r="I44" s="7">
        <v>0</v>
      </c>
      <c r="J44" s="5">
        <v>46009</v>
      </c>
      <c r="K44" s="1" t="s">
        <v>22</v>
      </c>
      <c r="L44" s="1" t="s">
        <v>22</v>
      </c>
      <c r="M44" s="8">
        <v>0</v>
      </c>
      <c r="N44" s="6"/>
      <c r="O44" s="6"/>
      <c r="P44" s="9">
        <v>-9.3699999999999992</v>
      </c>
    </row>
    <row r="45" spans="1:16" ht="19.5" customHeight="1">
      <c r="A45" s="1" t="s">
        <v>1805</v>
      </c>
      <c r="B45" s="5">
        <v>46013</v>
      </c>
      <c r="C45" s="1" t="s">
        <v>28</v>
      </c>
      <c r="D45" s="1" t="s">
        <v>29</v>
      </c>
      <c r="E45" s="1" t="s">
        <v>224</v>
      </c>
      <c r="F45" s="1" t="s">
        <v>461</v>
      </c>
      <c r="G45" s="1" t="s">
        <v>1229</v>
      </c>
      <c r="H45" s="6">
        <v>1</v>
      </c>
      <c r="I45" s="7">
        <v>1429</v>
      </c>
      <c r="J45" s="5">
        <v>46011</v>
      </c>
      <c r="K45" s="1" t="s">
        <v>957</v>
      </c>
      <c r="L45" s="1" t="s">
        <v>30</v>
      </c>
      <c r="M45" s="8">
        <v>0.43</v>
      </c>
      <c r="N45" s="6"/>
      <c r="O45" s="6">
        <v>39</v>
      </c>
      <c r="P45" s="9">
        <v>-103.52</v>
      </c>
    </row>
    <row r="46" spans="1:16" ht="19.5" customHeight="1">
      <c r="A46" s="1" t="s">
        <v>1805</v>
      </c>
      <c r="B46" s="5">
        <v>46013</v>
      </c>
      <c r="C46" s="1" t="s">
        <v>31</v>
      </c>
      <c r="D46" s="1" t="s">
        <v>32</v>
      </c>
      <c r="E46" s="1" t="s">
        <v>224</v>
      </c>
      <c r="F46" s="1" t="s">
        <v>461</v>
      </c>
      <c r="G46" s="1" t="s">
        <v>1229</v>
      </c>
      <c r="H46" s="6">
        <v>1</v>
      </c>
      <c r="I46" s="7">
        <v>1429</v>
      </c>
      <c r="J46" s="5">
        <v>46011</v>
      </c>
      <c r="K46" s="1" t="s">
        <v>957</v>
      </c>
      <c r="L46" s="1" t="s">
        <v>30</v>
      </c>
      <c r="M46" s="8">
        <v>0</v>
      </c>
      <c r="N46" s="6"/>
      <c r="O46" s="6"/>
      <c r="P46" s="9">
        <v>706.67</v>
      </c>
    </row>
    <row r="47" spans="1:16" ht="19.5" customHeight="1">
      <c r="A47" s="1" t="s">
        <v>1805</v>
      </c>
      <c r="B47" s="5">
        <v>46013</v>
      </c>
      <c r="C47" s="1" t="s">
        <v>31</v>
      </c>
      <c r="D47" s="1" t="s">
        <v>33</v>
      </c>
      <c r="E47" s="1" t="s">
        <v>224</v>
      </c>
      <c r="F47" s="1" t="s">
        <v>461</v>
      </c>
      <c r="G47" s="1" t="s">
        <v>1229</v>
      </c>
      <c r="H47" s="6">
        <v>1</v>
      </c>
      <c r="I47" s="7">
        <v>1429</v>
      </c>
      <c r="J47" s="5">
        <v>46011</v>
      </c>
      <c r="K47" s="1" t="s">
        <v>957</v>
      </c>
      <c r="L47" s="1" t="s">
        <v>30</v>
      </c>
      <c r="M47" s="8">
        <v>0</v>
      </c>
      <c r="N47" s="6"/>
      <c r="O47" s="6"/>
      <c r="P47" s="9">
        <v>7.07</v>
      </c>
    </row>
    <row r="48" spans="1:16" ht="19.5" customHeight="1">
      <c r="A48" s="1" t="s">
        <v>1805</v>
      </c>
      <c r="B48" s="5">
        <v>46013</v>
      </c>
      <c r="C48" s="1" t="s">
        <v>31</v>
      </c>
      <c r="D48" s="1" t="s">
        <v>34</v>
      </c>
      <c r="E48" s="1" t="s">
        <v>224</v>
      </c>
      <c r="F48" s="1" t="s">
        <v>461</v>
      </c>
      <c r="G48" s="1" t="s">
        <v>1229</v>
      </c>
      <c r="H48" s="6">
        <v>1</v>
      </c>
      <c r="I48" s="7">
        <v>1429</v>
      </c>
      <c r="J48" s="5">
        <v>46011</v>
      </c>
      <c r="K48" s="1" t="s">
        <v>957</v>
      </c>
      <c r="L48" s="1" t="s">
        <v>30</v>
      </c>
      <c r="M48" s="8">
        <v>0</v>
      </c>
      <c r="N48" s="6"/>
      <c r="O48" s="6"/>
      <c r="P48" s="9">
        <v>715.26</v>
      </c>
    </row>
    <row r="49" spans="1:16" ht="19.5" customHeight="1">
      <c r="A49" s="1" t="s">
        <v>1805</v>
      </c>
      <c r="B49" s="5">
        <v>46013</v>
      </c>
      <c r="C49" s="1" t="s">
        <v>35</v>
      </c>
      <c r="D49" s="1" t="s">
        <v>36</v>
      </c>
      <c r="E49" s="1" t="s">
        <v>224</v>
      </c>
      <c r="F49" s="1" t="s">
        <v>461</v>
      </c>
      <c r="G49" s="1" t="s">
        <v>1229</v>
      </c>
      <c r="H49" s="6">
        <v>1</v>
      </c>
      <c r="I49" s="7">
        <v>1429</v>
      </c>
      <c r="J49" s="5">
        <v>46011</v>
      </c>
      <c r="K49" s="1" t="s">
        <v>957</v>
      </c>
      <c r="L49" s="1" t="s">
        <v>30</v>
      </c>
      <c r="M49" s="8">
        <v>0.43</v>
      </c>
      <c r="N49" s="6"/>
      <c r="O49" s="6"/>
      <c r="P49" s="9">
        <v>-614.47</v>
      </c>
    </row>
    <row r="50" spans="1:16" ht="19.5" customHeight="1">
      <c r="A50" s="1" t="s">
        <v>1805</v>
      </c>
      <c r="B50" s="5">
        <v>46013</v>
      </c>
      <c r="C50" s="1" t="s">
        <v>17</v>
      </c>
      <c r="D50" s="1" t="s">
        <v>37</v>
      </c>
      <c r="E50" s="1" t="s">
        <v>224</v>
      </c>
      <c r="F50" s="1" t="s">
        <v>461</v>
      </c>
      <c r="G50" s="1" t="s">
        <v>1229</v>
      </c>
      <c r="H50" s="6">
        <v>1</v>
      </c>
      <c r="I50" s="7">
        <v>1429</v>
      </c>
      <c r="J50" s="5">
        <v>46011</v>
      </c>
      <c r="K50" s="1" t="s">
        <v>957</v>
      </c>
      <c r="L50" s="1" t="s">
        <v>30</v>
      </c>
      <c r="M50" s="8">
        <v>0.43</v>
      </c>
      <c r="N50" s="6"/>
      <c r="O50" s="6"/>
      <c r="P50" s="9">
        <v>-7.54</v>
      </c>
    </row>
    <row r="51" spans="1:16" ht="19.5" customHeight="1">
      <c r="A51" s="1" t="s">
        <v>1806</v>
      </c>
      <c r="B51" s="5">
        <v>46013</v>
      </c>
      <c r="C51" s="1" t="s">
        <v>28</v>
      </c>
      <c r="D51" s="1" t="s">
        <v>29</v>
      </c>
      <c r="E51" s="1" t="s">
        <v>222</v>
      </c>
      <c r="F51" s="1" t="s">
        <v>412</v>
      </c>
      <c r="G51" s="1" t="s">
        <v>1229</v>
      </c>
      <c r="H51" s="6">
        <v>1</v>
      </c>
      <c r="I51" s="7">
        <v>1123</v>
      </c>
      <c r="J51" s="5">
        <v>46010</v>
      </c>
      <c r="K51" s="1" t="s">
        <v>957</v>
      </c>
      <c r="L51" s="1" t="s">
        <v>30</v>
      </c>
      <c r="M51" s="8">
        <v>0.43</v>
      </c>
      <c r="N51" s="6"/>
      <c r="O51" s="6">
        <v>39</v>
      </c>
      <c r="P51" s="9">
        <v>-96.17</v>
      </c>
    </row>
    <row r="52" spans="1:16" ht="19.5" customHeight="1">
      <c r="A52" s="1" t="s">
        <v>1806</v>
      </c>
      <c r="B52" s="5">
        <v>46013</v>
      </c>
      <c r="C52" s="1" t="s">
        <v>31</v>
      </c>
      <c r="D52" s="1" t="s">
        <v>32</v>
      </c>
      <c r="E52" s="1" t="s">
        <v>222</v>
      </c>
      <c r="F52" s="1" t="s">
        <v>412</v>
      </c>
      <c r="G52" s="1" t="s">
        <v>1229</v>
      </c>
      <c r="H52" s="6">
        <v>1</v>
      </c>
      <c r="I52" s="7">
        <v>1123</v>
      </c>
      <c r="J52" s="5">
        <v>46010</v>
      </c>
      <c r="K52" s="1" t="s">
        <v>957</v>
      </c>
      <c r="L52" s="1" t="s">
        <v>30</v>
      </c>
      <c r="M52" s="8">
        <v>0</v>
      </c>
      <c r="N52" s="6"/>
      <c r="O52" s="6"/>
      <c r="P52" s="9">
        <v>701.24</v>
      </c>
    </row>
    <row r="53" spans="1:16" ht="19.5" customHeight="1">
      <c r="A53" s="1" t="s">
        <v>1806</v>
      </c>
      <c r="B53" s="5">
        <v>46013</v>
      </c>
      <c r="C53" s="1" t="s">
        <v>31</v>
      </c>
      <c r="D53" s="1" t="s">
        <v>33</v>
      </c>
      <c r="E53" s="1" t="s">
        <v>222</v>
      </c>
      <c r="F53" s="1" t="s">
        <v>412</v>
      </c>
      <c r="G53" s="1" t="s">
        <v>1229</v>
      </c>
      <c r="H53" s="6">
        <v>1</v>
      </c>
      <c r="I53" s="7">
        <v>1123</v>
      </c>
      <c r="J53" s="5">
        <v>46010</v>
      </c>
      <c r="K53" s="1" t="s">
        <v>957</v>
      </c>
      <c r="L53" s="1" t="s">
        <v>30</v>
      </c>
      <c r="M53" s="8">
        <v>0</v>
      </c>
      <c r="N53" s="6"/>
      <c r="O53" s="6"/>
      <c r="P53" s="9">
        <v>7.01</v>
      </c>
    </row>
    <row r="54" spans="1:16" ht="19.5" customHeight="1">
      <c r="A54" s="1" t="s">
        <v>1806</v>
      </c>
      <c r="B54" s="5">
        <v>46013</v>
      </c>
      <c r="C54" s="1" t="s">
        <v>31</v>
      </c>
      <c r="D54" s="1" t="s">
        <v>34</v>
      </c>
      <c r="E54" s="1" t="s">
        <v>222</v>
      </c>
      <c r="F54" s="1" t="s">
        <v>412</v>
      </c>
      <c r="G54" s="1" t="s">
        <v>1229</v>
      </c>
      <c r="H54" s="6">
        <v>1</v>
      </c>
      <c r="I54" s="7">
        <v>1123</v>
      </c>
      <c r="J54" s="5">
        <v>46010</v>
      </c>
      <c r="K54" s="1" t="s">
        <v>957</v>
      </c>
      <c r="L54" s="1" t="s">
        <v>30</v>
      </c>
      <c r="M54" s="8">
        <v>0</v>
      </c>
      <c r="N54" s="6"/>
      <c r="O54" s="6"/>
      <c r="P54" s="9">
        <v>414.75</v>
      </c>
    </row>
    <row r="55" spans="1:16" ht="19.5" customHeight="1">
      <c r="A55" s="1" t="s">
        <v>1806</v>
      </c>
      <c r="B55" s="5">
        <v>46013</v>
      </c>
      <c r="C55" s="1" t="s">
        <v>35</v>
      </c>
      <c r="D55" s="1" t="s">
        <v>36</v>
      </c>
      <c r="E55" s="1" t="s">
        <v>222</v>
      </c>
      <c r="F55" s="1" t="s">
        <v>412</v>
      </c>
      <c r="G55" s="1" t="s">
        <v>1229</v>
      </c>
      <c r="H55" s="6">
        <v>1</v>
      </c>
      <c r="I55" s="7">
        <v>1123</v>
      </c>
      <c r="J55" s="5">
        <v>46010</v>
      </c>
      <c r="K55" s="1" t="s">
        <v>957</v>
      </c>
      <c r="L55" s="1" t="s">
        <v>30</v>
      </c>
      <c r="M55" s="8">
        <v>0.43</v>
      </c>
      <c r="N55" s="6"/>
      <c r="O55" s="6"/>
      <c r="P55" s="9">
        <v>-482.89</v>
      </c>
    </row>
    <row r="56" spans="1:16" ht="19.5" customHeight="1">
      <c r="A56" s="1" t="s">
        <v>1806</v>
      </c>
      <c r="B56" s="5">
        <v>46013</v>
      </c>
      <c r="C56" s="1" t="s">
        <v>17</v>
      </c>
      <c r="D56" s="1" t="s">
        <v>37</v>
      </c>
      <c r="E56" s="1" t="s">
        <v>222</v>
      </c>
      <c r="F56" s="1" t="s">
        <v>412</v>
      </c>
      <c r="G56" s="1" t="s">
        <v>1229</v>
      </c>
      <c r="H56" s="6">
        <v>1</v>
      </c>
      <c r="I56" s="7">
        <v>1123</v>
      </c>
      <c r="J56" s="5">
        <v>46010</v>
      </c>
      <c r="K56" s="1" t="s">
        <v>957</v>
      </c>
      <c r="L56" s="1" t="s">
        <v>30</v>
      </c>
      <c r="M56" s="8">
        <v>0.43</v>
      </c>
      <c r="N56" s="6"/>
      <c r="O56" s="6"/>
      <c r="P56" s="9">
        <v>-5.33</v>
      </c>
    </row>
    <row r="57" spans="1:16" ht="19.5" customHeight="1">
      <c r="A57" s="1" t="s">
        <v>1805</v>
      </c>
      <c r="B57" s="5">
        <v>46013</v>
      </c>
      <c r="C57" s="1" t="s">
        <v>17</v>
      </c>
      <c r="D57" s="1" t="s">
        <v>18</v>
      </c>
      <c r="E57" s="1" t="s">
        <v>224</v>
      </c>
      <c r="F57" s="1" t="s">
        <v>461</v>
      </c>
      <c r="G57" s="1" t="s">
        <v>1229</v>
      </c>
      <c r="H57" s="6">
        <v>1</v>
      </c>
      <c r="I57" s="7">
        <v>0</v>
      </c>
      <c r="J57" s="5">
        <v>46011</v>
      </c>
      <c r="K57" s="1" t="s">
        <v>22</v>
      </c>
      <c r="L57" s="1" t="s">
        <v>22</v>
      </c>
      <c r="M57" s="8">
        <v>0</v>
      </c>
      <c r="N57" s="6"/>
      <c r="O57" s="6"/>
      <c r="P57" s="9">
        <v>-13.43</v>
      </c>
    </row>
    <row r="58" spans="1:16" ht="19.5" customHeight="1">
      <c r="A58" s="1" t="s">
        <v>1807</v>
      </c>
      <c r="B58" s="5">
        <v>46013</v>
      </c>
      <c r="C58" s="1" t="s">
        <v>17</v>
      </c>
      <c r="D58" s="1" t="s">
        <v>18</v>
      </c>
      <c r="E58" s="1" t="s">
        <v>25</v>
      </c>
      <c r="F58" s="1" t="s">
        <v>26</v>
      </c>
      <c r="G58" s="1" t="s">
        <v>1229</v>
      </c>
      <c r="H58" s="6">
        <v>1</v>
      </c>
      <c r="I58" s="7">
        <v>0</v>
      </c>
      <c r="J58" s="5">
        <v>46013</v>
      </c>
      <c r="K58" s="1" t="s">
        <v>22</v>
      </c>
      <c r="L58" s="1" t="s">
        <v>22</v>
      </c>
      <c r="M58" s="8">
        <v>0</v>
      </c>
      <c r="N58" s="6"/>
      <c r="O58" s="6"/>
      <c r="P58" s="9">
        <v>-5.07</v>
      </c>
    </row>
    <row r="59" spans="1:16" ht="19.5" customHeight="1">
      <c r="A59" s="1" t="s">
        <v>22</v>
      </c>
      <c r="B59" s="5">
        <v>46013</v>
      </c>
      <c r="C59" s="1" t="s">
        <v>77</v>
      </c>
      <c r="D59" s="1" t="s">
        <v>78</v>
      </c>
      <c r="E59" s="1" t="s">
        <v>22</v>
      </c>
      <c r="F59" s="1" t="s">
        <v>22</v>
      </c>
      <c r="G59" s="1" t="s">
        <v>1808</v>
      </c>
      <c r="H59" s="6">
        <v>0</v>
      </c>
      <c r="I59" s="7">
        <v>0</v>
      </c>
      <c r="J59" s="5">
        <v>46013</v>
      </c>
      <c r="K59" s="1" t="s">
        <v>22</v>
      </c>
      <c r="L59" s="1" t="s">
        <v>22</v>
      </c>
      <c r="M59" s="8">
        <v>0</v>
      </c>
      <c r="N59" s="6"/>
      <c r="O59" s="6"/>
      <c r="P59" s="9">
        <v>-450</v>
      </c>
    </row>
    <row r="60" spans="1:16" ht="19.5" customHeight="1">
      <c r="A60" s="1" t="s">
        <v>1768</v>
      </c>
      <c r="B60" s="5">
        <v>46013</v>
      </c>
      <c r="C60" s="1" t="s">
        <v>28</v>
      </c>
      <c r="D60" s="1" t="s">
        <v>60</v>
      </c>
      <c r="E60" s="1" t="s">
        <v>25</v>
      </c>
      <c r="F60" s="1" t="s">
        <v>26</v>
      </c>
      <c r="G60" s="1" t="s">
        <v>1229</v>
      </c>
      <c r="H60" s="6">
        <v>1</v>
      </c>
      <c r="I60" s="7">
        <v>0</v>
      </c>
      <c r="J60" s="5">
        <v>46010</v>
      </c>
      <c r="K60" s="1" t="s">
        <v>957</v>
      </c>
      <c r="L60" s="1" t="s">
        <v>30</v>
      </c>
      <c r="M60" s="8">
        <v>0</v>
      </c>
      <c r="N60" s="6"/>
      <c r="O60" s="6"/>
      <c r="P60" s="9">
        <v>0</v>
      </c>
    </row>
    <row r="61" spans="1:16" ht="19.5" customHeight="1">
      <c r="A61" s="1" t="s">
        <v>1768</v>
      </c>
      <c r="B61" s="5">
        <v>46013</v>
      </c>
      <c r="C61" s="1" t="s">
        <v>28</v>
      </c>
      <c r="D61" s="1" t="s">
        <v>46</v>
      </c>
      <c r="E61" s="1" t="s">
        <v>25</v>
      </c>
      <c r="F61" s="1" t="s">
        <v>26</v>
      </c>
      <c r="G61" s="1" t="s">
        <v>1229</v>
      </c>
      <c r="H61" s="6">
        <v>1</v>
      </c>
      <c r="I61" s="7">
        <v>0</v>
      </c>
      <c r="J61" s="5">
        <v>46010</v>
      </c>
      <c r="K61" s="1" t="s">
        <v>957</v>
      </c>
      <c r="L61" s="1" t="s">
        <v>30</v>
      </c>
      <c r="M61" s="8">
        <v>0</v>
      </c>
      <c r="N61" s="6"/>
      <c r="O61" s="6"/>
      <c r="P61" s="9">
        <v>-46.77</v>
      </c>
    </row>
    <row r="62" spans="1:16" ht="19.5" customHeight="1">
      <c r="A62" s="1" t="s">
        <v>1768</v>
      </c>
      <c r="B62" s="5">
        <v>46013</v>
      </c>
      <c r="C62" s="1" t="s">
        <v>17</v>
      </c>
      <c r="D62" s="1" t="s">
        <v>47</v>
      </c>
      <c r="E62" s="1" t="s">
        <v>25</v>
      </c>
      <c r="F62" s="1" t="s">
        <v>26</v>
      </c>
      <c r="G62" s="1" t="s">
        <v>1229</v>
      </c>
      <c r="H62" s="6">
        <v>1</v>
      </c>
      <c r="I62" s="7">
        <v>0</v>
      </c>
      <c r="J62" s="5">
        <v>46010</v>
      </c>
      <c r="K62" s="1" t="s">
        <v>957</v>
      </c>
      <c r="L62" s="1" t="s">
        <v>30</v>
      </c>
      <c r="M62" s="8">
        <v>0</v>
      </c>
      <c r="N62" s="6"/>
      <c r="O62" s="6"/>
      <c r="P62" s="9">
        <v>-15</v>
      </c>
    </row>
    <row r="63" spans="1:16" ht="19.5" customHeight="1">
      <c r="A63" s="1" t="s">
        <v>1376</v>
      </c>
      <c r="B63" s="5">
        <v>46013</v>
      </c>
      <c r="C63" s="1" t="s">
        <v>77</v>
      </c>
      <c r="D63" s="1" t="s">
        <v>82</v>
      </c>
      <c r="E63" s="1" t="s">
        <v>22</v>
      </c>
      <c r="F63" s="1" t="s">
        <v>22</v>
      </c>
      <c r="G63" s="1" t="s">
        <v>22</v>
      </c>
      <c r="H63" s="6">
        <v>0</v>
      </c>
      <c r="I63" s="7">
        <v>0</v>
      </c>
      <c r="J63" s="5">
        <v>46013</v>
      </c>
      <c r="K63" s="1" t="s">
        <v>22</v>
      </c>
      <c r="L63" s="1" t="s">
        <v>22</v>
      </c>
      <c r="M63" s="8">
        <v>0</v>
      </c>
      <c r="N63" s="6"/>
      <c r="O63" s="6"/>
      <c r="P63" s="9">
        <v>-899.37</v>
      </c>
    </row>
    <row r="64" spans="1:16" ht="19.5" customHeight="1">
      <c r="A64" s="1" t="s">
        <v>1075</v>
      </c>
      <c r="B64" s="5">
        <v>46013</v>
      </c>
      <c r="C64" s="1" t="s">
        <v>77</v>
      </c>
      <c r="D64" s="1" t="s">
        <v>82</v>
      </c>
      <c r="E64" s="1" t="s">
        <v>22</v>
      </c>
      <c r="F64" s="1" t="s">
        <v>22</v>
      </c>
      <c r="G64" s="1" t="s">
        <v>22</v>
      </c>
      <c r="H64" s="6">
        <v>0</v>
      </c>
      <c r="I64" s="7">
        <v>0</v>
      </c>
      <c r="J64" s="5">
        <v>46013</v>
      </c>
      <c r="K64" s="1" t="s">
        <v>22</v>
      </c>
      <c r="L64" s="1" t="s">
        <v>22</v>
      </c>
      <c r="M64" s="8">
        <v>0</v>
      </c>
      <c r="N64" s="6"/>
      <c r="O64" s="6"/>
      <c r="P64" s="9">
        <v>-1468.47</v>
      </c>
    </row>
    <row r="65" spans="1:16" ht="19.5" customHeight="1">
      <c r="A65" s="1" t="s">
        <v>83</v>
      </c>
      <c r="B65" s="5">
        <v>46013</v>
      </c>
      <c r="C65" s="1" t="s">
        <v>77</v>
      </c>
      <c r="D65" s="1" t="s">
        <v>84</v>
      </c>
      <c r="E65" s="1" t="s">
        <v>22</v>
      </c>
      <c r="F65" s="1" t="s">
        <v>22</v>
      </c>
      <c r="G65" s="1" t="s">
        <v>22</v>
      </c>
      <c r="H65" s="6">
        <v>0</v>
      </c>
      <c r="I65" s="7">
        <v>0</v>
      </c>
      <c r="J65" s="5">
        <v>46013</v>
      </c>
      <c r="K65" s="1" t="s">
        <v>22</v>
      </c>
      <c r="L65" s="1" t="s">
        <v>22</v>
      </c>
      <c r="M65" s="8">
        <v>0</v>
      </c>
      <c r="N65" s="6"/>
      <c r="O65" s="6"/>
      <c r="P65" s="9">
        <v>-1250.07</v>
      </c>
    </row>
    <row r="66" spans="1:16" ht="19.5" customHeight="1">
      <c r="A66" s="1" t="s">
        <v>1641</v>
      </c>
      <c r="B66" s="5">
        <v>46014</v>
      </c>
      <c r="C66" s="1" t="s">
        <v>17</v>
      </c>
      <c r="D66" s="1" t="s">
        <v>18</v>
      </c>
      <c r="E66" s="1" t="s">
        <v>223</v>
      </c>
      <c r="F66" s="1" t="s">
        <v>395</v>
      </c>
      <c r="G66" s="1" t="s">
        <v>1229</v>
      </c>
      <c r="H66" s="6">
        <v>1</v>
      </c>
      <c r="I66" s="7">
        <v>0</v>
      </c>
      <c r="J66" s="5">
        <v>46004</v>
      </c>
      <c r="K66" s="1" t="s">
        <v>22</v>
      </c>
      <c r="L66" s="1" t="s">
        <v>22</v>
      </c>
      <c r="M66" s="8">
        <v>0</v>
      </c>
      <c r="N66" s="6"/>
      <c r="O66" s="6"/>
      <c r="P66" s="9">
        <v>4.3099999999999996</v>
      </c>
    </row>
    <row r="67" spans="1:16" ht="19.5" customHeight="1">
      <c r="A67" s="1" t="s">
        <v>1809</v>
      </c>
      <c r="B67" s="5">
        <v>46014</v>
      </c>
      <c r="C67" s="1" t="s">
        <v>28</v>
      </c>
      <c r="D67" s="1" t="s">
        <v>29</v>
      </c>
      <c r="E67" s="1" t="s">
        <v>25</v>
      </c>
      <c r="F67" s="1" t="s">
        <v>26</v>
      </c>
      <c r="G67" s="1" t="s">
        <v>1229</v>
      </c>
      <c r="H67" s="6">
        <v>1</v>
      </c>
      <c r="I67" s="7">
        <v>0</v>
      </c>
      <c r="J67" s="5">
        <v>45995</v>
      </c>
      <c r="K67" s="1" t="s">
        <v>957</v>
      </c>
      <c r="L67" s="1" t="s">
        <v>30</v>
      </c>
      <c r="M67" s="8">
        <v>0</v>
      </c>
      <c r="N67" s="6"/>
      <c r="O67" s="6">
        <v>42</v>
      </c>
      <c r="P67" s="9">
        <v>-46</v>
      </c>
    </row>
    <row r="68" spans="1:16" ht="19.5" customHeight="1">
      <c r="A68" s="1" t="s">
        <v>1809</v>
      </c>
      <c r="B68" s="5">
        <v>46014</v>
      </c>
      <c r="C68" s="1" t="s">
        <v>17</v>
      </c>
      <c r="D68" s="1" t="s">
        <v>37</v>
      </c>
      <c r="E68" s="1" t="s">
        <v>25</v>
      </c>
      <c r="F68" s="1" t="s">
        <v>26</v>
      </c>
      <c r="G68" s="1" t="s">
        <v>1229</v>
      </c>
      <c r="H68" s="6">
        <v>1</v>
      </c>
      <c r="I68" s="7">
        <v>0</v>
      </c>
      <c r="J68" s="5">
        <v>45995</v>
      </c>
      <c r="K68" s="1" t="s">
        <v>957</v>
      </c>
      <c r="L68" s="1" t="s">
        <v>30</v>
      </c>
      <c r="M68" s="8">
        <v>0</v>
      </c>
      <c r="N68" s="6"/>
      <c r="O68" s="6"/>
      <c r="P68" s="9">
        <v>-7.34</v>
      </c>
    </row>
    <row r="69" spans="1:16" ht="19.5" customHeight="1">
      <c r="A69" s="1" t="s">
        <v>1809</v>
      </c>
      <c r="B69" s="5">
        <v>46014</v>
      </c>
      <c r="C69" s="1" t="s">
        <v>28</v>
      </c>
      <c r="D69" s="1" t="s">
        <v>45</v>
      </c>
      <c r="E69" s="1" t="s">
        <v>25</v>
      </c>
      <c r="F69" s="1" t="s">
        <v>26</v>
      </c>
      <c r="G69" s="1" t="s">
        <v>1229</v>
      </c>
      <c r="H69" s="6">
        <v>1</v>
      </c>
      <c r="I69" s="7">
        <v>0</v>
      </c>
      <c r="J69" s="5">
        <v>45995</v>
      </c>
      <c r="K69" s="1" t="s">
        <v>957</v>
      </c>
      <c r="L69" s="1" t="s">
        <v>30</v>
      </c>
      <c r="M69" s="8">
        <v>0</v>
      </c>
      <c r="N69" s="6"/>
      <c r="O69" s="6"/>
      <c r="P69" s="9">
        <v>0</v>
      </c>
    </row>
    <row r="70" spans="1:16" ht="19.5" customHeight="1">
      <c r="A70" s="1" t="s">
        <v>1809</v>
      </c>
      <c r="B70" s="5">
        <v>46014</v>
      </c>
      <c r="C70" s="1" t="s">
        <v>28</v>
      </c>
      <c r="D70" s="1" t="s">
        <v>46</v>
      </c>
      <c r="E70" s="1" t="s">
        <v>25</v>
      </c>
      <c r="F70" s="1" t="s">
        <v>26</v>
      </c>
      <c r="G70" s="1" t="s">
        <v>1229</v>
      </c>
      <c r="H70" s="6">
        <v>1</v>
      </c>
      <c r="I70" s="7">
        <v>0</v>
      </c>
      <c r="J70" s="5">
        <v>45995</v>
      </c>
      <c r="K70" s="1" t="s">
        <v>957</v>
      </c>
      <c r="L70" s="1" t="s">
        <v>30</v>
      </c>
      <c r="M70" s="8">
        <v>0</v>
      </c>
      <c r="N70" s="6"/>
      <c r="O70" s="6"/>
      <c r="P70" s="9">
        <v>-46</v>
      </c>
    </row>
    <row r="71" spans="1:16" ht="19.5" customHeight="1">
      <c r="A71" s="1" t="s">
        <v>1810</v>
      </c>
      <c r="B71" s="5">
        <v>46014</v>
      </c>
      <c r="C71" s="1" t="s">
        <v>28</v>
      </c>
      <c r="D71" s="1" t="s">
        <v>29</v>
      </c>
      <c r="E71" s="1" t="s">
        <v>1055</v>
      </c>
      <c r="F71" s="1" t="s">
        <v>1317</v>
      </c>
      <c r="G71" s="1" t="s">
        <v>1298</v>
      </c>
      <c r="H71" s="6">
        <v>1</v>
      </c>
      <c r="I71" s="7">
        <v>0</v>
      </c>
      <c r="J71" s="5">
        <v>46007</v>
      </c>
      <c r="K71" s="1" t="s">
        <v>957</v>
      </c>
      <c r="L71" s="1" t="s">
        <v>30</v>
      </c>
      <c r="M71" s="8">
        <v>0</v>
      </c>
      <c r="N71" s="6"/>
      <c r="O71" s="6">
        <v>37</v>
      </c>
      <c r="P71" s="9">
        <v>-46</v>
      </c>
    </row>
    <row r="72" spans="1:16" ht="19.5" customHeight="1">
      <c r="A72" s="1" t="s">
        <v>1810</v>
      </c>
      <c r="B72" s="5">
        <v>46014</v>
      </c>
      <c r="C72" s="1" t="s">
        <v>17</v>
      </c>
      <c r="D72" s="1" t="s">
        <v>37</v>
      </c>
      <c r="E72" s="1" t="s">
        <v>1055</v>
      </c>
      <c r="F72" s="1" t="s">
        <v>1317</v>
      </c>
      <c r="G72" s="1" t="s">
        <v>1298</v>
      </c>
      <c r="H72" s="6">
        <v>1</v>
      </c>
      <c r="I72" s="7">
        <v>0</v>
      </c>
      <c r="J72" s="5">
        <v>46007</v>
      </c>
      <c r="K72" s="1" t="s">
        <v>957</v>
      </c>
      <c r="L72" s="1" t="s">
        <v>30</v>
      </c>
      <c r="M72" s="8">
        <v>0</v>
      </c>
      <c r="N72" s="6"/>
      <c r="O72" s="6"/>
      <c r="P72" s="9">
        <v>-7.89</v>
      </c>
    </row>
    <row r="73" spans="1:16" ht="19.5" customHeight="1">
      <c r="A73" s="1" t="s">
        <v>1810</v>
      </c>
      <c r="B73" s="5">
        <v>46014</v>
      </c>
      <c r="C73" s="1" t="s">
        <v>28</v>
      </c>
      <c r="D73" s="1" t="s">
        <v>45</v>
      </c>
      <c r="E73" s="1" t="s">
        <v>1055</v>
      </c>
      <c r="F73" s="1" t="s">
        <v>1317</v>
      </c>
      <c r="G73" s="1" t="s">
        <v>1298</v>
      </c>
      <c r="H73" s="6">
        <v>1</v>
      </c>
      <c r="I73" s="7">
        <v>0</v>
      </c>
      <c r="J73" s="5">
        <v>46007</v>
      </c>
      <c r="K73" s="1" t="s">
        <v>957</v>
      </c>
      <c r="L73" s="1" t="s">
        <v>30</v>
      </c>
      <c r="M73" s="8">
        <v>0</v>
      </c>
      <c r="N73" s="6"/>
      <c r="O73" s="6"/>
      <c r="P73" s="9">
        <v>0</v>
      </c>
    </row>
    <row r="74" spans="1:16" ht="19.5" customHeight="1">
      <c r="A74" s="1" t="s">
        <v>1810</v>
      </c>
      <c r="B74" s="5">
        <v>46014</v>
      </c>
      <c r="C74" s="1" t="s">
        <v>28</v>
      </c>
      <c r="D74" s="1" t="s">
        <v>46</v>
      </c>
      <c r="E74" s="1" t="s">
        <v>1055</v>
      </c>
      <c r="F74" s="1" t="s">
        <v>1317</v>
      </c>
      <c r="G74" s="1" t="s">
        <v>1298</v>
      </c>
      <c r="H74" s="6">
        <v>1</v>
      </c>
      <c r="I74" s="7">
        <v>0</v>
      </c>
      <c r="J74" s="5">
        <v>46007</v>
      </c>
      <c r="K74" s="1" t="s">
        <v>957</v>
      </c>
      <c r="L74" s="1" t="s">
        <v>30</v>
      </c>
      <c r="M74" s="8">
        <v>0</v>
      </c>
      <c r="N74" s="6"/>
      <c r="O74" s="6"/>
      <c r="P74" s="9">
        <v>-46</v>
      </c>
    </row>
    <row r="75" spans="1:16" ht="19.5" customHeight="1">
      <c r="A75" s="1" t="s">
        <v>1810</v>
      </c>
      <c r="B75" s="5">
        <v>46014</v>
      </c>
      <c r="C75" s="1" t="s">
        <v>17</v>
      </c>
      <c r="D75" s="1" t="s">
        <v>47</v>
      </c>
      <c r="E75" s="1" t="s">
        <v>1055</v>
      </c>
      <c r="F75" s="1" t="s">
        <v>1317</v>
      </c>
      <c r="G75" s="1" t="s">
        <v>1298</v>
      </c>
      <c r="H75" s="6">
        <v>1</v>
      </c>
      <c r="I75" s="7">
        <v>0</v>
      </c>
      <c r="J75" s="5">
        <v>46007</v>
      </c>
      <c r="K75" s="1" t="s">
        <v>957</v>
      </c>
      <c r="L75" s="1" t="s">
        <v>30</v>
      </c>
      <c r="M75" s="8">
        <v>0</v>
      </c>
      <c r="N75" s="6"/>
      <c r="O75" s="6"/>
      <c r="P75" s="9">
        <v>-15</v>
      </c>
    </row>
    <row r="76" spans="1:16" ht="19.5" customHeight="1">
      <c r="A76" s="1" t="s">
        <v>1811</v>
      </c>
      <c r="B76" s="5">
        <v>46014</v>
      </c>
      <c r="C76" s="1" t="s">
        <v>28</v>
      </c>
      <c r="D76" s="1" t="s">
        <v>29</v>
      </c>
      <c r="E76" s="1" t="s">
        <v>1054</v>
      </c>
      <c r="F76" s="1" t="s">
        <v>1297</v>
      </c>
      <c r="G76" s="1" t="s">
        <v>1298</v>
      </c>
      <c r="H76" s="6">
        <v>1</v>
      </c>
      <c r="I76" s="7">
        <v>0</v>
      </c>
      <c r="J76" s="5">
        <v>46007</v>
      </c>
      <c r="K76" s="1" t="s">
        <v>957</v>
      </c>
      <c r="L76" s="1" t="s">
        <v>30</v>
      </c>
      <c r="M76" s="8">
        <v>0</v>
      </c>
      <c r="N76" s="6"/>
      <c r="O76" s="6">
        <v>37</v>
      </c>
      <c r="P76" s="9">
        <v>-46</v>
      </c>
    </row>
    <row r="77" spans="1:16" ht="19.5" customHeight="1">
      <c r="A77" s="1" t="s">
        <v>1811</v>
      </c>
      <c r="B77" s="5">
        <v>46014</v>
      </c>
      <c r="C77" s="1" t="s">
        <v>17</v>
      </c>
      <c r="D77" s="1" t="s">
        <v>37</v>
      </c>
      <c r="E77" s="1" t="s">
        <v>1054</v>
      </c>
      <c r="F77" s="1" t="s">
        <v>1297</v>
      </c>
      <c r="G77" s="1" t="s">
        <v>1298</v>
      </c>
      <c r="H77" s="6">
        <v>1</v>
      </c>
      <c r="I77" s="7">
        <v>0</v>
      </c>
      <c r="J77" s="5">
        <v>46007</v>
      </c>
      <c r="K77" s="1" t="s">
        <v>957</v>
      </c>
      <c r="L77" s="1" t="s">
        <v>30</v>
      </c>
      <c r="M77" s="8">
        <v>0</v>
      </c>
      <c r="N77" s="6"/>
      <c r="O77" s="6"/>
      <c r="P77" s="9">
        <v>-6.76</v>
      </c>
    </row>
    <row r="78" spans="1:16" ht="19.5" customHeight="1">
      <c r="A78" s="1" t="s">
        <v>1811</v>
      </c>
      <c r="B78" s="5">
        <v>46014</v>
      </c>
      <c r="C78" s="1" t="s">
        <v>28</v>
      </c>
      <c r="D78" s="1" t="s">
        <v>45</v>
      </c>
      <c r="E78" s="1" t="s">
        <v>1054</v>
      </c>
      <c r="F78" s="1" t="s">
        <v>1297</v>
      </c>
      <c r="G78" s="1" t="s">
        <v>1298</v>
      </c>
      <c r="H78" s="6">
        <v>1</v>
      </c>
      <c r="I78" s="7">
        <v>0</v>
      </c>
      <c r="J78" s="5">
        <v>46007</v>
      </c>
      <c r="K78" s="1" t="s">
        <v>957</v>
      </c>
      <c r="L78" s="1" t="s">
        <v>30</v>
      </c>
      <c r="M78" s="8">
        <v>0</v>
      </c>
      <c r="N78" s="6"/>
      <c r="O78" s="6"/>
      <c r="P78" s="9">
        <v>0</v>
      </c>
    </row>
    <row r="79" spans="1:16" ht="19.5" customHeight="1">
      <c r="A79" s="1" t="s">
        <v>1811</v>
      </c>
      <c r="B79" s="5">
        <v>46014</v>
      </c>
      <c r="C79" s="1" t="s">
        <v>28</v>
      </c>
      <c r="D79" s="1" t="s">
        <v>46</v>
      </c>
      <c r="E79" s="1" t="s">
        <v>1054</v>
      </c>
      <c r="F79" s="1" t="s">
        <v>1297</v>
      </c>
      <c r="G79" s="1" t="s">
        <v>1298</v>
      </c>
      <c r="H79" s="6">
        <v>1</v>
      </c>
      <c r="I79" s="7">
        <v>0</v>
      </c>
      <c r="J79" s="5">
        <v>46007</v>
      </c>
      <c r="K79" s="1" t="s">
        <v>957</v>
      </c>
      <c r="L79" s="1" t="s">
        <v>30</v>
      </c>
      <c r="M79" s="8">
        <v>0</v>
      </c>
      <c r="N79" s="6"/>
      <c r="O79" s="6"/>
      <c r="P79" s="9">
        <v>-46</v>
      </c>
    </row>
    <row r="80" spans="1:16" ht="19.5" customHeight="1">
      <c r="A80" s="1" t="s">
        <v>1811</v>
      </c>
      <c r="B80" s="5">
        <v>46014</v>
      </c>
      <c r="C80" s="1" t="s">
        <v>17</v>
      </c>
      <c r="D80" s="1" t="s">
        <v>47</v>
      </c>
      <c r="E80" s="1" t="s">
        <v>1054</v>
      </c>
      <c r="F80" s="1" t="s">
        <v>1297</v>
      </c>
      <c r="G80" s="1" t="s">
        <v>1298</v>
      </c>
      <c r="H80" s="6">
        <v>1</v>
      </c>
      <c r="I80" s="7">
        <v>0</v>
      </c>
      <c r="J80" s="5">
        <v>46007</v>
      </c>
      <c r="K80" s="1" t="s">
        <v>957</v>
      </c>
      <c r="L80" s="1" t="s">
        <v>30</v>
      </c>
      <c r="M80" s="8">
        <v>0</v>
      </c>
      <c r="N80" s="6"/>
      <c r="O80" s="6"/>
      <c r="P80" s="9">
        <v>-15</v>
      </c>
    </row>
    <row r="81" spans="1:16" ht="19.5" customHeight="1">
      <c r="A81" s="1" t="s">
        <v>1812</v>
      </c>
      <c r="B81" s="5">
        <v>46014</v>
      </c>
      <c r="C81" s="1" t="s">
        <v>17</v>
      </c>
      <c r="D81" s="1" t="s">
        <v>18</v>
      </c>
      <c r="E81" s="1" t="s">
        <v>222</v>
      </c>
      <c r="F81" s="1" t="s">
        <v>412</v>
      </c>
      <c r="G81" s="1" t="s">
        <v>1229</v>
      </c>
      <c r="H81" s="6">
        <v>1</v>
      </c>
      <c r="I81" s="7">
        <v>0</v>
      </c>
      <c r="J81" s="5">
        <v>46014</v>
      </c>
      <c r="K81" s="1" t="s">
        <v>22</v>
      </c>
      <c r="L81" s="1" t="s">
        <v>22</v>
      </c>
      <c r="M81" s="8">
        <v>0</v>
      </c>
      <c r="N81" s="6"/>
      <c r="O81" s="6"/>
      <c r="P81" s="9">
        <v>-13.37</v>
      </c>
    </row>
    <row r="82" spans="1:16" ht="19.5" customHeight="1">
      <c r="A82" s="1" t="s">
        <v>1812</v>
      </c>
      <c r="B82" s="5">
        <v>46014</v>
      </c>
      <c r="C82" s="1" t="s">
        <v>17</v>
      </c>
      <c r="D82" s="1" t="s">
        <v>18</v>
      </c>
      <c r="E82" s="1" t="s">
        <v>222</v>
      </c>
      <c r="F82" s="1" t="s">
        <v>412</v>
      </c>
      <c r="G82" s="1" t="s">
        <v>1229</v>
      </c>
      <c r="H82" s="6">
        <v>1</v>
      </c>
      <c r="I82" s="7">
        <v>0</v>
      </c>
      <c r="J82" s="5">
        <v>46014</v>
      </c>
      <c r="K82" s="1" t="s">
        <v>22</v>
      </c>
      <c r="L82" s="1" t="s">
        <v>22</v>
      </c>
      <c r="M82" s="8">
        <v>0</v>
      </c>
      <c r="N82" s="6"/>
      <c r="O82" s="6"/>
      <c r="P82" s="9">
        <v>13.37</v>
      </c>
    </row>
    <row r="83" spans="1:16" ht="19.5" customHeight="1">
      <c r="A83" s="1" t="s">
        <v>1813</v>
      </c>
      <c r="B83" s="5">
        <v>46014</v>
      </c>
      <c r="C83" s="1" t="s">
        <v>28</v>
      </c>
      <c r="D83" s="1" t="s">
        <v>29</v>
      </c>
      <c r="E83" s="1" t="s">
        <v>25</v>
      </c>
      <c r="F83" s="1" t="s">
        <v>26</v>
      </c>
      <c r="G83" s="1" t="s">
        <v>1229</v>
      </c>
      <c r="H83" s="6">
        <v>1</v>
      </c>
      <c r="I83" s="7">
        <v>1704</v>
      </c>
      <c r="J83" s="5">
        <v>46011</v>
      </c>
      <c r="K83" s="1" t="s">
        <v>957</v>
      </c>
      <c r="L83" s="1" t="s">
        <v>30</v>
      </c>
      <c r="M83" s="8">
        <v>0.43</v>
      </c>
      <c r="N83" s="6"/>
      <c r="O83" s="6">
        <v>39</v>
      </c>
      <c r="P83" s="9">
        <v>-108.98</v>
      </c>
    </row>
    <row r="84" spans="1:16" ht="19.5" customHeight="1">
      <c r="A84" s="1" t="s">
        <v>1813</v>
      </c>
      <c r="B84" s="5">
        <v>46014</v>
      </c>
      <c r="C84" s="1" t="s">
        <v>31</v>
      </c>
      <c r="D84" s="1" t="s">
        <v>32</v>
      </c>
      <c r="E84" s="1" t="s">
        <v>25</v>
      </c>
      <c r="F84" s="1" t="s">
        <v>26</v>
      </c>
      <c r="G84" s="1" t="s">
        <v>1229</v>
      </c>
      <c r="H84" s="6">
        <v>1</v>
      </c>
      <c r="I84" s="7">
        <v>1704</v>
      </c>
      <c r="J84" s="5">
        <v>46011</v>
      </c>
      <c r="K84" s="1" t="s">
        <v>957</v>
      </c>
      <c r="L84" s="1" t="s">
        <v>30</v>
      </c>
      <c r="M84" s="8">
        <v>0</v>
      </c>
      <c r="N84" s="6"/>
      <c r="O84" s="6"/>
      <c r="P84" s="9">
        <v>648.91</v>
      </c>
    </row>
    <row r="85" spans="1:16" ht="19.5" customHeight="1">
      <c r="A85" s="1" t="s">
        <v>1813</v>
      </c>
      <c r="B85" s="5">
        <v>46014</v>
      </c>
      <c r="C85" s="1" t="s">
        <v>31</v>
      </c>
      <c r="D85" s="1" t="s">
        <v>33</v>
      </c>
      <c r="E85" s="1" t="s">
        <v>25</v>
      </c>
      <c r="F85" s="1" t="s">
        <v>26</v>
      </c>
      <c r="G85" s="1" t="s">
        <v>1229</v>
      </c>
      <c r="H85" s="6">
        <v>1</v>
      </c>
      <c r="I85" s="7">
        <v>1704</v>
      </c>
      <c r="J85" s="5">
        <v>46011</v>
      </c>
      <c r="K85" s="1" t="s">
        <v>957</v>
      </c>
      <c r="L85" s="1" t="s">
        <v>30</v>
      </c>
      <c r="M85" s="8">
        <v>0</v>
      </c>
      <c r="N85" s="6"/>
      <c r="O85" s="6"/>
      <c r="P85" s="9">
        <v>0</v>
      </c>
    </row>
    <row r="86" spans="1:16" ht="19.5" customHeight="1">
      <c r="A86" s="1" t="s">
        <v>1813</v>
      </c>
      <c r="B86" s="5">
        <v>46014</v>
      </c>
      <c r="C86" s="1" t="s">
        <v>31</v>
      </c>
      <c r="D86" s="1" t="s">
        <v>34</v>
      </c>
      <c r="E86" s="1" t="s">
        <v>25</v>
      </c>
      <c r="F86" s="1" t="s">
        <v>26</v>
      </c>
      <c r="G86" s="1" t="s">
        <v>1229</v>
      </c>
      <c r="H86" s="6">
        <v>1</v>
      </c>
      <c r="I86" s="7">
        <v>1704</v>
      </c>
      <c r="J86" s="5">
        <v>46011</v>
      </c>
      <c r="K86" s="1" t="s">
        <v>957</v>
      </c>
      <c r="L86" s="1" t="s">
        <v>30</v>
      </c>
      <c r="M86" s="8">
        <v>0</v>
      </c>
      <c r="N86" s="6"/>
      <c r="O86" s="6"/>
      <c r="P86" s="9">
        <v>1055.0899999999999</v>
      </c>
    </row>
    <row r="87" spans="1:16" ht="19.5" customHeight="1">
      <c r="A87" s="1" t="s">
        <v>1813</v>
      </c>
      <c r="B87" s="5">
        <v>46014</v>
      </c>
      <c r="C87" s="1" t="s">
        <v>35</v>
      </c>
      <c r="D87" s="1" t="s">
        <v>36</v>
      </c>
      <c r="E87" s="1" t="s">
        <v>25</v>
      </c>
      <c r="F87" s="1" t="s">
        <v>26</v>
      </c>
      <c r="G87" s="1" t="s">
        <v>1229</v>
      </c>
      <c r="H87" s="6">
        <v>1</v>
      </c>
      <c r="I87" s="7">
        <v>1704</v>
      </c>
      <c r="J87" s="5">
        <v>46011</v>
      </c>
      <c r="K87" s="1" t="s">
        <v>957</v>
      </c>
      <c r="L87" s="1" t="s">
        <v>30</v>
      </c>
      <c r="M87" s="8">
        <v>0.43</v>
      </c>
      <c r="N87" s="6"/>
      <c r="O87" s="6"/>
      <c r="P87" s="9">
        <v>-732.72</v>
      </c>
    </row>
    <row r="88" spans="1:16" ht="19.5" customHeight="1">
      <c r="A88" s="1" t="s">
        <v>1813</v>
      </c>
      <c r="B88" s="5">
        <v>46014</v>
      </c>
      <c r="C88" s="1" t="s">
        <v>17</v>
      </c>
      <c r="D88" s="1" t="s">
        <v>37</v>
      </c>
      <c r="E88" s="1" t="s">
        <v>25</v>
      </c>
      <c r="F88" s="1" t="s">
        <v>26</v>
      </c>
      <c r="G88" s="1" t="s">
        <v>1229</v>
      </c>
      <c r="H88" s="6">
        <v>1</v>
      </c>
      <c r="I88" s="7">
        <v>1704</v>
      </c>
      <c r="J88" s="5">
        <v>46011</v>
      </c>
      <c r="K88" s="1" t="s">
        <v>957</v>
      </c>
      <c r="L88" s="1" t="s">
        <v>30</v>
      </c>
      <c r="M88" s="8">
        <v>0.43</v>
      </c>
      <c r="N88" s="6"/>
      <c r="O88" s="6"/>
      <c r="P88" s="9">
        <v>-8.2100000000000009</v>
      </c>
    </row>
    <row r="89" spans="1:16" ht="19.5" customHeight="1">
      <c r="A89" s="1" t="s">
        <v>1814</v>
      </c>
      <c r="B89" s="5">
        <v>46014</v>
      </c>
      <c r="C89" s="1" t="s">
        <v>28</v>
      </c>
      <c r="D89" s="1" t="s">
        <v>29</v>
      </c>
      <c r="E89" s="1" t="s">
        <v>25</v>
      </c>
      <c r="F89" s="1" t="s">
        <v>26</v>
      </c>
      <c r="G89" s="1" t="s">
        <v>1229</v>
      </c>
      <c r="H89" s="6">
        <v>1</v>
      </c>
      <c r="I89" s="7">
        <v>1738</v>
      </c>
      <c r="J89" s="5">
        <v>46007</v>
      </c>
      <c r="K89" s="1" t="s">
        <v>957</v>
      </c>
      <c r="L89" s="1" t="s">
        <v>30</v>
      </c>
      <c r="M89" s="8">
        <v>0.43</v>
      </c>
      <c r="N89" s="6"/>
      <c r="O89" s="6">
        <v>37</v>
      </c>
      <c r="P89" s="9">
        <v>-99.16</v>
      </c>
    </row>
    <row r="90" spans="1:16" ht="19.5" customHeight="1">
      <c r="A90" s="1" t="s">
        <v>1814</v>
      </c>
      <c r="B90" s="5">
        <v>46014</v>
      </c>
      <c r="C90" s="1" t="s">
        <v>31</v>
      </c>
      <c r="D90" s="1" t="s">
        <v>32</v>
      </c>
      <c r="E90" s="1" t="s">
        <v>25</v>
      </c>
      <c r="F90" s="1" t="s">
        <v>26</v>
      </c>
      <c r="G90" s="1" t="s">
        <v>1229</v>
      </c>
      <c r="H90" s="6">
        <v>1</v>
      </c>
      <c r="I90" s="7">
        <v>1738</v>
      </c>
      <c r="J90" s="5">
        <v>46007</v>
      </c>
      <c r="K90" s="1" t="s">
        <v>957</v>
      </c>
      <c r="L90" s="1" t="s">
        <v>30</v>
      </c>
      <c r="M90" s="8">
        <v>0</v>
      </c>
      <c r="N90" s="6"/>
      <c r="O90" s="6"/>
      <c r="P90" s="9">
        <v>603.61</v>
      </c>
    </row>
    <row r="91" spans="1:16" ht="19.5" customHeight="1">
      <c r="A91" s="1" t="s">
        <v>1814</v>
      </c>
      <c r="B91" s="5">
        <v>46014</v>
      </c>
      <c r="C91" s="1" t="s">
        <v>31</v>
      </c>
      <c r="D91" s="1" t="s">
        <v>33</v>
      </c>
      <c r="E91" s="1" t="s">
        <v>25</v>
      </c>
      <c r="F91" s="1" t="s">
        <v>26</v>
      </c>
      <c r="G91" s="1" t="s">
        <v>1229</v>
      </c>
      <c r="H91" s="6">
        <v>1</v>
      </c>
      <c r="I91" s="7">
        <v>1738</v>
      </c>
      <c r="J91" s="5">
        <v>46007</v>
      </c>
      <c r="K91" s="1" t="s">
        <v>957</v>
      </c>
      <c r="L91" s="1" t="s">
        <v>30</v>
      </c>
      <c r="M91" s="8">
        <v>0</v>
      </c>
      <c r="N91" s="6"/>
      <c r="O91" s="6"/>
      <c r="P91" s="9">
        <v>6.04</v>
      </c>
    </row>
    <row r="92" spans="1:16" ht="19.5" customHeight="1">
      <c r="A92" s="1" t="s">
        <v>1814</v>
      </c>
      <c r="B92" s="5">
        <v>46014</v>
      </c>
      <c r="C92" s="1" t="s">
        <v>31</v>
      </c>
      <c r="D92" s="1" t="s">
        <v>34</v>
      </c>
      <c r="E92" s="1" t="s">
        <v>25</v>
      </c>
      <c r="F92" s="1" t="s">
        <v>26</v>
      </c>
      <c r="G92" s="1" t="s">
        <v>1229</v>
      </c>
      <c r="H92" s="6">
        <v>1</v>
      </c>
      <c r="I92" s="7">
        <v>1738</v>
      </c>
      <c r="J92" s="5">
        <v>46007</v>
      </c>
      <c r="K92" s="1" t="s">
        <v>957</v>
      </c>
      <c r="L92" s="1" t="s">
        <v>30</v>
      </c>
      <c r="M92" s="8">
        <v>0</v>
      </c>
      <c r="N92" s="6"/>
      <c r="O92" s="6"/>
      <c r="P92" s="9">
        <v>1128.3499999999999</v>
      </c>
    </row>
    <row r="93" spans="1:16" ht="19.5" customHeight="1">
      <c r="A93" s="1" t="s">
        <v>1814</v>
      </c>
      <c r="B93" s="5">
        <v>46014</v>
      </c>
      <c r="C93" s="1" t="s">
        <v>35</v>
      </c>
      <c r="D93" s="1" t="s">
        <v>36</v>
      </c>
      <c r="E93" s="1" t="s">
        <v>25</v>
      </c>
      <c r="F93" s="1" t="s">
        <v>26</v>
      </c>
      <c r="G93" s="1" t="s">
        <v>1229</v>
      </c>
      <c r="H93" s="6">
        <v>1</v>
      </c>
      <c r="I93" s="7">
        <v>1738</v>
      </c>
      <c r="J93" s="5">
        <v>46007</v>
      </c>
      <c r="K93" s="1" t="s">
        <v>957</v>
      </c>
      <c r="L93" s="1" t="s">
        <v>30</v>
      </c>
      <c r="M93" s="8">
        <v>0.43</v>
      </c>
      <c r="N93" s="6"/>
      <c r="O93" s="6"/>
      <c r="P93" s="9">
        <v>-747.34</v>
      </c>
    </row>
    <row r="94" spans="1:16" ht="19.5" customHeight="1">
      <c r="A94" s="1" t="s">
        <v>1814</v>
      </c>
      <c r="B94" s="5">
        <v>46014</v>
      </c>
      <c r="C94" s="1" t="s">
        <v>17</v>
      </c>
      <c r="D94" s="1" t="s">
        <v>37</v>
      </c>
      <c r="E94" s="1" t="s">
        <v>25</v>
      </c>
      <c r="F94" s="1" t="s">
        <v>26</v>
      </c>
      <c r="G94" s="1" t="s">
        <v>1229</v>
      </c>
      <c r="H94" s="6">
        <v>1</v>
      </c>
      <c r="I94" s="7">
        <v>1738</v>
      </c>
      <c r="J94" s="5">
        <v>46007</v>
      </c>
      <c r="K94" s="1" t="s">
        <v>957</v>
      </c>
      <c r="L94" s="1" t="s">
        <v>30</v>
      </c>
      <c r="M94" s="8">
        <v>0.43</v>
      </c>
      <c r="N94" s="6"/>
      <c r="O94" s="6"/>
      <c r="P94" s="9">
        <v>-9.09</v>
      </c>
    </row>
    <row r="95" spans="1:16" ht="19.5" customHeight="1">
      <c r="A95" s="1" t="s">
        <v>1815</v>
      </c>
      <c r="B95" s="5">
        <v>46014</v>
      </c>
      <c r="C95" s="1" t="s">
        <v>17</v>
      </c>
      <c r="D95" s="1" t="s">
        <v>18</v>
      </c>
      <c r="E95" s="1" t="s">
        <v>25</v>
      </c>
      <c r="F95" s="1" t="s">
        <v>26</v>
      </c>
      <c r="G95" s="1" t="s">
        <v>1229</v>
      </c>
      <c r="H95" s="6">
        <v>1</v>
      </c>
      <c r="I95" s="7">
        <v>0</v>
      </c>
      <c r="J95" s="5">
        <v>46014</v>
      </c>
      <c r="K95" s="1" t="s">
        <v>22</v>
      </c>
      <c r="L95" s="1" t="s">
        <v>22</v>
      </c>
      <c r="M95" s="8">
        <v>0</v>
      </c>
      <c r="N95" s="6"/>
      <c r="O95" s="6"/>
      <c r="P95" s="9">
        <v>-3.57</v>
      </c>
    </row>
    <row r="96" spans="1:16" ht="19.5" customHeight="1">
      <c r="A96" s="1" t="s">
        <v>1720</v>
      </c>
      <c r="B96" s="5">
        <v>46014</v>
      </c>
      <c r="C96" s="1" t="s">
        <v>28</v>
      </c>
      <c r="D96" s="1" t="s">
        <v>60</v>
      </c>
      <c r="E96" s="1" t="s">
        <v>236</v>
      </c>
      <c r="F96" s="1" t="s">
        <v>1064</v>
      </c>
      <c r="G96" s="1" t="s">
        <v>1133</v>
      </c>
      <c r="H96" s="6">
        <v>1</v>
      </c>
      <c r="I96" s="7">
        <v>0</v>
      </c>
      <c r="J96" s="5">
        <v>46004</v>
      </c>
      <c r="K96" s="1" t="s">
        <v>957</v>
      </c>
      <c r="L96" s="1" t="s">
        <v>30</v>
      </c>
      <c r="M96" s="8">
        <v>0</v>
      </c>
      <c r="N96" s="6"/>
      <c r="O96" s="6"/>
      <c r="P96" s="9">
        <v>0</v>
      </c>
    </row>
    <row r="97" spans="1:16" ht="19.5" customHeight="1">
      <c r="A97" s="1" t="s">
        <v>1720</v>
      </c>
      <c r="B97" s="5">
        <v>46014</v>
      </c>
      <c r="C97" s="1" t="s">
        <v>28</v>
      </c>
      <c r="D97" s="1" t="s">
        <v>46</v>
      </c>
      <c r="E97" s="1" t="s">
        <v>236</v>
      </c>
      <c r="F97" s="1" t="s">
        <v>1064</v>
      </c>
      <c r="G97" s="1" t="s">
        <v>1133</v>
      </c>
      <c r="H97" s="6">
        <v>1</v>
      </c>
      <c r="I97" s="7">
        <v>0</v>
      </c>
      <c r="J97" s="5">
        <v>46004</v>
      </c>
      <c r="K97" s="1" t="s">
        <v>957</v>
      </c>
      <c r="L97" s="1" t="s">
        <v>30</v>
      </c>
      <c r="M97" s="8">
        <v>0</v>
      </c>
      <c r="N97" s="6"/>
      <c r="O97" s="6"/>
      <c r="P97" s="9">
        <v>-56.94</v>
      </c>
    </row>
    <row r="98" spans="1:16" ht="19.5" customHeight="1">
      <c r="A98" s="1" t="s">
        <v>1720</v>
      </c>
      <c r="B98" s="5">
        <v>46014</v>
      </c>
      <c r="C98" s="1" t="s">
        <v>17</v>
      </c>
      <c r="D98" s="1" t="s">
        <v>47</v>
      </c>
      <c r="E98" s="1" t="s">
        <v>236</v>
      </c>
      <c r="F98" s="1" t="s">
        <v>1064</v>
      </c>
      <c r="G98" s="1" t="s">
        <v>1133</v>
      </c>
      <c r="H98" s="6">
        <v>1</v>
      </c>
      <c r="I98" s="7">
        <v>0</v>
      </c>
      <c r="J98" s="5">
        <v>46004</v>
      </c>
      <c r="K98" s="1" t="s">
        <v>957</v>
      </c>
      <c r="L98" s="1" t="s">
        <v>30</v>
      </c>
      <c r="M98" s="8">
        <v>0</v>
      </c>
      <c r="N98" s="6"/>
      <c r="O98" s="6"/>
      <c r="P98" s="9">
        <v>-15</v>
      </c>
    </row>
    <row r="99" spans="1:16" ht="19.5" customHeight="1">
      <c r="A99" s="1" t="s">
        <v>1777</v>
      </c>
      <c r="B99" s="5">
        <v>46014</v>
      </c>
      <c r="C99" s="1" t="s">
        <v>126</v>
      </c>
      <c r="D99" s="1" t="s">
        <v>127</v>
      </c>
      <c r="E99" s="1" t="s">
        <v>223</v>
      </c>
      <c r="F99" s="1" t="s">
        <v>395</v>
      </c>
      <c r="G99" s="1" t="s">
        <v>1229</v>
      </c>
      <c r="H99" s="6">
        <v>1</v>
      </c>
      <c r="I99" s="7">
        <v>-1292</v>
      </c>
      <c r="J99" s="5">
        <v>46009</v>
      </c>
      <c r="K99" s="1" t="s">
        <v>957</v>
      </c>
      <c r="L99" s="1" t="s">
        <v>30</v>
      </c>
      <c r="M99" s="8">
        <v>0</v>
      </c>
      <c r="N99" s="6"/>
      <c r="O99" s="6"/>
      <c r="P99" s="9">
        <v>-492.86</v>
      </c>
    </row>
    <row r="100" spans="1:16" ht="19.5" customHeight="1">
      <c r="A100" s="1" t="s">
        <v>1777</v>
      </c>
      <c r="B100" s="5">
        <v>46014</v>
      </c>
      <c r="C100" s="1" t="s">
        <v>126</v>
      </c>
      <c r="D100" s="1" t="s">
        <v>33</v>
      </c>
      <c r="E100" s="1" t="s">
        <v>223</v>
      </c>
      <c r="F100" s="1" t="s">
        <v>395</v>
      </c>
      <c r="G100" s="1" t="s">
        <v>1229</v>
      </c>
      <c r="H100" s="6">
        <v>1</v>
      </c>
      <c r="I100" s="7">
        <v>-1292</v>
      </c>
      <c r="J100" s="5">
        <v>46009</v>
      </c>
      <c r="K100" s="1" t="s">
        <v>957</v>
      </c>
      <c r="L100" s="1" t="s">
        <v>30</v>
      </c>
      <c r="M100" s="8">
        <v>0</v>
      </c>
      <c r="N100" s="6"/>
      <c r="O100" s="6"/>
      <c r="P100" s="9">
        <v>-4.93</v>
      </c>
    </row>
    <row r="101" spans="1:16" ht="19.5" customHeight="1">
      <c r="A101" s="1" t="s">
        <v>1777</v>
      </c>
      <c r="B101" s="5">
        <v>46014</v>
      </c>
      <c r="C101" s="1" t="s">
        <v>126</v>
      </c>
      <c r="D101" s="1" t="s">
        <v>34</v>
      </c>
      <c r="E101" s="1" t="s">
        <v>223</v>
      </c>
      <c r="F101" s="1" t="s">
        <v>395</v>
      </c>
      <c r="G101" s="1" t="s">
        <v>1229</v>
      </c>
      <c r="H101" s="6">
        <v>1</v>
      </c>
      <c r="I101" s="7">
        <v>-1292</v>
      </c>
      <c r="J101" s="5">
        <v>46009</v>
      </c>
      <c r="K101" s="1" t="s">
        <v>957</v>
      </c>
      <c r="L101" s="1" t="s">
        <v>30</v>
      </c>
      <c r="M101" s="8">
        <v>0</v>
      </c>
      <c r="N101" s="6"/>
      <c r="O101" s="6"/>
      <c r="P101" s="9">
        <v>-794.21</v>
      </c>
    </row>
    <row r="102" spans="1:16" ht="19.5" customHeight="1">
      <c r="A102" s="1" t="s">
        <v>1777</v>
      </c>
      <c r="B102" s="5">
        <v>46014</v>
      </c>
      <c r="C102" s="1" t="s">
        <v>35</v>
      </c>
      <c r="D102" s="1" t="s">
        <v>128</v>
      </c>
      <c r="E102" s="1" t="s">
        <v>223</v>
      </c>
      <c r="F102" s="1" t="s">
        <v>395</v>
      </c>
      <c r="G102" s="1" t="s">
        <v>1229</v>
      </c>
      <c r="H102" s="6">
        <v>1</v>
      </c>
      <c r="I102" s="7">
        <v>-1292</v>
      </c>
      <c r="J102" s="5">
        <v>46009</v>
      </c>
      <c r="K102" s="1" t="s">
        <v>957</v>
      </c>
      <c r="L102" s="1" t="s">
        <v>30</v>
      </c>
      <c r="M102" s="8">
        <v>0.43</v>
      </c>
      <c r="N102" s="6"/>
      <c r="O102" s="6"/>
      <c r="P102" s="9">
        <v>555.55999999999995</v>
      </c>
    </row>
    <row r="103" spans="1:16" ht="19.5" customHeight="1">
      <c r="A103" s="1" t="s">
        <v>1777</v>
      </c>
      <c r="B103" s="5">
        <v>46014</v>
      </c>
      <c r="C103" s="1" t="s">
        <v>17</v>
      </c>
      <c r="D103" s="1" t="s">
        <v>18</v>
      </c>
      <c r="E103" s="1" t="s">
        <v>223</v>
      </c>
      <c r="F103" s="1" t="s">
        <v>395</v>
      </c>
      <c r="G103" s="1" t="s">
        <v>1229</v>
      </c>
      <c r="H103" s="6">
        <v>1</v>
      </c>
      <c r="I103" s="7">
        <v>0</v>
      </c>
      <c r="J103" s="5">
        <v>46009</v>
      </c>
      <c r="K103" s="1" t="s">
        <v>22</v>
      </c>
      <c r="L103" s="1" t="s">
        <v>22</v>
      </c>
      <c r="M103" s="8">
        <v>0</v>
      </c>
      <c r="N103" s="6"/>
      <c r="O103" s="6"/>
      <c r="P103" s="9">
        <v>9.36</v>
      </c>
    </row>
    <row r="104" spans="1:16" ht="19.5" customHeight="1">
      <c r="A104" s="1" t="s">
        <v>1816</v>
      </c>
      <c r="B104" s="5">
        <v>46014</v>
      </c>
      <c r="C104" s="1" t="s">
        <v>17</v>
      </c>
      <c r="D104" s="1" t="s">
        <v>18</v>
      </c>
      <c r="E104" s="1" t="s">
        <v>223</v>
      </c>
      <c r="F104" s="1" t="s">
        <v>395</v>
      </c>
      <c r="G104" s="1" t="s">
        <v>1229</v>
      </c>
      <c r="H104" s="6">
        <v>1</v>
      </c>
      <c r="I104" s="7">
        <v>0</v>
      </c>
      <c r="J104" s="5">
        <v>46014</v>
      </c>
      <c r="K104" s="1" t="s">
        <v>22</v>
      </c>
      <c r="L104" s="1" t="s">
        <v>22</v>
      </c>
      <c r="M104" s="8">
        <v>0</v>
      </c>
      <c r="N104" s="6"/>
      <c r="O104" s="6"/>
      <c r="P104" s="9">
        <v>-11.02</v>
      </c>
    </row>
    <row r="105" spans="1:16" ht="19.5" customHeight="1">
      <c r="A105" s="1" t="s">
        <v>1785</v>
      </c>
      <c r="B105" s="5">
        <v>46014</v>
      </c>
      <c r="C105" s="1" t="s">
        <v>17</v>
      </c>
      <c r="D105" s="1" t="s">
        <v>18</v>
      </c>
      <c r="E105" s="1" t="s">
        <v>25</v>
      </c>
      <c r="F105" s="1" t="s">
        <v>26</v>
      </c>
      <c r="G105" s="1" t="s">
        <v>1229</v>
      </c>
      <c r="H105" s="6">
        <v>1</v>
      </c>
      <c r="I105" s="7">
        <v>0</v>
      </c>
      <c r="J105" s="5">
        <v>46012</v>
      </c>
      <c r="K105" s="1" t="s">
        <v>22</v>
      </c>
      <c r="L105" s="1" t="s">
        <v>22</v>
      </c>
      <c r="M105" s="8">
        <v>0</v>
      </c>
      <c r="N105" s="6"/>
      <c r="O105" s="6"/>
      <c r="P105" s="9">
        <v>11.13</v>
      </c>
    </row>
    <row r="106" spans="1:16" ht="19.5" customHeight="1">
      <c r="A106" s="1" t="s">
        <v>1817</v>
      </c>
      <c r="B106" s="5">
        <v>46014</v>
      </c>
      <c r="C106" s="1" t="s">
        <v>28</v>
      </c>
      <c r="D106" s="1" t="s">
        <v>29</v>
      </c>
      <c r="E106" s="1" t="s">
        <v>25</v>
      </c>
      <c r="F106" s="1" t="s">
        <v>26</v>
      </c>
      <c r="G106" s="1" t="s">
        <v>1229</v>
      </c>
      <c r="H106" s="6">
        <v>1</v>
      </c>
      <c r="I106" s="7">
        <v>0</v>
      </c>
      <c r="J106" s="5">
        <v>46009</v>
      </c>
      <c r="K106" s="1" t="s">
        <v>957</v>
      </c>
      <c r="L106" s="1" t="s">
        <v>30</v>
      </c>
      <c r="M106" s="8">
        <v>0</v>
      </c>
      <c r="N106" s="6"/>
      <c r="O106" s="6">
        <v>40</v>
      </c>
      <c r="P106" s="9">
        <v>-46.77</v>
      </c>
    </row>
    <row r="107" spans="1:16" ht="19.5" customHeight="1">
      <c r="A107" s="1" t="s">
        <v>1817</v>
      </c>
      <c r="B107" s="5">
        <v>46014</v>
      </c>
      <c r="C107" s="1" t="s">
        <v>17</v>
      </c>
      <c r="D107" s="1" t="s">
        <v>37</v>
      </c>
      <c r="E107" s="1" t="s">
        <v>25</v>
      </c>
      <c r="F107" s="1" t="s">
        <v>26</v>
      </c>
      <c r="G107" s="1" t="s">
        <v>1229</v>
      </c>
      <c r="H107" s="6">
        <v>1</v>
      </c>
      <c r="I107" s="7">
        <v>0</v>
      </c>
      <c r="J107" s="5">
        <v>46009</v>
      </c>
      <c r="K107" s="1" t="s">
        <v>957</v>
      </c>
      <c r="L107" s="1" t="s">
        <v>30</v>
      </c>
      <c r="M107" s="8">
        <v>0</v>
      </c>
      <c r="N107" s="6"/>
      <c r="O107" s="6"/>
      <c r="P107" s="9">
        <v>-5.7</v>
      </c>
    </row>
    <row r="108" spans="1:16" ht="19.5" customHeight="1">
      <c r="A108" s="1" t="s">
        <v>1817</v>
      </c>
      <c r="B108" s="5">
        <v>46014</v>
      </c>
      <c r="C108" s="1" t="s">
        <v>28</v>
      </c>
      <c r="D108" s="1" t="s">
        <v>45</v>
      </c>
      <c r="E108" s="1" t="s">
        <v>25</v>
      </c>
      <c r="F108" s="1" t="s">
        <v>26</v>
      </c>
      <c r="G108" s="1" t="s">
        <v>1229</v>
      </c>
      <c r="H108" s="6">
        <v>1</v>
      </c>
      <c r="I108" s="7">
        <v>0</v>
      </c>
      <c r="J108" s="5">
        <v>46009</v>
      </c>
      <c r="K108" s="1" t="s">
        <v>957</v>
      </c>
      <c r="L108" s="1" t="s">
        <v>30</v>
      </c>
      <c r="M108" s="8">
        <v>0</v>
      </c>
      <c r="N108" s="6"/>
      <c r="O108" s="6"/>
      <c r="P108" s="9">
        <v>0</v>
      </c>
    </row>
    <row r="109" spans="1:16" ht="19.5" customHeight="1">
      <c r="A109" s="1" t="s">
        <v>1817</v>
      </c>
      <c r="B109" s="5">
        <v>46014</v>
      </c>
      <c r="C109" s="1" t="s">
        <v>28</v>
      </c>
      <c r="D109" s="1" t="s">
        <v>46</v>
      </c>
      <c r="E109" s="1" t="s">
        <v>25</v>
      </c>
      <c r="F109" s="1" t="s">
        <v>26</v>
      </c>
      <c r="G109" s="1" t="s">
        <v>1229</v>
      </c>
      <c r="H109" s="6">
        <v>1</v>
      </c>
      <c r="I109" s="7">
        <v>0</v>
      </c>
      <c r="J109" s="5">
        <v>46009</v>
      </c>
      <c r="K109" s="1" t="s">
        <v>957</v>
      </c>
      <c r="L109" s="1" t="s">
        <v>30</v>
      </c>
      <c r="M109" s="8">
        <v>0</v>
      </c>
      <c r="N109" s="6"/>
      <c r="O109" s="6"/>
      <c r="P109" s="9">
        <v>-46.77</v>
      </c>
    </row>
    <row r="110" spans="1:16" ht="19.5" customHeight="1">
      <c r="A110" s="1" t="s">
        <v>1817</v>
      </c>
      <c r="B110" s="5">
        <v>46014</v>
      </c>
      <c r="C110" s="1" t="s">
        <v>17</v>
      </c>
      <c r="D110" s="1" t="s">
        <v>47</v>
      </c>
      <c r="E110" s="1" t="s">
        <v>25</v>
      </c>
      <c r="F110" s="1" t="s">
        <v>26</v>
      </c>
      <c r="G110" s="1" t="s">
        <v>1229</v>
      </c>
      <c r="H110" s="6">
        <v>1</v>
      </c>
      <c r="I110" s="7">
        <v>0</v>
      </c>
      <c r="J110" s="5">
        <v>46009</v>
      </c>
      <c r="K110" s="1" t="s">
        <v>957</v>
      </c>
      <c r="L110" s="1" t="s">
        <v>30</v>
      </c>
      <c r="M110" s="8">
        <v>0</v>
      </c>
      <c r="N110" s="6"/>
      <c r="O110" s="6"/>
      <c r="P110" s="9">
        <v>-15</v>
      </c>
    </row>
    <row r="111" spans="1:16" ht="19.5" customHeight="1">
      <c r="A111" s="1" t="s">
        <v>1818</v>
      </c>
      <c r="B111" s="5">
        <v>46014</v>
      </c>
      <c r="C111" s="1" t="s">
        <v>17</v>
      </c>
      <c r="D111" s="1" t="s">
        <v>18</v>
      </c>
      <c r="E111" s="1" t="s">
        <v>25</v>
      </c>
      <c r="F111" s="1" t="s">
        <v>26</v>
      </c>
      <c r="G111" s="1" t="s">
        <v>1229</v>
      </c>
      <c r="H111" s="6">
        <v>1</v>
      </c>
      <c r="I111" s="7">
        <v>0</v>
      </c>
      <c r="J111" s="5">
        <v>46014</v>
      </c>
      <c r="K111" s="1" t="s">
        <v>22</v>
      </c>
      <c r="L111" s="1" t="s">
        <v>22</v>
      </c>
      <c r="M111" s="8">
        <v>0</v>
      </c>
      <c r="N111" s="6"/>
      <c r="O111" s="6"/>
      <c r="P111" s="9">
        <v>-11.13</v>
      </c>
    </row>
    <row r="112" spans="1:16" ht="19.5" customHeight="1">
      <c r="A112" s="1" t="s">
        <v>1819</v>
      </c>
      <c r="B112" s="5">
        <v>46014</v>
      </c>
      <c r="C112" s="1" t="s">
        <v>28</v>
      </c>
      <c r="D112" s="1" t="s">
        <v>29</v>
      </c>
      <c r="E112" s="1" t="s">
        <v>224</v>
      </c>
      <c r="F112" s="1" t="s">
        <v>461</v>
      </c>
      <c r="G112" s="1" t="s">
        <v>1229</v>
      </c>
      <c r="H112" s="6">
        <v>1</v>
      </c>
      <c r="I112" s="7">
        <v>1429</v>
      </c>
      <c r="J112" s="5">
        <v>46011</v>
      </c>
      <c r="K112" s="1" t="s">
        <v>957</v>
      </c>
      <c r="L112" s="1" t="s">
        <v>30</v>
      </c>
      <c r="M112" s="8">
        <v>0.43</v>
      </c>
      <c r="N112" s="6"/>
      <c r="O112" s="6">
        <v>39</v>
      </c>
      <c r="P112" s="9">
        <v>-103.52</v>
      </c>
    </row>
    <row r="113" spans="1:16" ht="19.5" customHeight="1">
      <c r="A113" s="1" t="s">
        <v>1819</v>
      </c>
      <c r="B113" s="5">
        <v>46014</v>
      </c>
      <c r="C113" s="1" t="s">
        <v>31</v>
      </c>
      <c r="D113" s="1" t="s">
        <v>32</v>
      </c>
      <c r="E113" s="1" t="s">
        <v>224</v>
      </c>
      <c r="F113" s="1" t="s">
        <v>461</v>
      </c>
      <c r="G113" s="1" t="s">
        <v>1229</v>
      </c>
      <c r="H113" s="6">
        <v>1</v>
      </c>
      <c r="I113" s="7">
        <v>1429</v>
      </c>
      <c r="J113" s="5">
        <v>46011</v>
      </c>
      <c r="K113" s="1" t="s">
        <v>957</v>
      </c>
      <c r="L113" s="1" t="s">
        <v>30</v>
      </c>
      <c r="M113" s="8">
        <v>0</v>
      </c>
      <c r="N113" s="6"/>
      <c r="O113" s="6"/>
      <c r="P113" s="9">
        <v>843.81</v>
      </c>
    </row>
    <row r="114" spans="1:16" ht="19.5" customHeight="1">
      <c r="A114" s="1" t="s">
        <v>1819</v>
      </c>
      <c r="B114" s="5">
        <v>46014</v>
      </c>
      <c r="C114" s="1" t="s">
        <v>31</v>
      </c>
      <c r="D114" s="1" t="s">
        <v>33</v>
      </c>
      <c r="E114" s="1" t="s">
        <v>224</v>
      </c>
      <c r="F114" s="1" t="s">
        <v>461</v>
      </c>
      <c r="G114" s="1" t="s">
        <v>1229</v>
      </c>
      <c r="H114" s="6">
        <v>1</v>
      </c>
      <c r="I114" s="7">
        <v>1429</v>
      </c>
      <c r="J114" s="5">
        <v>46011</v>
      </c>
      <c r="K114" s="1" t="s">
        <v>957</v>
      </c>
      <c r="L114" s="1" t="s">
        <v>30</v>
      </c>
      <c r="M114" s="8">
        <v>0</v>
      </c>
      <c r="N114" s="6"/>
      <c r="O114" s="6"/>
      <c r="P114" s="9">
        <v>8.44</v>
      </c>
    </row>
    <row r="115" spans="1:16" ht="19.5" customHeight="1">
      <c r="A115" s="1" t="s">
        <v>1819</v>
      </c>
      <c r="B115" s="5">
        <v>46014</v>
      </c>
      <c r="C115" s="1" t="s">
        <v>31</v>
      </c>
      <c r="D115" s="1" t="s">
        <v>34</v>
      </c>
      <c r="E115" s="1" t="s">
        <v>224</v>
      </c>
      <c r="F115" s="1" t="s">
        <v>461</v>
      </c>
      <c r="G115" s="1" t="s">
        <v>1229</v>
      </c>
      <c r="H115" s="6">
        <v>1</v>
      </c>
      <c r="I115" s="7">
        <v>1429</v>
      </c>
      <c r="J115" s="5">
        <v>46011</v>
      </c>
      <c r="K115" s="1" t="s">
        <v>957</v>
      </c>
      <c r="L115" s="1" t="s">
        <v>30</v>
      </c>
      <c r="M115" s="8">
        <v>0</v>
      </c>
      <c r="N115" s="6"/>
      <c r="O115" s="6"/>
      <c r="P115" s="9">
        <v>576.75</v>
      </c>
    </row>
    <row r="116" spans="1:16" ht="19.5" customHeight="1">
      <c r="A116" s="1" t="s">
        <v>1819</v>
      </c>
      <c r="B116" s="5">
        <v>46014</v>
      </c>
      <c r="C116" s="1" t="s">
        <v>35</v>
      </c>
      <c r="D116" s="1" t="s">
        <v>36</v>
      </c>
      <c r="E116" s="1" t="s">
        <v>224</v>
      </c>
      <c r="F116" s="1" t="s">
        <v>461</v>
      </c>
      <c r="G116" s="1" t="s">
        <v>1229</v>
      </c>
      <c r="H116" s="6">
        <v>1</v>
      </c>
      <c r="I116" s="7">
        <v>1429</v>
      </c>
      <c r="J116" s="5">
        <v>46011</v>
      </c>
      <c r="K116" s="1" t="s">
        <v>957</v>
      </c>
      <c r="L116" s="1" t="s">
        <v>30</v>
      </c>
      <c r="M116" s="8">
        <v>0.43</v>
      </c>
      <c r="N116" s="6"/>
      <c r="O116" s="6"/>
      <c r="P116" s="9">
        <v>-614.47</v>
      </c>
    </row>
    <row r="117" spans="1:16" ht="19.5" customHeight="1">
      <c r="A117" s="1" t="s">
        <v>1819</v>
      </c>
      <c r="B117" s="5">
        <v>46014</v>
      </c>
      <c r="C117" s="1" t="s">
        <v>17</v>
      </c>
      <c r="D117" s="1" t="s">
        <v>37</v>
      </c>
      <c r="E117" s="1" t="s">
        <v>224</v>
      </c>
      <c r="F117" s="1" t="s">
        <v>461</v>
      </c>
      <c r="G117" s="1" t="s">
        <v>1229</v>
      </c>
      <c r="H117" s="6">
        <v>1</v>
      </c>
      <c r="I117" s="7">
        <v>1429</v>
      </c>
      <c r="J117" s="5">
        <v>46011</v>
      </c>
      <c r="K117" s="1" t="s">
        <v>957</v>
      </c>
      <c r="L117" s="1" t="s">
        <v>30</v>
      </c>
      <c r="M117" s="8">
        <v>0.43</v>
      </c>
      <c r="N117" s="6"/>
      <c r="O117" s="6"/>
      <c r="P117" s="9">
        <v>-6.27</v>
      </c>
    </row>
    <row r="118" spans="1:16" ht="19.5" customHeight="1">
      <c r="A118" s="1" t="s">
        <v>1819</v>
      </c>
      <c r="B118" s="5">
        <v>46014</v>
      </c>
      <c r="C118" s="1" t="s">
        <v>17</v>
      </c>
      <c r="D118" s="1" t="s">
        <v>18</v>
      </c>
      <c r="E118" s="1" t="s">
        <v>224</v>
      </c>
      <c r="F118" s="1" t="s">
        <v>461</v>
      </c>
      <c r="G118" s="1" t="s">
        <v>1229</v>
      </c>
      <c r="H118" s="6">
        <v>1</v>
      </c>
      <c r="I118" s="7">
        <v>0</v>
      </c>
      <c r="J118" s="5">
        <v>46011</v>
      </c>
      <c r="K118" s="1" t="s">
        <v>22</v>
      </c>
      <c r="L118" s="1" t="s">
        <v>22</v>
      </c>
      <c r="M118" s="8">
        <v>0</v>
      </c>
      <c r="N118" s="6"/>
      <c r="O118" s="6"/>
      <c r="P118" s="9">
        <v>-16.03</v>
      </c>
    </row>
    <row r="119" spans="1:16" ht="19.5" customHeight="1">
      <c r="A119" s="1" t="s">
        <v>1820</v>
      </c>
      <c r="B119" s="5">
        <v>46014</v>
      </c>
      <c r="C119" s="1" t="s">
        <v>28</v>
      </c>
      <c r="D119" s="1" t="s">
        <v>29</v>
      </c>
      <c r="E119" s="1" t="s">
        <v>226</v>
      </c>
      <c r="F119" s="1" t="s">
        <v>428</v>
      </c>
      <c r="G119" s="1" t="s">
        <v>1229</v>
      </c>
      <c r="H119" s="6">
        <v>1</v>
      </c>
      <c r="I119" s="7">
        <v>1461</v>
      </c>
      <c r="J119" s="5">
        <v>46006</v>
      </c>
      <c r="K119" s="1" t="s">
        <v>957</v>
      </c>
      <c r="L119" s="1" t="s">
        <v>30</v>
      </c>
      <c r="M119" s="8">
        <v>0.43</v>
      </c>
      <c r="N119" s="6"/>
      <c r="O119" s="6">
        <v>38</v>
      </c>
      <c r="P119" s="9">
        <v>-99.49</v>
      </c>
    </row>
    <row r="120" spans="1:16" ht="19.5" customHeight="1">
      <c r="A120" s="1" t="s">
        <v>1820</v>
      </c>
      <c r="B120" s="5">
        <v>46014</v>
      </c>
      <c r="C120" s="1" t="s">
        <v>31</v>
      </c>
      <c r="D120" s="1" t="s">
        <v>32</v>
      </c>
      <c r="E120" s="1" t="s">
        <v>226</v>
      </c>
      <c r="F120" s="1" t="s">
        <v>428</v>
      </c>
      <c r="G120" s="1" t="s">
        <v>1229</v>
      </c>
      <c r="H120" s="6">
        <v>1</v>
      </c>
      <c r="I120" s="7">
        <v>1461</v>
      </c>
      <c r="J120" s="5">
        <v>46006</v>
      </c>
      <c r="K120" s="1" t="s">
        <v>957</v>
      </c>
      <c r="L120" s="1" t="s">
        <v>30</v>
      </c>
      <c r="M120" s="8">
        <v>0</v>
      </c>
      <c r="N120" s="6"/>
      <c r="O120" s="6"/>
      <c r="P120" s="9">
        <v>669.52</v>
      </c>
    </row>
    <row r="121" spans="1:16" ht="19.5" customHeight="1">
      <c r="A121" s="1" t="s">
        <v>1820</v>
      </c>
      <c r="B121" s="5">
        <v>46014</v>
      </c>
      <c r="C121" s="1" t="s">
        <v>31</v>
      </c>
      <c r="D121" s="1" t="s">
        <v>33</v>
      </c>
      <c r="E121" s="1" t="s">
        <v>226</v>
      </c>
      <c r="F121" s="1" t="s">
        <v>428</v>
      </c>
      <c r="G121" s="1" t="s">
        <v>1229</v>
      </c>
      <c r="H121" s="6">
        <v>1</v>
      </c>
      <c r="I121" s="7">
        <v>1461</v>
      </c>
      <c r="J121" s="5">
        <v>46006</v>
      </c>
      <c r="K121" s="1" t="s">
        <v>957</v>
      </c>
      <c r="L121" s="1" t="s">
        <v>30</v>
      </c>
      <c r="M121" s="8">
        <v>0</v>
      </c>
      <c r="N121" s="6"/>
      <c r="O121" s="6"/>
      <c r="P121" s="9">
        <v>6.7</v>
      </c>
    </row>
    <row r="122" spans="1:16" ht="19.5" customHeight="1">
      <c r="A122" s="1" t="s">
        <v>1820</v>
      </c>
      <c r="B122" s="5">
        <v>46014</v>
      </c>
      <c r="C122" s="1" t="s">
        <v>31</v>
      </c>
      <c r="D122" s="1" t="s">
        <v>34</v>
      </c>
      <c r="E122" s="1" t="s">
        <v>226</v>
      </c>
      <c r="F122" s="1" t="s">
        <v>428</v>
      </c>
      <c r="G122" s="1" t="s">
        <v>1229</v>
      </c>
      <c r="H122" s="6">
        <v>1</v>
      </c>
      <c r="I122" s="7">
        <v>1461</v>
      </c>
      <c r="J122" s="5">
        <v>46006</v>
      </c>
      <c r="K122" s="1" t="s">
        <v>957</v>
      </c>
      <c r="L122" s="1" t="s">
        <v>30</v>
      </c>
      <c r="M122" s="8">
        <v>0</v>
      </c>
      <c r="N122" s="6"/>
      <c r="O122" s="6"/>
      <c r="P122" s="9">
        <v>784.78</v>
      </c>
    </row>
    <row r="123" spans="1:16" ht="19.5" customHeight="1">
      <c r="A123" s="1" t="s">
        <v>1820</v>
      </c>
      <c r="B123" s="5">
        <v>46014</v>
      </c>
      <c r="C123" s="1" t="s">
        <v>35</v>
      </c>
      <c r="D123" s="1" t="s">
        <v>36</v>
      </c>
      <c r="E123" s="1" t="s">
        <v>226</v>
      </c>
      <c r="F123" s="1" t="s">
        <v>428</v>
      </c>
      <c r="G123" s="1" t="s">
        <v>1229</v>
      </c>
      <c r="H123" s="6">
        <v>1</v>
      </c>
      <c r="I123" s="7">
        <v>1461</v>
      </c>
      <c r="J123" s="5">
        <v>46006</v>
      </c>
      <c r="K123" s="1" t="s">
        <v>957</v>
      </c>
      <c r="L123" s="1" t="s">
        <v>30</v>
      </c>
      <c r="M123" s="8">
        <v>0.43</v>
      </c>
      <c r="N123" s="6"/>
      <c r="O123" s="6"/>
      <c r="P123" s="9">
        <v>-628.23</v>
      </c>
    </row>
    <row r="124" spans="1:16" ht="19.5" customHeight="1">
      <c r="A124" s="1" t="s">
        <v>1820</v>
      </c>
      <c r="B124" s="5">
        <v>46014</v>
      </c>
      <c r="C124" s="1" t="s">
        <v>17</v>
      </c>
      <c r="D124" s="1" t="s">
        <v>37</v>
      </c>
      <c r="E124" s="1" t="s">
        <v>226</v>
      </c>
      <c r="F124" s="1" t="s">
        <v>428</v>
      </c>
      <c r="G124" s="1" t="s">
        <v>1229</v>
      </c>
      <c r="H124" s="6">
        <v>1</v>
      </c>
      <c r="I124" s="7">
        <v>1461</v>
      </c>
      <c r="J124" s="5">
        <v>46006</v>
      </c>
      <c r="K124" s="1" t="s">
        <v>957</v>
      </c>
      <c r="L124" s="1" t="s">
        <v>30</v>
      </c>
      <c r="M124" s="8">
        <v>0.43</v>
      </c>
      <c r="N124" s="6"/>
      <c r="O124" s="6"/>
      <c r="P124" s="9">
        <v>-7.98</v>
      </c>
    </row>
    <row r="125" spans="1:16" ht="19.5" customHeight="1">
      <c r="A125" s="1" t="s">
        <v>1587</v>
      </c>
      <c r="B125" s="5">
        <v>46014</v>
      </c>
      <c r="C125" s="1" t="s">
        <v>126</v>
      </c>
      <c r="D125" s="1" t="s">
        <v>127</v>
      </c>
      <c r="E125" s="1" t="s">
        <v>25</v>
      </c>
      <c r="F125" s="1" t="s">
        <v>26</v>
      </c>
      <c r="G125" s="1" t="s">
        <v>1229</v>
      </c>
      <c r="H125" s="6">
        <v>1</v>
      </c>
      <c r="I125" s="7">
        <v>-1738</v>
      </c>
      <c r="J125" s="5">
        <v>45994</v>
      </c>
      <c r="K125" s="1" t="s">
        <v>957</v>
      </c>
      <c r="L125" s="1" t="s">
        <v>30</v>
      </c>
      <c r="M125" s="8">
        <v>0</v>
      </c>
      <c r="N125" s="6"/>
      <c r="O125" s="6"/>
      <c r="P125" s="9">
        <v>-756.4</v>
      </c>
    </row>
    <row r="126" spans="1:16" ht="19.5" customHeight="1">
      <c r="A126" s="1" t="s">
        <v>1587</v>
      </c>
      <c r="B126" s="5">
        <v>46014</v>
      </c>
      <c r="C126" s="1" t="s">
        <v>126</v>
      </c>
      <c r="D126" s="1" t="s">
        <v>33</v>
      </c>
      <c r="E126" s="1" t="s">
        <v>25</v>
      </c>
      <c r="F126" s="1" t="s">
        <v>26</v>
      </c>
      <c r="G126" s="1" t="s">
        <v>1229</v>
      </c>
      <c r="H126" s="6">
        <v>1</v>
      </c>
      <c r="I126" s="7">
        <v>-1738</v>
      </c>
      <c r="J126" s="5">
        <v>45994</v>
      </c>
      <c r="K126" s="1" t="s">
        <v>957</v>
      </c>
      <c r="L126" s="1" t="s">
        <v>30</v>
      </c>
      <c r="M126" s="8">
        <v>0</v>
      </c>
      <c r="N126" s="6"/>
      <c r="O126" s="6"/>
      <c r="P126" s="9">
        <v>-7.56</v>
      </c>
    </row>
    <row r="127" spans="1:16" ht="19.5" customHeight="1">
      <c r="A127" s="1" t="s">
        <v>1587</v>
      </c>
      <c r="B127" s="5">
        <v>46014</v>
      </c>
      <c r="C127" s="1" t="s">
        <v>126</v>
      </c>
      <c r="D127" s="1" t="s">
        <v>34</v>
      </c>
      <c r="E127" s="1" t="s">
        <v>25</v>
      </c>
      <c r="F127" s="1" t="s">
        <v>26</v>
      </c>
      <c r="G127" s="1" t="s">
        <v>1229</v>
      </c>
      <c r="H127" s="6">
        <v>1</v>
      </c>
      <c r="I127" s="7">
        <v>-1738</v>
      </c>
      <c r="J127" s="5">
        <v>45994</v>
      </c>
      <c r="K127" s="1" t="s">
        <v>957</v>
      </c>
      <c r="L127" s="1" t="s">
        <v>30</v>
      </c>
      <c r="M127" s="8">
        <v>0</v>
      </c>
      <c r="N127" s="6"/>
      <c r="O127" s="6"/>
      <c r="P127" s="9">
        <v>-974.04</v>
      </c>
    </row>
    <row r="128" spans="1:16" ht="19.5" customHeight="1">
      <c r="A128" s="1" t="s">
        <v>1587</v>
      </c>
      <c r="B128" s="5">
        <v>46014</v>
      </c>
      <c r="C128" s="1" t="s">
        <v>35</v>
      </c>
      <c r="D128" s="1" t="s">
        <v>128</v>
      </c>
      <c r="E128" s="1" t="s">
        <v>25</v>
      </c>
      <c r="F128" s="1" t="s">
        <v>26</v>
      </c>
      <c r="G128" s="1" t="s">
        <v>1229</v>
      </c>
      <c r="H128" s="6">
        <v>1</v>
      </c>
      <c r="I128" s="7">
        <v>-1738</v>
      </c>
      <c r="J128" s="5">
        <v>45994</v>
      </c>
      <c r="K128" s="1" t="s">
        <v>957</v>
      </c>
      <c r="L128" s="1" t="s">
        <v>30</v>
      </c>
      <c r="M128" s="8">
        <v>0.43</v>
      </c>
      <c r="N128" s="6"/>
      <c r="O128" s="6"/>
      <c r="P128" s="9">
        <v>747.34</v>
      </c>
    </row>
    <row r="129" spans="1:16" ht="19.5" customHeight="1">
      <c r="A129" s="1" t="s">
        <v>1820</v>
      </c>
      <c r="B129" s="5">
        <v>46014</v>
      </c>
      <c r="C129" s="1" t="s">
        <v>17</v>
      </c>
      <c r="D129" s="1" t="s">
        <v>18</v>
      </c>
      <c r="E129" s="1" t="s">
        <v>226</v>
      </c>
      <c r="F129" s="1" t="s">
        <v>428</v>
      </c>
      <c r="G129" s="1" t="s">
        <v>1229</v>
      </c>
      <c r="H129" s="6">
        <v>1</v>
      </c>
      <c r="I129" s="7">
        <v>0</v>
      </c>
      <c r="J129" s="5">
        <v>46006</v>
      </c>
      <c r="K129" s="1" t="s">
        <v>22</v>
      </c>
      <c r="L129" s="1" t="s">
        <v>22</v>
      </c>
      <c r="M129" s="8">
        <v>0</v>
      </c>
      <c r="N129" s="6"/>
      <c r="O129" s="6"/>
      <c r="P129" s="9">
        <v>-12.72</v>
      </c>
    </row>
    <row r="130" spans="1:16" ht="19.5" customHeight="1">
      <c r="A130" s="1" t="s">
        <v>1587</v>
      </c>
      <c r="B130" s="5">
        <v>46014</v>
      </c>
      <c r="C130" s="1" t="s">
        <v>17</v>
      </c>
      <c r="D130" s="1" t="s">
        <v>18</v>
      </c>
      <c r="E130" s="1" t="s">
        <v>25</v>
      </c>
      <c r="F130" s="1" t="s">
        <v>26</v>
      </c>
      <c r="G130" s="1" t="s">
        <v>1229</v>
      </c>
      <c r="H130" s="6">
        <v>1</v>
      </c>
      <c r="I130" s="7">
        <v>0</v>
      </c>
      <c r="J130" s="5">
        <v>45994</v>
      </c>
      <c r="K130" s="1" t="s">
        <v>22</v>
      </c>
      <c r="L130" s="1" t="s">
        <v>22</v>
      </c>
      <c r="M130" s="8">
        <v>0</v>
      </c>
      <c r="N130" s="6"/>
      <c r="O130" s="6"/>
      <c r="P130" s="9">
        <v>14.37</v>
      </c>
    </row>
    <row r="131" spans="1:16" ht="19.5" customHeight="1">
      <c r="A131" s="1" t="s">
        <v>1821</v>
      </c>
      <c r="B131" s="5">
        <v>46014</v>
      </c>
      <c r="C131" s="1" t="s">
        <v>28</v>
      </c>
      <c r="D131" s="1" t="s">
        <v>29</v>
      </c>
      <c r="E131" s="1" t="s">
        <v>25</v>
      </c>
      <c r="F131" s="1" t="s">
        <v>26</v>
      </c>
      <c r="G131" s="1" t="s">
        <v>1229</v>
      </c>
      <c r="H131" s="6">
        <v>1</v>
      </c>
      <c r="I131" s="7">
        <v>0</v>
      </c>
      <c r="J131" s="5">
        <v>46011</v>
      </c>
      <c r="K131" s="1" t="s">
        <v>957</v>
      </c>
      <c r="L131" s="1" t="s">
        <v>30</v>
      </c>
      <c r="M131" s="8">
        <v>0</v>
      </c>
      <c r="N131" s="6"/>
      <c r="O131" s="6">
        <v>39</v>
      </c>
      <c r="P131" s="9">
        <v>-46.77</v>
      </c>
    </row>
    <row r="132" spans="1:16" ht="19.5" customHeight="1">
      <c r="A132" s="1" t="s">
        <v>1821</v>
      </c>
      <c r="B132" s="5">
        <v>46014</v>
      </c>
      <c r="C132" s="1" t="s">
        <v>17</v>
      </c>
      <c r="D132" s="1" t="s">
        <v>37</v>
      </c>
      <c r="E132" s="1" t="s">
        <v>25</v>
      </c>
      <c r="F132" s="1" t="s">
        <v>26</v>
      </c>
      <c r="G132" s="1" t="s">
        <v>1229</v>
      </c>
      <c r="H132" s="6">
        <v>1</v>
      </c>
      <c r="I132" s="7">
        <v>0</v>
      </c>
      <c r="J132" s="5">
        <v>46011</v>
      </c>
      <c r="K132" s="1" t="s">
        <v>957</v>
      </c>
      <c r="L132" s="1" t="s">
        <v>30</v>
      </c>
      <c r="M132" s="8">
        <v>0</v>
      </c>
      <c r="N132" s="6"/>
      <c r="O132" s="6"/>
      <c r="P132" s="9">
        <v>-8.77</v>
      </c>
    </row>
    <row r="133" spans="1:16" ht="19.5" customHeight="1">
      <c r="A133" s="1" t="s">
        <v>1821</v>
      </c>
      <c r="B133" s="5">
        <v>46014</v>
      </c>
      <c r="C133" s="1" t="s">
        <v>28</v>
      </c>
      <c r="D133" s="1" t="s">
        <v>45</v>
      </c>
      <c r="E133" s="1" t="s">
        <v>25</v>
      </c>
      <c r="F133" s="1" t="s">
        <v>26</v>
      </c>
      <c r="G133" s="1" t="s">
        <v>1229</v>
      </c>
      <c r="H133" s="6">
        <v>1</v>
      </c>
      <c r="I133" s="7">
        <v>0</v>
      </c>
      <c r="J133" s="5">
        <v>46011</v>
      </c>
      <c r="K133" s="1" t="s">
        <v>957</v>
      </c>
      <c r="L133" s="1" t="s">
        <v>30</v>
      </c>
      <c r="M133" s="8">
        <v>0</v>
      </c>
      <c r="N133" s="6"/>
      <c r="O133" s="6"/>
      <c r="P133" s="9">
        <v>0</v>
      </c>
    </row>
    <row r="134" spans="1:16" ht="19.5" customHeight="1">
      <c r="A134" s="1" t="s">
        <v>1821</v>
      </c>
      <c r="B134" s="5">
        <v>46014</v>
      </c>
      <c r="C134" s="1" t="s">
        <v>28</v>
      </c>
      <c r="D134" s="1" t="s">
        <v>46</v>
      </c>
      <c r="E134" s="1" t="s">
        <v>25</v>
      </c>
      <c r="F134" s="1" t="s">
        <v>26</v>
      </c>
      <c r="G134" s="1" t="s">
        <v>1229</v>
      </c>
      <c r="H134" s="6">
        <v>1</v>
      </c>
      <c r="I134" s="7">
        <v>0</v>
      </c>
      <c r="J134" s="5">
        <v>46011</v>
      </c>
      <c r="K134" s="1" t="s">
        <v>957</v>
      </c>
      <c r="L134" s="1" t="s">
        <v>30</v>
      </c>
      <c r="M134" s="8">
        <v>0</v>
      </c>
      <c r="N134" s="6"/>
      <c r="O134" s="6"/>
      <c r="P134" s="9">
        <v>-46.77</v>
      </c>
    </row>
    <row r="135" spans="1:16" ht="19.5" customHeight="1">
      <c r="A135" s="1" t="s">
        <v>1821</v>
      </c>
      <c r="B135" s="5">
        <v>46014</v>
      </c>
      <c r="C135" s="1" t="s">
        <v>17</v>
      </c>
      <c r="D135" s="1" t="s">
        <v>47</v>
      </c>
      <c r="E135" s="1" t="s">
        <v>25</v>
      </c>
      <c r="F135" s="1" t="s">
        <v>26</v>
      </c>
      <c r="G135" s="1" t="s">
        <v>1229</v>
      </c>
      <c r="H135" s="6">
        <v>1</v>
      </c>
      <c r="I135" s="7">
        <v>0</v>
      </c>
      <c r="J135" s="5">
        <v>46011</v>
      </c>
      <c r="K135" s="1" t="s">
        <v>957</v>
      </c>
      <c r="L135" s="1" t="s">
        <v>30</v>
      </c>
      <c r="M135" s="8">
        <v>0</v>
      </c>
      <c r="N135" s="6"/>
      <c r="O135" s="6"/>
      <c r="P135" s="9">
        <v>-15</v>
      </c>
    </row>
    <row r="136" spans="1:16" ht="19.5" customHeight="1">
      <c r="A136" s="1" t="s">
        <v>1750</v>
      </c>
      <c r="B136" s="5">
        <v>46014</v>
      </c>
      <c r="C136" s="1" t="s">
        <v>126</v>
      </c>
      <c r="D136" s="1" t="s">
        <v>127</v>
      </c>
      <c r="E136" s="1" t="s">
        <v>25</v>
      </c>
      <c r="F136" s="1" t="s">
        <v>26</v>
      </c>
      <c r="G136" s="1" t="s">
        <v>1229</v>
      </c>
      <c r="H136" s="6">
        <v>1</v>
      </c>
      <c r="I136" s="7">
        <v>-1124</v>
      </c>
      <c r="J136" s="5">
        <v>46003</v>
      </c>
      <c r="K136" s="1" t="s">
        <v>957</v>
      </c>
      <c r="L136" s="1" t="s">
        <v>30</v>
      </c>
      <c r="M136" s="8">
        <v>0</v>
      </c>
      <c r="N136" s="6"/>
      <c r="O136" s="6"/>
      <c r="P136" s="9">
        <v>-648.34</v>
      </c>
    </row>
    <row r="137" spans="1:16" ht="19.5" customHeight="1">
      <c r="A137" s="1" t="s">
        <v>1750</v>
      </c>
      <c r="B137" s="5">
        <v>46014</v>
      </c>
      <c r="C137" s="1" t="s">
        <v>126</v>
      </c>
      <c r="D137" s="1" t="s">
        <v>33</v>
      </c>
      <c r="E137" s="1" t="s">
        <v>25</v>
      </c>
      <c r="F137" s="1" t="s">
        <v>26</v>
      </c>
      <c r="G137" s="1" t="s">
        <v>1229</v>
      </c>
      <c r="H137" s="6">
        <v>1</v>
      </c>
      <c r="I137" s="7">
        <v>-1124</v>
      </c>
      <c r="J137" s="5">
        <v>46003</v>
      </c>
      <c r="K137" s="1" t="s">
        <v>957</v>
      </c>
      <c r="L137" s="1" t="s">
        <v>30</v>
      </c>
      <c r="M137" s="8">
        <v>0</v>
      </c>
      <c r="N137" s="6"/>
      <c r="O137" s="6"/>
      <c r="P137" s="9">
        <v>-6.48</v>
      </c>
    </row>
    <row r="138" spans="1:16" ht="19.5" customHeight="1">
      <c r="A138" s="1" t="s">
        <v>1750</v>
      </c>
      <c r="B138" s="5">
        <v>46014</v>
      </c>
      <c r="C138" s="1" t="s">
        <v>126</v>
      </c>
      <c r="D138" s="1" t="s">
        <v>34</v>
      </c>
      <c r="E138" s="1" t="s">
        <v>25</v>
      </c>
      <c r="F138" s="1" t="s">
        <v>26</v>
      </c>
      <c r="G138" s="1" t="s">
        <v>1229</v>
      </c>
      <c r="H138" s="6">
        <v>1</v>
      </c>
      <c r="I138" s="7">
        <v>-1124</v>
      </c>
      <c r="J138" s="5">
        <v>46003</v>
      </c>
      <c r="K138" s="1" t="s">
        <v>957</v>
      </c>
      <c r="L138" s="1" t="s">
        <v>30</v>
      </c>
      <c r="M138" s="8">
        <v>0</v>
      </c>
      <c r="N138" s="6"/>
      <c r="O138" s="6"/>
      <c r="P138" s="9">
        <v>-469.18</v>
      </c>
    </row>
    <row r="139" spans="1:16" ht="19.5" customHeight="1">
      <c r="A139" s="1" t="s">
        <v>1750</v>
      </c>
      <c r="B139" s="5">
        <v>46014</v>
      </c>
      <c r="C139" s="1" t="s">
        <v>35</v>
      </c>
      <c r="D139" s="1" t="s">
        <v>128</v>
      </c>
      <c r="E139" s="1" t="s">
        <v>25</v>
      </c>
      <c r="F139" s="1" t="s">
        <v>26</v>
      </c>
      <c r="G139" s="1" t="s">
        <v>1229</v>
      </c>
      <c r="H139" s="6">
        <v>1</v>
      </c>
      <c r="I139" s="7">
        <v>-1124</v>
      </c>
      <c r="J139" s="5">
        <v>46003</v>
      </c>
      <c r="K139" s="1" t="s">
        <v>957</v>
      </c>
      <c r="L139" s="1" t="s">
        <v>30</v>
      </c>
      <c r="M139" s="8">
        <v>0.43</v>
      </c>
      <c r="N139" s="6"/>
      <c r="O139" s="6"/>
      <c r="P139" s="9">
        <v>483.32</v>
      </c>
    </row>
    <row r="140" spans="1:16" ht="19.5" customHeight="1">
      <c r="A140" s="1" t="s">
        <v>1750</v>
      </c>
      <c r="B140" s="5">
        <v>46014</v>
      </c>
      <c r="C140" s="1" t="s">
        <v>17</v>
      </c>
      <c r="D140" s="1" t="s">
        <v>18</v>
      </c>
      <c r="E140" s="1" t="s">
        <v>25</v>
      </c>
      <c r="F140" s="1" t="s">
        <v>26</v>
      </c>
      <c r="G140" s="1" t="s">
        <v>1229</v>
      </c>
      <c r="H140" s="6">
        <v>1</v>
      </c>
      <c r="I140" s="7">
        <v>0</v>
      </c>
      <c r="J140" s="5">
        <v>46003</v>
      </c>
      <c r="K140" s="1" t="s">
        <v>22</v>
      </c>
      <c r="L140" s="1" t="s">
        <v>22</v>
      </c>
      <c r="M140" s="8">
        <v>0</v>
      </c>
      <c r="N140" s="6"/>
      <c r="O140" s="6"/>
      <c r="P140" s="9">
        <v>12.32</v>
      </c>
    </row>
    <row r="141" spans="1:16" ht="19.5" customHeight="1">
      <c r="A141" s="1" t="s">
        <v>1822</v>
      </c>
      <c r="B141" s="5">
        <v>46014</v>
      </c>
      <c r="C141" s="1" t="s">
        <v>28</v>
      </c>
      <c r="D141" s="1" t="s">
        <v>29</v>
      </c>
      <c r="E141" s="1" t="s">
        <v>171</v>
      </c>
      <c r="F141" s="1" t="s">
        <v>172</v>
      </c>
      <c r="G141" s="1" t="s">
        <v>1133</v>
      </c>
      <c r="H141" s="6">
        <v>1</v>
      </c>
      <c r="I141" s="7">
        <v>0</v>
      </c>
      <c r="J141" s="5">
        <v>46010</v>
      </c>
      <c r="K141" s="1" t="s">
        <v>957</v>
      </c>
      <c r="L141" s="1" t="s">
        <v>30</v>
      </c>
      <c r="M141" s="8">
        <v>0</v>
      </c>
      <c r="N141" s="6"/>
      <c r="O141" s="6">
        <v>39</v>
      </c>
      <c r="P141" s="9">
        <v>-56.94</v>
      </c>
    </row>
    <row r="142" spans="1:16" ht="19.5" customHeight="1">
      <c r="A142" s="1" t="s">
        <v>1822</v>
      </c>
      <c r="B142" s="5">
        <v>46014</v>
      </c>
      <c r="C142" s="1" t="s">
        <v>28</v>
      </c>
      <c r="D142" s="1" t="s">
        <v>45</v>
      </c>
      <c r="E142" s="1" t="s">
        <v>171</v>
      </c>
      <c r="F142" s="1" t="s">
        <v>172</v>
      </c>
      <c r="G142" s="1" t="s">
        <v>1133</v>
      </c>
      <c r="H142" s="6">
        <v>1</v>
      </c>
      <c r="I142" s="7">
        <v>0</v>
      </c>
      <c r="J142" s="5">
        <v>46010</v>
      </c>
      <c r="K142" s="1" t="s">
        <v>957</v>
      </c>
      <c r="L142" s="1" t="s">
        <v>30</v>
      </c>
      <c r="M142" s="8">
        <v>0</v>
      </c>
      <c r="N142" s="6"/>
      <c r="O142" s="6"/>
      <c r="P142" s="9">
        <v>0</v>
      </c>
    </row>
    <row r="143" spans="1:16" ht="19.5" customHeight="1">
      <c r="A143" s="1" t="s">
        <v>1822</v>
      </c>
      <c r="B143" s="5">
        <v>46014</v>
      </c>
      <c r="C143" s="1" t="s">
        <v>28</v>
      </c>
      <c r="D143" s="1" t="s">
        <v>46</v>
      </c>
      <c r="E143" s="1" t="s">
        <v>171</v>
      </c>
      <c r="F143" s="1" t="s">
        <v>172</v>
      </c>
      <c r="G143" s="1" t="s">
        <v>1133</v>
      </c>
      <c r="H143" s="6">
        <v>1</v>
      </c>
      <c r="I143" s="7">
        <v>0</v>
      </c>
      <c r="J143" s="5">
        <v>46010</v>
      </c>
      <c r="K143" s="1" t="s">
        <v>957</v>
      </c>
      <c r="L143" s="1" t="s">
        <v>30</v>
      </c>
      <c r="M143" s="8">
        <v>0</v>
      </c>
      <c r="N143" s="6"/>
      <c r="O143" s="6"/>
      <c r="P143" s="9">
        <v>-56.94</v>
      </c>
    </row>
    <row r="144" spans="1:16" ht="19.5" customHeight="1">
      <c r="A144" s="1" t="s">
        <v>22</v>
      </c>
      <c r="B144" s="5">
        <v>46014</v>
      </c>
      <c r="C144" s="1" t="s">
        <v>77</v>
      </c>
      <c r="D144" s="1" t="s">
        <v>78</v>
      </c>
      <c r="E144" s="1" t="s">
        <v>22</v>
      </c>
      <c r="F144" s="1" t="s">
        <v>22</v>
      </c>
      <c r="G144" s="1" t="s">
        <v>1823</v>
      </c>
      <c r="H144" s="6">
        <v>0</v>
      </c>
      <c r="I144" s="7">
        <v>0</v>
      </c>
      <c r="J144" s="5">
        <v>46014</v>
      </c>
      <c r="K144" s="1" t="s">
        <v>22</v>
      </c>
      <c r="L144" s="1" t="s">
        <v>22</v>
      </c>
      <c r="M144" s="8">
        <v>0</v>
      </c>
      <c r="N144" s="6"/>
      <c r="O144" s="6"/>
      <c r="P144" s="9">
        <v>-450</v>
      </c>
    </row>
    <row r="145" spans="1:16" ht="19.5" customHeight="1">
      <c r="A145" s="1" t="s">
        <v>1824</v>
      </c>
      <c r="B145" s="5">
        <v>46014</v>
      </c>
      <c r="C145" s="1" t="s">
        <v>28</v>
      </c>
      <c r="D145" s="1" t="s">
        <v>29</v>
      </c>
      <c r="E145" s="1" t="s">
        <v>25</v>
      </c>
      <c r="F145" s="1" t="s">
        <v>26</v>
      </c>
      <c r="G145" s="1" t="s">
        <v>1229</v>
      </c>
      <c r="H145" s="6">
        <v>1</v>
      </c>
      <c r="I145" s="7">
        <v>0</v>
      </c>
      <c r="J145" s="5">
        <v>45994</v>
      </c>
      <c r="K145" s="1" t="s">
        <v>957</v>
      </c>
      <c r="L145" s="1" t="s">
        <v>30</v>
      </c>
      <c r="M145" s="8">
        <v>0</v>
      </c>
      <c r="N145" s="6"/>
      <c r="O145" s="6">
        <v>40</v>
      </c>
      <c r="P145" s="9">
        <v>-46</v>
      </c>
    </row>
    <row r="146" spans="1:16" ht="19.5" customHeight="1">
      <c r="A146" s="1" t="s">
        <v>1824</v>
      </c>
      <c r="B146" s="5">
        <v>46014</v>
      </c>
      <c r="C146" s="1" t="s">
        <v>17</v>
      </c>
      <c r="D146" s="1" t="s">
        <v>37</v>
      </c>
      <c r="E146" s="1" t="s">
        <v>25</v>
      </c>
      <c r="F146" s="1" t="s">
        <v>26</v>
      </c>
      <c r="G146" s="1" t="s">
        <v>1229</v>
      </c>
      <c r="H146" s="6">
        <v>1</v>
      </c>
      <c r="I146" s="7">
        <v>0</v>
      </c>
      <c r="J146" s="5">
        <v>45994</v>
      </c>
      <c r="K146" s="1" t="s">
        <v>957</v>
      </c>
      <c r="L146" s="1" t="s">
        <v>30</v>
      </c>
      <c r="M146" s="8">
        <v>0</v>
      </c>
      <c r="N146" s="6"/>
      <c r="O146" s="6"/>
      <c r="P146" s="9">
        <v>-14.4</v>
      </c>
    </row>
    <row r="147" spans="1:16" ht="19.5" customHeight="1">
      <c r="A147" s="1" t="s">
        <v>1824</v>
      </c>
      <c r="B147" s="5">
        <v>46014</v>
      </c>
      <c r="C147" s="1" t="s">
        <v>28</v>
      </c>
      <c r="D147" s="1" t="s">
        <v>45</v>
      </c>
      <c r="E147" s="1" t="s">
        <v>25</v>
      </c>
      <c r="F147" s="1" t="s">
        <v>26</v>
      </c>
      <c r="G147" s="1" t="s">
        <v>1229</v>
      </c>
      <c r="H147" s="6">
        <v>1</v>
      </c>
      <c r="I147" s="7">
        <v>0</v>
      </c>
      <c r="J147" s="5">
        <v>45994</v>
      </c>
      <c r="K147" s="1" t="s">
        <v>957</v>
      </c>
      <c r="L147" s="1" t="s">
        <v>30</v>
      </c>
      <c r="M147" s="8">
        <v>0</v>
      </c>
      <c r="N147" s="6"/>
      <c r="O147" s="6"/>
      <c r="P147" s="9">
        <v>0</v>
      </c>
    </row>
    <row r="148" spans="1:16" ht="19.5" customHeight="1">
      <c r="A148" s="1" t="s">
        <v>1824</v>
      </c>
      <c r="B148" s="5">
        <v>46014</v>
      </c>
      <c r="C148" s="1" t="s">
        <v>28</v>
      </c>
      <c r="D148" s="1" t="s">
        <v>46</v>
      </c>
      <c r="E148" s="1" t="s">
        <v>25</v>
      </c>
      <c r="F148" s="1" t="s">
        <v>26</v>
      </c>
      <c r="G148" s="1" t="s">
        <v>1229</v>
      </c>
      <c r="H148" s="6">
        <v>1</v>
      </c>
      <c r="I148" s="7">
        <v>0</v>
      </c>
      <c r="J148" s="5">
        <v>45994</v>
      </c>
      <c r="K148" s="1" t="s">
        <v>957</v>
      </c>
      <c r="L148" s="1" t="s">
        <v>30</v>
      </c>
      <c r="M148" s="8">
        <v>0</v>
      </c>
      <c r="N148" s="6"/>
      <c r="O148" s="6"/>
      <c r="P148" s="9">
        <v>-46</v>
      </c>
    </row>
    <row r="149" spans="1:16" ht="19.5" customHeight="1">
      <c r="A149" s="1" t="s">
        <v>1376</v>
      </c>
      <c r="B149" s="5">
        <v>46014</v>
      </c>
      <c r="C149" s="1" t="s">
        <v>77</v>
      </c>
      <c r="D149" s="1" t="s">
        <v>82</v>
      </c>
      <c r="E149" s="1" t="s">
        <v>22</v>
      </c>
      <c r="F149" s="1" t="s">
        <v>22</v>
      </c>
      <c r="G149" s="1" t="s">
        <v>22</v>
      </c>
      <c r="H149" s="6">
        <v>0</v>
      </c>
      <c r="I149" s="7">
        <v>0</v>
      </c>
      <c r="J149" s="5">
        <v>46014</v>
      </c>
      <c r="K149" s="1" t="s">
        <v>22</v>
      </c>
      <c r="L149" s="1" t="s">
        <v>22</v>
      </c>
      <c r="M149" s="8">
        <v>0</v>
      </c>
      <c r="N149" s="6"/>
      <c r="O149" s="6"/>
      <c r="P149" s="9">
        <v>-1690.11</v>
      </c>
    </row>
    <row r="150" spans="1:16" ht="19.5" customHeight="1">
      <c r="A150" s="1" t="s">
        <v>1075</v>
      </c>
      <c r="B150" s="5">
        <v>46014</v>
      </c>
      <c r="C150" s="1" t="s">
        <v>77</v>
      </c>
      <c r="D150" s="1" t="s">
        <v>82</v>
      </c>
      <c r="E150" s="1" t="s">
        <v>22</v>
      </c>
      <c r="F150" s="1" t="s">
        <v>22</v>
      </c>
      <c r="G150" s="1" t="s">
        <v>22</v>
      </c>
      <c r="H150" s="6">
        <v>0</v>
      </c>
      <c r="I150" s="7">
        <v>0</v>
      </c>
      <c r="J150" s="5">
        <v>46014</v>
      </c>
      <c r="K150" s="1" t="s">
        <v>22</v>
      </c>
      <c r="L150" s="1" t="s">
        <v>22</v>
      </c>
      <c r="M150" s="8">
        <v>0</v>
      </c>
      <c r="N150" s="6"/>
      <c r="O150" s="6"/>
      <c r="P150" s="9">
        <v>-570.91999999999996</v>
      </c>
    </row>
    <row r="151" spans="1:16" ht="19.5" customHeight="1">
      <c r="A151" s="1" t="s">
        <v>83</v>
      </c>
      <c r="B151" s="5">
        <v>46014</v>
      </c>
      <c r="C151" s="1" t="s">
        <v>77</v>
      </c>
      <c r="D151" s="1" t="s">
        <v>84</v>
      </c>
      <c r="E151" s="1" t="s">
        <v>22</v>
      </c>
      <c r="F151" s="1" t="s">
        <v>22</v>
      </c>
      <c r="G151" s="1" t="s">
        <v>22</v>
      </c>
      <c r="H151" s="6">
        <v>0</v>
      </c>
      <c r="I151" s="7">
        <v>0</v>
      </c>
      <c r="J151" s="5">
        <v>46014</v>
      </c>
      <c r="K151" s="1" t="s">
        <v>22</v>
      </c>
      <c r="L151" s="1" t="s">
        <v>22</v>
      </c>
      <c r="M151" s="8">
        <v>0</v>
      </c>
      <c r="N151" s="6"/>
      <c r="O151" s="6"/>
      <c r="P151" s="9">
        <v>-2621.53</v>
      </c>
    </row>
    <row r="152" spans="1:16" ht="19.5" customHeight="1">
      <c r="A152" s="1" t="s">
        <v>1825</v>
      </c>
      <c r="B152" s="5">
        <v>46015</v>
      </c>
      <c r="C152" s="1" t="s">
        <v>17</v>
      </c>
      <c r="D152" s="1" t="s">
        <v>18</v>
      </c>
      <c r="E152" s="1" t="s">
        <v>25</v>
      </c>
      <c r="F152" s="1" t="s">
        <v>26</v>
      </c>
      <c r="G152" s="1" t="s">
        <v>1229</v>
      </c>
      <c r="H152" s="6">
        <v>1</v>
      </c>
      <c r="I152" s="7">
        <v>0</v>
      </c>
      <c r="J152" s="5">
        <v>46015</v>
      </c>
      <c r="K152" s="1" t="s">
        <v>22</v>
      </c>
      <c r="L152" s="1" t="s">
        <v>22</v>
      </c>
      <c r="M152" s="8">
        <v>0</v>
      </c>
      <c r="N152" s="6"/>
      <c r="O152" s="6"/>
      <c r="P152" s="9">
        <v>-6.94</v>
      </c>
    </row>
    <row r="153" spans="1:16" ht="19.5" customHeight="1">
      <c r="A153" s="1" t="s">
        <v>1826</v>
      </c>
      <c r="B153" s="5">
        <v>46015</v>
      </c>
      <c r="C153" s="1" t="s">
        <v>17</v>
      </c>
      <c r="D153" s="1" t="s">
        <v>18</v>
      </c>
      <c r="E153" s="1" t="s">
        <v>226</v>
      </c>
      <c r="F153" s="1" t="s">
        <v>428</v>
      </c>
      <c r="G153" s="1" t="s">
        <v>1229</v>
      </c>
      <c r="H153" s="6">
        <v>1</v>
      </c>
      <c r="I153" s="7">
        <v>0</v>
      </c>
      <c r="J153" s="5">
        <v>46015</v>
      </c>
      <c r="K153" s="1" t="s">
        <v>22</v>
      </c>
      <c r="L153" s="1" t="s">
        <v>22</v>
      </c>
      <c r="M153" s="8">
        <v>0</v>
      </c>
      <c r="N153" s="6"/>
      <c r="O153" s="6"/>
      <c r="P153" s="9">
        <v>-12.44</v>
      </c>
    </row>
    <row r="154" spans="1:16" ht="19.5" customHeight="1">
      <c r="A154" s="1" t="s">
        <v>1827</v>
      </c>
      <c r="B154" s="5">
        <v>46015</v>
      </c>
      <c r="C154" s="1" t="s">
        <v>28</v>
      </c>
      <c r="D154" s="1" t="s">
        <v>29</v>
      </c>
      <c r="E154" s="1" t="s">
        <v>25</v>
      </c>
      <c r="F154" s="1" t="s">
        <v>26</v>
      </c>
      <c r="G154" s="1" t="s">
        <v>1229</v>
      </c>
      <c r="H154" s="6">
        <v>1</v>
      </c>
      <c r="I154" s="7">
        <v>1124</v>
      </c>
      <c r="J154" s="5">
        <v>46003</v>
      </c>
      <c r="K154" s="1" t="s">
        <v>957</v>
      </c>
      <c r="L154" s="1" t="s">
        <v>30</v>
      </c>
      <c r="M154" s="8">
        <v>0.43</v>
      </c>
      <c r="N154" s="6"/>
      <c r="O154" s="6">
        <v>40</v>
      </c>
      <c r="P154" s="9">
        <v>-99.28</v>
      </c>
    </row>
    <row r="155" spans="1:16" ht="19.5" customHeight="1">
      <c r="A155" s="1" t="s">
        <v>1827</v>
      </c>
      <c r="B155" s="5">
        <v>46015</v>
      </c>
      <c r="C155" s="1" t="s">
        <v>31</v>
      </c>
      <c r="D155" s="1" t="s">
        <v>32</v>
      </c>
      <c r="E155" s="1" t="s">
        <v>25</v>
      </c>
      <c r="F155" s="1" t="s">
        <v>26</v>
      </c>
      <c r="G155" s="1" t="s">
        <v>1229</v>
      </c>
      <c r="H155" s="6">
        <v>1</v>
      </c>
      <c r="I155" s="7">
        <v>1124</v>
      </c>
      <c r="J155" s="5">
        <v>46003</v>
      </c>
      <c r="K155" s="1" t="s">
        <v>957</v>
      </c>
      <c r="L155" s="1" t="s">
        <v>30</v>
      </c>
      <c r="M155" s="8">
        <v>0</v>
      </c>
      <c r="N155" s="6"/>
      <c r="O155" s="6"/>
      <c r="P155" s="9">
        <v>610.48</v>
      </c>
    </row>
    <row r="156" spans="1:16" ht="19.5" customHeight="1">
      <c r="A156" s="1" t="s">
        <v>1827</v>
      </c>
      <c r="B156" s="5">
        <v>46015</v>
      </c>
      <c r="C156" s="1" t="s">
        <v>31</v>
      </c>
      <c r="D156" s="1" t="s">
        <v>33</v>
      </c>
      <c r="E156" s="1" t="s">
        <v>25</v>
      </c>
      <c r="F156" s="1" t="s">
        <v>26</v>
      </c>
      <c r="G156" s="1" t="s">
        <v>1229</v>
      </c>
      <c r="H156" s="6">
        <v>1</v>
      </c>
      <c r="I156" s="7">
        <v>1124</v>
      </c>
      <c r="J156" s="5">
        <v>46003</v>
      </c>
      <c r="K156" s="1" t="s">
        <v>957</v>
      </c>
      <c r="L156" s="1" t="s">
        <v>30</v>
      </c>
      <c r="M156" s="8">
        <v>0</v>
      </c>
      <c r="N156" s="6"/>
      <c r="O156" s="6"/>
      <c r="P156" s="9">
        <v>6.1</v>
      </c>
    </row>
    <row r="157" spans="1:16" ht="19.5" customHeight="1">
      <c r="A157" s="1" t="s">
        <v>1827</v>
      </c>
      <c r="B157" s="5">
        <v>46015</v>
      </c>
      <c r="C157" s="1" t="s">
        <v>31</v>
      </c>
      <c r="D157" s="1" t="s">
        <v>34</v>
      </c>
      <c r="E157" s="1" t="s">
        <v>25</v>
      </c>
      <c r="F157" s="1" t="s">
        <v>26</v>
      </c>
      <c r="G157" s="1" t="s">
        <v>1229</v>
      </c>
      <c r="H157" s="6">
        <v>1</v>
      </c>
      <c r="I157" s="7">
        <v>1124</v>
      </c>
      <c r="J157" s="5">
        <v>46003</v>
      </c>
      <c r="K157" s="1" t="s">
        <v>957</v>
      </c>
      <c r="L157" s="1" t="s">
        <v>30</v>
      </c>
      <c r="M157" s="8">
        <v>0</v>
      </c>
      <c r="N157" s="6"/>
      <c r="O157" s="6"/>
      <c r="P157" s="9">
        <v>507.42</v>
      </c>
    </row>
    <row r="158" spans="1:16" ht="19.5" customHeight="1">
      <c r="A158" s="1" t="s">
        <v>1827</v>
      </c>
      <c r="B158" s="5">
        <v>46015</v>
      </c>
      <c r="C158" s="1" t="s">
        <v>35</v>
      </c>
      <c r="D158" s="1" t="s">
        <v>36</v>
      </c>
      <c r="E158" s="1" t="s">
        <v>25</v>
      </c>
      <c r="F158" s="1" t="s">
        <v>26</v>
      </c>
      <c r="G158" s="1" t="s">
        <v>1229</v>
      </c>
      <c r="H158" s="6">
        <v>1</v>
      </c>
      <c r="I158" s="7">
        <v>1124</v>
      </c>
      <c r="J158" s="5">
        <v>46003</v>
      </c>
      <c r="K158" s="1" t="s">
        <v>957</v>
      </c>
      <c r="L158" s="1" t="s">
        <v>30</v>
      </c>
      <c r="M158" s="8">
        <v>0.43</v>
      </c>
      <c r="N158" s="6"/>
      <c r="O158" s="6"/>
      <c r="P158" s="9">
        <v>-483.32</v>
      </c>
    </row>
    <row r="159" spans="1:16" ht="19.5" customHeight="1">
      <c r="A159" s="1" t="s">
        <v>1827</v>
      </c>
      <c r="B159" s="5">
        <v>46015</v>
      </c>
      <c r="C159" s="1" t="s">
        <v>17</v>
      </c>
      <c r="D159" s="1" t="s">
        <v>37</v>
      </c>
      <c r="E159" s="1" t="s">
        <v>25</v>
      </c>
      <c r="F159" s="1" t="s">
        <v>26</v>
      </c>
      <c r="G159" s="1" t="s">
        <v>1229</v>
      </c>
      <c r="H159" s="6">
        <v>1</v>
      </c>
      <c r="I159" s="7">
        <v>1124</v>
      </c>
      <c r="J159" s="5">
        <v>46003</v>
      </c>
      <c r="K159" s="1" t="s">
        <v>957</v>
      </c>
      <c r="L159" s="1" t="s">
        <v>30</v>
      </c>
      <c r="M159" s="8">
        <v>0.43</v>
      </c>
      <c r="N159" s="6"/>
      <c r="O159" s="6"/>
      <c r="P159" s="9">
        <v>-6.45</v>
      </c>
    </row>
    <row r="160" spans="1:16" ht="19.5" customHeight="1">
      <c r="A160" s="1" t="s">
        <v>1828</v>
      </c>
      <c r="B160" s="5">
        <v>46015</v>
      </c>
      <c r="C160" s="1" t="s">
        <v>28</v>
      </c>
      <c r="D160" s="1" t="s">
        <v>29</v>
      </c>
      <c r="E160" s="1" t="s">
        <v>227</v>
      </c>
      <c r="F160" s="1" t="s">
        <v>402</v>
      </c>
      <c r="G160" s="1" t="s">
        <v>1229</v>
      </c>
      <c r="H160" s="6">
        <v>1</v>
      </c>
      <c r="I160" s="7">
        <v>1505</v>
      </c>
      <c r="J160" s="5">
        <v>46006</v>
      </c>
      <c r="K160" s="1" t="s">
        <v>957</v>
      </c>
      <c r="L160" s="1" t="s">
        <v>30</v>
      </c>
      <c r="M160" s="8">
        <v>0.43</v>
      </c>
      <c r="N160" s="6"/>
      <c r="O160" s="6">
        <v>38</v>
      </c>
      <c r="P160" s="9">
        <v>-100.46</v>
      </c>
    </row>
    <row r="161" spans="1:16" ht="19.5" customHeight="1">
      <c r="A161" s="1" t="s">
        <v>1828</v>
      </c>
      <c r="B161" s="5">
        <v>46015</v>
      </c>
      <c r="C161" s="1" t="s">
        <v>31</v>
      </c>
      <c r="D161" s="1" t="s">
        <v>32</v>
      </c>
      <c r="E161" s="1" t="s">
        <v>227</v>
      </c>
      <c r="F161" s="1" t="s">
        <v>402</v>
      </c>
      <c r="G161" s="1" t="s">
        <v>1229</v>
      </c>
      <c r="H161" s="6">
        <v>1</v>
      </c>
      <c r="I161" s="7">
        <v>1505</v>
      </c>
      <c r="J161" s="5">
        <v>46006</v>
      </c>
      <c r="K161" s="1" t="s">
        <v>957</v>
      </c>
      <c r="L161" s="1" t="s">
        <v>30</v>
      </c>
      <c r="M161" s="8">
        <v>0</v>
      </c>
      <c r="N161" s="6"/>
      <c r="O161" s="6"/>
      <c r="P161" s="9">
        <v>643.54</v>
      </c>
    </row>
    <row r="162" spans="1:16" ht="19.5" customHeight="1">
      <c r="A162" s="1" t="s">
        <v>1828</v>
      </c>
      <c r="B162" s="5">
        <v>46015</v>
      </c>
      <c r="C162" s="1" t="s">
        <v>31</v>
      </c>
      <c r="D162" s="1" t="s">
        <v>33</v>
      </c>
      <c r="E162" s="1" t="s">
        <v>227</v>
      </c>
      <c r="F162" s="1" t="s">
        <v>402</v>
      </c>
      <c r="G162" s="1" t="s">
        <v>1229</v>
      </c>
      <c r="H162" s="6">
        <v>1</v>
      </c>
      <c r="I162" s="7">
        <v>1505</v>
      </c>
      <c r="J162" s="5">
        <v>46006</v>
      </c>
      <c r="K162" s="1" t="s">
        <v>957</v>
      </c>
      <c r="L162" s="1" t="s">
        <v>30</v>
      </c>
      <c r="M162" s="8">
        <v>0</v>
      </c>
      <c r="N162" s="6"/>
      <c r="O162" s="6"/>
      <c r="P162" s="9">
        <v>6.44</v>
      </c>
    </row>
    <row r="163" spans="1:16" ht="19.5" customHeight="1">
      <c r="A163" s="1" t="s">
        <v>1828</v>
      </c>
      <c r="B163" s="5">
        <v>46015</v>
      </c>
      <c r="C163" s="1" t="s">
        <v>31</v>
      </c>
      <c r="D163" s="1" t="s">
        <v>34</v>
      </c>
      <c r="E163" s="1" t="s">
        <v>227</v>
      </c>
      <c r="F163" s="1" t="s">
        <v>402</v>
      </c>
      <c r="G163" s="1" t="s">
        <v>1229</v>
      </c>
      <c r="H163" s="6">
        <v>1</v>
      </c>
      <c r="I163" s="7">
        <v>1505</v>
      </c>
      <c r="J163" s="5">
        <v>46006</v>
      </c>
      <c r="K163" s="1" t="s">
        <v>957</v>
      </c>
      <c r="L163" s="1" t="s">
        <v>30</v>
      </c>
      <c r="M163" s="8">
        <v>0</v>
      </c>
      <c r="N163" s="6"/>
      <c r="O163" s="6"/>
      <c r="P163" s="9">
        <v>855.02</v>
      </c>
    </row>
    <row r="164" spans="1:16" ht="19.5" customHeight="1">
      <c r="A164" s="1" t="s">
        <v>1828</v>
      </c>
      <c r="B164" s="5">
        <v>46015</v>
      </c>
      <c r="C164" s="1" t="s">
        <v>35</v>
      </c>
      <c r="D164" s="1" t="s">
        <v>36</v>
      </c>
      <c r="E164" s="1" t="s">
        <v>227</v>
      </c>
      <c r="F164" s="1" t="s">
        <v>402</v>
      </c>
      <c r="G164" s="1" t="s">
        <v>1229</v>
      </c>
      <c r="H164" s="6">
        <v>1</v>
      </c>
      <c r="I164" s="7">
        <v>1505</v>
      </c>
      <c r="J164" s="5">
        <v>46006</v>
      </c>
      <c r="K164" s="1" t="s">
        <v>957</v>
      </c>
      <c r="L164" s="1" t="s">
        <v>30</v>
      </c>
      <c r="M164" s="8">
        <v>0.43</v>
      </c>
      <c r="N164" s="6"/>
      <c r="O164" s="6"/>
      <c r="P164" s="9">
        <v>-647.15</v>
      </c>
    </row>
    <row r="165" spans="1:16" ht="19.5" customHeight="1">
      <c r="A165" s="1" t="s">
        <v>1828</v>
      </c>
      <c r="B165" s="5">
        <v>46015</v>
      </c>
      <c r="C165" s="1" t="s">
        <v>17</v>
      </c>
      <c r="D165" s="1" t="s">
        <v>37</v>
      </c>
      <c r="E165" s="1" t="s">
        <v>227</v>
      </c>
      <c r="F165" s="1" t="s">
        <v>402</v>
      </c>
      <c r="G165" s="1" t="s">
        <v>1229</v>
      </c>
      <c r="H165" s="6">
        <v>1</v>
      </c>
      <c r="I165" s="7">
        <v>1505</v>
      </c>
      <c r="J165" s="5">
        <v>46006</v>
      </c>
      <c r="K165" s="1" t="s">
        <v>957</v>
      </c>
      <c r="L165" s="1" t="s">
        <v>30</v>
      </c>
      <c r="M165" s="8">
        <v>0.43</v>
      </c>
      <c r="N165" s="6"/>
      <c r="O165" s="6"/>
      <c r="P165" s="9">
        <v>-9.83</v>
      </c>
    </row>
    <row r="166" spans="1:16" ht="19.5" customHeight="1">
      <c r="A166" s="1" t="s">
        <v>1829</v>
      </c>
      <c r="B166" s="5">
        <v>46015</v>
      </c>
      <c r="C166" s="1" t="s">
        <v>17</v>
      </c>
      <c r="D166" s="1" t="s">
        <v>18</v>
      </c>
      <c r="E166" s="1" t="s">
        <v>25</v>
      </c>
      <c r="F166" s="1" t="s">
        <v>26</v>
      </c>
      <c r="G166" s="1" t="s">
        <v>1229</v>
      </c>
      <c r="H166" s="6">
        <v>1</v>
      </c>
      <c r="I166" s="7">
        <v>0</v>
      </c>
      <c r="J166" s="5">
        <v>46015</v>
      </c>
      <c r="K166" s="1" t="s">
        <v>22</v>
      </c>
      <c r="L166" s="1" t="s">
        <v>22</v>
      </c>
      <c r="M166" s="8">
        <v>0</v>
      </c>
      <c r="N166" s="6"/>
      <c r="O166" s="6"/>
      <c r="P166" s="9">
        <v>-7.98</v>
      </c>
    </row>
    <row r="167" spans="1:16" ht="19.5" customHeight="1">
      <c r="A167" s="1" t="s">
        <v>1830</v>
      </c>
      <c r="B167" s="5">
        <v>46015</v>
      </c>
      <c r="C167" s="1" t="s">
        <v>28</v>
      </c>
      <c r="D167" s="1" t="s">
        <v>29</v>
      </c>
      <c r="E167" s="1" t="s">
        <v>239</v>
      </c>
      <c r="F167" s="1" t="s">
        <v>733</v>
      </c>
      <c r="G167" s="1" t="s">
        <v>1133</v>
      </c>
      <c r="H167" s="6">
        <v>1</v>
      </c>
      <c r="I167" s="7">
        <v>0</v>
      </c>
      <c r="J167" s="5">
        <v>46003</v>
      </c>
      <c r="K167" s="1" t="s">
        <v>957</v>
      </c>
      <c r="L167" s="1" t="s">
        <v>30</v>
      </c>
      <c r="M167" s="8">
        <v>0</v>
      </c>
      <c r="N167" s="6"/>
      <c r="O167" s="6">
        <v>40</v>
      </c>
      <c r="P167" s="9">
        <v>-56.94</v>
      </c>
    </row>
    <row r="168" spans="1:16" ht="19.5" customHeight="1">
      <c r="A168" s="1" t="s">
        <v>1830</v>
      </c>
      <c r="B168" s="5">
        <v>46015</v>
      </c>
      <c r="C168" s="1" t="s">
        <v>17</v>
      </c>
      <c r="D168" s="1" t="s">
        <v>37</v>
      </c>
      <c r="E168" s="1" t="s">
        <v>239</v>
      </c>
      <c r="F168" s="1" t="s">
        <v>733</v>
      </c>
      <c r="G168" s="1" t="s">
        <v>1133</v>
      </c>
      <c r="H168" s="6">
        <v>1</v>
      </c>
      <c r="I168" s="7">
        <v>0</v>
      </c>
      <c r="J168" s="5">
        <v>46003</v>
      </c>
      <c r="K168" s="1" t="s">
        <v>957</v>
      </c>
      <c r="L168" s="1" t="s">
        <v>30</v>
      </c>
      <c r="M168" s="8">
        <v>0</v>
      </c>
      <c r="N168" s="6"/>
      <c r="O168" s="6"/>
      <c r="P168" s="9">
        <v>-10.38</v>
      </c>
    </row>
    <row r="169" spans="1:16" ht="19.5" customHeight="1">
      <c r="A169" s="1" t="s">
        <v>1830</v>
      </c>
      <c r="B169" s="5">
        <v>46015</v>
      </c>
      <c r="C169" s="1" t="s">
        <v>28</v>
      </c>
      <c r="D169" s="1" t="s">
        <v>45</v>
      </c>
      <c r="E169" s="1" t="s">
        <v>239</v>
      </c>
      <c r="F169" s="1" t="s">
        <v>733</v>
      </c>
      <c r="G169" s="1" t="s">
        <v>1133</v>
      </c>
      <c r="H169" s="6">
        <v>1</v>
      </c>
      <c r="I169" s="7">
        <v>0</v>
      </c>
      <c r="J169" s="5">
        <v>46003</v>
      </c>
      <c r="K169" s="1" t="s">
        <v>957</v>
      </c>
      <c r="L169" s="1" t="s">
        <v>30</v>
      </c>
      <c r="M169" s="8">
        <v>0</v>
      </c>
      <c r="N169" s="6"/>
      <c r="O169" s="6"/>
      <c r="P169" s="9">
        <v>0</v>
      </c>
    </row>
    <row r="170" spans="1:16" ht="19.5" customHeight="1">
      <c r="A170" s="1" t="s">
        <v>1830</v>
      </c>
      <c r="B170" s="5">
        <v>46015</v>
      </c>
      <c r="C170" s="1" t="s">
        <v>28</v>
      </c>
      <c r="D170" s="1" t="s">
        <v>46</v>
      </c>
      <c r="E170" s="1" t="s">
        <v>239</v>
      </c>
      <c r="F170" s="1" t="s">
        <v>733</v>
      </c>
      <c r="G170" s="1" t="s">
        <v>1133</v>
      </c>
      <c r="H170" s="6">
        <v>1</v>
      </c>
      <c r="I170" s="7">
        <v>0</v>
      </c>
      <c r="J170" s="5">
        <v>46003</v>
      </c>
      <c r="K170" s="1" t="s">
        <v>957</v>
      </c>
      <c r="L170" s="1" t="s">
        <v>30</v>
      </c>
      <c r="M170" s="8">
        <v>0</v>
      </c>
      <c r="N170" s="6"/>
      <c r="O170" s="6"/>
      <c r="P170" s="9">
        <v>-56.94</v>
      </c>
    </row>
    <row r="171" spans="1:16" ht="19.5" customHeight="1">
      <c r="A171" s="1" t="s">
        <v>1830</v>
      </c>
      <c r="B171" s="5">
        <v>46015</v>
      </c>
      <c r="C171" s="1" t="s">
        <v>17</v>
      </c>
      <c r="D171" s="1" t="s">
        <v>47</v>
      </c>
      <c r="E171" s="1" t="s">
        <v>239</v>
      </c>
      <c r="F171" s="1" t="s">
        <v>733</v>
      </c>
      <c r="G171" s="1" t="s">
        <v>1133</v>
      </c>
      <c r="H171" s="6">
        <v>1</v>
      </c>
      <c r="I171" s="7">
        <v>0</v>
      </c>
      <c r="J171" s="5">
        <v>46003</v>
      </c>
      <c r="K171" s="1" t="s">
        <v>957</v>
      </c>
      <c r="L171" s="1" t="s">
        <v>30</v>
      </c>
      <c r="M171" s="8">
        <v>0</v>
      </c>
      <c r="N171" s="6"/>
      <c r="O171" s="6"/>
      <c r="P171" s="9">
        <v>-15</v>
      </c>
    </row>
    <row r="172" spans="1:16" ht="19.5" customHeight="1">
      <c r="A172" s="1" t="s">
        <v>1788</v>
      </c>
      <c r="B172" s="5">
        <v>46015</v>
      </c>
      <c r="C172" s="1" t="s">
        <v>17</v>
      </c>
      <c r="D172" s="1" t="s">
        <v>18</v>
      </c>
      <c r="E172" s="1" t="s">
        <v>25</v>
      </c>
      <c r="F172" s="1" t="s">
        <v>26</v>
      </c>
      <c r="G172" s="1" t="s">
        <v>1229</v>
      </c>
      <c r="H172" s="6">
        <v>1</v>
      </c>
      <c r="I172" s="7">
        <v>0</v>
      </c>
      <c r="J172" s="5">
        <v>46012</v>
      </c>
      <c r="K172" s="1" t="s">
        <v>22</v>
      </c>
      <c r="L172" s="1" t="s">
        <v>22</v>
      </c>
      <c r="M172" s="8">
        <v>0</v>
      </c>
      <c r="N172" s="6"/>
      <c r="O172" s="6"/>
      <c r="P172" s="9">
        <v>11.13</v>
      </c>
    </row>
    <row r="173" spans="1:16" ht="19.5" customHeight="1">
      <c r="A173" s="1" t="s">
        <v>1831</v>
      </c>
      <c r="B173" s="5">
        <v>46015</v>
      </c>
      <c r="C173" s="1" t="s">
        <v>28</v>
      </c>
      <c r="D173" s="1" t="s">
        <v>29</v>
      </c>
      <c r="E173" s="1" t="s">
        <v>227</v>
      </c>
      <c r="F173" s="1" t="s">
        <v>402</v>
      </c>
      <c r="G173" s="1" t="s">
        <v>1229</v>
      </c>
      <c r="H173" s="6">
        <v>1</v>
      </c>
      <c r="I173" s="7">
        <v>1505</v>
      </c>
      <c r="J173" s="5">
        <v>46007</v>
      </c>
      <c r="K173" s="1" t="s">
        <v>957</v>
      </c>
      <c r="L173" s="1" t="s">
        <v>30</v>
      </c>
      <c r="M173" s="8">
        <v>0.43</v>
      </c>
      <c r="N173" s="6"/>
      <c r="O173" s="6">
        <v>37</v>
      </c>
      <c r="P173" s="9">
        <v>-95.58</v>
      </c>
    </row>
    <row r="174" spans="1:16" ht="19.5" customHeight="1">
      <c r="A174" s="1" t="s">
        <v>1831</v>
      </c>
      <c r="B174" s="5">
        <v>46015</v>
      </c>
      <c r="C174" s="1" t="s">
        <v>31</v>
      </c>
      <c r="D174" s="1" t="s">
        <v>32</v>
      </c>
      <c r="E174" s="1" t="s">
        <v>227</v>
      </c>
      <c r="F174" s="1" t="s">
        <v>402</v>
      </c>
      <c r="G174" s="1" t="s">
        <v>1229</v>
      </c>
      <c r="H174" s="6">
        <v>1</v>
      </c>
      <c r="I174" s="7">
        <v>1505</v>
      </c>
      <c r="J174" s="5">
        <v>46007</v>
      </c>
      <c r="K174" s="1" t="s">
        <v>957</v>
      </c>
      <c r="L174" s="1" t="s">
        <v>30</v>
      </c>
      <c r="M174" s="8">
        <v>0</v>
      </c>
      <c r="N174" s="6"/>
      <c r="O174" s="6"/>
      <c r="P174" s="9">
        <v>719.05</v>
      </c>
    </row>
    <row r="175" spans="1:16" ht="19.5" customHeight="1">
      <c r="A175" s="1" t="s">
        <v>1831</v>
      </c>
      <c r="B175" s="5">
        <v>46015</v>
      </c>
      <c r="C175" s="1" t="s">
        <v>31</v>
      </c>
      <c r="D175" s="1" t="s">
        <v>33</v>
      </c>
      <c r="E175" s="1" t="s">
        <v>227</v>
      </c>
      <c r="F175" s="1" t="s">
        <v>402</v>
      </c>
      <c r="G175" s="1" t="s">
        <v>1229</v>
      </c>
      <c r="H175" s="6">
        <v>1</v>
      </c>
      <c r="I175" s="7">
        <v>1505</v>
      </c>
      <c r="J175" s="5">
        <v>46007</v>
      </c>
      <c r="K175" s="1" t="s">
        <v>957</v>
      </c>
      <c r="L175" s="1" t="s">
        <v>30</v>
      </c>
      <c r="M175" s="8">
        <v>0</v>
      </c>
      <c r="N175" s="6"/>
      <c r="O175" s="6"/>
      <c r="P175" s="9">
        <v>0</v>
      </c>
    </row>
    <row r="176" spans="1:16" ht="19.5" customHeight="1">
      <c r="A176" s="1" t="s">
        <v>1831</v>
      </c>
      <c r="B176" s="5">
        <v>46015</v>
      </c>
      <c r="C176" s="1" t="s">
        <v>31</v>
      </c>
      <c r="D176" s="1" t="s">
        <v>34</v>
      </c>
      <c r="E176" s="1" t="s">
        <v>227</v>
      </c>
      <c r="F176" s="1" t="s">
        <v>402</v>
      </c>
      <c r="G176" s="1" t="s">
        <v>1229</v>
      </c>
      <c r="H176" s="6">
        <v>1</v>
      </c>
      <c r="I176" s="7">
        <v>1505</v>
      </c>
      <c r="J176" s="5">
        <v>46007</v>
      </c>
      <c r="K176" s="1" t="s">
        <v>957</v>
      </c>
      <c r="L176" s="1" t="s">
        <v>30</v>
      </c>
      <c r="M176" s="8">
        <v>0</v>
      </c>
      <c r="N176" s="6"/>
      <c r="O176" s="6"/>
      <c r="P176" s="9">
        <v>785.95</v>
      </c>
    </row>
    <row r="177" spans="1:16" ht="19.5" customHeight="1">
      <c r="A177" s="1" t="s">
        <v>1831</v>
      </c>
      <c r="B177" s="5">
        <v>46015</v>
      </c>
      <c r="C177" s="1" t="s">
        <v>35</v>
      </c>
      <c r="D177" s="1" t="s">
        <v>36</v>
      </c>
      <c r="E177" s="1" t="s">
        <v>227</v>
      </c>
      <c r="F177" s="1" t="s">
        <v>402</v>
      </c>
      <c r="G177" s="1" t="s">
        <v>1229</v>
      </c>
      <c r="H177" s="6">
        <v>1</v>
      </c>
      <c r="I177" s="7">
        <v>1505</v>
      </c>
      <c r="J177" s="5">
        <v>46007</v>
      </c>
      <c r="K177" s="1" t="s">
        <v>957</v>
      </c>
      <c r="L177" s="1" t="s">
        <v>30</v>
      </c>
      <c r="M177" s="8">
        <v>0.43</v>
      </c>
      <c r="N177" s="6"/>
      <c r="O177" s="6"/>
      <c r="P177" s="9">
        <v>-647.15</v>
      </c>
    </row>
    <row r="178" spans="1:16" ht="19.5" customHeight="1">
      <c r="A178" s="1" t="s">
        <v>1832</v>
      </c>
      <c r="B178" s="5">
        <v>46015</v>
      </c>
      <c r="C178" s="1" t="s">
        <v>28</v>
      </c>
      <c r="D178" s="1" t="s">
        <v>29</v>
      </c>
      <c r="E178" s="1" t="s">
        <v>223</v>
      </c>
      <c r="F178" s="1" t="s">
        <v>395</v>
      </c>
      <c r="G178" s="1" t="s">
        <v>1229</v>
      </c>
      <c r="H178" s="6">
        <v>1</v>
      </c>
      <c r="I178" s="7">
        <v>1687</v>
      </c>
      <c r="J178" s="5">
        <v>46012</v>
      </c>
      <c r="K178" s="1" t="s">
        <v>957</v>
      </c>
      <c r="L178" s="1" t="s">
        <v>30</v>
      </c>
      <c r="M178" s="8">
        <v>0.43</v>
      </c>
      <c r="N178" s="6"/>
      <c r="O178" s="6">
        <v>40</v>
      </c>
      <c r="P178" s="9">
        <v>-113.64</v>
      </c>
    </row>
    <row r="179" spans="1:16" ht="19.5" customHeight="1">
      <c r="A179" s="1" t="s">
        <v>1832</v>
      </c>
      <c r="B179" s="5">
        <v>46015</v>
      </c>
      <c r="C179" s="1" t="s">
        <v>31</v>
      </c>
      <c r="D179" s="1" t="s">
        <v>32</v>
      </c>
      <c r="E179" s="1" t="s">
        <v>223</v>
      </c>
      <c r="F179" s="1" t="s">
        <v>395</v>
      </c>
      <c r="G179" s="1" t="s">
        <v>1229</v>
      </c>
      <c r="H179" s="6">
        <v>1</v>
      </c>
      <c r="I179" s="7">
        <v>1687</v>
      </c>
      <c r="J179" s="5">
        <v>46012</v>
      </c>
      <c r="K179" s="1" t="s">
        <v>957</v>
      </c>
      <c r="L179" s="1" t="s">
        <v>30</v>
      </c>
      <c r="M179" s="8">
        <v>0</v>
      </c>
      <c r="N179" s="6"/>
      <c r="O179" s="6"/>
      <c r="P179" s="9">
        <v>609</v>
      </c>
    </row>
    <row r="180" spans="1:16" ht="19.5" customHeight="1">
      <c r="A180" s="1" t="s">
        <v>1832</v>
      </c>
      <c r="B180" s="5">
        <v>46015</v>
      </c>
      <c r="C180" s="1" t="s">
        <v>31</v>
      </c>
      <c r="D180" s="1" t="s">
        <v>33</v>
      </c>
      <c r="E180" s="1" t="s">
        <v>223</v>
      </c>
      <c r="F180" s="1" t="s">
        <v>395</v>
      </c>
      <c r="G180" s="1" t="s">
        <v>1229</v>
      </c>
      <c r="H180" s="6">
        <v>1</v>
      </c>
      <c r="I180" s="7">
        <v>1687</v>
      </c>
      <c r="J180" s="5">
        <v>46012</v>
      </c>
      <c r="K180" s="1" t="s">
        <v>957</v>
      </c>
      <c r="L180" s="1" t="s">
        <v>30</v>
      </c>
      <c r="M180" s="8">
        <v>0</v>
      </c>
      <c r="N180" s="6"/>
      <c r="O180" s="6"/>
      <c r="P180" s="9">
        <v>6.09</v>
      </c>
    </row>
    <row r="181" spans="1:16" ht="19.5" customHeight="1">
      <c r="A181" s="1" t="s">
        <v>1832</v>
      </c>
      <c r="B181" s="5">
        <v>46015</v>
      </c>
      <c r="C181" s="1" t="s">
        <v>31</v>
      </c>
      <c r="D181" s="1" t="s">
        <v>34</v>
      </c>
      <c r="E181" s="1" t="s">
        <v>223</v>
      </c>
      <c r="F181" s="1" t="s">
        <v>395</v>
      </c>
      <c r="G181" s="1" t="s">
        <v>1229</v>
      </c>
      <c r="H181" s="6">
        <v>1</v>
      </c>
      <c r="I181" s="7">
        <v>1687</v>
      </c>
      <c r="J181" s="5">
        <v>46012</v>
      </c>
      <c r="K181" s="1" t="s">
        <v>957</v>
      </c>
      <c r="L181" s="1" t="s">
        <v>30</v>
      </c>
      <c r="M181" s="8">
        <v>0</v>
      </c>
      <c r="N181" s="6"/>
      <c r="O181" s="6"/>
      <c r="P181" s="9">
        <v>1071.9100000000001</v>
      </c>
    </row>
    <row r="182" spans="1:16" ht="19.5" customHeight="1">
      <c r="A182" s="1" t="s">
        <v>1832</v>
      </c>
      <c r="B182" s="5">
        <v>46015</v>
      </c>
      <c r="C182" s="1" t="s">
        <v>35</v>
      </c>
      <c r="D182" s="1" t="s">
        <v>36</v>
      </c>
      <c r="E182" s="1" t="s">
        <v>223</v>
      </c>
      <c r="F182" s="1" t="s">
        <v>395</v>
      </c>
      <c r="G182" s="1" t="s">
        <v>1229</v>
      </c>
      <c r="H182" s="6">
        <v>1</v>
      </c>
      <c r="I182" s="7">
        <v>1687</v>
      </c>
      <c r="J182" s="5">
        <v>46012</v>
      </c>
      <c r="K182" s="1" t="s">
        <v>957</v>
      </c>
      <c r="L182" s="1" t="s">
        <v>30</v>
      </c>
      <c r="M182" s="8">
        <v>0.43</v>
      </c>
      <c r="N182" s="6"/>
      <c r="O182" s="6"/>
      <c r="P182" s="9">
        <v>-725.41</v>
      </c>
    </row>
    <row r="183" spans="1:16" ht="19.5" customHeight="1">
      <c r="A183" s="1" t="s">
        <v>1832</v>
      </c>
      <c r="B183" s="5">
        <v>46015</v>
      </c>
      <c r="C183" s="1" t="s">
        <v>17</v>
      </c>
      <c r="D183" s="1" t="s">
        <v>37</v>
      </c>
      <c r="E183" s="1" t="s">
        <v>223</v>
      </c>
      <c r="F183" s="1" t="s">
        <v>395</v>
      </c>
      <c r="G183" s="1" t="s">
        <v>1229</v>
      </c>
      <c r="H183" s="6">
        <v>1</v>
      </c>
      <c r="I183" s="7">
        <v>1687</v>
      </c>
      <c r="J183" s="5">
        <v>46012</v>
      </c>
      <c r="K183" s="1" t="s">
        <v>957</v>
      </c>
      <c r="L183" s="1" t="s">
        <v>30</v>
      </c>
      <c r="M183" s="8">
        <v>0.43</v>
      </c>
      <c r="N183" s="6"/>
      <c r="O183" s="6"/>
      <c r="P183" s="9">
        <v>-25</v>
      </c>
    </row>
    <row r="184" spans="1:16" ht="19.5" customHeight="1">
      <c r="A184" s="1" t="s">
        <v>1833</v>
      </c>
      <c r="B184" s="5">
        <v>46015</v>
      </c>
      <c r="C184" s="1" t="s">
        <v>28</v>
      </c>
      <c r="D184" s="1" t="s">
        <v>29</v>
      </c>
      <c r="E184" s="1" t="s">
        <v>88</v>
      </c>
      <c r="F184" s="1" t="s">
        <v>89</v>
      </c>
      <c r="G184" s="1" t="s">
        <v>1231</v>
      </c>
      <c r="H184" s="6">
        <v>1</v>
      </c>
      <c r="I184" s="7">
        <v>1322</v>
      </c>
      <c r="J184" s="5">
        <v>46013</v>
      </c>
      <c r="K184" s="1" t="s">
        <v>957</v>
      </c>
      <c r="L184" s="1" t="s">
        <v>30</v>
      </c>
      <c r="M184" s="8">
        <v>0.43</v>
      </c>
      <c r="N184" s="6"/>
      <c r="O184" s="6">
        <v>42</v>
      </c>
      <c r="P184" s="9">
        <v>-111.11</v>
      </c>
    </row>
    <row r="185" spans="1:16" ht="19.5" customHeight="1">
      <c r="A185" s="1" t="s">
        <v>1833</v>
      </c>
      <c r="B185" s="5">
        <v>46015</v>
      </c>
      <c r="C185" s="1" t="s">
        <v>31</v>
      </c>
      <c r="D185" s="1" t="s">
        <v>32</v>
      </c>
      <c r="E185" s="1" t="s">
        <v>88</v>
      </c>
      <c r="F185" s="1" t="s">
        <v>89</v>
      </c>
      <c r="G185" s="1" t="s">
        <v>1231</v>
      </c>
      <c r="H185" s="6">
        <v>1</v>
      </c>
      <c r="I185" s="7">
        <v>1322</v>
      </c>
      <c r="J185" s="5">
        <v>46013</v>
      </c>
      <c r="K185" s="1" t="s">
        <v>957</v>
      </c>
      <c r="L185" s="1" t="s">
        <v>30</v>
      </c>
      <c r="M185" s="8">
        <v>0</v>
      </c>
      <c r="N185" s="6"/>
      <c r="O185" s="6"/>
      <c r="P185" s="9">
        <v>660</v>
      </c>
    </row>
    <row r="186" spans="1:16" ht="19.5" customHeight="1">
      <c r="A186" s="1" t="s">
        <v>1833</v>
      </c>
      <c r="B186" s="5">
        <v>46015</v>
      </c>
      <c r="C186" s="1" t="s">
        <v>31</v>
      </c>
      <c r="D186" s="1" t="s">
        <v>33</v>
      </c>
      <c r="E186" s="1" t="s">
        <v>88</v>
      </c>
      <c r="F186" s="1" t="s">
        <v>89</v>
      </c>
      <c r="G186" s="1" t="s">
        <v>1231</v>
      </c>
      <c r="H186" s="6">
        <v>1</v>
      </c>
      <c r="I186" s="7">
        <v>1322</v>
      </c>
      <c r="J186" s="5">
        <v>46013</v>
      </c>
      <c r="K186" s="1" t="s">
        <v>957</v>
      </c>
      <c r="L186" s="1" t="s">
        <v>30</v>
      </c>
      <c r="M186" s="8">
        <v>0</v>
      </c>
      <c r="N186" s="6"/>
      <c r="O186" s="6"/>
      <c r="P186" s="9">
        <v>6.6</v>
      </c>
    </row>
    <row r="187" spans="1:16" ht="19.5" customHeight="1">
      <c r="A187" s="1" t="s">
        <v>1833</v>
      </c>
      <c r="B187" s="5">
        <v>46015</v>
      </c>
      <c r="C187" s="1" t="s">
        <v>31</v>
      </c>
      <c r="D187" s="1" t="s">
        <v>34</v>
      </c>
      <c r="E187" s="1" t="s">
        <v>88</v>
      </c>
      <c r="F187" s="1" t="s">
        <v>89</v>
      </c>
      <c r="G187" s="1" t="s">
        <v>1231</v>
      </c>
      <c r="H187" s="6">
        <v>1</v>
      </c>
      <c r="I187" s="7">
        <v>1322</v>
      </c>
      <c r="J187" s="5">
        <v>46013</v>
      </c>
      <c r="K187" s="1" t="s">
        <v>957</v>
      </c>
      <c r="L187" s="1" t="s">
        <v>30</v>
      </c>
      <c r="M187" s="8">
        <v>0</v>
      </c>
      <c r="N187" s="6"/>
      <c r="O187" s="6"/>
      <c r="P187" s="9">
        <v>655.4</v>
      </c>
    </row>
    <row r="188" spans="1:16" ht="19.5" customHeight="1">
      <c r="A188" s="1" t="s">
        <v>1833</v>
      </c>
      <c r="B188" s="5">
        <v>46015</v>
      </c>
      <c r="C188" s="1" t="s">
        <v>35</v>
      </c>
      <c r="D188" s="1" t="s">
        <v>36</v>
      </c>
      <c r="E188" s="1" t="s">
        <v>88</v>
      </c>
      <c r="F188" s="1" t="s">
        <v>89</v>
      </c>
      <c r="G188" s="1" t="s">
        <v>1231</v>
      </c>
      <c r="H188" s="6">
        <v>1</v>
      </c>
      <c r="I188" s="7">
        <v>1322</v>
      </c>
      <c r="J188" s="5">
        <v>46013</v>
      </c>
      <c r="K188" s="1" t="s">
        <v>957</v>
      </c>
      <c r="L188" s="1" t="s">
        <v>30</v>
      </c>
      <c r="M188" s="8">
        <v>0.43</v>
      </c>
      <c r="N188" s="6"/>
      <c r="O188" s="6"/>
      <c r="P188" s="9">
        <v>-568.46</v>
      </c>
    </row>
    <row r="189" spans="1:16" ht="19.5" customHeight="1">
      <c r="A189" s="1" t="s">
        <v>1833</v>
      </c>
      <c r="B189" s="5">
        <v>46015</v>
      </c>
      <c r="C189" s="1" t="s">
        <v>17</v>
      </c>
      <c r="D189" s="1" t="s">
        <v>37</v>
      </c>
      <c r="E189" s="1" t="s">
        <v>88</v>
      </c>
      <c r="F189" s="1" t="s">
        <v>89</v>
      </c>
      <c r="G189" s="1" t="s">
        <v>1231</v>
      </c>
      <c r="H189" s="6">
        <v>1</v>
      </c>
      <c r="I189" s="7">
        <v>1322</v>
      </c>
      <c r="J189" s="5">
        <v>46013</v>
      </c>
      <c r="K189" s="1" t="s">
        <v>957</v>
      </c>
      <c r="L189" s="1" t="s">
        <v>30</v>
      </c>
      <c r="M189" s="8">
        <v>0.43</v>
      </c>
      <c r="N189" s="6"/>
      <c r="O189" s="6"/>
      <c r="P189" s="9">
        <v>-16.3</v>
      </c>
    </row>
    <row r="190" spans="1:16" ht="19.5" customHeight="1">
      <c r="A190" s="1" t="s">
        <v>1833</v>
      </c>
      <c r="B190" s="5">
        <v>46015</v>
      </c>
      <c r="C190" s="1" t="s">
        <v>17</v>
      </c>
      <c r="D190" s="1" t="s">
        <v>18</v>
      </c>
      <c r="E190" s="1" t="s">
        <v>88</v>
      </c>
      <c r="F190" s="1" t="s">
        <v>89</v>
      </c>
      <c r="G190" s="1" t="s">
        <v>1231</v>
      </c>
      <c r="H190" s="6">
        <v>1</v>
      </c>
      <c r="I190" s="7">
        <v>0</v>
      </c>
      <c r="J190" s="5">
        <v>46013</v>
      </c>
      <c r="K190" s="1" t="s">
        <v>22</v>
      </c>
      <c r="L190" s="1" t="s">
        <v>22</v>
      </c>
      <c r="M190" s="8">
        <v>0</v>
      </c>
      <c r="N190" s="6"/>
      <c r="O190" s="6"/>
      <c r="P190" s="9">
        <v>-12.54</v>
      </c>
    </row>
    <row r="191" spans="1:16" ht="19.5" customHeight="1">
      <c r="A191" s="1" t="s">
        <v>1834</v>
      </c>
      <c r="B191" s="5">
        <v>46015</v>
      </c>
      <c r="C191" s="1" t="s">
        <v>28</v>
      </c>
      <c r="D191" s="1" t="s">
        <v>29</v>
      </c>
      <c r="E191" s="1" t="s">
        <v>228</v>
      </c>
      <c r="F191" s="1" t="s">
        <v>393</v>
      </c>
      <c r="G191" s="1" t="s">
        <v>1229</v>
      </c>
      <c r="H191" s="6">
        <v>1</v>
      </c>
      <c r="I191" s="7">
        <v>1335</v>
      </c>
      <c r="J191" s="5">
        <v>46009</v>
      </c>
      <c r="K191" s="1" t="s">
        <v>957</v>
      </c>
      <c r="L191" s="1" t="s">
        <v>30</v>
      </c>
      <c r="M191" s="8">
        <v>0.43</v>
      </c>
      <c r="N191" s="6"/>
      <c r="O191" s="6">
        <v>40</v>
      </c>
      <c r="P191" s="9">
        <v>-104.66</v>
      </c>
    </row>
    <row r="192" spans="1:16" ht="19.5" customHeight="1">
      <c r="A192" s="1" t="s">
        <v>1834</v>
      </c>
      <c r="B192" s="5">
        <v>46015</v>
      </c>
      <c r="C192" s="1" t="s">
        <v>31</v>
      </c>
      <c r="D192" s="1" t="s">
        <v>32</v>
      </c>
      <c r="E192" s="1" t="s">
        <v>228</v>
      </c>
      <c r="F192" s="1" t="s">
        <v>393</v>
      </c>
      <c r="G192" s="1" t="s">
        <v>1229</v>
      </c>
      <c r="H192" s="6">
        <v>1</v>
      </c>
      <c r="I192" s="7">
        <v>1335</v>
      </c>
      <c r="J192" s="5">
        <v>46009</v>
      </c>
      <c r="K192" s="1" t="s">
        <v>957</v>
      </c>
      <c r="L192" s="1" t="s">
        <v>30</v>
      </c>
      <c r="M192" s="8">
        <v>0</v>
      </c>
      <c r="N192" s="6"/>
      <c r="O192" s="6"/>
      <c r="P192" s="9">
        <v>570.88</v>
      </c>
    </row>
    <row r="193" spans="1:16" ht="19.5" customHeight="1">
      <c r="A193" s="1" t="s">
        <v>1834</v>
      </c>
      <c r="B193" s="5">
        <v>46015</v>
      </c>
      <c r="C193" s="1" t="s">
        <v>31</v>
      </c>
      <c r="D193" s="1" t="s">
        <v>33</v>
      </c>
      <c r="E193" s="1" t="s">
        <v>228</v>
      </c>
      <c r="F193" s="1" t="s">
        <v>393</v>
      </c>
      <c r="G193" s="1" t="s">
        <v>1229</v>
      </c>
      <c r="H193" s="6">
        <v>1</v>
      </c>
      <c r="I193" s="7">
        <v>1335</v>
      </c>
      <c r="J193" s="5">
        <v>46009</v>
      </c>
      <c r="K193" s="1" t="s">
        <v>957</v>
      </c>
      <c r="L193" s="1" t="s">
        <v>30</v>
      </c>
      <c r="M193" s="8">
        <v>0</v>
      </c>
      <c r="N193" s="6"/>
      <c r="O193" s="6"/>
      <c r="P193" s="9">
        <v>5.71</v>
      </c>
    </row>
    <row r="194" spans="1:16" ht="19.5" customHeight="1">
      <c r="A194" s="1" t="s">
        <v>1834</v>
      </c>
      <c r="B194" s="5">
        <v>46015</v>
      </c>
      <c r="C194" s="1" t="s">
        <v>31</v>
      </c>
      <c r="D194" s="1" t="s">
        <v>34</v>
      </c>
      <c r="E194" s="1" t="s">
        <v>228</v>
      </c>
      <c r="F194" s="1" t="s">
        <v>393</v>
      </c>
      <c r="G194" s="1" t="s">
        <v>1229</v>
      </c>
      <c r="H194" s="6">
        <v>1</v>
      </c>
      <c r="I194" s="7">
        <v>1335</v>
      </c>
      <c r="J194" s="5">
        <v>46009</v>
      </c>
      <c r="K194" s="1" t="s">
        <v>957</v>
      </c>
      <c r="L194" s="1" t="s">
        <v>30</v>
      </c>
      <c r="M194" s="8">
        <v>0</v>
      </c>
      <c r="N194" s="6"/>
      <c r="O194" s="6"/>
      <c r="P194" s="9">
        <v>758.41</v>
      </c>
    </row>
    <row r="195" spans="1:16" ht="19.5" customHeight="1">
      <c r="A195" s="1" t="s">
        <v>1834</v>
      </c>
      <c r="B195" s="5">
        <v>46015</v>
      </c>
      <c r="C195" s="1" t="s">
        <v>35</v>
      </c>
      <c r="D195" s="1" t="s">
        <v>36</v>
      </c>
      <c r="E195" s="1" t="s">
        <v>228</v>
      </c>
      <c r="F195" s="1" t="s">
        <v>393</v>
      </c>
      <c r="G195" s="1" t="s">
        <v>1229</v>
      </c>
      <c r="H195" s="6">
        <v>1</v>
      </c>
      <c r="I195" s="7">
        <v>1335</v>
      </c>
      <c r="J195" s="5">
        <v>46009</v>
      </c>
      <c r="K195" s="1" t="s">
        <v>957</v>
      </c>
      <c r="L195" s="1" t="s">
        <v>30</v>
      </c>
      <c r="M195" s="8">
        <v>0.43</v>
      </c>
      <c r="N195" s="6"/>
      <c r="O195" s="6"/>
      <c r="P195" s="9">
        <v>-574.04999999999995</v>
      </c>
    </row>
    <row r="196" spans="1:16" ht="19.5" customHeight="1">
      <c r="A196" s="1" t="s">
        <v>1834</v>
      </c>
      <c r="B196" s="5">
        <v>46015</v>
      </c>
      <c r="C196" s="1" t="s">
        <v>17</v>
      </c>
      <c r="D196" s="1" t="s">
        <v>37</v>
      </c>
      <c r="E196" s="1" t="s">
        <v>228</v>
      </c>
      <c r="F196" s="1" t="s">
        <v>393</v>
      </c>
      <c r="G196" s="1" t="s">
        <v>1229</v>
      </c>
      <c r="H196" s="6">
        <v>1</v>
      </c>
      <c r="I196" s="7">
        <v>1335</v>
      </c>
      <c r="J196" s="5">
        <v>46009</v>
      </c>
      <c r="K196" s="1" t="s">
        <v>957</v>
      </c>
      <c r="L196" s="1" t="s">
        <v>30</v>
      </c>
      <c r="M196" s="8">
        <v>0.43</v>
      </c>
      <c r="N196" s="6"/>
      <c r="O196" s="6"/>
      <c r="P196" s="9">
        <v>-14.77</v>
      </c>
    </row>
    <row r="197" spans="1:16" ht="19.5" customHeight="1">
      <c r="A197" s="1" t="s">
        <v>1834</v>
      </c>
      <c r="B197" s="5">
        <v>46015</v>
      </c>
      <c r="C197" s="1" t="s">
        <v>17</v>
      </c>
      <c r="D197" s="1" t="s">
        <v>18</v>
      </c>
      <c r="E197" s="1" t="s">
        <v>228</v>
      </c>
      <c r="F197" s="1" t="s">
        <v>393</v>
      </c>
      <c r="G197" s="1" t="s">
        <v>1229</v>
      </c>
      <c r="H197" s="6">
        <v>1</v>
      </c>
      <c r="I197" s="7">
        <v>0</v>
      </c>
      <c r="J197" s="5">
        <v>46009</v>
      </c>
      <c r="K197" s="1" t="s">
        <v>22</v>
      </c>
      <c r="L197" s="1" t="s">
        <v>22</v>
      </c>
      <c r="M197" s="8">
        <v>0</v>
      </c>
      <c r="N197" s="6"/>
      <c r="O197" s="6"/>
      <c r="P197" s="9">
        <v>-10.85</v>
      </c>
    </row>
    <row r="198" spans="1:16" ht="19.5" customHeight="1">
      <c r="A198" s="1" t="s">
        <v>1835</v>
      </c>
      <c r="B198" s="5">
        <v>46015</v>
      </c>
      <c r="C198" s="1" t="s">
        <v>17</v>
      </c>
      <c r="D198" s="1" t="s">
        <v>18</v>
      </c>
      <c r="E198" s="1" t="s">
        <v>25</v>
      </c>
      <c r="F198" s="1" t="s">
        <v>26</v>
      </c>
      <c r="G198" s="1" t="s">
        <v>1229</v>
      </c>
      <c r="H198" s="6">
        <v>1</v>
      </c>
      <c r="I198" s="7">
        <v>0</v>
      </c>
      <c r="J198" s="5">
        <v>46015</v>
      </c>
      <c r="K198" s="1" t="s">
        <v>22</v>
      </c>
      <c r="L198" s="1" t="s">
        <v>22</v>
      </c>
      <c r="M198" s="8">
        <v>0</v>
      </c>
      <c r="N198" s="6"/>
      <c r="O198" s="6"/>
      <c r="P198" s="9">
        <v>-7.27</v>
      </c>
    </row>
    <row r="199" spans="1:16" ht="19.5" customHeight="1">
      <c r="A199" s="1" t="s">
        <v>1836</v>
      </c>
      <c r="B199" s="5">
        <v>46015</v>
      </c>
      <c r="C199" s="1" t="s">
        <v>28</v>
      </c>
      <c r="D199" s="1" t="s">
        <v>29</v>
      </c>
      <c r="E199" s="1" t="s">
        <v>223</v>
      </c>
      <c r="F199" s="1" t="s">
        <v>395</v>
      </c>
      <c r="G199" s="1" t="s">
        <v>1229</v>
      </c>
      <c r="H199" s="6">
        <v>1</v>
      </c>
      <c r="I199" s="7">
        <v>1687</v>
      </c>
      <c r="J199" s="5">
        <v>46013</v>
      </c>
      <c r="K199" s="1" t="s">
        <v>957</v>
      </c>
      <c r="L199" s="1" t="s">
        <v>30</v>
      </c>
      <c r="M199" s="8">
        <v>0.43</v>
      </c>
      <c r="N199" s="6"/>
      <c r="O199" s="6">
        <v>42</v>
      </c>
      <c r="P199" s="9">
        <v>-121.51</v>
      </c>
    </row>
    <row r="200" spans="1:16" ht="19.5" customHeight="1">
      <c r="A200" s="1" t="s">
        <v>1836</v>
      </c>
      <c r="B200" s="5">
        <v>46015</v>
      </c>
      <c r="C200" s="1" t="s">
        <v>31</v>
      </c>
      <c r="D200" s="1" t="s">
        <v>32</v>
      </c>
      <c r="E200" s="1" t="s">
        <v>223</v>
      </c>
      <c r="F200" s="1" t="s">
        <v>395</v>
      </c>
      <c r="G200" s="1" t="s">
        <v>1229</v>
      </c>
      <c r="H200" s="6">
        <v>1</v>
      </c>
      <c r="I200" s="7">
        <v>1687</v>
      </c>
      <c r="J200" s="5">
        <v>46013</v>
      </c>
      <c r="K200" s="1" t="s">
        <v>957</v>
      </c>
      <c r="L200" s="1" t="s">
        <v>30</v>
      </c>
      <c r="M200" s="8">
        <v>0</v>
      </c>
      <c r="N200" s="6"/>
      <c r="O200" s="6"/>
      <c r="P200" s="9">
        <v>579.45000000000005</v>
      </c>
    </row>
    <row r="201" spans="1:16" ht="19.5" customHeight="1">
      <c r="A201" s="1" t="s">
        <v>1836</v>
      </c>
      <c r="B201" s="5">
        <v>46015</v>
      </c>
      <c r="C201" s="1" t="s">
        <v>31</v>
      </c>
      <c r="D201" s="1" t="s">
        <v>33</v>
      </c>
      <c r="E201" s="1" t="s">
        <v>223</v>
      </c>
      <c r="F201" s="1" t="s">
        <v>395</v>
      </c>
      <c r="G201" s="1" t="s">
        <v>1229</v>
      </c>
      <c r="H201" s="6">
        <v>1</v>
      </c>
      <c r="I201" s="7">
        <v>1687</v>
      </c>
      <c r="J201" s="5">
        <v>46013</v>
      </c>
      <c r="K201" s="1" t="s">
        <v>957</v>
      </c>
      <c r="L201" s="1" t="s">
        <v>30</v>
      </c>
      <c r="M201" s="8">
        <v>0</v>
      </c>
      <c r="N201" s="6"/>
      <c r="O201" s="6"/>
      <c r="P201" s="9">
        <v>5.79</v>
      </c>
    </row>
    <row r="202" spans="1:16" ht="19.5" customHeight="1">
      <c r="A202" s="1" t="s">
        <v>1836</v>
      </c>
      <c r="B202" s="5">
        <v>46015</v>
      </c>
      <c r="C202" s="1" t="s">
        <v>31</v>
      </c>
      <c r="D202" s="1" t="s">
        <v>34</v>
      </c>
      <c r="E202" s="1" t="s">
        <v>223</v>
      </c>
      <c r="F202" s="1" t="s">
        <v>395</v>
      </c>
      <c r="G202" s="1" t="s">
        <v>1229</v>
      </c>
      <c r="H202" s="6">
        <v>1</v>
      </c>
      <c r="I202" s="7">
        <v>1687</v>
      </c>
      <c r="J202" s="5">
        <v>46013</v>
      </c>
      <c r="K202" s="1" t="s">
        <v>957</v>
      </c>
      <c r="L202" s="1" t="s">
        <v>30</v>
      </c>
      <c r="M202" s="8">
        <v>0</v>
      </c>
      <c r="N202" s="6"/>
      <c r="O202" s="6"/>
      <c r="P202" s="9">
        <v>1101.76</v>
      </c>
    </row>
    <row r="203" spans="1:16" ht="19.5" customHeight="1">
      <c r="A203" s="1" t="s">
        <v>1836</v>
      </c>
      <c r="B203" s="5">
        <v>46015</v>
      </c>
      <c r="C203" s="1" t="s">
        <v>35</v>
      </c>
      <c r="D203" s="1" t="s">
        <v>36</v>
      </c>
      <c r="E203" s="1" t="s">
        <v>223</v>
      </c>
      <c r="F203" s="1" t="s">
        <v>395</v>
      </c>
      <c r="G203" s="1" t="s">
        <v>1229</v>
      </c>
      <c r="H203" s="6">
        <v>1</v>
      </c>
      <c r="I203" s="7">
        <v>1687</v>
      </c>
      <c r="J203" s="5">
        <v>46013</v>
      </c>
      <c r="K203" s="1" t="s">
        <v>957</v>
      </c>
      <c r="L203" s="1" t="s">
        <v>30</v>
      </c>
      <c r="M203" s="8">
        <v>0.43</v>
      </c>
      <c r="N203" s="6"/>
      <c r="O203" s="6"/>
      <c r="P203" s="9">
        <v>-725.41</v>
      </c>
    </row>
    <row r="204" spans="1:16" ht="19.5" customHeight="1">
      <c r="A204" s="1" t="s">
        <v>1836</v>
      </c>
      <c r="B204" s="5">
        <v>46015</v>
      </c>
      <c r="C204" s="1" t="s">
        <v>17</v>
      </c>
      <c r="D204" s="1" t="s">
        <v>37</v>
      </c>
      <c r="E204" s="1" t="s">
        <v>223</v>
      </c>
      <c r="F204" s="1" t="s">
        <v>395</v>
      </c>
      <c r="G204" s="1" t="s">
        <v>1229</v>
      </c>
      <c r="H204" s="6">
        <v>1</v>
      </c>
      <c r="I204" s="7">
        <v>1687</v>
      </c>
      <c r="J204" s="5">
        <v>46013</v>
      </c>
      <c r="K204" s="1" t="s">
        <v>957</v>
      </c>
      <c r="L204" s="1" t="s">
        <v>30</v>
      </c>
      <c r="M204" s="8">
        <v>0.43</v>
      </c>
      <c r="N204" s="6"/>
      <c r="O204" s="6"/>
      <c r="P204" s="9">
        <v>-7.55</v>
      </c>
    </row>
    <row r="205" spans="1:16" ht="19.5" customHeight="1">
      <c r="A205" s="1" t="s">
        <v>1837</v>
      </c>
      <c r="B205" s="5">
        <v>46015</v>
      </c>
      <c r="C205" s="1" t="s">
        <v>28</v>
      </c>
      <c r="D205" s="1" t="s">
        <v>29</v>
      </c>
      <c r="E205" s="1" t="s">
        <v>223</v>
      </c>
      <c r="F205" s="1" t="s">
        <v>395</v>
      </c>
      <c r="G205" s="1" t="s">
        <v>1229</v>
      </c>
      <c r="H205" s="6">
        <v>1</v>
      </c>
      <c r="I205" s="7">
        <v>1687</v>
      </c>
      <c r="J205" s="5">
        <v>46011</v>
      </c>
      <c r="K205" s="1" t="s">
        <v>957</v>
      </c>
      <c r="L205" s="1" t="s">
        <v>30</v>
      </c>
      <c r="M205" s="8">
        <v>0.43</v>
      </c>
      <c r="N205" s="6"/>
      <c r="O205" s="6">
        <v>39</v>
      </c>
      <c r="P205" s="9">
        <v>-109.71</v>
      </c>
    </row>
    <row r="206" spans="1:16" ht="19.5" customHeight="1">
      <c r="A206" s="1" t="s">
        <v>1837</v>
      </c>
      <c r="B206" s="5">
        <v>46015</v>
      </c>
      <c r="C206" s="1" t="s">
        <v>31</v>
      </c>
      <c r="D206" s="1" t="s">
        <v>32</v>
      </c>
      <c r="E206" s="1" t="s">
        <v>223</v>
      </c>
      <c r="F206" s="1" t="s">
        <v>395</v>
      </c>
      <c r="G206" s="1" t="s">
        <v>1229</v>
      </c>
      <c r="H206" s="6">
        <v>1</v>
      </c>
      <c r="I206" s="7">
        <v>1687</v>
      </c>
      <c r="J206" s="5">
        <v>46011</v>
      </c>
      <c r="K206" s="1" t="s">
        <v>957</v>
      </c>
      <c r="L206" s="1" t="s">
        <v>30</v>
      </c>
      <c r="M206" s="8">
        <v>0</v>
      </c>
      <c r="N206" s="6"/>
      <c r="O206" s="6"/>
      <c r="P206" s="9">
        <v>608.95000000000005</v>
      </c>
    </row>
    <row r="207" spans="1:16" ht="19.5" customHeight="1">
      <c r="A207" s="1" t="s">
        <v>1837</v>
      </c>
      <c r="B207" s="5">
        <v>46015</v>
      </c>
      <c r="C207" s="1" t="s">
        <v>31</v>
      </c>
      <c r="D207" s="1" t="s">
        <v>33</v>
      </c>
      <c r="E207" s="1" t="s">
        <v>223</v>
      </c>
      <c r="F207" s="1" t="s">
        <v>395</v>
      </c>
      <c r="G207" s="1" t="s">
        <v>1229</v>
      </c>
      <c r="H207" s="6">
        <v>1</v>
      </c>
      <c r="I207" s="7">
        <v>1687</v>
      </c>
      <c r="J207" s="5">
        <v>46011</v>
      </c>
      <c r="K207" s="1" t="s">
        <v>957</v>
      </c>
      <c r="L207" s="1" t="s">
        <v>30</v>
      </c>
      <c r="M207" s="8">
        <v>0</v>
      </c>
      <c r="N207" s="6"/>
      <c r="O207" s="6"/>
      <c r="P207" s="9">
        <v>0</v>
      </c>
    </row>
    <row r="208" spans="1:16" ht="19.5" customHeight="1">
      <c r="A208" s="1" t="s">
        <v>1837</v>
      </c>
      <c r="B208" s="5">
        <v>46015</v>
      </c>
      <c r="C208" s="1" t="s">
        <v>31</v>
      </c>
      <c r="D208" s="1" t="s">
        <v>34</v>
      </c>
      <c r="E208" s="1" t="s">
        <v>223</v>
      </c>
      <c r="F208" s="1" t="s">
        <v>395</v>
      </c>
      <c r="G208" s="1" t="s">
        <v>1229</v>
      </c>
      <c r="H208" s="6">
        <v>1</v>
      </c>
      <c r="I208" s="7">
        <v>1687</v>
      </c>
      <c r="J208" s="5">
        <v>46011</v>
      </c>
      <c r="K208" s="1" t="s">
        <v>957</v>
      </c>
      <c r="L208" s="1" t="s">
        <v>30</v>
      </c>
      <c r="M208" s="8">
        <v>0</v>
      </c>
      <c r="N208" s="6"/>
      <c r="O208" s="6"/>
      <c r="P208" s="9">
        <v>1078.05</v>
      </c>
    </row>
    <row r="209" spans="1:16" ht="19.5" customHeight="1">
      <c r="A209" s="1" t="s">
        <v>1837</v>
      </c>
      <c r="B209" s="5">
        <v>46015</v>
      </c>
      <c r="C209" s="1" t="s">
        <v>35</v>
      </c>
      <c r="D209" s="1" t="s">
        <v>36</v>
      </c>
      <c r="E209" s="1" t="s">
        <v>223</v>
      </c>
      <c r="F209" s="1" t="s">
        <v>395</v>
      </c>
      <c r="G209" s="1" t="s">
        <v>1229</v>
      </c>
      <c r="H209" s="6">
        <v>1</v>
      </c>
      <c r="I209" s="7">
        <v>1687</v>
      </c>
      <c r="J209" s="5">
        <v>46011</v>
      </c>
      <c r="K209" s="1" t="s">
        <v>957</v>
      </c>
      <c r="L209" s="1" t="s">
        <v>30</v>
      </c>
      <c r="M209" s="8">
        <v>0.43</v>
      </c>
      <c r="N209" s="6"/>
      <c r="O209" s="6"/>
      <c r="P209" s="9">
        <v>-725.41</v>
      </c>
    </row>
    <row r="210" spans="1:16" ht="19.5" customHeight="1">
      <c r="A210" s="1" t="s">
        <v>1838</v>
      </c>
      <c r="B210" s="5">
        <v>46015</v>
      </c>
      <c r="C210" s="1" t="s">
        <v>28</v>
      </c>
      <c r="D210" s="1" t="s">
        <v>29</v>
      </c>
      <c r="E210" s="1" t="s">
        <v>25</v>
      </c>
      <c r="F210" s="1" t="s">
        <v>26</v>
      </c>
      <c r="G210" s="1" t="s">
        <v>1229</v>
      </c>
      <c r="H210" s="6">
        <v>1</v>
      </c>
      <c r="I210" s="7">
        <v>1704</v>
      </c>
      <c r="J210" s="5">
        <v>46012</v>
      </c>
      <c r="K210" s="1" t="s">
        <v>957</v>
      </c>
      <c r="L210" s="1" t="s">
        <v>30</v>
      </c>
      <c r="M210" s="8">
        <v>0.43</v>
      </c>
      <c r="N210" s="6"/>
      <c r="O210" s="6">
        <v>40</v>
      </c>
      <c r="P210" s="9">
        <v>-114.07</v>
      </c>
    </row>
    <row r="211" spans="1:16" ht="19.5" customHeight="1">
      <c r="A211" s="1" t="s">
        <v>1838</v>
      </c>
      <c r="B211" s="5">
        <v>46015</v>
      </c>
      <c r="C211" s="1" t="s">
        <v>31</v>
      </c>
      <c r="D211" s="1" t="s">
        <v>32</v>
      </c>
      <c r="E211" s="1" t="s">
        <v>25</v>
      </c>
      <c r="F211" s="1" t="s">
        <v>26</v>
      </c>
      <c r="G211" s="1" t="s">
        <v>1229</v>
      </c>
      <c r="H211" s="6">
        <v>1</v>
      </c>
      <c r="I211" s="7">
        <v>1704</v>
      </c>
      <c r="J211" s="5">
        <v>46012</v>
      </c>
      <c r="K211" s="1" t="s">
        <v>957</v>
      </c>
      <c r="L211" s="1" t="s">
        <v>30</v>
      </c>
      <c r="M211" s="8">
        <v>0</v>
      </c>
      <c r="N211" s="6"/>
      <c r="O211" s="6"/>
      <c r="P211" s="9">
        <v>585.71</v>
      </c>
    </row>
    <row r="212" spans="1:16" ht="19.5" customHeight="1">
      <c r="A212" s="1" t="s">
        <v>1838</v>
      </c>
      <c r="B212" s="5">
        <v>46015</v>
      </c>
      <c r="C212" s="1" t="s">
        <v>31</v>
      </c>
      <c r="D212" s="1" t="s">
        <v>33</v>
      </c>
      <c r="E212" s="1" t="s">
        <v>25</v>
      </c>
      <c r="F212" s="1" t="s">
        <v>26</v>
      </c>
      <c r="G212" s="1" t="s">
        <v>1229</v>
      </c>
      <c r="H212" s="6">
        <v>1</v>
      </c>
      <c r="I212" s="7">
        <v>1704</v>
      </c>
      <c r="J212" s="5">
        <v>46012</v>
      </c>
      <c r="K212" s="1" t="s">
        <v>957</v>
      </c>
      <c r="L212" s="1" t="s">
        <v>30</v>
      </c>
      <c r="M212" s="8">
        <v>0</v>
      </c>
      <c r="N212" s="6"/>
      <c r="O212" s="6"/>
      <c r="P212" s="9">
        <v>5.86</v>
      </c>
    </row>
    <row r="213" spans="1:16" ht="19.5" customHeight="1">
      <c r="A213" s="1" t="s">
        <v>1838</v>
      </c>
      <c r="B213" s="5">
        <v>46015</v>
      </c>
      <c r="C213" s="1" t="s">
        <v>31</v>
      </c>
      <c r="D213" s="1" t="s">
        <v>34</v>
      </c>
      <c r="E213" s="1" t="s">
        <v>25</v>
      </c>
      <c r="F213" s="1" t="s">
        <v>26</v>
      </c>
      <c r="G213" s="1" t="s">
        <v>1229</v>
      </c>
      <c r="H213" s="6">
        <v>1</v>
      </c>
      <c r="I213" s="7">
        <v>1704</v>
      </c>
      <c r="J213" s="5">
        <v>46012</v>
      </c>
      <c r="K213" s="1" t="s">
        <v>957</v>
      </c>
      <c r="L213" s="1" t="s">
        <v>30</v>
      </c>
      <c r="M213" s="8">
        <v>0</v>
      </c>
      <c r="N213" s="6"/>
      <c r="O213" s="6"/>
      <c r="P213" s="9">
        <v>1112.43</v>
      </c>
    </row>
    <row r="214" spans="1:16" ht="19.5" customHeight="1">
      <c r="A214" s="1" t="s">
        <v>1838</v>
      </c>
      <c r="B214" s="5">
        <v>46015</v>
      </c>
      <c r="C214" s="1" t="s">
        <v>35</v>
      </c>
      <c r="D214" s="1" t="s">
        <v>36</v>
      </c>
      <c r="E214" s="1" t="s">
        <v>25</v>
      </c>
      <c r="F214" s="1" t="s">
        <v>26</v>
      </c>
      <c r="G214" s="1" t="s">
        <v>1229</v>
      </c>
      <c r="H214" s="6">
        <v>1</v>
      </c>
      <c r="I214" s="7">
        <v>1704</v>
      </c>
      <c r="J214" s="5">
        <v>46012</v>
      </c>
      <c r="K214" s="1" t="s">
        <v>957</v>
      </c>
      <c r="L214" s="1" t="s">
        <v>30</v>
      </c>
      <c r="M214" s="8">
        <v>0.43</v>
      </c>
      <c r="N214" s="6"/>
      <c r="O214" s="6"/>
      <c r="P214" s="9">
        <v>-732.72</v>
      </c>
    </row>
    <row r="215" spans="1:16" ht="19.5" customHeight="1">
      <c r="A215" s="1" t="s">
        <v>1838</v>
      </c>
      <c r="B215" s="5">
        <v>46015</v>
      </c>
      <c r="C215" s="1" t="s">
        <v>17</v>
      </c>
      <c r="D215" s="1" t="s">
        <v>37</v>
      </c>
      <c r="E215" s="1" t="s">
        <v>25</v>
      </c>
      <c r="F215" s="1" t="s">
        <v>26</v>
      </c>
      <c r="G215" s="1" t="s">
        <v>1229</v>
      </c>
      <c r="H215" s="6">
        <v>1</v>
      </c>
      <c r="I215" s="7">
        <v>1704</v>
      </c>
      <c r="J215" s="5">
        <v>46012</v>
      </c>
      <c r="K215" s="1" t="s">
        <v>957</v>
      </c>
      <c r="L215" s="1" t="s">
        <v>30</v>
      </c>
      <c r="M215" s="8">
        <v>0.43</v>
      </c>
      <c r="N215" s="6"/>
      <c r="O215" s="6"/>
      <c r="P215" s="9">
        <v>-18.37</v>
      </c>
    </row>
    <row r="216" spans="1:16" ht="19.5" customHeight="1">
      <c r="A216" s="1" t="s">
        <v>1836</v>
      </c>
      <c r="B216" s="5">
        <v>46015</v>
      </c>
      <c r="C216" s="1" t="s">
        <v>17</v>
      </c>
      <c r="D216" s="1" t="s">
        <v>18</v>
      </c>
      <c r="E216" s="1" t="s">
        <v>223</v>
      </c>
      <c r="F216" s="1" t="s">
        <v>395</v>
      </c>
      <c r="G216" s="1" t="s">
        <v>1229</v>
      </c>
      <c r="H216" s="6">
        <v>1</v>
      </c>
      <c r="I216" s="7">
        <v>0</v>
      </c>
      <c r="J216" s="5">
        <v>46013</v>
      </c>
      <c r="K216" s="1" t="s">
        <v>22</v>
      </c>
      <c r="L216" s="1" t="s">
        <v>22</v>
      </c>
      <c r="M216" s="8">
        <v>0</v>
      </c>
      <c r="N216" s="6"/>
      <c r="O216" s="6"/>
      <c r="P216" s="9">
        <v>-11.01</v>
      </c>
    </row>
    <row r="217" spans="1:16" ht="19.5" customHeight="1">
      <c r="A217" s="1" t="s">
        <v>1838</v>
      </c>
      <c r="B217" s="5">
        <v>46015</v>
      </c>
      <c r="C217" s="1" t="s">
        <v>17</v>
      </c>
      <c r="D217" s="1" t="s">
        <v>18</v>
      </c>
      <c r="E217" s="1" t="s">
        <v>25</v>
      </c>
      <c r="F217" s="1" t="s">
        <v>26</v>
      </c>
      <c r="G217" s="1" t="s">
        <v>1229</v>
      </c>
      <c r="H217" s="6">
        <v>1</v>
      </c>
      <c r="I217" s="7">
        <v>0</v>
      </c>
      <c r="J217" s="5">
        <v>46012</v>
      </c>
      <c r="K217" s="1" t="s">
        <v>22</v>
      </c>
      <c r="L217" s="1" t="s">
        <v>22</v>
      </c>
      <c r="M217" s="8">
        <v>0</v>
      </c>
      <c r="N217" s="6"/>
      <c r="O217" s="6"/>
      <c r="P217" s="9">
        <v>-11.13</v>
      </c>
    </row>
    <row r="218" spans="1:16" ht="19.5" customHeight="1">
      <c r="A218" s="1" t="s">
        <v>1839</v>
      </c>
      <c r="B218" s="5">
        <v>46015</v>
      </c>
      <c r="C218" s="1" t="s">
        <v>28</v>
      </c>
      <c r="D218" s="1" t="s">
        <v>29</v>
      </c>
      <c r="E218" s="1" t="s">
        <v>25</v>
      </c>
      <c r="F218" s="1" t="s">
        <v>26</v>
      </c>
      <c r="G218" s="1" t="s">
        <v>1229</v>
      </c>
      <c r="H218" s="6">
        <v>1</v>
      </c>
      <c r="I218" s="7">
        <v>1124</v>
      </c>
      <c r="J218" s="5">
        <v>46002</v>
      </c>
      <c r="K218" s="1" t="s">
        <v>957</v>
      </c>
      <c r="L218" s="1" t="s">
        <v>30</v>
      </c>
      <c r="M218" s="8">
        <v>0.43</v>
      </c>
      <c r="N218" s="6"/>
      <c r="O218" s="6">
        <v>40</v>
      </c>
      <c r="P218" s="9">
        <v>-98.12</v>
      </c>
    </row>
    <row r="219" spans="1:16" ht="19.5" customHeight="1">
      <c r="A219" s="1" t="s">
        <v>1839</v>
      </c>
      <c r="B219" s="5">
        <v>46015</v>
      </c>
      <c r="C219" s="1" t="s">
        <v>31</v>
      </c>
      <c r="D219" s="1" t="s">
        <v>32</v>
      </c>
      <c r="E219" s="1" t="s">
        <v>25</v>
      </c>
      <c r="F219" s="1" t="s">
        <v>26</v>
      </c>
      <c r="G219" s="1" t="s">
        <v>1229</v>
      </c>
      <c r="H219" s="6">
        <v>1</v>
      </c>
      <c r="I219" s="7">
        <v>1124</v>
      </c>
      <c r="J219" s="5">
        <v>46002</v>
      </c>
      <c r="K219" s="1" t="s">
        <v>957</v>
      </c>
      <c r="L219" s="1" t="s">
        <v>30</v>
      </c>
      <c r="M219" s="8">
        <v>0</v>
      </c>
      <c r="N219" s="6"/>
      <c r="O219" s="6"/>
      <c r="P219" s="9">
        <v>538.1</v>
      </c>
    </row>
    <row r="220" spans="1:16" ht="19.5" customHeight="1">
      <c r="A220" s="1" t="s">
        <v>1839</v>
      </c>
      <c r="B220" s="5">
        <v>46015</v>
      </c>
      <c r="C220" s="1" t="s">
        <v>31</v>
      </c>
      <c r="D220" s="1" t="s">
        <v>33</v>
      </c>
      <c r="E220" s="1" t="s">
        <v>25</v>
      </c>
      <c r="F220" s="1" t="s">
        <v>26</v>
      </c>
      <c r="G220" s="1" t="s">
        <v>1229</v>
      </c>
      <c r="H220" s="6">
        <v>1</v>
      </c>
      <c r="I220" s="7">
        <v>1124</v>
      </c>
      <c r="J220" s="5">
        <v>46002</v>
      </c>
      <c r="K220" s="1" t="s">
        <v>957</v>
      </c>
      <c r="L220" s="1" t="s">
        <v>30</v>
      </c>
      <c r="M220" s="8">
        <v>0</v>
      </c>
      <c r="N220" s="6"/>
      <c r="O220" s="6"/>
      <c r="P220" s="9">
        <v>5.38</v>
      </c>
    </row>
    <row r="221" spans="1:16" ht="19.5" customHeight="1">
      <c r="A221" s="1" t="s">
        <v>1839</v>
      </c>
      <c r="B221" s="5">
        <v>46015</v>
      </c>
      <c r="C221" s="1" t="s">
        <v>31</v>
      </c>
      <c r="D221" s="1" t="s">
        <v>34</v>
      </c>
      <c r="E221" s="1" t="s">
        <v>25</v>
      </c>
      <c r="F221" s="1" t="s">
        <v>26</v>
      </c>
      <c r="G221" s="1" t="s">
        <v>1229</v>
      </c>
      <c r="H221" s="6">
        <v>1</v>
      </c>
      <c r="I221" s="7">
        <v>1124</v>
      </c>
      <c r="J221" s="5">
        <v>46002</v>
      </c>
      <c r="K221" s="1" t="s">
        <v>957</v>
      </c>
      <c r="L221" s="1" t="s">
        <v>30</v>
      </c>
      <c r="M221" s="8">
        <v>0</v>
      </c>
      <c r="N221" s="6"/>
      <c r="O221" s="6"/>
      <c r="P221" s="9">
        <v>580.52</v>
      </c>
    </row>
    <row r="222" spans="1:16" ht="19.5" customHeight="1">
      <c r="A222" s="1" t="s">
        <v>1839</v>
      </c>
      <c r="B222" s="5">
        <v>46015</v>
      </c>
      <c r="C222" s="1" t="s">
        <v>35</v>
      </c>
      <c r="D222" s="1" t="s">
        <v>36</v>
      </c>
      <c r="E222" s="1" t="s">
        <v>25</v>
      </c>
      <c r="F222" s="1" t="s">
        <v>26</v>
      </c>
      <c r="G222" s="1" t="s">
        <v>1229</v>
      </c>
      <c r="H222" s="6">
        <v>1</v>
      </c>
      <c r="I222" s="7">
        <v>1124</v>
      </c>
      <c r="J222" s="5">
        <v>46002</v>
      </c>
      <c r="K222" s="1" t="s">
        <v>957</v>
      </c>
      <c r="L222" s="1" t="s">
        <v>30</v>
      </c>
      <c r="M222" s="8">
        <v>0.43</v>
      </c>
      <c r="N222" s="6"/>
      <c r="O222" s="6"/>
      <c r="P222" s="9">
        <v>-483.32</v>
      </c>
    </row>
    <row r="223" spans="1:16" ht="19.5" customHeight="1">
      <c r="A223" s="1" t="s">
        <v>1839</v>
      </c>
      <c r="B223" s="5">
        <v>46015</v>
      </c>
      <c r="C223" s="1" t="s">
        <v>17</v>
      </c>
      <c r="D223" s="1" t="s">
        <v>37</v>
      </c>
      <c r="E223" s="1" t="s">
        <v>25</v>
      </c>
      <c r="F223" s="1" t="s">
        <v>26</v>
      </c>
      <c r="G223" s="1" t="s">
        <v>1229</v>
      </c>
      <c r="H223" s="6">
        <v>1</v>
      </c>
      <c r="I223" s="7">
        <v>1124</v>
      </c>
      <c r="J223" s="5">
        <v>46002</v>
      </c>
      <c r="K223" s="1" t="s">
        <v>957</v>
      </c>
      <c r="L223" s="1" t="s">
        <v>30</v>
      </c>
      <c r="M223" s="8">
        <v>0.43</v>
      </c>
      <c r="N223" s="6"/>
      <c r="O223" s="6"/>
      <c r="P223" s="9">
        <v>-7.51</v>
      </c>
    </row>
    <row r="224" spans="1:16" ht="19.5" customHeight="1">
      <c r="A224" s="1" t="s">
        <v>1840</v>
      </c>
      <c r="B224" s="5">
        <v>46015</v>
      </c>
      <c r="C224" s="1" t="s">
        <v>28</v>
      </c>
      <c r="D224" s="1" t="s">
        <v>29</v>
      </c>
      <c r="E224" s="1" t="s">
        <v>25</v>
      </c>
      <c r="F224" s="1" t="s">
        <v>26</v>
      </c>
      <c r="G224" s="1" t="s">
        <v>1229</v>
      </c>
      <c r="H224" s="6">
        <v>1</v>
      </c>
      <c r="I224" s="7">
        <v>1704</v>
      </c>
      <c r="J224" s="5">
        <v>46014</v>
      </c>
      <c r="K224" s="1" t="s">
        <v>957</v>
      </c>
      <c r="L224" s="1" t="s">
        <v>30</v>
      </c>
      <c r="M224" s="8">
        <v>0.43</v>
      </c>
      <c r="N224" s="6"/>
      <c r="O224" s="6">
        <v>42</v>
      </c>
      <c r="P224" s="9">
        <v>-121.99</v>
      </c>
    </row>
    <row r="225" spans="1:16" ht="19.5" customHeight="1">
      <c r="A225" s="1" t="s">
        <v>1840</v>
      </c>
      <c r="B225" s="5">
        <v>46015</v>
      </c>
      <c r="C225" s="1" t="s">
        <v>31</v>
      </c>
      <c r="D225" s="1" t="s">
        <v>32</v>
      </c>
      <c r="E225" s="1" t="s">
        <v>25</v>
      </c>
      <c r="F225" s="1" t="s">
        <v>26</v>
      </c>
      <c r="G225" s="1" t="s">
        <v>1229</v>
      </c>
      <c r="H225" s="6">
        <v>1</v>
      </c>
      <c r="I225" s="7">
        <v>1704</v>
      </c>
      <c r="J225" s="5">
        <v>46014</v>
      </c>
      <c r="K225" s="1" t="s">
        <v>957</v>
      </c>
      <c r="L225" s="1" t="s">
        <v>30</v>
      </c>
      <c r="M225" s="8">
        <v>0</v>
      </c>
      <c r="N225" s="6"/>
      <c r="O225" s="6"/>
      <c r="P225" s="9">
        <v>585.71</v>
      </c>
    </row>
    <row r="226" spans="1:16" ht="19.5" customHeight="1">
      <c r="A226" s="1" t="s">
        <v>1840</v>
      </c>
      <c r="B226" s="5">
        <v>46015</v>
      </c>
      <c r="C226" s="1" t="s">
        <v>31</v>
      </c>
      <c r="D226" s="1" t="s">
        <v>33</v>
      </c>
      <c r="E226" s="1" t="s">
        <v>25</v>
      </c>
      <c r="F226" s="1" t="s">
        <v>26</v>
      </c>
      <c r="G226" s="1" t="s">
        <v>1229</v>
      </c>
      <c r="H226" s="6">
        <v>1</v>
      </c>
      <c r="I226" s="7">
        <v>1704</v>
      </c>
      <c r="J226" s="5">
        <v>46014</v>
      </c>
      <c r="K226" s="1" t="s">
        <v>957</v>
      </c>
      <c r="L226" s="1" t="s">
        <v>30</v>
      </c>
      <c r="M226" s="8">
        <v>0</v>
      </c>
      <c r="N226" s="6"/>
      <c r="O226" s="6"/>
      <c r="P226" s="9">
        <v>5.86</v>
      </c>
    </row>
    <row r="227" spans="1:16" ht="19.5" customHeight="1">
      <c r="A227" s="1" t="s">
        <v>1840</v>
      </c>
      <c r="B227" s="5">
        <v>46015</v>
      </c>
      <c r="C227" s="1" t="s">
        <v>31</v>
      </c>
      <c r="D227" s="1" t="s">
        <v>34</v>
      </c>
      <c r="E227" s="1" t="s">
        <v>25</v>
      </c>
      <c r="F227" s="1" t="s">
        <v>26</v>
      </c>
      <c r="G227" s="1" t="s">
        <v>1229</v>
      </c>
      <c r="H227" s="6">
        <v>1</v>
      </c>
      <c r="I227" s="7">
        <v>1704</v>
      </c>
      <c r="J227" s="5">
        <v>46014</v>
      </c>
      <c r="K227" s="1" t="s">
        <v>957</v>
      </c>
      <c r="L227" s="1" t="s">
        <v>30</v>
      </c>
      <c r="M227" s="8">
        <v>0</v>
      </c>
      <c r="N227" s="6"/>
      <c r="O227" s="6"/>
      <c r="P227" s="9">
        <v>1112.43</v>
      </c>
    </row>
    <row r="228" spans="1:16" ht="19.5" customHeight="1">
      <c r="A228" s="1" t="s">
        <v>1840</v>
      </c>
      <c r="B228" s="5">
        <v>46015</v>
      </c>
      <c r="C228" s="1" t="s">
        <v>35</v>
      </c>
      <c r="D228" s="1" t="s">
        <v>36</v>
      </c>
      <c r="E228" s="1" t="s">
        <v>25</v>
      </c>
      <c r="F228" s="1" t="s">
        <v>26</v>
      </c>
      <c r="G228" s="1" t="s">
        <v>1229</v>
      </c>
      <c r="H228" s="6">
        <v>1</v>
      </c>
      <c r="I228" s="7">
        <v>1704</v>
      </c>
      <c r="J228" s="5">
        <v>46014</v>
      </c>
      <c r="K228" s="1" t="s">
        <v>957</v>
      </c>
      <c r="L228" s="1" t="s">
        <v>30</v>
      </c>
      <c r="M228" s="8">
        <v>0.43</v>
      </c>
      <c r="N228" s="6"/>
      <c r="O228" s="6"/>
      <c r="P228" s="9">
        <v>-732.72</v>
      </c>
    </row>
    <row r="229" spans="1:16" ht="19.5" customHeight="1">
      <c r="A229" s="1" t="s">
        <v>1840</v>
      </c>
      <c r="B229" s="5">
        <v>46015</v>
      </c>
      <c r="C229" s="1" t="s">
        <v>17</v>
      </c>
      <c r="D229" s="1" t="s">
        <v>37</v>
      </c>
      <c r="E229" s="1" t="s">
        <v>25</v>
      </c>
      <c r="F229" s="1" t="s">
        <v>26</v>
      </c>
      <c r="G229" s="1" t="s">
        <v>1229</v>
      </c>
      <c r="H229" s="6">
        <v>1</v>
      </c>
      <c r="I229" s="7">
        <v>1704</v>
      </c>
      <c r="J229" s="5">
        <v>46014</v>
      </c>
      <c r="K229" s="1" t="s">
        <v>957</v>
      </c>
      <c r="L229" s="1" t="s">
        <v>30</v>
      </c>
      <c r="M229" s="8">
        <v>0.43</v>
      </c>
      <c r="N229" s="6"/>
      <c r="O229" s="6"/>
      <c r="P229" s="9">
        <v>-8.39</v>
      </c>
    </row>
    <row r="230" spans="1:16" ht="19.5" customHeight="1">
      <c r="A230" s="1" t="s">
        <v>1839</v>
      </c>
      <c r="B230" s="5">
        <v>46015</v>
      </c>
      <c r="C230" s="1" t="s">
        <v>17</v>
      </c>
      <c r="D230" s="1" t="s">
        <v>18</v>
      </c>
      <c r="E230" s="1" t="s">
        <v>25</v>
      </c>
      <c r="F230" s="1" t="s">
        <v>26</v>
      </c>
      <c r="G230" s="1" t="s">
        <v>1229</v>
      </c>
      <c r="H230" s="6">
        <v>1</v>
      </c>
      <c r="I230" s="7">
        <v>0</v>
      </c>
      <c r="J230" s="5">
        <v>46002</v>
      </c>
      <c r="K230" s="1" t="s">
        <v>22</v>
      </c>
      <c r="L230" s="1" t="s">
        <v>22</v>
      </c>
      <c r="M230" s="8">
        <v>0</v>
      </c>
      <c r="N230" s="6"/>
      <c r="O230" s="6"/>
      <c r="P230" s="9">
        <v>-10.220000000000001</v>
      </c>
    </row>
    <row r="231" spans="1:16" ht="19.5" customHeight="1">
      <c r="A231" s="1" t="s">
        <v>1840</v>
      </c>
      <c r="B231" s="5">
        <v>46015</v>
      </c>
      <c r="C231" s="1" t="s">
        <v>17</v>
      </c>
      <c r="D231" s="1" t="s">
        <v>18</v>
      </c>
      <c r="E231" s="1" t="s">
        <v>25</v>
      </c>
      <c r="F231" s="1" t="s">
        <v>26</v>
      </c>
      <c r="G231" s="1" t="s">
        <v>1229</v>
      </c>
      <c r="H231" s="6">
        <v>1</v>
      </c>
      <c r="I231" s="7">
        <v>0</v>
      </c>
      <c r="J231" s="5">
        <v>46014</v>
      </c>
      <c r="K231" s="1" t="s">
        <v>22</v>
      </c>
      <c r="L231" s="1" t="s">
        <v>22</v>
      </c>
      <c r="M231" s="8">
        <v>0</v>
      </c>
      <c r="N231" s="6"/>
      <c r="O231" s="6"/>
      <c r="P231" s="9">
        <v>-11.13</v>
      </c>
    </row>
    <row r="232" spans="1:16" ht="19.5" customHeight="1">
      <c r="A232" s="1" t="s">
        <v>1841</v>
      </c>
      <c r="B232" s="5">
        <v>46015</v>
      </c>
      <c r="C232" s="1" t="s">
        <v>17</v>
      </c>
      <c r="D232" s="1" t="s">
        <v>18</v>
      </c>
      <c r="E232" s="1" t="s">
        <v>25</v>
      </c>
      <c r="F232" s="1" t="s">
        <v>26</v>
      </c>
      <c r="G232" s="1" t="s">
        <v>1229</v>
      </c>
      <c r="H232" s="6">
        <v>1</v>
      </c>
      <c r="I232" s="7">
        <v>0</v>
      </c>
      <c r="J232" s="5">
        <v>46015</v>
      </c>
      <c r="K232" s="1" t="s">
        <v>22</v>
      </c>
      <c r="L232" s="1" t="s">
        <v>22</v>
      </c>
      <c r="M232" s="8">
        <v>0</v>
      </c>
      <c r="N232" s="6"/>
      <c r="O232" s="6"/>
      <c r="P232" s="9">
        <v>-7.29</v>
      </c>
    </row>
    <row r="233" spans="1:16" ht="19.5" customHeight="1">
      <c r="A233" s="1" t="s">
        <v>1842</v>
      </c>
      <c r="B233" s="5">
        <v>46015</v>
      </c>
      <c r="C233" s="1" t="s">
        <v>28</v>
      </c>
      <c r="D233" s="1" t="s">
        <v>29</v>
      </c>
      <c r="E233" s="1" t="s">
        <v>25</v>
      </c>
      <c r="F233" s="1" t="s">
        <v>26</v>
      </c>
      <c r="G233" s="1" t="s">
        <v>1229</v>
      </c>
      <c r="H233" s="6">
        <v>1</v>
      </c>
      <c r="I233" s="7">
        <v>0</v>
      </c>
      <c r="J233" s="5">
        <v>46003</v>
      </c>
      <c r="K233" s="1" t="s">
        <v>957</v>
      </c>
      <c r="L233" s="1" t="s">
        <v>30</v>
      </c>
      <c r="M233" s="8">
        <v>0</v>
      </c>
      <c r="N233" s="6"/>
      <c r="O233" s="6">
        <v>40</v>
      </c>
      <c r="P233" s="9">
        <v>-46.77</v>
      </c>
    </row>
    <row r="234" spans="1:16" ht="19.5" customHeight="1">
      <c r="A234" s="1" t="s">
        <v>1842</v>
      </c>
      <c r="B234" s="5">
        <v>46015</v>
      </c>
      <c r="C234" s="1" t="s">
        <v>17</v>
      </c>
      <c r="D234" s="1" t="s">
        <v>37</v>
      </c>
      <c r="E234" s="1" t="s">
        <v>25</v>
      </c>
      <c r="F234" s="1" t="s">
        <v>26</v>
      </c>
      <c r="G234" s="1" t="s">
        <v>1229</v>
      </c>
      <c r="H234" s="6">
        <v>1</v>
      </c>
      <c r="I234" s="7">
        <v>0</v>
      </c>
      <c r="J234" s="5">
        <v>46003</v>
      </c>
      <c r="K234" s="1" t="s">
        <v>957</v>
      </c>
      <c r="L234" s="1" t="s">
        <v>30</v>
      </c>
      <c r="M234" s="8">
        <v>0</v>
      </c>
      <c r="N234" s="6"/>
      <c r="O234" s="6"/>
      <c r="P234" s="9">
        <v>-4.8899999999999997</v>
      </c>
    </row>
    <row r="235" spans="1:16" ht="19.5" customHeight="1">
      <c r="A235" s="1" t="s">
        <v>1842</v>
      </c>
      <c r="B235" s="5">
        <v>46015</v>
      </c>
      <c r="C235" s="1" t="s">
        <v>28</v>
      </c>
      <c r="D235" s="1" t="s">
        <v>45</v>
      </c>
      <c r="E235" s="1" t="s">
        <v>25</v>
      </c>
      <c r="F235" s="1" t="s">
        <v>26</v>
      </c>
      <c r="G235" s="1" t="s">
        <v>1229</v>
      </c>
      <c r="H235" s="6">
        <v>1</v>
      </c>
      <c r="I235" s="7">
        <v>0</v>
      </c>
      <c r="J235" s="5">
        <v>46003</v>
      </c>
      <c r="K235" s="1" t="s">
        <v>957</v>
      </c>
      <c r="L235" s="1" t="s">
        <v>30</v>
      </c>
      <c r="M235" s="8">
        <v>0</v>
      </c>
      <c r="N235" s="6"/>
      <c r="O235" s="6"/>
      <c r="P235" s="9">
        <v>0</v>
      </c>
    </row>
    <row r="236" spans="1:16" ht="19.5" customHeight="1">
      <c r="A236" s="1" t="s">
        <v>1842</v>
      </c>
      <c r="B236" s="5">
        <v>46015</v>
      </c>
      <c r="C236" s="1" t="s">
        <v>28</v>
      </c>
      <c r="D236" s="1" t="s">
        <v>46</v>
      </c>
      <c r="E236" s="1" t="s">
        <v>25</v>
      </c>
      <c r="F236" s="1" t="s">
        <v>26</v>
      </c>
      <c r="G236" s="1" t="s">
        <v>1229</v>
      </c>
      <c r="H236" s="6">
        <v>1</v>
      </c>
      <c r="I236" s="7">
        <v>0</v>
      </c>
      <c r="J236" s="5">
        <v>46003</v>
      </c>
      <c r="K236" s="1" t="s">
        <v>957</v>
      </c>
      <c r="L236" s="1" t="s">
        <v>30</v>
      </c>
      <c r="M236" s="8">
        <v>0</v>
      </c>
      <c r="N236" s="6"/>
      <c r="O236" s="6"/>
      <c r="P236" s="9">
        <v>-46.77</v>
      </c>
    </row>
    <row r="237" spans="1:16" ht="19.5" customHeight="1">
      <c r="A237" s="1" t="s">
        <v>1842</v>
      </c>
      <c r="B237" s="5">
        <v>46015</v>
      </c>
      <c r="C237" s="1" t="s">
        <v>17</v>
      </c>
      <c r="D237" s="1" t="s">
        <v>47</v>
      </c>
      <c r="E237" s="1" t="s">
        <v>25</v>
      </c>
      <c r="F237" s="1" t="s">
        <v>26</v>
      </c>
      <c r="G237" s="1" t="s">
        <v>1229</v>
      </c>
      <c r="H237" s="6">
        <v>1</v>
      </c>
      <c r="I237" s="7">
        <v>0</v>
      </c>
      <c r="J237" s="5">
        <v>46003</v>
      </c>
      <c r="K237" s="1" t="s">
        <v>957</v>
      </c>
      <c r="L237" s="1" t="s">
        <v>30</v>
      </c>
      <c r="M237" s="8">
        <v>0</v>
      </c>
      <c r="N237" s="6"/>
      <c r="O237" s="6"/>
      <c r="P237" s="9">
        <v>-15</v>
      </c>
    </row>
    <row r="238" spans="1:16" ht="19.5" customHeight="1">
      <c r="A238" s="1" t="s">
        <v>1843</v>
      </c>
      <c r="B238" s="5">
        <v>46015</v>
      </c>
      <c r="C238" s="1" t="s">
        <v>17</v>
      </c>
      <c r="D238" s="1" t="s">
        <v>18</v>
      </c>
      <c r="E238" s="1" t="s">
        <v>25</v>
      </c>
      <c r="F238" s="1" t="s">
        <v>26</v>
      </c>
      <c r="G238" s="1" t="s">
        <v>1229</v>
      </c>
      <c r="H238" s="6">
        <v>1</v>
      </c>
      <c r="I238" s="7">
        <v>0</v>
      </c>
      <c r="J238" s="5">
        <v>46015</v>
      </c>
      <c r="K238" s="1" t="s">
        <v>22</v>
      </c>
      <c r="L238" s="1" t="s">
        <v>22</v>
      </c>
      <c r="M238" s="8">
        <v>0</v>
      </c>
      <c r="N238" s="6"/>
      <c r="O238" s="6"/>
      <c r="P238" s="9">
        <v>-2.41</v>
      </c>
    </row>
    <row r="239" spans="1:16" ht="19.5" customHeight="1">
      <c r="A239" s="1" t="s">
        <v>1844</v>
      </c>
      <c r="B239" s="5">
        <v>46015</v>
      </c>
      <c r="C239" s="1" t="s">
        <v>28</v>
      </c>
      <c r="D239" s="1" t="s">
        <v>29</v>
      </c>
      <c r="E239" s="1" t="s">
        <v>223</v>
      </c>
      <c r="F239" s="1" t="s">
        <v>395</v>
      </c>
      <c r="G239" s="1" t="s">
        <v>1229</v>
      </c>
      <c r="H239" s="6">
        <v>1</v>
      </c>
      <c r="I239" s="7">
        <v>1687</v>
      </c>
      <c r="J239" s="5">
        <v>46013</v>
      </c>
      <c r="K239" s="1" t="s">
        <v>957</v>
      </c>
      <c r="L239" s="1" t="s">
        <v>30</v>
      </c>
      <c r="M239" s="8">
        <v>0.43</v>
      </c>
      <c r="N239" s="6"/>
      <c r="O239" s="6">
        <v>42</v>
      </c>
      <c r="P239" s="9">
        <v>-121.51</v>
      </c>
    </row>
    <row r="240" spans="1:16" ht="19.5" customHeight="1">
      <c r="A240" s="1" t="s">
        <v>1844</v>
      </c>
      <c r="B240" s="5">
        <v>46015</v>
      </c>
      <c r="C240" s="1" t="s">
        <v>31</v>
      </c>
      <c r="D240" s="1" t="s">
        <v>32</v>
      </c>
      <c r="E240" s="1" t="s">
        <v>223</v>
      </c>
      <c r="F240" s="1" t="s">
        <v>395</v>
      </c>
      <c r="G240" s="1" t="s">
        <v>1229</v>
      </c>
      <c r="H240" s="6">
        <v>1</v>
      </c>
      <c r="I240" s="7">
        <v>1687</v>
      </c>
      <c r="J240" s="5">
        <v>46013</v>
      </c>
      <c r="K240" s="1" t="s">
        <v>957</v>
      </c>
      <c r="L240" s="1" t="s">
        <v>30</v>
      </c>
      <c r="M240" s="8">
        <v>0</v>
      </c>
      <c r="N240" s="6"/>
      <c r="O240" s="6"/>
      <c r="P240" s="9">
        <v>577.25</v>
      </c>
    </row>
    <row r="241" spans="1:16" ht="19.5" customHeight="1">
      <c r="A241" s="1" t="s">
        <v>1844</v>
      </c>
      <c r="B241" s="5">
        <v>46015</v>
      </c>
      <c r="C241" s="1" t="s">
        <v>31</v>
      </c>
      <c r="D241" s="1" t="s">
        <v>33</v>
      </c>
      <c r="E241" s="1" t="s">
        <v>223</v>
      </c>
      <c r="F241" s="1" t="s">
        <v>395</v>
      </c>
      <c r="G241" s="1" t="s">
        <v>1229</v>
      </c>
      <c r="H241" s="6">
        <v>1</v>
      </c>
      <c r="I241" s="7">
        <v>1687</v>
      </c>
      <c r="J241" s="5">
        <v>46013</v>
      </c>
      <c r="K241" s="1" t="s">
        <v>957</v>
      </c>
      <c r="L241" s="1" t="s">
        <v>30</v>
      </c>
      <c r="M241" s="8">
        <v>0</v>
      </c>
      <c r="N241" s="6"/>
      <c r="O241" s="6"/>
      <c r="P241" s="9">
        <v>5.77</v>
      </c>
    </row>
    <row r="242" spans="1:16" ht="19.5" customHeight="1">
      <c r="A242" s="1" t="s">
        <v>1844</v>
      </c>
      <c r="B242" s="5">
        <v>46015</v>
      </c>
      <c r="C242" s="1" t="s">
        <v>31</v>
      </c>
      <c r="D242" s="1" t="s">
        <v>34</v>
      </c>
      <c r="E242" s="1" t="s">
        <v>223</v>
      </c>
      <c r="F242" s="1" t="s">
        <v>395</v>
      </c>
      <c r="G242" s="1" t="s">
        <v>1229</v>
      </c>
      <c r="H242" s="6">
        <v>1</v>
      </c>
      <c r="I242" s="7">
        <v>1687</v>
      </c>
      <c r="J242" s="5">
        <v>46013</v>
      </c>
      <c r="K242" s="1" t="s">
        <v>957</v>
      </c>
      <c r="L242" s="1" t="s">
        <v>30</v>
      </c>
      <c r="M242" s="8">
        <v>0</v>
      </c>
      <c r="N242" s="6"/>
      <c r="O242" s="6"/>
      <c r="P242" s="9">
        <v>1103.98</v>
      </c>
    </row>
    <row r="243" spans="1:16" ht="19.5" customHeight="1">
      <c r="A243" s="1" t="s">
        <v>1844</v>
      </c>
      <c r="B243" s="5">
        <v>46015</v>
      </c>
      <c r="C243" s="1" t="s">
        <v>35</v>
      </c>
      <c r="D243" s="1" t="s">
        <v>36</v>
      </c>
      <c r="E243" s="1" t="s">
        <v>223</v>
      </c>
      <c r="F243" s="1" t="s">
        <v>395</v>
      </c>
      <c r="G243" s="1" t="s">
        <v>1229</v>
      </c>
      <c r="H243" s="6">
        <v>1</v>
      </c>
      <c r="I243" s="7">
        <v>1687</v>
      </c>
      <c r="J243" s="5">
        <v>46013</v>
      </c>
      <c r="K243" s="1" t="s">
        <v>957</v>
      </c>
      <c r="L243" s="1" t="s">
        <v>30</v>
      </c>
      <c r="M243" s="8">
        <v>0.43</v>
      </c>
      <c r="N243" s="6"/>
      <c r="O243" s="6"/>
      <c r="P243" s="9">
        <v>-725.41</v>
      </c>
    </row>
    <row r="244" spans="1:16" ht="19.5" customHeight="1">
      <c r="A244" s="1" t="s">
        <v>1844</v>
      </c>
      <c r="B244" s="5">
        <v>46015</v>
      </c>
      <c r="C244" s="1" t="s">
        <v>17</v>
      </c>
      <c r="D244" s="1" t="s">
        <v>37</v>
      </c>
      <c r="E244" s="1" t="s">
        <v>223</v>
      </c>
      <c r="F244" s="1" t="s">
        <v>395</v>
      </c>
      <c r="G244" s="1" t="s">
        <v>1229</v>
      </c>
      <c r="H244" s="6">
        <v>1</v>
      </c>
      <c r="I244" s="7">
        <v>1687</v>
      </c>
      <c r="J244" s="5">
        <v>46013</v>
      </c>
      <c r="K244" s="1" t="s">
        <v>957</v>
      </c>
      <c r="L244" s="1" t="s">
        <v>30</v>
      </c>
      <c r="M244" s="8">
        <v>0.43</v>
      </c>
      <c r="N244" s="6"/>
      <c r="O244" s="6"/>
      <c r="P244" s="9">
        <v>-11.46</v>
      </c>
    </row>
    <row r="245" spans="1:16" ht="19.5" customHeight="1">
      <c r="A245" s="1" t="s">
        <v>22</v>
      </c>
      <c r="B245" s="5">
        <v>46015</v>
      </c>
      <c r="C245" s="1" t="s">
        <v>77</v>
      </c>
      <c r="D245" s="1" t="s">
        <v>78</v>
      </c>
      <c r="E245" s="1" t="s">
        <v>22</v>
      </c>
      <c r="F245" s="1" t="s">
        <v>22</v>
      </c>
      <c r="G245" s="1" t="s">
        <v>1845</v>
      </c>
      <c r="H245" s="6">
        <v>0</v>
      </c>
      <c r="I245" s="7">
        <v>0</v>
      </c>
      <c r="J245" s="5">
        <v>46015</v>
      </c>
      <c r="K245" s="1" t="s">
        <v>22</v>
      </c>
      <c r="L245" s="1" t="s">
        <v>22</v>
      </c>
      <c r="M245" s="8">
        <v>0</v>
      </c>
      <c r="N245" s="6"/>
      <c r="O245" s="6"/>
      <c r="P245" s="9">
        <v>-450</v>
      </c>
    </row>
    <row r="246" spans="1:16" ht="19.5" customHeight="1">
      <c r="A246" s="1" t="s">
        <v>1844</v>
      </c>
      <c r="B246" s="5">
        <v>46015</v>
      </c>
      <c r="C246" s="1" t="s">
        <v>17</v>
      </c>
      <c r="D246" s="1" t="s">
        <v>18</v>
      </c>
      <c r="E246" s="1" t="s">
        <v>223</v>
      </c>
      <c r="F246" s="1" t="s">
        <v>395</v>
      </c>
      <c r="G246" s="1" t="s">
        <v>1229</v>
      </c>
      <c r="H246" s="6">
        <v>1</v>
      </c>
      <c r="I246" s="7">
        <v>0</v>
      </c>
      <c r="J246" s="5">
        <v>46013</v>
      </c>
      <c r="K246" s="1" t="s">
        <v>22</v>
      </c>
      <c r="L246" s="1" t="s">
        <v>22</v>
      </c>
      <c r="M246" s="8">
        <v>0</v>
      </c>
      <c r="N246" s="6"/>
      <c r="O246" s="6"/>
      <c r="P246" s="9">
        <v>-10.97</v>
      </c>
    </row>
    <row r="247" spans="1:16" ht="19.5" customHeight="1">
      <c r="A247" s="1" t="s">
        <v>1846</v>
      </c>
      <c r="B247" s="5">
        <v>46015</v>
      </c>
      <c r="C247" s="1" t="s">
        <v>17</v>
      </c>
      <c r="D247" s="1" t="s">
        <v>18</v>
      </c>
      <c r="E247" s="1" t="s">
        <v>25</v>
      </c>
      <c r="F247" s="1" t="s">
        <v>26</v>
      </c>
      <c r="G247" s="1" t="s">
        <v>1229</v>
      </c>
      <c r="H247" s="6">
        <v>1</v>
      </c>
      <c r="I247" s="7">
        <v>0</v>
      </c>
      <c r="J247" s="5">
        <v>46015</v>
      </c>
      <c r="K247" s="1" t="s">
        <v>22</v>
      </c>
      <c r="L247" s="1" t="s">
        <v>22</v>
      </c>
      <c r="M247" s="8">
        <v>0</v>
      </c>
      <c r="N247" s="6"/>
      <c r="O247" s="6"/>
      <c r="P247" s="9">
        <v>-1.79</v>
      </c>
    </row>
    <row r="248" spans="1:16" ht="19.5" customHeight="1">
      <c r="A248" s="1" t="s">
        <v>1847</v>
      </c>
      <c r="B248" s="5">
        <v>46015</v>
      </c>
      <c r="C248" s="1" t="s">
        <v>77</v>
      </c>
      <c r="D248" s="1" t="s">
        <v>82</v>
      </c>
      <c r="E248" s="1" t="s">
        <v>22</v>
      </c>
      <c r="F248" s="1" t="s">
        <v>22</v>
      </c>
      <c r="G248" s="1" t="s">
        <v>22</v>
      </c>
      <c r="H248" s="6">
        <v>0</v>
      </c>
      <c r="I248" s="7">
        <v>0</v>
      </c>
      <c r="J248" s="5">
        <v>46015</v>
      </c>
      <c r="K248" s="1" t="s">
        <v>22</v>
      </c>
      <c r="L248" s="1" t="s">
        <v>22</v>
      </c>
      <c r="M248" s="8">
        <v>0</v>
      </c>
      <c r="N248" s="6"/>
      <c r="O248" s="6"/>
      <c r="P248" s="9">
        <v>-184.57</v>
      </c>
    </row>
    <row r="249" spans="1:16" ht="19.5" customHeight="1">
      <c r="A249" s="1" t="s">
        <v>1376</v>
      </c>
      <c r="B249" s="5">
        <v>46015</v>
      </c>
      <c r="C249" s="1" t="s">
        <v>77</v>
      </c>
      <c r="D249" s="1" t="s">
        <v>82</v>
      </c>
      <c r="E249" s="1" t="s">
        <v>22</v>
      </c>
      <c r="F249" s="1" t="s">
        <v>22</v>
      </c>
      <c r="G249" s="1" t="s">
        <v>22</v>
      </c>
      <c r="H249" s="6">
        <v>0</v>
      </c>
      <c r="I249" s="7">
        <v>0</v>
      </c>
      <c r="J249" s="5">
        <v>46015</v>
      </c>
      <c r="K249" s="1" t="s">
        <v>22</v>
      </c>
      <c r="L249" s="1" t="s">
        <v>22</v>
      </c>
      <c r="M249" s="8">
        <v>0</v>
      </c>
      <c r="N249" s="6"/>
      <c r="O249" s="6"/>
      <c r="P249" s="9">
        <v>-971.46</v>
      </c>
    </row>
    <row r="250" spans="1:16" ht="19.5" customHeight="1">
      <c r="A250" s="1" t="s">
        <v>1075</v>
      </c>
      <c r="B250" s="5">
        <v>46015</v>
      </c>
      <c r="C250" s="1" t="s">
        <v>77</v>
      </c>
      <c r="D250" s="1" t="s">
        <v>82</v>
      </c>
      <c r="E250" s="1" t="s">
        <v>22</v>
      </c>
      <c r="F250" s="1" t="s">
        <v>22</v>
      </c>
      <c r="G250" s="1" t="s">
        <v>22</v>
      </c>
      <c r="H250" s="6">
        <v>0</v>
      </c>
      <c r="I250" s="7">
        <v>0</v>
      </c>
      <c r="J250" s="5">
        <v>46015</v>
      </c>
      <c r="K250" s="1" t="s">
        <v>22</v>
      </c>
      <c r="L250" s="1" t="s">
        <v>22</v>
      </c>
      <c r="M250" s="8">
        <v>0</v>
      </c>
      <c r="N250" s="6"/>
      <c r="O250" s="6"/>
      <c r="P250" s="9">
        <v>-555.79999999999995</v>
      </c>
    </row>
    <row r="251" spans="1:16" ht="19.5" customHeight="1">
      <c r="A251" s="1" t="s">
        <v>83</v>
      </c>
      <c r="B251" s="5">
        <v>46015</v>
      </c>
      <c r="C251" s="1" t="s">
        <v>77</v>
      </c>
      <c r="D251" s="1" t="s">
        <v>84</v>
      </c>
      <c r="E251" s="1" t="s">
        <v>22</v>
      </c>
      <c r="F251" s="1" t="s">
        <v>22</v>
      </c>
      <c r="G251" s="1" t="s">
        <v>22</v>
      </c>
      <c r="H251" s="6">
        <v>0</v>
      </c>
      <c r="I251" s="7">
        <v>0</v>
      </c>
      <c r="J251" s="5">
        <v>46015</v>
      </c>
      <c r="K251" s="1" t="s">
        <v>22</v>
      </c>
      <c r="L251" s="1" t="s">
        <v>22</v>
      </c>
      <c r="M251" s="8">
        <v>0</v>
      </c>
      <c r="N251" s="6"/>
      <c r="O251" s="6"/>
      <c r="P251" s="9">
        <v>-1974.16</v>
      </c>
    </row>
    <row r="252" spans="1:16" ht="19.5" customHeight="1">
      <c r="A252" s="1" t="s">
        <v>1848</v>
      </c>
      <c r="B252" s="5">
        <v>46016</v>
      </c>
      <c r="C252" s="1" t="s">
        <v>17</v>
      </c>
      <c r="D252" s="1" t="s">
        <v>18</v>
      </c>
      <c r="E252" s="1" t="s">
        <v>223</v>
      </c>
      <c r="F252" s="1" t="s">
        <v>395</v>
      </c>
      <c r="G252" s="1" t="s">
        <v>1229</v>
      </c>
      <c r="H252" s="6">
        <v>1</v>
      </c>
      <c r="I252" s="7">
        <v>0</v>
      </c>
      <c r="J252" s="5">
        <v>46016</v>
      </c>
      <c r="K252" s="1" t="s">
        <v>22</v>
      </c>
      <c r="L252" s="1" t="s">
        <v>22</v>
      </c>
      <c r="M252" s="8">
        <v>0</v>
      </c>
      <c r="N252" s="6"/>
      <c r="O252" s="6"/>
      <c r="P252" s="9">
        <v>-7.88</v>
      </c>
    </row>
    <row r="253" spans="1:16" ht="19.5" customHeight="1">
      <c r="A253" s="1" t="s">
        <v>1848</v>
      </c>
      <c r="B253" s="5">
        <v>46016</v>
      </c>
      <c r="C253" s="1" t="s">
        <v>17</v>
      </c>
      <c r="D253" s="1" t="s">
        <v>18</v>
      </c>
      <c r="E253" s="1" t="s">
        <v>223</v>
      </c>
      <c r="F253" s="1" t="s">
        <v>395</v>
      </c>
      <c r="G253" s="1" t="s">
        <v>1229</v>
      </c>
      <c r="H253" s="6">
        <v>1</v>
      </c>
      <c r="I253" s="7">
        <v>0</v>
      </c>
      <c r="J253" s="5">
        <v>46016</v>
      </c>
      <c r="K253" s="1" t="s">
        <v>22</v>
      </c>
      <c r="L253" s="1" t="s">
        <v>22</v>
      </c>
      <c r="M253" s="8">
        <v>0</v>
      </c>
      <c r="N253" s="6"/>
      <c r="O253" s="6"/>
      <c r="P253" s="9">
        <v>7.88</v>
      </c>
    </row>
    <row r="254" spans="1:16" ht="19.5" customHeight="1">
      <c r="A254" s="1" t="s">
        <v>1849</v>
      </c>
      <c r="B254" s="5">
        <v>46016</v>
      </c>
      <c r="C254" s="1" t="s">
        <v>28</v>
      </c>
      <c r="D254" s="1" t="s">
        <v>29</v>
      </c>
      <c r="E254" s="1" t="s">
        <v>25</v>
      </c>
      <c r="F254" s="1" t="s">
        <v>26</v>
      </c>
      <c r="G254" s="1" t="s">
        <v>1229</v>
      </c>
      <c r="H254" s="6">
        <v>1</v>
      </c>
      <c r="I254" s="7">
        <v>1704</v>
      </c>
      <c r="J254" s="5">
        <v>46013</v>
      </c>
      <c r="K254" s="1" t="s">
        <v>957</v>
      </c>
      <c r="L254" s="1" t="s">
        <v>30</v>
      </c>
      <c r="M254" s="8">
        <v>0.43</v>
      </c>
      <c r="N254" s="6"/>
      <c r="O254" s="6">
        <v>42</v>
      </c>
      <c r="P254" s="9">
        <v>-121.99</v>
      </c>
    </row>
    <row r="255" spans="1:16" ht="19.5" customHeight="1">
      <c r="A255" s="1" t="s">
        <v>1849</v>
      </c>
      <c r="B255" s="5">
        <v>46016</v>
      </c>
      <c r="C255" s="1" t="s">
        <v>31</v>
      </c>
      <c r="D255" s="1" t="s">
        <v>32</v>
      </c>
      <c r="E255" s="1" t="s">
        <v>25</v>
      </c>
      <c r="F255" s="1" t="s">
        <v>26</v>
      </c>
      <c r="G255" s="1" t="s">
        <v>1229</v>
      </c>
      <c r="H255" s="6">
        <v>1</v>
      </c>
      <c r="I255" s="7">
        <v>1704</v>
      </c>
      <c r="J255" s="5">
        <v>46013</v>
      </c>
      <c r="K255" s="1" t="s">
        <v>957</v>
      </c>
      <c r="L255" s="1" t="s">
        <v>30</v>
      </c>
      <c r="M255" s="8">
        <v>0</v>
      </c>
      <c r="N255" s="6"/>
      <c r="O255" s="6"/>
      <c r="P255" s="9">
        <v>649.52</v>
      </c>
    </row>
    <row r="256" spans="1:16" ht="19.5" customHeight="1">
      <c r="A256" s="1" t="s">
        <v>1849</v>
      </c>
      <c r="B256" s="5">
        <v>46016</v>
      </c>
      <c r="C256" s="1" t="s">
        <v>31</v>
      </c>
      <c r="D256" s="1" t="s">
        <v>33</v>
      </c>
      <c r="E256" s="1" t="s">
        <v>25</v>
      </c>
      <c r="F256" s="1" t="s">
        <v>26</v>
      </c>
      <c r="G256" s="1" t="s">
        <v>1229</v>
      </c>
      <c r="H256" s="6">
        <v>1</v>
      </c>
      <c r="I256" s="7">
        <v>1704</v>
      </c>
      <c r="J256" s="5">
        <v>46013</v>
      </c>
      <c r="K256" s="1" t="s">
        <v>957</v>
      </c>
      <c r="L256" s="1" t="s">
        <v>30</v>
      </c>
      <c r="M256" s="8">
        <v>0</v>
      </c>
      <c r="N256" s="6"/>
      <c r="O256" s="6"/>
      <c r="P256" s="9">
        <v>0</v>
      </c>
    </row>
    <row r="257" spans="1:16" ht="19.5" customHeight="1">
      <c r="A257" s="1" t="s">
        <v>1849</v>
      </c>
      <c r="B257" s="5">
        <v>46016</v>
      </c>
      <c r="C257" s="1" t="s">
        <v>31</v>
      </c>
      <c r="D257" s="1" t="s">
        <v>34</v>
      </c>
      <c r="E257" s="1" t="s">
        <v>25</v>
      </c>
      <c r="F257" s="1" t="s">
        <v>26</v>
      </c>
      <c r="G257" s="1" t="s">
        <v>1229</v>
      </c>
      <c r="H257" s="6">
        <v>1</v>
      </c>
      <c r="I257" s="7">
        <v>1704</v>
      </c>
      <c r="J257" s="5">
        <v>46013</v>
      </c>
      <c r="K257" s="1" t="s">
        <v>957</v>
      </c>
      <c r="L257" s="1" t="s">
        <v>30</v>
      </c>
      <c r="M257" s="8">
        <v>0</v>
      </c>
      <c r="N257" s="6"/>
      <c r="O257" s="6"/>
      <c r="P257" s="9">
        <v>1054.48</v>
      </c>
    </row>
    <row r="258" spans="1:16" ht="19.5" customHeight="1">
      <c r="A258" s="1" t="s">
        <v>1849</v>
      </c>
      <c r="B258" s="5">
        <v>46016</v>
      </c>
      <c r="C258" s="1" t="s">
        <v>35</v>
      </c>
      <c r="D258" s="1" t="s">
        <v>36</v>
      </c>
      <c r="E258" s="1" t="s">
        <v>25</v>
      </c>
      <c r="F258" s="1" t="s">
        <v>26</v>
      </c>
      <c r="G258" s="1" t="s">
        <v>1229</v>
      </c>
      <c r="H258" s="6">
        <v>1</v>
      </c>
      <c r="I258" s="7">
        <v>1704</v>
      </c>
      <c r="J258" s="5">
        <v>46013</v>
      </c>
      <c r="K258" s="1" t="s">
        <v>957</v>
      </c>
      <c r="L258" s="1" t="s">
        <v>30</v>
      </c>
      <c r="M258" s="8">
        <v>0.43</v>
      </c>
      <c r="N258" s="6"/>
      <c r="O258" s="6"/>
      <c r="P258" s="9">
        <v>-732.72</v>
      </c>
    </row>
    <row r="259" spans="1:16" ht="19.5" customHeight="1">
      <c r="A259" s="1" t="s">
        <v>1849</v>
      </c>
      <c r="B259" s="5">
        <v>46016</v>
      </c>
      <c r="C259" s="1" t="s">
        <v>17</v>
      </c>
      <c r="D259" s="1" t="s">
        <v>37</v>
      </c>
      <c r="E259" s="1" t="s">
        <v>25</v>
      </c>
      <c r="F259" s="1" t="s">
        <v>26</v>
      </c>
      <c r="G259" s="1" t="s">
        <v>1229</v>
      </c>
      <c r="H259" s="6">
        <v>1</v>
      </c>
      <c r="I259" s="7">
        <v>1704</v>
      </c>
      <c r="J259" s="5">
        <v>46013</v>
      </c>
      <c r="K259" s="1" t="s">
        <v>957</v>
      </c>
      <c r="L259" s="1" t="s">
        <v>30</v>
      </c>
      <c r="M259" s="8">
        <v>0.43</v>
      </c>
      <c r="N259" s="6"/>
      <c r="O259" s="6"/>
      <c r="P259" s="9">
        <v>-12.19</v>
      </c>
    </row>
    <row r="260" spans="1:16" ht="19.5" customHeight="1">
      <c r="A260" s="1" t="s">
        <v>1850</v>
      </c>
      <c r="B260" s="5">
        <v>46016</v>
      </c>
      <c r="C260" s="1" t="s">
        <v>17</v>
      </c>
      <c r="D260" s="1" t="s">
        <v>18</v>
      </c>
      <c r="E260" s="1" t="s">
        <v>222</v>
      </c>
      <c r="F260" s="1" t="s">
        <v>412</v>
      </c>
      <c r="G260" s="1" t="s">
        <v>1229</v>
      </c>
      <c r="H260" s="6">
        <v>1</v>
      </c>
      <c r="I260" s="7">
        <v>0</v>
      </c>
      <c r="J260" s="5">
        <v>46016</v>
      </c>
      <c r="K260" s="1" t="s">
        <v>22</v>
      </c>
      <c r="L260" s="1" t="s">
        <v>22</v>
      </c>
      <c r="M260" s="8">
        <v>0</v>
      </c>
      <c r="N260" s="6"/>
      <c r="O260" s="6"/>
      <c r="P260" s="9">
        <v>-6.14</v>
      </c>
    </row>
    <row r="261" spans="1:16" ht="19.5" customHeight="1">
      <c r="A261" s="1" t="s">
        <v>1851</v>
      </c>
      <c r="B261" s="5">
        <v>46016</v>
      </c>
      <c r="C261" s="1" t="s">
        <v>28</v>
      </c>
      <c r="D261" s="1" t="s">
        <v>29</v>
      </c>
      <c r="E261" s="1" t="s">
        <v>225</v>
      </c>
      <c r="F261" s="1" t="s">
        <v>491</v>
      </c>
      <c r="G261" s="1" t="s">
        <v>1229</v>
      </c>
      <c r="H261" s="6">
        <v>1</v>
      </c>
      <c r="I261" s="7">
        <v>1102</v>
      </c>
      <c r="J261" s="5">
        <v>46010</v>
      </c>
      <c r="K261" s="1" t="s">
        <v>957</v>
      </c>
      <c r="L261" s="1" t="s">
        <v>30</v>
      </c>
      <c r="M261" s="8">
        <v>0.43</v>
      </c>
      <c r="N261" s="6"/>
      <c r="O261" s="6">
        <v>39</v>
      </c>
      <c r="P261" s="9">
        <v>-95.67</v>
      </c>
    </row>
    <row r="262" spans="1:16" ht="19.5" customHeight="1">
      <c r="A262" s="1" t="s">
        <v>1851</v>
      </c>
      <c r="B262" s="5">
        <v>46016</v>
      </c>
      <c r="C262" s="1" t="s">
        <v>31</v>
      </c>
      <c r="D262" s="1" t="s">
        <v>32</v>
      </c>
      <c r="E262" s="1" t="s">
        <v>225</v>
      </c>
      <c r="F262" s="1" t="s">
        <v>491</v>
      </c>
      <c r="G262" s="1" t="s">
        <v>1229</v>
      </c>
      <c r="H262" s="6">
        <v>1</v>
      </c>
      <c r="I262" s="7">
        <v>1102</v>
      </c>
      <c r="J262" s="5">
        <v>46010</v>
      </c>
      <c r="K262" s="1" t="s">
        <v>957</v>
      </c>
      <c r="L262" s="1" t="s">
        <v>30</v>
      </c>
      <c r="M262" s="8">
        <v>0</v>
      </c>
      <c r="N262" s="6"/>
      <c r="O262" s="6"/>
      <c r="P262" s="9">
        <v>440.95</v>
      </c>
    </row>
    <row r="263" spans="1:16" ht="19.5" customHeight="1">
      <c r="A263" s="1" t="s">
        <v>1851</v>
      </c>
      <c r="B263" s="5">
        <v>46016</v>
      </c>
      <c r="C263" s="1" t="s">
        <v>31</v>
      </c>
      <c r="D263" s="1" t="s">
        <v>33</v>
      </c>
      <c r="E263" s="1" t="s">
        <v>225</v>
      </c>
      <c r="F263" s="1" t="s">
        <v>491</v>
      </c>
      <c r="G263" s="1" t="s">
        <v>1229</v>
      </c>
      <c r="H263" s="6">
        <v>1</v>
      </c>
      <c r="I263" s="7">
        <v>1102</v>
      </c>
      <c r="J263" s="5">
        <v>46010</v>
      </c>
      <c r="K263" s="1" t="s">
        <v>957</v>
      </c>
      <c r="L263" s="1" t="s">
        <v>30</v>
      </c>
      <c r="M263" s="8">
        <v>0</v>
      </c>
      <c r="N263" s="6"/>
      <c r="O263" s="6"/>
      <c r="P263" s="9">
        <v>0</v>
      </c>
    </row>
    <row r="264" spans="1:16" ht="19.5" customHeight="1">
      <c r="A264" s="1" t="s">
        <v>1851</v>
      </c>
      <c r="B264" s="5">
        <v>46016</v>
      </c>
      <c r="C264" s="1" t="s">
        <v>31</v>
      </c>
      <c r="D264" s="1" t="s">
        <v>34</v>
      </c>
      <c r="E264" s="1" t="s">
        <v>225</v>
      </c>
      <c r="F264" s="1" t="s">
        <v>491</v>
      </c>
      <c r="G264" s="1" t="s">
        <v>1229</v>
      </c>
      <c r="H264" s="6">
        <v>1</v>
      </c>
      <c r="I264" s="7">
        <v>1102</v>
      </c>
      <c r="J264" s="5">
        <v>46010</v>
      </c>
      <c r="K264" s="1" t="s">
        <v>957</v>
      </c>
      <c r="L264" s="1" t="s">
        <v>30</v>
      </c>
      <c r="M264" s="8">
        <v>0</v>
      </c>
      <c r="N264" s="6"/>
      <c r="O264" s="6"/>
      <c r="P264" s="9">
        <v>661.05</v>
      </c>
    </row>
    <row r="265" spans="1:16" ht="19.5" customHeight="1">
      <c r="A265" s="1" t="s">
        <v>1851</v>
      </c>
      <c r="B265" s="5">
        <v>46016</v>
      </c>
      <c r="C265" s="1" t="s">
        <v>35</v>
      </c>
      <c r="D265" s="1" t="s">
        <v>36</v>
      </c>
      <c r="E265" s="1" t="s">
        <v>225</v>
      </c>
      <c r="F265" s="1" t="s">
        <v>491</v>
      </c>
      <c r="G265" s="1" t="s">
        <v>1229</v>
      </c>
      <c r="H265" s="6">
        <v>1</v>
      </c>
      <c r="I265" s="7">
        <v>1102</v>
      </c>
      <c r="J265" s="5">
        <v>46010</v>
      </c>
      <c r="K265" s="1" t="s">
        <v>957</v>
      </c>
      <c r="L265" s="1" t="s">
        <v>30</v>
      </c>
      <c r="M265" s="8">
        <v>0.43</v>
      </c>
      <c r="N265" s="6"/>
      <c r="O265" s="6"/>
      <c r="P265" s="9">
        <v>-473.86</v>
      </c>
    </row>
    <row r="266" spans="1:16" ht="19.5" customHeight="1">
      <c r="A266" s="1" t="s">
        <v>1851</v>
      </c>
      <c r="B266" s="5">
        <v>46016</v>
      </c>
      <c r="C266" s="1" t="s">
        <v>17</v>
      </c>
      <c r="D266" s="1" t="s">
        <v>37</v>
      </c>
      <c r="E266" s="1" t="s">
        <v>225</v>
      </c>
      <c r="F266" s="1" t="s">
        <v>491</v>
      </c>
      <c r="G266" s="1" t="s">
        <v>1229</v>
      </c>
      <c r="H266" s="6">
        <v>1</v>
      </c>
      <c r="I266" s="7">
        <v>1102</v>
      </c>
      <c r="J266" s="5">
        <v>46010</v>
      </c>
      <c r="K266" s="1" t="s">
        <v>957</v>
      </c>
      <c r="L266" s="1" t="s">
        <v>30</v>
      </c>
      <c r="M266" s="8">
        <v>0.43</v>
      </c>
      <c r="N266" s="6"/>
      <c r="O266" s="6"/>
      <c r="P266" s="9">
        <v>-5.2</v>
      </c>
    </row>
    <row r="267" spans="1:16" ht="19.5" customHeight="1">
      <c r="A267" s="1" t="s">
        <v>1852</v>
      </c>
      <c r="B267" s="5">
        <v>46016</v>
      </c>
      <c r="C267" s="1" t="s">
        <v>17</v>
      </c>
      <c r="D267" s="1" t="s">
        <v>18</v>
      </c>
      <c r="E267" s="1" t="s">
        <v>25</v>
      </c>
      <c r="F267" s="1" t="s">
        <v>26</v>
      </c>
      <c r="G267" s="1" t="s">
        <v>1229</v>
      </c>
      <c r="H267" s="6">
        <v>1</v>
      </c>
      <c r="I267" s="7">
        <v>0</v>
      </c>
      <c r="J267" s="5">
        <v>46016</v>
      </c>
      <c r="K267" s="1" t="s">
        <v>22</v>
      </c>
      <c r="L267" s="1" t="s">
        <v>22</v>
      </c>
      <c r="M267" s="8">
        <v>0</v>
      </c>
      <c r="N267" s="6"/>
      <c r="O267" s="6"/>
      <c r="P267" s="9">
        <v>-6.76</v>
      </c>
    </row>
    <row r="268" spans="1:16" ht="19.5" customHeight="1">
      <c r="A268" s="1" t="s">
        <v>1853</v>
      </c>
      <c r="B268" s="5">
        <v>46016</v>
      </c>
      <c r="C268" s="1" t="s">
        <v>28</v>
      </c>
      <c r="D268" s="1" t="s">
        <v>29</v>
      </c>
      <c r="E268" s="1" t="s">
        <v>223</v>
      </c>
      <c r="F268" s="1" t="s">
        <v>395</v>
      </c>
      <c r="G268" s="1" t="s">
        <v>1229</v>
      </c>
      <c r="H268" s="6">
        <v>1</v>
      </c>
      <c r="I268" s="7">
        <v>1687</v>
      </c>
      <c r="J268" s="5">
        <v>46013</v>
      </c>
      <c r="K268" s="1" t="s">
        <v>957</v>
      </c>
      <c r="L268" s="1" t="s">
        <v>30</v>
      </c>
      <c r="M268" s="8">
        <v>0.43</v>
      </c>
      <c r="N268" s="6"/>
      <c r="O268" s="6">
        <v>42</v>
      </c>
      <c r="P268" s="9">
        <v>-121.51</v>
      </c>
    </row>
    <row r="269" spans="1:16" ht="19.5" customHeight="1">
      <c r="A269" s="1" t="s">
        <v>1853</v>
      </c>
      <c r="B269" s="5">
        <v>46016</v>
      </c>
      <c r="C269" s="1" t="s">
        <v>31</v>
      </c>
      <c r="D269" s="1" t="s">
        <v>32</v>
      </c>
      <c r="E269" s="1" t="s">
        <v>223</v>
      </c>
      <c r="F269" s="1" t="s">
        <v>395</v>
      </c>
      <c r="G269" s="1" t="s">
        <v>1229</v>
      </c>
      <c r="H269" s="6">
        <v>1</v>
      </c>
      <c r="I269" s="7">
        <v>1687</v>
      </c>
      <c r="J269" s="5">
        <v>46013</v>
      </c>
      <c r="K269" s="1" t="s">
        <v>957</v>
      </c>
      <c r="L269" s="1" t="s">
        <v>30</v>
      </c>
      <c r="M269" s="8">
        <v>0</v>
      </c>
      <c r="N269" s="6"/>
      <c r="O269" s="6"/>
      <c r="P269" s="9">
        <v>579.45000000000005</v>
      </c>
    </row>
    <row r="270" spans="1:16" ht="19.5" customHeight="1">
      <c r="A270" s="1" t="s">
        <v>1853</v>
      </c>
      <c r="B270" s="5">
        <v>46016</v>
      </c>
      <c r="C270" s="1" t="s">
        <v>31</v>
      </c>
      <c r="D270" s="1" t="s">
        <v>33</v>
      </c>
      <c r="E270" s="1" t="s">
        <v>223</v>
      </c>
      <c r="F270" s="1" t="s">
        <v>395</v>
      </c>
      <c r="G270" s="1" t="s">
        <v>1229</v>
      </c>
      <c r="H270" s="6">
        <v>1</v>
      </c>
      <c r="I270" s="7">
        <v>1687</v>
      </c>
      <c r="J270" s="5">
        <v>46013</v>
      </c>
      <c r="K270" s="1" t="s">
        <v>957</v>
      </c>
      <c r="L270" s="1" t="s">
        <v>30</v>
      </c>
      <c r="M270" s="8">
        <v>0</v>
      </c>
      <c r="N270" s="6"/>
      <c r="O270" s="6"/>
      <c r="P270" s="9">
        <v>5.79</v>
      </c>
    </row>
    <row r="271" spans="1:16" ht="19.5" customHeight="1">
      <c r="A271" s="1" t="s">
        <v>1853</v>
      </c>
      <c r="B271" s="5">
        <v>46016</v>
      </c>
      <c r="C271" s="1" t="s">
        <v>31</v>
      </c>
      <c r="D271" s="1" t="s">
        <v>34</v>
      </c>
      <c r="E271" s="1" t="s">
        <v>223</v>
      </c>
      <c r="F271" s="1" t="s">
        <v>395</v>
      </c>
      <c r="G271" s="1" t="s">
        <v>1229</v>
      </c>
      <c r="H271" s="6">
        <v>1</v>
      </c>
      <c r="I271" s="7">
        <v>1687</v>
      </c>
      <c r="J271" s="5">
        <v>46013</v>
      </c>
      <c r="K271" s="1" t="s">
        <v>957</v>
      </c>
      <c r="L271" s="1" t="s">
        <v>30</v>
      </c>
      <c r="M271" s="8">
        <v>0</v>
      </c>
      <c r="N271" s="6"/>
      <c r="O271" s="6"/>
      <c r="P271" s="9">
        <v>1101.76</v>
      </c>
    </row>
    <row r="272" spans="1:16" ht="19.5" customHeight="1">
      <c r="A272" s="1" t="s">
        <v>1853</v>
      </c>
      <c r="B272" s="5">
        <v>46016</v>
      </c>
      <c r="C272" s="1" t="s">
        <v>35</v>
      </c>
      <c r="D272" s="1" t="s">
        <v>36</v>
      </c>
      <c r="E272" s="1" t="s">
        <v>223</v>
      </c>
      <c r="F272" s="1" t="s">
        <v>395</v>
      </c>
      <c r="G272" s="1" t="s">
        <v>1229</v>
      </c>
      <c r="H272" s="6">
        <v>1</v>
      </c>
      <c r="I272" s="7">
        <v>1687</v>
      </c>
      <c r="J272" s="5">
        <v>46013</v>
      </c>
      <c r="K272" s="1" t="s">
        <v>957</v>
      </c>
      <c r="L272" s="1" t="s">
        <v>30</v>
      </c>
      <c r="M272" s="8">
        <v>0.43</v>
      </c>
      <c r="N272" s="6"/>
      <c r="O272" s="6"/>
      <c r="P272" s="9">
        <v>-725.41</v>
      </c>
    </row>
    <row r="273" spans="1:16" ht="19.5" customHeight="1">
      <c r="A273" s="1" t="s">
        <v>1853</v>
      </c>
      <c r="B273" s="5">
        <v>46016</v>
      </c>
      <c r="C273" s="1" t="s">
        <v>17</v>
      </c>
      <c r="D273" s="1" t="s">
        <v>37</v>
      </c>
      <c r="E273" s="1" t="s">
        <v>223</v>
      </c>
      <c r="F273" s="1" t="s">
        <v>395</v>
      </c>
      <c r="G273" s="1" t="s">
        <v>1229</v>
      </c>
      <c r="H273" s="6">
        <v>1</v>
      </c>
      <c r="I273" s="7">
        <v>1687</v>
      </c>
      <c r="J273" s="5">
        <v>46013</v>
      </c>
      <c r="K273" s="1" t="s">
        <v>957</v>
      </c>
      <c r="L273" s="1" t="s">
        <v>30</v>
      </c>
      <c r="M273" s="8">
        <v>0.43</v>
      </c>
      <c r="N273" s="6"/>
      <c r="O273" s="6"/>
      <c r="P273" s="9">
        <v>-9.67</v>
      </c>
    </row>
    <row r="274" spans="1:16" ht="19.5" customHeight="1">
      <c r="A274" s="1" t="s">
        <v>1853</v>
      </c>
      <c r="B274" s="5">
        <v>46016</v>
      </c>
      <c r="C274" s="1" t="s">
        <v>17</v>
      </c>
      <c r="D274" s="1" t="s">
        <v>18</v>
      </c>
      <c r="E274" s="1" t="s">
        <v>223</v>
      </c>
      <c r="F274" s="1" t="s">
        <v>395</v>
      </c>
      <c r="G274" s="1" t="s">
        <v>1229</v>
      </c>
      <c r="H274" s="6">
        <v>1</v>
      </c>
      <c r="I274" s="7">
        <v>0</v>
      </c>
      <c r="J274" s="5">
        <v>46013</v>
      </c>
      <c r="K274" s="1" t="s">
        <v>22</v>
      </c>
      <c r="L274" s="1" t="s">
        <v>22</v>
      </c>
      <c r="M274" s="8">
        <v>0</v>
      </c>
      <c r="N274" s="6"/>
      <c r="O274" s="6"/>
      <c r="P274" s="9">
        <v>-11.01</v>
      </c>
    </row>
    <row r="275" spans="1:16" ht="19.5" customHeight="1">
      <c r="A275" s="1" t="s">
        <v>1854</v>
      </c>
      <c r="B275" s="5">
        <v>46016</v>
      </c>
      <c r="C275" s="1" t="s">
        <v>17</v>
      </c>
      <c r="D275" s="1" t="s">
        <v>18</v>
      </c>
      <c r="E275" s="1" t="s">
        <v>25</v>
      </c>
      <c r="F275" s="1" t="s">
        <v>26</v>
      </c>
      <c r="G275" s="1" t="s">
        <v>1229</v>
      </c>
      <c r="H275" s="6">
        <v>1</v>
      </c>
      <c r="I275" s="7">
        <v>0</v>
      </c>
      <c r="J275" s="5">
        <v>46016</v>
      </c>
      <c r="K275" s="1" t="s">
        <v>22</v>
      </c>
      <c r="L275" s="1" t="s">
        <v>22</v>
      </c>
      <c r="M275" s="8">
        <v>0</v>
      </c>
      <c r="N275" s="6"/>
      <c r="O275" s="6"/>
      <c r="P275" s="9">
        <v>-2.13</v>
      </c>
    </row>
    <row r="276" spans="1:16" ht="19.5" customHeight="1">
      <c r="A276" s="1" t="s">
        <v>1855</v>
      </c>
      <c r="B276" s="5">
        <v>46016</v>
      </c>
      <c r="C276" s="1" t="s">
        <v>28</v>
      </c>
      <c r="D276" s="1" t="s">
        <v>29</v>
      </c>
      <c r="E276" s="1" t="s">
        <v>25</v>
      </c>
      <c r="F276" s="1" t="s">
        <v>26</v>
      </c>
      <c r="G276" s="1" t="s">
        <v>1229</v>
      </c>
      <c r="H276" s="6">
        <v>1</v>
      </c>
      <c r="I276" s="7">
        <v>1704</v>
      </c>
      <c r="J276" s="5">
        <v>46014</v>
      </c>
      <c r="K276" s="1" t="s">
        <v>957</v>
      </c>
      <c r="L276" s="1" t="s">
        <v>30</v>
      </c>
      <c r="M276" s="8">
        <v>0.43</v>
      </c>
      <c r="N276" s="6"/>
      <c r="O276" s="6">
        <v>42</v>
      </c>
      <c r="P276" s="9">
        <v>-121.99</v>
      </c>
    </row>
    <row r="277" spans="1:16" ht="19.5" customHeight="1">
      <c r="A277" s="1" t="s">
        <v>1855</v>
      </c>
      <c r="B277" s="5">
        <v>46016</v>
      </c>
      <c r="C277" s="1" t="s">
        <v>31</v>
      </c>
      <c r="D277" s="1" t="s">
        <v>32</v>
      </c>
      <c r="E277" s="1" t="s">
        <v>25</v>
      </c>
      <c r="F277" s="1" t="s">
        <v>26</v>
      </c>
      <c r="G277" s="1" t="s">
        <v>1229</v>
      </c>
      <c r="H277" s="6">
        <v>1</v>
      </c>
      <c r="I277" s="7">
        <v>1704</v>
      </c>
      <c r="J277" s="5">
        <v>46014</v>
      </c>
      <c r="K277" s="1" t="s">
        <v>957</v>
      </c>
      <c r="L277" s="1" t="s">
        <v>30</v>
      </c>
      <c r="M277" s="8">
        <v>0</v>
      </c>
      <c r="N277" s="6"/>
      <c r="O277" s="6"/>
      <c r="P277" s="9">
        <v>585.71</v>
      </c>
    </row>
    <row r="278" spans="1:16" ht="19.5" customHeight="1">
      <c r="A278" s="1" t="s">
        <v>1855</v>
      </c>
      <c r="B278" s="5">
        <v>46016</v>
      </c>
      <c r="C278" s="1" t="s">
        <v>31</v>
      </c>
      <c r="D278" s="1" t="s">
        <v>33</v>
      </c>
      <c r="E278" s="1" t="s">
        <v>25</v>
      </c>
      <c r="F278" s="1" t="s">
        <v>26</v>
      </c>
      <c r="G278" s="1" t="s">
        <v>1229</v>
      </c>
      <c r="H278" s="6">
        <v>1</v>
      </c>
      <c r="I278" s="7">
        <v>1704</v>
      </c>
      <c r="J278" s="5">
        <v>46014</v>
      </c>
      <c r="K278" s="1" t="s">
        <v>957</v>
      </c>
      <c r="L278" s="1" t="s">
        <v>30</v>
      </c>
      <c r="M278" s="8">
        <v>0</v>
      </c>
      <c r="N278" s="6"/>
      <c r="O278" s="6"/>
      <c r="P278" s="9">
        <v>5.86</v>
      </c>
    </row>
    <row r="279" spans="1:16" ht="19.5" customHeight="1">
      <c r="A279" s="1" t="s">
        <v>1855</v>
      </c>
      <c r="B279" s="5">
        <v>46016</v>
      </c>
      <c r="C279" s="1" t="s">
        <v>31</v>
      </c>
      <c r="D279" s="1" t="s">
        <v>34</v>
      </c>
      <c r="E279" s="1" t="s">
        <v>25</v>
      </c>
      <c r="F279" s="1" t="s">
        <v>26</v>
      </c>
      <c r="G279" s="1" t="s">
        <v>1229</v>
      </c>
      <c r="H279" s="6">
        <v>1</v>
      </c>
      <c r="I279" s="7">
        <v>1704</v>
      </c>
      <c r="J279" s="5">
        <v>46014</v>
      </c>
      <c r="K279" s="1" t="s">
        <v>957</v>
      </c>
      <c r="L279" s="1" t="s">
        <v>30</v>
      </c>
      <c r="M279" s="8">
        <v>0</v>
      </c>
      <c r="N279" s="6"/>
      <c r="O279" s="6"/>
      <c r="P279" s="9">
        <v>1112.43</v>
      </c>
    </row>
    <row r="280" spans="1:16" ht="19.5" customHeight="1">
      <c r="A280" s="1" t="s">
        <v>1855</v>
      </c>
      <c r="B280" s="5">
        <v>46016</v>
      </c>
      <c r="C280" s="1" t="s">
        <v>35</v>
      </c>
      <c r="D280" s="1" t="s">
        <v>36</v>
      </c>
      <c r="E280" s="1" t="s">
        <v>25</v>
      </c>
      <c r="F280" s="1" t="s">
        <v>26</v>
      </c>
      <c r="G280" s="1" t="s">
        <v>1229</v>
      </c>
      <c r="H280" s="6">
        <v>1</v>
      </c>
      <c r="I280" s="7">
        <v>1704</v>
      </c>
      <c r="J280" s="5">
        <v>46014</v>
      </c>
      <c r="K280" s="1" t="s">
        <v>957</v>
      </c>
      <c r="L280" s="1" t="s">
        <v>30</v>
      </c>
      <c r="M280" s="8">
        <v>0.43</v>
      </c>
      <c r="N280" s="6"/>
      <c r="O280" s="6"/>
      <c r="P280" s="9">
        <v>-732.72</v>
      </c>
    </row>
    <row r="281" spans="1:16" ht="19.5" customHeight="1">
      <c r="A281" s="1" t="s">
        <v>1855</v>
      </c>
      <c r="B281" s="5">
        <v>46016</v>
      </c>
      <c r="C281" s="1" t="s">
        <v>17</v>
      </c>
      <c r="D281" s="1" t="s">
        <v>37</v>
      </c>
      <c r="E281" s="1" t="s">
        <v>25</v>
      </c>
      <c r="F281" s="1" t="s">
        <v>26</v>
      </c>
      <c r="G281" s="1" t="s">
        <v>1229</v>
      </c>
      <c r="H281" s="6">
        <v>1</v>
      </c>
      <c r="I281" s="7">
        <v>1704</v>
      </c>
      <c r="J281" s="5">
        <v>46014</v>
      </c>
      <c r="K281" s="1" t="s">
        <v>957</v>
      </c>
      <c r="L281" s="1" t="s">
        <v>30</v>
      </c>
      <c r="M281" s="8">
        <v>0.43</v>
      </c>
      <c r="N281" s="6"/>
      <c r="O281" s="6"/>
      <c r="P281" s="9">
        <v>-10.4</v>
      </c>
    </row>
    <row r="282" spans="1:16" ht="19.5" customHeight="1">
      <c r="A282" s="1" t="s">
        <v>1856</v>
      </c>
      <c r="B282" s="5">
        <v>46016</v>
      </c>
      <c r="C282" s="1" t="s">
        <v>28</v>
      </c>
      <c r="D282" s="1" t="s">
        <v>29</v>
      </c>
      <c r="E282" s="1" t="s">
        <v>25</v>
      </c>
      <c r="F282" s="1" t="s">
        <v>26</v>
      </c>
      <c r="G282" s="1" t="s">
        <v>1229</v>
      </c>
      <c r="H282" s="6">
        <v>1</v>
      </c>
      <c r="I282" s="7">
        <v>1704</v>
      </c>
      <c r="J282" s="5">
        <v>46013</v>
      </c>
      <c r="K282" s="1" t="s">
        <v>957</v>
      </c>
      <c r="L282" s="1" t="s">
        <v>30</v>
      </c>
      <c r="M282" s="8">
        <v>0.43</v>
      </c>
      <c r="N282" s="6"/>
      <c r="O282" s="6">
        <v>42</v>
      </c>
      <c r="P282" s="9">
        <v>-121.99</v>
      </c>
    </row>
    <row r="283" spans="1:16" ht="19.5" customHeight="1">
      <c r="A283" s="1" t="s">
        <v>1856</v>
      </c>
      <c r="B283" s="5">
        <v>46016</v>
      </c>
      <c r="C283" s="1" t="s">
        <v>31</v>
      </c>
      <c r="D283" s="1" t="s">
        <v>32</v>
      </c>
      <c r="E283" s="1" t="s">
        <v>25</v>
      </c>
      <c r="F283" s="1" t="s">
        <v>26</v>
      </c>
      <c r="G283" s="1" t="s">
        <v>1229</v>
      </c>
      <c r="H283" s="6">
        <v>1</v>
      </c>
      <c r="I283" s="7">
        <v>1704</v>
      </c>
      <c r="J283" s="5">
        <v>46013</v>
      </c>
      <c r="K283" s="1" t="s">
        <v>957</v>
      </c>
      <c r="L283" s="1" t="s">
        <v>30</v>
      </c>
      <c r="M283" s="8">
        <v>0</v>
      </c>
      <c r="N283" s="6"/>
      <c r="O283" s="6"/>
      <c r="P283" s="9">
        <v>585.71</v>
      </c>
    </row>
    <row r="284" spans="1:16" ht="19.5" customHeight="1">
      <c r="A284" s="1" t="s">
        <v>1856</v>
      </c>
      <c r="B284" s="5">
        <v>46016</v>
      </c>
      <c r="C284" s="1" t="s">
        <v>31</v>
      </c>
      <c r="D284" s="1" t="s">
        <v>33</v>
      </c>
      <c r="E284" s="1" t="s">
        <v>25</v>
      </c>
      <c r="F284" s="1" t="s">
        <v>26</v>
      </c>
      <c r="G284" s="1" t="s">
        <v>1229</v>
      </c>
      <c r="H284" s="6">
        <v>1</v>
      </c>
      <c r="I284" s="7">
        <v>1704</v>
      </c>
      <c r="J284" s="5">
        <v>46013</v>
      </c>
      <c r="K284" s="1" t="s">
        <v>957</v>
      </c>
      <c r="L284" s="1" t="s">
        <v>30</v>
      </c>
      <c r="M284" s="8">
        <v>0</v>
      </c>
      <c r="N284" s="6"/>
      <c r="O284" s="6"/>
      <c r="P284" s="9">
        <v>5.86</v>
      </c>
    </row>
    <row r="285" spans="1:16" ht="19.5" customHeight="1">
      <c r="A285" s="1" t="s">
        <v>1856</v>
      </c>
      <c r="B285" s="5">
        <v>46016</v>
      </c>
      <c r="C285" s="1" t="s">
        <v>31</v>
      </c>
      <c r="D285" s="1" t="s">
        <v>34</v>
      </c>
      <c r="E285" s="1" t="s">
        <v>25</v>
      </c>
      <c r="F285" s="1" t="s">
        <v>26</v>
      </c>
      <c r="G285" s="1" t="s">
        <v>1229</v>
      </c>
      <c r="H285" s="6">
        <v>1</v>
      </c>
      <c r="I285" s="7">
        <v>1704</v>
      </c>
      <c r="J285" s="5">
        <v>46013</v>
      </c>
      <c r="K285" s="1" t="s">
        <v>957</v>
      </c>
      <c r="L285" s="1" t="s">
        <v>30</v>
      </c>
      <c r="M285" s="8">
        <v>0</v>
      </c>
      <c r="N285" s="6"/>
      <c r="O285" s="6"/>
      <c r="P285" s="9">
        <v>1112.43</v>
      </c>
    </row>
    <row r="286" spans="1:16" ht="19.5" customHeight="1">
      <c r="A286" s="1" t="s">
        <v>1856</v>
      </c>
      <c r="B286" s="5">
        <v>46016</v>
      </c>
      <c r="C286" s="1" t="s">
        <v>35</v>
      </c>
      <c r="D286" s="1" t="s">
        <v>36</v>
      </c>
      <c r="E286" s="1" t="s">
        <v>25</v>
      </c>
      <c r="F286" s="1" t="s">
        <v>26</v>
      </c>
      <c r="G286" s="1" t="s">
        <v>1229</v>
      </c>
      <c r="H286" s="6">
        <v>1</v>
      </c>
      <c r="I286" s="7">
        <v>1704</v>
      </c>
      <c r="J286" s="5">
        <v>46013</v>
      </c>
      <c r="K286" s="1" t="s">
        <v>957</v>
      </c>
      <c r="L286" s="1" t="s">
        <v>30</v>
      </c>
      <c r="M286" s="8">
        <v>0.43</v>
      </c>
      <c r="N286" s="6"/>
      <c r="O286" s="6"/>
      <c r="P286" s="9">
        <v>-732.72</v>
      </c>
    </row>
    <row r="287" spans="1:16" ht="19.5" customHeight="1">
      <c r="A287" s="1" t="s">
        <v>1856</v>
      </c>
      <c r="B287" s="5">
        <v>46016</v>
      </c>
      <c r="C287" s="1" t="s">
        <v>17</v>
      </c>
      <c r="D287" s="1" t="s">
        <v>37</v>
      </c>
      <c r="E287" s="1" t="s">
        <v>25</v>
      </c>
      <c r="F287" s="1" t="s">
        <v>26</v>
      </c>
      <c r="G287" s="1" t="s">
        <v>1229</v>
      </c>
      <c r="H287" s="6">
        <v>1</v>
      </c>
      <c r="I287" s="7">
        <v>1704</v>
      </c>
      <c r="J287" s="5">
        <v>46013</v>
      </c>
      <c r="K287" s="1" t="s">
        <v>957</v>
      </c>
      <c r="L287" s="1" t="s">
        <v>30</v>
      </c>
      <c r="M287" s="8">
        <v>0.43</v>
      </c>
      <c r="N287" s="6"/>
      <c r="O287" s="6"/>
      <c r="P287" s="9">
        <v>-8.64</v>
      </c>
    </row>
    <row r="288" spans="1:16" ht="19.5" customHeight="1">
      <c r="A288" s="1" t="s">
        <v>1856</v>
      </c>
      <c r="B288" s="5">
        <v>46016</v>
      </c>
      <c r="C288" s="1" t="s">
        <v>17</v>
      </c>
      <c r="D288" s="1" t="s">
        <v>18</v>
      </c>
      <c r="E288" s="1" t="s">
        <v>25</v>
      </c>
      <c r="F288" s="1" t="s">
        <v>26</v>
      </c>
      <c r="G288" s="1" t="s">
        <v>1229</v>
      </c>
      <c r="H288" s="6">
        <v>1</v>
      </c>
      <c r="I288" s="7">
        <v>0</v>
      </c>
      <c r="J288" s="5">
        <v>46013</v>
      </c>
      <c r="K288" s="1" t="s">
        <v>22</v>
      </c>
      <c r="L288" s="1" t="s">
        <v>22</v>
      </c>
      <c r="M288" s="8">
        <v>0</v>
      </c>
      <c r="N288" s="6"/>
      <c r="O288" s="6"/>
      <c r="P288" s="9">
        <v>-11.13</v>
      </c>
    </row>
    <row r="289" spans="1:16" ht="19.5" customHeight="1">
      <c r="A289" s="1" t="s">
        <v>1857</v>
      </c>
      <c r="B289" s="5">
        <v>46016</v>
      </c>
      <c r="C289" s="1" t="s">
        <v>28</v>
      </c>
      <c r="D289" s="1" t="s">
        <v>29</v>
      </c>
      <c r="E289" s="1" t="s">
        <v>224</v>
      </c>
      <c r="F289" s="1" t="s">
        <v>461</v>
      </c>
      <c r="G289" s="1" t="s">
        <v>1229</v>
      </c>
      <c r="H289" s="6">
        <v>1</v>
      </c>
      <c r="I289" s="7">
        <v>0</v>
      </c>
      <c r="J289" s="5">
        <v>46008</v>
      </c>
      <c r="K289" s="1" t="s">
        <v>957</v>
      </c>
      <c r="L289" s="1" t="s">
        <v>30</v>
      </c>
      <c r="M289" s="8">
        <v>0</v>
      </c>
      <c r="N289" s="6"/>
      <c r="O289" s="6">
        <v>41</v>
      </c>
      <c r="P289" s="9">
        <v>-46.77</v>
      </c>
    </row>
    <row r="290" spans="1:16" ht="19.5" customHeight="1">
      <c r="A290" s="1" t="s">
        <v>1857</v>
      </c>
      <c r="B290" s="5">
        <v>46016</v>
      </c>
      <c r="C290" s="1" t="s">
        <v>28</v>
      </c>
      <c r="D290" s="1" t="s">
        <v>45</v>
      </c>
      <c r="E290" s="1" t="s">
        <v>224</v>
      </c>
      <c r="F290" s="1" t="s">
        <v>461</v>
      </c>
      <c r="G290" s="1" t="s">
        <v>1229</v>
      </c>
      <c r="H290" s="6">
        <v>1</v>
      </c>
      <c r="I290" s="7">
        <v>0</v>
      </c>
      <c r="J290" s="5">
        <v>46008</v>
      </c>
      <c r="K290" s="1" t="s">
        <v>957</v>
      </c>
      <c r="L290" s="1" t="s">
        <v>30</v>
      </c>
      <c r="M290" s="8">
        <v>0</v>
      </c>
      <c r="N290" s="6"/>
      <c r="O290" s="6"/>
      <c r="P290" s="9">
        <v>0</v>
      </c>
    </row>
    <row r="291" spans="1:16" ht="19.5" customHeight="1">
      <c r="A291" s="1" t="s">
        <v>1857</v>
      </c>
      <c r="B291" s="5">
        <v>46016</v>
      </c>
      <c r="C291" s="1" t="s">
        <v>28</v>
      </c>
      <c r="D291" s="1" t="s">
        <v>46</v>
      </c>
      <c r="E291" s="1" t="s">
        <v>224</v>
      </c>
      <c r="F291" s="1" t="s">
        <v>461</v>
      </c>
      <c r="G291" s="1" t="s">
        <v>1229</v>
      </c>
      <c r="H291" s="6">
        <v>1</v>
      </c>
      <c r="I291" s="7">
        <v>0</v>
      </c>
      <c r="J291" s="5">
        <v>46008</v>
      </c>
      <c r="K291" s="1" t="s">
        <v>957</v>
      </c>
      <c r="L291" s="1" t="s">
        <v>30</v>
      </c>
      <c r="M291" s="8">
        <v>0</v>
      </c>
      <c r="N291" s="6"/>
      <c r="O291" s="6"/>
      <c r="P291" s="9">
        <v>-46.77</v>
      </c>
    </row>
    <row r="292" spans="1:16" ht="19.5" customHeight="1">
      <c r="A292" s="1" t="s">
        <v>1857</v>
      </c>
      <c r="B292" s="5">
        <v>46016</v>
      </c>
      <c r="C292" s="1" t="s">
        <v>17</v>
      </c>
      <c r="D292" s="1" t="s">
        <v>47</v>
      </c>
      <c r="E292" s="1" t="s">
        <v>224</v>
      </c>
      <c r="F292" s="1" t="s">
        <v>461</v>
      </c>
      <c r="G292" s="1" t="s">
        <v>1229</v>
      </c>
      <c r="H292" s="6">
        <v>1</v>
      </c>
      <c r="I292" s="7">
        <v>0</v>
      </c>
      <c r="J292" s="5">
        <v>46008</v>
      </c>
      <c r="K292" s="1" t="s">
        <v>957</v>
      </c>
      <c r="L292" s="1" t="s">
        <v>30</v>
      </c>
      <c r="M292" s="8">
        <v>0</v>
      </c>
      <c r="N292" s="6"/>
      <c r="O292" s="6"/>
      <c r="P292" s="9">
        <v>-15</v>
      </c>
    </row>
    <row r="293" spans="1:16" ht="19.5" customHeight="1">
      <c r="A293" s="1" t="s">
        <v>1858</v>
      </c>
      <c r="B293" s="5">
        <v>46016</v>
      </c>
      <c r="C293" s="1" t="s">
        <v>17</v>
      </c>
      <c r="D293" s="1" t="s">
        <v>18</v>
      </c>
      <c r="E293" s="1" t="s">
        <v>25</v>
      </c>
      <c r="F293" s="1" t="s">
        <v>26</v>
      </c>
      <c r="G293" s="1" t="s">
        <v>1229</v>
      </c>
      <c r="H293" s="6">
        <v>1</v>
      </c>
      <c r="I293" s="7">
        <v>0</v>
      </c>
      <c r="J293" s="5">
        <v>46016</v>
      </c>
      <c r="K293" s="1" t="s">
        <v>22</v>
      </c>
      <c r="L293" s="1" t="s">
        <v>22</v>
      </c>
      <c r="M293" s="8">
        <v>0</v>
      </c>
      <c r="N293" s="6"/>
      <c r="O293" s="6"/>
      <c r="P293" s="9">
        <v>-6.76</v>
      </c>
    </row>
    <row r="294" spans="1:16" ht="19.5" customHeight="1">
      <c r="A294" s="1" t="s">
        <v>1859</v>
      </c>
      <c r="B294" s="5">
        <v>46016</v>
      </c>
      <c r="C294" s="1" t="s">
        <v>28</v>
      </c>
      <c r="D294" s="1" t="s">
        <v>29</v>
      </c>
      <c r="E294" s="1" t="s">
        <v>223</v>
      </c>
      <c r="F294" s="1" t="s">
        <v>395</v>
      </c>
      <c r="G294" s="1" t="s">
        <v>1229</v>
      </c>
      <c r="H294" s="6">
        <v>1</v>
      </c>
      <c r="I294" s="7">
        <v>1687</v>
      </c>
      <c r="J294" s="5">
        <v>46014</v>
      </c>
      <c r="K294" s="1" t="s">
        <v>957</v>
      </c>
      <c r="L294" s="1" t="s">
        <v>30</v>
      </c>
      <c r="M294" s="8">
        <v>0.43</v>
      </c>
      <c r="N294" s="6"/>
      <c r="O294" s="6">
        <v>42</v>
      </c>
      <c r="P294" s="9">
        <v>-121.51</v>
      </c>
    </row>
    <row r="295" spans="1:16" ht="19.5" customHeight="1">
      <c r="A295" s="1" t="s">
        <v>1859</v>
      </c>
      <c r="B295" s="5">
        <v>46016</v>
      </c>
      <c r="C295" s="1" t="s">
        <v>31</v>
      </c>
      <c r="D295" s="1" t="s">
        <v>32</v>
      </c>
      <c r="E295" s="1" t="s">
        <v>223</v>
      </c>
      <c r="F295" s="1" t="s">
        <v>395</v>
      </c>
      <c r="G295" s="1" t="s">
        <v>1229</v>
      </c>
      <c r="H295" s="6">
        <v>1</v>
      </c>
      <c r="I295" s="7">
        <v>1687</v>
      </c>
      <c r="J295" s="5">
        <v>46014</v>
      </c>
      <c r="K295" s="1" t="s">
        <v>957</v>
      </c>
      <c r="L295" s="1" t="s">
        <v>30</v>
      </c>
      <c r="M295" s="8">
        <v>0</v>
      </c>
      <c r="N295" s="6"/>
      <c r="O295" s="6"/>
      <c r="P295" s="9">
        <v>577.25</v>
      </c>
    </row>
    <row r="296" spans="1:16" ht="19.5" customHeight="1">
      <c r="A296" s="1" t="s">
        <v>1859</v>
      </c>
      <c r="B296" s="5">
        <v>46016</v>
      </c>
      <c r="C296" s="1" t="s">
        <v>31</v>
      </c>
      <c r="D296" s="1" t="s">
        <v>33</v>
      </c>
      <c r="E296" s="1" t="s">
        <v>223</v>
      </c>
      <c r="F296" s="1" t="s">
        <v>395</v>
      </c>
      <c r="G296" s="1" t="s">
        <v>1229</v>
      </c>
      <c r="H296" s="6">
        <v>1</v>
      </c>
      <c r="I296" s="7">
        <v>1687</v>
      </c>
      <c r="J296" s="5">
        <v>46014</v>
      </c>
      <c r="K296" s="1" t="s">
        <v>957</v>
      </c>
      <c r="L296" s="1" t="s">
        <v>30</v>
      </c>
      <c r="M296" s="8">
        <v>0</v>
      </c>
      <c r="N296" s="6"/>
      <c r="O296" s="6"/>
      <c r="P296" s="9">
        <v>5.77</v>
      </c>
    </row>
    <row r="297" spans="1:16" ht="19.5" customHeight="1">
      <c r="A297" s="1" t="s">
        <v>1859</v>
      </c>
      <c r="B297" s="5">
        <v>46016</v>
      </c>
      <c r="C297" s="1" t="s">
        <v>31</v>
      </c>
      <c r="D297" s="1" t="s">
        <v>34</v>
      </c>
      <c r="E297" s="1" t="s">
        <v>223</v>
      </c>
      <c r="F297" s="1" t="s">
        <v>395</v>
      </c>
      <c r="G297" s="1" t="s">
        <v>1229</v>
      </c>
      <c r="H297" s="6">
        <v>1</v>
      </c>
      <c r="I297" s="7">
        <v>1687</v>
      </c>
      <c r="J297" s="5">
        <v>46014</v>
      </c>
      <c r="K297" s="1" t="s">
        <v>957</v>
      </c>
      <c r="L297" s="1" t="s">
        <v>30</v>
      </c>
      <c r="M297" s="8">
        <v>0</v>
      </c>
      <c r="N297" s="6"/>
      <c r="O297" s="6"/>
      <c r="P297" s="9">
        <v>1103.98</v>
      </c>
    </row>
    <row r="298" spans="1:16" ht="19.5" customHeight="1">
      <c r="A298" s="1" t="s">
        <v>1859</v>
      </c>
      <c r="B298" s="5">
        <v>46016</v>
      </c>
      <c r="C298" s="1" t="s">
        <v>35</v>
      </c>
      <c r="D298" s="1" t="s">
        <v>36</v>
      </c>
      <c r="E298" s="1" t="s">
        <v>223</v>
      </c>
      <c r="F298" s="1" t="s">
        <v>395</v>
      </c>
      <c r="G298" s="1" t="s">
        <v>1229</v>
      </c>
      <c r="H298" s="6">
        <v>1</v>
      </c>
      <c r="I298" s="7">
        <v>1687</v>
      </c>
      <c r="J298" s="5">
        <v>46014</v>
      </c>
      <c r="K298" s="1" t="s">
        <v>957</v>
      </c>
      <c r="L298" s="1" t="s">
        <v>30</v>
      </c>
      <c r="M298" s="8">
        <v>0.43</v>
      </c>
      <c r="N298" s="6"/>
      <c r="O298" s="6"/>
      <c r="P298" s="9">
        <v>-725.41</v>
      </c>
    </row>
    <row r="299" spans="1:16" ht="19.5" customHeight="1">
      <c r="A299" s="1" t="s">
        <v>1859</v>
      </c>
      <c r="B299" s="5">
        <v>46016</v>
      </c>
      <c r="C299" s="1" t="s">
        <v>17</v>
      </c>
      <c r="D299" s="1" t="s">
        <v>37</v>
      </c>
      <c r="E299" s="1" t="s">
        <v>223</v>
      </c>
      <c r="F299" s="1" t="s">
        <v>395</v>
      </c>
      <c r="G299" s="1" t="s">
        <v>1229</v>
      </c>
      <c r="H299" s="6">
        <v>1</v>
      </c>
      <c r="I299" s="7">
        <v>1687</v>
      </c>
      <c r="J299" s="5">
        <v>46014</v>
      </c>
      <c r="K299" s="1" t="s">
        <v>957</v>
      </c>
      <c r="L299" s="1" t="s">
        <v>30</v>
      </c>
      <c r="M299" s="8">
        <v>0.43</v>
      </c>
      <c r="N299" s="6"/>
      <c r="O299" s="6"/>
      <c r="P299" s="9">
        <v>-9.69</v>
      </c>
    </row>
    <row r="300" spans="1:16" ht="19.5" customHeight="1">
      <c r="A300" s="1" t="s">
        <v>1859</v>
      </c>
      <c r="B300" s="5">
        <v>46016</v>
      </c>
      <c r="C300" s="1" t="s">
        <v>17</v>
      </c>
      <c r="D300" s="1" t="s">
        <v>18</v>
      </c>
      <c r="E300" s="1" t="s">
        <v>223</v>
      </c>
      <c r="F300" s="1" t="s">
        <v>395</v>
      </c>
      <c r="G300" s="1" t="s">
        <v>1229</v>
      </c>
      <c r="H300" s="6">
        <v>1</v>
      </c>
      <c r="I300" s="7">
        <v>0</v>
      </c>
      <c r="J300" s="5">
        <v>46014</v>
      </c>
      <c r="K300" s="1" t="s">
        <v>22</v>
      </c>
      <c r="L300" s="1" t="s">
        <v>22</v>
      </c>
      <c r="M300" s="8">
        <v>0</v>
      </c>
      <c r="N300" s="6"/>
      <c r="O300" s="6"/>
      <c r="P300" s="9">
        <v>-10.97</v>
      </c>
    </row>
    <row r="301" spans="1:16" ht="19.5" customHeight="1">
      <c r="A301" s="1" t="s">
        <v>1860</v>
      </c>
      <c r="B301" s="5">
        <v>46016</v>
      </c>
      <c r="C301" s="1" t="s">
        <v>17</v>
      </c>
      <c r="D301" s="1" t="s">
        <v>18</v>
      </c>
      <c r="E301" s="1" t="s">
        <v>25</v>
      </c>
      <c r="F301" s="1" t="s">
        <v>26</v>
      </c>
      <c r="G301" s="1" t="s">
        <v>1229</v>
      </c>
      <c r="H301" s="6">
        <v>1</v>
      </c>
      <c r="I301" s="7">
        <v>0</v>
      </c>
      <c r="J301" s="5">
        <v>46016</v>
      </c>
      <c r="K301" s="1" t="s">
        <v>22</v>
      </c>
      <c r="L301" s="1" t="s">
        <v>22</v>
      </c>
      <c r="M301" s="8">
        <v>0</v>
      </c>
      <c r="N301" s="6"/>
      <c r="O301" s="6"/>
      <c r="P301" s="9">
        <v>-11.13</v>
      </c>
    </row>
    <row r="302" spans="1:16" ht="19.5" customHeight="1">
      <c r="A302" s="1" t="s">
        <v>1750</v>
      </c>
      <c r="B302" s="5">
        <v>46016</v>
      </c>
      <c r="C302" s="1" t="s">
        <v>28</v>
      </c>
      <c r="D302" s="1" t="s">
        <v>60</v>
      </c>
      <c r="E302" s="1" t="s">
        <v>25</v>
      </c>
      <c r="F302" s="1" t="s">
        <v>26</v>
      </c>
      <c r="G302" s="1" t="s">
        <v>1229</v>
      </c>
      <c r="H302" s="6">
        <v>1</v>
      </c>
      <c r="I302" s="7">
        <v>0</v>
      </c>
      <c r="J302" s="5">
        <v>46003</v>
      </c>
      <c r="K302" s="1" t="s">
        <v>957</v>
      </c>
      <c r="L302" s="1" t="s">
        <v>30</v>
      </c>
      <c r="M302" s="8">
        <v>0</v>
      </c>
      <c r="N302" s="6"/>
      <c r="O302" s="6"/>
      <c r="P302" s="9">
        <v>0</v>
      </c>
    </row>
    <row r="303" spans="1:16" ht="19.5" customHeight="1">
      <c r="A303" s="1" t="s">
        <v>1750</v>
      </c>
      <c r="B303" s="5">
        <v>46016</v>
      </c>
      <c r="C303" s="1" t="s">
        <v>28</v>
      </c>
      <c r="D303" s="1" t="s">
        <v>46</v>
      </c>
      <c r="E303" s="1" t="s">
        <v>25</v>
      </c>
      <c r="F303" s="1" t="s">
        <v>26</v>
      </c>
      <c r="G303" s="1" t="s">
        <v>1229</v>
      </c>
      <c r="H303" s="6">
        <v>1</v>
      </c>
      <c r="I303" s="7">
        <v>0</v>
      </c>
      <c r="J303" s="5">
        <v>46003</v>
      </c>
      <c r="K303" s="1" t="s">
        <v>957</v>
      </c>
      <c r="L303" s="1" t="s">
        <v>30</v>
      </c>
      <c r="M303" s="8">
        <v>0</v>
      </c>
      <c r="N303" s="6"/>
      <c r="O303" s="6"/>
      <c r="P303" s="9">
        <v>-46.77</v>
      </c>
    </row>
    <row r="304" spans="1:16" ht="19.5" customHeight="1">
      <c r="A304" s="1" t="s">
        <v>1750</v>
      </c>
      <c r="B304" s="5">
        <v>46016</v>
      </c>
      <c r="C304" s="1" t="s">
        <v>17</v>
      </c>
      <c r="D304" s="1" t="s">
        <v>47</v>
      </c>
      <c r="E304" s="1" t="s">
        <v>25</v>
      </c>
      <c r="F304" s="1" t="s">
        <v>26</v>
      </c>
      <c r="G304" s="1" t="s">
        <v>1229</v>
      </c>
      <c r="H304" s="6">
        <v>1</v>
      </c>
      <c r="I304" s="7">
        <v>0</v>
      </c>
      <c r="J304" s="5">
        <v>46003</v>
      </c>
      <c r="K304" s="1" t="s">
        <v>957</v>
      </c>
      <c r="L304" s="1" t="s">
        <v>30</v>
      </c>
      <c r="M304" s="8">
        <v>0</v>
      </c>
      <c r="N304" s="6"/>
      <c r="O304" s="6"/>
      <c r="P304" s="9">
        <v>-15</v>
      </c>
    </row>
    <row r="305" spans="1:16" ht="19.5" customHeight="1">
      <c r="A305" s="1" t="s">
        <v>1861</v>
      </c>
      <c r="B305" s="5">
        <v>46016</v>
      </c>
      <c r="C305" s="1" t="s">
        <v>17</v>
      </c>
      <c r="D305" s="1" t="s">
        <v>18</v>
      </c>
      <c r="E305" s="1" t="s">
        <v>25</v>
      </c>
      <c r="F305" s="1" t="s">
        <v>26</v>
      </c>
      <c r="G305" s="1" t="s">
        <v>1229</v>
      </c>
      <c r="H305" s="6">
        <v>1</v>
      </c>
      <c r="I305" s="7">
        <v>0</v>
      </c>
      <c r="J305" s="5">
        <v>46016</v>
      </c>
      <c r="K305" s="1" t="s">
        <v>22</v>
      </c>
      <c r="L305" s="1" t="s">
        <v>22</v>
      </c>
      <c r="M305" s="8">
        <v>0</v>
      </c>
      <c r="N305" s="6"/>
      <c r="O305" s="6"/>
      <c r="P305" s="9">
        <v>-2.78</v>
      </c>
    </row>
    <row r="306" spans="1:16" ht="19.5" customHeight="1">
      <c r="A306" s="1" t="s">
        <v>1862</v>
      </c>
      <c r="B306" s="5">
        <v>46016</v>
      </c>
      <c r="C306" s="1" t="s">
        <v>17</v>
      </c>
      <c r="D306" s="1" t="s">
        <v>18</v>
      </c>
      <c r="E306" s="1" t="s">
        <v>25</v>
      </c>
      <c r="F306" s="1" t="s">
        <v>26</v>
      </c>
      <c r="G306" s="1" t="s">
        <v>1229</v>
      </c>
      <c r="H306" s="6">
        <v>1</v>
      </c>
      <c r="I306" s="7">
        <v>0</v>
      </c>
      <c r="J306" s="5">
        <v>46016</v>
      </c>
      <c r="K306" s="1" t="s">
        <v>22</v>
      </c>
      <c r="L306" s="1" t="s">
        <v>22</v>
      </c>
      <c r="M306" s="8">
        <v>0</v>
      </c>
      <c r="N306" s="6"/>
      <c r="O306" s="6"/>
      <c r="P306" s="9">
        <v>-11.13</v>
      </c>
    </row>
    <row r="307" spans="1:16" ht="19.5" customHeight="1">
      <c r="A307" s="1" t="s">
        <v>1847</v>
      </c>
      <c r="B307" s="5">
        <v>46016</v>
      </c>
      <c r="C307" s="1" t="s">
        <v>77</v>
      </c>
      <c r="D307" s="1" t="s">
        <v>82</v>
      </c>
      <c r="E307" s="1" t="s">
        <v>22</v>
      </c>
      <c r="F307" s="1" t="s">
        <v>22</v>
      </c>
      <c r="G307" s="1" t="s">
        <v>22</v>
      </c>
      <c r="H307" s="6">
        <v>0</v>
      </c>
      <c r="I307" s="7">
        <v>0</v>
      </c>
      <c r="J307" s="5">
        <v>46016</v>
      </c>
      <c r="K307" s="1" t="s">
        <v>22</v>
      </c>
      <c r="L307" s="1" t="s">
        <v>22</v>
      </c>
      <c r="M307" s="8">
        <v>0</v>
      </c>
      <c r="N307" s="6"/>
      <c r="O307" s="6"/>
      <c r="P307" s="9">
        <v>-309.91000000000003</v>
      </c>
    </row>
    <row r="308" spans="1:16" ht="19.5" customHeight="1">
      <c r="A308" s="1" t="s">
        <v>1376</v>
      </c>
      <c r="B308" s="5">
        <v>46016</v>
      </c>
      <c r="C308" s="1" t="s">
        <v>77</v>
      </c>
      <c r="D308" s="1" t="s">
        <v>82</v>
      </c>
      <c r="E308" s="1" t="s">
        <v>22</v>
      </c>
      <c r="F308" s="1" t="s">
        <v>22</v>
      </c>
      <c r="G308" s="1" t="s">
        <v>22</v>
      </c>
      <c r="H308" s="6">
        <v>0</v>
      </c>
      <c r="I308" s="7">
        <v>0</v>
      </c>
      <c r="J308" s="5">
        <v>46016</v>
      </c>
      <c r="K308" s="1" t="s">
        <v>22</v>
      </c>
      <c r="L308" s="1" t="s">
        <v>22</v>
      </c>
      <c r="M308" s="8">
        <v>0</v>
      </c>
      <c r="N308" s="6"/>
      <c r="O308" s="6"/>
      <c r="P308" s="9">
        <v>-948.75</v>
      </c>
    </row>
    <row r="309" spans="1:16" ht="19.5" customHeight="1">
      <c r="A309" s="1" t="s">
        <v>1075</v>
      </c>
      <c r="B309" s="5">
        <v>46016</v>
      </c>
      <c r="C309" s="1" t="s">
        <v>77</v>
      </c>
      <c r="D309" s="1" t="s">
        <v>82</v>
      </c>
      <c r="E309" s="1" t="s">
        <v>22</v>
      </c>
      <c r="F309" s="1" t="s">
        <v>22</v>
      </c>
      <c r="G309" s="1" t="s">
        <v>22</v>
      </c>
      <c r="H309" s="6">
        <v>0</v>
      </c>
      <c r="I309" s="7">
        <v>0</v>
      </c>
      <c r="J309" s="5">
        <v>46016</v>
      </c>
      <c r="K309" s="1" t="s">
        <v>22</v>
      </c>
      <c r="L309" s="1" t="s">
        <v>22</v>
      </c>
      <c r="M309" s="8">
        <v>0</v>
      </c>
      <c r="N309" s="6"/>
      <c r="O309" s="6"/>
      <c r="P309" s="9">
        <v>-576.99</v>
      </c>
    </row>
    <row r="310" spans="1:16" ht="19.5" customHeight="1">
      <c r="A310" s="1" t="s">
        <v>83</v>
      </c>
      <c r="B310" s="5">
        <v>46016</v>
      </c>
      <c r="C310" s="1" t="s">
        <v>77</v>
      </c>
      <c r="D310" s="1" t="s">
        <v>84</v>
      </c>
      <c r="E310" s="1" t="s">
        <v>22</v>
      </c>
      <c r="F310" s="1" t="s">
        <v>22</v>
      </c>
      <c r="G310" s="1" t="s">
        <v>22</v>
      </c>
      <c r="H310" s="6">
        <v>0</v>
      </c>
      <c r="I310" s="7">
        <v>0</v>
      </c>
      <c r="J310" s="5">
        <v>46016</v>
      </c>
      <c r="K310" s="1" t="s">
        <v>22</v>
      </c>
      <c r="L310" s="1" t="s">
        <v>22</v>
      </c>
      <c r="M310" s="8">
        <v>0</v>
      </c>
      <c r="N310" s="6"/>
      <c r="O310" s="6"/>
      <c r="P310" s="9">
        <v>-875</v>
      </c>
    </row>
    <row r="311" spans="1:16" ht="19.5" customHeight="1">
      <c r="A311" s="1" t="s">
        <v>1863</v>
      </c>
      <c r="B311" s="5">
        <v>46017</v>
      </c>
      <c r="C311" s="1" t="s">
        <v>28</v>
      </c>
      <c r="D311" s="1" t="s">
        <v>29</v>
      </c>
      <c r="E311" s="1" t="s">
        <v>25</v>
      </c>
      <c r="F311" s="1" t="s">
        <v>26</v>
      </c>
      <c r="G311" s="1" t="s">
        <v>1229</v>
      </c>
      <c r="H311" s="6">
        <v>1</v>
      </c>
      <c r="I311" s="7">
        <v>0</v>
      </c>
      <c r="J311" s="5">
        <v>46008</v>
      </c>
      <c r="K311" s="1" t="s">
        <v>957</v>
      </c>
      <c r="L311" s="1" t="s">
        <v>30</v>
      </c>
      <c r="M311" s="8">
        <v>0</v>
      </c>
      <c r="N311" s="6"/>
      <c r="O311" s="6">
        <v>41</v>
      </c>
      <c r="P311" s="9">
        <v>-46.77</v>
      </c>
    </row>
    <row r="312" spans="1:16" ht="19.5" customHeight="1">
      <c r="A312" s="1" t="s">
        <v>1863</v>
      </c>
      <c r="B312" s="5">
        <v>46017</v>
      </c>
      <c r="C312" s="1" t="s">
        <v>17</v>
      </c>
      <c r="D312" s="1" t="s">
        <v>37</v>
      </c>
      <c r="E312" s="1" t="s">
        <v>25</v>
      </c>
      <c r="F312" s="1" t="s">
        <v>26</v>
      </c>
      <c r="G312" s="1" t="s">
        <v>1229</v>
      </c>
      <c r="H312" s="6">
        <v>1</v>
      </c>
      <c r="I312" s="7">
        <v>0</v>
      </c>
      <c r="J312" s="5">
        <v>46008</v>
      </c>
      <c r="K312" s="1" t="s">
        <v>957</v>
      </c>
      <c r="L312" s="1" t="s">
        <v>30</v>
      </c>
      <c r="M312" s="8">
        <v>0</v>
      </c>
      <c r="N312" s="6"/>
      <c r="O312" s="6"/>
      <c r="P312" s="9">
        <v>-10.7</v>
      </c>
    </row>
    <row r="313" spans="1:16" ht="19.5" customHeight="1">
      <c r="A313" s="1" t="s">
        <v>1863</v>
      </c>
      <c r="B313" s="5">
        <v>46017</v>
      </c>
      <c r="C313" s="1" t="s">
        <v>28</v>
      </c>
      <c r="D313" s="1" t="s">
        <v>45</v>
      </c>
      <c r="E313" s="1" t="s">
        <v>25</v>
      </c>
      <c r="F313" s="1" t="s">
        <v>26</v>
      </c>
      <c r="G313" s="1" t="s">
        <v>1229</v>
      </c>
      <c r="H313" s="6">
        <v>1</v>
      </c>
      <c r="I313" s="7">
        <v>0</v>
      </c>
      <c r="J313" s="5">
        <v>46008</v>
      </c>
      <c r="K313" s="1" t="s">
        <v>957</v>
      </c>
      <c r="L313" s="1" t="s">
        <v>30</v>
      </c>
      <c r="M313" s="8">
        <v>0</v>
      </c>
      <c r="N313" s="6"/>
      <c r="O313" s="6"/>
      <c r="P313" s="9">
        <v>0</v>
      </c>
    </row>
    <row r="314" spans="1:16" ht="19.5" customHeight="1">
      <c r="A314" s="1" t="s">
        <v>1863</v>
      </c>
      <c r="B314" s="5">
        <v>46017</v>
      </c>
      <c r="C314" s="1" t="s">
        <v>28</v>
      </c>
      <c r="D314" s="1" t="s">
        <v>46</v>
      </c>
      <c r="E314" s="1" t="s">
        <v>25</v>
      </c>
      <c r="F314" s="1" t="s">
        <v>26</v>
      </c>
      <c r="G314" s="1" t="s">
        <v>1229</v>
      </c>
      <c r="H314" s="6">
        <v>1</v>
      </c>
      <c r="I314" s="7">
        <v>0</v>
      </c>
      <c r="J314" s="5">
        <v>46008</v>
      </c>
      <c r="K314" s="1" t="s">
        <v>957</v>
      </c>
      <c r="L314" s="1" t="s">
        <v>30</v>
      </c>
      <c r="M314" s="8">
        <v>0</v>
      </c>
      <c r="N314" s="6"/>
      <c r="O314" s="6"/>
      <c r="P314" s="9">
        <v>-46.77</v>
      </c>
    </row>
    <row r="315" spans="1:16" ht="19.5" customHeight="1">
      <c r="A315" s="1" t="s">
        <v>1863</v>
      </c>
      <c r="B315" s="5">
        <v>46017</v>
      </c>
      <c r="C315" s="1" t="s">
        <v>17</v>
      </c>
      <c r="D315" s="1" t="s">
        <v>47</v>
      </c>
      <c r="E315" s="1" t="s">
        <v>25</v>
      </c>
      <c r="F315" s="1" t="s">
        <v>26</v>
      </c>
      <c r="G315" s="1" t="s">
        <v>1229</v>
      </c>
      <c r="H315" s="6">
        <v>1</v>
      </c>
      <c r="I315" s="7">
        <v>0</v>
      </c>
      <c r="J315" s="5">
        <v>46008</v>
      </c>
      <c r="K315" s="1" t="s">
        <v>957</v>
      </c>
      <c r="L315" s="1" t="s">
        <v>30</v>
      </c>
      <c r="M315" s="8">
        <v>0</v>
      </c>
      <c r="N315" s="6"/>
      <c r="O315" s="6"/>
      <c r="P315" s="9">
        <v>-15</v>
      </c>
    </row>
    <row r="316" spans="1:16" ht="19.5" customHeight="1">
      <c r="A316" s="1" t="s">
        <v>1864</v>
      </c>
      <c r="B316" s="5">
        <v>46017</v>
      </c>
      <c r="C316" s="1" t="s">
        <v>28</v>
      </c>
      <c r="D316" s="1" t="s">
        <v>29</v>
      </c>
      <c r="E316" s="1" t="s">
        <v>25</v>
      </c>
      <c r="F316" s="1" t="s">
        <v>26</v>
      </c>
      <c r="G316" s="1" t="s">
        <v>1229</v>
      </c>
      <c r="H316" s="6">
        <v>1</v>
      </c>
      <c r="I316" s="7">
        <v>1124</v>
      </c>
      <c r="J316" s="5">
        <v>46005</v>
      </c>
      <c r="K316" s="1" t="s">
        <v>957</v>
      </c>
      <c r="L316" s="1" t="s">
        <v>30</v>
      </c>
      <c r="M316" s="8">
        <v>0.43</v>
      </c>
      <c r="N316" s="6"/>
      <c r="O316" s="6">
        <v>40</v>
      </c>
      <c r="P316" s="9">
        <v>-99.28</v>
      </c>
    </row>
    <row r="317" spans="1:16" ht="19.5" customHeight="1">
      <c r="A317" s="1" t="s">
        <v>1864</v>
      </c>
      <c r="B317" s="5">
        <v>46017</v>
      </c>
      <c r="C317" s="1" t="s">
        <v>31</v>
      </c>
      <c r="D317" s="1" t="s">
        <v>32</v>
      </c>
      <c r="E317" s="1" t="s">
        <v>25</v>
      </c>
      <c r="F317" s="1" t="s">
        <v>26</v>
      </c>
      <c r="G317" s="1" t="s">
        <v>1229</v>
      </c>
      <c r="H317" s="6">
        <v>1</v>
      </c>
      <c r="I317" s="7">
        <v>1124</v>
      </c>
      <c r="J317" s="5">
        <v>46005</v>
      </c>
      <c r="K317" s="1" t="s">
        <v>957</v>
      </c>
      <c r="L317" s="1" t="s">
        <v>30</v>
      </c>
      <c r="M317" s="8">
        <v>0</v>
      </c>
      <c r="N317" s="6"/>
      <c r="O317" s="6"/>
      <c r="P317" s="9">
        <v>490.48</v>
      </c>
    </row>
    <row r="318" spans="1:16" ht="19.5" customHeight="1">
      <c r="A318" s="1" t="s">
        <v>1864</v>
      </c>
      <c r="B318" s="5">
        <v>46017</v>
      </c>
      <c r="C318" s="1" t="s">
        <v>31</v>
      </c>
      <c r="D318" s="1" t="s">
        <v>33</v>
      </c>
      <c r="E318" s="1" t="s">
        <v>25</v>
      </c>
      <c r="F318" s="1" t="s">
        <v>26</v>
      </c>
      <c r="G318" s="1" t="s">
        <v>1229</v>
      </c>
      <c r="H318" s="6">
        <v>1</v>
      </c>
      <c r="I318" s="7">
        <v>1124</v>
      </c>
      <c r="J318" s="5">
        <v>46005</v>
      </c>
      <c r="K318" s="1" t="s">
        <v>957</v>
      </c>
      <c r="L318" s="1" t="s">
        <v>30</v>
      </c>
      <c r="M318" s="8">
        <v>0</v>
      </c>
      <c r="N318" s="6"/>
      <c r="O318" s="6"/>
      <c r="P318" s="9">
        <v>4.9000000000000004</v>
      </c>
    </row>
    <row r="319" spans="1:16" ht="19.5" customHeight="1">
      <c r="A319" s="1" t="s">
        <v>1864</v>
      </c>
      <c r="B319" s="5">
        <v>46017</v>
      </c>
      <c r="C319" s="1" t="s">
        <v>31</v>
      </c>
      <c r="D319" s="1" t="s">
        <v>34</v>
      </c>
      <c r="E319" s="1" t="s">
        <v>25</v>
      </c>
      <c r="F319" s="1" t="s">
        <v>26</v>
      </c>
      <c r="G319" s="1" t="s">
        <v>1229</v>
      </c>
      <c r="H319" s="6">
        <v>1</v>
      </c>
      <c r="I319" s="7">
        <v>1124</v>
      </c>
      <c r="J319" s="5">
        <v>46005</v>
      </c>
      <c r="K319" s="1" t="s">
        <v>957</v>
      </c>
      <c r="L319" s="1" t="s">
        <v>30</v>
      </c>
      <c r="M319" s="8">
        <v>0</v>
      </c>
      <c r="N319" s="6"/>
      <c r="O319" s="6"/>
      <c r="P319" s="9">
        <v>628.62</v>
      </c>
    </row>
    <row r="320" spans="1:16" ht="19.5" customHeight="1">
      <c r="A320" s="1" t="s">
        <v>1864</v>
      </c>
      <c r="B320" s="5">
        <v>46017</v>
      </c>
      <c r="C320" s="1" t="s">
        <v>35</v>
      </c>
      <c r="D320" s="1" t="s">
        <v>36</v>
      </c>
      <c r="E320" s="1" t="s">
        <v>25</v>
      </c>
      <c r="F320" s="1" t="s">
        <v>26</v>
      </c>
      <c r="G320" s="1" t="s">
        <v>1229</v>
      </c>
      <c r="H320" s="6">
        <v>1</v>
      </c>
      <c r="I320" s="7">
        <v>1124</v>
      </c>
      <c r="J320" s="5">
        <v>46005</v>
      </c>
      <c r="K320" s="1" t="s">
        <v>957</v>
      </c>
      <c r="L320" s="1" t="s">
        <v>30</v>
      </c>
      <c r="M320" s="8">
        <v>0.43</v>
      </c>
      <c r="N320" s="6"/>
      <c r="O320" s="6"/>
      <c r="P320" s="9">
        <v>-483.32</v>
      </c>
    </row>
    <row r="321" spans="1:16" ht="19.5" customHeight="1">
      <c r="A321" s="1" t="s">
        <v>1864</v>
      </c>
      <c r="B321" s="5">
        <v>46017</v>
      </c>
      <c r="C321" s="1" t="s">
        <v>17</v>
      </c>
      <c r="D321" s="1" t="s">
        <v>37</v>
      </c>
      <c r="E321" s="1" t="s">
        <v>25</v>
      </c>
      <c r="F321" s="1" t="s">
        <v>26</v>
      </c>
      <c r="G321" s="1" t="s">
        <v>1229</v>
      </c>
      <c r="H321" s="6">
        <v>1</v>
      </c>
      <c r="I321" s="7">
        <v>1124</v>
      </c>
      <c r="J321" s="5">
        <v>46005</v>
      </c>
      <c r="K321" s="1" t="s">
        <v>957</v>
      </c>
      <c r="L321" s="1" t="s">
        <v>30</v>
      </c>
      <c r="M321" s="8">
        <v>0.43</v>
      </c>
      <c r="N321" s="6"/>
      <c r="O321" s="6"/>
      <c r="P321" s="9">
        <v>-18.899999999999999</v>
      </c>
    </row>
    <row r="322" spans="1:16" ht="19.5" customHeight="1">
      <c r="A322" s="1" t="s">
        <v>1865</v>
      </c>
      <c r="B322" s="5">
        <v>46017</v>
      </c>
      <c r="C322" s="1" t="s">
        <v>28</v>
      </c>
      <c r="D322" s="1" t="s">
        <v>29</v>
      </c>
      <c r="E322" s="1" t="s">
        <v>223</v>
      </c>
      <c r="F322" s="1" t="s">
        <v>395</v>
      </c>
      <c r="G322" s="1" t="s">
        <v>1229</v>
      </c>
      <c r="H322" s="6">
        <v>1</v>
      </c>
      <c r="I322" s="7">
        <v>0</v>
      </c>
      <c r="J322" s="5">
        <v>45996</v>
      </c>
      <c r="K322" s="1" t="s">
        <v>957</v>
      </c>
      <c r="L322" s="1" t="s">
        <v>30</v>
      </c>
      <c r="M322" s="8">
        <v>0</v>
      </c>
      <c r="N322" s="6"/>
      <c r="O322" s="6">
        <v>40</v>
      </c>
      <c r="P322" s="9">
        <v>-46</v>
      </c>
    </row>
    <row r="323" spans="1:16" ht="19.5" customHeight="1">
      <c r="A323" s="1" t="s">
        <v>1865</v>
      </c>
      <c r="B323" s="5">
        <v>46017</v>
      </c>
      <c r="C323" s="1" t="s">
        <v>17</v>
      </c>
      <c r="D323" s="1" t="s">
        <v>37</v>
      </c>
      <c r="E323" s="1" t="s">
        <v>223</v>
      </c>
      <c r="F323" s="1" t="s">
        <v>395</v>
      </c>
      <c r="G323" s="1" t="s">
        <v>1229</v>
      </c>
      <c r="H323" s="6">
        <v>1</v>
      </c>
      <c r="I323" s="7">
        <v>0</v>
      </c>
      <c r="J323" s="5">
        <v>45996</v>
      </c>
      <c r="K323" s="1" t="s">
        <v>957</v>
      </c>
      <c r="L323" s="1" t="s">
        <v>30</v>
      </c>
      <c r="M323" s="8">
        <v>0</v>
      </c>
      <c r="N323" s="6"/>
      <c r="O323" s="6"/>
      <c r="P323" s="9">
        <v>-14.63</v>
      </c>
    </row>
    <row r="324" spans="1:16" ht="19.5" customHeight="1">
      <c r="A324" s="1" t="s">
        <v>1865</v>
      </c>
      <c r="B324" s="5">
        <v>46017</v>
      </c>
      <c r="C324" s="1" t="s">
        <v>28</v>
      </c>
      <c r="D324" s="1" t="s">
        <v>45</v>
      </c>
      <c r="E324" s="1" t="s">
        <v>223</v>
      </c>
      <c r="F324" s="1" t="s">
        <v>395</v>
      </c>
      <c r="G324" s="1" t="s">
        <v>1229</v>
      </c>
      <c r="H324" s="6">
        <v>1</v>
      </c>
      <c r="I324" s="7">
        <v>0</v>
      </c>
      <c r="J324" s="5">
        <v>45996</v>
      </c>
      <c r="K324" s="1" t="s">
        <v>957</v>
      </c>
      <c r="L324" s="1" t="s">
        <v>30</v>
      </c>
      <c r="M324" s="8">
        <v>0</v>
      </c>
      <c r="N324" s="6"/>
      <c r="O324" s="6"/>
      <c r="P324" s="9">
        <v>0</v>
      </c>
    </row>
    <row r="325" spans="1:16" ht="19.5" customHeight="1">
      <c r="A325" s="1" t="s">
        <v>1865</v>
      </c>
      <c r="B325" s="5">
        <v>46017</v>
      </c>
      <c r="C325" s="1" t="s">
        <v>28</v>
      </c>
      <c r="D325" s="1" t="s">
        <v>46</v>
      </c>
      <c r="E325" s="1" t="s">
        <v>223</v>
      </c>
      <c r="F325" s="1" t="s">
        <v>395</v>
      </c>
      <c r="G325" s="1" t="s">
        <v>1229</v>
      </c>
      <c r="H325" s="6">
        <v>1</v>
      </c>
      <c r="I325" s="7">
        <v>0</v>
      </c>
      <c r="J325" s="5">
        <v>45996</v>
      </c>
      <c r="K325" s="1" t="s">
        <v>957</v>
      </c>
      <c r="L325" s="1" t="s">
        <v>30</v>
      </c>
      <c r="M325" s="8">
        <v>0</v>
      </c>
      <c r="N325" s="6"/>
      <c r="O325" s="6"/>
      <c r="P325" s="9">
        <v>-46</v>
      </c>
    </row>
    <row r="326" spans="1:16" ht="19.5" customHeight="1">
      <c r="A326" s="1" t="s">
        <v>1866</v>
      </c>
      <c r="B326" s="5">
        <v>46017</v>
      </c>
      <c r="C326" s="1" t="s">
        <v>28</v>
      </c>
      <c r="D326" s="1" t="s">
        <v>45</v>
      </c>
      <c r="E326" s="1" t="s">
        <v>223</v>
      </c>
      <c r="F326" s="1" t="s">
        <v>395</v>
      </c>
      <c r="G326" s="1" t="s">
        <v>1229</v>
      </c>
      <c r="H326" s="6">
        <v>1</v>
      </c>
      <c r="I326" s="7">
        <v>0</v>
      </c>
      <c r="J326" s="5">
        <v>46013</v>
      </c>
      <c r="K326" s="1" t="s">
        <v>957</v>
      </c>
      <c r="L326" s="1" t="s">
        <v>30</v>
      </c>
      <c r="M326" s="8">
        <v>0</v>
      </c>
      <c r="N326" s="6"/>
      <c r="O326" s="6"/>
      <c r="P326" s="9">
        <v>0</v>
      </c>
    </row>
    <row r="327" spans="1:16" ht="19.5" customHeight="1">
      <c r="A327" s="1" t="s">
        <v>1866</v>
      </c>
      <c r="B327" s="5">
        <v>46017</v>
      </c>
      <c r="C327" s="1" t="s">
        <v>28</v>
      </c>
      <c r="D327" s="1" t="s">
        <v>46</v>
      </c>
      <c r="E327" s="1" t="s">
        <v>223</v>
      </c>
      <c r="F327" s="1" t="s">
        <v>395</v>
      </c>
      <c r="G327" s="1" t="s">
        <v>1229</v>
      </c>
      <c r="H327" s="6">
        <v>1</v>
      </c>
      <c r="I327" s="7">
        <v>0</v>
      </c>
      <c r="J327" s="5">
        <v>46013</v>
      </c>
      <c r="K327" s="1" t="s">
        <v>957</v>
      </c>
      <c r="L327" s="1" t="s">
        <v>30</v>
      </c>
      <c r="M327" s="8">
        <v>0</v>
      </c>
      <c r="N327" s="6"/>
      <c r="O327" s="6"/>
      <c r="P327" s="9">
        <v>-46</v>
      </c>
    </row>
    <row r="328" spans="1:16" ht="19.5" customHeight="1">
      <c r="A328" s="1" t="s">
        <v>1866</v>
      </c>
      <c r="B328" s="5">
        <v>46017</v>
      </c>
      <c r="C328" s="1" t="s">
        <v>17</v>
      </c>
      <c r="D328" s="1" t="s">
        <v>47</v>
      </c>
      <c r="E328" s="1" t="s">
        <v>223</v>
      </c>
      <c r="F328" s="1" t="s">
        <v>395</v>
      </c>
      <c r="G328" s="1" t="s">
        <v>1229</v>
      </c>
      <c r="H328" s="6">
        <v>1</v>
      </c>
      <c r="I328" s="7">
        <v>0</v>
      </c>
      <c r="J328" s="5">
        <v>46013</v>
      </c>
      <c r="K328" s="1" t="s">
        <v>957</v>
      </c>
      <c r="L328" s="1" t="s">
        <v>30</v>
      </c>
      <c r="M328" s="8">
        <v>0</v>
      </c>
      <c r="N328" s="6"/>
      <c r="O328" s="6"/>
      <c r="P328" s="9">
        <v>-15</v>
      </c>
    </row>
    <row r="329" spans="1:16" ht="19.5" customHeight="1">
      <c r="A329" s="1" t="s">
        <v>1864</v>
      </c>
      <c r="B329" s="5">
        <v>46017</v>
      </c>
      <c r="C329" s="1" t="s">
        <v>17</v>
      </c>
      <c r="D329" s="1" t="s">
        <v>18</v>
      </c>
      <c r="E329" s="1" t="s">
        <v>25</v>
      </c>
      <c r="F329" s="1" t="s">
        <v>26</v>
      </c>
      <c r="G329" s="1" t="s">
        <v>1229</v>
      </c>
      <c r="H329" s="6">
        <v>1</v>
      </c>
      <c r="I329" s="7">
        <v>0</v>
      </c>
      <c r="J329" s="5">
        <v>46005</v>
      </c>
      <c r="K329" s="1" t="s">
        <v>22</v>
      </c>
      <c r="L329" s="1" t="s">
        <v>22</v>
      </c>
      <c r="M329" s="8">
        <v>0</v>
      </c>
      <c r="N329" s="6"/>
      <c r="O329" s="6"/>
      <c r="P329" s="9">
        <v>-9.32</v>
      </c>
    </row>
    <row r="330" spans="1:16" ht="19.5" customHeight="1">
      <c r="A330" s="1" t="s">
        <v>1866</v>
      </c>
      <c r="B330" s="5">
        <v>46017</v>
      </c>
      <c r="C330" s="1" t="s">
        <v>28</v>
      </c>
      <c r="D330" s="1" t="s">
        <v>29</v>
      </c>
      <c r="E330" s="1" t="s">
        <v>223</v>
      </c>
      <c r="F330" s="1" t="s">
        <v>395</v>
      </c>
      <c r="G330" s="1" t="s">
        <v>1229</v>
      </c>
      <c r="H330" s="6">
        <v>1</v>
      </c>
      <c r="I330" s="7">
        <v>0</v>
      </c>
      <c r="J330" s="5">
        <v>46013</v>
      </c>
      <c r="K330" s="1" t="s">
        <v>957</v>
      </c>
      <c r="L330" s="1" t="s">
        <v>30</v>
      </c>
      <c r="M330" s="8">
        <v>0</v>
      </c>
      <c r="N330" s="6"/>
      <c r="O330" s="6">
        <v>42</v>
      </c>
      <c r="P330" s="9">
        <v>-46</v>
      </c>
    </row>
    <row r="331" spans="1:16" ht="19.5" customHeight="1">
      <c r="A331" s="1" t="s">
        <v>1866</v>
      </c>
      <c r="B331" s="5">
        <v>46017</v>
      </c>
      <c r="C331" s="1" t="s">
        <v>17</v>
      </c>
      <c r="D331" s="1" t="s">
        <v>37</v>
      </c>
      <c r="E331" s="1" t="s">
        <v>223</v>
      </c>
      <c r="F331" s="1" t="s">
        <v>395</v>
      </c>
      <c r="G331" s="1" t="s">
        <v>1229</v>
      </c>
      <c r="H331" s="6">
        <v>1</v>
      </c>
      <c r="I331" s="7">
        <v>0</v>
      </c>
      <c r="J331" s="5">
        <v>46013</v>
      </c>
      <c r="K331" s="1" t="s">
        <v>957</v>
      </c>
      <c r="L331" s="1" t="s">
        <v>30</v>
      </c>
      <c r="M331" s="8">
        <v>0</v>
      </c>
      <c r="N331" s="6"/>
      <c r="O331" s="6"/>
      <c r="P331" s="9">
        <v>-8.17</v>
      </c>
    </row>
    <row r="332" spans="1:16" ht="19.5" customHeight="1">
      <c r="A332" s="1" t="s">
        <v>1867</v>
      </c>
      <c r="B332" s="5">
        <v>46017</v>
      </c>
      <c r="C332" s="1" t="s">
        <v>28</v>
      </c>
      <c r="D332" s="1" t="s">
        <v>29</v>
      </c>
      <c r="E332" s="1" t="s">
        <v>25</v>
      </c>
      <c r="F332" s="1" t="s">
        <v>26</v>
      </c>
      <c r="G332" s="1" t="s">
        <v>1229</v>
      </c>
      <c r="H332" s="6">
        <v>1</v>
      </c>
      <c r="I332" s="7">
        <v>1704</v>
      </c>
      <c r="J332" s="5">
        <v>46014</v>
      </c>
      <c r="K332" s="1" t="s">
        <v>957</v>
      </c>
      <c r="L332" s="1" t="s">
        <v>30</v>
      </c>
      <c r="M332" s="8">
        <v>0.43</v>
      </c>
      <c r="N332" s="6"/>
      <c r="O332" s="6">
        <v>42</v>
      </c>
      <c r="P332" s="9">
        <v>-121.99</v>
      </c>
    </row>
    <row r="333" spans="1:16" ht="19.5" customHeight="1">
      <c r="A333" s="1" t="s">
        <v>1867</v>
      </c>
      <c r="B333" s="5">
        <v>46017</v>
      </c>
      <c r="C333" s="1" t="s">
        <v>31</v>
      </c>
      <c r="D333" s="1" t="s">
        <v>32</v>
      </c>
      <c r="E333" s="1" t="s">
        <v>25</v>
      </c>
      <c r="F333" s="1" t="s">
        <v>26</v>
      </c>
      <c r="G333" s="1" t="s">
        <v>1229</v>
      </c>
      <c r="H333" s="6">
        <v>1</v>
      </c>
      <c r="I333" s="7">
        <v>1704</v>
      </c>
      <c r="J333" s="5">
        <v>46014</v>
      </c>
      <c r="K333" s="1" t="s">
        <v>957</v>
      </c>
      <c r="L333" s="1" t="s">
        <v>30</v>
      </c>
      <c r="M333" s="8">
        <v>0</v>
      </c>
      <c r="N333" s="6"/>
      <c r="O333" s="6"/>
      <c r="P333" s="9">
        <v>585.16</v>
      </c>
    </row>
    <row r="334" spans="1:16" ht="19.5" customHeight="1">
      <c r="A334" s="1" t="s">
        <v>1867</v>
      </c>
      <c r="B334" s="5">
        <v>46017</v>
      </c>
      <c r="C334" s="1" t="s">
        <v>31</v>
      </c>
      <c r="D334" s="1" t="s">
        <v>33</v>
      </c>
      <c r="E334" s="1" t="s">
        <v>25</v>
      </c>
      <c r="F334" s="1" t="s">
        <v>26</v>
      </c>
      <c r="G334" s="1" t="s">
        <v>1229</v>
      </c>
      <c r="H334" s="6">
        <v>1</v>
      </c>
      <c r="I334" s="7">
        <v>1704</v>
      </c>
      <c r="J334" s="5">
        <v>46014</v>
      </c>
      <c r="K334" s="1" t="s">
        <v>957</v>
      </c>
      <c r="L334" s="1" t="s">
        <v>30</v>
      </c>
      <c r="M334" s="8">
        <v>0</v>
      </c>
      <c r="N334" s="6"/>
      <c r="O334" s="6"/>
      <c r="P334" s="9">
        <v>5.85</v>
      </c>
    </row>
    <row r="335" spans="1:16" ht="19.5" customHeight="1">
      <c r="A335" s="1" t="s">
        <v>1867</v>
      </c>
      <c r="B335" s="5">
        <v>46017</v>
      </c>
      <c r="C335" s="1" t="s">
        <v>31</v>
      </c>
      <c r="D335" s="1" t="s">
        <v>34</v>
      </c>
      <c r="E335" s="1" t="s">
        <v>25</v>
      </c>
      <c r="F335" s="1" t="s">
        <v>26</v>
      </c>
      <c r="G335" s="1" t="s">
        <v>1229</v>
      </c>
      <c r="H335" s="6">
        <v>1</v>
      </c>
      <c r="I335" s="7">
        <v>1704</v>
      </c>
      <c r="J335" s="5">
        <v>46014</v>
      </c>
      <c r="K335" s="1" t="s">
        <v>957</v>
      </c>
      <c r="L335" s="1" t="s">
        <v>30</v>
      </c>
      <c r="M335" s="8">
        <v>0</v>
      </c>
      <c r="N335" s="6"/>
      <c r="O335" s="6"/>
      <c r="P335" s="9">
        <v>1112.99</v>
      </c>
    </row>
    <row r="336" spans="1:16" ht="19.5" customHeight="1">
      <c r="A336" s="1" t="s">
        <v>1867</v>
      </c>
      <c r="B336" s="5">
        <v>46017</v>
      </c>
      <c r="C336" s="1" t="s">
        <v>35</v>
      </c>
      <c r="D336" s="1" t="s">
        <v>36</v>
      </c>
      <c r="E336" s="1" t="s">
        <v>25</v>
      </c>
      <c r="F336" s="1" t="s">
        <v>26</v>
      </c>
      <c r="G336" s="1" t="s">
        <v>1229</v>
      </c>
      <c r="H336" s="6">
        <v>1</v>
      </c>
      <c r="I336" s="7">
        <v>1704</v>
      </c>
      <c r="J336" s="5">
        <v>46014</v>
      </c>
      <c r="K336" s="1" t="s">
        <v>957</v>
      </c>
      <c r="L336" s="1" t="s">
        <v>30</v>
      </c>
      <c r="M336" s="8">
        <v>0.43</v>
      </c>
      <c r="N336" s="6"/>
      <c r="O336" s="6"/>
      <c r="P336" s="9">
        <v>-732.72</v>
      </c>
    </row>
    <row r="337" spans="1:16" ht="19.5" customHeight="1">
      <c r="A337" s="1" t="s">
        <v>1867</v>
      </c>
      <c r="B337" s="5">
        <v>46017</v>
      </c>
      <c r="C337" s="1" t="s">
        <v>17</v>
      </c>
      <c r="D337" s="1" t="s">
        <v>37</v>
      </c>
      <c r="E337" s="1" t="s">
        <v>25</v>
      </c>
      <c r="F337" s="1" t="s">
        <v>26</v>
      </c>
      <c r="G337" s="1" t="s">
        <v>1229</v>
      </c>
      <c r="H337" s="6">
        <v>1</v>
      </c>
      <c r="I337" s="7">
        <v>1704</v>
      </c>
      <c r="J337" s="5">
        <v>46014</v>
      </c>
      <c r="K337" s="1" t="s">
        <v>957</v>
      </c>
      <c r="L337" s="1" t="s">
        <v>30</v>
      </c>
      <c r="M337" s="8">
        <v>0.43</v>
      </c>
      <c r="N337" s="6"/>
      <c r="O337" s="6"/>
      <c r="P337" s="9">
        <v>-7.84</v>
      </c>
    </row>
    <row r="338" spans="1:16" ht="19.5" customHeight="1">
      <c r="A338" s="1" t="s">
        <v>1867</v>
      </c>
      <c r="B338" s="5">
        <v>46017</v>
      </c>
      <c r="C338" s="1" t="s">
        <v>17</v>
      </c>
      <c r="D338" s="1" t="s">
        <v>18</v>
      </c>
      <c r="E338" s="1" t="s">
        <v>25</v>
      </c>
      <c r="F338" s="1" t="s">
        <v>26</v>
      </c>
      <c r="G338" s="1" t="s">
        <v>1229</v>
      </c>
      <c r="H338" s="6">
        <v>1</v>
      </c>
      <c r="I338" s="7">
        <v>0</v>
      </c>
      <c r="J338" s="5">
        <v>46014</v>
      </c>
      <c r="K338" s="1" t="s">
        <v>22</v>
      </c>
      <c r="L338" s="1" t="s">
        <v>22</v>
      </c>
      <c r="M338" s="8">
        <v>0</v>
      </c>
      <c r="N338" s="6"/>
      <c r="O338" s="6"/>
      <c r="P338" s="9">
        <v>-11.12</v>
      </c>
    </row>
    <row r="339" spans="1:16" ht="19.5" customHeight="1">
      <c r="A339" s="1" t="s">
        <v>1868</v>
      </c>
      <c r="B339" s="5">
        <v>46017</v>
      </c>
      <c r="C339" s="1" t="s">
        <v>74</v>
      </c>
      <c r="D339" s="1" t="s">
        <v>1869</v>
      </c>
      <c r="E339" s="1" t="s">
        <v>19</v>
      </c>
      <c r="F339" s="1" t="s">
        <v>20</v>
      </c>
      <c r="G339" s="1" t="s">
        <v>1229</v>
      </c>
      <c r="H339" s="6">
        <v>1</v>
      </c>
      <c r="I339" s="7">
        <v>0</v>
      </c>
      <c r="J339" s="5">
        <v>46017</v>
      </c>
      <c r="K339" s="1" t="s">
        <v>22</v>
      </c>
      <c r="L339" s="1" t="s">
        <v>22</v>
      </c>
      <c r="M339" s="8">
        <v>0</v>
      </c>
      <c r="N339" s="6"/>
      <c r="O339" s="6"/>
      <c r="P339" s="9">
        <v>-25</v>
      </c>
    </row>
    <row r="340" spans="1:16" ht="19.5" customHeight="1">
      <c r="A340" s="1" t="s">
        <v>1870</v>
      </c>
      <c r="B340" s="5">
        <v>46017</v>
      </c>
      <c r="C340" s="1" t="s">
        <v>28</v>
      </c>
      <c r="D340" s="1" t="s">
        <v>29</v>
      </c>
      <c r="E340" s="1" t="s">
        <v>224</v>
      </c>
      <c r="F340" s="1" t="s">
        <v>461</v>
      </c>
      <c r="G340" s="1" t="s">
        <v>1229</v>
      </c>
      <c r="H340" s="6">
        <v>1</v>
      </c>
      <c r="I340" s="7">
        <v>0</v>
      </c>
      <c r="J340" s="5">
        <v>46009</v>
      </c>
      <c r="K340" s="1" t="s">
        <v>957</v>
      </c>
      <c r="L340" s="1" t="s">
        <v>30</v>
      </c>
      <c r="M340" s="8">
        <v>0</v>
      </c>
      <c r="N340" s="6"/>
      <c r="O340" s="6">
        <v>40</v>
      </c>
      <c r="P340" s="9">
        <v>-46.77</v>
      </c>
    </row>
    <row r="341" spans="1:16" ht="19.5" customHeight="1">
      <c r="A341" s="1" t="s">
        <v>1870</v>
      </c>
      <c r="B341" s="5">
        <v>46017</v>
      </c>
      <c r="C341" s="1" t="s">
        <v>17</v>
      </c>
      <c r="D341" s="1" t="s">
        <v>37</v>
      </c>
      <c r="E341" s="1" t="s">
        <v>224</v>
      </c>
      <c r="F341" s="1" t="s">
        <v>461</v>
      </c>
      <c r="G341" s="1" t="s">
        <v>1229</v>
      </c>
      <c r="H341" s="6">
        <v>1</v>
      </c>
      <c r="I341" s="7">
        <v>0</v>
      </c>
      <c r="J341" s="5">
        <v>46009</v>
      </c>
      <c r="K341" s="1" t="s">
        <v>957</v>
      </c>
      <c r="L341" s="1" t="s">
        <v>30</v>
      </c>
      <c r="M341" s="8">
        <v>0</v>
      </c>
      <c r="N341" s="6"/>
      <c r="O341" s="6"/>
      <c r="P341" s="9">
        <v>-7.63</v>
      </c>
    </row>
    <row r="342" spans="1:16" ht="19.5" customHeight="1">
      <c r="A342" s="1" t="s">
        <v>1871</v>
      </c>
      <c r="B342" s="5">
        <v>46017</v>
      </c>
      <c r="C342" s="1" t="s">
        <v>28</v>
      </c>
      <c r="D342" s="1" t="s">
        <v>29</v>
      </c>
      <c r="E342" s="1" t="s">
        <v>25</v>
      </c>
      <c r="F342" s="1" t="s">
        <v>26</v>
      </c>
      <c r="G342" s="1" t="s">
        <v>1229</v>
      </c>
      <c r="H342" s="6">
        <v>1</v>
      </c>
      <c r="I342" s="7">
        <v>1704</v>
      </c>
      <c r="J342" s="5">
        <v>46014</v>
      </c>
      <c r="K342" s="1" t="s">
        <v>957</v>
      </c>
      <c r="L342" s="1" t="s">
        <v>30</v>
      </c>
      <c r="M342" s="8">
        <v>0.43</v>
      </c>
      <c r="N342" s="6"/>
      <c r="O342" s="6">
        <v>42</v>
      </c>
      <c r="P342" s="9">
        <v>-121.99</v>
      </c>
    </row>
    <row r="343" spans="1:16" ht="19.5" customHeight="1">
      <c r="A343" s="1" t="s">
        <v>1871</v>
      </c>
      <c r="B343" s="5">
        <v>46017</v>
      </c>
      <c r="C343" s="1" t="s">
        <v>31</v>
      </c>
      <c r="D343" s="1" t="s">
        <v>32</v>
      </c>
      <c r="E343" s="1" t="s">
        <v>25</v>
      </c>
      <c r="F343" s="1" t="s">
        <v>26</v>
      </c>
      <c r="G343" s="1" t="s">
        <v>1229</v>
      </c>
      <c r="H343" s="6">
        <v>1</v>
      </c>
      <c r="I343" s="7">
        <v>1704</v>
      </c>
      <c r="J343" s="5">
        <v>46014</v>
      </c>
      <c r="K343" s="1" t="s">
        <v>957</v>
      </c>
      <c r="L343" s="1" t="s">
        <v>30</v>
      </c>
      <c r="M343" s="8">
        <v>0</v>
      </c>
      <c r="N343" s="6"/>
      <c r="O343" s="6"/>
      <c r="P343" s="9">
        <v>649.52</v>
      </c>
    </row>
    <row r="344" spans="1:16" ht="19.5" customHeight="1">
      <c r="A344" s="1" t="s">
        <v>1871</v>
      </c>
      <c r="B344" s="5">
        <v>46017</v>
      </c>
      <c r="C344" s="1" t="s">
        <v>31</v>
      </c>
      <c r="D344" s="1" t="s">
        <v>33</v>
      </c>
      <c r="E344" s="1" t="s">
        <v>25</v>
      </c>
      <c r="F344" s="1" t="s">
        <v>26</v>
      </c>
      <c r="G344" s="1" t="s">
        <v>1229</v>
      </c>
      <c r="H344" s="6">
        <v>1</v>
      </c>
      <c r="I344" s="7">
        <v>1704</v>
      </c>
      <c r="J344" s="5">
        <v>46014</v>
      </c>
      <c r="K344" s="1" t="s">
        <v>957</v>
      </c>
      <c r="L344" s="1" t="s">
        <v>30</v>
      </c>
      <c r="M344" s="8">
        <v>0</v>
      </c>
      <c r="N344" s="6"/>
      <c r="O344" s="6"/>
      <c r="P344" s="9">
        <v>0</v>
      </c>
    </row>
    <row r="345" spans="1:16" ht="19.5" customHeight="1">
      <c r="A345" s="1" t="s">
        <v>1871</v>
      </c>
      <c r="B345" s="5">
        <v>46017</v>
      </c>
      <c r="C345" s="1" t="s">
        <v>31</v>
      </c>
      <c r="D345" s="1" t="s">
        <v>34</v>
      </c>
      <c r="E345" s="1" t="s">
        <v>25</v>
      </c>
      <c r="F345" s="1" t="s">
        <v>26</v>
      </c>
      <c r="G345" s="1" t="s">
        <v>1229</v>
      </c>
      <c r="H345" s="6">
        <v>1</v>
      </c>
      <c r="I345" s="7">
        <v>1704</v>
      </c>
      <c r="J345" s="5">
        <v>46014</v>
      </c>
      <c r="K345" s="1" t="s">
        <v>957</v>
      </c>
      <c r="L345" s="1" t="s">
        <v>30</v>
      </c>
      <c r="M345" s="8">
        <v>0</v>
      </c>
      <c r="N345" s="6"/>
      <c r="O345" s="6"/>
      <c r="P345" s="9">
        <v>1054.48</v>
      </c>
    </row>
    <row r="346" spans="1:16" ht="19.5" customHeight="1">
      <c r="A346" s="1" t="s">
        <v>1871</v>
      </c>
      <c r="B346" s="5">
        <v>46017</v>
      </c>
      <c r="C346" s="1" t="s">
        <v>35</v>
      </c>
      <c r="D346" s="1" t="s">
        <v>36</v>
      </c>
      <c r="E346" s="1" t="s">
        <v>25</v>
      </c>
      <c r="F346" s="1" t="s">
        <v>26</v>
      </c>
      <c r="G346" s="1" t="s">
        <v>1229</v>
      </c>
      <c r="H346" s="6">
        <v>1</v>
      </c>
      <c r="I346" s="7">
        <v>1704</v>
      </c>
      <c r="J346" s="5">
        <v>46014</v>
      </c>
      <c r="K346" s="1" t="s">
        <v>957</v>
      </c>
      <c r="L346" s="1" t="s">
        <v>30</v>
      </c>
      <c r="M346" s="8">
        <v>0.43</v>
      </c>
      <c r="N346" s="6"/>
      <c r="O346" s="6"/>
      <c r="P346" s="9">
        <v>-732.72</v>
      </c>
    </row>
    <row r="347" spans="1:16" ht="19.5" customHeight="1">
      <c r="A347" s="1" t="s">
        <v>1871</v>
      </c>
      <c r="B347" s="5">
        <v>46017</v>
      </c>
      <c r="C347" s="1" t="s">
        <v>17</v>
      </c>
      <c r="D347" s="1" t="s">
        <v>37</v>
      </c>
      <c r="E347" s="1" t="s">
        <v>25</v>
      </c>
      <c r="F347" s="1" t="s">
        <v>26</v>
      </c>
      <c r="G347" s="1" t="s">
        <v>1229</v>
      </c>
      <c r="H347" s="6">
        <v>1</v>
      </c>
      <c r="I347" s="7">
        <v>1704</v>
      </c>
      <c r="J347" s="5">
        <v>46014</v>
      </c>
      <c r="K347" s="1" t="s">
        <v>957</v>
      </c>
      <c r="L347" s="1" t="s">
        <v>30</v>
      </c>
      <c r="M347" s="8">
        <v>0.43</v>
      </c>
      <c r="N347" s="6"/>
      <c r="O347" s="6"/>
      <c r="P347" s="9">
        <v>-12.26</v>
      </c>
    </row>
    <row r="348" spans="1:16" ht="19.5" customHeight="1">
      <c r="A348" s="1" t="s">
        <v>1872</v>
      </c>
      <c r="B348" s="5">
        <v>46017</v>
      </c>
      <c r="C348" s="1" t="s">
        <v>28</v>
      </c>
      <c r="D348" s="1" t="s">
        <v>29</v>
      </c>
      <c r="E348" s="1" t="s">
        <v>25</v>
      </c>
      <c r="F348" s="1" t="s">
        <v>26</v>
      </c>
      <c r="G348" s="1" t="s">
        <v>1229</v>
      </c>
      <c r="H348" s="6">
        <v>1</v>
      </c>
      <c r="I348" s="7">
        <v>1738</v>
      </c>
      <c r="J348" s="5">
        <v>46009</v>
      </c>
      <c r="K348" s="1" t="s">
        <v>957</v>
      </c>
      <c r="L348" s="1" t="s">
        <v>30</v>
      </c>
      <c r="M348" s="8">
        <v>0.43</v>
      </c>
      <c r="N348" s="6"/>
      <c r="O348" s="6">
        <v>40</v>
      </c>
      <c r="P348" s="9">
        <v>-114.94</v>
      </c>
    </row>
    <row r="349" spans="1:16" ht="19.5" customHeight="1">
      <c r="A349" s="1" t="s">
        <v>1872</v>
      </c>
      <c r="B349" s="5">
        <v>46017</v>
      </c>
      <c r="C349" s="1" t="s">
        <v>31</v>
      </c>
      <c r="D349" s="1" t="s">
        <v>32</v>
      </c>
      <c r="E349" s="1" t="s">
        <v>25</v>
      </c>
      <c r="F349" s="1" t="s">
        <v>26</v>
      </c>
      <c r="G349" s="1" t="s">
        <v>1229</v>
      </c>
      <c r="H349" s="6">
        <v>1</v>
      </c>
      <c r="I349" s="7">
        <v>1738</v>
      </c>
      <c r="J349" s="5">
        <v>46009</v>
      </c>
      <c r="K349" s="1" t="s">
        <v>957</v>
      </c>
      <c r="L349" s="1" t="s">
        <v>30</v>
      </c>
      <c r="M349" s="8">
        <v>0</v>
      </c>
      <c r="N349" s="6"/>
      <c r="O349" s="6"/>
      <c r="P349" s="9">
        <v>845.71</v>
      </c>
    </row>
    <row r="350" spans="1:16" ht="19.5" customHeight="1">
      <c r="A350" s="1" t="s">
        <v>1872</v>
      </c>
      <c r="B350" s="5">
        <v>46017</v>
      </c>
      <c r="C350" s="1" t="s">
        <v>31</v>
      </c>
      <c r="D350" s="1" t="s">
        <v>33</v>
      </c>
      <c r="E350" s="1" t="s">
        <v>25</v>
      </c>
      <c r="F350" s="1" t="s">
        <v>26</v>
      </c>
      <c r="G350" s="1" t="s">
        <v>1229</v>
      </c>
      <c r="H350" s="6">
        <v>1</v>
      </c>
      <c r="I350" s="7">
        <v>1738</v>
      </c>
      <c r="J350" s="5">
        <v>46009</v>
      </c>
      <c r="K350" s="1" t="s">
        <v>957</v>
      </c>
      <c r="L350" s="1" t="s">
        <v>30</v>
      </c>
      <c r="M350" s="8">
        <v>0</v>
      </c>
      <c r="N350" s="6"/>
      <c r="O350" s="6"/>
      <c r="P350" s="9">
        <v>0</v>
      </c>
    </row>
    <row r="351" spans="1:16" ht="19.5" customHeight="1">
      <c r="A351" s="1" t="s">
        <v>1872</v>
      </c>
      <c r="B351" s="5">
        <v>46017</v>
      </c>
      <c r="C351" s="1" t="s">
        <v>31</v>
      </c>
      <c r="D351" s="1" t="s">
        <v>34</v>
      </c>
      <c r="E351" s="1" t="s">
        <v>25</v>
      </c>
      <c r="F351" s="1" t="s">
        <v>26</v>
      </c>
      <c r="G351" s="1" t="s">
        <v>1229</v>
      </c>
      <c r="H351" s="6">
        <v>1</v>
      </c>
      <c r="I351" s="7">
        <v>1738</v>
      </c>
      <c r="J351" s="5">
        <v>46009</v>
      </c>
      <c r="K351" s="1" t="s">
        <v>957</v>
      </c>
      <c r="L351" s="1" t="s">
        <v>30</v>
      </c>
      <c r="M351" s="8">
        <v>0</v>
      </c>
      <c r="N351" s="6"/>
      <c r="O351" s="6"/>
      <c r="P351" s="9">
        <v>892.29</v>
      </c>
    </row>
    <row r="352" spans="1:16" ht="19.5" customHeight="1">
      <c r="A352" s="1" t="s">
        <v>1872</v>
      </c>
      <c r="B352" s="5">
        <v>46017</v>
      </c>
      <c r="C352" s="1" t="s">
        <v>35</v>
      </c>
      <c r="D352" s="1" t="s">
        <v>36</v>
      </c>
      <c r="E352" s="1" t="s">
        <v>25</v>
      </c>
      <c r="F352" s="1" t="s">
        <v>26</v>
      </c>
      <c r="G352" s="1" t="s">
        <v>1229</v>
      </c>
      <c r="H352" s="6">
        <v>1</v>
      </c>
      <c r="I352" s="7">
        <v>1738</v>
      </c>
      <c r="J352" s="5">
        <v>46009</v>
      </c>
      <c r="K352" s="1" t="s">
        <v>957</v>
      </c>
      <c r="L352" s="1" t="s">
        <v>30</v>
      </c>
      <c r="M352" s="8">
        <v>0.43</v>
      </c>
      <c r="N352" s="6"/>
      <c r="O352" s="6"/>
      <c r="P352" s="9">
        <v>-747.34</v>
      </c>
    </row>
    <row r="353" spans="1:16" ht="19.5" customHeight="1">
      <c r="A353" s="1" t="s">
        <v>1870</v>
      </c>
      <c r="B353" s="5">
        <v>46017</v>
      </c>
      <c r="C353" s="1" t="s">
        <v>28</v>
      </c>
      <c r="D353" s="1" t="s">
        <v>45</v>
      </c>
      <c r="E353" s="1" t="s">
        <v>224</v>
      </c>
      <c r="F353" s="1" t="s">
        <v>461</v>
      </c>
      <c r="G353" s="1" t="s">
        <v>1229</v>
      </c>
      <c r="H353" s="6">
        <v>1</v>
      </c>
      <c r="I353" s="7">
        <v>0</v>
      </c>
      <c r="J353" s="5">
        <v>46009</v>
      </c>
      <c r="K353" s="1" t="s">
        <v>957</v>
      </c>
      <c r="L353" s="1" t="s">
        <v>30</v>
      </c>
      <c r="M353" s="8">
        <v>0</v>
      </c>
      <c r="N353" s="6"/>
      <c r="O353" s="6"/>
      <c r="P353" s="9">
        <v>0</v>
      </c>
    </row>
    <row r="354" spans="1:16" ht="19.5" customHeight="1">
      <c r="A354" s="1" t="s">
        <v>1870</v>
      </c>
      <c r="B354" s="5">
        <v>46017</v>
      </c>
      <c r="C354" s="1" t="s">
        <v>28</v>
      </c>
      <c r="D354" s="1" t="s">
        <v>46</v>
      </c>
      <c r="E354" s="1" t="s">
        <v>224</v>
      </c>
      <c r="F354" s="1" t="s">
        <v>461</v>
      </c>
      <c r="G354" s="1" t="s">
        <v>1229</v>
      </c>
      <c r="H354" s="6">
        <v>1</v>
      </c>
      <c r="I354" s="7">
        <v>0</v>
      </c>
      <c r="J354" s="5">
        <v>46009</v>
      </c>
      <c r="K354" s="1" t="s">
        <v>957</v>
      </c>
      <c r="L354" s="1" t="s">
        <v>30</v>
      </c>
      <c r="M354" s="8">
        <v>0</v>
      </c>
      <c r="N354" s="6"/>
      <c r="O354" s="6"/>
      <c r="P354" s="9">
        <v>-46.77</v>
      </c>
    </row>
    <row r="355" spans="1:16" ht="19.5" customHeight="1">
      <c r="A355" s="1" t="s">
        <v>1870</v>
      </c>
      <c r="B355" s="5">
        <v>46017</v>
      </c>
      <c r="C355" s="1" t="s">
        <v>17</v>
      </c>
      <c r="D355" s="1" t="s">
        <v>47</v>
      </c>
      <c r="E355" s="1" t="s">
        <v>224</v>
      </c>
      <c r="F355" s="1" t="s">
        <v>461</v>
      </c>
      <c r="G355" s="1" t="s">
        <v>1229</v>
      </c>
      <c r="H355" s="6">
        <v>1</v>
      </c>
      <c r="I355" s="7">
        <v>0</v>
      </c>
      <c r="J355" s="5">
        <v>46009</v>
      </c>
      <c r="K355" s="1" t="s">
        <v>957</v>
      </c>
      <c r="L355" s="1" t="s">
        <v>30</v>
      </c>
      <c r="M355" s="8">
        <v>0</v>
      </c>
      <c r="N355" s="6"/>
      <c r="O355" s="6"/>
      <c r="P355" s="9">
        <v>-15</v>
      </c>
    </row>
    <row r="356" spans="1:16" ht="19.5" customHeight="1">
      <c r="A356" s="1" t="s">
        <v>1873</v>
      </c>
      <c r="B356" s="5">
        <v>46017</v>
      </c>
      <c r="C356" s="1" t="s">
        <v>28</v>
      </c>
      <c r="D356" s="1" t="s">
        <v>29</v>
      </c>
      <c r="E356" s="1" t="s">
        <v>25</v>
      </c>
      <c r="F356" s="1" t="s">
        <v>26</v>
      </c>
      <c r="G356" s="1" t="s">
        <v>1229</v>
      </c>
      <c r="H356" s="6">
        <v>1</v>
      </c>
      <c r="I356" s="7">
        <v>1704</v>
      </c>
      <c r="J356" s="5">
        <v>46012</v>
      </c>
      <c r="K356" s="1" t="s">
        <v>957</v>
      </c>
      <c r="L356" s="1" t="s">
        <v>30</v>
      </c>
      <c r="M356" s="8">
        <v>0.43</v>
      </c>
      <c r="N356" s="6"/>
      <c r="O356" s="6">
        <v>40</v>
      </c>
      <c r="P356" s="9">
        <v>-114.07</v>
      </c>
    </row>
    <row r="357" spans="1:16" ht="19.5" customHeight="1">
      <c r="A357" s="1" t="s">
        <v>1873</v>
      </c>
      <c r="B357" s="5">
        <v>46017</v>
      </c>
      <c r="C357" s="1" t="s">
        <v>31</v>
      </c>
      <c r="D357" s="1" t="s">
        <v>32</v>
      </c>
      <c r="E357" s="1" t="s">
        <v>25</v>
      </c>
      <c r="F357" s="1" t="s">
        <v>26</v>
      </c>
      <c r="G357" s="1" t="s">
        <v>1229</v>
      </c>
      <c r="H357" s="6">
        <v>1</v>
      </c>
      <c r="I357" s="7">
        <v>1704</v>
      </c>
      <c r="J357" s="5">
        <v>46012</v>
      </c>
      <c r="K357" s="1" t="s">
        <v>957</v>
      </c>
      <c r="L357" s="1" t="s">
        <v>30</v>
      </c>
      <c r="M357" s="8">
        <v>0</v>
      </c>
      <c r="N357" s="6"/>
      <c r="O357" s="6"/>
      <c r="P357" s="9">
        <v>585.71</v>
      </c>
    </row>
    <row r="358" spans="1:16" ht="19.5" customHeight="1">
      <c r="A358" s="1" t="s">
        <v>1873</v>
      </c>
      <c r="B358" s="5">
        <v>46017</v>
      </c>
      <c r="C358" s="1" t="s">
        <v>31</v>
      </c>
      <c r="D358" s="1" t="s">
        <v>33</v>
      </c>
      <c r="E358" s="1" t="s">
        <v>25</v>
      </c>
      <c r="F358" s="1" t="s">
        <v>26</v>
      </c>
      <c r="G358" s="1" t="s">
        <v>1229</v>
      </c>
      <c r="H358" s="6">
        <v>1</v>
      </c>
      <c r="I358" s="7">
        <v>1704</v>
      </c>
      <c r="J358" s="5">
        <v>46012</v>
      </c>
      <c r="K358" s="1" t="s">
        <v>957</v>
      </c>
      <c r="L358" s="1" t="s">
        <v>30</v>
      </c>
      <c r="M358" s="8">
        <v>0</v>
      </c>
      <c r="N358" s="6"/>
      <c r="O358" s="6"/>
      <c r="P358" s="9">
        <v>5.86</v>
      </c>
    </row>
    <row r="359" spans="1:16" ht="19.5" customHeight="1">
      <c r="A359" s="1" t="s">
        <v>1873</v>
      </c>
      <c r="B359" s="5">
        <v>46017</v>
      </c>
      <c r="C359" s="1" t="s">
        <v>31</v>
      </c>
      <c r="D359" s="1" t="s">
        <v>34</v>
      </c>
      <c r="E359" s="1" t="s">
        <v>25</v>
      </c>
      <c r="F359" s="1" t="s">
        <v>26</v>
      </c>
      <c r="G359" s="1" t="s">
        <v>1229</v>
      </c>
      <c r="H359" s="6">
        <v>1</v>
      </c>
      <c r="I359" s="7">
        <v>1704</v>
      </c>
      <c r="J359" s="5">
        <v>46012</v>
      </c>
      <c r="K359" s="1" t="s">
        <v>957</v>
      </c>
      <c r="L359" s="1" t="s">
        <v>30</v>
      </c>
      <c r="M359" s="8">
        <v>0</v>
      </c>
      <c r="N359" s="6"/>
      <c r="O359" s="6"/>
      <c r="P359" s="9">
        <v>1112.43</v>
      </c>
    </row>
    <row r="360" spans="1:16" ht="19.5" customHeight="1">
      <c r="A360" s="1" t="s">
        <v>1873</v>
      </c>
      <c r="B360" s="5">
        <v>46017</v>
      </c>
      <c r="C360" s="1" t="s">
        <v>35</v>
      </c>
      <c r="D360" s="1" t="s">
        <v>36</v>
      </c>
      <c r="E360" s="1" t="s">
        <v>25</v>
      </c>
      <c r="F360" s="1" t="s">
        <v>26</v>
      </c>
      <c r="G360" s="1" t="s">
        <v>1229</v>
      </c>
      <c r="H360" s="6">
        <v>1</v>
      </c>
      <c r="I360" s="7">
        <v>1704</v>
      </c>
      <c r="J360" s="5">
        <v>46012</v>
      </c>
      <c r="K360" s="1" t="s">
        <v>957</v>
      </c>
      <c r="L360" s="1" t="s">
        <v>30</v>
      </c>
      <c r="M360" s="8">
        <v>0.43</v>
      </c>
      <c r="N360" s="6"/>
      <c r="O360" s="6"/>
      <c r="P360" s="9">
        <v>-732.72</v>
      </c>
    </row>
    <row r="361" spans="1:16" ht="19.5" customHeight="1">
      <c r="A361" s="1" t="s">
        <v>1873</v>
      </c>
      <c r="B361" s="5">
        <v>46017</v>
      </c>
      <c r="C361" s="1" t="s">
        <v>17</v>
      </c>
      <c r="D361" s="1" t="s">
        <v>37</v>
      </c>
      <c r="E361" s="1" t="s">
        <v>25</v>
      </c>
      <c r="F361" s="1" t="s">
        <v>26</v>
      </c>
      <c r="G361" s="1" t="s">
        <v>1229</v>
      </c>
      <c r="H361" s="6">
        <v>1</v>
      </c>
      <c r="I361" s="7">
        <v>1704</v>
      </c>
      <c r="J361" s="5">
        <v>46012</v>
      </c>
      <c r="K361" s="1" t="s">
        <v>957</v>
      </c>
      <c r="L361" s="1" t="s">
        <v>30</v>
      </c>
      <c r="M361" s="8">
        <v>0.43</v>
      </c>
      <c r="N361" s="6"/>
      <c r="O361" s="6"/>
      <c r="P361" s="9">
        <v>-7.51</v>
      </c>
    </row>
    <row r="362" spans="1:16" ht="19.5" customHeight="1">
      <c r="A362" s="1" t="s">
        <v>1873</v>
      </c>
      <c r="B362" s="5">
        <v>46017</v>
      </c>
      <c r="C362" s="1" t="s">
        <v>17</v>
      </c>
      <c r="D362" s="1" t="s">
        <v>18</v>
      </c>
      <c r="E362" s="1" t="s">
        <v>25</v>
      </c>
      <c r="F362" s="1" t="s">
        <v>26</v>
      </c>
      <c r="G362" s="1" t="s">
        <v>1229</v>
      </c>
      <c r="H362" s="6">
        <v>1</v>
      </c>
      <c r="I362" s="7">
        <v>0</v>
      </c>
      <c r="J362" s="5">
        <v>46012</v>
      </c>
      <c r="K362" s="1" t="s">
        <v>22</v>
      </c>
      <c r="L362" s="1" t="s">
        <v>22</v>
      </c>
      <c r="M362" s="8">
        <v>0</v>
      </c>
      <c r="N362" s="6"/>
      <c r="O362" s="6"/>
      <c r="P362" s="9">
        <v>-11.13</v>
      </c>
    </row>
    <row r="363" spans="1:16" ht="19.5" customHeight="1">
      <c r="A363" s="1" t="s">
        <v>1874</v>
      </c>
      <c r="B363" s="5">
        <v>46017</v>
      </c>
      <c r="C363" s="1" t="s">
        <v>17</v>
      </c>
      <c r="D363" s="1" t="s">
        <v>18</v>
      </c>
      <c r="E363" s="1" t="s">
        <v>25</v>
      </c>
      <c r="F363" s="1" t="s">
        <v>26</v>
      </c>
      <c r="G363" s="1" t="s">
        <v>1229</v>
      </c>
      <c r="H363" s="6">
        <v>1</v>
      </c>
      <c r="I363" s="7">
        <v>0</v>
      </c>
      <c r="J363" s="5">
        <v>46017</v>
      </c>
      <c r="K363" s="1" t="s">
        <v>22</v>
      </c>
      <c r="L363" s="1" t="s">
        <v>22</v>
      </c>
      <c r="M363" s="8">
        <v>0</v>
      </c>
      <c r="N363" s="6"/>
      <c r="O363" s="6"/>
      <c r="P363" s="9">
        <v>-11.13</v>
      </c>
    </row>
    <row r="364" spans="1:16" ht="19.5" customHeight="1">
      <c r="A364" s="1" t="s">
        <v>1875</v>
      </c>
      <c r="B364" s="5">
        <v>46017</v>
      </c>
      <c r="C364" s="1" t="s">
        <v>28</v>
      </c>
      <c r="D364" s="1" t="s">
        <v>29</v>
      </c>
      <c r="E364" s="1" t="s">
        <v>25</v>
      </c>
      <c r="F364" s="1" t="s">
        <v>26</v>
      </c>
      <c r="G364" s="1" t="s">
        <v>1229</v>
      </c>
      <c r="H364" s="6">
        <v>1</v>
      </c>
      <c r="I364" s="7">
        <v>1092</v>
      </c>
      <c r="J364" s="5">
        <v>46015</v>
      </c>
      <c r="K364" s="1" t="s">
        <v>957</v>
      </c>
      <c r="L364" s="1" t="s">
        <v>30</v>
      </c>
      <c r="M364" s="8">
        <v>0.43</v>
      </c>
      <c r="N364" s="6"/>
      <c r="O364" s="6">
        <v>39</v>
      </c>
      <c r="P364" s="9">
        <v>-94.29</v>
      </c>
    </row>
    <row r="365" spans="1:16" ht="19.5" customHeight="1">
      <c r="A365" s="1" t="s">
        <v>1875</v>
      </c>
      <c r="B365" s="5">
        <v>46017</v>
      </c>
      <c r="C365" s="1" t="s">
        <v>31</v>
      </c>
      <c r="D365" s="1" t="s">
        <v>32</v>
      </c>
      <c r="E365" s="1" t="s">
        <v>25</v>
      </c>
      <c r="F365" s="1" t="s">
        <v>26</v>
      </c>
      <c r="G365" s="1" t="s">
        <v>1229</v>
      </c>
      <c r="H365" s="6">
        <v>1</v>
      </c>
      <c r="I365" s="7">
        <v>1092</v>
      </c>
      <c r="J365" s="5">
        <v>46015</v>
      </c>
      <c r="K365" s="1" t="s">
        <v>957</v>
      </c>
      <c r="L365" s="1" t="s">
        <v>30</v>
      </c>
      <c r="M365" s="8">
        <v>0</v>
      </c>
      <c r="N365" s="6"/>
      <c r="O365" s="6"/>
      <c r="P365" s="9">
        <v>382.49</v>
      </c>
    </row>
    <row r="366" spans="1:16" ht="19.5" customHeight="1">
      <c r="A366" s="1" t="s">
        <v>1875</v>
      </c>
      <c r="B366" s="5">
        <v>46017</v>
      </c>
      <c r="C366" s="1" t="s">
        <v>31</v>
      </c>
      <c r="D366" s="1" t="s">
        <v>33</v>
      </c>
      <c r="E366" s="1" t="s">
        <v>25</v>
      </c>
      <c r="F366" s="1" t="s">
        <v>26</v>
      </c>
      <c r="G366" s="1" t="s">
        <v>1229</v>
      </c>
      <c r="H366" s="6">
        <v>1</v>
      </c>
      <c r="I366" s="7">
        <v>1092</v>
      </c>
      <c r="J366" s="5">
        <v>46015</v>
      </c>
      <c r="K366" s="1" t="s">
        <v>957</v>
      </c>
      <c r="L366" s="1" t="s">
        <v>30</v>
      </c>
      <c r="M366" s="8">
        <v>0</v>
      </c>
      <c r="N366" s="6"/>
      <c r="O366" s="6"/>
      <c r="P366" s="9">
        <v>3.82</v>
      </c>
    </row>
    <row r="367" spans="1:16" ht="19.5" customHeight="1">
      <c r="A367" s="1" t="s">
        <v>1875</v>
      </c>
      <c r="B367" s="5">
        <v>46017</v>
      </c>
      <c r="C367" s="1" t="s">
        <v>31</v>
      </c>
      <c r="D367" s="1" t="s">
        <v>34</v>
      </c>
      <c r="E367" s="1" t="s">
        <v>25</v>
      </c>
      <c r="F367" s="1" t="s">
        <v>26</v>
      </c>
      <c r="G367" s="1" t="s">
        <v>1229</v>
      </c>
      <c r="H367" s="6">
        <v>1</v>
      </c>
      <c r="I367" s="7">
        <v>1092</v>
      </c>
      <c r="J367" s="5">
        <v>46015</v>
      </c>
      <c r="K367" s="1" t="s">
        <v>957</v>
      </c>
      <c r="L367" s="1" t="s">
        <v>30</v>
      </c>
      <c r="M367" s="8">
        <v>0</v>
      </c>
      <c r="N367" s="6"/>
      <c r="O367" s="6"/>
      <c r="P367" s="9">
        <v>705.69</v>
      </c>
    </row>
    <row r="368" spans="1:16" ht="19.5" customHeight="1">
      <c r="A368" s="1" t="s">
        <v>1875</v>
      </c>
      <c r="B368" s="5">
        <v>46017</v>
      </c>
      <c r="C368" s="1" t="s">
        <v>35</v>
      </c>
      <c r="D368" s="1" t="s">
        <v>36</v>
      </c>
      <c r="E368" s="1" t="s">
        <v>25</v>
      </c>
      <c r="F368" s="1" t="s">
        <v>26</v>
      </c>
      <c r="G368" s="1" t="s">
        <v>1229</v>
      </c>
      <c r="H368" s="6">
        <v>1</v>
      </c>
      <c r="I368" s="7">
        <v>1092</v>
      </c>
      <c r="J368" s="5">
        <v>46015</v>
      </c>
      <c r="K368" s="1" t="s">
        <v>957</v>
      </c>
      <c r="L368" s="1" t="s">
        <v>30</v>
      </c>
      <c r="M368" s="8">
        <v>0.43</v>
      </c>
      <c r="N368" s="6"/>
      <c r="O368" s="6"/>
      <c r="P368" s="9">
        <v>-469.56</v>
      </c>
    </row>
    <row r="369" spans="1:16" ht="19.5" customHeight="1">
      <c r="A369" s="1" t="s">
        <v>1875</v>
      </c>
      <c r="B369" s="5">
        <v>46017</v>
      </c>
      <c r="C369" s="1" t="s">
        <v>17</v>
      </c>
      <c r="D369" s="1" t="s">
        <v>37</v>
      </c>
      <c r="E369" s="1" t="s">
        <v>25</v>
      </c>
      <c r="F369" s="1" t="s">
        <v>26</v>
      </c>
      <c r="G369" s="1" t="s">
        <v>1229</v>
      </c>
      <c r="H369" s="6">
        <v>1</v>
      </c>
      <c r="I369" s="7">
        <v>1092</v>
      </c>
      <c r="J369" s="5">
        <v>46015</v>
      </c>
      <c r="K369" s="1" t="s">
        <v>957</v>
      </c>
      <c r="L369" s="1" t="s">
        <v>30</v>
      </c>
      <c r="M369" s="8">
        <v>0.43</v>
      </c>
      <c r="N369" s="6"/>
      <c r="O369" s="6"/>
      <c r="P369" s="9">
        <v>-5.31</v>
      </c>
    </row>
    <row r="370" spans="1:16" ht="19.5" customHeight="1">
      <c r="A370" s="1" t="s">
        <v>1876</v>
      </c>
      <c r="B370" s="5">
        <v>46017</v>
      </c>
      <c r="C370" s="1" t="s">
        <v>28</v>
      </c>
      <c r="D370" s="1" t="s">
        <v>29</v>
      </c>
      <c r="E370" s="1" t="s">
        <v>25</v>
      </c>
      <c r="F370" s="1" t="s">
        <v>26</v>
      </c>
      <c r="G370" s="1" t="s">
        <v>1229</v>
      </c>
      <c r="H370" s="6">
        <v>1</v>
      </c>
      <c r="I370" s="7">
        <v>0</v>
      </c>
      <c r="J370" s="5">
        <v>46002</v>
      </c>
      <c r="K370" s="1" t="s">
        <v>957</v>
      </c>
      <c r="L370" s="1" t="s">
        <v>30</v>
      </c>
      <c r="M370" s="8">
        <v>0</v>
      </c>
      <c r="N370" s="6"/>
      <c r="O370" s="6">
        <v>40</v>
      </c>
      <c r="P370" s="9">
        <v>-46</v>
      </c>
    </row>
    <row r="371" spans="1:16" ht="19.5" customHeight="1">
      <c r="A371" s="1" t="s">
        <v>1876</v>
      </c>
      <c r="B371" s="5">
        <v>46017</v>
      </c>
      <c r="C371" s="1" t="s">
        <v>17</v>
      </c>
      <c r="D371" s="1" t="s">
        <v>37</v>
      </c>
      <c r="E371" s="1" t="s">
        <v>25</v>
      </c>
      <c r="F371" s="1" t="s">
        <v>26</v>
      </c>
      <c r="G371" s="1" t="s">
        <v>1229</v>
      </c>
      <c r="H371" s="6">
        <v>1</v>
      </c>
      <c r="I371" s="7">
        <v>0</v>
      </c>
      <c r="J371" s="5">
        <v>46002</v>
      </c>
      <c r="K371" s="1" t="s">
        <v>957</v>
      </c>
      <c r="L371" s="1" t="s">
        <v>30</v>
      </c>
      <c r="M371" s="8">
        <v>0</v>
      </c>
      <c r="N371" s="6"/>
      <c r="O371" s="6"/>
      <c r="P371" s="9">
        <v>-5.51</v>
      </c>
    </row>
    <row r="372" spans="1:16" ht="19.5" customHeight="1">
      <c r="A372" s="1" t="s">
        <v>1876</v>
      </c>
      <c r="B372" s="5">
        <v>46017</v>
      </c>
      <c r="C372" s="1" t="s">
        <v>28</v>
      </c>
      <c r="D372" s="1" t="s">
        <v>45</v>
      </c>
      <c r="E372" s="1" t="s">
        <v>25</v>
      </c>
      <c r="F372" s="1" t="s">
        <v>26</v>
      </c>
      <c r="G372" s="1" t="s">
        <v>1229</v>
      </c>
      <c r="H372" s="6">
        <v>1</v>
      </c>
      <c r="I372" s="7">
        <v>0</v>
      </c>
      <c r="J372" s="5">
        <v>46002</v>
      </c>
      <c r="K372" s="1" t="s">
        <v>957</v>
      </c>
      <c r="L372" s="1" t="s">
        <v>30</v>
      </c>
      <c r="M372" s="8">
        <v>0</v>
      </c>
      <c r="N372" s="6"/>
      <c r="O372" s="6"/>
      <c r="P372" s="9">
        <v>0</v>
      </c>
    </row>
    <row r="373" spans="1:16" ht="19.5" customHeight="1">
      <c r="A373" s="1" t="s">
        <v>1876</v>
      </c>
      <c r="B373" s="5">
        <v>46017</v>
      </c>
      <c r="C373" s="1" t="s">
        <v>28</v>
      </c>
      <c r="D373" s="1" t="s">
        <v>46</v>
      </c>
      <c r="E373" s="1" t="s">
        <v>25</v>
      </c>
      <c r="F373" s="1" t="s">
        <v>26</v>
      </c>
      <c r="G373" s="1" t="s">
        <v>1229</v>
      </c>
      <c r="H373" s="6">
        <v>1</v>
      </c>
      <c r="I373" s="7">
        <v>0</v>
      </c>
      <c r="J373" s="5">
        <v>46002</v>
      </c>
      <c r="K373" s="1" t="s">
        <v>957</v>
      </c>
      <c r="L373" s="1" t="s">
        <v>30</v>
      </c>
      <c r="M373" s="8">
        <v>0</v>
      </c>
      <c r="N373" s="6"/>
      <c r="O373" s="6"/>
      <c r="P373" s="9">
        <v>-46</v>
      </c>
    </row>
    <row r="374" spans="1:16" ht="19.5" customHeight="1">
      <c r="A374" s="1" t="s">
        <v>1876</v>
      </c>
      <c r="B374" s="5">
        <v>46017</v>
      </c>
      <c r="C374" s="1" t="s">
        <v>17</v>
      </c>
      <c r="D374" s="1" t="s">
        <v>47</v>
      </c>
      <c r="E374" s="1" t="s">
        <v>25</v>
      </c>
      <c r="F374" s="1" t="s">
        <v>26</v>
      </c>
      <c r="G374" s="1" t="s">
        <v>1229</v>
      </c>
      <c r="H374" s="6">
        <v>1</v>
      </c>
      <c r="I374" s="7">
        <v>0</v>
      </c>
      <c r="J374" s="5">
        <v>46002</v>
      </c>
      <c r="K374" s="1" t="s">
        <v>957</v>
      </c>
      <c r="L374" s="1" t="s">
        <v>30</v>
      </c>
      <c r="M374" s="8">
        <v>0</v>
      </c>
      <c r="N374" s="6"/>
      <c r="O374" s="6"/>
      <c r="P374" s="9">
        <v>-15</v>
      </c>
    </row>
    <row r="375" spans="1:16" ht="19.5" customHeight="1">
      <c r="A375" s="1" t="s">
        <v>1877</v>
      </c>
      <c r="B375" s="5">
        <v>46017</v>
      </c>
      <c r="C375" s="1" t="s">
        <v>28</v>
      </c>
      <c r="D375" s="1" t="s">
        <v>29</v>
      </c>
      <c r="E375" s="1" t="s">
        <v>25</v>
      </c>
      <c r="F375" s="1" t="s">
        <v>26</v>
      </c>
      <c r="G375" s="1" t="s">
        <v>1229</v>
      </c>
      <c r="H375" s="6">
        <v>1</v>
      </c>
      <c r="I375" s="7">
        <v>1092</v>
      </c>
      <c r="J375" s="5">
        <v>46015</v>
      </c>
      <c r="K375" s="1" t="s">
        <v>957</v>
      </c>
      <c r="L375" s="1" t="s">
        <v>30</v>
      </c>
      <c r="M375" s="8">
        <v>0.43</v>
      </c>
      <c r="N375" s="6"/>
      <c r="O375" s="6">
        <v>39</v>
      </c>
      <c r="P375" s="9">
        <v>-95.43</v>
      </c>
    </row>
    <row r="376" spans="1:16" ht="19.5" customHeight="1">
      <c r="A376" s="1" t="s">
        <v>1877</v>
      </c>
      <c r="B376" s="5">
        <v>46017</v>
      </c>
      <c r="C376" s="1" t="s">
        <v>31</v>
      </c>
      <c r="D376" s="1" t="s">
        <v>32</v>
      </c>
      <c r="E376" s="1" t="s">
        <v>25</v>
      </c>
      <c r="F376" s="1" t="s">
        <v>26</v>
      </c>
      <c r="G376" s="1" t="s">
        <v>1229</v>
      </c>
      <c r="H376" s="6">
        <v>1</v>
      </c>
      <c r="I376" s="7">
        <v>1092</v>
      </c>
      <c r="J376" s="5">
        <v>46015</v>
      </c>
      <c r="K376" s="1" t="s">
        <v>957</v>
      </c>
      <c r="L376" s="1" t="s">
        <v>30</v>
      </c>
      <c r="M376" s="8">
        <v>0</v>
      </c>
      <c r="N376" s="6"/>
      <c r="O376" s="6"/>
      <c r="P376" s="9">
        <v>382.49</v>
      </c>
    </row>
    <row r="377" spans="1:16" ht="19.5" customHeight="1">
      <c r="A377" s="1" t="s">
        <v>1877</v>
      </c>
      <c r="B377" s="5">
        <v>46017</v>
      </c>
      <c r="C377" s="1" t="s">
        <v>31</v>
      </c>
      <c r="D377" s="1" t="s">
        <v>33</v>
      </c>
      <c r="E377" s="1" t="s">
        <v>25</v>
      </c>
      <c r="F377" s="1" t="s">
        <v>26</v>
      </c>
      <c r="G377" s="1" t="s">
        <v>1229</v>
      </c>
      <c r="H377" s="6">
        <v>1</v>
      </c>
      <c r="I377" s="7">
        <v>1092</v>
      </c>
      <c r="J377" s="5">
        <v>46015</v>
      </c>
      <c r="K377" s="1" t="s">
        <v>957</v>
      </c>
      <c r="L377" s="1" t="s">
        <v>30</v>
      </c>
      <c r="M377" s="8">
        <v>0</v>
      </c>
      <c r="N377" s="6"/>
      <c r="O377" s="6"/>
      <c r="P377" s="9">
        <v>3.82</v>
      </c>
    </row>
    <row r="378" spans="1:16" ht="19.5" customHeight="1">
      <c r="A378" s="1" t="s">
        <v>1877</v>
      </c>
      <c r="B378" s="5">
        <v>46017</v>
      </c>
      <c r="C378" s="1" t="s">
        <v>31</v>
      </c>
      <c r="D378" s="1" t="s">
        <v>34</v>
      </c>
      <c r="E378" s="1" t="s">
        <v>25</v>
      </c>
      <c r="F378" s="1" t="s">
        <v>26</v>
      </c>
      <c r="G378" s="1" t="s">
        <v>1229</v>
      </c>
      <c r="H378" s="6">
        <v>1</v>
      </c>
      <c r="I378" s="7">
        <v>1092</v>
      </c>
      <c r="J378" s="5">
        <v>46015</v>
      </c>
      <c r="K378" s="1" t="s">
        <v>957</v>
      </c>
      <c r="L378" s="1" t="s">
        <v>30</v>
      </c>
      <c r="M378" s="8">
        <v>0</v>
      </c>
      <c r="N378" s="6"/>
      <c r="O378" s="6"/>
      <c r="P378" s="9">
        <v>705.69</v>
      </c>
    </row>
    <row r="379" spans="1:16" ht="19.5" customHeight="1">
      <c r="A379" s="1" t="s">
        <v>1877</v>
      </c>
      <c r="B379" s="5">
        <v>46017</v>
      </c>
      <c r="C379" s="1" t="s">
        <v>35</v>
      </c>
      <c r="D379" s="1" t="s">
        <v>36</v>
      </c>
      <c r="E379" s="1" t="s">
        <v>25</v>
      </c>
      <c r="F379" s="1" t="s">
        <v>26</v>
      </c>
      <c r="G379" s="1" t="s">
        <v>1229</v>
      </c>
      <c r="H379" s="6">
        <v>1</v>
      </c>
      <c r="I379" s="7">
        <v>1092</v>
      </c>
      <c r="J379" s="5">
        <v>46015</v>
      </c>
      <c r="K379" s="1" t="s">
        <v>957</v>
      </c>
      <c r="L379" s="1" t="s">
        <v>30</v>
      </c>
      <c r="M379" s="8">
        <v>0.43</v>
      </c>
      <c r="N379" s="6"/>
      <c r="O379" s="6"/>
      <c r="P379" s="9">
        <v>-469.56</v>
      </c>
    </row>
    <row r="380" spans="1:16" ht="19.5" customHeight="1">
      <c r="A380" s="1" t="s">
        <v>1877</v>
      </c>
      <c r="B380" s="5">
        <v>46017</v>
      </c>
      <c r="C380" s="1" t="s">
        <v>17</v>
      </c>
      <c r="D380" s="1" t="s">
        <v>37</v>
      </c>
      <c r="E380" s="1" t="s">
        <v>25</v>
      </c>
      <c r="F380" s="1" t="s">
        <v>26</v>
      </c>
      <c r="G380" s="1" t="s">
        <v>1229</v>
      </c>
      <c r="H380" s="6">
        <v>1</v>
      </c>
      <c r="I380" s="7">
        <v>1092</v>
      </c>
      <c r="J380" s="5">
        <v>46015</v>
      </c>
      <c r="K380" s="1" t="s">
        <v>957</v>
      </c>
      <c r="L380" s="1" t="s">
        <v>30</v>
      </c>
      <c r="M380" s="8">
        <v>0.43</v>
      </c>
      <c r="N380" s="6"/>
      <c r="O380" s="6"/>
      <c r="P380" s="9">
        <v>-4.6399999999999997</v>
      </c>
    </row>
    <row r="381" spans="1:16" ht="19.5" customHeight="1">
      <c r="A381" s="1" t="s">
        <v>1878</v>
      </c>
      <c r="B381" s="5">
        <v>46017</v>
      </c>
      <c r="C381" s="1" t="s">
        <v>17</v>
      </c>
      <c r="D381" s="1" t="s">
        <v>18</v>
      </c>
      <c r="E381" s="1" t="s">
        <v>25</v>
      </c>
      <c r="F381" s="1" t="s">
        <v>26</v>
      </c>
      <c r="G381" s="1" t="s">
        <v>1229</v>
      </c>
      <c r="H381" s="6">
        <v>1</v>
      </c>
      <c r="I381" s="7">
        <v>0</v>
      </c>
      <c r="J381" s="5">
        <v>46017</v>
      </c>
      <c r="K381" s="1" t="s">
        <v>22</v>
      </c>
      <c r="L381" s="1" t="s">
        <v>22</v>
      </c>
      <c r="M381" s="8">
        <v>0</v>
      </c>
      <c r="N381" s="6"/>
      <c r="O381" s="6"/>
      <c r="P381" s="9">
        <v>-3.41</v>
      </c>
    </row>
    <row r="382" spans="1:16" ht="19.5" customHeight="1">
      <c r="A382" s="1" t="s">
        <v>1877</v>
      </c>
      <c r="B382" s="5">
        <v>46017</v>
      </c>
      <c r="C382" s="1" t="s">
        <v>17</v>
      </c>
      <c r="D382" s="1" t="s">
        <v>18</v>
      </c>
      <c r="E382" s="1" t="s">
        <v>25</v>
      </c>
      <c r="F382" s="1" t="s">
        <v>26</v>
      </c>
      <c r="G382" s="1" t="s">
        <v>1229</v>
      </c>
      <c r="H382" s="6">
        <v>1</v>
      </c>
      <c r="I382" s="7">
        <v>0</v>
      </c>
      <c r="J382" s="5">
        <v>46015</v>
      </c>
      <c r="K382" s="1" t="s">
        <v>22</v>
      </c>
      <c r="L382" s="1" t="s">
        <v>22</v>
      </c>
      <c r="M382" s="8">
        <v>0</v>
      </c>
      <c r="N382" s="6"/>
      <c r="O382" s="6"/>
      <c r="P382" s="9">
        <v>-7.27</v>
      </c>
    </row>
    <row r="383" spans="1:16" ht="19.5" customHeight="1">
      <c r="A383" s="1" t="s">
        <v>1825</v>
      </c>
      <c r="B383" s="5">
        <v>46017</v>
      </c>
      <c r="C383" s="1" t="s">
        <v>17</v>
      </c>
      <c r="D383" s="1" t="s">
        <v>18</v>
      </c>
      <c r="E383" s="1" t="s">
        <v>25</v>
      </c>
      <c r="F383" s="1" t="s">
        <v>26</v>
      </c>
      <c r="G383" s="1" t="s">
        <v>1229</v>
      </c>
      <c r="H383" s="6">
        <v>1</v>
      </c>
      <c r="I383" s="7">
        <v>0</v>
      </c>
      <c r="J383" s="5">
        <v>46015</v>
      </c>
      <c r="K383" s="1" t="s">
        <v>22</v>
      </c>
      <c r="L383" s="1" t="s">
        <v>22</v>
      </c>
      <c r="M383" s="8">
        <v>0</v>
      </c>
      <c r="N383" s="6"/>
      <c r="O383" s="6"/>
      <c r="P383" s="9">
        <v>6.94</v>
      </c>
    </row>
    <row r="384" spans="1:16" ht="19.5" customHeight="1">
      <c r="A384" s="1" t="s">
        <v>1879</v>
      </c>
      <c r="B384" s="5">
        <v>46017</v>
      </c>
      <c r="C384" s="1" t="s">
        <v>28</v>
      </c>
      <c r="D384" s="1" t="s">
        <v>29</v>
      </c>
      <c r="E384" s="1" t="s">
        <v>25</v>
      </c>
      <c r="F384" s="1" t="s">
        <v>26</v>
      </c>
      <c r="G384" s="1" t="s">
        <v>1229</v>
      </c>
      <c r="H384" s="6">
        <v>1</v>
      </c>
      <c r="I384" s="7">
        <v>1092</v>
      </c>
      <c r="J384" s="5">
        <v>46015</v>
      </c>
      <c r="K384" s="1" t="s">
        <v>957</v>
      </c>
      <c r="L384" s="1" t="s">
        <v>30</v>
      </c>
      <c r="M384" s="8">
        <v>0.43</v>
      </c>
      <c r="N384" s="6"/>
      <c r="O384" s="6">
        <v>39</v>
      </c>
      <c r="P384" s="9">
        <v>-95.43</v>
      </c>
    </row>
    <row r="385" spans="1:16" ht="19.5" customHeight="1">
      <c r="A385" s="1" t="s">
        <v>1879</v>
      </c>
      <c r="B385" s="5">
        <v>46017</v>
      </c>
      <c r="C385" s="1" t="s">
        <v>31</v>
      </c>
      <c r="D385" s="1" t="s">
        <v>32</v>
      </c>
      <c r="E385" s="1" t="s">
        <v>25</v>
      </c>
      <c r="F385" s="1" t="s">
        <v>26</v>
      </c>
      <c r="G385" s="1" t="s">
        <v>1229</v>
      </c>
      <c r="H385" s="6">
        <v>1</v>
      </c>
      <c r="I385" s="7">
        <v>1092</v>
      </c>
      <c r="J385" s="5">
        <v>46015</v>
      </c>
      <c r="K385" s="1" t="s">
        <v>957</v>
      </c>
      <c r="L385" s="1" t="s">
        <v>30</v>
      </c>
      <c r="M385" s="8">
        <v>0</v>
      </c>
      <c r="N385" s="6"/>
      <c r="O385" s="6"/>
      <c r="P385" s="9">
        <v>420</v>
      </c>
    </row>
    <row r="386" spans="1:16" ht="19.5" customHeight="1">
      <c r="A386" s="1" t="s">
        <v>1879</v>
      </c>
      <c r="B386" s="5">
        <v>46017</v>
      </c>
      <c r="C386" s="1" t="s">
        <v>31</v>
      </c>
      <c r="D386" s="1" t="s">
        <v>33</v>
      </c>
      <c r="E386" s="1" t="s">
        <v>25</v>
      </c>
      <c r="F386" s="1" t="s">
        <v>26</v>
      </c>
      <c r="G386" s="1" t="s">
        <v>1229</v>
      </c>
      <c r="H386" s="6">
        <v>1</v>
      </c>
      <c r="I386" s="7">
        <v>1092</v>
      </c>
      <c r="J386" s="5">
        <v>46015</v>
      </c>
      <c r="K386" s="1" t="s">
        <v>957</v>
      </c>
      <c r="L386" s="1" t="s">
        <v>30</v>
      </c>
      <c r="M386" s="8">
        <v>0</v>
      </c>
      <c r="N386" s="6"/>
      <c r="O386" s="6"/>
      <c r="P386" s="9">
        <v>4.2</v>
      </c>
    </row>
    <row r="387" spans="1:16" ht="19.5" customHeight="1">
      <c r="A387" s="1" t="s">
        <v>1879</v>
      </c>
      <c r="B387" s="5">
        <v>46017</v>
      </c>
      <c r="C387" s="1" t="s">
        <v>31</v>
      </c>
      <c r="D387" s="1" t="s">
        <v>34</v>
      </c>
      <c r="E387" s="1" t="s">
        <v>25</v>
      </c>
      <c r="F387" s="1" t="s">
        <v>26</v>
      </c>
      <c r="G387" s="1" t="s">
        <v>1229</v>
      </c>
      <c r="H387" s="6">
        <v>1</v>
      </c>
      <c r="I387" s="7">
        <v>1092</v>
      </c>
      <c r="J387" s="5">
        <v>46015</v>
      </c>
      <c r="K387" s="1" t="s">
        <v>957</v>
      </c>
      <c r="L387" s="1" t="s">
        <v>30</v>
      </c>
      <c r="M387" s="8">
        <v>0</v>
      </c>
      <c r="N387" s="6"/>
      <c r="O387" s="6"/>
      <c r="P387" s="9">
        <v>667.8</v>
      </c>
    </row>
    <row r="388" spans="1:16" ht="19.5" customHeight="1">
      <c r="A388" s="1" t="s">
        <v>1879</v>
      </c>
      <c r="B388" s="5">
        <v>46017</v>
      </c>
      <c r="C388" s="1" t="s">
        <v>35</v>
      </c>
      <c r="D388" s="1" t="s">
        <v>36</v>
      </c>
      <c r="E388" s="1" t="s">
        <v>25</v>
      </c>
      <c r="F388" s="1" t="s">
        <v>26</v>
      </c>
      <c r="G388" s="1" t="s">
        <v>1229</v>
      </c>
      <c r="H388" s="6">
        <v>1</v>
      </c>
      <c r="I388" s="7">
        <v>1092</v>
      </c>
      <c r="J388" s="5">
        <v>46015</v>
      </c>
      <c r="K388" s="1" t="s">
        <v>957</v>
      </c>
      <c r="L388" s="1" t="s">
        <v>30</v>
      </c>
      <c r="M388" s="8">
        <v>0.43</v>
      </c>
      <c r="N388" s="6"/>
      <c r="O388" s="6"/>
      <c r="P388" s="9">
        <v>-469.56</v>
      </c>
    </row>
    <row r="389" spans="1:16" ht="19.5" customHeight="1">
      <c r="A389" s="1" t="s">
        <v>1879</v>
      </c>
      <c r="B389" s="5">
        <v>46017</v>
      </c>
      <c r="C389" s="1" t="s">
        <v>17</v>
      </c>
      <c r="D389" s="1" t="s">
        <v>37</v>
      </c>
      <c r="E389" s="1" t="s">
        <v>25</v>
      </c>
      <c r="F389" s="1" t="s">
        <v>26</v>
      </c>
      <c r="G389" s="1" t="s">
        <v>1229</v>
      </c>
      <c r="H389" s="6">
        <v>1</v>
      </c>
      <c r="I389" s="7">
        <v>1092</v>
      </c>
      <c r="J389" s="5">
        <v>46015</v>
      </c>
      <c r="K389" s="1" t="s">
        <v>957</v>
      </c>
      <c r="L389" s="1" t="s">
        <v>30</v>
      </c>
      <c r="M389" s="8">
        <v>0.43</v>
      </c>
      <c r="N389" s="6"/>
      <c r="O389" s="6"/>
      <c r="P389" s="9">
        <v>-5.76</v>
      </c>
    </row>
    <row r="390" spans="1:16" ht="19.5" customHeight="1">
      <c r="A390" s="1" t="s">
        <v>1880</v>
      </c>
      <c r="B390" s="5">
        <v>46017</v>
      </c>
      <c r="C390" s="1" t="s">
        <v>28</v>
      </c>
      <c r="D390" s="1" t="s">
        <v>29</v>
      </c>
      <c r="E390" s="1" t="s">
        <v>25</v>
      </c>
      <c r="F390" s="1" t="s">
        <v>26</v>
      </c>
      <c r="G390" s="1" t="s">
        <v>1229</v>
      </c>
      <c r="H390" s="6">
        <v>1</v>
      </c>
      <c r="I390" s="7">
        <v>1092</v>
      </c>
      <c r="J390" s="5">
        <v>46015</v>
      </c>
      <c r="K390" s="1" t="s">
        <v>957</v>
      </c>
      <c r="L390" s="1" t="s">
        <v>30</v>
      </c>
      <c r="M390" s="8">
        <v>0.43</v>
      </c>
      <c r="N390" s="6"/>
      <c r="O390" s="6">
        <v>39</v>
      </c>
      <c r="P390" s="9">
        <v>-95.43</v>
      </c>
    </row>
    <row r="391" spans="1:16" ht="19.5" customHeight="1">
      <c r="A391" s="1" t="s">
        <v>1880</v>
      </c>
      <c r="B391" s="5">
        <v>46017</v>
      </c>
      <c r="C391" s="1" t="s">
        <v>31</v>
      </c>
      <c r="D391" s="1" t="s">
        <v>32</v>
      </c>
      <c r="E391" s="1" t="s">
        <v>25</v>
      </c>
      <c r="F391" s="1" t="s">
        <v>26</v>
      </c>
      <c r="G391" s="1" t="s">
        <v>1229</v>
      </c>
      <c r="H391" s="6">
        <v>1</v>
      </c>
      <c r="I391" s="7">
        <v>1092</v>
      </c>
      <c r="J391" s="5">
        <v>46015</v>
      </c>
      <c r="K391" s="1" t="s">
        <v>957</v>
      </c>
      <c r="L391" s="1" t="s">
        <v>30</v>
      </c>
      <c r="M391" s="8">
        <v>0</v>
      </c>
      <c r="N391" s="6"/>
      <c r="O391" s="6"/>
      <c r="P391" s="9">
        <v>415.79</v>
      </c>
    </row>
    <row r="392" spans="1:16" ht="19.5" customHeight="1">
      <c r="A392" s="1" t="s">
        <v>1880</v>
      </c>
      <c r="B392" s="5">
        <v>46017</v>
      </c>
      <c r="C392" s="1" t="s">
        <v>31</v>
      </c>
      <c r="D392" s="1" t="s">
        <v>33</v>
      </c>
      <c r="E392" s="1" t="s">
        <v>25</v>
      </c>
      <c r="F392" s="1" t="s">
        <v>26</v>
      </c>
      <c r="G392" s="1" t="s">
        <v>1229</v>
      </c>
      <c r="H392" s="6">
        <v>1</v>
      </c>
      <c r="I392" s="7">
        <v>1092</v>
      </c>
      <c r="J392" s="5">
        <v>46015</v>
      </c>
      <c r="K392" s="1" t="s">
        <v>957</v>
      </c>
      <c r="L392" s="1" t="s">
        <v>30</v>
      </c>
      <c r="M392" s="8">
        <v>0</v>
      </c>
      <c r="N392" s="6"/>
      <c r="O392" s="6"/>
      <c r="P392" s="9">
        <v>0</v>
      </c>
    </row>
    <row r="393" spans="1:16" ht="19.5" customHeight="1">
      <c r="A393" s="1" t="s">
        <v>1880</v>
      </c>
      <c r="B393" s="5">
        <v>46017</v>
      </c>
      <c r="C393" s="1" t="s">
        <v>31</v>
      </c>
      <c r="D393" s="1" t="s">
        <v>34</v>
      </c>
      <c r="E393" s="1" t="s">
        <v>25</v>
      </c>
      <c r="F393" s="1" t="s">
        <v>26</v>
      </c>
      <c r="G393" s="1" t="s">
        <v>1229</v>
      </c>
      <c r="H393" s="6">
        <v>1</v>
      </c>
      <c r="I393" s="7">
        <v>1092</v>
      </c>
      <c r="J393" s="5">
        <v>46015</v>
      </c>
      <c r="K393" s="1" t="s">
        <v>957</v>
      </c>
      <c r="L393" s="1" t="s">
        <v>30</v>
      </c>
      <c r="M393" s="8">
        <v>0</v>
      </c>
      <c r="N393" s="6"/>
      <c r="O393" s="6"/>
      <c r="P393" s="9">
        <v>676.21</v>
      </c>
    </row>
    <row r="394" spans="1:16" ht="19.5" customHeight="1">
      <c r="A394" s="1" t="s">
        <v>1880</v>
      </c>
      <c r="B394" s="5">
        <v>46017</v>
      </c>
      <c r="C394" s="1" t="s">
        <v>35</v>
      </c>
      <c r="D394" s="1" t="s">
        <v>36</v>
      </c>
      <c r="E394" s="1" t="s">
        <v>25</v>
      </c>
      <c r="F394" s="1" t="s">
        <v>26</v>
      </c>
      <c r="G394" s="1" t="s">
        <v>1229</v>
      </c>
      <c r="H394" s="6">
        <v>1</v>
      </c>
      <c r="I394" s="7">
        <v>1092</v>
      </c>
      <c r="J394" s="5">
        <v>46015</v>
      </c>
      <c r="K394" s="1" t="s">
        <v>957</v>
      </c>
      <c r="L394" s="1" t="s">
        <v>30</v>
      </c>
      <c r="M394" s="8">
        <v>0.43</v>
      </c>
      <c r="N394" s="6"/>
      <c r="O394" s="6"/>
      <c r="P394" s="9">
        <v>-469.56</v>
      </c>
    </row>
    <row r="395" spans="1:16" ht="19.5" customHeight="1">
      <c r="A395" s="1" t="s">
        <v>1880</v>
      </c>
      <c r="B395" s="5">
        <v>46017</v>
      </c>
      <c r="C395" s="1" t="s">
        <v>17</v>
      </c>
      <c r="D395" s="1" t="s">
        <v>37</v>
      </c>
      <c r="E395" s="1" t="s">
        <v>25</v>
      </c>
      <c r="F395" s="1" t="s">
        <v>26</v>
      </c>
      <c r="G395" s="1" t="s">
        <v>1229</v>
      </c>
      <c r="H395" s="6">
        <v>1</v>
      </c>
      <c r="I395" s="7">
        <v>1092</v>
      </c>
      <c r="J395" s="5">
        <v>46015</v>
      </c>
      <c r="K395" s="1" t="s">
        <v>957</v>
      </c>
      <c r="L395" s="1" t="s">
        <v>30</v>
      </c>
      <c r="M395" s="8">
        <v>0.43</v>
      </c>
      <c r="N395" s="6"/>
      <c r="O395" s="6"/>
      <c r="P395" s="9">
        <v>-5.27</v>
      </c>
    </row>
    <row r="396" spans="1:16" ht="19.5" customHeight="1">
      <c r="A396" s="1" t="s">
        <v>1879</v>
      </c>
      <c r="B396" s="5">
        <v>46017</v>
      </c>
      <c r="C396" s="1" t="s">
        <v>17</v>
      </c>
      <c r="D396" s="1" t="s">
        <v>18</v>
      </c>
      <c r="E396" s="1" t="s">
        <v>25</v>
      </c>
      <c r="F396" s="1" t="s">
        <v>26</v>
      </c>
      <c r="G396" s="1" t="s">
        <v>1229</v>
      </c>
      <c r="H396" s="6">
        <v>1</v>
      </c>
      <c r="I396" s="7">
        <v>0</v>
      </c>
      <c r="J396" s="5">
        <v>46015</v>
      </c>
      <c r="K396" s="1" t="s">
        <v>22</v>
      </c>
      <c r="L396" s="1" t="s">
        <v>22</v>
      </c>
      <c r="M396" s="8">
        <v>0</v>
      </c>
      <c r="N396" s="6"/>
      <c r="O396" s="6"/>
      <c r="P396" s="9">
        <v>-7.98</v>
      </c>
    </row>
    <row r="397" spans="1:16" ht="19.5" customHeight="1">
      <c r="A397" s="1" t="s">
        <v>1881</v>
      </c>
      <c r="B397" s="5">
        <v>46017</v>
      </c>
      <c r="C397" s="1" t="s">
        <v>28</v>
      </c>
      <c r="D397" s="1" t="s">
        <v>29</v>
      </c>
      <c r="E397" s="1" t="s">
        <v>226</v>
      </c>
      <c r="F397" s="1" t="s">
        <v>428</v>
      </c>
      <c r="G397" s="1" t="s">
        <v>1229</v>
      </c>
      <c r="H397" s="6">
        <v>1</v>
      </c>
      <c r="I397" s="7">
        <v>1387</v>
      </c>
      <c r="J397" s="5">
        <v>46015</v>
      </c>
      <c r="K397" s="1" t="s">
        <v>957</v>
      </c>
      <c r="L397" s="1" t="s">
        <v>30</v>
      </c>
      <c r="M397" s="8">
        <v>0.43</v>
      </c>
      <c r="N397" s="6"/>
      <c r="O397" s="6">
        <v>39</v>
      </c>
      <c r="P397" s="9">
        <v>-102.51</v>
      </c>
    </row>
    <row r="398" spans="1:16" ht="19.5" customHeight="1">
      <c r="A398" s="1" t="s">
        <v>1881</v>
      </c>
      <c r="B398" s="5">
        <v>46017</v>
      </c>
      <c r="C398" s="1" t="s">
        <v>31</v>
      </c>
      <c r="D398" s="1" t="s">
        <v>32</v>
      </c>
      <c r="E398" s="1" t="s">
        <v>226</v>
      </c>
      <c r="F398" s="1" t="s">
        <v>428</v>
      </c>
      <c r="G398" s="1" t="s">
        <v>1229</v>
      </c>
      <c r="H398" s="6">
        <v>1</v>
      </c>
      <c r="I398" s="7">
        <v>1387</v>
      </c>
      <c r="J398" s="5">
        <v>46015</v>
      </c>
      <c r="K398" s="1" t="s">
        <v>957</v>
      </c>
      <c r="L398" s="1" t="s">
        <v>30</v>
      </c>
      <c r="M398" s="8">
        <v>0</v>
      </c>
      <c r="N398" s="6"/>
      <c r="O398" s="6"/>
      <c r="P398" s="9">
        <v>654.61</v>
      </c>
    </row>
    <row r="399" spans="1:16" ht="19.5" customHeight="1">
      <c r="A399" s="1" t="s">
        <v>1881</v>
      </c>
      <c r="B399" s="5">
        <v>46017</v>
      </c>
      <c r="C399" s="1" t="s">
        <v>31</v>
      </c>
      <c r="D399" s="1" t="s">
        <v>33</v>
      </c>
      <c r="E399" s="1" t="s">
        <v>226</v>
      </c>
      <c r="F399" s="1" t="s">
        <v>428</v>
      </c>
      <c r="G399" s="1" t="s">
        <v>1229</v>
      </c>
      <c r="H399" s="6">
        <v>1</v>
      </c>
      <c r="I399" s="7">
        <v>1387</v>
      </c>
      <c r="J399" s="5">
        <v>46015</v>
      </c>
      <c r="K399" s="1" t="s">
        <v>957</v>
      </c>
      <c r="L399" s="1" t="s">
        <v>30</v>
      </c>
      <c r="M399" s="8">
        <v>0</v>
      </c>
      <c r="N399" s="6"/>
      <c r="O399" s="6"/>
      <c r="P399" s="9">
        <v>6.55</v>
      </c>
    </row>
    <row r="400" spans="1:16" ht="19.5" customHeight="1">
      <c r="A400" s="1" t="s">
        <v>1881</v>
      </c>
      <c r="B400" s="5">
        <v>46017</v>
      </c>
      <c r="C400" s="1" t="s">
        <v>31</v>
      </c>
      <c r="D400" s="1" t="s">
        <v>34</v>
      </c>
      <c r="E400" s="1" t="s">
        <v>226</v>
      </c>
      <c r="F400" s="1" t="s">
        <v>428</v>
      </c>
      <c r="G400" s="1" t="s">
        <v>1229</v>
      </c>
      <c r="H400" s="6">
        <v>1</v>
      </c>
      <c r="I400" s="7">
        <v>1387</v>
      </c>
      <c r="J400" s="5">
        <v>46015</v>
      </c>
      <c r="K400" s="1" t="s">
        <v>957</v>
      </c>
      <c r="L400" s="1" t="s">
        <v>30</v>
      </c>
      <c r="M400" s="8">
        <v>0</v>
      </c>
      <c r="N400" s="6"/>
      <c r="O400" s="6"/>
      <c r="P400" s="9">
        <v>725.84</v>
      </c>
    </row>
    <row r="401" spans="1:16" ht="19.5" customHeight="1">
      <c r="A401" s="1" t="s">
        <v>1881</v>
      </c>
      <c r="B401" s="5">
        <v>46017</v>
      </c>
      <c r="C401" s="1" t="s">
        <v>35</v>
      </c>
      <c r="D401" s="1" t="s">
        <v>36</v>
      </c>
      <c r="E401" s="1" t="s">
        <v>226</v>
      </c>
      <c r="F401" s="1" t="s">
        <v>428</v>
      </c>
      <c r="G401" s="1" t="s">
        <v>1229</v>
      </c>
      <c r="H401" s="6">
        <v>1</v>
      </c>
      <c r="I401" s="7">
        <v>1387</v>
      </c>
      <c r="J401" s="5">
        <v>46015</v>
      </c>
      <c r="K401" s="1" t="s">
        <v>957</v>
      </c>
      <c r="L401" s="1" t="s">
        <v>30</v>
      </c>
      <c r="M401" s="8">
        <v>0.43</v>
      </c>
      <c r="N401" s="6"/>
      <c r="O401" s="6"/>
      <c r="P401" s="9">
        <v>-596.41</v>
      </c>
    </row>
    <row r="402" spans="1:16" ht="19.5" customHeight="1">
      <c r="A402" s="1" t="s">
        <v>1881</v>
      </c>
      <c r="B402" s="5">
        <v>46017</v>
      </c>
      <c r="C402" s="1" t="s">
        <v>17</v>
      </c>
      <c r="D402" s="1" t="s">
        <v>37</v>
      </c>
      <c r="E402" s="1" t="s">
        <v>226</v>
      </c>
      <c r="F402" s="1" t="s">
        <v>428</v>
      </c>
      <c r="G402" s="1" t="s">
        <v>1229</v>
      </c>
      <c r="H402" s="6">
        <v>1</v>
      </c>
      <c r="I402" s="7">
        <v>1387</v>
      </c>
      <c r="J402" s="5">
        <v>46015</v>
      </c>
      <c r="K402" s="1" t="s">
        <v>957</v>
      </c>
      <c r="L402" s="1" t="s">
        <v>30</v>
      </c>
      <c r="M402" s="8">
        <v>0.43</v>
      </c>
      <c r="N402" s="6"/>
      <c r="O402" s="6"/>
      <c r="P402" s="9">
        <v>-5.97</v>
      </c>
    </row>
    <row r="403" spans="1:16" ht="19.5" customHeight="1">
      <c r="A403" s="1" t="s">
        <v>1882</v>
      </c>
      <c r="B403" s="5">
        <v>46017</v>
      </c>
      <c r="C403" s="1" t="s">
        <v>28</v>
      </c>
      <c r="D403" s="1" t="s">
        <v>29</v>
      </c>
      <c r="E403" s="1" t="s">
        <v>25</v>
      </c>
      <c r="F403" s="1" t="s">
        <v>26</v>
      </c>
      <c r="G403" s="1" t="s">
        <v>1229</v>
      </c>
      <c r="H403" s="6">
        <v>1</v>
      </c>
      <c r="I403" s="7">
        <v>0</v>
      </c>
      <c r="J403" s="5">
        <v>46007</v>
      </c>
      <c r="K403" s="1" t="s">
        <v>957</v>
      </c>
      <c r="L403" s="1" t="s">
        <v>30</v>
      </c>
      <c r="M403" s="8">
        <v>0</v>
      </c>
      <c r="N403" s="6"/>
      <c r="O403" s="6">
        <v>37</v>
      </c>
      <c r="P403" s="9">
        <v>-46.77</v>
      </c>
    </row>
    <row r="404" spans="1:16" ht="19.5" customHeight="1">
      <c r="A404" s="1" t="s">
        <v>1882</v>
      </c>
      <c r="B404" s="5">
        <v>46017</v>
      </c>
      <c r="C404" s="1" t="s">
        <v>17</v>
      </c>
      <c r="D404" s="1" t="s">
        <v>37</v>
      </c>
      <c r="E404" s="1" t="s">
        <v>25</v>
      </c>
      <c r="F404" s="1" t="s">
        <v>26</v>
      </c>
      <c r="G404" s="1" t="s">
        <v>1229</v>
      </c>
      <c r="H404" s="6">
        <v>1</v>
      </c>
      <c r="I404" s="7">
        <v>0</v>
      </c>
      <c r="J404" s="5">
        <v>46007</v>
      </c>
      <c r="K404" s="1" t="s">
        <v>957</v>
      </c>
      <c r="L404" s="1" t="s">
        <v>30</v>
      </c>
      <c r="M404" s="8">
        <v>0</v>
      </c>
      <c r="N404" s="6"/>
      <c r="O404" s="6"/>
      <c r="P404" s="9">
        <v>-25</v>
      </c>
    </row>
    <row r="405" spans="1:16" ht="19.5" customHeight="1">
      <c r="A405" s="1" t="s">
        <v>1882</v>
      </c>
      <c r="B405" s="5">
        <v>46017</v>
      </c>
      <c r="C405" s="1" t="s">
        <v>28</v>
      </c>
      <c r="D405" s="1" t="s">
        <v>45</v>
      </c>
      <c r="E405" s="1" t="s">
        <v>25</v>
      </c>
      <c r="F405" s="1" t="s">
        <v>26</v>
      </c>
      <c r="G405" s="1" t="s">
        <v>1229</v>
      </c>
      <c r="H405" s="6">
        <v>1</v>
      </c>
      <c r="I405" s="7">
        <v>0</v>
      </c>
      <c r="J405" s="5">
        <v>46007</v>
      </c>
      <c r="K405" s="1" t="s">
        <v>957</v>
      </c>
      <c r="L405" s="1" t="s">
        <v>30</v>
      </c>
      <c r="M405" s="8">
        <v>0</v>
      </c>
      <c r="N405" s="6"/>
      <c r="O405" s="6"/>
      <c r="P405" s="9">
        <v>0</v>
      </c>
    </row>
    <row r="406" spans="1:16" ht="19.5" customHeight="1">
      <c r="A406" s="1" t="s">
        <v>1882</v>
      </c>
      <c r="B406" s="5">
        <v>46017</v>
      </c>
      <c r="C406" s="1" t="s">
        <v>28</v>
      </c>
      <c r="D406" s="1" t="s">
        <v>46</v>
      </c>
      <c r="E406" s="1" t="s">
        <v>25</v>
      </c>
      <c r="F406" s="1" t="s">
        <v>26</v>
      </c>
      <c r="G406" s="1" t="s">
        <v>1229</v>
      </c>
      <c r="H406" s="6">
        <v>1</v>
      </c>
      <c r="I406" s="7">
        <v>0</v>
      </c>
      <c r="J406" s="5">
        <v>46007</v>
      </c>
      <c r="K406" s="1" t="s">
        <v>957</v>
      </c>
      <c r="L406" s="1" t="s">
        <v>30</v>
      </c>
      <c r="M406" s="8">
        <v>0</v>
      </c>
      <c r="N406" s="6"/>
      <c r="O406" s="6"/>
      <c r="P406" s="9">
        <v>-46.77</v>
      </c>
    </row>
    <row r="407" spans="1:16" ht="19.5" customHeight="1">
      <c r="A407" s="1" t="s">
        <v>1882</v>
      </c>
      <c r="B407" s="5">
        <v>46017</v>
      </c>
      <c r="C407" s="1" t="s">
        <v>17</v>
      </c>
      <c r="D407" s="1" t="s">
        <v>47</v>
      </c>
      <c r="E407" s="1" t="s">
        <v>25</v>
      </c>
      <c r="F407" s="1" t="s">
        <v>26</v>
      </c>
      <c r="G407" s="1" t="s">
        <v>1229</v>
      </c>
      <c r="H407" s="6">
        <v>1</v>
      </c>
      <c r="I407" s="7">
        <v>0</v>
      </c>
      <c r="J407" s="5">
        <v>46007</v>
      </c>
      <c r="K407" s="1" t="s">
        <v>957</v>
      </c>
      <c r="L407" s="1" t="s">
        <v>30</v>
      </c>
      <c r="M407" s="8">
        <v>0</v>
      </c>
      <c r="N407" s="6"/>
      <c r="O407" s="6"/>
      <c r="P407" s="9">
        <v>-15</v>
      </c>
    </row>
    <row r="408" spans="1:16" ht="19.5" customHeight="1">
      <c r="A408" s="1" t="s">
        <v>1883</v>
      </c>
      <c r="B408" s="5">
        <v>46017</v>
      </c>
      <c r="C408" s="1" t="s">
        <v>28</v>
      </c>
      <c r="D408" s="1" t="s">
        <v>29</v>
      </c>
      <c r="E408" s="1" t="s">
        <v>25</v>
      </c>
      <c r="F408" s="1" t="s">
        <v>26</v>
      </c>
      <c r="G408" s="1" t="s">
        <v>1229</v>
      </c>
      <c r="H408" s="6">
        <v>1</v>
      </c>
      <c r="I408" s="7">
        <v>1017</v>
      </c>
      <c r="J408" s="5">
        <v>46016</v>
      </c>
      <c r="K408" s="1" t="s">
        <v>957</v>
      </c>
      <c r="L408" s="1" t="s">
        <v>30</v>
      </c>
      <c r="M408" s="8">
        <v>0.43</v>
      </c>
      <c r="N408" s="6"/>
      <c r="O408" s="6">
        <v>38</v>
      </c>
      <c r="P408" s="9">
        <v>-88.61</v>
      </c>
    </row>
    <row r="409" spans="1:16" ht="19.5" customHeight="1">
      <c r="A409" s="1" t="s">
        <v>1883</v>
      </c>
      <c r="B409" s="5">
        <v>46017</v>
      </c>
      <c r="C409" s="1" t="s">
        <v>31</v>
      </c>
      <c r="D409" s="1" t="s">
        <v>32</v>
      </c>
      <c r="E409" s="1" t="s">
        <v>25</v>
      </c>
      <c r="F409" s="1" t="s">
        <v>26</v>
      </c>
      <c r="G409" s="1" t="s">
        <v>1229</v>
      </c>
      <c r="H409" s="6">
        <v>1</v>
      </c>
      <c r="I409" s="7">
        <v>1017</v>
      </c>
      <c r="J409" s="5">
        <v>46016</v>
      </c>
      <c r="K409" s="1" t="s">
        <v>957</v>
      </c>
      <c r="L409" s="1" t="s">
        <v>30</v>
      </c>
      <c r="M409" s="8">
        <v>0</v>
      </c>
      <c r="N409" s="6"/>
      <c r="O409" s="6"/>
      <c r="P409" s="9">
        <v>387.25</v>
      </c>
    </row>
    <row r="410" spans="1:16" ht="19.5" customHeight="1">
      <c r="A410" s="1" t="s">
        <v>1883</v>
      </c>
      <c r="B410" s="5">
        <v>46017</v>
      </c>
      <c r="C410" s="1" t="s">
        <v>31</v>
      </c>
      <c r="D410" s="1" t="s">
        <v>33</v>
      </c>
      <c r="E410" s="1" t="s">
        <v>25</v>
      </c>
      <c r="F410" s="1" t="s">
        <v>26</v>
      </c>
      <c r="G410" s="1" t="s">
        <v>1229</v>
      </c>
      <c r="H410" s="6">
        <v>1</v>
      </c>
      <c r="I410" s="7">
        <v>1017</v>
      </c>
      <c r="J410" s="5">
        <v>46016</v>
      </c>
      <c r="K410" s="1" t="s">
        <v>957</v>
      </c>
      <c r="L410" s="1" t="s">
        <v>30</v>
      </c>
      <c r="M410" s="8">
        <v>0</v>
      </c>
      <c r="N410" s="6"/>
      <c r="O410" s="6"/>
      <c r="P410" s="9">
        <v>0</v>
      </c>
    </row>
    <row r="411" spans="1:16" ht="19.5" customHeight="1">
      <c r="A411" s="1" t="s">
        <v>1883</v>
      </c>
      <c r="B411" s="5">
        <v>46017</v>
      </c>
      <c r="C411" s="1" t="s">
        <v>31</v>
      </c>
      <c r="D411" s="1" t="s">
        <v>34</v>
      </c>
      <c r="E411" s="1" t="s">
        <v>25</v>
      </c>
      <c r="F411" s="1" t="s">
        <v>26</v>
      </c>
      <c r="G411" s="1" t="s">
        <v>1229</v>
      </c>
      <c r="H411" s="6">
        <v>1</v>
      </c>
      <c r="I411" s="7">
        <v>1017</v>
      </c>
      <c r="J411" s="5">
        <v>46016</v>
      </c>
      <c r="K411" s="1" t="s">
        <v>957</v>
      </c>
      <c r="L411" s="1" t="s">
        <v>30</v>
      </c>
      <c r="M411" s="8">
        <v>0</v>
      </c>
      <c r="N411" s="6"/>
      <c r="O411" s="6"/>
      <c r="P411" s="9">
        <v>629.75</v>
      </c>
    </row>
    <row r="412" spans="1:16" ht="19.5" customHeight="1">
      <c r="A412" s="1" t="s">
        <v>1883</v>
      </c>
      <c r="B412" s="5">
        <v>46017</v>
      </c>
      <c r="C412" s="1" t="s">
        <v>35</v>
      </c>
      <c r="D412" s="1" t="s">
        <v>36</v>
      </c>
      <c r="E412" s="1" t="s">
        <v>25</v>
      </c>
      <c r="F412" s="1" t="s">
        <v>26</v>
      </c>
      <c r="G412" s="1" t="s">
        <v>1229</v>
      </c>
      <c r="H412" s="6">
        <v>1</v>
      </c>
      <c r="I412" s="7">
        <v>1017</v>
      </c>
      <c r="J412" s="5">
        <v>46016</v>
      </c>
      <c r="K412" s="1" t="s">
        <v>957</v>
      </c>
      <c r="L412" s="1" t="s">
        <v>30</v>
      </c>
      <c r="M412" s="8">
        <v>0.43</v>
      </c>
      <c r="N412" s="6"/>
      <c r="O412" s="6"/>
      <c r="P412" s="9">
        <v>-437.31</v>
      </c>
    </row>
    <row r="413" spans="1:16" ht="19.5" customHeight="1">
      <c r="A413" s="1" t="s">
        <v>1883</v>
      </c>
      <c r="B413" s="5">
        <v>46017</v>
      </c>
      <c r="C413" s="1" t="s">
        <v>17</v>
      </c>
      <c r="D413" s="1" t="s">
        <v>37</v>
      </c>
      <c r="E413" s="1" t="s">
        <v>25</v>
      </c>
      <c r="F413" s="1" t="s">
        <v>26</v>
      </c>
      <c r="G413" s="1" t="s">
        <v>1229</v>
      </c>
      <c r="H413" s="6">
        <v>1</v>
      </c>
      <c r="I413" s="7">
        <v>1017</v>
      </c>
      <c r="J413" s="5">
        <v>46016</v>
      </c>
      <c r="K413" s="1" t="s">
        <v>957</v>
      </c>
      <c r="L413" s="1" t="s">
        <v>30</v>
      </c>
      <c r="M413" s="8">
        <v>0.43</v>
      </c>
      <c r="N413" s="6"/>
      <c r="O413" s="6"/>
      <c r="P413" s="9">
        <v>-5.45</v>
      </c>
    </row>
    <row r="414" spans="1:16" ht="19.5" customHeight="1">
      <c r="A414" s="1" t="s">
        <v>1884</v>
      </c>
      <c r="B414" s="5">
        <v>46017</v>
      </c>
      <c r="C414" s="1" t="s">
        <v>28</v>
      </c>
      <c r="D414" s="1" t="s">
        <v>29</v>
      </c>
      <c r="E414" s="1" t="s">
        <v>25</v>
      </c>
      <c r="F414" s="1" t="s">
        <v>26</v>
      </c>
      <c r="G414" s="1" t="s">
        <v>1229</v>
      </c>
      <c r="H414" s="6">
        <v>1</v>
      </c>
      <c r="I414" s="7">
        <v>1704</v>
      </c>
      <c r="J414" s="5">
        <v>46014</v>
      </c>
      <c r="K414" s="1" t="s">
        <v>957</v>
      </c>
      <c r="L414" s="1" t="s">
        <v>30</v>
      </c>
      <c r="M414" s="8">
        <v>0.43</v>
      </c>
      <c r="N414" s="6"/>
      <c r="O414" s="6">
        <v>42</v>
      </c>
      <c r="P414" s="9">
        <v>-121.99</v>
      </c>
    </row>
    <row r="415" spans="1:16" ht="19.5" customHeight="1">
      <c r="A415" s="1" t="s">
        <v>1884</v>
      </c>
      <c r="B415" s="5">
        <v>46017</v>
      </c>
      <c r="C415" s="1" t="s">
        <v>31</v>
      </c>
      <c r="D415" s="1" t="s">
        <v>32</v>
      </c>
      <c r="E415" s="1" t="s">
        <v>25</v>
      </c>
      <c r="F415" s="1" t="s">
        <v>26</v>
      </c>
      <c r="G415" s="1" t="s">
        <v>1229</v>
      </c>
      <c r="H415" s="6">
        <v>1</v>
      </c>
      <c r="I415" s="7">
        <v>1704</v>
      </c>
      <c r="J415" s="5">
        <v>46014</v>
      </c>
      <c r="K415" s="1" t="s">
        <v>957</v>
      </c>
      <c r="L415" s="1" t="s">
        <v>30</v>
      </c>
      <c r="M415" s="8">
        <v>0</v>
      </c>
      <c r="N415" s="6"/>
      <c r="O415" s="6"/>
      <c r="P415" s="9">
        <v>585.71</v>
      </c>
    </row>
    <row r="416" spans="1:16" ht="19.5" customHeight="1">
      <c r="A416" s="1" t="s">
        <v>1884</v>
      </c>
      <c r="B416" s="5">
        <v>46017</v>
      </c>
      <c r="C416" s="1" t="s">
        <v>31</v>
      </c>
      <c r="D416" s="1" t="s">
        <v>33</v>
      </c>
      <c r="E416" s="1" t="s">
        <v>25</v>
      </c>
      <c r="F416" s="1" t="s">
        <v>26</v>
      </c>
      <c r="G416" s="1" t="s">
        <v>1229</v>
      </c>
      <c r="H416" s="6">
        <v>1</v>
      </c>
      <c r="I416" s="7">
        <v>1704</v>
      </c>
      <c r="J416" s="5">
        <v>46014</v>
      </c>
      <c r="K416" s="1" t="s">
        <v>957</v>
      </c>
      <c r="L416" s="1" t="s">
        <v>30</v>
      </c>
      <c r="M416" s="8">
        <v>0</v>
      </c>
      <c r="N416" s="6"/>
      <c r="O416" s="6"/>
      <c r="P416" s="9">
        <v>5.86</v>
      </c>
    </row>
    <row r="417" spans="1:16" ht="19.5" customHeight="1">
      <c r="A417" s="1" t="s">
        <v>1884</v>
      </c>
      <c r="B417" s="5">
        <v>46017</v>
      </c>
      <c r="C417" s="1" t="s">
        <v>31</v>
      </c>
      <c r="D417" s="1" t="s">
        <v>34</v>
      </c>
      <c r="E417" s="1" t="s">
        <v>25</v>
      </c>
      <c r="F417" s="1" t="s">
        <v>26</v>
      </c>
      <c r="G417" s="1" t="s">
        <v>1229</v>
      </c>
      <c r="H417" s="6">
        <v>1</v>
      </c>
      <c r="I417" s="7">
        <v>1704</v>
      </c>
      <c r="J417" s="5">
        <v>46014</v>
      </c>
      <c r="K417" s="1" t="s">
        <v>957</v>
      </c>
      <c r="L417" s="1" t="s">
        <v>30</v>
      </c>
      <c r="M417" s="8">
        <v>0</v>
      </c>
      <c r="N417" s="6"/>
      <c r="O417" s="6"/>
      <c r="P417" s="9">
        <v>1112.43</v>
      </c>
    </row>
    <row r="418" spans="1:16" ht="19.5" customHeight="1">
      <c r="A418" s="1" t="s">
        <v>1884</v>
      </c>
      <c r="B418" s="5">
        <v>46017</v>
      </c>
      <c r="C418" s="1" t="s">
        <v>35</v>
      </c>
      <c r="D418" s="1" t="s">
        <v>36</v>
      </c>
      <c r="E418" s="1" t="s">
        <v>25</v>
      </c>
      <c r="F418" s="1" t="s">
        <v>26</v>
      </c>
      <c r="G418" s="1" t="s">
        <v>1229</v>
      </c>
      <c r="H418" s="6">
        <v>1</v>
      </c>
      <c r="I418" s="7">
        <v>1704</v>
      </c>
      <c r="J418" s="5">
        <v>46014</v>
      </c>
      <c r="K418" s="1" t="s">
        <v>957</v>
      </c>
      <c r="L418" s="1" t="s">
        <v>30</v>
      </c>
      <c r="M418" s="8">
        <v>0.43</v>
      </c>
      <c r="N418" s="6"/>
      <c r="O418" s="6"/>
      <c r="P418" s="9">
        <v>-732.72</v>
      </c>
    </row>
    <row r="419" spans="1:16" ht="19.5" customHeight="1">
      <c r="A419" s="1" t="s">
        <v>1884</v>
      </c>
      <c r="B419" s="5">
        <v>46017</v>
      </c>
      <c r="C419" s="1" t="s">
        <v>17</v>
      </c>
      <c r="D419" s="1" t="s">
        <v>37</v>
      </c>
      <c r="E419" s="1" t="s">
        <v>25</v>
      </c>
      <c r="F419" s="1" t="s">
        <v>26</v>
      </c>
      <c r="G419" s="1" t="s">
        <v>1229</v>
      </c>
      <c r="H419" s="6">
        <v>1</v>
      </c>
      <c r="I419" s="7">
        <v>1704</v>
      </c>
      <c r="J419" s="5">
        <v>46014</v>
      </c>
      <c r="K419" s="1" t="s">
        <v>957</v>
      </c>
      <c r="L419" s="1" t="s">
        <v>30</v>
      </c>
      <c r="M419" s="8">
        <v>0.43</v>
      </c>
      <c r="N419" s="6"/>
      <c r="O419" s="6"/>
      <c r="P419" s="9">
        <v>-8.27</v>
      </c>
    </row>
    <row r="420" spans="1:16" ht="19.5" customHeight="1">
      <c r="A420" s="1" t="s">
        <v>1884</v>
      </c>
      <c r="B420" s="5">
        <v>46017</v>
      </c>
      <c r="C420" s="1" t="s">
        <v>17</v>
      </c>
      <c r="D420" s="1" t="s">
        <v>18</v>
      </c>
      <c r="E420" s="1" t="s">
        <v>25</v>
      </c>
      <c r="F420" s="1" t="s">
        <v>26</v>
      </c>
      <c r="G420" s="1" t="s">
        <v>1229</v>
      </c>
      <c r="H420" s="6">
        <v>1</v>
      </c>
      <c r="I420" s="7">
        <v>0</v>
      </c>
      <c r="J420" s="5">
        <v>46014</v>
      </c>
      <c r="K420" s="1" t="s">
        <v>22</v>
      </c>
      <c r="L420" s="1" t="s">
        <v>22</v>
      </c>
      <c r="M420" s="8">
        <v>0</v>
      </c>
      <c r="N420" s="6"/>
      <c r="O420" s="6"/>
      <c r="P420" s="9">
        <v>-11.13</v>
      </c>
    </row>
    <row r="421" spans="1:16" ht="19.5" customHeight="1">
      <c r="A421" s="1" t="s">
        <v>1847</v>
      </c>
      <c r="B421" s="5">
        <v>46017</v>
      </c>
      <c r="C421" s="1" t="s">
        <v>77</v>
      </c>
      <c r="D421" s="1" t="s">
        <v>82</v>
      </c>
      <c r="E421" s="1" t="s">
        <v>22</v>
      </c>
      <c r="F421" s="1" t="s">
        <v>22</v>
      </c>
      <c r="G421" s="1" t="s">
        <v>22</v>
      </c>
      <c r="H421" s="6">
        <v>0</v>
      </c>
      <c r="I421" s="7">
        <v>0</v>
      </c>
      <c r="J421" s="5">
        <v>46017</v>
      </c>
      <c r="K421" s="1" t="s">
        <v>22</v>
      </c>
      <c r="L421" s="1" t="s">
        <v>22</v>
      </c>
      <c r="M421" s="8">
        <v>0</v>
      </c>
      <c r="N421" s="6"/>
      <c r="O421" s="6"/>
      <c r="P421" s="9">
        <v>-289.52</v>
      </c>
    </row>
    <row r="422" spans="1:16" ht="19.5" customHeight="1">
      <c r="A422" s="1" t="s">
        <v>1376</v>
      </c>
      <c r="B422" s="5">
        <v>46017</v>
      </c>
      <c r="C422" s="1" t="s">
        <v>77</v>
      </c>
      <c r="D422" s="1" t="s">
        <v>82</v>
      </c>
      <c r="E422" s="1" t="s">
        <v>22</v>
      </c>
      <c r="F422" s="1" t="s">
        <v>22</v>
      </c>
      <c r="G422" s="1" t="s">
        <v>22</v>
      </c>
      <c r="H422" s="6">
        <v>0</v>
      </c>
      <c r="I422" s="7">
        <v>0</v>
      </c>
      <c r="J422" s="5">
        <v>46017</v>
      </c>
      <c r="K422" s="1" t="s">
        <v>22</v>
      </c>
      <c r="L422" s="1" t="s">
        <v>22</v>
      </c>
      <c r="M422" s="8">
        <v>0</v>
      </c>
      <c r="N422" s="6"/>
      <c r="O422" s="6"/>
      <c r="P422" s="9">
        <v>-975.99</v>
      </c>
    </row>
    <row r="423" spans="1:16" ht="19.5" customHeight="1">
      <c r="A423" s="1" t="s">
        <v>1075</v>
      </c>
      <c r="B423" s="5">
        <v>46017</v>
      </c>
      <c r="C423" s="1" t="s">
        <v>77</v>
      </c>
      <c r="D423" s="1" t="s">
        <v>82</v>
      </c>
      <c r="E423" s="1" t="s">
        <v>22</v>
      </c>
      <c r="F423" s="1" t="s">
        <v>22</v>
      </c>
      <c r="G423" s="1" t="s">
        <v>22</v>
      </c>
      <c r="H423" s="6">
        <v>0</v>
      </c>
      <c r="I423" s="7">
        <v>0</v>
      </c>
      <c r="J423" s="5">
        <v>46017</v>
      </c>
      <c r="K423" s="1" t="s">
        <v>22</v>
      </c>
      <c r="L423" s="1" t="s">
        <v>22</v>
      </c>
      <c r="M423" s="8">
        <v>0</v>
      </c>
      <c r="N423" s="6"/>
      <c r="O423" s="6"/>
      <c r="P423" s="9">
        <v>-554.84</v>
      </c>
    </row>
    <row r="424" spans="1:16" ht="19.5" customHeight="1">
      <c r="A424" s="1" t="s">
        <v>83</v>
      </c>
      <c r="B424" s="5">
        <v>46017</v>
      </c>
      <c r="C424" s="1" t="s">
        <v>77</v>
      </c>
      <c r="D424" s="1" t="s">
        <v>84</v>
      </c>
      <c r="E424" s="1" t="s">
        <v>22</v>
      </c>
      <c r="F424" s="1" t="s">
        <v>22</v>
      </c>
      <c r="G424" s="1" t="s">
        <v>22</v>
      </c>
      <c r="H424" s="6">
        <v>0</v>
      </c>
      <c r="I424" s="7">
        <v>0</v>
      </c>
      <c r="J424" s="5">
        <v>46017</v>
      </c>
      <c r="K424" s="1" t="s">
        <v>22</v>
      </c>
      <c r="L424" s="1" t="s">
        <v>22</v>
      </c>
      <c r="M424" s="8">
        <v>0</v>
      </c>
      <c r="N424" s="6"/>
      <c r="O424" s="6"/>
      <c r="P424" s="9">
        <v>-1240.8</v>
      </c>
    </row>
    <row r="425" spans="1:16" ht="19.5" customHeight="1">
      <c r="A425" s="1" t="s">
        <v>1885</v>
      </c>
      <c r="B425" s="5">
        <v>46018</v>
      </c>
      <c r="C425" s="1" t="s">
        <v>17</v>
      </c>
      <c r="D425" s="1" t="s">
        <v>18</v>
      </c>
      <c r="E425" s="1" t="s">
        <v>25</v>
      </c>
      <c r="F425" s="1" t="s">
        <v>26</v>
      </c>
      <c r="G425" s="1" t="s">
        <v>1229</v>
      </c>
      <c r="H425" s="6">
        <v>1</v>
      </c>
      <c r="I425" s="7">
        <v>0</v>
      </c>
      <c r="J425" s="5">
        <v>46018</v>
      </c>
      <c r="K425" s="1" t="s">
        <v>22</v>
      </c>
      <c r="L425" s="1" t="s">
        <v>22</v>
      </c>
      <c r="M425" s="8">
        <v>0</v>
      </c>
      <c r="N425" s="6"/>
      <c r="O425" s="6"/>
      <c r="P425" s="9">
        <v>-3.57</v>
      </c>
    </row>
    <row r="426" spans="1:16" ht="19.5" customHeight="1">
      <c r="A426" s="1" t="s">
        <v>1886</v>
      </c>
      <c r="B426" s="5">
        <v>46018</v>
      </c>
      <c r="C426" s="1" t="s">
        <v>28</v>
      </c>
      <c r="D426" s="1" t="s">
        <v>29</v>
      </c>
      <c r="E426" s="1" t="s">
        <v>25</v>
      </c>
      <c r="F426" s="1" t="s">
        <v>26</v>
      </c>
      <c r="G426" s="1" t="s">
        <v>1229</v>
      </c>
      <c r="H426" s="6">
        <v>1</v>
      </c>
      <c r="I426" s="7">
        <v>0</v>
      </c>
      <c r="J426" s="5">
        <v>46013</v>
      </c>
      <c r="K426" s="1" t="s">
        <v>957</v>
      </c>
      <c r="L426" s="1" t="s">
        <v>30</v>
      </c>
      <c r="M426" s="8">
        <v>0</v>
      </c>
      <c r="N426" s="6"/>
      <c r="O426" s="6">
        <v>42</v>
      </c>
      <c r="P426" s="9">
        <v>-46.77</v>
      </c>
    </row>
    <row r="427" spans="1:16" ht="19.5" customHeight="1">
      <c r="A427" s="1" t="s">
        <v>1886</v>
      </c>
      <c r="B427" s="5">
        <v>46018</v>
      </c>
      <c r="C427" s="1" t="s">
        <v>28</v>
      </c>
      <c r="D427" s="1" t="s">
        <v>45</v>
      </c>
      <c r="E427" s="1" t="s">
        <v>25</v>
      </c>
      <c r="F427" s="1" t="s">
        <v>26</v>
      </c>
      <c r="G427" s="1" t="s">
        <v>1229</v>
      </c>
      <c r="H427" s="6">
        <v>1</v>
      </c>
      <c r="I427" s="7">
        <v>0</v>
      </c>
      <c r="J427" s="5">
        <v>46013</v>
      </c>
      <c r="K427" s="1" t="s">
        <v>957</v>
      </c>
      <c r="L427" s="1" t="s">
        <v>30</v>
      </c>
      <c r="M427" s="8">
        <v>0</v>
      </c>
      <c r="N427" s="6"/>
      <c r="O427" s="6"/>
      <c r="P427" s="9">
        <v>0</v>
      </c>
    </row>
    <row r="428" spans="1:16" ht="19.5" customHeight="1">
      <c r="A428" s="1" t="s">
        <v>1886</v>
      </c>
      <c r="B428" s="5">
        <v>46018</v>
      </c>
      <c r="C428" s="1" t="s">
        <v>28</v>
      </c>
      <c r="D428" s="1" t="s">
        <v>46</v>
      </c>
      <c r="E428" s="1" t="s">
        <v>25</v>
      </c>
      <c r="F428" s="1" t="s">
        <v>26</v>
      </c>
      <c r="G428" s="1" t="s">
        <v>1229</v>
      </c>
      <c r="H428" s="6">
        <v>1</v>
      </c>
      <c r="I428" s="7">
        <v>0</v>
      </c>
      <c r="J428" s="5">
        <v>46013</v>
      </c>
      <c r="K428" s="1" t="s">
        <v>957</v>
      </c>
      <c r="L428" s="1" t="s">
        <v>30</v>
      </c>
      <c r="M428" s="8">
        <v>0</v>
      </c>
      <c r="N428" s="6"/>
      <c r="O428" s="6"/>
      <c r="P428" s="9">
        <v>-46.77</v>
      </c>
    </row>
    <row r="429" spans="1:16" ht="19.5" customHeight="1">
      <c r="A429" s="1" t="s">
        <v>1887</v>
      </c>
      <c r="B429" s="5">
        <v>46018</v>
      </c>
      <c r="C429" s="1" t="s">
        <v>17</v>
      </c>
      <c r="D429" s="1" t="s">
        <v>18</v>
      </c>
      <c r="E429" s="1" t="s">
        <v>223</v>
      </c>
      <c r="F429" s="1" t="s">
        <v>395</v>
      </c>
      <c r="G429" s="1" t="s">
        <v>1229</v>
      </c>
      <c r="H429" s="6">
        <v>1</v>
      </c>
      <c r="I429" s="7">
        <v>0</v>
      </c>
      <c r="J429" s="5">
        <v>46018</v>
      </c>
      <c r="K429" s="1" t="s">
        <v>22</v>
      </c>
      <c r="L429" s="1" t="s">
        <v>22</v>
      </c>
      <c r="M429" s="8">
        <v>0</v>
      </c>
      <c r="N429" s="6"/>
      <c r="O429" s="6"/>
      <c r="P429" s="9">
        <v>-11.02</v>
      </c>
    </row>
    <row r="430" spans="1:16" ht="19.5" customHeight="1">
      <c r="A430" s="1" t="s">
        <v>1888</v>
      </c>
      <c r="B430" s="5">
        <v>46018</v>
      </c>
      <c r="C430" s="1" t="s">
        <v>28</v>
      </c>
      <c r="D430" s="1" t="s">
        <v>29</v>
      </c>
      <c r="E430" s="1" t="s">
        <v>88</v>
      </c>
      <c r="F430" s="1" t="s">
        <v>89</v>
      </c>
      <c r="G430" s="1" t="s">
        <v>1231</v>
      </c>
      <c r="H430" s="6">
        <v>1</v>
      </c>
      <c r="I430" s="7">
        <v>1322</v>
      </c>
      <c r="J430" s="5">
        <v>46013</v>
      </c>
      <c r="K430" s="1" t="s">
        <v>957</v>
      </c>
      <c r="L430" s="1" t="s">
        <v>30</v>
      </c>
      <c r="M430" s="8">
        <v>0.43</v>
      </c>
      <c r="N430" s="6"/>
      <c r="O430" s="6">
        <v>42</v>
      </c>
      <c r="P430" s="9">
        <v>-111.11</v>
      </c>
    </row>
    <row r="431" spans="1:16" ht="19.5" customHeight="1">
      <c r="A431" s="1" t="s">
        <v>1888</v>
      </c>
      <c r="B431" s="5">
        <v>46018</v>
      </c>
      <c r="C431" s="1" t="s">
        <v>31</v>
      </c>
      <c r="D431" s="1" t="s">
        <v>32</v>
      </c>
      <c r="E431" s="1" t="s">
        <v>88</v>
      </c>
      <c r="F431" s="1" t="s">
        <v>89</v>
      </c>
      <c r="G431" s="1" t="s">
        <v>1231</v>
      </c>
      <c r="H431" s="6">
        <v>1</v>
      </c>
      <c r="I431" s="7">
        <v>1322</v>
      </c>
      <c r="J431" s="5">
        <v>46013</v>
      </c>
      <c r="K431" s="1" t="s">
        <v>957</v>
      </c>
      <c r="L431" s="1" t="s">
        <v>30</v>
      </c>
      <c r="M431" s="8">
        <v>0</v>
      </c>
      <c r="N431" s="6"/>
      <c r="O431" s="6"/>
      <c r="P431" s="9">
        <v>748.81</v>
      </c>
    </row>
    <row r="432" spans="1:16" ht="19.5" customHeight="1">
      <c r="A432" s="1" t="s">
        <v>1888</v>
      </c>
      <c r="B432" s="5">
        <v>46018</v>
      </c>
      <c r="C432" s="1" t="s">
        <v>31</v>
      </c>
      <c r="D432" s="1" t="s">
        <v>33</v>
      </c>
      <c r="E432" s="1" t="s">
        <v>88</v>
      </c>
      <c r="F432" s="1" t="s">
        <v>89</v>
      </c>
      <c r="G432" s="1" t="s">
        <v>1231</v>
      </c>
      <c r="H432" s="6">
        <v>1</v>
      </c>
      <c r="I432" s="7">
        <v>1322</v>
      </c>
      <c r="J432" s="5">
        <v>46013</v>
      </c>
      <c r="K432" s="1" t="s">
        <v>957</v>
      </c>
      <c r="L432" s="1" t="s">
        <v>30</v>
      </c>
      <c r="M432" s="8">
        <v>0</v>
      </c>
      <c r="N432" s="6"/>
      <c r="O432" s="6"/>
      <c r="P432" s="9">
        <v>0</v>
      </c>
    </row>
    <row r="433" spans="1:16" ht="19.5" customHeight="1">
      <c r="A433" s="1" t="s">
        <v>1888</v>
      </c>
      <c r="B433" s="5">
        <v>46018</v>
      </c>
      <c r="C433" s="1" t="s">
        <v>31</v>
      </c>
      <c r="D433" s="1" t="s">
        <v>34</v>
      </c>
      <c r="E433" s="1" t="s">
        <v>88</v>
      </c>
      <c r="F433" s="1" t="s">
        <v>89</v>
      </c>
      <c r="G433" s="1" t="s">
        <v>1231</v>
      </c>
      <c r="H433" s="6">
        <v>1</v>
      </c>
      <c r="I433" s="7">
        <v>1322</v>
      </c>
      <c r="J433" s="5">
        <v>46013</v>
      </c>
      <c r="K433" s="1" t="s">
        <v>957</v>
      </c>
      <c r="L433" s="1" t="s">
        <v>30</v>
      </c>
      <c r="M433" s="8">
        <v>0</v>
      </c>
      <c r="N433" s="6"/>
      <c r="O433" s="6"/>
      <c r="P433" s="9">
        <v>573.19000000000005</v>
      </c>
    </row>
    <row r="434" spans="1:16" ht="19.5" customHeight="1">
      <c r="A434" s="1" t="s">
        <v>1888</v>
      </c>
      <c r="B434" s="5">
        <v>46018</v>
      </c>
      <c r="C434" s="1" t="s">
        <v>35</v>
      </c>
      <c r="D434" s="1" t="s">
        <v>36</v>
      </c>
      <c r="E434" s="1" t="s">
        <v>88</v>
      </c>
      <c r="F434" s="1" t="s">
        <v>89</v>
      </c>
      <c r="G434" s="1" t="s">
        <v>1231</v>
      </c>
      <c r="H434" s="6">
        <v>1</v>
      </c>
      <c r="I434" s="7">
        <v>1322</v>
      </c>
      <c r="J434" s="5">
        <v>46013</v>
      </c>
      <c r="K434" s="1" t="s">
        <v>957</v>
      </c>
      <c r="L434" s="1" t="s">
        <v>30</v>
      </c>
      <c r="M434" s="8">
        <v>0.43</v>
      </c>
      <c r="N434" s="6"/>
      <c r="O434" s="6"/>
      <c r="P434" s="9">
        <v>-568.46</v>
      </c>
    </row>
    <row r="435" spans="1:16" ht="19.5" customHeight="1">
      <c r="A435" s="1" t="s">
        <v>1888</v>
      </c>
      <c r="B435" s="5">
        <v>46018</v>
      </c>
      <c r="C435" s="1" t="s">
        <v>17</v>
      </c>
      <c r="D435" s="1" t="s">
        <v>37</v>
      </c>
      <c r="E435" s="1" t="s">
        <v>88</v>
      </c>
      <c r="F435" s="1" t="s">
        <v>89</v>
      </c>
      <c r="G435" s="1" t="s">
        <v>1231</v>
      </c>
      <c r="H435" s="6">
        <v>1</v>
      </c>
      <c r="I435" s="7">
        <v>1322</v>
      </c>
      <c r="J435" s="5">
        <v>46013</v>
      </c>
      <c r="K435" s="1" t="s">
        <v>957</v>
      </c>
      <c r="L435" s="1" t="s">
        <v>30</v>
      </c>
      <c r="M435" s="8">
        <v>0.43</v>
      </c>
      <c r="N435" s="6"/>
      <c r="O435" s="6"/>
      <c r="P435" s="9">
        <v>-5.83</v>
      </c>
    </row>
    <row r="436" spans="1:16" ht="19.5" customHeight="1">
      <c r="A436" s="1" t="s">
        <v>1888</v>
      </c>
      <c r="B436" s="5">
        <v>46018</v>
      </c>
      <c r="C436" s="1" t="s">
        <v>17</v>
      </c>
      <c r="D436" s="1" t="s">
        <v>18</v>
      </c>
      <c r="E436" s="1" t="s">
        <v>88</v>
      </c>
      <c r="F436" s="1" t="s">
        <v>89</v>
      </c>
      <c r="G436" s="1" t="s">
        <v>1231</v>
      </c>
      <c r="H436" s="6">
        <v>1</v>
      </c>
      <c r="I436" s="7">
        <v>0</v>
      </c>
      <c r="J436" s="5">
        <v>46013</v>
      </c>
      <c r="K436" s="1" t="s">
        <v>22</v>
      </c>
      <c r="L436" s="1" t="s">
        <v>22</v>
      </c>
      <c r="M436" s="8">
        <v>0</v>
      </c>
      <c r="N436" s="6"/>
      <c r="O436" s="6"/>
      <c r="P436" s="9">
        <v>-5.39</v>
      </c>
    </row>
    <row r="437" spans="1:16" ht="19.5" customHeight="1">
      <c r="A437" s="1" t="s">
        <v>1889</v>
      </c>
      <c r="B437" s="5">
        <v>46018</v>
      </c>
      <c r="C437" s="1" t="s">
        <v>28</v>
      </c>
      <c r="D437" s="1" t="s">
        <v>29</v>
      </c>
      <c r="E437" s="1" t="s">
        <v>25</v>
      </c>
      <c r="F437" s="1" t="s">
        <v>26</v>
      </c>
      <c r="G437" s="1" t="s">
        <v>1229</v>
      </c>
      <c r="H437" s="6">
        <v>1</v>
      </c>
      <c r="I437" s="7">
        <v>0</v>
      </c>
      <c r="J437" s="5">
        <v>45990</v>
      </c>
      <c r="K437" s="1" t="s">
        <v>957</v>
      </c>
      <c r="L437" s="1" t="s">
        <v>30</v>
      </c>
      <c r="M437" s="8">
        <v>0</v>
      </c>
      <c r="N437" s="6"/>
      <c r="O437" s="6">
        <v>47</v>
      </c>
      <c r="P437" s="9">
        <v>-46</v>
      </c>
    </row>
    <row r="438" spans="1:16" ht="19.5" customHeight="1">
      <c r="A438" s="1" t="s">
        <v>1889</v>
      </c>
      <c r="B438" s="5">
        <v>46018</v>
      </c>
      <c r="C438" s="1" t="s">
        <v>17</v>
      </c>
      <c r="D438" s="1" t="s">
        <v>37</v>
      </c>
      <c r="E438" s="1" t="s">
        <v>25</v>
      </c>
      <c r="F438" s="1" t="s">
        <v>26</v>
      </c>
      <c r="G438" s="1" t="s">
        <v>1229</v>
      </c>
      <c r="H438" s="6">
        <v>1</v>
      </c>
      <c r="I438" s="7">
        <v>0</v>
      </c>
      <c r="J438" s="5">
        <v>45990</v>
      </c>
      <c r="K438" s="1" t="s">
        <v>957</v>
      </c>
      <c r="L438" s="1" t="s">
        <v>30</v>
      </c>
      <c r="M438" s="8">
        <v>0</v>
      </c>
      <c r="N438" s="6"/>
      <c r="O438" s="6"/>
      <c r="P438" s="9">
        <v>-13.78</v>
      </c>
    </row>
    <row r="439" spans="1:16" ht="19.5" customHeight="1">
      <c r="A439" s="1" t="s">
        <v>1889</v>
      </c>
      <c r="B439" s="5">
        <v>46018</v>
      </c>
      <c r="C439" s="1" t="s">
        <v>28</v>
      </c>
      <c r="D439" s="1" t="s">
        <v>45</v>
      </c>
      <c r="E439" s="1" t="s">
        <v>25</v>
      </c>
      <c r="F439" s="1" t="s">
        <v>26</v>
      </c>
      <c r="G439" s="1" t="s">
        <v>1229</v>
      </c>
      <c r="H439" s="6">
        <v>1</v>
      </c>
      <c r="I439" s="7">
        <v>0</v>
      </c>
      <c r="J439" s="5">
        <v>45990</v>
      </c>
      <c r="K439" s="1" t="s">
        <v>957</v>
      </c>
      <c r="L439" s="1" t="s">
        <v>30</v>
      </c>
      <c r="M439" s="8">
        <v>0</v>
      </c>
      <c r="N439" s="6"/>
      <c r="O439" s="6"/>
      <c r="P439" s="9">
        <v>0</v>
      </c>
    </row>
    <row r="440" spans="1:16" ht="19.5" customHeight="1">
      <c r="A440" s="1" t="s">
        <v>1889</v>
      </c>
      <c r="B440" s="5">
        <v>46018</v>
      </c>
      <c r="C440" s="1" t="s">
        <v>28</v>
      </c>
      <c r="D440" s="1" t="s">
        <v>46</v>
      </c>
      <c r="E440" s="1" t="s">
        <v>25</v>
      </c>
      <c r="F440" s="1" t="s">
        <v>26</v>
      </c>
      <c r="G440" s="1" t="s">
        <v>1229</v>
      </c>
      <c r="H440" s="6">
        <v>1</v>
      </c>
      <c r="I440" s="7">
        <v>0</v>
      </c>
      <c r="J440" s="5">
        <v>45990</v>
      </c>
      <c r="K440" s="1" t="s">
        <v>957</v>
      </c>
      <c r="L440" s="1" t="s">
        <v>30</v>
      </c>
      <c r="M440" s="8">
        <v>0</v>
      </c>
      <c r="N440" s="6"/>
      <c r="O440" s="6"/>
      <c r="P440" s="9">
        <v>-46</v>
      </c>
    </row>
    <row r="441" spans="1:16" ht="19.5" customHeight="1">
      <c r="A441" s="1" t="s">
        <v>1889</v>
      </c>
      <c r="B441" s="5">
        <v>46018</v>
      </c>
      <c r="C441" s="1" t="s">
        <v>17</v>
      </c>
      <c r="D441" s="1" t="s">
        <v>47</v>
      </c>
      <c r="E441" s="1" t="s">
        <v>25</v>
      </c>
      <c r="F441" s="1" t="s">
        <v>26</v>
      </c>
      <c r="G441" s="1" t="s">
        <v>1229</v>
      </c>
      <c r="H441" s="6">
        <v>1</v>
      </c>
      <c r="I441" s="7">
        <v>0</v>
      </c>
      <c r="J441" s="5">
        <v>45990</v>
      </c>
      <c r="K441" s="1" t="s">
        <v>957</v>
      </c>
      <c r="L441" s="1" t="s">
        <v>30</v>
      </c>
      <c r="M441" s="8">
        <v>0</v>
      </c>
      <c r="N441" s="6"/>
      <c r="O441" s="6"/>
      <c r="P441" s="9">
        <v>-15</v>
      </c>
    </row>
    <row r="442" spans="1:16" ht="19.5" customHeight="1">
      <c r="A442" s="1" t="s">
        <v>1890</v>
      </c>
      <c r="B442" s="5">
        <v>46018</v>
      </c>
      <c r="C442" s="1" t="s">
        <v>17</v>
      </c>
      <c r="D442" s="1" t="s">
        <v>18</v>
      </c>
      <c r="E442" s="1" t="s">
        <v>25</v>
      </c>
      <c r="F442" s="1" t="s">
        <v>26</v>
      </c>
      <c r="G442" s="1" t="s">
        <v>1229</v>
      </c>
      <c r="H442" s="6">
        <v>1</v>
      </c>
      <c r="I442" s="7">
        <v>0</v>
      </c>
      <c r="J442" s="5">
        <v>46018</v>
      </c>
      <c r="K442" s="1" t="s">
        <v>22</v>
      </c>
      <c r="L442" s="1" t="s">
        <v>22</v>
      </c>
      <c r="M442" s="8">
        <v>0</v>
      </c>
      <c r="N442" s="6"/>
      <c r="O442" s="6"/>
      <c r="P442" s="9">
        <v>-11.13</v>
      </c>
    </row>
    <row r="443" spans="1:16" ht="19.5" customHeight="1">
      <c r="A443" s="1" t="s">
        <v>1891</v>
      </c>
      <c r="B443" s="5">
        <v>46018</v>
      </c>
      <c r="C443" s="1" t="s">
        <v>17</v>
      </c>
      <c r="D443" s="1" t="s">
        <v>18</v>
      </c>
      <c r="E443" s="1" t="s">
        <v>25</v>
      </c>
      <c r="F443" s="1" t="s">
        <v>26</v>
      </c>
      <c r="G443" s="1" t="s">
        <v>1229</v>
      </c>
      <c r="H443" s="6">
        <v>1</v>
      </c>
      <c r="I443" s="7">
        <v>0</v>
      </c>
      <c r="J443" s="5">
        <v>46018</v>
      </c>
      <c r="K443" s="1" t="s">
        <v>22</v>
      </c>
      <c r="L443" s="1" t="s">
        <v>22</v>
      </c>
      <c r="M443" s="8">
        <v>0</v>
      </c>
      <c r="N443" s="6"/>
      <c r="O443" s="6"/>
      <c r="P443" s="9">
        <v>-11.13</v>
      </c>
    </row>
    <row r="444" spans="1:16" ht="19.5" customHeight="1">
      <c r="A444" s="1" t="s">
        <v>1892</v>
      </c>
      <c r="B444" s="5">
        <v>46018</v>
      </c>
      <c r="C444" s="1" t="s">
        <v>28</v>
      </c>
      <c r="D444" s="1" t="s">
        <v>29</v>
      </c>
      <c r="E444" s="1" t="s">
        <v>223</v>
      </c>
      <c r="F444" s="1" t="s">
        <v>395</v>
      </c>
      <c r="G444" s="1" t="s">
        <v>1229</v>
      </c>
      <c r="H444" s="6">
        <v>1</v>
      </c>
      <c r="I444" s="7">
        <v>1186</v>
      </c>
      <c r="J444" s="5">
        <v>46016</v>
      </c>
      <c r="K444" s="1" t="s">
        <v>957</v>
      </c>
      <c r="L444" s="1" t="s">
        <v>30</v>
      </c>
      <c r="M444" s="8">
        <v>0.43</v>
      </c>
      <c r="N444" s="6"/>
      <c r="O444" s="6">
        <v>38</v>
      </c>
      <c r="P444" s="9">
        <v>-93.44</v>
      </c>
    </row>
    <row r="445" spans="1:16" ht="19.5" customHeight="1">
      <c r="A445" s="1" t="s">
        <v>1892</v>
      </c>
      <c r="B445" s="5">
        <v>46018</v>
      </c>
      <c r="C445" s="1" t="s">
        <v>31</v>
      </c>
      <c r="D445" s="1" t="s">
        <v>32</v>
      </c>
      <c r="E445" s="1" t="s">
        <v>223</v>
      </c>
      <c r="F445" s="1" t="s">
        <v>395</v>
      </c>
      <c r="G445" s="1" t="s">
        <v>1229</v>
      </c>
      <c r="H445" s="6">
        <v>1</v>
      </c>
      <c r="I445" s="7">
        <v>1186</v>
      </c>
      <c r="J445" s="5">
        <v>46016</v>
      </c>
      <c r="K445" s="1" t="s">
        <v>957</v>
      </c>
      <c r="L445" s="1" t="s">
        <v>30</v>
      </c>
      <c r="M445" s="8">
        <v>0</v>
      </c>
      <c r="N445" s="6"/>
      <c r="O445" s="6"/>
      <c r="P445" s="9">
        <v>415.24</v>
      </c>
    </row>
    <row r="446" spans="1:16" ht="19.5" customHeight="1">
      <c r="A446" s="1" t="s">
        <v>1892</v>
      </c>
      <c r="B446" s="5">
        <v>46018</v>
      </c>
      <c r="C446" s="1" t="s">
        <v>31</v>
      </c>
      <c r="D446" s="1" t="s">
        <v>33</v>
      </c>
      <c r="E446" s="1" t="s">
        <v>223</v>
      </c>
      <c r="F446" s="1" t="s">
        <v>395</v>
      </c>
      <c r="G446" s="1" t="s">
        <v>1229</v>
      </c>
      <c r="H446" s="6">
        <v>1</v>
      </c>
      <c r="I446" s="7">
        <v>1186</v>
      </c>
      <c r="J446" s="5">
        <v>46016</v>
      </c>
      <c r="K446" s="1" t="s">
        <v>957</v>
      </c>
      <c r="L446" s="1" t="s">
        <v>30</v>
      </c>
      <c r="M446" s="8">
        <v>0</v>
      </c>
      <c r="N446" s="6"/>
      <c r="O446" s="6"/>
      <c r="P446" s="9">
        <v>4.1500000000000004</v>
      </c>
    </row>
    <row r="447" spans="1:16" ht="19.5" customHeight="1">
      <c r="A447" s="1" t="s">
        <v>1892</v>
      </c>
      <c r="B447" s="5">
        <v>46018</v>
      </c>
      <c r="C447" s="1" t="s">
        <v>31</v>
      </c>
      <c r="D447" s="1" t="s">
        <v>34</v>
      </c>
      <c r="E447" s="1" t="s">
        <v>223</v>
      </c>
      <c r="F447" s="1" t="s">
        <v>395</v>
      </c>
      <c r="G447" s="1" t="s">
        <v>1229</v>
      </c>
      <c r="H447" s="6">
        <v>1</v>
      </c>
      <c r="I447" s="7">
        <v>1186</v>
      </c>
      <c r="J447" s="5">
        <v>46016</v>
      </c>
      <c r="K447" s="1" t="s">
        <v>957</v>
      </c>
      <c r="L447" s="1" t="s">
        <v>30</v>
      </c>
      <c r="M447" s="8">
        <v>0</v>
      </c>
      <c r="N447" s="6"/>
      <c r="O447" s="6"/>
      <c r="P447" s="9">
        <v>766.61</v>
      </c>
    </row>
    <row r="448" spans="1:16" ht="19.5" customHeight="1">
      <c r="A448" s="1" t="s">
        <v>1892</v>
      </c>
      <c r="B448" s="5">
        <v>46018</v>
      </c>
      <c r="C448" s="1" t="s">
        <v>35</v>
      </c>
      <c r="D448" s="1" t="s">
        <v>36</v>
      </c>
      <c r="E448" s="1" t="s">
        <v>223</v>
      </c>
      <c r="F448" s="1" t="s">
        <v>395</v>
      </c>
      <c r="G448" s="1" t="s">
        <v>1229</v>
      </c>
      <c r="H448" s="6">
        <v>1</v>
      </c>
      <c r="I448" s="7">
        <v>1186</v>
      </c>
      <c r="J448" s="5">
        <v>46016</v>
      </c>
      <c r="K448" s="1" t="s">
        <v>957</v>
      </c>
      <c r="L448" s="1" t="s">
        <v>30</v>
      </c>
      <c r="M448" s="8">
        <v>0.43</v>
      </c>
      <c r="N448" s="6"/>
      <c r="O448" s="6"/>
      <c r="P448" s="9">
        <v>-509.98</v>
      </c>
    </row>
    <row r="449" spans="1:16" ht="19.5" customHeight="1">
      <c r="A449" s="1" t="s">
        <v>1892</v>
      </c>
      <c r="B449" s="5">
        <v>46018</v>
      </c>
      <c r="C449" s="1" t="s">
        <v>17</v>
      </c>
      <c r="D449" s="1" t="s">
        <v>37</v>
      </c>
      <c r="E449" s="1" t="s">
        <v>223</v>
      </c>
      <c r="F449" s="1" t="s">
        <v>395</v>
      </c>
      <c r="G449" s="1" t="s">
        <v>1229</v>
      </c>
      <c r="H449" s="6">
        <v>1</v>
      </c>
      <c r="I449" s="7">
        <v>1186</v>
      </c>
      <c r="J449" s="5">
        <v>46016</v>
      </c>
      <c r="K449" s="1" t="s">
        <v>957</v>
      </c>
      <c r="L449" s="1" t="s">
        <v>30</v>
      </c>
      <c r="M449" s="8">
        <v>0.43</v>
      </c>
      <c r="N449" s="6"/>
      <c r="O449" s="6"/>
      <c r="P449" s="9">
        <v>-5.36</v>
      </c>
    </row>
    <row r="450" spans="1:16" ht="19.5" customHeight="1">
      <c r="A450" s="1" t="s">
        <v>1892</v>
      </c>
      <c r="B450" s="5">
        <v>46018</v>
      </c>
      <c r="C450" s="1" t="s">
        <v>17</v>
      </c>
      <c r="D450" s="1" t="s">
        <v>18</v>
      </c>
      <c r="E450" s="1" t="s">
        <v>223</v>
      </c>
      <c r="F450" s="1" t="s">
        <v>395</v>
      </c>
      <c r="G450" s="1" t="s">
        <v>1229</v>
      </c>
      <c r="H450" s="6">
        <v>1</v>
      </c>
      <c r="I450" s="7">
        <v>0</v>
      </c>
      <c r="J450" s="5">
        <v>46016</v>
      </c>
      <c r="K450" s="1" t="s">
        <v>22</v>
      </c>
      <c r="L450" s="1" t="s">
        <v>22</v>
      </c>
      <c r="M450" s="8">
        <v>0</v>
      </c>
      <c r="N450" s="6"/>
      <c r="O450" s="6"/>
      <c r="P450" s="9">
        <v>-7.89</v>
      </c>
    </row>
    <row r="451" spans="1:16" ht="19.5" customHeight="1">
      <c r="A451" s="1" t="s">
        <v>1893</v>
      </c>
      <c r="B451" s="5">
        <v>46018</v>
      </c>
      <c r="C451" s="1" t="s">
        <v>28</v>
      </c>
      <c r="D451" s="1" t="s">
        <v>29</v>
      </c>
      <c r="E451" s="1" t="s">
        <v>223</v>
      </c>
      <c r="F451" s="1" t="s">
        <v>395</v>
      </c>
      <c r="G451" s="1" t="s">
        <v>1229</v>
      </c>
      <c r="H451" s="6">
        <v>1</v>
      </c>
      <c r="I451" s="7">
        <v>1687</v>
      </c>
      <c r="J451" s="5">
        <v>46011</v>
      </c>
      <c r="K451" s="1" t="s">
        <v>957</v>
      </c>
      <c r="L451" s="1" t="s">
        <v>30</v>
      </c>
      <c r="M451" s="8">
        <v>0.43</v>
      </c>
      <c r="N451" s="6"/>
      <c r="O451" s="6">
        <v>39</v>
      </c>
      <c r="P451" s="9">
        <v>-109.71</v>
      </c>
    </row>
    <row r="452" spans="1:16" ht="19.5" customHeight="1">
      <c r="A452" s="1" t="s">
        <v>1893</v>
      </c>
      <c r="B452" s="5">
        <v>46018</v>
      </c>
      <c r="C452" s="1" t="s">
        <v>31</v>
      </c>
      <c r="D452" s="1" t="s">
        <v>32</v>
      </c>
      <c r="E452" s="1" t="s">
        <v>223</v>
      </c>
      <c r="F452" s="1" t="s">
        <v>395</v>
      </c>
      <c r="G452" s="1" t="s">
        <v>1229</v>
      </c>
      <c r="H452" s="6">
        <v>1</v>
      </c>
      <c r="I452" s="7">
        <v>1687</v>
      </c>
      <c r="J452" s="5">
        <v>46011</v>
      </c>
      <c r="K452" s="1" t="s">
        <v>957</v>
      </c>
      <c r="L452" s="1" t="s">
        <v>30</v>
      </c>
      <c r="M452" s="8">
        <v>0</v>
      </c>
      <c r="N452" s="6"/>
      <c r="O452" s="6"/>
      <c r="P452" s="9">
        <v>578.9</v>
      </c>
    </row>
    <row r="453" spans="1:16" ht="19.5" customHeight="1">
      <c r="A453" s="1" t="s">
        <v>1893</v>
      </c>
      <c r="B453" s="5">
        <v>46018</v>
      </c>
      <c r="C453" s="1" t="s">
        <v>31</v>
      </c>
      <c r="D453" s="1" t="s">
        <v>33</v>
      </c>
      <c r="E453" s="1" t="s">
        <v>223</v>
      </c>
      <c r="F453" s="1" t="s">
        <v>395</v>
      </c>
      <c r="G453" s="1" t="s">
        <v>1229</v>
      </c>
      <c r="H453" s="6">
        <v>1</v>
      </c>
      <c r="I453" s="7">
        <v>1687</v>
      </c>
      <c r="J453" s="5">
        <v>46011</v>
      </c>
      <c r="K453" s="1" t="s">
        <v>957</v>
      </c>
      <c r="L453" s="1" t="s">
        <v>30</v>
      </c>
      <c r="M453" s="8">
        <v>0</v>
      </c>
      <c r="N453" s="6"/>
      <c r="O453" s="6"/>
      <c r="P453" s="9">
        <v>5.79</v>
      </c>
    </row>
    <row r="454" spans="1:16" ht="19.5" customHeight="1">
      <c r="A454" s="1" t="s">
        <v>1893</v>
      </c>
      <c r="B454" s="5">
        <v>46018</v>
      </c>
      <c r="C454" s="1" t="s">
        <v>31</v>
      </c>
      <c r="D454" s="1" t="s">
        <v>34</v>
      </c>
      <c r="E454" s="1" t="s">
        <v>223</v>
      </c>
      <c r="F454" s="1" t="s">
        <v>395</v>
      </c>
      <c r="G454" s="1" t="s">
        <v>1229</v>
      </c>
      <c r="H454" s="6">
        <v>1</v>
      </c>
      <c r="I454" s="7">
        <v>1687</v>
      </c>
      <c r="J454" s="5">
        <v>46011</v>
      </c>
      <c r="K454" s="1" t="s">
        <v>957</v>
      </c>
      <c r="L454" s="1" t="s">
        <v>30</v>
      </c>
      <c r="M454" s="8">
        <v>0</v>
      </c>
      <c r="N454" s="6"/>
      <c r="O454" s="6"/>
      <c r="P454" s="9">
        <v>1102.31</v>
      </c>
    </row>
    <row r="455" spans="1:16" ht="19.5" customHeight="1">
      <c r="A455" s="1" t="s">
        <v>1893</v>
      </c>
      <c r="B455" s="5">
        <v>46018</v>
      </c>
      <c r="C455" s="1" t="s">
        <v>35</v>
      </c>
      <c r="D455" s="1" t="s">
        <v>36</v>
      </c>
      <c r="E455" s="1" t="s">
        <v>223</v>
      </c>
      <c r="F455" s="1" t="s">
        <v>395</v>
      </c>
      <c r="G455" s="1" t="s">
        <v>1229</v>
      </c>
      <c r="H455" s="6">
        <v>1</v>
      </c>
      <c r="I455" s="7">
        <v>1687</v>
      </c>
      <c r="J455" s="5">
        <v>46011</v>
      </c>
      <c r="K455" s="1" t="s">
        <v>957</v>
      </c>
      <c r="L455" s="1" t="s">
        <v>30</v>
      </c>
      <c r="M455" s="8">
        <v>0.43</v>
      </c>
      <c r="N455" s="6"/>
      <c r="O455" s="6"/>
      <c r="P455" s="9">
        <v>-725.41</v>
      </c>
    </row>
    <row r="456" spans="1:16" ht="19.5" customHeight="1">
      <c r="A456" s="1" t="s">
        <v>1893</v>
      </c>
      <c r="B456" s="5">
        <v>46018</v>
      </c>
      <c r="C456" s="1" t="s">
        <v>17</v>
      </c>
      <c r="D456" s="1" t="s">
        <v>37</v>
      </c>
      <c r="E456" s="1" t="s">
        <v>223</v>
      </c>
      <c r="F456" s="1" t="s">
        <v>395</v>
      </c>
      <c r="G456" s="1" t="s">
        <v>1229</v>
      </c>
      <c r="H456" s="6">
        <v>1</v>
      </c>
      <c r="I456" s="7">
        <v>1687</v>
      </c>
      <c r="J456" s="5">
        <v>46011</v>
      </c>
      <c r="K456" s="1" t="s">
        <v>957</v>
      </c>
      <c r="L456" s="1" t="s">
        <v>30</v>
      </c>
      <c r="M456" s="8">
        <v>0.43</v>
      </c>
      <c r="N456" s="6"/>
      <c r="O456" s="6"/>
      <c r="P456" s="9">
        <v>-12.76</v>
      </c>
    </row>
    <row r="457" spans="1:16" ht="19.5" customHeight="1">
      <c r="A457" s="1" t="s">
        <v>1893</v>
      </c>
      <c r="B457" s="5">
        <v>46018</v>
      </c>
      <c r="C457" s="1" t="s">
        <v>17</v>
      </c>
      <c r="D457" s="1" t="s">
        <v>18</v>
      </c>
      <c r="E457" s="1" t="s">
        <v>223</v>
      </c>
      <c r="F457" s="1" t="s">
        <v>395</v>
      </c>
      <c r="G457" s="1" t="s">
        <v>1229</v>
      </c>
      <c r="H457" s="6">
        <v>1</v>
      </c>
      <c r="I457" s="7">
        <v>0</v>
      </c>
      <c r="J457" s="5">
        <v>46011</v>
      </c>
      <c r="K457" s="1" t="s">
        <v>22</v>
      </c>
      <c r="L457" s="1" t="s">
        <v>22</v>
      </c>
      <c r="M457" s="8">
        <v>0</v>
      </c>
      <c r="N457" s="6"/>
      <c r="O457" s="6"/>
      <c r="P457" s="9">
        <v>-11</v>
      </c>
    </row>
    <row r="458" spans="1:16" ht="19.5" customHeight="1">
      <c r="A458" s="1" t="s">
        <v>1894</v>
      </c>
      <c r="B458" s="5">
        <v>46018</v>
      </c>
      <c r="C458" s="1" t="s">
        <v>28</v>
      </c>
      <c r="D458" s="1" t="s">
        <v>29</v>
      </c>
      <c r="E458" s="1" t="s">
        <v>25</v>
      </c>
      <c r="F458" s="1" t="s">
        <v>26</v>
      </c>
      <c r="G458" s="1" t="s">
        <v>1229</v>
      </c>
      <c r="H458" s="6">
        <v>1</v>
      </c>
      <c r="I458" s="7">
        <v>1017</v>
      </c>
      <c r="J458" s="5">
        <v>46016</v>
      </c>
      <c r="K458" s="1" t="s">
        <v>957</v>
      </c>
      <c r="L458" s="1" t="s">
        <v>30</v>
      </c>
      <c r="M458" s="8">
        <v>0.43</v>
      </c>
      <c r="N458" s="6"/>
      <c r="O458" s="6">
        <v>38</v>
      </c>
      <c r="P458" s="9">
        <v>-88.61</v>
      </c>
    </row>
    <row r="459" spans="1:16" ht="19.5" customHeight="1">
      <c r="A459" s="1" t="s">
        <v>1894</v>
      </c>
      <c r="B459" s="5">
        <v>46018</v>
      </c>
      <c r="C459" s="1" t="s">
        <v>31</v>
      </c>
      <c r="D459" s="1" t="s">
        <v>32</v>
      </c>
      <c r="E459" s="1" t="s">
        <v>25</v>
      </c>
      <c r="F459" s="1" t="s">
        <v>26</v>
      </c>
      <c r="G459" s="1" t="s">
        <v>1229</v>
      </c>
      <c r="H459" s="6">
        <v>1</v>
      </c>
      <c r="I459" s="7">
        <v>1017</v>
      </c>
      <c r="J459" s="5">
        <v>46016</v>
      </c>
      <c r="K459" s="1" t="s">
        <v>957</v>
      </c>
      <c r="L459" s="1" t="s">
        <v>30</v>
      </c>
      <c r="M459" s="8">
        <v>0</v>
      </c>
      <c r="N459" s="6"/>
      <c r="O459" s="6"/>
      <c r="P459" s="9">
        <v>355.85</v>
      </c>
    </row>
    <row r="460" spans="1:16" ht="19.5" customHeight="1">
      <c r="A460" s="1" t="s">
        <v>1894</v>
      </c>
      <c r="B460" s="5">
        <v>46018</v>
      </c>
      <c r="C460" s="1" t="s">
        <v>31</v>
      </c>
      <c r="D460" s="1" t="s">
        <v>33</v>
      </c>
      <c r="E460" s="1" t="s">
        <v>25</v>
      </c>
      <c r="F460" s="1" t="s">
        <v>26</v>
      </c>
      <c r="G460" s="1" t="s">
        <v>1229</v>
      </c>
      <c r="H460" s="6">
        <v>1</v>
      </c>
      <c r="I460" s="7">
        <v>1017</v>
      </c>
      <c r="J460" s="5">
        <v>46016</v>
      </c>
      <c r="K460" s="1" t="s">
        <v>957</v>
      </c>
      <c r="L460" s="1" t="s">
        <v>30</v>
      </c>
      <c r="M460" s="8">
        <v>0</v>
      </c>
      <c r="N460" s="6"/>
      <c r="O460" s="6"/>
      <c r="P460" s="9">
        <v>3.56</v>
      </c>
    </row>
    <row r="461" spans="1:16" ht="19.5" customHeight="1">
      <c r="A461" s="1" t="s">
        <v>1894</v>
      </c>
      <c r="B461" s="5">
        <v>46018</v>
      </c>
      <c r="C461" s="1" t="s">
        <v>31</v>
      </c>
      <c r="D461" s="1" t="s">
        <v>34</v>
      </c>
      <c r="E461" s="1" t="s">
        <v>25</v>
      </c>
      <c r="F461" s="1" t="s">
        <v>26</v>
      </c>
      <c r="G461" s="1" t="s">
        <v>1229</v>
      </c>
      <c r="H461" s="6">
        <v>1</v>
      </c>
      <c r="I461" s="7">
        <v>1017</v>
      </c>
      <c r="J461" s="5">
        <v>46016</v>
      </c>
      <c r="K461" s="1" t="s">
        <v>957</v>
      </c>
      <c r="L461" s="1" t="s">
        <v>30</v>
      </c>
      <c r="M461" s="8">
        <v>0</v>
      </c>
      <c r="N461" s="6"/>
      <c r="O461" s="6"/>
      <c r="P461" s="9">
        <v>657.59</v>
      </c>
    </row>
    <row r="462" spans="1:16" ht="19.5" customHeight="1">
      <c r="A462" s="1" t="s">
        <v>1894</v>
      </c>
      <c r="B462" s="5">
        <v>46018</v>
      </c>
      <c r="C462" s="1" t="s">
        <v>35</v>
      </c>
      <c r="D462" s="1" t="s">
        <v>36</v>
      </c>
      <c r="E462" s="1" t="s">
        <v>25</v>
      </c>
      <c r="F462" s="1" t="s">
        <v>26</v>
      </c>
      <c r="G462" s="1" t="s">
        <v>1229</v>
      </c>
      <c r="H462" s="6">
        <v>1</v>
      </c>
      <c r="I462" s="7">
        <v>1017</v>
      </c>
      <c r="J462" s="5">
        <v>46016</v>
      </c>
      <c r="K462" s="1" t="s">
        <v>957</v>
      </c>
      <c r="L462" s="1" t="s">
        <v>30</v>
      </c>
      <c r="M462" s="8">
        <v>0.43</v>
      </c>
      <c r="N462" s="6"/>
      <c r="O462" s="6"/>
      <c r="P462" s="9">
        <v>-437.31</v>
      </c>
    </row>
    <row r="463" spans="1:16" ht="19.5" customHeight="1">
      <c r="A463" s="1" t="s">
        <v>1894</v>
      </c>
      <c r="B463" s="5">
        <v>46018</v>
      </c>
      <c r="C463" s="1" t="s">
        <v>17</v>
      </c>
      <c r="D463" s="1" t="s">
        <v>37</v>
      </c>
      <c r="E463" s="1" t="s">
        <v>25</v>
      </c>
      <c r="F463" s="1" t="s">
        <v>26</v>
      </c>
      <c r="G463" s="1" t="s">
        <v>1229</v>
      </c>
      <c r="H463" s="6">
        <v>1</v>
      </c>
      <c r="I463" s="7">
        <v>1017</v>
      </c>
      <c r="J463" s="5">
        <v>46016</v>
      </c>
      <c r="K463" s="1" t="s">
        <v>957</v>
      </c>
      <c r="L463" s="1" t="s">
        <v>30</v>
      </c>
      <c r="M463" s="8">
        <v>0.43</v>
      </c>
      <c r="N463" s="6"/>
      <c r="O463" s="6"/>
      <c r="P463" s="9">
        <v>-4.75</v>
      </c>
    </row>
    <row r="464" spans="1:16" ht="19.5" customHeight="1">
      <c r="A464" s="1" t="s">
        <v>1895</v>
      </c>
      <c r="B464" s="5">
        <v>46018</v>
      </c>
      <c r="C464" s="1" t="s">
        <v>28</v>
      </c>
      <c r="D464" s="1" t="s">
        <v>29</v>
      </c>
      <c r="E464" s="1" t="s">
        <v>228</v>
      </c>
      <c r="F464" s="1" t="s">
        <v>393</v>
      </c>
      <c r="G464" s="1" t="s">
        <v>1229</v>
      </c>
      <c r="H464" s="6">
        <v>1</v>
      </c>
      <c r="I464" s="7">
        <v>1335</v>
      </c>
      <c r="J464" s="5">
        <v>46012</v>
      </c>
      <c r="K464" s="1" t="s">
        <v>957</v>
      </c>
      <c r="L464" s="1" t="s">
        <v>30</v>
      </c>
      <c r="M464" s="8">
        <v>0.43</v>
      </c>
      <c r="N464" s="6"/>
      <c r="O464" s="6">
        <v>40</v>
      </c>
      <c r="P464" s="9">
        <v>-104.66</v>
      </c>
    </row>
    <row r="465" spans="1:16" ht="19.5" customHeight="1">
      <c r="A465" s="1" t="s">
        <v>1895</v>
      </c>
      <c r="B465" s="5">
        <v>46018</v>
      </c>
      <c r="C465" s="1" t="s">
        <v>31</v>
      </c>
      <c r="D465" s="1" t="s">
        <v>32</v>
      </c>
      <c r="E465" s="1" t="s">
        <v>228</v>
      </c>
      <c r="F465" s="1" t="s">
        <v>393</v>
      </c>
      <c r="G465" s="1" t="s">
        <v>1229</v>
      </c>
      <c r="H465" s="6">
        <v>1</v>
      </c>
      <c r="I465" s="7">
        <v>1335</v>
      </c>
      <c r="J465" s="5">
        <v>46012</v>
      </c>
      <c r="K465" s="1" t="s">
        <v>957</v>
      </c>
      <c r="L465" s="1" t="s">
        <v>30</v>
      </c>
      <c r="M465" s="8">
        <v>0</v>
      </c>
      <c r="N465" s="6"/>
      <c r="O465" s="6"/>
      <c r="P465" s="9">
        <v>817.14</v>
      </c>
    </row>
    <row r="466" spans="1:16" ht="19.5" customHeight="1">
      <c r="A466" s="1" t="s">
        <v>1895</v>
      </c>
      <c r="B466" s="5">
        <v>46018</v>
      </c>
      <c r="C466" s="1" t="s">
        <v>31</v>
      </c>
      <c r="D466" s="1" t="s">
        <v>33</v>
      </c>
      <c r="E466" s="1" t="s">
        <v>228</v>
      </c>
      <c r="F466" s="1" t="s">
        <v>393</v>
      </c>
      <c r="G466" s="1" t="s">
        <v>1229</v>
      </c>
      <c r="H466" s="6">
        <v>1</v>
      </c>
      <c r="I466" s="7">
        <v>1335</v>
      </c>
      <c r="J466" s="5">
        <v>46012</v>
      </c>
      <c r="K466" s="1" t="s">
        <v>957</v>
      </c>
      <c r="L466" s="1" t="s">
        <v>30</v>
      </c>
      <c r="M466" s="8">
        <v>0</v>
      </c>
      <c r="N466" s="6"/>
      <c r="O466" s="6"/>
      <c r="P466" s="9">
        <v>8.17</v>
      </c>
    </row>
    <row r="467" spans="1:16" ht="19.5" customHeight="1">
      <c r="A467" s="1" t="s">
        <v>1895</v>
      </c>
      <c r="B467" s="5">
        <v>46018</v>
      </c>
      <c r="C467" s="1" t="s">
        <v>31</v>
      </c>
      <c r="D467" s="1" t="s">
        <v>34</v>
      </c>
      <c r="E467" s="1" t="s">
        <v>228</v>
      </c>
      <c r="F467" s="1" t="s">
        <v>393</v>
      </c>
      <c r="G467" s="1" t="s">
        <v>1229</v>
      </c>
      <c r="H467" s="6">
        <v>1</v>
      </c>
      <c r="I467" s="7">
        <v>1335</v>
      </c>
      <c r="J467" s="5">
        <v>46012</v>
      </c>
      <c r="K467" s="1" t="s">
        <v>957</v>
      </c>
      <c r="L467" s="1" t="s">
        <v>30</v>
      </c>
      <c r="M467" s="8">
        <v>0</v>
      </c>
      <c r="N467" s="6"/>
      <c r="O467" s="6"/>
      <c r="P467" s="9">
        <v>509.69</v>
      </c>
    </row>
    <row r="468" spans="1:16" ht="19.5" customHeight="1">
      <c r="A468" s="1" t="s">
        <v>1895</v>
      </c>
      <c r="B468" s="5">
        <v>46018</v>
      </c>
      <c r="C468" s="1" t="s">
        <v>35</v>
      </c>
      <c r="D468" s="1" t="s">
        <v>36</v>
      </c>
      <c r="E468" s="1" t="s">
        <v>228</v>
      </c>
      <c r="F468" s="1" t="s">
        <v>393</v>
      </c>
      <c r="G468" s="1" t="s">
        <v>1229</v>
      </c>
      <c r="H468" s="6">
        <v>1</v>
      </c>
      <c r="I468" s="7">
        <v>1335</v>
      </c>
      <c r="J468" s="5">
        <v>46012</v>
      </c>
      <c r="K468" s="1" t="s">
        <v>957</v>
      </c>
      <c r="L468" s="1" t="s">
        <v>30</v>
      </c>
      <c r="M468" s="8">
        <v>0.43</v>
      </c>
      <c r="N468" s="6"/>
      <c r="O468" s="6"/>
      <c r="P468" s="9">
        <v>-574.04999999999995</v>
      </c>
    </row>
    <row r="469" spans="1:16" ht="19.5" customHeight="1">
      <c r="A469" s="1" t="s">
        <v>1895</v>
      </c>
      <c r="B469" s="5">
        <v>46018</v>
      </c>
      <c r="C469" s="1" t="s">
        <v>17</v>
      </c>
      <c r="D469" s="1" t="s">
        <v>37</v>
      </c>
      <c r="E469" s="1" t="s">
        <v>228</v>
      </c>
      <c r="F469" s="1" t="s">
        <v>393</v>
      </c>
      <c r="G469" s="1" t="s">
        <v>1229</v>
      </c>
      <c r="H469" s="6">
        <v>1</v>
      </c>
      <c r="I469" s="7">
        <v>1335</v>
      </c>
      <c r="J469" s="5">
        <v>46012</v>
      </c>
      <c r="K469" s="1" t="s">
        <v>957</v>
      </c>
      <c r="L469" s="1" t="s">
        <v>30</v>
      </c>
      <c r="M469" s="8">
        <v>0.43</v>
      </c>
      <c r="N469" s="6"/>
      <c r="O469" s="6"/>
      <c r="P469" s="9">
        <v>-6.05</v>
      </c>
    </row>
    <row r="470" spans="1:16" ht="19.5" customHeight="1">
      <c r="A470" s="1" t="s">
        <v>1895</v>
      </c>
      <c r="B470" s="5">
        <v>46018</v>
      </c>
      <c r="C470" s="1" t="s">
        <v>17</v>
      </c>
      <c r="D470" s="1" t="s">
        <v>18</v>
      </c>
      <c r="E470" s="1" t="s">
        <v>228</v>
      </c>
      <c r="F470" s="1" t="s">
        <v>393</v>
      </c>
      <c r="G470" s="1" t="s">
        <v>1229</v>
      </c>
      <c r="H470" s="6">
        <v>1</v>
      </c>
      <c r="I470" s="7">
        <v>0</v>
      </c>
      <c r="J470" s="5">
        <v>46012</v>
      </c>
      <c r="K470" s="1" t="s">
        <v>22</v>
      </c>
      <c r="L470" s="1" t="s">
        <v>22</v>
      </c>
      <c r="M470" s="8">
        <v>0</v>
      </c>
      <c r="N470" s="6"/>
      <c r="O470" s="6"/>
      <c r="P470" s="9">
        <v>-15.53</v>
      </c>
    </row>
    <row r="471" spans="1:16" ht="19.5" customHeight="1">
      <c r="A471" s="1" t="s">
        <v>1896</v>
      </c>
      <c r="B471" s="5">
        <v>46018</v>
      </c>
      <c r="C471" s="1" t="s">
        <v>28</v>
      </c>
      <c r="D471" s="1" t="s">
        <v>29</v>
      </c>
      <c r="E471" s="1" t="s">
        <v>25</v>
      </c>
      <c r="F471" s="1" t="s">
        <v>26</v>
      </c>
      <c r="G471" s="1" t="s">
        <v>1229</v>
      </c>
      <c r="H471" s="6">
        <v>1</v>
      </c>
      <c r="I471" s="7">
        <v>1017</v>
      </c>
      <c r="J471" s="5">
        <v>46016</v>
      </c>
      <c r="K471" s="1" t="s">
        <v>957</v>
      </c>
      <c r="L471" s="1" t="s">
        <v>30</v>
      </c>
      <c r="M471" s="8">
        <v>0.43</v>
      </c>
      <c r="N471" s="6"/>
      <c r="O471" s="6">
        <v>38</v>
      </c>
      <c r="P471" s="9">
        <v>-88.61</v>
      </c>
    </row>
    <row r="472" spans="1:16" ht="19.5" customHeight="1">
      <c r="A472" s="1" t="s">
        <v>1896</v>
      </c>
      <c r="B472" s="5">
        <v>46018</v>
      </c>
      <c r="C472" s="1" t="s">
        <v>31</v>
      </c>
      <c r="D472" s="1" t="s">
        <v>32</v>
      </c>
      <c r="E472" s="1" t="s">
        <v>25</v>
      </c>
      <c r="F472" s="1" t="s">
        <v>26</v>
      </c>
      <c r="G472" s="1" t="s">
        <v>1229</v>
      </c>
      <c r="H472" s="6">
        <v>1</v>
      </c>
      <c r="I472" s="7">
        <v>1017</v>
      </c>
      <c r="J472" s="5">
        <v>46016</v>
      </c>
      <c r="K472" s="1" t="s">
        <v>957</v>
      </c>
      <c r="L472" s="1" t="s">
        <v>30</v>
      </c>
      <c r="M472" s="8">
        <v>0</v>
      </c>
      <c r="N472" s="6"/>
      <c r="O472" s="6"/>
      <c r="P472" s="9">
        <v>356.19</v>
      </c>
    </row>
    <row r="473" spans="1:16" ht="19.5" customHeight="1">
      <c r="A473" s="1" t="s">
        <v>1896</v>
      </c>
      <c r="B473" s="5">
        <v>46018</v>
      </c>
      <c r="C473" s="1" t="s">
        <v>31</v>
      </c>
      <c r="D473" s="1" t="s">
        <v>33</v>
      </c>
      <c r="E473" s="1" t="s">
        <v>25</v>
      </c>
      <c r="F473" s="1" t="s">
        <v>26</v>
      </c>
      <c r="G473" s="1" t="s">
        <v>1229</v>
      </c>
      <c r="H473" s="6">
        <v>1</v>
      </c>
      <c r="I473" s="7">
        <v>1017</v>
      </c>
      <c r="J473" s="5">
        <v>46016</v>
      </c>
      <c r="K473" s="1" t="s">
        <v>957</v>
      </c>
      <c r="L473" s="1" t="s">
        <v>30</v>
      </c>
      <c r="M473" s="8">
        <v>0</v>
      </c>
      <c r="N473" s="6"/>
      <c r="O473" s="6"/>
      <c r="P473" s="9">
        <v>3.56</v>
      </c>
    </row>
    <row r="474" spans="1:16" ht="19.5" customHeight="1">
      <c r="A474" s="1" t="s">
        <v>1896</v>
      </c>
      <c r="B474" s="5">
        <v>46018</v>
      </c>
      <c r="C474" s="1" t="s">
        <v>31</v>
      </c>
      <c r="D474" s="1" t="s">
        <v>34</v>
      </c>
      <c r="E474" s="1" t="s">
        <v>25</v>
      </c>
      <c r="F474" s="1" t="s">
        <v>26</v>
      </c>
      <c r="G474" s="1" t="s">
        <v>1229</v>
      </c>
      <c r="H474" s="6">
        <v>1</v>
      </c>
      <c r="I474" s="7">
        <v>1017</v>
      </c>
      <c r="J474" s="5">
        <v>46016</v>
      </c>
      <c r="K474" s="1" t="s">
        <v>957</v>
      </c>
      <c r="L474" s="1" t="s">
        <v>30</v>
      </c>
      <c r="M474" s="8">
        <v>0</v>
      </c>
      <c r="N474" s="6"/>
      <c r="O474" s="6"/>
      <c r="P474" s="9">
        <v>657.25</v>
      </c>
    </row>
    <row r="475" spans="1:16" ht="19.5" customHeight="1">
      <c r="A475" s="1" t="s">
        <v>1896</v>
      </c>
      <c r="B475" s="5">
        <v>46018</v>
      </c>
      <c r="C475" s="1" t="s">
        <v>35</v>
      </c>
      <c r="D475" s="1" t="s">
        <v>36</v>
      </c>
      <c r="E475" s="1" t="s">
        <v>25</v>
      </c>
      <c r="F475" s="1" t="s">
        <v>26</v>
      </c>
      <c r="G475" s="1" t="s">
        <v>1229</v>
      </c>
      <c r="H475" s="6">
        <v>1</v>
      </c>
      <c r="I475" s="7">
        <v>1017</v>
      </c>
      <c r="J475" s="5">
        <v>46016</v>
      </c>
      <c r="K475" s="1" t="s">
        <v>957</v>
      </c>
      <c r="L475" s="1" t="s">
        <v>30</v>
      </c>
      <c r="M475" s="8">
        <v>0.43</v>
      </c>
      <c r="N475" s="6"/>
      <c r="O475" s="6"/>
      <c r="P475" s="9">
        <v>-437.31</v>
      </c>
    </row>
    <row r="476" spans="1:16" ht="19.5" customHeight="1">
      <c r="A476" s="1" t="s">
        <v>1896</v>
      </c>
      <c r="B476" s="5">
        <v>46018</v>
      </c>
      <c r="C476" s="1" t="s">
        <v>17</v>
      </c>
      <c r="D476" s="1" t="s">
        <v>37</v>
      </c>
      <c r="E476" s="1" t="s">
        <v>25</v>
      </c>
      <c r="F476" s="1" t="s">
        <v>26</v>
      </c>
      <c r="G476" s="1" t="s">
        <v>1229</v>
      </c>
      <c r="H476" s="6">
        <v>1</v>
      </c>
      <c r="I476" s="7">
        <v>1017</v>
      </c>
      <c r="J476" s="5">
        <v>46016</v>
      </c>
      <c r="K476" s="1" t="s">
        <v>957</v>
      </c>
      <c r="L476" s="1" t="s">
        <v>30</v>
      </c>
      <c r="M476" s="8">
        <v>0.43</v>
      </c>
      <c r="N476" s="6"/>
      <c r="O476" s="6"/>
      <c r="P476" s="9">
        <v>-4.2699999999999996</v>
      </c>
    </row>
    <row r="477" spans="1:16" ht="19.5" customHeight="1">
      <c r="A477" s="1" t="s">
        <v>1896</v>
      </c>
      <c r="B477" s="5">
        <v>46018</v>
      </c>
      <c r="C477" s="1" t="s">
        <v>17</v>
      </c>
      <c r="D477" s="1" t="s">
        <v>18</v>
      </c>
      <c r="E477" s="1" t="s">
        <v>25</v>
      </c>
      <c r="F477" s="1" t="s">
        <v>26</v>
      </c>
      <c r="G477" s="1" t="s">
        <v>1229</v>
      </c>
      <c r="H477" s="6">
        <v>1</v>
      </c>
      <c r="I477" s="7">
        <v>0</v>
      </c>
      <c r="J477" s="5">
        <v>46016</v>
      </c>
      <c r="K477" s="1" t="s">
        <v>22</v>
      </c>
      <c r="L477" s="1" t="s">
        <v>22</v>
      </c>
      <c r="M477" s="8">
        <v>0</v>
      </c>
      <c r="N477" s="6"/>
      <c r="O477" s="6"/>
      <c r="P477" s="9">
        <v>-6.77</v>
      </c>
    </row>
    <row r="478" spans="1:16" ht="19.5" customHeight="1">
      <c r="A478" s="1" t="s">
        <v>1897</v>
      </c>
      <c r="B478" s="5">
        <v>46018</v>
      </c>
      <c r="C478" s="1" t="s">
        <v>261</v>
      </c>
      <c r="D478" s="1" t="s">
        <v>326</v>
      </c>
      <c r="E478" s="1" t="s">
        <v>22</v>
      </c>
      <c r="F478" s="1" t="s">
        <v>22</v>
      </c>
      <c r="G478" s="1" t="s">
        <v>22</v>
      </c>
      <c r="H478" s="6">
        <v>0</v>
      </c>
      <c r="I478" s="7">
        <v>0</v>
      </c>
      <c r="J478" s="5">
        <v>46010</v>
      </c>
      <c r="K478" s="1" t="s">
        <v>22</v>
      </c>
      <c r="L478" s="1" t="s">
        <v>22</v>
      </c>
      <c r="M478" s="8">
        <v>0</v>
      </c>
      <c r="N478" s="6"/>
      <c r="O478" s="6"/>
      <c r="P478" s="9">
        <v>-514.79999999999995</v>
      </c>
    </row>
    <row r="479" spans="1:16" ht="19.5" customHeight="1">
      <c r="A479" s="1" t="s">
        <v>1897</v>
      </c>
      <c r="B479" s="5">
        <v>46018</v>
      </c>
      <c r="C479" s="1" t="s">
        <v>261</v>
      </c>
      <c r="D479" s="1" t="s">
        <v>326</v>
      </c>
      <c r="E479" s="1" t="s">
        <v>22</v>
      </c>
      <c r="F479" s="1" t="s">
        <v>22</v>
      </c>
      <c r="G479" s="1" t="s">
        <v>22</v>
      </c>
      <c r="H479" s="6">
        <v>0</v>
      </c>
      <c r="I479" s="7">
        <v>0</v>
      </c>
      <c r="J479" s="5">
        <v>46010</v>
      </c>
      <c r="K479" s="1" t="s">
        <v>22</v>
      </c>
      <c r="L479" s="1" t="s">
        <v>22</v>
      </c>
      <c r="M479" s="8">
        <v>0</v>
      </c>
      <c r="N479" s="6"/>
      <c r="O479" s="6"/>
      <c r="P479" s="9">
        <v>-514.79999999999995</v>
      </c>
    </row>
    <row r="480" spans="1:16" ht="19.5" customHeight="1">
      <c r="A480" s="1" t="s">
        <v>1898</v>
      </c>
      <c r="B480" s="5">
        <v>46018</v>
      </c>
      <c r="C480" s="1" t="s">
        <v>261</v>
      </c>
      <c r="D480" s="1" t="s">
        <v>326</v>
      </c>
      <c r="E480" s="1" t="s">
        <v>22</v>
      </c>
      <c r="F480" s="1" t="s">
        <v>22</v>
      </c>
      <c r="G480" s="1" t="s">
        <v>22</v>
      </c>
      <c r="H480" s="6">
        <v>0</v>
      </c>
      <c r="I480" s="7">
        <v>0</v>
      </c>
      <c r="J480" s="5">
        <v>46010</v>
      </c>
      <c r="K480" s="1" t="s">
        <v>22</v>
      </c>
      <c r="L480" s="1" t="s">
        <v>22</v>
      </c>
      <c r="M480" s="8">
        <v>0</v>
      </c>
      <c r="N480" s="6"/>
      <c r="O480" s="6"/>
      <c r="P480" s="9">
        <v>-467.4</v>
      </c>
    </row>
    <row r="481" spans="1:16" ht="19.5" customHeight="1">
      <c r="A481" s="1" t="s">
        <v>1897</v>
      </c>
      <c r="B481" s="5">
        <v>46018</v>
      </c>
      <c r="C481" s="1" t="s">
        <v>261</v>
      </c>
      <c r="D481" s="1" t="s">
        <v>326</v>
      </c>
      <c r="E481" s="1" t="s">
        <v>22</v>
      </c>
      <c r="F481" s="1" t="s">
        <v>22</v>
      </c>
      <c r="G481" s="1" t="s">
        <v>22</v>
      </c>
      <c r="H481" s="6">
        <v>0</v>
      </c>
      <c r="I481" s="7">
        <v>0</v>
      </c>
      <c r="J481" s="5">
        <v>46010</v>
      </c>
      <c r="K481" s="1" t="s">
        <v>22</v>
      </c>
      <c r="L481" s="1" t="s">
        <v>22</v>
      </c>
      <c r="M481" s="8">
        <v>0</v>
      </c>
      <c r="N481" s="6"/>
      <c r="O481" s="6"/>
      <c r="P481" s="9">
        <v>-514.79999999999995</v>
      </c>
    </row>
    <row r="482" spans="1:16" ht="19.5" customHeight="1">
      <c r="A482" s="1" t="s">
        <v>1897</v>
      </c>
      <c r="B482" s="5">
        <v>46018</v>
      </c>
      <c r="C482" s="1" t="s">
        <v>261</v>
      </c>
      <c r="D482" s="1" t="s">
        <v>326</v>
      </c>
      <c r="E482" s="1" t="s">
        <v>22</v>
      </c>
      <c r="F482" s="1" t="s">
        <v>22</v>
      </c>
      <c r="G482" s="1" t="s">
        <v>22</v>
      </c>
      <c r="H482" s="6">
        <v>0</v>
      </c>
      <c r="I482" s="7">
        <v>0</v>
      </c>
      <c r="J482" s="5">
        <v>46010</v>
      </c>
      <c r="K482" s="1" t="s">
        <v>22</v>
      </c>
      <c r="L482" s="1" t="s">
        <v>22</v>
      </c>
      <c r="M482" s="8">
        <v>0</v>
      </c>
      <c r="N482" s="6"/>
      <c r="O482" s="6"/>
      <c r="P482" s="9">
        <v>-514.79999999999995</v>
      </c>
    </row>
    <row r="483" spans="1:16" ht="19.5" customHeight="1">
      <c r="A483" s="1" t="s">
        <v>1897</v>
      </c>
      <c r="B483" s="5">
        <v>46018</v>
      </c>
      <c r="C483" s="1" t="s">
        <v>261</v>
      </c>
      <c r="D483" s="1" t="s">
        <v>326</v>
      </c>
      <c r="E483" s="1" t="s">
        <v>22</v>
      </c>
      <c r="F483" s="1" t="s">
        <v>22</v>
      </c>
      <c r="G483" s="1" t="s">
        <v>22</v>
      </c>
      <c r="H483" s="6">
        <v>0</v>
      </c>
      <c r="I483" s="7">
        <v>0</v>
      </c>
      <c r="J483" s="5">
        <v>46010</v>
      </c>
      <c r="K483" s="1" t="s">
        <v>22</v>
      </c>
      <c r="L483" s="1" t="s">
        <v>22</v>
      </c>
      <c r="M483" s="8">
        <v>0</v>
      </c>
      <c r="N483" s="6"/>
      <c r="O483" s="6"/>
      <c r="P483" s="9">
        <v>-514.79999999999995</v>
      </c>
    </row>
    <row r="484" spans="1:16" ht="19.5" customHeight="1">
      <c r="A484" s="1" t="s">
        <v>1897</v>
      </c>
      <c r="B484" s="5">
        <v>46018</v>
      </c>
      <c r="C484" s="1" t="s">
        <v>261</v>
      </c>
      <c r="D484" s="1" t="s">
        <v>326</v>
      </c>
      <c r="E484" s="1" t="s">
        <v>22</v>
      </c>
      <c r="F484" s="1" t="s">
        <v>22</v>
      </c>
      <c r="G484" s="1" t="s">
        <v>22</v>
      </c>
      <c r="H484" s="6">
        <v>0</v>
      </c>
      <c r="I484" s="7">
        <v>0</v>
      </c>
      <c r="J484" s="5">
        <v>46010</v>
      </c>
      <c r="K484" s="1" t="s">
        <v>22</v>
      </c>
      <c r="L484" s="1" t="s">
        <v>22</v>
      </c>
      <c r="M484" s="8">
        <v>0</v>
      </c>
      <c r="N484" s="6"/>
      <c r="O484" s="6"/>
      <c r="P484" s="9">
        <v>-514.79999999999995</v>
      </c>
    </row>
    <row r="485" spans="1:16" ht="19.5" customHeight="1">
      <c r="A485" s="1" t="s">
        <v>1899</v>
      </c>
      <c r="B485" s="5">
        <v>46018</v>
      </c>
      <c r="C485" s="1" t="s">
        <v>28</v>
      </c>
      <c r="D485" s="1" t="s">
        <v>29</v>
      </c>
      <c r="E485" s="1" t="s">
        <v>25</v>
      </c>
      <c r="F485" s="1" t="s">
        <v>26</v>
      </c>
      <c r="G485" s="1" t="s">
        <v>1229</v>
      </c>
      <c r="H485" s="6">
        <v>1</v>
      </c>
      <c r="I485" s="7">
        <v>1017</v>
      </c>
      <c r="J485" s="5">
        <v>46016</v>
      </c>
      <c r="K485" s="1" t="s">
        <v>957</v>
      </c>
      <c r="L485" s="1" t="s">
        <v>30</v>
      </c>
      <c r="M485" s="8">
        <v>0.43</v>
      </c>
      <c r="N485" s="6"/>
      <c r="O485" s="6">
        <v>38</v>
      </c>
      <c r="P485" s="9">
        <v>-88.61</v>
      </c>
    </row>
    <row r="486" spans="1:16" ht="19.5" customHeight="1">
      <c r="A486" s="1" t="s">
        <v>1899</v>
      </c>
      <c r="B486" s="5">
        <v>46018</v>
      </c>
      <c r="C486" s="1" t="s">
        <v>31</v>
      </c>
      <c r="D486" s="1" t="s">
        <v>32</v>
      </c>
      <c r="E486" s="1" t="s">
        <v>25</v>
      </c>
      <c r="F486" s="1" t="s">
        <v>26</v>
      </c>
      <c r="G486" s="1" t="s">
        <v>1229</v>
      </c>
      <c r="H486" s="6">
        <v>1</v>
      </c>
      <c r="I486" s="7">
        <v>1017</v>
      </c>
      <c r="J486" s="5">
        <v>46016</v>
      </c>
      <c r="K486" s="1" t="s">
        <v>957</v>
      </c>
      <c r="L486" s="1" t="s">
        <v>30</v>
      </c>
      <c r="M486" s="8">
        <v>0</v>
      </c>
      <c r="N486" s="6"/>
      <c r="O486" s="6"/>
      <c r="P486" s="9">
        <v>356.19</v>
      </c>
    </row>
    <row r="487" spans="1:16" ht="19.5" customHeight="1">
      <c r="A487" s="1" t="s">
        <v>1899</v>
      </c>
      <c r="B487" s="5">
        <v>46018</v>
      </c>
      <c r="C487" s="1" t="s">
        <v>31</v>
      </c>
      <c r="D487" s="1" t="s">
        <v>33</v>
      </c>
      <c r="E487" s="1" t="s">
        <v>25</v>
      </c>
      <c r="F487" s="1" t="s">
        <v>26</v>
      </c>
      <c r="G487" s="1" t="s">
        <v>1229</v>
      </c>
      <c r="H487" s="6">
        <v>1</v>
      </c>
      <c r="I487" s="7">
        <v>1017</v>
      </c>
      <c r="J487" s="5">
        <v>46016</v>
      </c>
      <c r="K487" s="1" t="s">
        <v>957</v>
      </c>
      <c r="L487" s="1" t="s">
        <v>30</v>
      </c>
      <c r="M487" s="8">
        <v>0</v>
      </c>
      <c r="N487" s="6"/>
      <c r="O487" s="6"/>
      <c r="P487" s="9">
        <v>3.56</v>
      </c>
    </row>
    <row r="488" spans="1:16" ht="19.5" customHeight="1">
      <c r="A488" s="1" t="s">
        <v>1899</v>
      </c>
      <c r="B488" s="5">
        <v>46018</v>
      </c>
      <c r="C488" s="1" t="s">
        <v>31</v>
      </c>
      <c r="D488" s="1" t="s">
        <v>34</v>
      </c>
      <c r="E488" s="1" t="s">
        <v>25</v>
      </c>
      <c r="F488" s="1" t="s">
        <v>26</v>
      </c>
      <c r="G488" s="1" t="s">
        <v>1229</v>
      </c>
      <c r="H488" s="6">
        <v>1</v>
      </c>
      <c r="I488" s="7">
        <v>1017</v>
      </c>
      <c r="J488" s="5">
        <v>46016</v>
      </c>
      <c r="K488" s="1" t="s">
        <v>957</v>
      </c>
      <c r="L488" s="1" t="s">
        <v>30</v>
      </c>
      <c r="M488" s="8">
        <v>0</v>
      </c>
      <c r="N488" s="6"/>
      <c r="O488" s="6"/>
      <c r="P488" s="9">
        <v>657.25</v>
      </c>
    </row>
    <row r="489" spans="1:16" ht="19.5" customHeight="1">
      <c r="A489" s="1" t="s">
        <v>1899</v>
      </c>
      <c r="B489" s="5">
        <v>46018</v>
      </c>
      <c r="C489" s="1" t="s">
        <v>35</v>
      </c>
      <c r="D489" s="1" t="s">
        <v>36</v>
      </c>
      <c r="E489" s="1" t="s">
        <v>25</v>
      </c>
      <c r="F489" s="1" t="s">
        <v>26</v>
      </c>
      <c r="G489" s="1" t="s">
        <v>1229</v>
      </c>
      <c r="H489" s="6">
        <v>1</v>
      </c>
      <c r="I489" s="7">
        <v>1017</v>
      </c>
      <c r="J489" s="5">
        <v>46016</v>
      </c>
      <c r="K489" s="1" t="s">
        <v>957</v>
      </c>
      <c r="L489" s="1" t="s">
        <v>30</v>
      </c>
      <c r="M489" s="8">
        <v>0.43</v>
      </c>
      <c r="N489" s="6"/>
      <c r="O489" s="6"/>
      <c r="P489" s="9">
        <v>-437.31</v>
      </c>
    </row>
    <row r="490" spans="1:16" ht="19.5" customHeight="1">
      <c r="A490" s="1" t="s">
        <v>1899</v>
      </c>
      <c r="B490" s="5">
        <v>46018</v>
      </c>
      <c r="C490" s="1" t="s">
        <v>17</v>
      </c>
      <c r="D490" s="1" t="s">
        <v>37</v>
      </c>
      <c r="E490" s="1" t="s">
        <v>25</v>
      </c>
      <c r="F490" s="1" t="s">
        <v>26</v>
      </c>
      <c r="G490" s="1" t="s">
        <v>1229</v>
      </c>
      <c r="H490" s="6">
        <v>1</v>
      </c>
      <c r="I490" s="7">
        <v>1017</v>
      </c>
      <c r="J490" s="5">
        <v>46016</v>
      </c>
      <c r="K490" s="1" t="s">
        <v>957</v>
      </c>
      <c r="L490" s="1" t="s">
        <v>30</v>
      </c>
      <c r="M490" s="8">
        <v>0.43</v>
      </c>
      <c r="N490" s="6"/>
      <c r="O490" s="6"/>
      <c r="P490" s="9">
        <v>-4.53</v>
      </c>
    </row>
    <row r="491" spans="1:16" ht="19.5" customHeight="1">
      <c r="A491" s="1" t="s">
        <v>1899</v>
      </c>
      <c r="B491" s="5">
        <v>46018</v>
      </c>
      <c r="C491" s="1" t="s">
        <v>17</v>
      </c>
      <c r="D491" s="1" t="s">
        <v>18</v>
      </c>
      <c r="E491" s="1" t="s">
        <v>25</v>
      </c>
      <c r="F491" s="1" t="s">
        <v>26</v>
      </c>
      <c r="G491" s="1" t="s">
        <v>1229</v>
      </c>
      <c r="H491" s="6">
        <v>1</v>
      </c>
      <c r="I491" s="7">
        <v>0</v>
      </c>
      <c r="J491" s="5">
        <v>46016</v>
      </c>
      <c r="K491" s="1" t="s">
        <v>22</v>
      </c>
      <c r="L491" s="1" t="s">
        <v>22</v>
      </c>
      <c r="M491" s="8">
        <v>0</v>
      </c>
      <c r="N491" s="6"/>
      <c r="O491" s="6"/>
      <c r="P491" s="9">
        <v>-6.77</v>
      </c>
    </row>
    <row r="492" spans="1:16" ht="19.5" customHeight="1">
      <c r="A492" s="1" t="s">
        <v>1900</v>
      </c>
      <c r="B492" s="5">
        <v>46018</v>
      </c>
      <c r="C492" s="1" t="s">
        <v>28</v>
      </c>
      <c r="D492" s="1" t="s">
        <v>29</v>
      </c>
      <c r="E492" s="1" t="s">
        <v>25</v>
      </c>
      <c r="F492" s="1" t="s">
        <v>26</v>
      </c>
      <c r="G492" s="1" t="s">
        <v>1229</v>
      </c>
      <c r="H492" s="6">
        <v>1</v>
      </c>
      <c r="I492" s="7">
        <v>1704</v>
      </c>
      <c r="J492" s="5">
        <v>46017</v>
      </c>
      <c r="K492" s="1" t="s">
        <v>957</v>
      </c>
      <c r="L492" s="1" t="s">
        <v>30</v>
      </c>
      <c r="M492" s="8">
        <v>0.43</v>
      </c>
      <c r="N492" s="6"/>
      <c r="O492" s="6">
        <v>38</v>
      </c>
      <c r="P492" s="9">
        <v>-104.84</v>
      </c>
    </row>
    <row r="493" spans="1:16" ht="19.5" customHeight="1">
      <c r="A493" s="1" t="s">
        <v>1900</v>
      </c>
      <c r="B493" s="5">
        <v>46018</v>
      </c>
      <c r="C493" s="1" t="s">
        <v>31</v>
      </c>
      <c r="D493" s="1" t="s">
        <v>32</v>
      </c>
      <c r="E493" s="1" t="s">
        <v>25</v>
      </c>
      <c r="F493" s="1" t="s">
        <v>26</v>
      </c>
      <c r="G493" s="1" t="s">
        <v>1229</v>
      </c>
      <c r="H493" s="6">
        <v>1</v>
      </c>
      <c r="I493" s="7">
        <v>1704</v>
      </c>
      <c r="J493" s="5">
        <v>46017</v>
      </c>
      <c r="K493" s="1" t="s">
        <v>957</v>
      </c>
      <c r="L493" s="1" t="s">
        <v>30</v>
      </c>
      <c r="M493" s="8">
        <v>0</v>
      </c>
      <c r="N493" s="6"/>
      <c r="O493" s="6"/>
      <c r="P493" s="9">
        <v>643.4</v>
      </c>
    </row>
    <row r="494" spans="1:16" ht="19.5" customHeight="1">
      <c r="A494" s="1" t="s">
        <v>1900</v>
      </c>
      <c r="B494" s="5">
        <v>46018</v>
      </c>
      <c r="C494" s="1" t="s">
        <v>31</v>
      </c>
      <c r="D494" s="1" t="s">
        <v>33</v>
      </c>
      <c r="E494" s="1" t="s">
        <v>25</v>
      </c>
      <c r="F494" s="1" t="s">
        <v>26</v>
      </c>
      <c r="G494" s="1" t="s">
        <v>1229</v>
      </c>
      <c r="H494" s="6">
        <v>1</v>
      </c>
      <c r="I494" s="7">
        <v>1704</v>
      </c>
      <c r="J494" s="5">
        <v>46017</v>
      </c>
      <c r="K494" s="1" t="s">
        <v>957</v>
      </c>
      <c r="L494" s="1" t="s">
        <v>30</v>
      </c>
      <c r="M494" s="8">
        <v>0</v>
      </c>
      <c r="N494" s="6"/>
      <c r="O494" s="6"/>
      <c r="P494" s="9">
        <v>0</v>
      </c>
    </row>
    <row r="495" spans="1:16" ht="19.5" customHeight="1">
      <c r="A495" s="1" t="s">
        <v>1900</v>
      </c>
      <c r="B495" s="5">
        <v>46018</v>
      </c>
      <c r="C495" s="1" t="s">
        <v>31</v>
      </c>
      <c r="D495" s="1" t="s">
        <v>34</v>
      </c>
      <c r="E495" s="1" t="s">
        <v>25</v>
      </c>
      <c r="F495" s="1" t="s">
        <v>26</v>
      </c>
      <c r="G495" s="1" t="s">
        <v>1229</v>
      </c>
      <c r="H495" s="6">
        <v>1</v>
      </c>
      <c r="I495" s="7">
        <v>1704</v>
      </c>
      <c r="J495" s="5">
        <v>46017</v>
      </c>
      <c r="K495" s="1" t="s">
        <v>957</v>
      </c>
      <c r="L495" s="1" t="s">
        <v>30</v>
      </c>
      <c r="M495" s="8">
        <v>0</v>
      </c>
      <c r="N495" s="6"/>
      <c r="O495" s="6"/>
      <c r="P495" s="9">
        <v>1060.5999999999999</v>
      </c>
    </row>
    <row r="496" spans="1:16" ht="19.5" customHeight="1">
      <c r="A496" s="1" t="s">
        <v>1900</v>
      </c>
      <c r="B496" s="5">
        <v>46018</v>
      </c>
      <c r="C496" s="1" t="s">
        <v>35</v>
      </c>
      <c r="D496" s="1" t="s">
        <v>36</v>
      </c>
      <c r="E496" s="1" t="s">
        <v>25</v>
      </c>
      <c r="F496" s="1" t="s">
        <v>26</v>
      </c>
      <c r="G496" s="1" t="s">
        <v>1229</v>
      </c>
      <c r="H496" s="6">
        <v>1</v>
      </c>
      <c r="I496" s="7">
        <v>1704</v>
      </c>
      <c r="J496" s="5">
        <v>46017</v>
      </c>
      <c r="K496" s="1" t="s">
        <v>957</v>
      </c>
      <c r="L496" s="1" t="s">
        <v>30</v>
      </c>
      <c r="M496" s="8">
        <v>0.43</v>
      </c>
      <c r="N496" s="6"/>
      <c r="O496" s="6"/>
      <c r="P496" s="9">
        <v>-732.72</v>
      </c>
    </row>
    <row r="497" spans="1:16" ht="19.5" customHeight="1">
      <c r="A497" s="1" t="s">
        <v>1900</v>
      </c>
      <c r="B497" s="5">
        <v>46018</v>
      </c>
      <c r="C497" s="1" t="s">
        <v>17</v>
      </c>
      <c r="D497" s="1" t="s">
        <v>37</v>
      </c>
      <c r="E497" s="1" t="s">
        <v>25</v>
      </c>
      <c r="F497" s="1" t="s">
        <v>26</v>
      </c>
      <c r="G497" s="1" t="s">
        <v>1229</v>
      </c>
      <c r="H497" s="6">
        <v>1</v>
      </c>
      <c r="I497" s="7">
        <v>1704</v>
      </c>
      <c r="J497" s="5">
        <v>46017</v>
      </c>
      <c r="K497" s="1" t="s">
        <v>957</v>
      </c>
      <c r="L497" s="1" t="s">
        <v>30</v>
      </c>
      <c r="M497" s="8">
        <v>0.43</v>
      </c>
      <c r="N497" s="6"/>
      <c r="O497" s="6"/>
      <c r="P497" s="9">
        <v>-7.07</v>
      </c>
    </row>
    <row r="498" spans="1:16" ht="19.5" customHeight="1">
      <c r="A498" s="1" t="s">
        <v>1900</v>
      </c>
      <c r="B498" s="5">
        <v>46018</v>
      </c>
      <c r="C498" s="1" t="s">
        <v>17</v>
      </c>
      <c r="D498" s="1" t="s">
        <v>18</v>
      </c>
      <c r="E498" s="1" t="s">
        <v>25</v>
      </c>
      <c r="F498" s="1" t="s">
        <v>26</v>
      </c>
      <c r="G498" s="1" t="s">
        <v>1229</v>
      </c>
      <c r="H498" s="6">
        <v>1</v>
      </c>
      <c r="I498" s="7">
        <v>0</v>
      </c>
      <c r="J498" s="5">
        <v>46017</v>
      </c>
      <c r="K498" s="1" t="s">
        <v>22</v>
      </c>
      <c r="L498" s="1" t="s">
        <v>22</v>
      </c>
      <c r="M498" s="8">
        <v>0</v>
      </c>
      <c r="N498" s="6"/>
      <c r="O498" s="6"/>
      <c r="P498" s="9">
        <v>-4.05</v>
      </c>
    </row>
    <row r="499" spans="1:16" ht="19.5" customHeight="1">
      <c r="A499" s="1" t="s">
        <v>1901</v>
      </c>
      <c r="B499" s="5">
        <v>46018</v>
      </c>
      <c r="C499" s="1" t="s">
        <v>17</v>
      </c>
      <c r="D499" s="1" t="s">
        <v>18</v>
      </c>
      <c r="E499" s="1" t="s">
        <v>25</v>
      </c>
      <c r="F499" s="1" t="s">
        <v>26</v>
      </c>
      <c r="G499" s="1" t="s">
        <v>1229</v>
      </c>
      <c r="H499" s="6">
        <v>1</v>
      </c>
      <c r="I499" s="7">
        <v>0</v>
      </c>
      <c r="J499" s="5">
        <v>46018</v>
      </c>
      <c r="K499" s="1" t="s">
        <v>22</v>
      </c>
      <c r="L499" s="1" t="s">
        <v>22</v>
      </c>
      <c r="M499" s="8">
        <v>0</v>
      </c>
      <c r="N499" s="6"/>
      <c r="O499" s="6"/>
      <c r="P499" s="9">
        <v>-3.57</v>
      </c>
    </row>
    <row r="500" spans="1:16" ht="19.5" customHeight="1">
      <c r="A500" s="1" t="s">
        <v>1902</v>
      </c>
      <c r="B500" s="5">
        <v>46018</v>
      </c>
      <c r="C500" s="1" t="s">
        <v>17</v>
      </c>
      <c r="D500" s="1" t="s">
        <v>18</v>
      </c>
      <c r="E500" s="1" t="s">
        <v>225</v>
      </c>
      <c r="F500" s="1" t="s">
        <v>491</v>
      </c>
      <c r="G500" s="1" t="s">
        <v>1229</v>
      </c>
      <c r="H500" s="6">
        <v>1</v>
      </c>
      <c r="I500" s="7">
        <v>0</v>
      </c>
      <c r="J500" s="5">
        <v>46018</v>
      </c>
      <c r="K500" s="1" t="s">
        <v>22</v>
      </c>
      <c r="L500" s="1" t="s">
        <v>22</v>
      </c>
      <c r="M500" s="8">
        <v>0</v>
      </c>
      <c r="N500" s="6"/>
      <c r="O500" s="6"/>
      <c r="P500" s="9">
        <v>-9.9700000000000006</v>
      </c>
    </row>
    <row r="501" spans="1:16" ht="19.5" customHeight="1">
      <c r="A501" s="1" t="s">
        <v>1903</v>
      </c>
      <c r="B501" s="5">
        <v>46018</v>
      </c>
      <c r="C501" s="1" t="s">
        <v>17</v>
      </c>
      <c r="D501" s="1" t="s">
        <v>18</v>
      </c>
      <c r="E501" s="1" t="s">
        <v>25</v>
      </c>
      <c r="F501" s="1" t="s">
        <v>26</v>
      </c>
      <c r="G501" s="1" t="s">
        <v>1229</v>
      </c>
      <c r="H501" s="6">
        <v>1</v>
      </c>
      <c r="I501" s="7">
        <v>0</v>
      </c>
      <c r="J501" s="5">
        <v>46018</v>
      </c>
      <c r="K501" s="1" t="s">
        <v>22</v>
      </c>
      <c r="L501" s="1" t="s">
        <v>22</v>
      </c>
      <c r="M501" s="8">
        <v>0</v>
      </c>
      <c r="N501" s="6"/>
      <c r="O501" s="6"/>
      <c r="P501" s="9">
        <v>-11.13</v>
      </c>
    </row>
    <row r="502" spans="1:16" ht="19.5" customHeight="1">
      <c r="A502" s="1" t="s">
        <v>1904</v>
      </c>
      <c r="B502" s="5">
        <v>46018</v>
      </c>
      <c r="C502" s="1" t="s">
        <v>28</v>
      </c>
      <c r="D502" s="1" t="s">
        <v>29</v>
      </c>
      <c r="E502" s="1" t="s">
        <v>223</v>
      </c>
      <c r="F502" s="1" t="s">
        <v>395</v>
      </c>
      <c r="G502" s="1" t="s">
        <v>1229</v>
      </c>
      <c r="H502" s="6">
        <v>1</v>
      </c>
      <c r="I502" s="7">
        <v>1687</v>
      </c>
      <c r="J502" s="5">
        <v>46012</v>
      </c>
      <c r="K502" s="1" t="s">
        <v>957</v>
      </c>
      <c r="L502" s="1" t="s">
        <v>30</v>
      </c>
      <c r="M502" s="8">
        <v>0.43</v>
      </c>
      <c r="N502" s="6"/>
      <c r="O502" s="6">
        <v>40</v>
      </c>
      <c r="P502" s="9">
        <v>-113.64</v>
      </c>
    </row>
    <row r="503" spans="1:16" ht="19.5" customHeight="1">
      <c r="A503" s="1" t="s">
        <v>1904</v>
      </c>
      <c r="B503" s="5">
        <v>46018</v>
      </c>
      <c r="C503" s="1" t="s">
        <v>31</v>
      </c>
      <c r="D503" s="1" t="s">
        <v>32</v>
      </c>
      <c r="E503" s="1" t="s">
        <v>223</v>
      </c>
      <c r="F503" s="1" t="s">
        <v>395</v>
      </c>
      <c r="G503" s="1" t="s">
        <v>1229</v>
      </c>
      <c r="H503" s="6">
        <v>1</v>
      </c>
      <c r="I503" s="7">
        <v>1687</v>
      </c>
      <c r="J503" s="5">
        <v>46012</v>
      </c>
      <c r="K503" s="1" t="s">
        <v>957</v>
      </c>
      <c r="L503" s="1" t="s">
        <v>30</v>
      </c>
      <c r="M503" s="8">
        <v>0</v>
      </c>
      <c r="N503" s="6"/>
      <c r="O503" s="6"/>
      <c r="P503" s="9">
        <v>580</v>
      </c>
    </row>
    <row r="504" spans="1:16" ht="19.5" customHeight="1">
      <c r="A504" s="1" t="s">
        <v>1904</v>
      </c>
      <c r="B504" s="5">
        <v>46018</v>
      </c>
      <c r="C504" s="1" t="s">
        <v>31</v>
      </c>
      <c r="D504" s="1" t="s">
        <v>33</v>
      </c>
      <c r="E504" s="1" t="s">
        <v>223</v>
      </c>
      <c r="F504" s="1" t="s">
        <v>395</v>
      </c>
      <c r="G504" s="1" t="s">
        <v>1229</v>
      </c>
      <c r="H504" s="6">
        <v>1</v>
      </c>
      <c r="I504" s="7">
        <v>1687</v>
      </c>
      <c r="J504" s="5">
        <v>46012</v>
      </c>
      <c r="K504" s="1" t="s">
        <v>957</v>
      </c>
      <c r="L504" s="1" t="s">
        <v>30</v>
      </c>
      <c r="M504" s="8">
        <v>0</v>
      </c>
      <c r="N504" s="6"/>
      <c r="O504" s="6"/>
      <c r="P504" s="9">
        <v>5.8</v>
      </c>
    </row>
    <row r="505" spans="1:16" ht="19.5" customHeight="1">
      <c r="A505" s="1" t="s">
        <v>1904</v>
      </c>
      <c r="B505" s="5">
        <v>46018</v>
      </c>
      <c r="C505" s="1" t="s">
        <v>31</v>
      </c>
      <c r="D505" s="1" t="s">
        <v>34</v>
      </c>
      <c r="E505" s="1" t="s">
        <v>223</v>
      </c>
      <c r="F505" s="1" t="s">
        <v>395</v>
      </c>
      <c r="G505" s="1" t="s">
        <v>1229</v>
      </c>
      <c r="H505" s="6">
        <v>1</v>
      </c>
      <c r="I505" s="7">
        <v>1687</v>
      </c>
      <c r="J505" s="5">
        <v>46012</v>
      </c>
      <c r="K505" s="1" t="s">
        <v>957</v>
      </c>
      <c r="L505" s="1" t="s">
        <v>30</v>
      </c>
      <c r="M505" s="8">
        <v>0</v>
      </c>
      <c r="N505" s="6"/>
      <c r="O505" s="6"/>
      <c r="P505" s="9">
        <v>1101.2</v>
      </c>
    </row>
    <row r="506" spans="1:16" ht="19.5" customHeight="1">
      <c r="A506" s="1" t="s">
        <v>1904</v>
      </c>
      <c r="B506" s="5">
        <v>46018</v>
      </c>
      <c r="C506" s="1" t="s">
        <v>35</v>
      </c>
      <c r="D506" s="1" t="s">
        <v>36</v>
      </c>
      <c r="E506" s="1" t="s">
        <v>223</v>
      </c>
      <c r="F506" s="1" t="s">
        <v>395</v>
      </c>
      <c r="G506" s="1" t="s">
        <v>1229</v>
      </c>
      <c r="H506" s="6">
        <v>1</v>
      </c>
      <c r="I506" s="7">
        <v>1687</v>
      </c>
      <c r="J506" s="5">
        <v>46012</v>
      </c>
      <c r="K506" s="1" t="s">
        <v>957</v>
      </c>
      <c r="L506" s="1" t="s">
        <v>30</v>
      </c>
      <c r="M506" s="8">
        <v>0.43</v>
      </c>
      <c r="N506" s="6"/>
      <c r="O506" s="6"/>
      <c r="P506" s="9">
        <v>-725.41</v>
      </c>
    </row>
    <row r="507" spans="1:16" ht="19.5" customHeight="1">
      <c r="A507" s="1" t="s">
        <v>1904</v>
      </c>
      <c r="B507" s="5">
        <v>46018</v>
      </c>
      <c r="C507" s="1" t="s">
        <v>17</v>
      </c>
      <c r="D507" s="1" t="s">
        <v>37</v>
      </c>
      <c r="E507" s="1" t="s">
        <v>223</v>
      </c>
      <c r="F507" s="1" t="s">
        <v>395</v>
      </c>
      <c r="G507" s="1" t="s">
        <v>1229</v>
      </c>
      <c r="H507" s="6">
        <v>1</v>
      </c>
      <c r="I507" s="7">
        <v>1687</v>
      </c>
      <c r="J507" s="5">
        <v>46012</v>
      </c>
      <c r="K507" s="1" t="s">
        <v>957</v>
      </c>
      <c r="L507" s="1" t="s">
        <v>30</v>
      </c>
      <c r="M507" s="8">
        <v>0.43</v>
      </c>
      <c r="N507" s="6"/>
      <c r="O507" s="6"/>
      <c r="P507" s="9">
        <v>-11.21</v>
      </c>
    </row>
    <row r="508" spans="1:16" ht="19.5" customHeight="1">
      <c r="A508" s="1" t="s">
        <v>1904</v>
      </c>
      <c r="B508" s="5">
        <v>46018</v>
      </c>
      <c r="C508" s="1" t="s">
        <v>17</v>
      </c>
      <c r="D508" s="1" t="s">
        <v>18</v>
      </c>
      <c r="E508" s="1" t="s">
        <v>223</v>
      </c>
      <c r="F508" s="1" t="s">
        <v>395</v>
      </c>
      <c r="G508" s="1" t="s">
        <v>1229</v>
      </c>
      <c r="H508" s="6">
        <v>1</v>
      </c>
      <c r="I508" s="7">
        <v>0</v>
      </c>
      <c r="J508" s="5">
        <v>46012</v>
      </c>
      <c r="K508" s="1" t="s">
        <v>22</v>
      </c>
      <c r="L508" s="1" t="s">
        <v>22</v>
      </c>
      <c r="M508" s="8">
        <v>0</v>
      </c>
      <c r="N508" s="6"/>
      <c r="O508" s="6"/>
      <c r="P508" s="9">
        <v>-11.02</v>
      </c>
    </row>
    <row r="509" spans="1:16" ht="19.5" customHeight="1">
      <c r="A509" s="1" t="s">
        <v>1905</v>
      </c>
      <c r="B509" s="5">
        <v>46018</v>
      </c>
      <c r="C509" s="1" t="s">
        <v>28</v>
      </c>
      <c r="D509" s="1" t="s">
        <v>29</v>
      </c>
      <c r="E509" s="1" t="s">
        <v>226</v>
      </c>
      <c r="F509" s="1" t="s">
        <v>428</v>
      </c>
      <c r="G509" s="1" t="s">
        <v>1229</v>
      </c>
      <c r="H509" s="6">
        <v>1</v>
      </c>
      <c r="I509" s="7">
        <v>1461</v>
      </c>
      <c r="J509" s="5">
        <v>46006</v>
      </c>
      <c r="K509" s="1" t="s">
        <v>957</v>
      </c>
      <c r="L509" s="1" t="s">
        <v>30</v>
      </c>
      <c r="M509" s="8">
        <v>0.43</v>
      </c>
      <c r="N509" s="6"/>
      <c r="O509" s="6">
        <v>38</v>
      </c>
      <c r="P509" s="9">
        <v>-99.49</v>
      </c>
    </row>
    <row r="510" spans="1:16" ht="19.5" customHeight="1">
      <c r="A510" s="1" t="s">
        <v>1905</v>
      </c>
      <c r="B510" s="5">
        <v>46018</v>
      </c>
      <c r="C510" s="1" t="s">
        <v>31</v>
      </c>
      <c r="D510" s="1" t="s">
        <v>32</v>
      </c>
      <c r="E510" s="1" t="s">
        <v>226</v>
      </c>
      <c r="F510" s="1" t="s">
        <v>428</v>
      </c>
      <c r="G510" s="1" t="s">
        <v>1229</v>
      </c>
      <c r="H510" s="6">
        <v>1</v>
      </c>
      <c r="I510" s="7">
        <v>1461</v>
      </c>
      <c r="J510" s="5">
        <v>46006</v>
      </c>
      <c r="K510" s="1" t="s">
        <v>957</v>
      </c>
      <c r="L510" s="1" t="s">
        <v>30</v>
      </c>
      <c r="M510" s="8">
        <v>0</v>
      </c>
      <c r="N510" s="6"/>
      <c r="O510" s="6"/>
      <c r="P510" s="9">
        <v>640.76</v>
      </c>
    </row>
    <row r="511" spans="1:16" ht="19.5" customHeight="1">
      <c r="A511" s="1" t="s">
        <v>1905</v>
      </c>
      <c r="B511" s="5">
        <v>46018</v>
      </c>
      <c r="C511" s="1" t="s">
        <v>31</v>
      </c>
      <c r="D511" s="1" t="s">
        <v>33</v>
      </c>
      <c r="E511" s="1" t="s">
        <v>226</v>
      </c>
      <c r="F511" s="1" t="s">
        <v>428</v>
      </c>
      <c r="G511" s="1" t="s">
        <v>1229</v>
      </c>
      <c r="H511" s="6">
        <v>1</v>
      </c>
      <c r="I511" s="7">
        <v>1461</v>
      </c>
      <c r="J511" s="5">
        <v>46006</v>
      </c>
      <c r="K511" s="1" t="s">
        <v>957</v>
      </c>
      <c r="L511" s="1" t="s">
        <v>30</v>
      </c>
      <c r="M511" s="8">
        <v>0</v>
      </c>
      <c r="N511" s="6"/>
      <c r="O511" s="6"/>
      <c r="P511" s="9">
        <v>6.41</v>
      </c>
    </row>
    <row r="512" spans="1:16" ht="19.5" customHeight="1">
      <c r="A512" s="1" t="s">
        <v>1905</v>
      </c>
      <c r="B512" s="5">
        <v>46018</v>
      </c>
      <c r="C512" s="1" t="s">
        <v>31</v>
      </c>
      <c r="D512" s="1" t="s">
        <v>34</v>
      </c>
      <c r="E512" s="1" t="s">
        <v>226</v>
      </c>
      <c r="F512" s="1" t="s">
        <v>428</v>
      </c>
      <c r="G512" s="1" t="s">
        <v>1229</v>
      </c>
      <c r="H512" s="6">
        <v>1</v>
      </c>
      <c r="I512" s="7">
        <v>1461</v>
      </c>
      <c r="J512" s="5">
        <v>46006</v>
      </c>
      <c r="K512" s="1" t="s">
        <v>957</v>
      </c>
      <c r="L512" s="1" t="s">
        <v>30</v>
      </c>
      <c r="M512" s="8">
        <v>0</v>
      </c>
      <c r="N512" s="6"/>
      <c r="O512" s="6"/>
      <c r="P512" s="9">
        <v>813.83</v>
      </c>
    </row>
    <row r="513" spans="1:16" ht="19.5" customHeight="1">
      <c r="A513" s="1" t="s">
        <v>1905</v>
      </c>
      <c r="B513" s="5">
        <v>46018</v>
      </c>
      <c r="C513" s="1" t="s">
        <v>35</v>
      </c>
      <c r="D513" s="1" t="s">
        <v>36</v>
      </c>
      <c r="E513" s="1" t="s">
        <v>226</v>
      </c>
      <c r="F513" s="1" t="s">
        <v>428</v>
      </c>
      <c r="G513" s="1" t="s">
        <v>1229</v>
      </c>
      <c r="H513" s="6">
        <v>1</v>
      </c>
      <c r="I513" s="7">
        <v>1461</v>
      </c>
      <c r="J513" s="5">
        <v>46006</v>
      </c>
      <c r="K513" s="1" t="s">
        <v>957</v>
      </c>
      <c r="L513" s="1" t="s">
        <v>30</v>
      </c>
      <c r="M513" s="8">
        <v>0.43</v>
      </c>
      <c r="N513" s="6"/>
      <c r="O513" s="6"/>
      <c r="P513" s="9">
        <v>-628.23</v>
      </c>
    </row>
    <row r="514" spans="1:16" ht="19.5" customHeight="1">
      <c r="A514" s="1" t="s">
        <v>1905</v>
      </c>
      <c r="B514" s="5">
        <v>46018</v>
      </c>
      <c r="C514" s="1" t="s">
        <v>17</v>
      </c>
      <c r="D514" s="1" t="s">
        <v>37</v>
      </c>
      <c r="E514" s="1" t="s">
        <v>226</v>
      </c>
      <c r="F514" s="1" t="s">
        <v>428</v>
      </c>
      <c r="G514" s="1" t="s">
        <v>1229</v>
      </c>
      <c r="H514" s="6">
        <v>1</v>
      </c>
      <c r="I514" s="7">
        <v>1461</v>
      </c>
      <c r="J514" s="5">
        <v>46006</v>
      </c>
      <c r="K514" s="1" t="s">
        <v>957</v>
      </c>
      <c r="L514" s="1" t="s">
        <v>30</v>
      </c>
      <c r="M514" s="8">
        <v>0.43</v>
      </c>
      <c r="N514" s="6"/>
      <c r="O514" s="6"/>
      <c r="P514" s="9">
        <v>-8.58</v>
      </c>
    </row>
    <row r="515" spans="1:16" ht="19.5" customHeight="1">
      <c r="A515" s="1" t="s">
        <v>1906</v>
      </c>
      <c r="B515" s="5">
        <v>46018</v>
      </c>
      <c r="C515" s="1" t="s">
        <v>28</v>
      </c>
      <c r="D515" s="1" t="s">
        <v>29</v>
      </c>
      <c r="E515" s="1" t="s">
        <v>25</v>
      </c>
      <c r="F515" s="1" t="s">
        <v>26</v>
      </c>
      <c r="G515" s="1" t="s">
        <v>1229</v>
      </c>
      <c r="H515" s="6">
        <v>1</v>
      </c>
      <c r="I515" s="7">
        <v>1704</v>
      </c>
      <c r="J515" s="5">
        <v>46017</v>
      </c>
      <c r="K515" s="1" t="s">
        <v>957</v>
      </c>
      <c r="L515" s="1" t="s">
        <v>30</v>
      </c>
      <c r="M515" s="8">
        <v>0.43</v>
      </c>
      <c r="N515" s="6"/>
      <c r="O515" s="6">
        <v>38</v>
      </c>
      <c r="P515" s="9">
        <v>-104.84</v>
      </c>
    </row>
    <row r="516" spans="1:16" ht="19.5" customHeight="1">
      <c r="A516" s="1" t="s">
        <v>1906</v>
      </c>
      <c r="B516" s="5">
        <v>46018</v>
      </c>
      <c r="C516" s="1" t="s">
        <v>31</v>
      </c>
      <c r="D516" s="1" t="s">
        <v>32</v>
      </c>
      <c r="E516" s="1" t="s">
        <v>25</v>
      </c>
      <c r="F516" s="1" t="s">
        <v>26</v>
      </c>
      <c r="G516" s="1" t="s">
        <v>1229</v>
      </c>
      <c r="H516" s="6">
        <v>1</v>
      </c>
      <c r="I516" s="7">
        <v>1704</v>
      </c>
      <c r="J516" s="5">
        <v>46017</v>
      </c>
      <c r="K516" s="1" t="s">
        <v>957</v>
      </c>
      <c r="L516" s="1" t="s">
        <v>30</v>
      </c>
      <c r="M516" s="8">
        <v>0</v>
      </c>
      <c r="N516" s="6"/>
      <c r="O516" s="6"/>
      <c r="P516" s="9">
        <v>582.94000000000005</v>
      </c>
    </row>
    <row r="517" spans="1:16" ht="19.5" customHeight="1">
      <c r="A517" s="1" t="s">
        <v>1906</v>
      </c>
      <c r="B517" s="5">
        <v>46018</v>
      </c>
      <c r="C517" s="1" t="s">
        <v>31</v>
      </c>
      <c r="D517" s="1" t="s">
        <v>33</v>
      </c>
      <c r="E517" s="1" t="s">
        <v>25</v>
      </c>
      <c r="F517" s="1" t="s">
        <v>26</v>
      </c>
      <c r="G517" s="1" t="s">
        <v>1229</v>
      </c>
      <c r="H517" s="6">
        <v>1</v>
      </c>
      <c r="I517" s="7">
        <v>1704</v>
      </c>
      <c r="J517" s="5">
        <v>46017</v>
      </c>
      <c r="K517" s="1" t="s">
        <v>957</v>
      </c>
      <c r="L517" s="1" t="s">
        <v>30</v>
      </c>
      <c r="M517" s="8">
        <v>0</v>
      </c>
      <c r="N517" s="6"/>
      <c r="O517" s="6"/>
      <c r="P517" s="9">
        <v>5.83</v>
      </c>
    </row>
    <row r="518" spans="1:16" ht="19.5" customHeight="1">
      <c r="A518" s="1" t="s">
        <v>1906</v>
      </c>
      <c r="B518" s="5">
        <v>46018</v>
      </c>
      <c r="C518" s="1" t="s">
        <v>31</v>
      </c>
      <c r="D518" s="1" t="s">
        <v>34</v>
      </c>
      <c r="E518" s="1" t="s">
        <v>25</v>
      </c>
      <c r="F518" s="1" t="s">
        <v>26</v>
      </c>
      <c r="G518" s="1" t="s">
        <v>1229</v>
      </c>
      <c r="H518" s="6">
        <v>1</v>
      </c>
      <c r="I518" s="7">
        <v>1704</v>
      </c>
      <c r="J518" s="5">
        <v>46017</v>
      </c>
      <c r="K518" s="1" t="s">
        <v>957</v>
      </c>
      <c r="L518" s="1" t="s">
        <v>30</v>
      </c>
      <c r="M518" s="8">
        <v>0</v>
      </c>
      <c r="N518" s="6"/>
      <c r="O518" s="6"/>
      <c r="P518" s="9">
        <v>1115.23</v>
      </c>
    </row>
    <row r="519" spans="1:16" ht="19.5" customHeight="1">
      <c r="A519" s="1" t="s">
        <v>1906</v>
      </c>
      <c r="B519" s="5">
        <v>46018</v>
      </c>
      <c r="C519" s="1" t="s">
        <v>35</v>
      </c>
      <c r="D519" s="1" t="s">
        <v>36</v>
      </c>
      <c r="E519" s="1" t="s">
        <v>25</v>
      </c>
      <c r="F519" s="1" t="s">
        <v>26</v>
      </c>
      <c r="G519" s="1" t="s">
        <v>1229</v>
      </c>
      <c r="H519" s="6">
        <v>1</v>
      </c>
      <c r="I519" s="7">
        <v>1704</v>
      </c>
      <c r="J519" s="5">
        <v>46017</v>
      </c>
      <c r="K519" s="1" t="s">
        <v>957</v>
      </c>
      <c r="L519" s="1" t="s">
        <v>30</v>
      </c>
      <c r="M519" s="8">
        <v>0.43</v>
      </c>
      <c r="N519" s="6"/>
      <c r="O519" s="6"/>
      <c r="P519" s="9">
        <v>-732.72</v>
      </c>
    </row>
    <row r="520" spans="1:16" ht="19.5" customHeight="1">
      <c r="A520" s="1" t="s">
        <v>1906</v>
      </c>
      <c r="B520" s="5">
        <v>46018</v>
      </c>
      <c r="C520" s="1" t="s">
        <v>17</v>
      </c>
      <c r="D520" s="1" t="s">
        <v>37</v>
      </c>
      <c r="E520" s="1" t="s">
        <v>25</v>
      </c>
      <c r="F520" s="1" t="s">
        <v>26</v>
      </c>
      <c r="G520" s="1" t="s">
        <v>1229</v>
      </c>
      <c r="H520" s="6">
        <v>1</v>
      </c>
      <c r="I520" s="7">
        <v>1704</v>
      </c>
      <c r="J520" s="5">
        <v>46017</v>
      </c>
      <c r="K520" s="1" t="s">
        <v>957</v>
      </c>
      <c r="L520" s="1" t="s">
        <v>30</v>
      </c>
      <c r="M520" s="8">
        <v>0.43</v>
      </c>
      <c r="N520" s="6"/>
      <c r="O520" s="6"/>
      <c r="P520" s="9">
        <v>-7.71</v>
      </c>
    </row>
    <row r="521" spans="1:16" ht="19.5" customHeight="1">
      <c r="A521" s="1" t="s">
        <v>1898</v>
      </c>
      <c r="B521" s="5">
        <v>46018</v>
      </c>
      <c r="C521" s="1" t="s">
        <v>261</v>
      </c>
      <c r="D521" s="1" t="s">
        <v>581</v>
      </c>
      <c r="E521" s="1" t="s">
        <v>22</v>
      </c>
      <c r="F521" s="1" t="s">
        <v>22</v>
      </c>
      <c r="G521" s="1" t="s">
        <v>22</v>
      </c>
      <c r="H521" s="6">
        <v>0</v>
      </c>
      <c r="I521" s="7">
        <v>0</v>
      </c>
      <c r="J521" s="5">
        <v>46018</v>
      </c>
      <c r="K521" s="1" t="s">
        <v>22</v>
      </c>
      <c r="L521" s="1" t="s">
        <v>22</v>
      </c>
      <c r="M521" s="8">
        <v>0</v>
      </c>
      <c r="N521" s="6"/>
      <c r="O521" s="6"/>
      <c r="P521" s="9">
        <v>-126</v>
      </c>
    </row>
    <row r="522" spans="1:16" ht="19.5" customHeight="1">
      <c r="A522" s="1" t="s">
        <v>1898</v>
      </c>
      <c r="B522" s="5">
        <v>46018</v>
      </c>
      <c r="C522" s="1" t="s">
        <v>261</v>
      </c>
      <c r="D522" s="1" t="s">
        <v>329</v>
      </c>
      <c r="E522" s="1" t="s">
        <v>22</v>
      </c>
      <c r="F522" s="1" t="s">
        <v>22</v>
      </c>
      <c r="G522" s="1" t="s">
        <v>22</v>
      </c>
      <c r="H522" s="6">
        <v>0</v>
      </c>
      <c r="I522" s="7">
        <v>0</v>
      </c>
      <c r="J522" s="5">
        <v>46018</v>
      </c>
      <c r="K522" s="1" t="s">
        <v>22</v>
      </c>
      <c r="L522" s="1" t="s">
        <v>22</v>
      </c>
      <c r="M522" s="8">
        <v>0</v>
      </c>
      <c r="N522" s="6"/>
      <c r="O522" s="6"/>
      <c r="P522" s="9">
        <v>-40</v>
      </c>
    </row>
    <row r="523" spans="1:16" ht="19.5" customHeight="1">
      <c r="A523" s="1" t="s">
        <v>1905</v>
      </c>
      <c r="B523" s="5">
        <v>46018</v>
      </c>
      <c r="C523" s="1" t="s">
        <v>17</v>
      </c>
      <c r="D523" s="1" t="s">
        <v>18</v>
      </c>
      <c r="E523" s="1" t="s">
        <v>226</v>
      </c>
      <c r="F523" s="1" t="s">
        <v>428</v>
      </c>
      <c r="G523" s="1" t="s">
        <v>1229</v>
      </c>
      <c r="H523" s="6">
        <v>1</v>
      </c>
      <c r="I523" s="7">
        <v>0</v>
      </c>
      <c r="J523" s="5">
        <v>46006</v>
      </c>
      <c r="K523" s="1" t="s">
        <v>22</v>
      </c>
      <c r="L523" s="1" t="s">
        <v>22</v>
      </c>
      <c r="M523" s="8">
        <v>0</v>
      </c>
      <c r="N523" s="6"/>
      <c r="O523" s="6"/>
      <c r="P523" s="9">
        <v>-12.17</v>
      </c>
    </row>
    <row r="524" spans="1:16" ht="19.5" customHeight="1">
      <c r="A524" s="1" t="s">
        <v>1906</v>
      </c>
      <c r="B524" s="5">
        <v>46018</v>
      </c>
      <c r="C524" s="1" t="s">
        <v>17</v>
      </c>
      <c r="D524" s="1" t="s">
        <v>18</v>
      </c>
      <c r="E524" s="1" t="s">
        <v>25</v>
      </c>
      <c r="F524" s="1" t="s">
        <v>26</v>
      </c>
      <c r="G524" s="1" t="s">
        <v>1229</v>
      </c>
      <c r="H524" s="6">
        <v>1</v>
      </c>
      <c r="I524" s="7">
        <v>0</v>
      </c>
      <c r="J524" s="5">
        <v>46017</v>
      </c>
      <c r="K524" s="1" t="s">
        <v>22</v>
      </c>
      <c r="L524" s="1" t="s">
        <v>22</v>
      </c>
      <c r="M524" s="8">
        <v>0</v>
      </c>
      <c r="N524" s="6"/>
      <c r="O524" s="6"/>
      <c r="P524" s="9">
        <v>-11.08</v>
      </c>
    </row>
    <row r="525" spans="1:16" ht="19.5" customHeight="1">
      <c r="A525" s="1" t="s">
        <v>1907</v>
      </c>
      <c r="B525" s="5">
        <v>46018</v>
      </c>
      <c r="C525" s="1" t="s">
        <v>17</v>
      </c>
      <c r="D525" s="1" t="s">
        <v>18</v>
      </c>
      <c r="E525" s="1" t="s">
        <v>88</v>
      </c>
      <c r="F525" s="1" t="s">
        <v>89</v>
      </c>
      <c r="G525" s="1" t="s">
        <v>1231</v>
      </c>
      <c r="H525" s="6">
        <v>1</v>
      </c>
      <c r="I525" s="7">
        <v>0</v>
      </c>
      <c r="J525" s="5">
        <v>46018</v>
      </c>
      <c r="K525" s="1" t="s">
        <v>22</v>
      </c>
      <c r="L525" s="1" t="s">
        <v>22</v>
      </c>
      <c r="M525" s="8">
        <v>0</v>
      </c>
      <c r="N525" s="6"/>
      <c r="O525" s="6"/>
      <c r="P525" s="9">
        <v>-12.21</v>
      </c>
    </row>
    <row r="526" spans="1:16" ht="19.5" customHeight="1">
      <c r="A526" s="1" t="s">
        <v>1908</v>
      </c>
      <c r="B526" s="5">
        <v>46018</v>
      </c>
      <c r="C526" s="1" t="s">
        <v>77</v>
      </c>
      <c r="D526" s="1" t="s">
        <v>82</v>
      </c>
      <c r="E526" s="1" t="s">
        <v>22</v>
      </c>
      <c r="F526" s="1" t="s">
        <v>22</v>
      </c>
      <c r="G526" s="1" t="s">
        <v>22</v>
      </c>
      <c r="H526" s="6">
        <v>0</v>
      </c>
      <c r="I526" s="7">
        <v>0</v>
      </c>
      <c r="J526" s="5">
        <v>46018</v>
      </c>
      <c r="K526" s="1" t="s">
        <v>22</v>
      </c>
      <c r="L526" s="1" t="s">
        <v>22</v>
      </c>
      <c r="M526" s="8">
        <v>0</v>
      </c>
      <c r="N526" s="6"/>
      <c r="O526" s="6"/>
      <c r="P526" s="9">
        <v>-39.18</v>
      </c>
    </row>
    <row r="527" spans="1:16" ht="19.5" customHeight="1">
      <c r="A527" s="1" t="s">
        <v>1909</v>
      </c>
      <c r="B527" s="5">
        <v>46018</v>
      </c>
      <c r="C527" s="1" t="s">
        <v>77</v>
      </c>
      <c r="D527" s="1" t="s">
        <v>82</v>
      </c>
      <c r="E527" s="1" t="s">
        <v>22</v>
      </c>
      <c r="F527" s="1" t="s">
        <v>22</v>
      </c>
      <c r="G527" s="1" t="s">
        <v>22</v>
      </c>
      <c r="H527" s="6">
        <v>0</v>
      </c>
      <c r="I527" s="7">
        <v>0</v>
      </c>
      <c r="J527" s="5">
        <v>46018</v>
      </c>
      <c r="K527" s="1" t="s">
        <v>22</v>
      </c>
      <c r="L527" s="1" t="s">
        <v>22</v>
      </c>
      <c r="M527" s="8">
        <v>0</v>
      </c>
      <c r="N527" s="6"/>
      <c r="O527" s="6"/>
      <c r="P527" s="9">
        <v>-38.770000000000003</v>
      </c>
    </row>
    <row r="528" spans="1:16" ht="19.5" customHeight="1">
      <c r="A528" s="1" t="s">
        <v>1910</v>
      </c>
      <c r="B528" s="5">
        <v>46018</v>
      </c>
      <c r="C528" s="1" t="s">
        <v>77</v>
      </c>
      <c r="D528" s="1" t="s">
        <v>82</v>
      </c>
      <c r="E528" s="1" t="s">
        <v>22</v>
      </c>
      <c r="F528" s="1" t="s">
        <v>22</v>
      </c>
      <c r="G528" s="1" t="s">
        <v>22</v>
      </c>
      <c r="H528" s="6">
        <v>0</v>
      </c>
      <c r="I528" s="7">
        <v>0</v>
      </c>
      <c r="J528" s="5">
        <v>46018</v>
      </c>
      <c r="K528" s="1" t="s">
        <v>22</v>
      </c>
      <c r="L528" s="1" t="s">
        <v>22</v>
      </c>
      <c r="M528" s="8">
        <v>0</v>
      </c>
      <c r="N528" s="6"/>
      <c r="O528" s="6"/>
      <c r="P528" s="9">
        <v>-65.97</v>
      </c>
    </row>
    <row r="529" spans="1:16" ht="19.5" customHeight="1">
      <c r="A529" s="1" t="s">
        <v>1847</v>
      </c>
      <c r="B529" s="5">
        <v>46018</v>
      </c>
      <c r="C529" s="1" t="s">
        <v>77</v>
      </c>
      <c r="D529" s="1" t="s">
        <v>82</v>
      </c>
      <c r="E529" s="1" t="s">
        <v>22</v>
      </c>
      <c r="F529" s="1" t="s">
        <v>22</v>
      </c>
      <c r="G529" s="1" t="s">
        <v>22</v>
      </c>
      <c r="H529" s="6">
        <v>0</v>
      </c>
      <c r="I529" s="7">
        <v>0</v>
      </c>
      <c r="J529" s="5">
        <v>46018</v>
      </c>
      <c r="K529" s="1" t="s">
        <v>22</v>
      </c>
      <c r="L529" s="1" t="s">
        <v>22</v>
      </c>
      <c r="M529" s="8">
        <v>0</v>
      </c>
      <c r="N529" s="6"/>
      <c r="O529" s="6"/>
      <c r="P529" s="9">
        <v>-287.81</v>
      </c>
    </row>
    <row r="530" spans="1:16" ht="19.5" customHeight="1">
      <c r="A530" s="1" t="s">
        <v>1376</v>
      </c>
      <c r="B530" s="5">
        <v>46018</v>
      </c>
      <c r="C530" s="1" t="s">
        <v>77</v>
      </c>
      <c r="D530" s="1" t="s">
        <v>82</v>
      </c>
      <c r="E530" s="1" t="s">
        <v>22</v>
      </c>
      <c r="F530" s="1" t="s">
        <v>22</v>
      </c>
      <c r="G530" s="1" t="s">
        <v>22</v>
      </c>
      <c r="H530" s="6">
        <v>0</v>
      </c>
      <c r="I530" s="7">
        <v>0</v>
      </c>
      <c r="J530" s="5">
        <v>46018</v>
      </c>
      <c r="K530" s="1" t="s">
        <v>22</v>
      </c>
      <c r="L530" s="1" t="s">
        <v>22</v>
      </c>
      <c r="M530" s="8">
        <v>0</v>
      </c>
      <c r="N530" s="6"/>
      <c r="O530" s="6"/>
      <c r="P530" s="9">
        <v>-999.08</v>
      </c>
    </row>
    <row r="531" spans="1:16" ht="19.5" customHeight="1">
      <c r="A531" s="1" t="s">
        <v>1075</v>
      </c>
      <c r="B531" s="5">
        <v>46018</v>
      </c>
      <c r="C531" s="1" t="s">
        <v>77</v>
      </c>
      <c r="D531" s="1" t="s">
        <v>82</v>
      </c>
      <c r="E531" s="1" t="s">
        <v>22</v>
      </c>
      <c r="F531" s="1" t="s">
        <v>22</v>
      </c>
      <c r="G531" s="1" t="s">
        <v>22</v>
      </c>
      <c r="H531" s="6">
        <v>0</v>
      </c>
      <c r="I531" s="7">
        <v>0</v>
      </c>
      <c r="J531" s="5">
        <v>46018</v>
      </c>
      <c r="K531" s="1" t="s">
        <v>22</v>
      </c>
      <c r="L531" s="1" t="s">
        <v>22</v>
      </c>
      <c r="M531" s="8">
        <v>0</v>
      </c>
      <c r="N531" s="6"/>
      <c r="O531" s="6"/>
      <c r="P531" s="9">
        <v>-553.55999999999995</v>
      </c>
    </row>
    <row r="532" spans="1:16" ht="19.5" customHeight="1">
      <c r="A532" s="1" t="s">
        <v>83</v>
      </c>
      <c r="B532" s="5">
        <v>46018</v>
      </c>
      <c r="C532" s="1" t="s">
        <v>77</v>
      </c>
      <c r="D532" s="1" t="s">
        <v>84</v>
      </c>
      <c r="E532" s="1" t="s">
        <v>22</v>
      </c>
      <c r="F532" s="1" t="s">
        <v>22</v>
      </c>
      <c r="G532" s="1" t="s">
        <v>22</v>
      </c>
      <c r="H532" s="6">
        <v>0</v>
      </c>
      <c r="I532" s="7">
        <v>0</v>
      </c>
      <c r="J532" s="5">
        <v>46018</v>
      </c>
      <c r="K532" s="1" t="s">
        <v>22</v>
      </c>
      <c r="L532" s="1" t="s">
        <v>22</v>
      </c>
      <c r="M532" s="8">
        <v>0</v>
      </c>
      <c r="N532" s="6"/>
      <c r="O532" s="6"/>
      <c r="P532" s="9">
        <v>-3046.88</v>
      </c>
    </row>
    <row r="533" spans="1:16" ht="19.5" customHeight="1">
      <c r="A533" s="1" t="s">
        <v>1911</v>
      </c>
      <c r="B533" s="5">
        <v>46019</v>
      </c>
      <c r="C533" s="1" t="s">
        <v>28</v>
      </c>
      <c r="D533" s="1" t="s">
        <v>45</v>
      </c>
      <c r="E533" s="1" t="s">
        <v>225</v>
      </c>
      <c r="F533" s="1" t="s">
        <v>491</v>
      </c>
      <c r="G533" s="1" t="s">
        <v>1229</v>
      </c>
      <c r="H533" s="6">
        <v>1</v>
      </c>
      <c r="I533" s="7">
        <v>0</v>
      </c>
      <c r="J533" s="5">
        <v>46009</v>
      </c>
      <c r="K533" s="1" t="s">
        <v>957</v>
      </c>
      <c r="L533" s="1" t="s">
        <v>30</v>
      </c>
      <c r="M533" s="8">
        <v>0</v>
      </c>
      <c r="N533" s="6"/>
      <c r="O533" s="6"/>
      <c r="P533" s="9">
        <v>0</v>
      </c>
    </row>
    <row r="534" spans="1:16" ht="19.5" customHeight="1">
      <c r="A534" s="1" t="s">
        <v>1911</v>
      </c>
      <c r="B534" s="5">
        <v>46019</v>
      </c>
      <c r="C534" s="1" t="s">
        <v>28</v>
      </c>
      <c r="D534" s="1" t="s">
        <v>46</v>
      </c>
      <c r="E534" s="1" t="s">
        <v>225</v>
      </c>
      <c r="F534" s="1" t="s">
        <v>491</v>
      </c>
      <c r="G534" s="1" t="s">
        <v>1229</v>
      </c>
      <c r="H534" s="6">
        <v>1</v>
      </c>
      <c r="I534" s="7">
        <v>0</v>
      </c>
      <c r="J534" s="5">
        <v>46009</v>
      </c>
      <c r="K534" s="1" t="s">
        <v>957</v>
      </c>
      <c r="L534" s="1" t="s">
        <v>30</v>
      </c>
      <c r="M534" s="8">
        <v>0</v>
      </c>
      <c r="N534" s="6"/>
      <c r="O534" s="6"/>
      <c r="P534" s="9">
        <v>-46.77</v>
      </c>
    </row>
    <row r="535" spans="1:16" ht="19.5" customHeight="1">
      <c r="A535" s="1" t="s">
        <v>1911</v>
      </c>
      <c r="B535" s="5">
        <v>46019</v>
      </c>
      <c r="C535" s="1" t="s">
        <v>17</v>
      </c>
      <c r="D535" s="1" t="s">
        <v>47</v>
      </c>
      <c r="E535" s="1" t="s">
        <v>225</v>
      </c>
      <c r="F535" s="1" t="s">
        <v>491</v>
      </c>
      <c r="G535" s="1" t="s">
        <v>1229</v>
      </c>
      <c r="H535" s="6">
        <v>1</v>
      </c>
      <c r="I535" s="7">
        <v>0</v>
      </c>
      <c r="J535" s="5">
        <v>46009</v>
      </c>
      <c r="K535" s="1" t="s">
        <v>957</v>
      </c>
      <c r="L535" s="1" t="s">
        <v>30</v>
      </c>
      <c r="M535" s="8">
        <v>0</v>
      </c>
      <c r="N535" s="6"/>
      <c r="O535" s="6"/>
      <c r="P535" s="9">
        <v>-15</v>
      </c>
    </row>
    <row r="536" spans="1:16" ht="19.5" customHeight="1">
      <c r="A536" s="1" t="s">
        <v>1911</v>
      </c>
      <c r="B536" s="5">
        <v>46019</v>
      </c>
      <c r="C536" s="1" t="s">
        <v>28</v>
      </c>
      <c r="D536" s="1" t="s">
        <v>29</v>
      </c>
      <c r="E536" s="1" t="s">
        <v>225</v>
      </c>
      <c r="F536" s="1" t="s">
        <v>491</v>
      </c>
      <c r="G536" s="1" t="s">
        <v>1229</v>
      </c>
      <c r="H536" s="6">
        <v>1</v>
      </c>
      <c r="I536" s="7">
        <v>0</v>
      </c>
      <c r="J536" s="5">
        <v>46009</v>
      </c>
      <c r="K536" s="1" t="s">
        <v>957</v>
      </c>
      <c r="L536" s="1" t="s">
        <v>30</v>
      </c>
      <c r="M536" s="8">
        <v>0</v>
      </c>
      <c r="N536" s="6"/>
      <c r="O536" s="6">
        <v>40</v>
      </c>
      <c r="P536" s="9">
        <v>-46.77</v>
      </c>
    </row>
    <row r="537" spans="1:16" ht="19.5" customHeight="1">
      <c r="A537" s="1" t="s">
        <v>1911</v>
      </c>
      <c r="B537" s="5">
        <v>46019</v>
      </c>
      <c r="C537" s="1" t="s">
        <v>17</v>
      </c>
      <c r="D537" s="1" t="s">
        <v>37</v>
      </c>
      <c r="E537" s="1" t="s">
        <v>225</v>
      </c>
      <c r="F537" s="1" t="s">
        <v>491</v>
      </c>
      <c r="G537" s="1" t="s">
        <v>1229</v>
      </c>
      <c r="H537" s="6">
        <v>1</v>
      </c>
      <c r="I537" s="7">
        <v>0</v>
      </c>
      <c r="J537" s="5">
        <v>46009</v>
      </c>
      <c r="K537" s="1" t="s">
        <v>957</v>
      </c>
      <c r="L537" s="1" t="s">
        <v>30</v>
      </c>
      <c r="M537" s="8">
        <v>0</v>
      </c>
      <c r="N537" s="6"/>
      <c r="O537" s="6"/>
      <c r="P537" s="9">
        <v>-23.95</v>
      </c>
    </row>
    <row r="538" spans="1:16" ht="19.5" customHeight="1">
      <c r="A538" s="1" t="s">
        <v>1912</v>
      </c>
      <c r="B538" s="5">
        <v>46019</v>
      </c>
      <c r="C538" s="1" t="s">
        <v>17</v>
      </c>
      <c r="D538" s="1" t="s">
        <v>18</v>
      </c>
      <c r="E538" s="1" t="s">
        <v>25</v>
      </c>
      <c r="F538" s="1" t="s">
        <v>26</v>
      </c>
      <c r="G538" s="1" t="s">
        <v>1229</v>
      </c>
      <c r="H538" s="6">
        <v>1</v>
      </c>
      <c r="I538" s="7">
        <v>0</v>
      </c>
      <c r="J538" s="5">
        <v>46019</v>
      </c>
      <c r="K538" s="1" t="s">
        <v>22</v>
      </c>
      <c r="L538" s="1" t="s">
        <v>22</v>
      </c>
      <c r="M538" s="8">
        <v>0</v>
      </c>
      <c r="N538" s="6"/>
      <c r="O538" s="6"/>
      <c r="P538" s="9">
        <v>-11.13</v>
      </c>
    </row>
    <row r="539" spans="1:16" ht="19.5" customHeight="1">
      <c r="A539" s="1" t="s">
        <v>1913</v>
      </c>
      <c r="B539" s="5">
        <v>46019</v>
      </c>
      <c r="C539" s="1" t="s">
        <v>28</v>
      </c>
      <c r="D539" s="1" t="s">
        <v>29</v>
      </c>
      <c r="E539" s="1" t="s">
        <v>25</v>
      </c>
      <c r="F539" s="1" t="s">
        <v>26</v>
      </c>
      <c r="G539" s="1" t="s">
        <v>1229</v>
      </c>
      <c r="H539" s="6">
        <v>1</v>
      </c>
      <c r="I539" s="7">
        <v>1092</v>
      </c>
      <c r="J539" s="5">
        <v>46015</v>
      </c>
      <c r="K539" s="1" t="s">
        <v>957</v>
      </c>
      <c r="L539" s="1" t="s">
        <v>30</v>
      </c>
      <c r="M539" s="8">
        <v>0.43</v>
      </c>
      <c r="N539" s="6"/>
      <c r="O539" s="6">
        <v>39</v>
      </c>
      <c r="P539" s="9">
        <v>-95.43</v>
      </c>
    </row>
    <row r="540" spans="1:16" ht="19.5" customHeight="1">
      <c r="A540" s="1" t="s">
        <v>1913</v>
      </c>
      <c r="B540" s="5">
        <v>46019</v>
      </c>
      <c r="C540" s="1" t="s">
        <v>31</v>
      </c>
      <c r="D540" s="1" t="s">
        <v>32</v>
      </c>
      <c r="E540" s="1" t="s">
        <v>25</v>
      </c>
      <c r="F540" s="1" t="s">
        <v>26</v>
      </c>
      <c r="G540" s="1" t="s">
        <v>1229</v>
      </c>
      <c r="H540" s="6">
        <v>1</v>
      </c>
      <c r="I540" s="7">
        <v>1092</v>
      </c>
      <c r="J540" s="5">
        <v>46015</v>
      </c>
      <c r="K540" s="1" t="s">
        <v>957</v>
      </c>
      <c r="L540" s="1" t="s">
        <v>30</v>
      </c>
      <c r="M540" s="8">
        <v>0</v>
      </c>
      <c r="N540" s="6"/>
      <c r="O540" s="6"/>
      <c r="P540" s="9">
        <v>382.86</v>
      </c>
    </row>
    <row r="541" spans="1:16" ht="19.5" customHeight="1">
      <c r="A541" s="1" t="s">
        <v>1913</v>
      </c>
      <c r="B541" s="5">
        <v>46019</v>
      </c>
      <c r="C541" s="1" t="s">
        <v>31</v>
      </c>
      <c r="D541" s="1" t="s">
        <v>33</v>
      </c>
      <c r="E541" s="1" t="s">
        <v>25</v>
      </c>
      <c r="F541" s="1" t="s">
        <v>26</v>
      </c>
      <c r="G541" s="1" t="s">
        <v>1229</v>
      </c>
      <c r="H541" s="6">
        <v>1</v>
      </c>
      <c r="I541" s="7">
        <v>1092</v>
      </c>
      <c r="J541" s="5">
        <v>46015</v>
      </c>
      <c r="K541" s="1" t="s">
        <v>957</v>
      </c>
      <c r="L541" s="1" t="s">
        <v>30</v>
      </c>
      <c r="M541" s="8">
        <v>0</v>
      </c>
      <c r="N541" s="6"/>
      <c r="O541" s="6"/>
      <c r="P541" s="9">
        <v>3.83</v>
      </c>
    </row>
    <row r="542" spans="1:16" ht="19.5" customHeight="1">
      <c r="A542" s="1" t="s">
        <v>1913</v>
      </c>
      <c r="B542" s="5">
        <v>46019</v>
      </c>
      <c r="C542" s="1" t="s">
        <v>31</v>
      </c>
      <c r="D542" s="1" t="s">
        <v>34</v>
      </c>
      <c r="E542" s="1" t="s">
        <v>25</v>
      </c>
      <c r="F542" s="1" t="s">
        <v>26</v>
      </c>
      <c r="G542" s="1" t="s">
        <v>1229</v>
      </c>
      <c r="H542" s="6">
        <v>1</v>
      </c>
      <c r="I542" s="7">
        <v>1092</v>
      </c>
      <c r="J542" s="5">
        <v>46015</v>
      </c>
      <c r="K542" s="1" t="s">
        <v>957</v>
      </c>
      <c r="L542" s="1" t="s">
        <v>30</v>
      </c>
      <c r="M542" s="8">
        <v>0</v>
      </c>
      <c r="N542" s="6"/>
      <c r="O542" s="6"/>
      <c r="P542" s="9">
        <v>705.31</v>
      </c>
    </row>
    <row r="543" spans="1:16" ht="19.5" customHeight="1">
      <c r="A543" s="1" t="s">
        <v>1913</v>
      </c>
      <c r="B543" s="5">
        <v>46019</v>
      </c>
      <c r="C543" s="1" t="s">
        <v>35</v>
      </c>
      <c r="D543" s="1" t="s">
        <v>36</v>
      </c>
      <c r="E543" s="1" t="s">
        <v>25</v>
      </c>
      <c r="F543" s="1" t="s">
        <v>26</v>
      </c>
      <c r="G543" s="1" t="s">
        <v>1229</v>
      </c>
      <c r="H543" s="6">
        <v>1</v>
      </c>
      <c r="I543" s="7">
        <v>1092</v>
      </c>
      <c r="J543" s="5">
        <v>46015</v>
      </c>
      <c r="K543" s="1" t="s">
        <v>957</v>
      </c>
      <c r="L543" s="1" t="s">
        <v>30</v>
      </c>
      <c r="M543" s="8">
        <v>0.43</v>
      </c>
      <c r="N543" s="6"/>
      <c r="O543" s="6"/>
      <c r="P543" s="9">
        <v>-469.56</v>
      </c>
    </row>
    <row r="544" spans="1:16" ht="19.5" customHeight="1">
      <c r="A544" s="1" t="s">
        <v>1913</v>
      </c>
      <c r="B544" s="5">
        <v>46019</v>
      </c>
      <c r="C544" s="1" t="s">
        <v>17</v>
      </c>
      <c r="D544" s="1" t="s">
        <v>37</v>
      </c>
      <c r="E544" s="1" t="s">
        <v>25</v>
      </c>
      <c r="F544" s="1" t="s">
        <v>26</v>
      </c>
      <c r="G544" s="1" t="s">
        <v>1229</v>
      </c>
      <c r="H544" s="6">
        <v>1</v>
      </c>
      <c r="I544" s="7">
        <v>1092</v>
      </c>
      <c r="J544" s="5">
        <v>46015</v>
      </c>
      <c r="K544" s="1" t="s">
        <v>957</v>
      </c>
      <c r="L544" s="1" t="s">
        <v>30</v>
      </c>
      <c r="M544" s="8">
        <v>0.43</v>
      </c>
      <c r="N544" s="6"/>
      <c r="O544" s="6"/>
      <c r="P544" s="9">
        <v>-6.64</v>
      </c>
    </row>
    <row r="545" spans="1:16" ht="19.5" customHeight="1">
      <c r="A545" s="1" t="s">
        <v>1913</v>
      </c>
      <c r="B545" s="5">
        <v>46019</v>
      </c>
      <c r="C545" s="1" t="s">
        <v>17</v>
      </c>
      <c r="D545" s="1" t="s">
        <v>18</v>
      </c>
      <c r="E545" s="1" t="s">
        <v>25</v>
      </c>
      <c r="F545" s="1" t="s">
        <v>26</v>
      </c>
      <c r="G545" s="1" t="s">
        <v>1229</v>
      </c>
      <c r="H545" s="6">
        <v>1</v>
      </c>
      <c r="I545" s="7">
        <v>0</v>
      </c>
      <c r="J545" s="5">
        <v>46015</v>
      </c>
      <c r="K545" s="1" t="s">
        <v>22</v>
      </c>
      <c r="L545" s="1" t="s">
        <v>22</v>
      </c>
      <c r="M545" s="8">
        <v>0</v>
      </c>
      <c r="N545" s="6"/>
      <c r="O545" s="6"/>
      <c r="P545" s="9">
        <v>-7.27</v>
      </c>
    </row>
    <row r="546" spans="1:16" ht="19.5" customHeight="1">
      <c r="A546" s="1" t="s">
        <v>1914</v>
      </c>
      <c r="B546" s="5">
        <v>46019</v>
      </c>
      <c r="C546" s="1" t="s">
        <v>28</v>
      </c>
      <c r="D546" s="1" t="s">
        <v>29</v>
      </c>
      <c r="E546" s="1" t="s">
        <v>25</v>
      </c>
      <c r="F546" s="1" t="s">
        <v>26</v>
      </c>
      <c r="G546" s="1" t="s">
        <v>1229</v>
      </c>
      <c r="H546" s="6">
        <v>1</v>
      </c>
      <c r="I546" s="7">
        <v>0</v>
      </c>
      <c r="J546" s="5">
        <v>46012</v>
      </c>
      <c r="K546" s="1" t="s">
        <v>957</v>
      </c>
      <c r="L546" s="1" t="s">
        <v>30</v>
      </c>
      <c r="M546" s="8">
        <v>0</v>
      </c>
      <c r="N546" s="6"/>
      <c r="O546" s="6">
        <v>40</v>
      </c>
      <c r="P546" s="9">
        <v>-46.77</v>
      </c>
    </row>
    <row r="547" spans="1:16" ht="19.5" customHeight="1">
      <c r="A547" s="1" t="s">
        <v>1914</v>
      </c>
      <c r="B547" s="5">
        <v>46019</v>
      </c>
      <c r="C547" s="1" t="s">
        <v>17</v>
      </c>
      <c r="D547" s="1" t="s">
        <v>37</v>
      </c>
      <c r="E547" s="1" t="s">
        <v>25</v>
      </c>
      <c r="F547" s="1" t="s">
        <v>26</v>
      </c>
      <c r="G547" s="1" t="s">
        <v>1229</v>
      </c>
      <c r="H547" s="6">
        <v>1</v>
      </c>
      <c r="I547" s="7">
        <v>0</v>
      </c>
      <c r="J547" s="5">
        <v>46012</v>
      </c>
      <c r="K547" s="1" t="s">
        <v>957</v>
      </c>
      <c r="L547" s="1" t="s">
        <v>30</v>
      </c>
      <c r="M547" s="8">
        <v>0</v>
      </c>
      <c r="N547" s="6"/>
      <c r="O547" s="6"/>
      <c r="P547" s="9">
        <v>-21.51</v>
      </c>
    </row>
    <row r="548" spans="1:16" ht="19.5" customHeight="1">
      <c r="A548" s="1" t="s">
        <v>1914</v>
      </c>
      <c r="B548" s="5">
        <v>46019</v>
      </c>
      <c r="C548" s="1" t="s">
        <v>28</v>
      </c>
      <c r="D548" s="1" t="s">
        <v>45</v>
      </c>
      <c r="E548" s="1" t="s">
        <v>25</v>
      </c>
      <c r="F548" s="1" t="s">
        <v>26</v>
      </c>
      <c r="G548" s="1" t="s">
        <v>1229</v>
      </c>
      <c r="H548" s="6">
        <v>1</v>
      </c>
      <c r="I548" s="7">
        <v>0</v>
      </c>
      <c r="J548" s="5">
        <v>46012</v>
      </c>
      <c r="K548" s="1" t="s">
        <v>957</v>
      </c>
      <c r="L548" s="1" t="s">
        <v>30</v>
      </c>
      <c r="M548" s="8">
        <v>0</v>
      </c>
      <c r="N548" s="6"/>
      <c r="O548" s="6"/>
      <c r="P548" s="9">
        <v>0</v>
      </c>
    </row>
    <row r="549" spans="1:16" ht="19.5" customHeight="1">
      <c r="A549" s="1" t="s">
        <v>1914</v>
      </c>
      <c r="B549" s="5">
        <v>46019</v>
      </c>
      <c r="C549" s="1" t="s">
        <v>28</v>
      </c>
      <c r="D549" s="1" t="s">
        <v>46</v>
      </c>
      <c r="E549" s="1" t="s">
        <v>25</v>
      </c>
      <c r="F549" s="1" t="s">
        <v>26</v>
      </c>
      <c r="G549" s="1" t="s">
        <v>1229</v>
      </c>
      <c r="H549" s="6">
        <v>1</v>
      </c>
      <c r="I549" s="7">
        <v>0</v>
      </c>
      <c r="J549" s="5">
        <v>46012</v>
      </c>
      <c r="K549" s="1" t="s">
        <v>957</v>
      </c>
      <c r="L549" s="1" t="s">
        <v>30</v>
      </c>
      <c r="M549" s="8">
        <v>0</v>
      </c>
      <c r="N549" s="6"/>
      <c r="O549" s="6"/>
      <c r="P549" s="9">
        <v>-46.77</v>
      </c>
    </row>
    <row r="550" spans="1:16" ht="19.5" customHeight="1">
      <c r="A550" s="1" t="s">
        <v>1914</v>
      </c>
      <c r="B550" s="5">
        <v>46019</v>
      </c>
      <c r="C550" s="1" t="s">
        <v>17</v>
      </c>
      <c r="D550" s="1" t="s">
        <v>47</v>
      </c>
      <c r="E550" s="1" t="s">
        <v>25</v>
      </c>
      <c r="F550" s="1" t="s">
        <v>26</v>
      </c>
      <c r="G550" s="1" t="s">
        <v>1229</v>
      </c>
      <c r="H550" s="6">
        <v>1</v>
      </c>
      <c r="I550" s="7">
        <v>0</v>
      </c>
      <c r="J550" s="5">
        <v>46012</v>
      </c>
      <c r="K550" s="1" t="s">
        <v>957</v>
      </c>
      <c r="L550" s="1" t="s">
        <v>30</v>
      </c>
      <c r="M550" s="8">
        <v>0</v>
      </c>
      <c r="N550" s="6"/>
      <c r="O550" s="6"/>
      <c r="P550" s="9">
        <v>-15</v>
      </c>
    </row>
    <row r="551" spans="1:16" ht="19.5" customHeight="1">
      <c r="A551" s="1" t="s">
        <v>1915</v>
      </c>
      <c r="B551" s="5">
        <v>46019</v>
      </c>
      <c r="C551" s="1" t="s">
        <v>28</v>
      </c>
      <c r="D551" s="1" t="s">
        <v>29</v>
      </c>
      <c r="E551" s="1" t="s">
        <v>25</v>
      </c>
      <c r="F551" s="1" t="s">
        <v>26</v>
      </c>
      <c r="G551" s="1" t="s">
        <v>1229</v>
      </c>
      <c r="H551" s="6">
        <v>1</v>
      </c>
      <c r="I551" s="7">
        <v>0</v>
      </c>
      <c r="J551" s="5">
        <v>46015</v>
      </c>
      <c r="K551" s="1" t="s">
        <v>957</v>
      </c>
      <c r="L551" s="1" t="s">
        <v>30</v>
      </c>
      <c r="M551" s="8">
        <v>0</v>
      </c>
      <c r="N551" s="6"/>
      <c r="O551" s="6">
        <v>39</v>
      </c>
      <c r="P551" s="9">
        <v>-46.77</v>
      </c>
    </row>
    <row r="552" spans="1:16" ht="19.5" customHeight="1">
      <c r="A552" s="1" t="s">
        <v>1915</v>
      </c>
      <c r="B552" s="5">
        <v>46019</v>
      </c>
      <c r="C552" s="1" t="s">
        <v>17</v>
      </c>
      <c r="D552" s="1" t="s">
        <v>37</v>
      </c>
      <c r="E552" s="1" t="s">
        <v>25</v>
      </c>
      <c r="F552" s="1" t="s">
        <v>26</v>
      </c>
      <c r="G552" s="1" t="s">
        <v>1229</v>
      </c>
      <c r="H552" s="6">
        <v>1</v>
      </c>
      <c r="I552" s="7">
        <v>0</v>
      </c>
      <c r="J552" s="5">
        <v>46015</v>
      </c>
      <c r="K552" s="1" t="s">
        <v>957</v>
      </c>
      <c r="L552" s="1" t="s">
        <v>30</v>
      </c>
      <c r="M552" s="8">
        <v>0</v>
      </c>
      <c r="N552" s="6"/>
      <c r="O552" s="6"/>
      <c r="P552" s="9">
        <v>-6.52</v>
      </c>
    </row>
    <row r="553" spans="1:16" ht="19.5" customHeight="1">
      <c r="A553" s="1" t="s">
        <v>1916</v>
      </c>
      <c r="B553" s="5">
        <v>46019</v>
      </c>
      <c r="C553" s="1" t="s">
        <v>28</v>
      </c>
      <c r="D553" s="1" t="s">
        <v>29</v>
      </c>
      <c r="E553" s="1" t="s">
        <v>25</v>
      </c>
      <c r="F553" s="1" t="s">
        <v>26</v>
      </c>
      <c r="G553" s="1" t="s">
        <v>1229</v>
      </c>
      <c r="H553" s="6">
        <v>1</v>
      </c>
      <c r="I553" s="7">
        <v>1017</v>
      </c>
      <c r="J553" s="5">
        <v>46016</v>
      </c>
      <c r="K553" s="1" t="s">
        <v>957</v>
      </c>
      <c r="L553" s="1" t="s">
        <v>30</v>
      </c>
      <c r="M553" s="8">
        <v>0.43</v>
      </c>
      <c r="N553" s="6"/>
      <c r="O553" s="6">
        <v>38</v>
      </c>
      <c r="P553" s="9">
        <v>-89.72</v>
      </c>
    </row>
    <row r="554" spans="1:16" ht="19.5" customHeight="1">
      <c r="A554" s="1" t="s">
        <v>1916</v>
      </c>
      <c r="B554" s="5">
        <v>46019</v>
      </c>
      <c r="C554" s="1" t="s">
        <v>31</v>
      </c>
      <c r="D554" s="1" t="s">
        <v>32</v>
      </c>
      <c r="E554" s="1" t="s">
        <v>25</v>
      </c>
      <c r="F554" s="1" t="s">
        <v>26</v>
      </c>
      <c r="G554" s="1" t="s">
        <v>1229</v>
      </c>
      <c r="H554" s="6">
        <v>1</v>
      </c>
      <c r="I554" s="7">
        <v>1017</v>
      </c>
      <c r="J554" s="5">
        <v>46016</v>
      </c>
      <c r="K554" s="1" t="s">
        <v>957</v>
      </c>
      <c r="L554" s="1" t="s">
        <v>30</v>
      </c>
      <c r="M554" s="8">
        <v>0</v>
      </c>
      <c r="N554" s="6"/>
      <c r="O554" s="6"/>
      <c r="P554" s="9">
        <v>355.85</v>
      </c>
    </row>
    <row r="555" spans="1:16" ht="19.5" customHeight="1">
      <c r="A555" s="1" t="s">
        <v>1916</v>
      </c>
      <c r="B555" s="5">
        <v>46019</v>
      </c>
      <c r="C555" s="1" t="s">
        <v>31</v>
      </c>
      <c r="D555" s="1" t="s">
        <v>33</v>
      </c>
      <c r="E555" s="1" t="s">
        <v>25</v>
      </c>
      <c r="F555" s="1" t="s">
        <v>26</v>
      </c>
      <c r="G555" s="1" t="s">
        <v>1229</v>
      </c>
      <c r="H555" s="6">
        <v>1</v>
      </c>
      <c r="I555" s="7">
        <v>1017</v>
      </c>
      <c r="J555" s="5">
        <v>46016</v>
      </c>
      <c r="K555" s="1" t="s">
        <v>957</v>
      </c>
      <c r="L555" s="1" t="s">
        <v>30</v>
      </c>
      <c r="M555" s="8">
        <v>0</v>
      </c>
      <c r="N555" s="6"/>
      <c r="O555" s="6"/>
      <c r="P555" s="9">
        <v>3.56</v>
      </c>
    </row>
    <row r="556" spans="1:16" ht="19.5" customHeight="1">
      <c r="A556" s="1" t="s">
        <v>1916</v>
      </c>
      <c r="B556" s="5">
        <v>46019</v>
      </c>
      <c r="C556" s="1" t="s">
        <v>31</v>
      </c>
      <c r="D556" s="1" t="s">
        <v>34</v>
      </c>
      <c r="E556" s="1" t="s">
        <v>25</v>
      </c>
      <c r="F556" s="1" t="s">
        <v>26</v>
      </c>
      <c r="G556" s="1" t="s">
        <v>1229</v>
      </c>
      <c r="H556" s="6">
        <v>1</v>
      </c>
      <c r="I556" s="7">
        <v>1017</v>
      </c>
      <c r="J556" s="5">
        <v>46016</v>
      </c>
      <c r="K556" s="1" t="s">
        <v>957</v>
      </c>
      <c r="L556" s="1" t="s">
        <v>30</v>
      </c>
      <c r="M556" s="8">
        <v>0</v>
      </c>
      <c r="N556" s="6"/>
      <c r="O556" s="6"/>
      <c r="P556" s="9">
        <v>657.59</v>
      </c>
    </row>
    <row r="557" spans="1:16" ht="19.5" customHeight="1">
      <c r="A557" s="1" t="s">
        <v>1916</v>
      </c>
      <c r="B557" s="5">
        <v>46019</v>
      </c>
      <c r="C557" s="1" t="s">
        <v>35</v>
      </c>
      <c r="D557" s="1" t="s">
        <v>36</v>
      </c>
      <c r="E557" s="1" t="s">
        <v>25</v>
      </c>
      <c r="F557" s="1" t="s">
        <v>26</v>
      </c>
      <c r="G557" s="1" t="s">
        <v>1229</v>
      </c>
      <c r="H557" s="6">
        <v>1</v>
      </c>
      <c r="I557" s="7">
        <v>1017</v>
      </c>
      <c r="J557" s="5">
        <v>46016</v>
      </c>
      <c r="K557" s="1" t="s">
        <v>957</v>
      </c>
      <c r="L557" s="1" t="s">
        <v>30</v>
      </c>
      <c r="M557" s="8">
        <v>0.43</v>
      </c>
      <c r="N557" s="6"/>
      <c r="O557" s="6"/>
      <c r="P557" s="9">
        <v>-437.31</v>
      </c>
    </row>
    <row r="558" spans="1:16" ht="19.5" customHeight="1">
      <c r="A558" s="1" t="s">
        <v>1916</v>
      </c>
      <c r="B558" s="5">
        <v>46019</v>
      </c>
      <c r="C558" s="1" t="s">
        <v>17</v>
      </c>
      <c r="D558" s="1" t="s">
        <v>37</v>
      </c>
      <c r="E558" s="1" t="s">
        <v>25</v>
      </c>
      <c r="F558" s="1" t="s">
        <v>26</v>
      </c>
      <c r="G558" s="1" t="s">
        <v>1229</v>
      </c>
      <c r="H558" s="6">
        <v>1</v>
      </c>
      <c r="I558" s="7">
        <v>1017</v>
      </c>
      <c r="J558" s="5">
        <v>46016</v>
      </c>
      <c r="K558" s="1" t="s">
        <v>957</v>
      </c>
      <c r="L558" s="1" t="s">
        <v>30</v>
      </c>
      <c r="M558" s="8">
        <v>0.43</v>
      </c>
      <c r="N558" s="6"/>
      <c r="O558" s="6"/>
      <c r="P558" s="9">
        <v>-5.67</v>
      </c>
    </row>
    <row r="559" spans="1:16" ht="19.5" customHeight="1">
      <c r="A559" s="1" t="s">
        <v>1915</v>
      </c>
      <c r="B559" s="5">
        <v>46019</v>
      </c>
      <c r="C559" s="1" t="s">
        <v>28</v>
      </c>
      <c r="D559" s="1" t="s">
        <v>45</v>
      </c>
      <c r="E559" s="1" t="s">
        <v>25</v>
      </c>
      <c r="F559" s="1" t="s">
        <v>26</v>
      </c>
      <c r="G559" s="1" t="s">
        <v>1229</v>
      </c>
      <c r="H559" s="6">
        <v>1</v>
      </c>
      <c r="I559" s="7">
        <v>0</v>
      </c>
      <c r="J559" s="5">
        <v>46015</v>
      </c>
      <c r="K559" s="1" t="s">
        <v>957</v>
      </c>
      <c r="L559" s="1" t="s">
        <v>30</v>
      </c>
      <c r="M559" s="8">
        <v>0</v>
      </c>
      <c r="N559" s="6"/>
      <c r="O559" s="6"/>
      <c r="P559" s="9">
        <v>0</v>
      </c>
    </row>
    <row r="560" spans="1:16" ht="19.5" customHeight="1">
      <c r="A560" s="1" t="s">
        <v>1915</v>
      </c>
      <c r="B560" s="5">
        <v>46019</v>
      </c>
      <c r="C560" s="1" t="s">
        <v>28</v>
      </c>
      <c r="D560" s="1" t="s">
        <v>46</v>
      </c>
      <c r="E560" s="1" t="s">
        <v>25</v>
      </c>
      <c r="F560" s="1" t="s">
        <v>26</v>
      </c>
      <c r="G560" s="1" t="s">
        <v>1229</v>
      </c>
      <c r="H560" s="6">
        <v>1</v>
      </c>
      <c r="I560" s="7">
        <v>0</v>
      </c>
      <c r="J560" s="5">
        <v>46015</v>
      </c>
      <c r="K560" s="1" t="s">
        <v>957</v>
      </c>
      <c r="L560" s="1" t="s">
        <v>30</v>
      </c>
      <c r="M560" s="8">
        <v>0</v>
      </c>
      <c r="N560" s="6"/>
      <c r="O560" s="6"/>
      <c r="P560" s="9">
        <v>-46.77</v>
      </c>
    </row>
    <row r="561" spans="1:16" ht="19.5" customHeight="1">
      <c r="A561" s="1" t="s">
        <v>1915</v>
      </c>
      <c r="B561" s="5">
        <v>46019</v>
      </c>
      <c r="C561" s="1" t="s">
        <v>17</v>
      </c>
      <c r="D561" s="1" t="s">
        <v>47</v>
      </c>
      <c r="E561" s="1" t="s">
        <v>25</v>
      </c>
      <c r="F561" s="1" t="s">
        <v>26</v>
      </c>
      <c r="G561" s="1" t="s">
        <v>1229</v>
      </c>
      <c r="H561" s="6">
        <v>1</v>
      </c>
      <c r="I561" s="7">
        <v>0</v>
      </c>
      <c r="J561" s="5">
        <v>46015</v>
      </c>
      <c r="K561" s="1" t="s">
        <v>957</v>
      </c>
      <c r="L561" s="1" t="s">
        <v>30</v>
      </c>
      <c r="M561" s="8">
        <v>0</v>
      </c>
      <c r="N561" s="6"/>
      <c r="O561" s="6"/>
      <c r="P561" s="9">
        <v>-15</v>
      </c>
    </row>
    <row r="562" spans="1:16" ht="19.5" customHeight="1">
      <c r="A562" s="1" t="s">
        <v>1916</v>
      </c>
      <c r="B562" s="5">
        <v>46019</v>
      </c>
      <c r="C562" s="1" t="s">
        <v>17</v>
      </c>
      <c r="D562" s="1" t="s">
        <v>18</v>
      </c>
      <c r="E562" s="1" t="s">
        <v>25</v>
      </c>
      <c r="F562" s="1" t="s">
        <v>26</v>
      </c>
      <c r="G562" s="1" t="s">
        <v>1229</v>
      </c>
      <c r="H562" s="6">
        <v>1</v>
      </c>
      <c r="I562" s="7">
        <v>0</v>
      </c>
      <c r="J562" s="5">
        <v>46016</v>
      </c>
      <c r="K562" s="1" t="s">
        <v>22</v>
      </c>
      <c r="L562" s="1" t="s">
        <v>22</v>
      </c>
      <c r="M562" s="8">
        <v>0</v>
      </c>
      <c r="N562" s="6"/>
      <c r="O562" s="6"/>
      <c r="P562" s="9">
        <v>-6.76</v>
      </c>
    </row>
    <row r="563" spans="1:16" ht="19.5" customHeight="1">
      <c r="A563" s="1" t="s">
        <v>1689</v>
      </c>
      <c r="B563" s="5">
        <v>46019</v>
      </c>
      <c r="C563" s="1" t="s">
        <v>17</v>
      </c>
      <c r="D563" s="1" t="s">
        <v>18</v>
      </c>
      <c r="E563" s="1" t="s">
        <v>25</v>
      </c>
      <c r="F563" s="1" t="s">
        <v>26</v>
      </c>
      <c r="G563" s="1" t="s">
        <v>1229</v>
      </c>
      <c r="H563" s="6">
        <v>1</v>
      </c>
      <c r="I563" s="7">
        <v>0</v>
      </c>
      <c r="J563" s="5">
        <v>46007</v>
      </c>
      <c r="K563" s="1" t="s">
        <v>22</v>
      </c>
      <c r="L563" s="1" t="s">
        <v>22</v>
      </c>
      <c r="M563" s="8">
        <v>0</v>
      </c>
      <c r="N563" s="6"/>
      <c r="O563" s="6"/>
      <c r="P563" s="9">
        <v>14.84</v>
      </c>
    </row>
    <row r="564" spans="1:16" ht="19.5" customHeight="1">
      <c r="A564" s="1" t="s">
        <v>1917</v>
      </c>
      <c r="B564" s="5">
        <v>46019</v>
      </c>
      <c r="C564" s="1" t="s">
        <v>28</v>
      </c>
      <c r="D564" s="1" t="s">
        <v>29</v>
      </c>
      <c r="E564" s="1" t="s">
        <v>25</v>
      </c>
      <c r="F564" s="1" t="s">
        <v>26</v>
      </c>
      <c r="G564" s="1" t="s">
        <v>1229</v>
      </c>
      <c r="H564" s="6">
        <v>1</v>
      </c>
      <c r="I564" s="7">
        <v>1704</v>
      </c>
      <c r="J564" s="5">
        <v>46016</v>
      </c>
      <c r="K564" s="1" t="s">
        <v>957</v>
      </c>
      <c r="L564" s="1" t="s">
        <v>30</v>
      </c>
      <c r="M564" s="8">
        <v>0.43</v>
      </c>
      <c r="N564" s="6"/>
      <c r="O564" s="6">
        <v>38</v>
      </c>
      <c r="P564" s="9">
        <v>-104.84</v>
      </c>
    </row>
    <row r="565" spans="1:16" ht="19.5" customHeight="1">
      <c r="A565" s="1" t="s">
        <v>1917</v>
      </c>
      <c r="B565" s="5">
        <v>46019</v>
      </c>
      <c r="C565" s="1" t="s">
        <v>31</v>
      </c>
      <c r="D565" s="1" t="s">
        <v>32</v>
      </c>
      <c r="E565" s="1" t="s">
        <v>25</v>
      </c>
      <c r="F565" s="1" t="s">
        <v>26</v>
      </c>
      <c r="G565" s="1" t="s">
        <v>1229</v>
      </c>
      <c r="H565" s="6">
        <v>1</v>
      </c>
      <c r="I565" s="7">
        <v>1704</v>
      </c>
      <c r="J565" s="5">
        <v>46016</v>
      </c>
      <c r="K565" s="1" t="s">
        <v>957</v>
      </c>
      <c r="L565" s="1" t="s">
        <v>30</v>
      </c>
      <c r="M565" s="8">
        <v>0</v>
      </c>
      <c r="N565" s="6"/>
      <c r="O565" s="6"/>
      <c r="P565" s="9">
        <v>585.71</v>
      </c>
    </row>
    <row r="566" spans="1:16" ht="19.5" customHeight="1">
      <c r="A566" s="1" t="s">
        <v>1917</v>
      </c>
      <c r="B566" s="5">
        <v>46019</v>
      </c>
      <c r="C566" s="1" t="s">
        <v>31</v>
      </c>
      <c r="D566" s="1" t="s">
        <v>33</v>
      </c>
      <c r="E566" s="1" t="s">
        <v>25</v>
      </c>
      <c r="F566" s="1" t="s">
        <v>26</v>
      </c>
      <c r="G566" s="1" t="s">
        <v>1229</v>
      </c>
      <c r="H566" s="6">
        <v>1</v>
      </c>
      <c r="I566" s="7">
        <v>1704</v>
      </c>
      <c r="J566" s="5">
        <v>46016</v>
      </c>
      <c r="K566" s="1" t="s">
        <v>957</v>
      </c>
      <c r="L566" s="1" t="s">
        <v>30</v>
      </c>
      <c r="M566" s="8">
        <v>0</v>
      </c>
      <c r="N566" s="6"/>
      <c r="O566" s="6"/>
      <c r="P566" s="9">
        <v>5.86</v>
      </c>
    </row>
    <row r="567" spans="1:16" ht="19.5" customHeight="1">
      <c r="A567" s="1" t="s">
        <v>1917</v>
      </c>
      <c r="B567" s="5">
        <v>46019</v>
      </c>
      <c r="C567" s="1" t="s">
        <v>31</v>
      </c>
      <c r="D567" s="1" t="s">
        <v>34</v>
      </c>
      <c r="E567" s="1" t="s">
        <v>25</v>
      </c>
      <c r="F567" s="1" t="s">
        <v>26</v>
      </c>
      <c r="G567" s="1" t="s">
        <v>1229</v>
      </c>
      <c r="H567" s="6">
        <v>1</v>
      </c>
      <c r="I567" s="7">
        <v>1704</v>
      </c>
      <c r="J567" s="5">
        <v>46016</v>
      </c>
      <c r="K567" s="1" t="s">
        <v>957</v>
      </c>
      <c r="L567" s="1" t="s">
        <v>30</v>
      </c>
      <c r="M567" s="8">
        <v>0</v>
      </c>
      <c r="N567" s="6"/>
      <c r="O567" s="6"/>
      <c r="P567" s="9">
        <v>1112.43</v>
      </c>
    </row>
    <row r="568" spans="1:16" ht="19.5" customHeight="1">
      <c r="A568" s="1" t="s">
        <v>1917</v>
      </c>
      <c r="B568" s="5">
        <v>46019</v>
      </c>
      <c r="C568" s="1" t="s">
        <v>35</v>
      </c>
      <c r="D568" s="1" t="s">
        <v>36</v>
      </c>
      <c r="E568" s="1" t="s">
        <v>25</v>
      </c>
      <c r="F568" s="1" t="s">
        <v>26</v>
      </c>
      <c r="G568" s="1" t="s">
        <v>1229</v>
      </c>
      <c r="H568" s="6">
        <v>1</v>
      </c>
      <c r="I568" s="7">
        <v>1704</v>
      </c>
      <c r="J568" s="5">
        <v>46016</v>
      </c>
      <c r="K568" s="1" t="s">
        <v>957</v>
      </c>
      <c r="L568" s="1" t="s">
        <v>30</v>
      </c>
      <c r="M568" s="8">
        <v>0.43</v>
      </c>
      <c r="N568" s="6"/>
      <c r="O568" s="6"/>
      <c r="P568" s="9">
        <v>-732.72</v>
      </c>
    </row>
    <row r="569" spans="1:16" ht="19.5" customHeight="1">
      <c r="A569" s="1" t="s">
        <v>1917</v>
      </c>
      <c r="B569" s="5">
        <v>46019</v>
      </c>
      <c r="C569" s="1" t="s">
        <v>17</v>
      </c>
      <c r="D569" s="1" t="s">
        <v>37</v>
      </c>
      <c r="E569" s="1" t="s">
        <v>25</v>
      </c>
      <c r="F569" s="1" t="s">
        <v>26</v>
      </c>
      <c r="G569" s="1" t="s">
        <v>1229</v>
      </c>
      <c r="H569" s="6">
        <v>1</v>
      </c>
      <c r="I569" s="7">
        <v>1704</v>
      </c>
      <c r="J569" s="5">
        <v>46016</v>
      </c>
      <c r="K569" s="1" t="s">
        <v>957</v>
      </c>
      <c r="L569" s="1" t="s">
        <v>30</v>
      </c>
      <c r="M569" s="8">
        <v>0.43</v>
      </c>
      <c r="N569" s="6"/>
      <c r="O569" s="6"/>
      <c r="P569" s="9">
        <v>-7.26</v>
      </c>
    </row>
    <row r="570" spans="1:16" ht="19.5" customHeight="1">
      <c r="A570" s="1" t="s">
        <v>1918</v>
      </c>
      <c r="B570" s="5">
        <v>46019</v>
      </c>
      <c r="C570" s="1" t="s">
        <v>17</v>
      </c>
      <c r="D570" s="1" t="s">
        <v>18</v>
      </c>
      <c r="E570" s="1" t="s">
        <v>25</v>
      </c>
      <c r="F570" s="1" t="s">
        <v>26</v>
      </c>
      <c r="G570" s="1" t="s">
        <v>1229</v>
      </c>
      <c r="H570" s="6">
        <v>1</v>
      </c>
      <c r="I570" s="7">
        <v>0</v>
      </c>
      <c r="J570" s="5">
        <v>46019</v>
      </c>
      <c r="K570" s="1" t="s">
        <v>22</v>
      </c>
      <c r="L570" s="1" t="s">
        <v>22</v>
      </c>
      <c r="M570" s="8">
        <v>0</v>
      </c>
      <c r="N570" s="6"/>
      <c r="O570" s="6"/>
      <c r="P570" s="9">
        <v>0</v>
      </c>
    </row>
    <row r="571" spans="1:16" ht="19.5" customHeight="1">
      <c r="A571" s="1" t="s">
        <v>1919</v>
      </c>
      <c r="B571" s="5">
        <v>46019</v>
      </c>
      <c r="C571" s="1" t="s">
        <v>28</v>
      </c>
      <c r="D571" s="1" t="s">
        <v>29</v>
      </c>
      <c r="E571" s="1" t="s">
        <v>25</v>
      </c>
      <c r="F571" s="1" t="s">
        <v>26</v>
      </c>
      <c r="G571" s="1" t="s">
        <v>1229</v>
      </c>
      <c r="H571" s="6">
        <v>1</v>
      </c>
      <c r="I571" s="7">
        <v>1092</v>
      </c>
      <c r="J571" s="5">
        <v>46015</v>
      </c>
      <c r="K571" s="1" t="s">
        <v>957</v>
      </c>
      <c r="L571" s="1" t="s">
        <v>30</v>
      </c>
      <c r="M571" s="8">
        <v>0.43</v>
      </c>
      <c r="N571" s="6"/>
      <c r="O571" s="6">
        <v>39</v>
      </c>
      <c r="P571" s="9">
        <v>-94.29</v>
      </c>
    </row>
    <row r="572" spans="1:16" ht="19.5" customHeight="1">
      <c r="A572" s="1" t="s">
        <v>1919</v>
      </c>
      <c r="B572" s="5">
        <v>46019</v>
      </c>
      <c r="C572" s="1" t="s">
        <v>31</v>
      </c>
      <c r="D572" s="1" t="s">
        <v>32</v>
      </c>
      <c r="E572" s="1" t="s">
        <v>25</v>
      </c>
      <c r="F572" s="1" t="s">
        <v>26</v>
      </c>
      <c r="G572" s="1" t="s">
        <v>1229</v>
      </c>
      <c r="H572" s="6">
        <v>1</v>
      </c>
      <c r="I572" s="7">
        <v>1092</v>
      </c>
      <c r="J572" s="5">
        <v>46015</v>
      </c>
      <c r="K572" s="1" t="s">
        <v>957</v>
      </c>
      <c r="L572" s="1" t="s">
        <v>30</v>
      </c>
      <c r="M572" s="8">
        <v>0</v>
      </c>
      <c r="N572" s="6"/>
      <c r="O572" s="6"/>
      <c r="P572" s="9">
        <v>416.19</v>
      </c>
    </row>
    <row r="573" spans="1:16" ht="19.5" customHeight="1">
      <c r="A573" s="1" t="s">
        <v>1919</v>
      </c>
      <c r="B573" s="5">
        <v>46019</v>
      </c>
      <c r="C573" s="1" t="s">
        <v>31</v>
      </c>
      <c r="D573" s="1" t="s">
        <v>33</v>
      </c>
      <c r="E573" s="1" t="s">
        <v>25</v>
      </c>
      <c r="F573" s="1" t="s">
        <v>26</v>
      </c>
      <c r="G573" s="1" t="s">
        <v>1229</v>
      </c>
      <c r="H573" s="6">
        <v>1</v>
      </c>
      <c r="I573" s="7">
        <v>1092</v>
      </c>
      <c r="J573" s="5">
        <v>46015</v>
      </c>
      <c r="K573" s="1" t="s">
        <v>957</v>
      </c>
      <c r="L573" s="1" t="s">
        <v>30</v>
      </c>
      <c r="M573" s="8">
        <v>0</v>
      </c>
      <c r="N573" s="6"/>
      <c r="O573" s="6"/>
      <c r="P573" s="9">
        <v>0</v>
      </c>
    </row>
    <row r="574" spans="1:16" ht="19.5" customHeight="1">
      <c r="A574" s="1" t="s">
        <v>1919</v>
      </c>
      <c r="B574" s="5">
        <v>46019</v>
      </c>
      <c r="C574" s="1" t="s">
        <v>31</v>
      </c>
      <c r="D574" s="1" t="s">
        <v>34</v>
      </c>
      <c r="E574" s="1" t="s">
        <v>25</v>
      </c>
      <c r="F574" s="1" t="s">
        <v>26</v>
      </c>
      <c r="G574" s="1" t="s">
        <v>1229</v>
      </c>
      <c r="H574" s="6">
        <v>1</v>
      </c>
      <c r="I574" s="7">
        <v>1092</v>
      </c>
      <c r="J574" s="5">
        <v>46015</v>
      </c>
      <c r="K574" s="1" t="s">
        <v>957</v>
      </c>
      <c r="L574" s="1" t="s">
        <v>30</v>
      </c>
      <c r="M574" s="8">
        <v>0</v>
      </c>
      <c r="N574" s="6"/>
      <c r="O574" s="6"/>
      <c r="P574" s="9">
        <v>675.81</v>
      </c>
    </row>
    <row r="575" spans="1:16" ht="19.5" customHeight="1">
      <c r="A575" s="1" t="s">
        <v>1919</v>
      </c>
      <c r="B575" s="5">
        <v>46019</v>
      </c>
      <c r="C575" s="1" t="s">
        <v>35</v>
      </c>
      <c r="D575" s="1" t="s">
        <v>36</v>
      </c>
      <c r="E575" s="1" t="s">
        <v>25</v>
      </c>
      <c r="F575" s="1" t="s">
        <v>26</v>
      </c>
      <c r="G575" s="1" t="s">
        <v>1229</v>
      </c>
      <c r="H575" s="6">
        <v>1</v>
      </c>
      <c r="I575" s="7">
        <v>1092</v>
      </c>
      <c r="J575" s="5">
        <v>46015</v>
      </c>
      <c r="K575" s="1" t="s">
        <v>957</v>
      </c>
      <c r="L575" s="1" t="s">
        <v>30</v>
      </c>
      <c r="M575" s="8">
        <v>0.43</v>
      </c>
      <c r="N575" s="6"/>
      <c r="O575" s="6"/>
      <c r="P575" s="9">
        <v>-469.56</v>
      </c>
    </row>
    <row r="576" spans="1:16" ht="19.5" customHeight="1">
      <c r="A576" s="1" t="s">
        <v>1919</v>
      </c>
      <c r="B576" s="5">
        <v>46019</v>
      </c>
      <c r="C576" s="1" t="s">
        <v>17</v>
      </c>
      <c r="D576" s="1" t="s">
        <v>37</v>
      </c>
      <c r="E576" s="1" t="s">
        <v>25</v>
      </c>
      <c r="F576" s="1" t="s">
        <v>26</v>
      </c>
      <c r="G576" s="1" t="s">
        <v>1229</v>
      </c>
      <c r="H576" s="6">
        <v>1</v>
      </c>
      <c r="I576" s="7">
        <v>1092</v>
      </c>
      <c r="J576" s="5">
        <v>46015</v>
      </c>
      <c r="K576" s="1" t="s">
        <v>957</v>
      </c>
      <c r="L576" s="1" t="s">
        <v>30</v>
      </c>
      <c r="M576" s="8">
        <v>0.43</v>
      </c>
      <c r="N576" s="6"/>
      <c r="O576" s="6"/>
      <c r="P576" s="9">
        <v>-4.26</v>
      </c>
    </row>
    <row r="577" spans="1:16" ht="19.5" customHeight="1">
      <c r="A577" s="1" t="s">
        <v>1920</v>
      </c>
      <c r="B577" s="5">
        <v>46019</v>
      </c>
      <c r="C577" s="1" t="s">
        <v>28</v>
      </c>
      <c r="D577" s="1" t="s">
        <v>29</v>
      </c>
      <c r="E577" s="1" t="s">
        <v>25</v>
      </c>
      <c r="F577" s="1" t="s">
        <v>26</v>
      </c>
      <c r="G577" s="1" t="s">
        <v>1229</v>
      </c>
      <c r="H577" s="6">
        <v>1</v>
      </c>
      <c r="I577" s="7">
        <v>1704</v>
      </c>
      <c r="J577" s="5">
        <v>46011</v>
      </c>
      <c r="K577" s="1" t="s">
        <v>957</v>
      </c>
      <c r="L577" s="1" t="s">
        <v>30</v>
      </c>
      <c r="M577" s="8">
        <v>0.43</v>
      </c>
      <c r="N577" s="6"/>
      <c r="O577" s="6">
        <v>39</v>
      </c>
      <c r="P577" s="9">
        <v>-110.12</v>
      </c>
    </row>
    <row r="578" spans="1:16" ht="19.5" customHeight="1">
      <c r="A578" s="1" t="s">
        <v>1920</v>
      </c>
      <c r="B578" s="5">
        <v>46019</v>
      </c>
      <c r="C578" s="1" t="s">
        <v>31</v>
      </c>
      <c r="D578" s="1" t="s">
        <v>32</v>
      </c>
      <c r="E578" s="1" t="s">
        <v>25</v>
      </c>
      <c r="F578" s="1" t="s">
        <v>26</v>
      </c>
      <c r="G578" s="1" t="s">
        <v>1229</v>
      </c>
      <c r="H578" s="6">
        <v>1</v>
      </c>
      <c r="I578" s="7">
        <v>1704</v>
      </c>
      <c r="J578" s="5">
        <v>46011</v>
      </c>
      <c r="K578" s="1" t="s">
        <v>957</v>
      </c>
      <c r="L578" s="1" t="s">
        <v>30</v>
      </c>
      <c r="M578" s="8">
        <v>0</v>
      </c>
      <c r="N578" s="6"/>
      <c r="O578" s="6"/>
      <c r="P578" s="9">
        <v>593.72</v>
      </c>
    </row>
    <row r="579" spans="1:16" ht="19.5" customHeight="1">
      <c r="A579" s="1" t="s">
        <v>1920</v>
      </c>
      <c r="B579" s="5">
        <v>46019</v>
      </c>
      <c r="C579" s="1" t="s">
        <v>31</v>
      </c>
      <c r="D579" s="1" t="s">
        <v>33</v>
      </c>
      <c r="E579" s="1" t="s">
        <v>25</v>
      </c>
      <c r="F579" s="1" t="s">
        <v>26</v>
      </c>
      <c r="G579" s="1" t="s">
        <v>1229</v>
      </c>
      <c r="H579" s="6">
        <v>1</v>
      </c>
      <c r="I579" s="7">
        <v>1704</v>
      </c>
      <c r="J579" s="5">
        <v>46011</v>
      </c>
      <c r="K579" s="1" t="s">
        <v>957</v>
      </c>
      <c r="L579" s="1" t="s">
        <v>30</v>
      </c>
      <c r="M579" s="8">
        <v>0</v>
      </c>
      <c r="N579" s="6"/>
      <c r="O579" s="6"/>
      <c r="P579" s="9">
        <v>5.94</v>
      </c>
    </row>
    <row r="580" spans="1:16" ht="19.5" customHeight="1">
      <c r="A580" s="1" t="s">
        <v>1920</v>
      </c>
      <c r="B580" s="5">
        <v>46019</v>
      </c>
      <c r="C580" s="1" t="s">
        <v>31</v>
      </c>
      <c r="D580" s="1" t="s">
        <v>34</v>
      </c>
      <c r="E580" s="1" t="s">
        <v>25</v>
      </c>
      <c r="F580" s="1" t="s">
        <v>26</v>
      </c>
      <c r="G580" s="1" t="s">
        <v>1229</v>
      </c>
      <c r="H580" s="6">
        <v>1</v>
      </c>
      <c r="I580" s="7">
        <v>1704</v>
      </c>
      <c r="J580" s="5">
        <v>46011</v>
      </c>
      <c r="K580" s="1" t="s">
        <v>957</v>
      </c>
      <c r="L580" s="1" t="s">
        <v>30</v>
      </c>
      <c r="M580" s="8">
        <v>0</v>
      </c>
      <c r="N580" s="6"/>
      <c r="O580" s="6"/>
      <c r="P580" s="9">
        <v>1104.3399999999999</v>
      </c>
    </row>
    <row r="581" spans="1:16" ht="19.5" customHeight="1">
      <c r="A581" s="1" t="s">
        <v>1920</v>
      </c>
      <c r="B581" s="5">
        <v>46019</v>
      </c>
      <c r="C581" s="1" t="s">
        <v>35</v>
      </c>
      <c r="D581" s="1" t="s">
        <v>36</v>
      </c>
      <c r="E581" s="1" t="s">
        <v>25</v>
      </c>
      <c r="F581" s="1" t="s">
        <v>26</v>
      </c>
      <c r="G581" s="1" t="s">
        <v>1229</v>
      </c>
      <c r="H581" s="6">
        <v>1</v>
      </c>
      <c r="I581" s="7">
        <v>1704</v>
      </c>
      <c r="J581" s="5">
        <v>46011</v>
      </c>
      <c r="K581" s="1" t="s">
        <v>957</v>
      </c>
      <c r="L581" s="1" t="s">
        <v>30</v>
      </c>
      <c r="M581" s="8">
        <v>0.43</v>
      </c>
      <c r="N581" s="6"/>
      <c r="O581" s="6"/>
      <c r="P581" s="9">
        <v>-732.72</v>
      </c>
    </row>
    <row r="582" spans="1:16" ht="19.5" customHeight="1">
      <c r="A582" s="1" t="s">
        <v>1920</v>
      </c>
      <c r="B582" s="5">
        <v>46019</v>
      </c>
      <c r="C582" s="1" t="s">
        <v>17</v>
      </c>
      <c r="D582" s="1" t="s">
        <v>37</v>
      </c>
      <c r="E582" s="1" t="s">
        <v>25</v>
      </c>
      <c r="F582" s="1" t="s">
        <v>26</v>
      </c>
      <c r="G582" s="1" t="s">
        <v>1229</v>
      </c>
      <c r="H582" s="6">
        <v>1</v>
      </c>
      <c r="I582" s="7">
        <v>1704</v>
      </c>
      <c r="J582" s="5">
        <v>46011</v>
      </c>
      <c r="K582" s="1" t="s">
        <v>957</v>
      </c>
      <c r="L582" s="1" t="s">
        <v>30</v>
      </c>
      <c r="M582" s="8">
        <v>0.43</v>
      </c>
      <c r="N582" s="6"/>
      <c r="O582" s="6"/>
      <c r="P582" s="9">
        <v>-8.42</v>
      </c>
    </row>
    <row r="583" spans="1:16" ht="19.5" customHeight="1">
      <c r="A583" s="1" t="s">
        <v>1921</v>
      </c>
      <c r="B583" s="5">
        <v>46019</v>
      </c>
      <c r="C583" s="1" t="s">
        <v>28</v>
      </c>
      <c r="D583" s="1" t="s">
        <v>29</v>
      </c>
      <c r="E583" s="1" t="s">
        <v>25</v>
      </c>
      <c r="F583" s="1" t="s">
        <v>26</v>
      </c>
      <c r="G583" s="1" t="s">
        <v>1229</v>
      </c>
      <c r="H583" s="6">
        <v>1</v>
      </c>
      <c r="I583" s="7">
        <v>1704</v>
      </c>
      <c r="J583" s="5">
        <v>46016</v>
      </c>
      <c r="K583" s="1" t="s">
        <v>957</v>
      </c>
      <c r="L583" s="1" t="s">
        <v>30</v>
      </c>
      <c r="M583" s="8">
        <v>0.43</v>
      </c>
      <c r="N583" s="6"/>
      <c r="O583" s="6">
        <v>38</v>
      </c>
      <c r="P583" s="9">
        <v>-104.84</v>
      </c>
    </row>
    <row r="584" spans="1:16" ht="19.5" customHeight="1">
      <c r="A584" s="1" t="s">
        <v>1921</v>
      </c>
      <c r="B584" s="5">
        <v>46019</v>
      </c>
      <c r="C584" s="1" t="s">
        <v>31</v>
      </c>
      <c r="D584" s="1" t="s">
        <v>32</v>
      </c>
      <c r="E584" s="1" t="s">
        <v>25</v>
      </c>
      <c r="F584" s="1" t="s">
        <v>26</v>
      </c>
      <c r="G584" s="1" t="s">
        <v>1229</v>
      </c>
      <c r="H584" s="6">
        <v>1</v>
      </c>
      <c r="I584" s="7">
        <v>1704</v>
      </c>
      <c r="J584" s="5">
        <v>46016</v>
      </c>
      <c r="K584" s="1" t="s">
        <v>957</v>
      </c>
      <c r="L584" s="1" t="s">
        <v>30</v>
      </c>
      <c r="M584" s="8">
        <v>0</v>
      </c>
      <c r="N584" s="6"/>
      <c r="O584" s="6"/>
      <c r="P584" s="9">
        <v>585.71</v>
      </c>
    </row>
    <row r="585" spans="1:16" ht="19.5" customHeight="1">
      <c r="A585" s="1" t="s">
        <v>1921</v>
      </c>
      <c r="B585" s="5">
        <v>46019</v>
      </c>
      <c r="C585" s="1" t="s">
        <v>31</v>
      </c>
      <c r="D585" s="1" t="s">
        <v>33</v>
      </c>
      <c r="E585" s="1" t="s">
        <v>25</v>
      </c>
      <c r="F585" s="1" t="s">
        <v>26</v>
      </c>
      <c r="G585" s="1" t="s">
        <v>1229</v>
      </c>
      <c r="H585" s="6">
        <v>1</v>
      </c>
      <c r="I585" s="7">
        <v>1704</v>
      </c>
      <c r="J585" s="5">
        <v>46016</v>
      </c>
      <c r="K585" s="1" t="s">
        <v>957</v>
      </c>
      <c r="L585" s="1" t="s">
        <v>30</v>
      </c>
      <c r="M585" s="8">
        <v>0</v>
      </c>
      <c r="N585" s="6"/>
      <c r="O585" s="6"/>
      <c r="P585" s="9">
        <v>5.86</v>
      </c>
    </row>
    <row r="586" spans="1:16" ht="19.5" customHeight="1">
      <c r="A586" s="1" t="s">
        <v>1921</v>
      </c>
      <c r="B586" s="5">
        <v>46019</v>
      </c>
      <c r="C586" s="1" t="s">
        <v>31</v>
      </c>
      <c r="D586" s="1" t="s">
        <v>34</v>
      </c>
      <c r="E586" s="1" t="s">
        <v>25</v>
      </c>
      <c r="F586" s="1" t="s">
        <v>26</v>
      </c>
      <c r="G586" s="1" t="s">
        <v>1229</v>
      </c>
      <c r="H586" s="6">
        <v>1</v>
      </c>
      <c r="I586" s="7">
        <v>1704</v>
      </c>
      <c r="J586" s="5">
        <v>46016</v>
      </c>
      <c r="K586" s="1" t="s">
        <v>957</v>
      </c>
      <c r="L586" s="1" t="s">
        <v>30</v>
      </c>
      <c r="M586" s="8">
        <v>0</v>
      </c>
      <c r="N586" s="6"/>
      <c r="O586" s="6"/>
      <c r="P586" s="9">
        <v>1112.43</v>
      </c>
    </row>
    <row r="587" spans="1:16" ht="19.5" customHeight="1">
      <c r="A587" s="1" t="s">
        <v>1921</v>
      </c>
      <c r="B587" s="5">
        <v>46019</v>
      </c>
      <c r="C587" s="1" t="s">
        <v>35</v>
      </c>
      <c r="D587" s="1" t="s">
        <v>36</v>
      </c>
      <c r="E587" s="1" t="s">
        <v>25</v>
      </c>
      <c r="F587" s="1" t="s">
        <v>26</v>
      </c>
      <c r="G587" s="1" t="s">
        <v>1229</v>
      </c>
      <c r="H587" s="6">
        <v>1</v>
      </c>
      <c r="I587" s="7">
        <v>1704</v>
      </c>
      <c r="J587" s="5">
        <v>46016</v>
      </c>
      <c r="K587" s="1" t="s">
        <v>957</v>
      </c>
      <c r="L587" s="1" t="s">
        <v>30</v>
      </c>
      <c r="M587" s="8">
        <v>0.43</v>
      </c>
      <c r="N587" s="6"/>
      <c r="O587" s="6"/>
      <c r="P587" s="9">
        <v>-732.72</v>
      </c>
    </row>
    <row r="588" spans="1:16" ht="19.5" customHeight="1">
      <c r="A588" s="1" t="s">
        <v>1921</v>
      </c>
      <c r="B588" s="5">
        <v>46019</v>
      </c>
      <c r="C588" s="1" t="s">
        <v>17</v>
      </c>
      <c r="D588" s="1" t="s">
        <v>37</v>
      </c>
      <c r="E588" s="1" t="s">
        <v>25</v>
      </c>
      <c r="F588" s="1" t="s">
        <v>26</v>
      </c>
      <c r="G588" s="1" t="s">
        <v>1229</v>
      </c>
      <c r="H588" s="6">
        <v>1</v>
      </c>
      <c r="I588" s="7">
        <v>1704</v>
      </c>
      <c r="J588" s="5">
        <v>46016</v>
      </c>
      <c r="K588" s="1" t="s">
        <v>957</v>
      </c>
      <c r="L588" s="1" t="s">
        <v>30</v>
      </c>
      <c r="M588" s="8">
        <v>0.43</v>
      </c>
      <c r="N588" s="6"/>
      <c r="O588" s="6"/>
      <c r="P588" s="9">
        <v>-8.14</v>
      </c>
    </row>
    <row r="589" spans="1:16" ht="19.5" customHeight="1">
      <c r="A589" s="1" t="s">
        <v>1922</v>
      </c>
      <c r="B589" s="5">
        <v>46019</v>
      </c>
      <c r="C589" s="1" t="s">
        <v>17</v>
      </c>
      <c r="D589" s="1" t="s">
        <v>18</v>
      </c>
      <c r="E589" s="1" t="s">
        <v>25</v>
      </c>
      <c r="F589" s="1" t="s">
        <v>26</v>
      </c>
      <c r="G589" s="1" t="s">
        <v>1229</v>
      </c>
      <c r="H589" s="6">
        <v>1</v>
      </c>
      <c r="I589" s="7">
        <v>0</v>
      </c>
      <c r="J589" s="5">
        <v>46019</v>
      </c>
      <c r="K589" s="1" t="s">
        <v>22</v>
      </c>
      <c r="L589" s="1" t="s">
        <v>22</v>
      </c>
      <c r="M589" s="8">
        <v>0</v>
      </c>
      <c r="N589" s="6"/>
      <c r="O589" s="6"/>
      <c r="P589" s="9">
        <v>-11.13</v>
      </c>
    </row>
    <row r="590" spans="1:16" ht="19.5" customHeight="1">
      <c r="A590" s="1" t="s">
        <v>1923</v>
      </c>
      <c r="B590" s="5">
        <v>46019</v>
      </c>
      <c r="C590" s="1" t="s">
        <v>28</v>
      </c>
      <c r="D590" s="1" t="s">
        <v>29</v>
      </c>
      <c r="E590" s="1" t="s">
        <v>223</v>
      </c>
      <c r="F590" s="1" t="s">
        <v>395</v>
      </c>
      <c r="G590" s="1" t="s">
        <v>1229</v>
      </c>
      <c r="H590" s="6">
        <v>1</v>
      </c>
      <c r="I590" s="7">
        <v>0</v>
      </c>
      <c r="J590" s="5">
        <v>46011</v>
      </c>
      <c r="K590" s="1" t="s">
        <v>957</v>
      </c>
      <c r="L590" s="1" t="s">
        <v>30</v>
      </c>
      <c r="M590" s="8">
        <v>0</v>
      </c>
      <c r="N590" s="6"/>
      <c r="O590" s="6">
        <v>39</v>
      </c>
      <c r="P590" s="9">
        <v>-46.77</v>
      </c>
    </row>
    <row r="591" spans="1:16" ht="19.5" customHeight="1">
      <c r="A591" s="1" t="s">
        <v>1923</v>
      </c>
      <c r="B591" s="5">
        <v>46019</v>
      </c>
      <c r="C591" s="1" t="s">
        <v>17</v>
      </c>
      <c r="D591" s="1" t="s">
        <v>37</v>
      </c>
      <c r="E591" s="1" t="s">
        <v>223</v>
      </c>
      <c r="F591" s="1" t="s">
        <v>395</v>
      </c>
      <c r="G591" s="1" t="s">
        <v>1229</v>
      </c>
      <c r="H591" s="6">
        <v>1</v>
      </c>
      <c r="I591" s="7">
        <v>0</v>
      </c>
      <c r="J591" s="5">
        <v>46011</v>
      </c>
      <c r="K591" s="1" t="s">
        <v>957</v>
      </c>
      <c r="L591" s="1" t="s">
        <v>30</v>
      </c>
      <c r="M591" s="8">
        <v>0</v>
      </c>
      <c r="N591" s="6"/>
      <c r="O591" s="6"/>
      <c r="P591" s="9">
        <v>-9.2799999999999994</v>
      </c>
    </row>
    <row r="592" spans="1:16" ht="19.5" customHeight="1">
      <c r="A592" s="1" t="s">
        <v>1923</v>
      </c>
      <c r="B592" s="5">
        <v>46019</v>
      </c>
      <c r="C592" s="1" t="s">
        <v>28</v>
      </c>
      <c r="D592" s="1" t="s">
        <v>45</v>
      </c>
      <c r="E592" s="1" t="s">
        <v>223</v>
      </c>
      <c r="F592" s="1" t="s">
        <v>395</v>
      </c>
      <c r="G592" s="1" t="s">
        <v>1229</v>
      </c>
      <c r="H592" s="6">
        <v>1</v>
      </c>
      <c r="I592" s="7">
        <v>0</v>
      </c>
      <c r="J592" s="5">
        <v>46011</v>
      </c>
      <c r="K592" s="1" t="s">
        <v>957</v>
      </c>
      <c r="L592" s="1" t="s">
        <v>30</v>
      </c>
      <c r="M592" s="8">
        <v>0</v>
      </c>
      <c r="N592" s="6"/>
      <c r="O592" s="6"/>
      <c r="P592" s="9">
        <v>0</v>
      </c>
    </row>
    <row r="593" spans="1:16" ht="19.5" customHeight="1">
      <c r="A593" s="1" t="s">
        <v>1923</v>
      </c>
      <c r="B593" s="5">
        <v>46019</v>
      </c>
      <c r="C593" s="1" t="s">
        <v>28</v>
      </c>
      <c r="D593" s="1" t="s">
        <v>46</v>
      </c>
      <c r="E593" s="1" t="s">
        <v>223</v>
      </c>
      <c r="F593" s="1" t="s">
        <v>395</v>
      </c>
      <c r="G593" s="1" t="s">
        <v>1229</v>
      </c>
      <c r="H593" s="6">
        <v>1</v>
      </c>
      <c r="I593" s="7">
        <v>0</v>
      </c>
      <c r="J593" s="5">
        <v>46011</v>
      </c>
      <c r="K593" s="1" t="s">
        <v>957</v>
      </c>
      <c r="L593" s="1" t="s">
        <v>30</v>
      </c>
      <c r="M593" s="8">
        <v>0</v>
      </c>
      <c r="N593" s="6"/>
      <c r="O593" s="6"/>
      <c r="P593" s="9">
        <v>-46.77</v>
      </c>
    </row>
    <row r="594" spans="1:16" ht="19.5" customHeight="1">
      <c r="A594" s="1" t="s">
        <v>1923</v>
      </c>
      <c r="B594" s="5">
        <v>46019</v>
      </c>
      <c r="C594" s="1" t="s">
        <v>17</v>
      </c>
      <c r="D594" s="1" t="s">
        <v>47</v>
      </c>
      <c r="E594" s="1" t="s">
        <v>223</v>
      </c>
      <c r="F594" s="1" t="s">
        <v>395</v>
      </c>
      <c r="G594" s="1" t="s">
        <v>1229</v>
      </c>
      <c r="H594" s="6">
        <v>1</v>
      </c>
      <c r="I594" s="7">
        <v>0</v>
      </c>
      <c r="J594" s="5">
        <v>46011</v>
      </c>
      <c r="K594" s="1" t="s">
        <v>957</v>
      </c>
      <c r="L594" s="1" t="s">
        <v>30</v>
      </c>
      <c r="M594" s="8">
        <v>0</v>
      </c>
      <c r="N594" s="6"/>
      <c r="O594" s="6"/>
      <c r="P594" s="9">
        <v>-15</v>
      </c>
    </row>
    <row r="595" spans="1:16" ht="19.5" customHeight="1">
      <c r="A595" s="1" t="s">
        <v>1924</v>
      </c>
      <c r="B595" s="5">
        <v>46019</v>
      </c>
      <c r="C595" s="1" t="s">
        <v>28</v>
      </c>
      <c r="D595" s="1" t="s">
        <v>29</v>
      </c>
      <c r="E595" s="1" t="s">
        <v>25</v>
      </c>
      <c r="F595" s="1" t="s">
        <v>26</v>
      </c>
      <c r="G595" s="1" t="s">
        <v>1229</v>
      </c>
      <c r="H595" s="6">
        <v>1</v>
      </c>
      <c r="I595" s="7">
        <v>1017</v>
      </c>
      <c r="J595" s="5">
        <v>46016</v>
      </c>
      <c r="K595" s="1" t="s">
        <v>957</v>
      </c>
      <c r="L595" s="1" t="s">
        <v>30</v>
      </c>
      <c r="M595" s="8">
        <v>0.43</v>
      </c>
      <c r="N595" s="6"/>
      <c r="O595" s="6">
        <v>38</v>
      </c>
      <c r="P595" s="9">
        <v>-88.61</v>
      </c>
    </row>
    <row r="596" spans="1:16" ht="19.5" customHeight="1">
      <c r="A596" s="1" t="s">
        <v>1924</v>
      </c>
      <c r="B596" s="5">
        <v>46019</v>
      </c>
      <c r="C596" s="1" t="s">
        <v>31</v>
      </c>
      <c r="D596" s="1" t="s">
        <v>32</v>
      </c>
      <c r="E596" s="1" t="s">
        <v>25</v>
      </c>
      <c r="F596" s="1" t="s">
        <v>26</v>
      </c>
      <c r="G596" s="1" t="s">
        <v>1229</v>
      </c>
      <c r="H596" s="6">
        <v>1</v>
      </c>
      <c r="I596" s="7">
        <v>1017</v>
      </c>
      <c r="J596" s="5">
        <v>46016</v>
      </c>
      <c r="K596" s="1" t="s">
        <v>957</v>
      </c>
      <c r="L596" s="1" t="s">
        <v>30</v>
      </c>
      <c r="M596" s="8">
        <v>0</v>
      </c>
      <c r="N596" s="6"/>
      <c r="O596" s="6"/>
      <c r="P596" s="9">
        <v>355.85</v>
      </c>
    </row>
    <row r="597" spans="1:16" ht="19.5" customHeight="1">
      <c r="A597" s="1" t="s">
        <v>1924</v>
      </c>
      <c r="B597" s="5">
        <v>46019</v>
      </c>
      <c r="C597" s="1" t="s">
        <v>31</v>
      </c>
      <c r="D597" s="1" t="s">
        <v>33</v>
      </c>
      <c r="E597" s="1" t="s">
        <v>25</v>
      </c>
      <c r="F597" s="1" t="s">
        <v>26</v>
      </c>
      <c r="G597" s="1" t="s">
        <v>1229</v>
      </c>
      <c r="H597" s="6">
        <v>1</v>
      </c>
      <c r="I597" s="7">
        <v>1017</v>
      </c>
      <c r="J597" s="5">
        <v>46016</v>
      </c>
      <c r="K597" s="1" t="s">
        <v>957</v>
      </c>
      <c r="L597" s="1" t="s">
        <v>30</v>
      </c>
      <c r="M597" s="8">
        <v>0</v>
      </c>
      <c r="N597" s="6"/>
      <c r="O597" s="6"/>
      <c r="P597" s="9">
        <v>3.56</v>
      </c>
    </row>
    <row r="598" spans="1:16" ht="19.5" customHeight="1">
      <c r="A598" s="1" t="s">
        <v>1924</v>
      </c>
      <c r="B598" s="5">
        <v>46019</v>
      </c>
      <c r="C598" s="1" t="s">
        <v>31</v>
      </c>
      <c r="D598" s="1" t="s">
        <v>34</v>
      </c>
      <c r="E598" s="1" t="s">
        <v>25</v>
      </c>
      <c r="F598" s="1" t="s">
        <v>26</v>
      </c>
      <c r="G598" s="1" t="s">
        <v>1229</v>
      </c>
      <c r="H598" s="6">
        <v>1</v>
      </c>
      <c r="I598" s="7">
        <v>1017</v>
      </c>
      <c r="J598" s="5">
        <v>46016</v>
      </c>
      <c r="K598" s="1" t="s">
        <v>957</v>
      </c>
      <c r="L598" s="1" t="s">
        <v>30</v>
      </c>
      <c r="M598" s="8">
        <v>0</v>
      </c>
      <c r="N598" s="6"/>
      <c r="O598" s="6"/>
      <c r="P598" s="9">
        <v>657.59</v>
      </c>
    </row>
    <row r="599" spans="1:16" ht="19.5" customHeight="1">
      <c r="A599" s="1" t="s">
        <v>1924</v>
      </c>
      <c r="B599" s="5">
        <v>46019</v>
      </c>
      <c r="C599" s="1" t="s">
        <v>35</v>
      </c>
      <c r="D599" s="1" t="s">
        <v>36</v>
      </c>
      <c r="E599" s="1" t="s">
        <v>25</v>
      </c>
      <c r="F599" s="1" t="s">
        <v>26</v>
      </c>
      <c r="G599" s="1" t="s">
        <v>1229</v>
      </c>
      <c r="H599" s="6">
        <v>1</v>
      </c>
      <c r="I599" s="7">
        <v>1017</v>
      </c>
      <c r="J599" s="5">
        <v>46016</v>
      </c>
      <c r="K599" s="1" t="s">
        <v>957</v>
      </c>
      <c r="L599" s="1" t="s">
        <v>30</v>
      </c>
      <c r="M599" s="8">
        <v>0.43</v>
      </c>
      <c r="N599" s="6"/>
      <c r="O599" s="6"/>
      <c r="P599" s="9">
        <v>-437.31</v>
      </c>
    </row>
    <row r="600" spans="1:16" ht="19.5" customHeight="1">
      <c r="A600" s="1" t="s">
        <v>1924</v>
      </c>
      <c r="B600" s="5">
        <v>46019</v>
      </c>
      <c r="C600" s="1" t="s">
        <v>17</v>
      </c>
      <c r="D600" s="1" t="s">
        <v>37</v>
      </c>
      <c r="E600" s="1" t="s">
        <v>25</v>
      </c>
      <c r="F600" s="1" t="s">
        <v>26</v>
      </c>
      <c r="G600" s="1" t="s">
        <v>1229</v>
      </c>
      <c r="H600" s="6">
        <v>1</v>
      </c>
      <c r="I600" s="7">
        <v>1017</v>
      </c>
      <c r="J600" s="5">
        <v>46016</v>
      </c>
      <c r="K600" s="1" t="s">
        <v>957</v>
      </c>
      <c r="L600" s="1" t="s">
        <v>30</v>
      </c>
      <c r="M600" s="8">
        <v>0.43</v>
      </c>
      <c r="N600" s="6"/>
      <c r="O600" s="6"/>
      <c r="P600" s="9">
        <v>-6.94</v>
      </c>
    </row>
    <row r="601" spans="1:16" ht="19.5" customHeight="1">
      <c r="A601" s="1" t="s">
        <v>1925</v>
      </c>
      <c r="B601" s="5">
        <v>46019</v>
      </c>
      <c r="C601" s="1" t="s">
        <v>28</v>
      </c>
      <c r="D601" s="1" t="s">
        <v>29</v>
      </c>
      <c r="E601" s="1" t="s">
        <v>25</v>
      </c>
      <c r="F601" s="1" t="s">
        <v>26</v>
      </c>
      <c r="G601" s="1" t="s">
        <v>1229</v>
      </c>
      <c r="H601" s="6">
        <v>1</v>
      </c>
      <c r="I601" s="7">
        <v>1092</v>
      </c>
      <c r="J601" s="5">
        <v>46015</v>
      </c>
      <c r="K601" s="1" t="s">
        <v>957</v>
      </c>
      <c r="L601" s="1" t="s">
        <v>30</v>
      </c>
      <c r="M601" s="8">
        <v>0.43</v>
      </c>
      <c r="N601" s="6"/>
      <c r="O601" s="6">
        <v>39</v>
      </c>
      <c r="P601" s="9">
        <v>-95.43</v>
      </c>
    </row>
    <row r="602" spans="1:16" ht="19.5" customHeight="1">
      <c r="A602" s="1" t="s">
        <v>1925</v>
      </c>
      <c r="B602" s="5">
        <v>46019</v>
      </c>
      <c r="C602" s="1" t="s">
        <v>31</v>
      </c>
      <c r="D602" s="1" t="s">
        <v>32</v>
      </c>
      <c r="E602" s="1" t="s">
        <v>25</v>
      </c>
      <c r="F602" s="1" t="s">
        <v>26</v>
      </c>
      <c r="G602" s="1" t="s">
        <v>1229</v>
      </c>
      <c r="H602" s="6">
        <v>1</v>
      </c>
      <c r="I602" s="7">
        <v>1092</v>
      </c>
      <c r="J602" s="5">
        <v>46015</v>
      </c>
      <c r="K602" s="1" t="s">
        <v>957</v>
      </c>
      <c r="L602" s="1" t="s">
        <v>30</v>
      </c>
      <c r="M602" s="8">
        <v>0</v>
      </c>
      <c r="N602" s="6"/>
      <c r="O602" s="6"/>
      <c r="P602" s="9">
        <v>382.86</v>
      </c>
    </row>
    <row r="603" spans="1:16" ht="19.5" customHeight="1">
      <c r="A603" s="1" t="s">
        <v>1925</v>
      </c>
      <c r="B603" s="5">
        <v>46019</v>
      </c>
      <c r="C603" s="1" t="s">
        <v>31</v>
      </c>
      <c r="D603" s="1" t="s">
        <v>33</v>
      </c>
      <c r="E603" s="1" t="s">
        <v>25</v>
      </c>
      <c r="F603" s="1" t="s">
        <v>26</v>
      </c>
      <c r="G603" s="1" t="s">
        <v>1229</v>
      </c>
      <c r="H603" s="6">
        <v>1</v>
      </c>
      <c r="I603" s="7">
        <v>1092</v>
      </c>
      <c r="J603" s="5">
        <v>46015</v>
      </c>
      <c r="K603" s="1" t="s">
        <v>957</v>
      </c>
      <c r="L603" s="1" t="s">
        <v>30</v>
      </c>
      <c r="M603" s="8">
        <v>0</v>
      </c>
      <c r="N603" s="6"/>
      <c r="O603" s="6"/>
      <c r="P603" s="9">
        <v>3.83</v>
      </c>
    </row>
    <row r="604" spans="1:16" ht="19.5" customHeight="1">
      <c r="A604" s="1" t="s">
        <v>1925</v>
      </c>
      <c r="B604" s="5">
        <v>46019</v>
      </c>
      <c r="C604" s="1" t="s">
        <v>31</v>
      </c>
      <c r="D604" s="1" t="s">
        <v>34</v>
      </c>
      <c r="E604" s="1" t="s">
        <v>25</v>
      </c>
      <c r="F604" s="1" t="s">
        <v>26</v>
      </c>
      <c r="G604" s="1" t="s">
        <v>1229</v>
      </c>
      <c r="H604" s="6">
        <v>1</v>
      </c>
      <c r="I604" s="7">
        <v>1092</v>
      </c>
      <c r="J604" s="5">
        <v>46015</v>
      </c>
      <c r="K604" s="1" t="s">
        <v>957</v>
      </c>
      <c r="L604" s="1" t="s">
        <v>30</v>
      </c>
      <c r="M604" s="8">
        <v>0</v>
      </c>
      <c r="N604" s="6"/>
      <c r="O604" s="6"/>
      <c r="P604" s="9">
        <v>705.31</v>
      </c>
    </row>
    <row r="605" spans="1:16" ht="19.5" customHeight="1">
      <c r="A605" s="1" t="s">
        <v>1925</v>
      </c>
      <c r="B605" s="5">
        <v>46019</v>
      </c>
      <c r="C605" s="1" t="s">
        <v>35</v>
      </c>
      <c r="D605" s="1" t="s">
        <v>36</v>
      </c>
      <c r="E605" s="1" t="s">
        <v>25</v>
      </c>
      <c r="F605" s="1" t="s">
        <v>26</v>
      </c>
      <c r="G605" s="1" t="s">
        <v>1229</v>
      </c>
      <c r="H605" s="6">
        <v>1</v>
      </c>
      <c r="I605" s="7">
        <v>1092</v>
      </c>
      <c r="J605" s="5">
        <v>46015</v>
      </c>
      <c r="K605" s="1" t="s">
        <v>957</v>
      </c>
      <c r="L605" s="1" t="s">
        <v>30</v>
      </c>
      <c r="M605" s="8">
        <v>0.43</v>
      </c>
      <c r="N605" s="6"/>
      <c r="O605" s="6"/>
      <c r="P605" s="9">
        <v>-469.56</v>
      </c>
    </row>
    <row r="606" spans="1:16" ht="19.5" customHeight="1">
      <c r="A606" s="1" t="s">
        <v>1925</v>
      </c>
      <c r="B606" s="5">
        <v>46019</v>
      </c>
      <c r="C606" s="1" t="s">
        <v>17</v>
      </c>
      <c r="D606" s="1" t="s">
        <v>37</v>
      </c>
      <c r="E606" s="1" t="s">
        <v>25</v>
      </c>
      <c r="F606" s="1" t="s">
        <v>26</v>
      </c>
      <c r="G606" s="1" t="s">
        <v>1229</v>
      </c>
      <c r="H606" s="6">
        <v>1</v>
      </c>
      <c r="I606" s="7">
        <v>1092</v>
      </c>
      <c r="J606" s="5">
        <v>46015</v>
      </c>
      <c r="K606" s="1" t="s">
        <v>957</v>
      </c>
      <c r="L606" s="1" t="s">
        <v>30</v>
      </c>
      <c r="M606" s="8">
        <v>0.43</v>
      </c>
      <c r="N606" s="6"/>
      <c r="O606" s="6"/>
      <c r="P606" s="9">
        <v>-4.9800000000000004</v>
      </c>
    </row>
    <row r="607" spans="1:16" ht="19.5" customHeight="1">
      <c r="A607" s="1" t="s">
        <v>1926</v>
      </c>
      <c r="B607" s="5">
        <v>46019</v>
      </c>
      <c r="C607" s="1" t="s">
        <v>28</v>
      </c>
      <c r="D607" s="1" t="s">
        <v>29</v>
      </c>
      <c r="E607" s="1" t="s">
        <v>25</v>
      </c>
      <c r="F607" s="1" t="s">
        <v>26</v>
      </c>
      <c r="G607" s="1" t="s">
        <v>1229</v>
      </c>
      <c r="H607" s="6">
        <v>1</v>
      </c>
      <c r="I607" s="7">
        <v>1704</v>
      </c>
      <c r="J607" s="5">
        <v>46017</v>
      </c>
      <c r="K607" s="1" t="s">
        <v>957</v>
      </c>
      <c r="L607" s="1" t="s">
        <v>30</v>
      </c>
      <c r="M607" s="8">
        <v>0.43</v>
      </c>
      <c r="N607" s="6"/>
      <c r="O607" s="6">
        <v>38</v>
      </c>
      <c r="P607" s="9">
        <v>-104.84</v>
      </c>
    </row>
    <row r="608" spans="1:16" ht="19.5" customHeight="1">
      <c r="A608" s="1" t="s">
        <v>1926</v>
      </c>
      <c r="B608" s="5">
        <v>46019</v>
      </c>
      <c r="C608" s="1" t="s">
        <v>31</v>
      </c>
      <c r="D608" s="1" t="s">
        <v>32</v>
      </c>
      <c r="E608" s="1" t="s">
        <v>25</v>
      </c>
      <c r="F608" s="1" t="s">
        <v>26</v>
      </c>
      <c r="G608" s="1" t="s">
        <v>1229</v>
      </c>
      <c r="H608" s="6">
        <v>1</v>
      </c>
      <c r="I608" s="7">
        <v>1704</v>
      </c>
      <c r="J608" s="5">
        <v>46017</v>
      </c>
      <c r="K608" s="1" t="s">
        <v>957</v>
      </c>
      <c r="L608" s="1" t="s">
        <v>30</v>
      </c>
      <c r="M608" s="8">
        <v>0</v>
      </c>
      <c r="N608" s="6"/>
      <c r="O608" s="6"/>
      <c r="P608" s="9">
        <v>582.39</v>
      </c>
    </row>
    <row r="609" spans="1:16" ht="19.5" customHeight="1">
      <c r="A609" s="1" t="s">
        <v>1926</v>
      </c>
      <c r="B609" s="5">
        <v>46019</v>
      </c>
      <c r="C609" s="1" t="s">
        <v>31</v>
      </c>
      <c r="D609" s="1" t="s">
        <v>33</v>
      </c>
      <c r="E609" s="1" t="s">
        <v>25</v>
      </c>
      <c r="F609" s="1" t="s">
        <v>26</v>
      </c>
      <c r="G609" s="1" t="s">
        <v>1229</v>
      </c>
      <c r="H609" s="6">
        <v>1</v>
      </c>
      <c r="I609" s="7">
        <v>1704</v>
      </c>
      <c r="J609" s="5">
        <v>46017</v>
      </c>
      <c r="K609" s="1" t="s">
        <v>957</v>
      </c>
      <c r="L609" s="1" t="s">
        <v>30</v>
      </c>
      <c r="M609" s="8">
        <v>0</v>
      </c>
      <c r="N609" s="6"/>
      <c r="O609" s="6"/>
      <c r="P609" s="9">
        <v>5.82</v>
      </c>
    </row>
    <row r="610" spans="1:16" ht="19.5" customHeight="1">
      <c r="A610" s="1" t="s">
        <v>1926</v>
      </c>
      <c r="B610" s="5">
        <v>46019</v>
      </c>
      <c r="C610" s="1" t="s">
        <v>31</v>
      </c>
      <c r="D610" s="1" t="s">
        <v>34</v>
      </c>
      <c r="E610" s="1" t="s">
        <v>25</v>
      </c>
      <c r="F610" s="1" t="s">
        <v>26</v>
      </c>
      <c r="G610" s="1" t="s">
        <v>1229</v>
      </c>
      <c r="H610" s="6">
        <v>1</v>
      </c>
      <c r="I610" s="7">
        <v>1704</v>
      </c>
      <c r="J610" s="5">
        <v>46017</v>
      </c>
      <c r="K610" s="1" t="s">
        <v>957</v>
      </c>
      <c r="L610" s="1" t="s">
        <v>30</v>
      </c>
      <c r="M610" s="8">
        <v>0</v>
      </c>
      <c r="N610" s="6"/>
      <c r="O610" s="6"/>
      <c r="P610" s="9">
        <v>1115.79</v>
      </c>
    </row>
    <row r="611" spans="1:16" ht="19.5" customHeight="1">
      <c r="A611" s="1" t="s">
        <v>1926</v>
      </c>
      <c r="B611" s="5">
        <v>46019</v>
      </c>
      <c r="C611" s="1" t="s">
        <v>35</v>
      </c>
      <c r="D611" s="1" t="s">
        <v>36</v>
      </c>
      <c r="E611" s="1" t="s">
        <v>25</v>
      </c>
      <c r="F611" s="1" t="s">
        <v>26</v>
      </c>
      <c r="G611" s="1" t="s">
        <v>1229</v>
      </c>
      <c r="H611" s="6">
        <v>1</v>
      </c>
      <c r="I611" s="7">
        <v>1704</v>
      </c>
      <c r="J611" s="5">
        <v>46017</v>
      </c>
      <c r="K611" s="1" t="s">
        <v>957</v>
      </c>
      <c r="L611" s="1" t="s">
        <v>30</v>
      </c>
      <c r="M611" s="8">
        <v>0.43</v>
      </c>
      <c r="N611" s="6"/>
      <c r="O611" s="6"/>
      <c r="P611" s="9">
        <v>-732.72</v>
      </c>
    </row>
    <row r="612" spans="1:16" ht="19.5" customHeight="1">
      <c r="A612" s="1" t="s">
        <v>1926</v>
      </c>
      <c r="B612" s="5">
        <v>46019</v>
      </c>
      <c r="C612" s="1" t="s">
        <v>17</v>
      </c>
      <c r="D612" s="1" t="s">
        <v>37</v>
      </c>
      <c r="E612" s="1" t="s">
        <v>25</v>
      </c>
      <c r="F612" s="1" t="s">
        <v>26</v>
      </c>
      <c r="G612" s="1" t="s">
        <v>1229</v>
      </c>
      <c r="H612" s="6">
        <v>1</v>
      </c>
      <c r="I612" s="7">
        <v>1704</v>
      </c>
      <c r="J612" s="5">
        <v>46017</v>
      </c>
      <c r="K612" s="1" t="s">
        <v>957</v>
      </c>
      <c r="L612" s="1" t="s">
        <v>30</v>
      </c>
      <c r="M612" s="8">
        <v>0.43</v>
      </c>
      <c r="N612" s="6"/>
      <c r="O612" s="6"/>
      <c r="P612" s="9">
        <v>-7.74</v>
      </c>
    </row>
    <row r="613" spans="1:16" ht="19.5" customHeight="1">
      <c r="A613" s="1" t="s">
        <v>1925</v>
      </c>
      <c r="B613" s="5">
        <v>46019</v>
      </c>
      <c r="C613" s="1" t="s">
        <v>17</v>
      </c>
      <c r="D613" s="1" t="s">
        <v>18</v>
      </c>
      <c r="E613" s="1" t="s">
        <v>25</v>
      </c>
      <c r="F613" s="1" t="s">
        <v>26</v>
      </c>
      <c r="G613" s="1" t="s">
        <v>1229</v>
      </c>
      <c r="H613" s="6">
        <v>1</v>
      </c>
      <c r="I613" s="7">
        <v>0</v>
      </c>
      <c r="J613" s="5">
        <v>46015</v>
      </c>
      <c r="K613" s="1" t="s">
        <v>22</v>
      </c>
      <c r="L613" s="1" t="s">
        <v>22</v>
      </c>
      <c r="M613" s="8">
        <v>0</v>
      </c>
      <c r="N613" s="6"/>
      <c r="O613" s="6"/>
      <c r="P613" s="9">
        <v>-7.27</v>
      </c>
    </row>
    <row r="614" spans="1:16" ht="19.5" customHeight="1">
      <c r="A614" s="1" t="s">
        <v>1926</v>
      </c>
      <c r="B614" s="5">
        <v>46019</v>
      </c>
      <c r="C614" s="1" t="s">
        <v>17</v>
      </c>
      <c r="D614" s="1" t="s">
        <v>18</v>
      </c>
      <c r="E614" s="1" t="s">
        <v>25</v>
      </c>
      <c r="F614" s="1" t="s">
        <v>26</v>
      </c>
      <c r="G614" s="1" t="s">
        <v>1229</v>
      </c>
      <c r="H614" s="6">
        <v>1</v>
      </c>
      <c r="I614" s="7">
        <v>0</v>
      </c>
      <c r="J614" s="5">
        <v>46017</v>
      </c>
      <c r="K614" s="1" t="s">
        <v>22</v>
      </c>
      <c r="L614" s="1" t="s">
        <v>22</v>
      </c>
      <c r="M614" s="8">
        <v>0</v>
      </c>
      <c r="N614" s="6"/>
      <c r="O614" s="6"/>
      <c r="P614" s="9">
        <v>-11.07</v>
      </c>
    </row>
    <row r="615" spans="1:16" ht="19.5" customHeight="1">
      <c r="A615" s="1" t="s">
        <v>1927</v>
      </c>
      <c r="B615" s="5">
        <v>46019</v>
      </c>
      <c r="C615" s="1" t="s">
        <v>28</v>
      </c>
      <c r="D615" s="1" t="s">
        <v>29</v>
      </c>
      <c r="E615" s="1" t="s">
        <v>25</v>
      </c>
      <c r="F615" s="1" t="s">
        <v>26</v>
      </c>
      <c r="G615" s="1" t="s">
        <v>1229</v>
      </c>
      <c r="H615" s="6">
        <v>1</v>
      </c>
      <c r="I615" s="7">
        <v>1704</v>
      </c>
      <c r="J615" s="5">
        <v>46018</v>
      </c>
      <c r="K615" s="1" t="s">
        <v>957</v>
      </c>
      <c r="L615" s="1" t="s">
        <v>30</v>
      </c>
      <c r="M615" s="8">
        <v>0.43</v>
      </c>
      <c r="N615" s="6"/>
      <c r="O615" s="6">
        <v>39</v>
      </c>
      <c r="P615" s="9">
        <v>-110.12</v>
      </c>
    </row>
    <row r="616" spans="1:16" ht="19.5" customHeight="1">
      <c r="A616" s="1" t="s">
        <v>1927</v>
      </c>
      <c r="B616" s="5">
        <v>46019</v>
      </c>
      <c r="C616" s="1" t="s">
        <v>31</v>
      </c>
      <c r="D616" s="1" t="s">
        <v>32</v>
      </c>
      <c r="E616" s="1" t="s">
        <v>25</v>
      </c>
      <c r="F616" s="1" t="s">
        <v>26</v>
      </c>
      <c r="G616" s="1" t="s">
        <v>1229</v>
      </c>
      <c r="H616" s="6">
        <v>1</v>
      </c>
      <c r="I616" s="7">
        <v>1704</v>
      </c>
      <c r="J616" s="5">
        <v>46018</v>
      </c>
      <c r="K616" s="1" t="s">
        <v>957</v>
      </c>
      <c r="L616" s="1" t="s">
        <v>30</v>
      </c>
      <c r="M616" s="8">
        <v>0</v>
      </c>
      <c r="N616" s="6"/>
      <c r="O616" s="6"/>
      <c r="P616" s="9">
        <v>585.16</v>
      </c>
    </row>
    <row r="617" spans="1:16" ht="19.5" customHeight="1">
      <c r="A617" s="1" t="s">
        <v>1927</v>
      </c>
      <c r="B617" s="5">
        <v>46019</v>
      </c>
      <c r="C617" s="1" t="s">
        <v>31</v>
      </c>
      <c r="D617" s="1" t="s">
        <v>33</v>
      </c>
      <c r="E617" s="1" t="s">
        <v>25</v>
      </c>
      <c r="F617" s="1" t="s">
        <v>26</v>
      </c>
      <c r="G617" s="1" t="s">
        <v>1229</v>
      </c>
      <c r="H617" s="6">
        <v>1</v>
      </c>
      <c r="I617" s="7">
        <v>1704</v>
      </c>
      <c r="J617" s="5">
        <v>46018</v>
      </c>
      <c r="K617" s="1" t="s">
        <v>957</v>
      </c>
      <c r="L617" s="1" t="s">
        <v>30</v>
      </c>
      <c r="M617" s="8">
        <v>0</v>
      </c>
      <c r="N617" s="6"/>
      <c r="O617" s="6"/>
      <c r="P617" s="9">
        <v>5.85</v>
      </c>
    </row>
    <row r="618" spans="1:16" ht="19.5" customHeight="1">
      <c r="A618" s="1" t="s">
        <v>1927</v>
      </c>
      <c r="B618" s="5">
        <v>46019</v>
      </c>
      <c r="C618" s="1" t="s">
        <v>31</v>
      </c>
      <c r="D618" s="1" t="s">
        <v>34</v>
      </c>
      <c r="E618" s="1" t="s">
        <v>25</v>
      </c>
      <c r="F618" s="1" t="s">
        <v>26</v>
      </c>
      <c r="G618" s="1" t="s">
        <v>1229</v>
      </c>
      <c r="H618" s="6">
        <v>1</v>
      </c>
      <c r="I618" s="7">
        <v>1704</v>
      </c>
      <c r="J618" s="5">
        <v>46018</v>
      </c>
      <c r="K618" s="1" t="s">
        <v>957</v>
      </c>
      <c r="L618" s="1" t="s">
        <v>30</v>
      </c>
      <c r="M618" s="8">
        <v>0</v>
      </c>
      <c r="N618" s="6"/>
      <c r="O618" s="6"/>
      <c r="P618" s="9">
        <v>1112.99</v>
      </c>
    </row>
    <row r="619" spans="1:16" ht="19.5" customHeight="1">
      <c r="A619" s="1" t="s">
        <v>1927</v>
      </c>
      <c r="B619" s="5">
        <v>46019</v>
      </c>
      <c r="C619" s="1" t="s">
        <v>35</v>
      </c>
      <c r="D619" s="1" t="s">
        <v>36</v>
      </c>
      <c r="E619" s="1" t="s">
        <v>25</v>
      </c>
      <c r="F619" s="1" t="s">
        <v>26</v>
      </c>
      <c r="G619" s="1" t="s">
        <v>1229</v>
      </c>
      <c r="H619" s="6">
        <v>1</v>
      </c>
      <c r="I619" s="7">
        <v>1704</v>
      </c>
      <c r="J619" s="5">
        <v>46018</v>
      </c>
      <c r="K619" s="1" t="s">
        <v>957</v>
      </c>
      <c r="L619" s="1" t="s">
        <v>30</v>
      </c>
      <c r="M619" s="8">
        <v>0.43</v>
      </c>
      <c r="N619" s="6"/>
      <c r="O619" s="6"/>
      <c r="P619" s="9">
        <v>-732.72</v>
      </c>
    </row>
    <row r="620" spans="1:16" ht="19.5" customHeight="1">
      <c r="A620" s="1" t="s">
        <v>1927</v>
      </c>
      <c r="B620" s="5">
        <v>46019</v>
      </c>
      <c r="C620" s="1" t="s">
        <v>17</v>
      </c>
      <c r="D620" s="1" t="s">
        <v>37</v>
      </c>
      <c r="E620" s="1" t="s">
        <v>25</v>
      </c>
      <c r="F620" s="1" t="s">
        <v>26</v>
      </c>
      <c r="G620" s="1" t="s">
        <v>1229</v>
      </c>
      <c r="H620" s="6">
        <v>1</v>
      </c>
      <c r="I620" s="7">
        <v>1704</v>
      </c>
      <c r="J620" s="5">
        <v>46018</v>
      </c>
      <c r="K620" s="1" t="s">
        <v>957</v>
      </c>
      <c r="L620" s="1" t="s">
        <v>30</v>
      </c>
      <c r="M620" s="8">
        <v>0.43</v>
      </c>
      <c r="N620" s="6"/>
      <c r="O620" s="6"/>
      <c r="P620" s="9">
        <v>-6.46</v>
      </c>
    </row>
    <row r="621" spans="1:16" ht="19.5" customHeight="1">
      <c r="A621" s="1" t="s">
        <v>1927</v>
      </c>
      <c r="B621" s="5">
        <v>46019</v>
      </c>
      <c r="C621" s="1" t="s">
        <v>17</v>
      </c>
      <c r="D621" s="1" t="s">
        <v>18</v>
      </c>
      <c r="E621" s="1" t="s">
        <v>25</v>
      </c>
      <c r="F621" s="1" t="s">
        <v>26</v>
      </c>
      <c r="G621" s="1" t="s">
        <v>1229</v>
      </c>
      <c r="H621" s="6">
        <v>1</v>
      </c>
      <c r="I621" s="7">
        <v>0</v>
      </c>
      <c r="J621" s="5">
        <v>46018</v>
      </c>
      <c r="K621" s="1" t="s">
        <v>22</v>
      </c>
      <c r="L621" s="1" t="s">
        <v>22</v>
      </c>
      <c r="M621" s="8">
        <v>0</v>
      </c>
      <c r="N621" s="6"/>
      <c r="O621" s="6"/>
      <c r="P621" s="9">
        <v>-11.12</v>
      </c>
    </row>
    <row r="622" spans="1:16" ht="19.5" customHeight="1">
      <c r="A622" s="1" t="s">
        <v>1928</v>
      </c>
      <c r="B622" s="5">
        <v>46019</v>
      </c>
      <c r="C622" s="1" t="s">
        <v>28</v>
      </c>
      <c r="D622" s="1" t="s">
        <v>29</v>
      </c>
      <c r="E622" s="1" t="s">
        <v>25</v>
      </c>
      <c r="F622" s="1" t="s">
        <v>26</v>
      </c>
      <c r="G622" s="1" t="s">
        <v>1229</v>
      </c>
      <c r="H622" s="6">
        <v>1</v>
      </c>
      <c r="I622" s="7">
        <v>1092</v>
      </c>
      <c r="J622" s="5">
        <v>46015</v>
      </c>
      <c r="K622" s="1" t="s">
        <v>957</v>
      </c>
      <c r="L622" s="1" t="s">
        <v>30</v>
      </c>
      <c r="M622" s="8">
        <v>0.43</v>
      </c>
      <c r="N622" s="6"/>
      <c r="O622" s="6">
        <v>39</v>
      </c>
      <c r="P622" s="9">
        <v>-94.29</v>
      </c>
    </row>
    <row r="623" spans="1:16" ht="19.5" customHeight="1">
      <c r="A623" s="1" t="s">
        <v>1928</v>
      </c>
      <c r="B623" s="5">
        <v>46019</v>
      </c>
      <c r="C623" s="1" t="s">
        <v>31</v>
      </c>
      <c r="D623" s="1" t="s">
        <v>32</v>
      </c>
      <c r="E623" s="1" t="s">
        <v>25</v>
      </c>
      <c r="F623" s="1" t="s">
        <v>26</v>
      </c>
      <c r="G623" s="1" t="s">
        <v>1229</v>
      </c>
      <c r="H623" s="6">
        <v>1</v>
      </c>
      <c r="I623" s="7">
        <v>1092</v>
      </c>
      <c r="J623" s="5">
        <v>46015</v>
      </c>
      <c r="K623" s="1" t="s">
        <v>957</v>
      </c>
      <c r="L623" s="1" t="s">
        <v>30</v>
      </c>
      <c r="M623" s="8">
        <v>0</v>
      </c>
      <c r="N623" s="6"/>
      <c r="O623" s="6"/>
      <c r="P623" s="9">
        <v>416.19</v>
      </c>
    </row>
    <row r="624" spans="1:16" ht="19.5" customHeight="1">
      <c r="A624" s="1" t="s">
        <v>1928</v>
      </c>
      <c r="B624" s="5">
        <v>46019</v>
      </c>
      <c r="C624" s="1" t="s">
        <v>31</v>
      </c>
      <c r="D624" s="1" t="s">
        <v>33</v>
      </c>
      <c r="E624" s="1" t="s">
        <v>25</v>
      </c>
      <c r="F624" s="1" t="s">
        <v>26</v>
      </c>
      <c r="G624" s="1" t="s">
        <v>1229</v>
      </c>
      <c r="H624" s="6">
        <v>1</v>
      </c>
      <c r="I624" s="7">
        <v>1092</v>
      </c>
      <c r="J624" s="5">
        <v>46015</v>
      </c>
      <c r="K624" s="1" t="s">
        <v>957</v>
      </c>
      <c r="L624" s="1" t="s">
        <v>30</v>
      </c>
      <c r="M624" s="8">
        <v>0</v>
      </c>
      <c r="N624" s="6"/>
      <c r="O624" s="6"/>
      <c r="P624" s="9">
        <v>0</v>
      </c>
    </row>
    <row r="625" spans="1:16" ht="19.5" customHeight="1">
      <c r="A625" s="1" t="s">
        <v>1928</v>
      </c>
      <c r="B625" s="5">
        <v>46019</v>
      </c>
      <c r="C625" s="1" t="s">
        <v>31</v>
      </c>
      <c r="D625" s="1" t="s">
        <v>34</v>
      </c>
      <c r="E625" s="1" t="s">
        <v>25</v>
      </c>
      <c r="F625" s="1" t="s">
        <v>26</v>
      </c>
      <c r="G625" s="1" t="s">
        <v>1229</v>
      </c>
      <c r="H625" s="6">
        <v>1</v>
      </c>
      <c r="I625" s="7">
        <v>1092</v>
      </c>
      <c r="J625" s="5">
        <v>46015</v>
      </c>
      <c r="K625" s="1" t="s">
        <v>957</v>
      </c>
      <c r="L625" s="1" t="s">
        <v>30</v>
      </c>
      <c r="M625" s="8">
        <v>0</v>
      </c>
      <c r="N625" s="6"/>
      <c r="O625" s="6"/>
      <c r="P625" s="9">
        <v>675.81</v>
      </c>
    </row>
    <row r="626" spans="1:16" ht="19.5" customHeight="1">
      <c r="A626" s="1" t="s">
        <v>1928</v>
      </c>
      <c r="B626" s="5">
        <v>46019</v>
      </c>
      <c r="C626" s="1" t="s">
        <v>35</v>
      </c>
      <c r="D626" s="1" t="s">
        <v>36</v>
      </c>
      <c r="E626" s="1" t="s">
        <v>25</v>
      </c>
      <c r="F626" s="1" t="s">
        <v>26</v>
      </c>
      <c r="G626" s="1" t="s">
        <v>1229</v>
      </c>
      <c r="H626" s="6">
        <v>1</v>
      </c>
      <c r="I626" s="7">
        <v>1092</v>
      </c>
      <c r="J626" s="5">
        <v>46015</v>
      </c>
      <c r="K626" s="1" t="s">
        <v>957</v>
      </c>
      <c r="L626" s="1" t="s">
        <v>30</v>
      </c>
      <c r="M626" s="8">
        <v>0.43</v>
      </c>
      <c r="N626" s="6"/>
      <c r="O626" s="6"/>
      <c r="P626" s="9">
        <v>-469.56</v>
      </c>
    </row>
    <row r="627" spans="1:16" ht="19.5" customHeight="1">
      <c r="A627" s="1" t="s">
        <v>1928</v>
      </c>
      <c r="B627" s="5">
        <v>46019</v>
      </c>
      <c r="C627" s="1" t="s">
        <v>17</v>
      </c>
      <c r="D627" s="1" t="s">
        <v>37</v>
      </c>
      <c r="E627" s="1" t="s">
        <v>25</v>
      </c>
      <c r="F627" s="1" t="s">
        <v>26</v>
      </c>
      <c r="G627" s="1" t="s">
        <v>1229</v>
      </c>
      <c r="H627" s="6">
        <v>1</v>
      </c>
      <c r="I627" s="7">
        <v>1092</v>
      </c>
      <c r="J627" s="5">
        <v>46015</v>
      </c>
      <c r="K627" s="1" t="s">
        <v>957</v>
      </c>
      <c r="L627" s="1" t="s">
        <v>30</v>
      </c>
      <c r="M627" s="8">
        <v>0.43</v>
      </c>
      <c r="N627" s="6"/>
      <c r="O627" s="6"/>
      <c r="P627" s="9">
        <v>-5.37</v>
      </c>
    </row>
    <row r="628" spans="1:16" ht="19.5" customHeight="1">
      <c r="A628" s="1" t="s">
        <v>1928</v>
      </c>
      <c r="B628" s="5">
        <v>46019</v>
      </c>
      <c r="C628" s="1" t="s">
        <v>17</v>
      </c>
      <c r="D628" s="1" t="s">
        <v>18</v>
      </c>
      <c r="E628" s="1" t="s">
        <v>25</v>
      </c>
      <c r="F628" s="1" t="s">
        <v>26</v>
      </c>
      <c r="G628" s="1" t="s">
        <v>1229</v>
      </c>
      <c r="H628" s="6">
        <v>1</v>
      </c>
      <c r="I628" s="7">
        <v>0</v>
      </c>
      <c r="J628" s="5">
        <v>46015</v>
      </c>
      <c r="K628" s="1" t="s">
        <v>22</v>
      </c>
      <c r="L628" s="1" t="s">
        <v>22</v>
      </c>
      <c r="M628" s="8">
        <v>0</v>
      </c>
      <c r="N628" s="6"/>
      <c r="O628" s="6"/>
      <c r="P628" s="9">
        <v>-1.83</v>
      </c>
    </row>
    <row r="629" spans="1:16" ht="19.5" customHeight="1">
      <c r="A629" s="1" t="s">
        <v>1909</v>
      </c>
      <c r="B629" s="5">
        <v>46019</v>
      </c>
      <c r="C629" s="1" t="s">
        <v>77</v>
      </c>
      <c r="D629" s="1" t="s">
        <v>82</v>
      </c>
      <c r="E629" s="1" t="s">
        <v>22</v>
      </c>
      <c r="F629" s="1" t="s">
        <v>22</v>
      </c>
      <c r="G629" s="1" t="s">
        <v>22</v>
      </c>
      <c r="H629" s="6">
        <v>0</v>
      </c>
      <c r="I629" s="7">
        <v>0</v>
      </c>
      <c r="J629" s="5">
        <v>46019</v>
      </c>
      <c r="K629" s="1" t="s">
        <v>22</v>
      </c>
      <c r="L629" s="1" t="s">
        <v>22</v>
      </c>
      <c r="M629" s="8">
        <v>0</v>
      </c>
      <c r="N629" s="6"/>
      <c r="O629" s="6"/>
      <c r="P629" s="9">
        <v>-317.95999999999998</v>
      </c>
    </row>
    <row r="630" spans="1:16" ht="19.5" customHeight="1">
      <c r="A630" s="1" t="s">
        <v>1908</v>
      </c>
      <c r="B630" s="5">
        <v>46019</v>
      </c>
      <c r="C630" s="1" t="s">
        <v>77</v>
      </c>
      <c r="D630" s="1" t="s">
        <v>82</v>
      </c>
      <c r="E630" s="1" t="s">
        <v>22</v>
      </c>
      <c r="F630" s="1" t="s">
        <v>22</v>
      </c>
      <c r="G630" s="1" t="s">
        <v>22</v>
      </c>
      <c r="H630" s="6">
        <v>0</v>
      </c>
      <c r="I630" s="7">
        <v>0</v>
      </c>
      <c r="J630" s="5">
        <v>46019</v>
      </c>
      <c r="K630" s="1" t="s">
        <v>22</v>
      </c>
      <c r="L630" s="1" t="s">
        <v>22</v>
      </c>
      <c r="M630" s="8">
        <v>0</v>
      </c>
      <c r="N630" s="6"/>
      <c r="O630" s="6"/>
      <c r="P630" s="9">
        <v>-323.22000000000003</v>
      </c>
    </row>
    <row r="631" spans="1:16" ht="19.5" customHeight="1">
      <c r="A631" s="1" t="s">
        <v>1910</v>
      </c>
      <c r="B631" s="5">
        <v>46019</v>
      </c>
      <c r="C631" s="1" t="s">
        <v>77</v>
      </c>
      <c r="D631" s="1" t="s">
        <v>82</v>
      </c>
      <c r="E631" s="1" t="s">
        <v>22</v>
      </c>
      <c r="F631" s="1" t="s">
        <v>22</v>
      </c>
      <c r="G631" s="1" t="s">
        <v>22</v>
      </c>
      <c r="H631" s="6">
        <v>0</v>
      </c>
      <c r="I631" s="7">
        <v>0</v>
      </c>
      <c r="J631" s="5">
        <v>46019</v>
      </c>
      <c r="K631" s="1" t="s">
        <v>22</v>
      </c>
      <c r="L631" s="1" t="s">
        <v>22</v>
      </c>
      <c r="M631" s="8">
        <v>0</v>
      </c>
      <c r="N631" s="6"/>
      <c r="O631" s="6"/>
      <c r="P631" s="9">
        <v>-290.33999999999997</v>
      </c>
    </row>
    <row r="632" spans="1:16" ht="19.5" customHeight="1">
      <c r="A632" s="1" t="s">
        <v>1847</v>
      </c>
      <c r="B632" s="5">
        <v>46019</v>
      </c>
      <c r="C632" s="1" t="s">
        <v>77</v>
      </c>
      <c r="D632" s="1" t="s">
        <v>82</v>
      </c>
      <c r="E632" s="1" t="s">
        <v>22</v>
      </c>
      <c r="F632" s="1" t="s">
        <v>22</v>
      </c>
      <c r="G632" s="1" t="s">
        <v>22</v>
      </c>
      <c r="H632" s="6">
        <v>0</v>
      </c>
      <c r="I632" s="7">
        <v>0</v>
      </c>
      <c r="J632" s="5">
        <v>46019</v>
      </c>
      <c r="K632" s="1" t="s">
        <v>22</v>
      </c>
      <c r="L632" s="1" t="s">
        <v>22</v>
      </c>
      <c r="M632" s="8">
        <v>0</v>
      </c>
      <c r="N632" s="6"/>
      <c r="O632" s="6"/>
      <c r="P632" s="9">
        <v>-277.31</v>
      </c>
    </row>
    <row r="633" spans="1:16" ht="19.5" customHeight="1">
      <c r="A633" s="1" t="s">
        <v>1376</v>
      </c>
      <c r="B633" s="5">
        <v>46019</v>
      </c>
      <c r="C633" s="1" t="s">
        <v>77</v>
      </c>
      <c r="D633" s="1" t="s">
        <v>82</v>
      </c>
      <c r="E633" s="1" t="s">
        <v>22</v>
      </c>
      <c r="F633" s="1" t="s">
        <v>22</v>
      </c>
      <c r="G633" s="1" t="s">
        <v>22</v>
      </c>
      <c r="H633" s="6">
        <v>0</v>
      </c>
      <c r="I633" s="7">
        <v>0</v>
      </c>
      <c r="J633" s="5">
        <v>46019</v>
      </c>
      <c r="K633" s="1" t="s">
        <v>22</v>
      </c>
      <c r="L633" s="1" t="s">
        <v>22</v>
      </c>
      <c r="M633" s="8">
        <v>0</v>
      </c>
      <c r="N633" s="6"/>
      <c r="O633" s="6"/>
      <c r="P633" s="9">
        <v>-1009.42</v>
      </c>
    </row>
    <row r="634" spans="1:16" ht="19.5" customHeight="1">
      <c r="A634" s="1" t="s">
        <v>1075</v>
      </c>
      <c r="B634" s="5">
        <v>46019</v>
      </c>
      <c r="C634" s="1" t="s">
        <v>77</v>
      </c>
      <c r="D634" s="1" t="s">
        <v>82</v>
      </c>
      <c r="E634" s="1" t="s">
        <v>22</v>
      </c>
      <c r="F634" s="1" t="s">
        <v>22</v>
      </c>
      <c r="G634" s="1" t="s">
        <v>22</v>
      </c>
      <c r="H634" s="6">
        <v>0</v>
      </c>
      <c r="I634" s="7">
        <v>0</v>
      </c>
      <c r="J634" s="5">
        <v>46019</v>
      </c>
      <c r="K634" s="1" t="s">
        <v>22</v>
      </c>
      <c r="L634" s="1" t="s">
        <v>22</v>
      </c>
      <c r="M634" s="8">
        <v>0</v>
      </c>
      <c r="N634" s="6"/>
      <c r="O634" s="6"/>
      <c r="P634" s="9">
        <v>-600.21</v>
      </c>
    </row>
    <row r="635" spans="1:16" ht="19.5" customHeight="1">
      <c r="A635" s="1" t="s">
        <v>83</v>
      </c>
      <c r="B635" s="5">
        <v>46019</v>
      </c>
      <c r="C635" s="1" t="s">
        <v>77</v>
      </c>
      <c r="D635" s="1" t="s">
        <v>84</v>
      </c>
      <c r="E635" s="1" t="s">
        <v>22</v>
      </c>
      <c r="F635" s="1" t="s">
        <v>22</v>
      </c>
      <c r="G635" s="1" t="s">
        <v>22</v>
      </c>
      <c r="H635" s="6">
        <v>0</v>
      </c>
      <c r="I635" s="7">
        <v>0</v>
      </c>
      <c r="J635" s="5">
        <v>46019</v>
      </c>
      <c r="K635" s="1" t="s">
        <v>22</v>
      </c>
      <c r="L635" s="1" t="s">
        <v>22</v>
      </c>
      <c r="M635" s="8">
        <v>0</v>
      </c>
      <c r="N635" s="6"/>
      <c r="O635" s="6"/>
      <c r="P635" s="9">
        <v>-1281.3</v>
      </c>
    </row>
    <row r="636" spans="1:16" ht="19.5" customHeight="1">
      <c r="A636" s="1" t="s">
        <v>1929</v>
      </c>
      <c r="B636" s="5">
        <v>46020</v>
      </c>
      <c r="C636" s="1" t="s">
        <v>28</v>
      </c>
      <c r="D636" s="1" t="s">
        <v>29</v>
      </c>
      <c r="E636" s="1" t="s">
        <v>228</v>
      </c>
      <c r="F636" s="1" t="s">
        <v>393</v>
      </c>
      <c r="G636" s="1" t="s">
        <v>1229</v>
      </c>
      <c r="H636" s="6">
        <v>1</v>
      </c>
      <c r="I636" s="7">
        <v>0</v>
      </c>
      <c r="J636" s="5">
        <v>46010</v>
      </c>
      <c r="K636" s="1" t="s">
        <v>957</v>
      </c>
      <c r="L636" s="1" t="s">
        <v>30</v>
      </c>
      <c r="M636" s="8">
        <v>0</v>
      </c>
      <c r="N636" s="6"/>
      <c r="O636" s="6">
        <v>39</v>
      </c>
      <c r="P636" s="9">
        <v>-46.77</v>
      </c>
    </row>
    <row r="637" spans="1:16" ht="19.5" customHeight="1">
      <c r="A637" s="1" t="s">
        <v>1929</v>
      </c>
      <c r="B637" s="5">
        <v>46020</v>
      </c>
      <c r="C637" s="1" t="s">
        <v>17</v>
      </c>
      <c r="D637" s="1" t="s">
        <v>37</v>
      </c>
      <c r="E637" s="1" t="s">
        <v>228</v>
      </c>
      <c r="F637" s="1" t="s">
        <v>393</v>
      </c>
      <c r="G637" s="1" t="s">
        <v>1229</v>
      </c>
      <c r="H637" s="6">
        <v>1</v>
      </c>
      <c r="I637" s="7">
        <v>0</v>
      </c>
      <c r="J637" s="5">
        <v>46010</v>
      </c>
      <c r="K637" s="1" t="s">
        <v>957</v>
      </c>
      <c r="L637" s="1" t="s">
        <v>30</v>
      </c>
      <c r="M637" s="8">
        <v>0</v>
      </c>
      <c r="N637" s="6"/>
      <c r="O637" s="6"/>
      <c r="P637" s="9">
        <v>-7.98</v>
      </c>
    </row>
    <row r="638" spans="1:16" ht="19.5" customHeight="1">
      <c r="A638" s="1" t="s">
        <v>1929</v>
      </c>
      <c r="B638" s="5">
        <v>46020</v>
      </c>
      <c r="C638" s="1" t="s">
        <v>28</v>
      </c>
      <c r="D638" s="1" t="s">
        <v>45</v>
      </c>
      <c r="E638" s="1" t="s">
        <v>228</v>
      </c>
      <c r="F638" s="1" t="s">
        <v>393</v>
      </c>
      <c r="G638" s="1" t="s">
        <v>1229</v>
      </c>
      <c r="H638" s="6">
        <v>1</v>
      </c>
      <c r="I638" s="7">
        <v>0</v>
      </c>
      <c r="J638" s="5">
        <v>46010</v>
      </c>
      <c r="K638" s="1" t="s">
        <v>957</v>
      </c>
      <c r="L638" s="1" t="s">
        <v>30</v>
      </c>
      <c r="M638" s="8">
        <v>0</v>
      </c>
      <c r="N638" s="6"/>
      <c r="O638" s="6"/>
      <c r="P638" s="9">
        <v>0</v>
      </c>
    </row>
    <row r="639" spans="1:16" ht="19.5" customHeight="1">
      <c r="A639" s="1" t="s">
        <v>1929</v>
      </c>
      <c r="B639" s="5">
        <v>46020</v>
      </c>
      <c r="C639" s="1" t="s">
        <v>28</v>
      </c>
      <c r="D639" s="1" t="s">
        <v>46</v>
      </c>
      <c r="E639" s="1" t="s">
        <v>228</v>
      </c>
      <c r="F639" s="1" t="s">
        <v>393</v>
      </c>
      <c r="G639" s="1" t="s">
        <v>1229</v>
      </c>
      <c r="H639" s="6">
        <v>1</v>
      </c>
      <c r="I639" s="7">
        <v>0</v>
      </c>
      <c r="J639" s="5">
        <v>46010</v>
      </c>
      <c r="K639" s="1" t="s">
        <v>957</v>
      </c>
      <c r="L639" s="1" t="s">
        <v>30</v>
      </c>
      <c r="M639" s="8">
        <v>0</v>
      </c>
      <c r="N639" s="6"/>
      <c r="O639" s="6"/>
      <c r="P639" s="9">
        <v>-46.77</v>
      </c>
    </row>
    <row r="640" spans="1:16" ht="19.5" customHeight="1">
      <c r="A640" s="1" t="s">
        <v>1929</v>
      </c>
      <c r="B640" s="5">
        <v>46020</v>
      </c>
      <c r="C640" s="1" t="s">
        <v>17</v>
      </c>
      <c r="D640" s="1" t="s">
        <v>47</v>
      </c>
      <c r="E640" s="1" t="s">
        <v>228</v>
      </c>
      <c r="F640" s="1" t="s">
        <v>393</v>
      </c>
      <c r="G640" s="1" t="s">
        <v>1229</v>
      </c>
      <c r="H640" s="6">
        <v>1</v>
      </c>
      <c r="I640" s="7">
        <v>0</v>
      </c>
      <c r="J640" s="5">
        <v>46010</v>
      </c>
      <c r="K640" s="1" t="s">
        <v>957</v>
      </c>
      <c r="L640" s="1" t="s">
        <v>30</v>
      </c>
      <c r="M640" s="8">
        <v>0</v>
      </c>
      <c r="N640" s="6"/>
      <c r="O640" s="6"/>
      <c r="P640" s="9">
        <v>-15</v>
      </c>
    </row>
    <row r="641" spans="1:16" ht="19.5" customHeight="1">
      <c r="A641" s="1" t="s">
        <v>1738</v>
      </c>
      <c r="B641" s="5">
        <v>46020</v>
      </c>
      <c r="C641" s="1" t="s">
        <v>126</v>
      </c>
      <c r="D641" s="1" t="s">
        <v>127</v>
      </c>
      <c r="E641" s="1" t="s">
        <v>223</v>
      </c>
      <c r="F641" s="1" t="s">
        <v>395</v>
      </c>
      <c r="G641" s="1" t="s">
        <v>1229</v>
      </c>
      <c r="H641" s="6">
        <v>1</v>
      </c>
      <c r="I641" s="7">
        <v>-1280</v>
      </c>
      <c r="J641" s="5">
        <v>45995</v>
      </c>
      <c r="K641" s="1" t="s">
        <v>957</v>
      </c>
      <c r="L641" s="1" t="s">
        <v>30</v>
      </c>
      <c r="M641" s="8">
        <v>0</v>
      </c>
      <c r="N641" s="6"/>
      <c r="O641" s="6"/>
      <c r="P641" s="9">
        <v>-474.79</v>
      </c>
    </row>
    <row r="642" spans="1:16" ht="19.5" customHeight="1">
      <c r="A642" s="1" t="s">
        <v>1738</v>
      </c>
      <c r="B642" s="5">
        <v>46020</v>
      </c>
      <c r="C642" s="1" t="s">
        <v>126</v>
      </c>
      <c r="D642" s="1" t="s">
        <v>33</v>
      </c>
      <c r="E642" s="1" t="s">
        <v>223</v>
      </c>
      <c r="F642" s="1" t="s">
        <v>395</v>
      </c>
      <c r="G642" s="1" t="s">
        <v>1229</v>
      </c>
      <c r="H642" s="6">
        <v>1</v>
      </c>
      <c r="I642" s="7">
        <v>-1280</v>
      </c>
      <c r="J642" s="5">
        <v>45995</v>
      </c>
      <c r="K642" s="1" t="s">
        <v>957</v>
      </c>
      <c r="L642" s="1" t="s">
        <v>30</v>
      </c>
      <c r="M642" s="8">
        <v>0</v>
      </c>
      <c r="N642" s="6"/>
      <c r="O642" s="6"/>
      <c r="P642" s="9">
        <v>-4.75</v>
      </c>
    </row>
    <row r="643" spans="1:16" ht="19.5" customHeight="1">
      <c r="A643" s="1" t="s">
        <v>1738</v>
      </c>
      <c r="B643" s="5">
        <v>46020</v>
      </c>
      <c r="C643" s="1" t="s">
        <v>126</v>
      </c>
      <c r="D643" s="1" t="s">
        <v>34</v>
      </c>
      <c r="E643" s="1" t="s">
        <v>223</v>
      </c>
      <c r="F643" s="1" t="s">
        <v>395</v>
      </c>
      <c r="G643" s="1" t="s">
        <v>1229</v>
      </c>
      <c r="H643" s="6">
        <v>1</v>
      </c>
      <c r="I643" s="7">
        <v>-1280</v>
      </c>
      <c r="J643" s="5">
        <v>45995</v>
      </c>
      <c r="K643" s="1" t="s">
        <v>957</v>
      </c>
      <c r="L643" s="1" t="s">
        <v>30</v>
      </c>
      <c r="M643" s="8">
        <v>0</v>
      </c>
      <c r="N643" s="6"/>
      <c r="O643" s="6"/>
      <c r="P643" s="9">
        <v>-800.46</v>
      </c>
    </row>
    <row r="644" spans="1:16" ht="19.5" customHeight="1">
      <c r="A644" s="1" t="s">
        <v>1738</v>
      </c>
      <c r="B644" s="5">
        <v>46020</v>
      </c>
      <c r="C644" s="1" t="s">
        <v>35</v>
      </c>
      <c r="D644" s="1" t="s">
        <v>128</v>
      </c>
      <c r="E644" s="1" t="s">
        <v>223</v>
      </c>
      <c r="F644" s="1" t="s">
        <v>395</v>
      </c>
      <c r="G644" s="1" t="s">
        <v>1229</v>
      </c>
      <c r="H644" s="6">
        <v>1</v>
      </c>
      <c r="I644" s="7">
        <v>-1280</v>
      </c>
      <c r="J644" s="5">
        <v>45995</v>
      </c>
      <c r="K644" s="1" t="s">
        <v>957</v>
      </c>
      <c r="L644" s="1" t="s">
        <v>30</v>
      </c>
      <c r="M644" s="8">
        <v>0.43</v>
      </c>
      <c r="N644" s="6"/>
      <c r="O644" s="6"/>
      <c r="P644" s="9">
        <v>550.4</v>
      </c>
    </row>
    <row r="645" spans="1:16" ht="19.5" customHeight="1">
      <c r="A645" s="1" t="s">
        <v>1493</v>
      </c>
      <c r="B645" s="5">
        <v>46020</v>
      </c>
      <c r="C645" s="1" t="s">
        <v>17</v>
      </c>
      <c r="D645" s="1" t="s">
        <v>18</v>
      </c>
      <c r="E645" s="1" t="s">
        <v>223</v>
      </c>
      <c r="F645" s="1" t="s">
        <v>395</v>
      </c>
      <c r="G645" s="1" t="s">
        <v>1229</v>
      </c>
      <c r="H645" s="6">
        <v>1</v>
      </c>
      <c r="I645" s="7">
        <v>0</v>
      </c>
      <c r="J645" s="5">
        <v>45995</v>
      </c>
      <c r="K645" s="1" t="s">
        <v>22</v>
      </c>
      <c r="L645" s="1" t="s">
        <v>22</v>
      </c>
      <c r="M645" s="8">
        <v>0</v>
      </c>
      <c r="N645" s="6"/>
      <c r="O645" s="6"/>
      <c r="P645" s="9">
        <v>9.02</v>
      </c>
    </row>
    <row r="646" spans="1:16" ht="19.5" customHeight="1">
      <c r="A646" s="1" t="s">
        <v>1930</v>
      </c>
      <c r="B646" s="5">
        <v>46020</v>
      </c>
      <c r="C646" s="1" t="s">
        <v>28</v>
      </c>
      <c r="D646" s="1" t="s">
        <v>29</v>
      </c>
      <c r="E646" s="1" t="s">
        <v>223</v>
      </c>
      <c r="F646" s="1" t="s">
        <v>395</v>
      </c>
      <c r="G646" s="1" t="s">
        <v>1229</v>
      </c>
      <c r="H646" s="6">
        <v>1</v>
      </c>
      <c r="I646" s="7">
        <v>0</v>
      </c>
      <c r="J646" s="5">
        <v>46009</v>
      </c>
      <c r="K646" s="1" t="s">
        <v>957</v>
      </c>
      <c r="L646" s="1" t="s">
        <v>30</v>
      </c>
      <c r="M646" s="8">
        <v>0</v>
      </c>
      <c r="N646" s="6"/>
      <c r="O646" s="6">
        <v>40</v>
      </c>
      <c r="P646" s="9">
        <v>-46.77</v>
      </c>
    </row>
    <row r="647" spans="1:16" ht="19.5" customHeight="1">
      <c r="A647" s="1" t="s">
        <v>1930</v>
      </c>
      <c r="B647" s="5">
        <v>46020</v>
      </c>
      <c r="C647" s="1" t="s">
        <v>17</v>
      </c>
      <c r="D647" s="1" t="s">
        <v>37</v>
      </c>
      <c r="E647" s="1" t="s">
        <v>223</v>
      </c>
      <c r="F647" s="1" t="s">
        <v>395</v>
      </c>
      <c r="G647" s="1" t="s">
        <v>1229</v>
      </c>
      <c r="H647" s="6">
        <v>1</v>
      </c>
      <c r="I647" s="7">
        <v>0</v>
      </c>
      <c r="J647" s="5">
        <v>46009</v>
      </c>
      <c r="K647" s="1" t="s">
        <v>957</v>
      </c>
      <c r="L647" s="1" t="s">
        <v>30</v>
      </c>
      <c r="M647" s="8">
        <v>0</v>
      </c>
      <c r="N647" s="6"/>
      <c r="O647" s="6"/>
      <c r="P647" s="9">
        <v>-11.89</v>
      </c>
    </row>
    <row r="648" spans="1:16" ht="19.5" customHeight="1">
      <c r="A648" s="1" t="s">
        <v>1930</v>
      </c>
      <c r="B648" s="5">
        <v>46020</v>
      </c>
      <c r="C648" s="1" t="s">
        <v>28</v>
      </c>
      <c r="D648" s="1" t="s">
        <v>45</v>
      </c>
      <c r="E648" s="1" t="s">
        <v>223</v>
      </c>
      <c r="F648" s="1" t="s">
        <v>395</v>
      </c>
      <c r="G648" s="1" t="s">
        <v>1229</v>
      </c>
      <c r="H648" s="6">
        <v>1</v>
      </c>
      <c r="I648" s="7">
        <v>0</v>
      </c>
      <c r="J648" s="5">
        <v>46009</v>
      </c>
      <c r="K648" s="1" t="s">
        <v>957</v>
      </c>
      <c r="L648" s="1" t="s">
        <v>30</v>
      </c>
      <c r="M648" s="8">
        <v>0</v>
      </c>
      <c r="N648" s="6"/>
      <c r="O648" s="6"/>
      <c r="P648" s="9">
        <v>0</v>
      </c>
    </row>
    <row r="649" spans="1:16" ht="19.5" customHeight="1">
      <c r="A649" s="1" t="s">
        <v>1930</v>
      </c>
      <c r="B649" s="5">
        <v>46020</v>
      </c>
      <c r="C649" s="1" t="s">
        <v>28</v>
      </c>
      <c r="D649" s="1" t="s">
        <v>46</v>
      </c>
      <c r="E649" s="1" t="s">
        <v>223</v>
      </c>
      <c r="F649" s="1" t="s">
        <v>395</v>
      </c>
      <c r="G649" s="1" t="s">
        <v>1229</v>
      </c>
      <c r="H649" s="6">
        <v>1</v>
      </c>
      <c r="I649" s="7">
        <v>0</v>
      </c>
      <c r="J649" s="5">
        <v>46009</v>
      </c>
      <c r="K649" s="1" t="s">
        <v>957</v>
      </c>
      <c r="L649" s="1" t="s">
        <v>30</v>
      </c>
      <c r="M649" s="8">
        <v>0</v>
      </c>
      <c r="N649" s="6"/>
      <c r="O649" s="6"/>
      <c r="P649" s="9">
        <v>-46.77</v>
      </c>
    </row>
    <row r="650" spans="1:16" ht="19.5" customHeight="1">
      <c r="A650" s="1" t="s">
        <v>1930</v>
      </c>
      <c r="B650" s="5">
        <v>46020</v>
      </c>
      <c r="C650" s="1" t="s">
        <v>17</v>
      </c>
      <c r="D650" s="1" t="s">
        <v>47</v>
      </c>
      <c r="E650" s="1" t="s">
        <v>223</v>
      </c>
      <c r="F650" s="1" t="s">
        <v>395</v>
      </c>
      <c r="G650" s="1" t="s">
        <v>1229</v>
      </c>
      <c r="H650" s="6">
        <v>1</v>
      </c>
      <c r="I650" s="7">
        <v>0</v>
      </c>
      <c r="J650" s="5">
        <v>46009</v>
      </c>
      <c r="K650" s="1" t="s">
        <v>957</v>
      </c>
      <c r="L650" s="1" t="s">
        <v>30</v>
      </c>
      <c r="M650" s="8">
        <v>0</v>
      </c>
      <c r="N650" s="6"/>
      <c r="O650" s="6"/>
      <c r="P650" s="9">
        <v>-15</v>
      </c>
    </row>
    <row r="651" spans="1:16" ht="19.5" customHeight="1">
      <c r="A651" s="1" t="s">
        <v>1931</v>
      </c>
      <c r="B651" s="5">
        <v>46020</v>
      </c>
      <c r="C651" s="1" t="s">
        <v>28</v>
      </c>
      <c r="D651" s="1" t="s">
        <v>29</v>
      </c>
      <c r="E651" s="1" t="s">
        <v>25</v>
      </c>
      <c r="F651" s="1" t="s">
        <v>26</v>
      </c>
      <c r="G651" s="1" t="s">
        <v>1229</v>
      </c>
      <c r="H651" s="6">
        <v>1</v>
      </c>
      <c r="I651" s="7">
        <v>1704</v>
      </c>
      <c r="J651" s="5">
        <v>46017</v>
      </c>
      <c r="K651" s="1" t="s">
        <v>957</v>
      </c>
      <c r="L651" s="1" t="s">
        <v>30</v>
      </c>
      <c r="M651" s="8">
        <v>0.43</v>
      </c>
      <c r="N651" s="6"/>
      <c r="O651" s="6">
        <v>38</v>
      </c>
      <c r="P651" s="9">
        <v>-104.84</v>
      </c>
    </row>
    <row r="652" spans="1:16" ht="19.5" customHeight="1">
      <c r="A652" s="1" t="s">
        <v>1931</v>
      </c>
      <c r="B652" s="5">
        <v>46020</v>
      </c>
      <c r="C652" s="1" t="s">
        <v>31</v>
      </c>
      <c r="D652" s="1" t="s">
        <v>32</v>
      </c>
      <c r="E652" s="1" t="s">
        <v>25</v>
      </c>
      <c r="F652" s="1" t="s">
        <v>26</v>
      </c>
      <c r="G652" s="1" t="s">
        <v>1229</v>
      </c>
      <c r="H652" s="6">
        <v>1</v>
      </c>
      <c r="I652" s="7">
        <v>1704</v>
      </c>
      <c r="J652" s="5">
        <v>46017</v>
      </c>
      <c r="K652" s="1" t="s">
        <v>957</v>
      </c>
      <c r="L652" s="1" t="s">
        <v>30</v>
      </c>
      <c r="M652" s="8">
        <v>0</v>
      </c>
      <c r="N652" s="6"/>
      <c r="O652" s="6"/>
      <c r="P652" s="9">
        <v>620</v>
      </c>
    </row>
    <row r="653" spans="1:16" ht="19.5" customHeight="1">
      <c r="A653" s="1" t="s">
        <v>1931</v>
      </c>
      <c r="B653" s="5">
        <v>46020</v>
      </c>
      <c r="C653" s="1" t="s">
        <v>31</v>
      </c>
      <c r="D653" s="1" t="s">
        <v>33</v>
      </c>
      <c r="E653" s="1" t="s">
        <v>25</v>
      </c>
      <c r="F653" s="1" t="s">
        <v>26</v>
      </c>
      <c r="G653" s="1" t="s">
        <v>1229</v>
      </c>
      <c r="H653" s="6">
        <v>1</v>
      </c>
      <c r="I653" s="7">
        <v>1704</v>
      </c>
      <c r="J653" s="5">
        <v>46017</v>
      </c>
      <c r="K653" s="1" t="s">
        <v>957</v>
      </c>
      <c r="L653" s="1" t="s">
        <v>30</v>
      </c>
      <c r="M653" s="8">
        <v>0</v>
      </c>
      <c r="N653" s="6"/>
      <c r="O653" s="6"/>
      <c r="P653" s="9">
        <v>0</v>
      </c>
    </row>
    <row r="654" spans="1:16" ht="19.5" customHeight="1">
      <c r="A654" s="1" t="s">
        <v>1931</v>
      </c>
      <c r="B654" s="5">
        <v>46020</v>
      </c>
      <c r="C654" s="1" t="s">
        <v>31</v>
      </c>
      <c r="D654" s="1" t="s">
        <v>34</v>
      </c>
      <c r="E654" s="1" t="s">
        <v>25</v>
      </c>
      <c r="F654" s="1" t="s">
        <v>26</v>
      </c>
      <c r="G654" s="1" t="s">
        <v>1229</v>
      </c>
      <c r="H654" s="6">
        <v>1</v>
      </c>
      <c r="I654" s="7">
        <v>1704</v>
      </c>
      <c r="J654" s="5">
        <v>46017</v>
      </c>
      <c r="K654" s="1" t="s">
        <v>957</v>
      </c>
      <c r="L654" s="1" t="s">
        <v>30</v>
      </c>
      <c r="M654" s="8">
        <v>0</v>
      </c>
      <c r="N654" s="6"/>
      <c r="O654" s="6"/>
      <c r="P654" s="9">
        <v>1084</v>
      </c>
    </row>
    <row r="655" spans="1:16" ht="19.5" customHeight="1">
      <c r="A655" s="1" t="s">
        <v>1931</v>
      </c>
      <c r="B655" s="5">
        <v>46020</v>
      </c>
      <c r="C655" s="1" t="s">
        <v>35</v>
      </c>
      <c r="D655" s="1" t="s">
        <v>36</v>
      </c>
      <c r="E655" s="1" t="s">
        <v>25</v>
      </c>
      <c r="F655" s="1" t="s">
        <v>26</v>
      </c>
      <c r="G655" s="1" t="s">
        <v>1229</v>
      </c>
      <c r="H655" s="6">
        <v>1</v>
      </c>
      <c r="I655" s="7">
        <v>1704</v>
      </c>
      <c r="J655" s="5">
        <v>46017</v>
      </c>
      <c r="K655" s="1" t="s">
        <v>957</v>
      </c>
      <c r="L655" s="1" t="s">
        <v>30</v>
      </c>
      <c r="M655" s="8">
        <v>0.43</v>
      </c>
      <c r="N655" s="6"/>
      <c r="O655" s="6"/>
      <c r="P655" s="9">
        <v>-732.72</v>
      </c>
    </row>
    <row r="656" spans="1:16" ht="19.5" customHeight="1">
      <c r="A656" s="1" t="s">
        <v>1931</v>
      </c>
      <c r="B656" s="5">
        <v>46020</v>
      </c>
      <c r="C656" s="1" t="s">
        <v>17</v>
      </c>
      <c r="D656" s="1" t="s">
        <v>37</v>
      </c>
      <c r="E656" s="1" t="s">
        <v>25</v>
      </c>
      <c r="F656" s="1" t="s">
        <v>26</v>
      </c>
      <c r="G656" s="1" t="s">
        <v>1229</v>
      </c>
      <c r="H656" s="6">
        <v>1</v>
      </c>
      <c r="I656" s="7">
        <v>1704</v>
      </c>
      <c r="J656" s="5">
        <v>46017</v>
      </c>
      <c r="K656" s="1" t="s">
        <v>957</v>
      </c>
      <c r="L656" s="1" t="s">
        <v>30</v>
      </c>
      <c r="M656" s="8">
        <v>0.43</v>
      </c>
      <c r="N656" s="6"/>
      <c r="O656" s="6"/>
      <c r="P656" s="9">
        <v>-7.87</v>
      </c>
    </row>
    <row r="657" spans="1:16" ht="19.5" customHeight="1">
      <c r="A657" s="1" t="s">
        <v>1932</v>
      </c>
      <c r="B657" s="5">
        <v>46020</v>
      </c>
      <c r="C657" s="1" t="s">
        <v>28</v>
      </c>
      <c r="D657" s="1" t="s">
        <v>29</v>
      </c>
      <c r="E657" s="1" t="s">
        <v>25</v>
      </c>
      <c r="F657" s="1" t="s">
        <v>26</v>
      </c>
      <c r="G657" s="1" t="s">
        <v>1229</v>
      </c>
      <c r="H657" s="6">
        <v>1</v>
      </c>
      <c r="I657" s="7">
        <v>0</v>
      </c>
      <c r="J657" s="5">
        <v>46014</v>
      </c>
      <c r="K657" s="1" t="s">
        <v>957</v>
      </c>
      <c r="L657" s="1" t="s">
        <v>30</v>
      </c>
      <c r="M657" s="8">
        <v>0</v>
      </c>
      <c r="N657" s="6"/>
      <c r="O657" s="6">
        <v>42</v>
      </c>
      <c r="P657" s="9">
        <v>-46.77</v>
      </c>
    </row>
    <row r="658" spans="1:16" ht="19.5" customHeight="1">
      <c r="A658" s="1" t="s">
        <v>1932</v>
      </c>
      <c r="B658" s="5">
        <v>46020</v>
      </c>
      <c r="C658" s="1" t="s">
        <v>17</v>
      </c>
      <c r="D658" s="1" t="s">
        <v>37</v>
      </c>
      <c r="E658" s="1" t="s">
        <v>25</v>
      </c>
      <c r="F658" s="1" t="s">
        <v>26</v>
      </c>
      <c r="G658" s="1" t="s">
        <v>1229</v>
      </c>
      <c r="H658" s="6">
        <v>1</v>
      </c>
      <c r="I658" s="7">
        <v>0</v>
      </c>
      <c r="J658" s="5">
        <v>46014</v>
      </c>
      <c r="K658" s="1" t="s">
        <v>957</v>
      </c>
      <c r="L658" s="1" t="s">
        <v>30</v>
      </c>
      <c r="M658" s="8">
        <v>0</v>
      </c>
      <c r="N658" s="6"/>
      <c r="O658" s="6"/>
      <c r="P658" s="9">
        <v>-6.27</v>
      </c>
    </row>
    <row r="659" spans="1:16" ht="19.5" customHeight="1">
      <c r="A659" s="1" t="s">
        <v>1932</v>
      </c>
      <c r="B659" s="5">
        <v>46020</v>
      </c>
      <c r="C659" s="1" t="s">
        <v>28</v>
      </c>
      <c r="D659" s="1" t="s">
        <v>45</v>
      </c>
      <c r="E659" s="1" t="s">
        <v>25</v>
      </c>
      <c r="F659" s="1" t="s">
        <v>26</v>
      </c>
      <c r="G659" s="1" t="s">
        <v>1229</v>
      </c>
      <c r="H659" s="6">
        <v>1</v>
      </c>
      <c r="I659" s="7">
        <v>0</v>
      </c>
      <c r="J659" s="5">
        <v>46014</v>
      </c>
      <c r="K659" s="1" t="s">
        <v>957</v>
      </c>
      <c r="L659" s="1" t="s">
        <v>30</v>
      </c>
      <c r="M659" s="8">
        <v>0</v>
      </c>
      <c r="N659" s="6"/>
      <c r="O659" s="6"/>
      <c r="P659" s="9">
        <v>0</v>
      </c>
    </row>
    <row r="660" spans="1:16" ht="19.5" customHeight="1">
      <c r="A660" s="1" t="s">
        <v>1932</v>
      </c>
      <c r="B660" s="5">
        <v>46020</v>
      </c>
      <c r="C660" s="1" t="s">
        <v>28</v>
      </c>
      <c r="D660" s="1" t="s">
        <v>46</v>
      </c>
      <c r="E660" s="1" t="s">
        <v>25</v>
      </c>
      <c r="F660" s="1" t="s">
        <v>26</v>
      </c>
      <c r="G660" s="1" t="s">
        <v>1229</v>
      </c>
      <c r="H660" s="6">
        <v>1</v>
      </c>
      <c r="I660" s="7">
        <v>0</v>
      </c>
      <c r="J660" s="5">
        <v>46014</v>
      </c>
      <c r="K660" s="1" t="s">
        <v>957</v>
      </c>
      <c r="L660" s="1" t="s">
        <v>30</v>
      </c>
      <c r="M660" s="8">
        <v>0</v>
      </c>
      <c r="N660" s="6"/>
      <c r="O660" s="6"/>
      <c r="P660" s="9">
        <v>-46.77</v>
      </c>
    </row>
    <row r="661" spans="1:16" ht="19.5" customHeight="1">
      <c r="A661" s="1" t="s">
        <v>1932</v>
      </c>
      <c r="B661" s="5">
        <v>46020</v>
      </c>
      <c r="C661" s="1" t="s">
        <v>17</v>
      </c>
      <c r="D661" s="1" t="s">
        <v>47</v>
      </c>
      <c r="E661" s="1" t="s">
        <v>25</v>
      </c>
      <c r="F661" s="1" t="s">
        <v>26</v>
      </c>
      <c r="G661" s="1" t="s">
        <v>1229</v>
      </c>
      <c r="H661" s="6">
        <v>1</v>
      </c>
      <c r="I661" s="7">
        <v>0</v>
      </c>
      <c r="J661" s="5">
        <v>46014</v>
      </c>
      <c r="K661" s="1" t="s">
        <v>957</v>
      </c>
      <c r="L661" s="1" t="s">
        <v>30</v>
      </c>
      <c r="M661" s="8">
        <v>0</v>
      </c>
      <c r="N661" s="6"/>
      <c r="O661" s="6"/>
      <c r="P661" s="9">
        <v>-15</v>
      </c>
    </row>
    <row r="662" spans="1:16" ht="19.5" customHeight="1">
      <c r="A662" s="1" t="s">
        <v>1933</v>
      </c>
      <c r="B662" s="5">
        <v>46020</v>
      </c>
      <c r="C662" s="1" t="s">
        <v>17</v>
      </c>
      <c r="D662" s="1" t="s">
        <v>18</v>
      </c>
      <c r="E662" s="1" t="s">
        <v>25</v>
      </c>
      <c r="F662" s="1" t="s">
        <v>26</v>
      </c>
      <c r="G662" s="1" t="s">
        <v>1229</v>
      </c>
      <c r="H662" s="6">
        <v>1</v>
      </c>
      <c r="I662" s="7">
        <v>0</v>
      </c>
      <c r="J662" s="5">
        <v>46020</v>
      </c>
      <c r="K662" s="1" t="s">
        <v>22</v>
      </c>
      <c r="L662" s="1" t="s">
        <v>22</v>
      </c>
      <c r="M662" s="8">
        <v>0</v>
      </c>
      <c r="N662" s="6"/>
      <c r="O662" s="6"/>
      <c r="P662" s="9">
        <v>-11.13</v>
      </c>
    </row>
    <row r="663" spans="1:16" ht="19.5" customHeight="1">
      <c r="A663" s="1" t="s">
        <v>1934</v>
      </c>
      <c r="B663" s="5">
        <v>46020</v>
      </c>
      <c r="C663" s="1" t="s">
        <v>28</v>
      </c>
      <c r="D663" s="1" t="s">
        <v>29</v>
      </c>
      <c r="E663" s="1" t="s">
        <v>25</v>
      </c>
      <c r="F663" s="1" t="s">
        <v>26</v>
      </c>
      <c r="G663" s="1" t="s">
        <v>1229</v>
      </c>
      <c r="H663" s="6">
        <v>1</v>
      </c>
      <c r="I663" s="7">
        <v>1704</v>
      </c>
      <c r="J663" s="5">
        <v>46018</v>
      </c>
      <c r="K663" s="1" t="s">
        <v>957</v>
      </c>
      <c r="L663" s="1" t="s">
        <v>30</v>
      </c>
      <c r="M663" s="8">
        <v>0.43</v>
      </c>
      <c r="N663" s="6"/>
      <c r="O663" s="6">
        <v>39</v>
      </c>
      <c r="P663" s="9">
        <v>-110.12</v>
      </c>
    </row>
    <row r="664" spans="1:16" ht="19.5" customHeight="1">
      <c r="A664" s="1" t="s">
        <v>1934</v>
      </c>
      <c r="B664" s="5">
        <v>46020</v>
      </c>
      <c r="C664" s="1" t="s">
        <v>31</v>
      </c>
      <c r="D664" s="1" t="s">
        <v>32</v>
      </c>
      <c r="E664" s="1" t="s">
        <v>25</v>
      </c>
      <c r="F664" s="1" t="s">
        <v>26</v>
      </c>
      <c r="G664" s="1" t="s">
        <v>1229</v>
      </c>
      <c r="H664" s="6">
        <v>1</v>
      </c>
      <c r="I664" s="7">
        <v>1704</v>
      </c>
      <c r="J664" s="5">
        <v>46018</v>
      </c>
      <c r="K664" s="1" t="s">
        <v>957</v>
      </c>
      <c r="L664" s="1" t="s">
        <v>30</v>
      </c>
      <c r="M664" s="8">
        <v>0</v>
      </c>
      <c r="N664" s="6"/>
      <c r="O664" s="6"/>
      <c r="P664" s="9">
        <v>648.29</v>
      </c>
    </row>
    <row r="665" spans="1:16" ht="19.5" customHeight="1">
      <c r="A665" s="1" t="s">
        <v>1934</v>
      </c>
      <c r="B665" s="5">
        <v>46020</v>
      </c>
      <c r="C665" s="1" t="s">
        <v>31</v>
      </c>
      <c r="D665" s="1" t="s">
        <v>33</v>
      </c>
      <c r="E665" s="1" t="s">
        <v>25</v>
      </c>
      <c r="F665" s="1" t="s">
        <v>26</v>
      </c>
      <c r="G665" s="1" t="s">
        <v>1229</v>
      </c>
      <c r="H665" s="6">
        <v>1</v>
      </c>
      <c r="I665" s="7">
        <v>1704</v>
      </c>
      <c r="J665" s="5">
        <v>46018</v>
      </c>
      <c r="K665" s="1" t="s">
        <v>957</v>
      </c>
      <c r="L665" s="1" t="s">
        <v>30</v>
      </c>
      <c r="M665" s="8">
        <v>0</v>
      </c>
      <c r="N665" s="6"/>
      <c r="O665" s="6"/>
      <c r="P665" s="9">
        <v>0</v>
      </c>
    </row>
    <row r="666" spans="1:16" ht="19.5" customHeight="1">
      <c r="A666" s="1" t="s">
        <v>1934</v>
      </c>
      <c r="B666" s="5">
        <v>46020</v>
      </c>
      <c r="C666" s="1" t="s">
        <v>31</v>
      </c>
      <c r="D666" s="1" t="s">
        <v>34</v>
      </c>
      <c r="E666" s="1" t="s">
        <v>25</v>
      </c>
      <c r="F666" s="1" t="s">
        <v>26</v>
      </c>
      <c r="G666" s="1" t="s">
        <v>1229</v>
      </c>
      <c r="H666" s="6">
        <v>1</v>
      </c>
      <c r="I666" s="7">
        <v>1704</v>
      </c>
      <c r="J666" s="5">
        <v>46018</v>
      </c>
      <c r="K666" s="1" t="s">
        <v>957</v>
      </c>
      <c r="L666" s="1" t="s">
        <v>30</v>
      </c>
      <c r="M666" s="8">
        <v>0</v>
      </c>
      <c r="N666" s="6"/>
      <c r="O666" s="6"/>
      <c r="P666" s="9">
        <v>1055.71</v>
      </c>
    </row>
    <row r="667" spans="1:16" ht="19.5" customHeight="1">
      <c r="A667" s="1" t="s">
        <v>1934</v>
      </c>
      <c r="B667" s="5">
        <v>46020</v>
      </c>
      <c r="C667" s="1" t="s">
        <v>35</v>
      </c>
      <c r="D667" s="1" t="s">
        <v>36</v>
      </c>
      <c r="E667" s="1" t="s">
        <v>25</v>
      </c>
      <c r="F667" s="1" t="s">
        <v>26</v>
      </c>
      <c r="G667" s="1" t="s">
        <v>1229</v>
      </c>
      <c r="H667" s="6">
        <v>1</v>
      </c>
      <c r="I667" s="7">
        <v>1704</v>
      </c>
      <c r="J667" s="5">
        <v>46018</v>
      </c>
      <c r="K667" s="1" t="s">
        <v>957</v>
      </c>
      <c r="L667" s="1" t="s">
        <v>30</v>
      </c>
      <c r="M667" s="8">
        <v>0.43</v>
      </c>
      <c r="N667" s="6"/>
      <c r="O667" s="6"/>
      <c r="P667" s="9">
        <v>-732.72</v>
      </c>
    </row>
    <row r="668" spans="1:16" ht="19.5" customHeight="1">
      <c r="A668" s="1" t="s">
        <v>1934</v>
      </c>
      <c r="B668" s="5">
        <v>46020</v>
      </c>
      <c r="C668" s="1" t="s">
        <v>17</v>
      </c>
      <c r="D668" s="1" t="s">
        <v>37</v>
      </c>
      <c r="E668" s="1" t="s">
        <v>25</v>
      </c>
      <c r="F668" s="1" t="s">
        <v>26</v>
      </c>
      <c r="G668" s="1" t="s">
        <v>1229</v>
      </c>
      <c r="H668" s="6">
        <v>1</v>
      </c>
      <c r="I668" s="7">
        <v>1704</v>
      </c>
      <c r="J668" s="5">
        <v>46018</v>
      </c>
      <c r="K668" s="1" t="s">
        <v>957</v>
      </c>
      <c r="L668" s="1" t="s">
        <v>30</v>
      </c>
      <c r="M668" s="8">
        <v>0.43</v>
      </c>
      <c r="N668" s="6"/>
      <c r="O668" s="6"/>
      <c r="P668" s="9">
        <v>-8.19</v>
      </c>
    </row>
    <row r="669" spans="1:16" ht="19.5" customHeight="1">
      <c r="A669" s="1" t="s">
        <v>1935</v>
      </c>
      <c r="B669" s="5">
        <v>46020</v>
      </c>
      <c r="C669" s="1" t="s">
        <v>28</v>
      </c>
      <c r="D669" s="1" t="s">
        <v>29</v>
      </c>
      <c r="E669" s="1" t="s">
        <v>25</v>
      </c>
      <c r="F669" s="1" t="s">
        <v>26</v>
      </c>
      <c r="G669" s="1" t="s">
        <v>1229</v>
      </c>
      <c r="H669" s="6">
        <v>1</v>
      </c>
      <c r="I669" s="7">
        <v>1704</v>
      </c>
      <c r="J669" s="5">
        <v>46010</v>
      </c>
      <c r="K669" s="1" t="s">
        <v>957</v>
      </c>
      <c r="L669" s="1" t="s">
        <v>30</v>
      </c>
      <c r="M669" s="8">
        <v>0.43</v>
      </c>
      <c r="N669" s="6"/>
      <c r="O669" s="6">
        <v>39</v>
      </c>
      <c r="P669" s="9">
        <v>-108.98</v>
      </c>
    </row>
    <row r="670" spans="1:16" ht="19.5" customHeight="1">
      <c r="A670" s="1" t="s">
        <v>1935</v>
      </c>
      <c r="B670" s="5">
        <v>46020</v>
      </c>
      <c r="C670" s="1" t="s">
        <v>31</v>
      </c>
      <c r="D670" s="1" t="s">
        <v>32</v>
      </c>
      <c r="E670" s="1" t="s">
        <v>25</v>
      </c>
      <c r="F670" s="1" t="s">
        <v>26</v>
      </c>
      <c r="G670" s="1" t="s">
        <v>1229</v>
      </c>
      <c r="H670" s="6">
        <v>1</v>
      </c>
      <c r="I670" s="7">
        <v>1704</v>
      </c>
      <c r="J670" s="5">
        <v>46010</v>
      </c>
      <c r="K670" s="1" t="s">
        <v>957</v>
      </c>
      <c r="L670" s="1" t="s">
        <v>30</v>
      </c>
      <c r="M670" s="8">
        <v>0</v>
      </c>
      <c r="N670" s="6"/>
      <c r="O670" s="6"/>
      <c r="P670" s="9">
        <v>680.22</v>
      </c>
    </row>
    <row r="671" spans="1:16" ht="19.5" customHeight="1">
      <c r="A671" s="1" t="s">
        <v>1935</v>
      </c>
      <c r="B671" s="5">
        <v>46020</v>
      </c>
      <c r="C671" s="1" t="s">
        <v>31</v>
      </c>
      <c r="D671" s="1" t="s">
        <v>33</v>
      </c>
      <c r="E671" s="1" t="s">
        <v>25</v>
      </c>
      <c r="F671" s="1" t="s">
        <v>26</v>
      </c>
      <c r="G671" s="1" t="s">
        <v>1229</v>
      </c>
      <c r="H671" s="6">
        <v>1</v>
      </c>
      <c r="I671" s="7">
        <v>1704</v>
      </c>
      <c r="J671" s="5">
        <v>46010</v>
      </c>
      <c r="K671" s="1" t="s">
        <v>957</v>
      </c>
      <c r="L671" s="1" t="s">
        <v>30</v>
      </c>
      <c r="M671" s="8">
        <v>0</v>
      </c>
      <c r="N671" s="6"/>
      <c r="O671" s="6"/>
      <c r="P671" s="9">
        <v>0</v>
      </c>
    </row>
    <row r="672" spans="1:16" ht="19.5" customHeight="1">
      <c r="A672" s="1" t="s">
        <v>1935</v>
      </c>
      <c r="B672" s="5">
        <v>46020</v>
      </c>
      <c r="C672" s="1" t="s">
        <v>31</v>
      </c>
      <c r="D672" s="1" t="s">
        <v>34</v>
      </c>
      <c r="E672" s="1" t="s">
        <v>25</v>
      </c>
      <c r="F672" s="1" t="s">
        <v>26</v>
      </c>
      <c r="G672" s="1" t="s">
        <v>1229</v>
      </c>
      <c r="H672" s="6">
        <v>1</v>
      </c>
      <c r="I672" s="7">
        <v>1704</v>
      </c>
      <c r="J672" s="5">
        <v>46010</v>
      </c>
      <c r="K672" s="1" t="s">
        <v>957</v>
      </c>
      <c r="L672" s="1" t="s">
        <v>30</v>
      </c>
      <c r="M672" s="8">
        <v>0</v>
      </c>
      <c r="N672" s="6"/>
      <c r="O672" s="6"/>
      <c r="P672" s="9">
        <v>1023.78</v>
      </c>
    </row>
    <row r="673" spans="1:16" ht="19.5" customHeight="1">
      <c r="A673" s="1" t="s">
        <v>1935</v>
      </c>
      <c r="B673" s="5">
        <v>46020</v>
      </c>
      <c r="C673" s="1" t="s">
        <v>35</v>
      </c>
      <c r="D673" s="1" t="s">
        <v>36</v>
      </c>
      <c r="E673" s="1" t="s">
        <v>25</v>
      </c>
      <c r="F673" s="1" t="s">
        <v>26</v>
      </c>
      <c r="G673" s="1" t="s">
        <v>1229</v>
      </c>
      <c r="H673" s="6">
        <v>1</v>
      </c>
      <c r="I673" s="7">
        <v>1704</v>
      </c>
      <c r="J673" s="5">
        <v>46010</v>
      </c>
      <c r="K673" s="1" t="s">
        <v>957</v>
      </c>
      <c r="L673" s="1" t="s">
        <v>30</v>
      </c>
      <c r="M673" s="8">
        <v>0.43</v>
      </c>
      <c r="N673" s="6"/>
      <c r="O673" s="6"/>
      <c r="P673" s="9">
        <v>-732.72</v>
      </c>
    </row>
    <row r="674" spans="1:16" ht="19.5" customHeight="1">
      <c r="A674" s="1" t="s">
        <v>1936</v>
      </c>
      <c r="B674" s="5">
        <v>46020</v>
      </c>
      <c r="C674" s="1" t="s">
        <v>17</v>
      </c>
      <c r="D674" s="1" t="s">
        <v>18</v>
      </c>
      <c r="E674" s="1" t="s">
        <v>222</v>
      </c>
      <c r="F674" s="1" t="s">
        <v>412</v>
      </c>
      <c r="G674" s="1" t="s">
        <v>1229</v>
      </c>
      <c r="H674" s="6">
        <v>1</v>
      </c>
      <c r="I674" s="7">
        <v>0</v>
      </c>
      <c r="J674" s="5">
        <v>46020</v>
      </c>
      <c r="K674" s="1" t="s">
        <v>22</v>
      </c>
      <c r="L674" s="1" t="s">
        <v>22</v>
      </c>
      <c r="M674" s="8">
        <v>0</v>
      </c>
      <c r="N674" s="6"/>
      <c r="O674" s="6"/>
      <c r="P674" s="9">
        <v>-11.69</v>
      </c>
    </row>
    <row r="675" spans="1:16" ht="19.5" customHeight="1">
      <c r="A675" s="1" t="s">
        <v>1937</v>
      </c>
      <c r="B675" s="5">
        <v>46020</v>
      </c>
      <c r="C675" s="1" t="s">
        <v>28</v>
      </c>
      <c r="D675" s="1" t="s">
        <v>29</v>
      </c>
      <c r="E675" s="1" t="s">
        <v>25</v>
      </c>
      <c r="F675" s="1" t="s">
        <v>26</v>
      </c>
      <c r="G675" s="1" t="s">
        <v>1229</v>
      </c>
      <c r="H675" s="6">
        <v>1</v>
      </c>
      <c r="I675" s="7">
        <v>1704</v>
      </c>
      <c r="J675" s="5">
        <v>46018</v>
      </c>
      <c r="K675" s="1" t="s">
        <v>957</v>
      </c>
      <c r="L675" s="1" t="s">
        <v>30</v>
      </c>
      <c r="M675" s="8">
        <v>0.43</v>
      </c>
      <c r="N675" s="6"/>
      <c r="O675" s="6">
        <v>39</v>
      </c>
      <c r="P675" s="9">
        <v>-110.12</v>
      </c>
    </row>
    <row r="676" spans="1:16" ht="19.5" customHeight="1">
      <c r="A676" s="1" t="s">
        <v>1937</v>
      </c>
      <c r="B676" s="5">
        <v>46020</v>
      </c>
      <c r="C676" s="1" t="s">
        <v>31</v>
      </c>
      <c r="D676" s="1" t="s">
        <v>32</v>
      </c>
      <c r="E676" s="1" t="s">
        <v>25</v>
      </c>
      <c r="F676" s="1" t="s">
        <v>26</v>
      </c>
      <c r="G676" s="1" t="s">
        <v>1229</v>
      </c>
      <c r="H676" s="6">
        <v>1</v>
      </c>
      <c r="I676" s="7">
        <v>1704</v>
      </c>
      <c r="J676" s="5">
        <v>46018</v>
      </c>
      <c r="K676" s="1" t="s">
        <v>957</v>
      </c>
      <c r="L676" s="1" t="s">
        <v>30</v>
      </c>
      <c r="M676" s="8">
        <v>0</v>
      </c>
      <c r="N676" s="6"/>
      <c r="O676" s="6"/>
      <c r="P676" s="9">
        <v>585.71</v>
      </c>
    </row>
    <row r="677" spans="1:16" ht="19.5" customHeight="1">
      <c r="A677" s="1" t="s">
        <v>1937</v>
      </c>
      <c r="B677" s="5">
        <v>46020</v>
      </c>
      <c r="C677" s="1" t="s">
        <v>31</v>
      </c>
      <c r="D677" s="1" t="s">
        <v>33</v>
      </c>
      <c r="E677" s="1" t="s">
        <v>25</v>
      </c>
      <c r="F677" s="1" t="s">
        <v>26</v>
      </c>
      <c r="G677" s="1" t="s">
        <v>1229</v>
      </c>
      <c r="H677" s="6">
        <v>1</v>
      </c>
      <c r="I677" s="7">
        <v>1704</v>
      </c>
      <c r="J677" s="5">
        <v>46018</v>
      </c>
      <c r="K677" s="1" t="s">
        <v>957</v>
      </c>
      <c r="L677" s="1" t="s">
        <v>30</v>
      </c>
      <c r="M677" s="8">
        <v>0</v>
      </c>
      <c r="N677" s="6"/>
      <c r="O677" s="6"/>
      <c r="P677" s="9">
        <v>5.86</v>
      </c>
    </row>
    <row r="678" spans="1:16" ht="19.5" customHeight="1">
      <c r="A678" s="1" t="s">
        <v>1937</v>
      </c>
      <c r="B678" s="5">
        <v>46020</v>
      </c>
      <c r="C678" s="1" t="s">
        <v>31</v>
      </c>
      <c r="D678" s="1" t="s">
        <v>34</v>
      </c>
      <c r="E678" s="1" t="s">
        <v>25</v>
      </c>
      <c r="F678" s="1" t="s">
        <v>26</v>
      </c>
      <c r="G678" s="1" t="s">
        <v>1229</v>
      </c>
      <c r="H678" s="6">
        <v>1</v>
      </c>
      <c r="I678" s="7">
        <v>1704</v>
      </c>
      <c r="J678" s="5">
        <v>46018</v>
      </c>
      <c r="K678" s="1" t="s">
        <v>957</v>
      </c>
      <c r="L678" s="1" t="s">
        <v>30</v>
      </c>
      <c r="M678" s="8">
        <v>0</v>
      </c>
      <c r="N678" s="6"/>
      <c r="O678" s="6"/>
      <c r="P678" s="9">
        <v>1112.43</v>
      </c>
    </row>
    <row r="679" spans="1:16" ht="19.5" customHeight="1">
      <c r="A679" s="1" t="s">
        <v>1937</v>
      </c>
      <c r="B679" s="5">
        <v>46020</v>
      </c>
      <c r="C679" s="1" t="s">
        <v>35</v>
      </c>
      <c r="D679" s="1" t="s">
        <v>36</v>
      </c>
      <c r="E679" s="1" t="s">
        <v>25</v>
      </c>
      <c r="F679" s="1" t="s">
        <v>26</v>
      </c>
      <c r="G679" s="1" t="s">
        <v>1229</v>
      </c>
      <c r="H679" s="6">
        <v>1</v>
      </c>
      <c r="I679" s="7">
        <v>1704</v>
      </c>
      <c r="J679" s="5">
        <v>46018</v>
      </c>
      <c r="K679" s="1" t="s">
        <v>957</v>
      </c>
      <c r="L679" s="1" t="s">
        <v>30</v>
      </c>
      <c r="M679" s="8">
        <v>0.43</v>
      </c>
      <c r="N679" s="6"/>
      <c r="O679" s="6"/>
      <c r="P679" s="9">
        <v>-732.72</v>
      </c>
    </row>
    <row r="680" spans="1:16" ht="19.5" customHeight="1">
      <c r="A680" s="1" t="s">
        <v>1937</v>
      </c>
      <c r="B680" s="5">
        <v>46020</v>
      </c>
      <c r="C680" s="1" t="s">
        <v>17</v>
      </c>
      <c r="D680" s="1" t="s">
        <v>37</v>
      </c>
      <c r="E680" s="1" t="s">
        <v>25</v>
      </c>
      <c r="F680" s="1" t="s">
        <v>26</v>
      </c>
      <c r="G680" s="1" t="s">
        <v>1229</v>
      </c>
      <c r="H680" s="6">
        <v>1</v>
      </c>
      <c r="I680" s="7">
        <v>1704</v>
      </c>
      <c r="J680" s="5">
        <v>46018</v>
      </c>
      <c r="K680" s="1" t="s">
        <v>957</v>
      </c>
      <c r="L680" s="1" t="s">
        <v>30</v>
      </c>
      <c r="M680" s="8">
        <v>0.43</v>
      </c>
      <c r="N680" s="6"/>
      <c r="O680" s="6"/>
      <c r="P680" s="9">
        <v>-10.050000000000001</v>
      </c>
    </row>
    <row r="681" spans="1:16" ht="19.5" customHeight="1">
      <c r="A681" s="1" t="s">
        <v>1938</v>
      </c>
      <c r="B681" s="5">
        <v>46020</v>
      </c>
      <c r="C681" s="1" t="s">
        <v>28</v>
      </c>
      <c r="D681" s="1" t="s">
        <v>29</v>
      </c>
      <c r="E681" s="1" t="s">
        <v>88</v>
      </c>
      <c r="F681" s="1" t="s">
        <v>89</v>
      </c>
      <c r="G681" s="1" t="s">
        <v>1231</v>
      </c>
      <c r="H681" s="6">
        <v>1</v>
      </c>
      <c r="I681" s="7">
        <v>1255</v>
      </c>
      <c r="J681" s="5">
        <v>46018</v>
      </c>
      <c r="K681" s="1" t="s">
        <v>957</v>
      </c>
      <c r="L681" s="1" t="s">
        <v>30</v>
      </c>
      <c r="M681" s="8">
        <v>0.43</v>
      </c>
      <c r="N681" s="6"/>
      <c r="O681" s="6">
        <v>39</v>
      </c>
      <c r="P681" s="9">
        <v>-99.34</v>
      </c>
    </row>
    <row r="682" spans="1:16" ht="19.5" customHeight="1">
      <c r="A682" s="1" t="s">
        <v>1938</v>
      </c>
      <c r="B682" s="5">
        <v>46020</v>
      </c>
      <c r="C682" s="1" t="s">
        <v>31</v>
      </c>
      <c r="D682" s="1" t="s">
        <v>32</v>
      </c>
      <c r="E682" s="1" t="s">
        <v>88</v>
      </c>
      <c r="F682" s="1" t="s">
        <v>89</v>
      </c>
      <c r="G682" s="1" t="s">
        <v>1231</v>
      </c>
      <c r="H682" s="6">
        <v>1</v>
      </c>
      <c r="I682" s="7">
        <v>1255</v>
      </c>
      <c r="J682" s="5">
        <v>46018</v>
      </c>
      <c r="K682" s="1" t="s">
        <v>957</v>
      </c>
      <c r="L682" s="1" t="s">
        <v>30</v>
      </c>
      <c r="M682" s="8">
        <v>0</v>
      </c>
      <c r="N682" s="6"/>
      <c r="O682" s="6"/>
      <c r="P682" s="9">
        <v>642.86</v>
      </c>
    </row>
    <row r="683" spans="1:16" ht="19.5" customHeight="1">
      <c r="A683" s="1" t="s">
        <v>1938</v>
      </c>
      <c r="B683" s="5">
        <v>46020</v>
      </c>
      <c r="C683" s="1" t="s">
        <v>31</v>
      </c>
      <c r="D683" s="1" t="s">
        <v>33</v>
      </c>
      <c r="E683" s="1" t="s">
        <v>88</v>
      </c>
      <c r="F683" s="1" t="s">
        <v>89</v>
      </c>
      <c r="G683" s="1" t="s">
        <v>1231</v>
      </c>
      <c r="H683" s="6">
        <v>1</v>
      </c>
      <c r="I683" s="7">
        <v>1255</v>
      </c>
      <c r="J683" s="5">
        <v>46018</v>
      </c>
      <c r="K683" s="1" t="s">
        <v>957</v>
      </c>
      <c r="L683" s="1" t="s">
        <v>30</v>
      </c>
      <c r="M683" s="8">
        <v>0</v>
      </c>
      <c r="N683" s="6"/>
      <c r="O683" s="6"/>
      <c r="P683" s="9">
        <v>6.43</v>
      </c>
    </row>
    <row r="684" spans="1:16" ht="19.5" customHeight="1">
      <c r="A684" s="1" t="s">
        <v>1938</v>
      </c>
      <c r="B684" s="5">
        <v>46020</v>
      </c>
      <c r="C684" s="1" t="s">
        <v>31</v>
      </c>
      <c r="D684" s="1" t="s">
        <v>34</v>
      </c>
      <c r="E684" s="1" t="s">
        <v>88</v>
      </c>
      <c r="F684" s="1" t="s">
        <v>89</v>
      </c>
      <c r="G684" s="1" t="s">
        <v>1231</v>
      </c>
      <c r="H684" s="6">
        <v>1</v>
      </c>
      <c r="I684" s="7">
        <v>1255</v>
      </c>
      <c r="J684" s="5">
        <v>46018</v>
      </c>
      <c r="K684" s="1" t="s">
        <v>957</v>
      </c>
      <c r="L684" s="1" t="s">
        <v>30</v>
      </c>
      <c r="M684" s="8">
        <v>0</v>
      </c>
      <c r="N684" s="6"/>
      <c r="O684" s="6"/>
      <c r="P684" s="9">
        <v>605.71</v>
      </c>
    </row>
    <row r="685" spans="1:16" ht="19.5" customHeight="1">
      <c r="A685" s="1" t="s">
        <v>1938</v>
      </c>
      <c r="B685" s="5">
        <v>46020</v>
      </c>
      <c r="C685" s="1" t="s">
        <v>35</v>
      </c>
      <c r="D685" s="1" t="s">
        <v>36</v>
      </c>
      <c r="E685" s="1" t="s">
        <v>88</v>
      </c>
      <c r="F685" s="1" t="s">
        <v>89</v>
      </c>
      <c r="G685" s="1" t="s">
        <v>1231</v>
      </c>
      <c r="H685" s="6">
        <v>1</v>
      </c>
      <c r="I685" s="7">
        <v>1255</v>
      </c>
      <c r="J685" s="5">
        <v>46018</v>
      </c>
      <c r="K685" s="1" t="s">
        <v>957</v>
      </c>
      <c r="L685" s="1" t="s">
        <v>30</v>
      </c>
      <c r="M685" s="8">
        <v>0.43</v>
      </c>
      <c r="N685" s="6"/>
      <c r="O685" s="6"/>
      <c r="P685" s="9">
        <v>-539.65</v>
      </c>
    </row>
    <row r="686" spans="1:16" ht="19.5" customHeight="1">
      <c r="A686" s="1" t="s">
        <v>1938</v>
      </c>
      <c r="B686" s="5">
        <v>46020</v>
      </c>
      <c r="C686" s="1" t="s">
        <v>17</v>
      </c>
      <c r="D686" s="1" t="s">
        <v>37</v>
      </c>
      <c r="E686" s="1" t="s">
        <v>88</v>
      </c>
      <c r="F686" s="1" t="s">
        <v>89</v>
      </c>
      <c r="G686" s="1" t="s">
        <v>1231</v>
      </c>
      <c r="H686" s="6">
        <v>1</v>
      </c>
      <c r="I686" s="7">
        <v>1255</v>
      </c>
      <c r="J686" s="5">
        <v>46018</v>
      </c>
      <c r="K686" s="1" t="s">
        <v>957</v>
      </c>
      <c r="L686" s="1" t="s">
        <v>30</v>
      </c>
      <c r="M686" s="8">
        <v>0.43</v>
      </c>
      <c r="N686" s="6"/>
      <c r="O686" s="6"/>
      <c r="P686" s="9">
        <v>-6.73</v>
      </c>
    </row>
    <row r="687" spans="1:16" ht="19.5" customHeight="1">
      <c r="A687" s="1" t="s">
        <v>1937</v>
      </c>
      <c r="B687" s="5">
        <v>46020</v>
      </c>
      <c r="C687" s="1" t="s">
        <v>17</v>
      </c>
      <c r="D687" s="1" t="s">
        <v>18</v>
      </c>
      <c r="E687" s="1" t="s">
        <v>25</v>
      </c>
      <c r="F687" s="1" t="s">
        <v>26</v>
      </c>
      <c r="G687" s="1" t="s">
        <v>1229</v>
      </c>
      <c r="H687" s="6">
        <v>1</v>
      </c>
      <c r="I687" s="7">
        <v>0</v>
      </c>
      <c r="J687" s="5">
        <v>46018</v>
      </c>
      <c r="K687" s="1" t="s">
        <v>22</v>
      </c>
      <c r="L687" s="1" t="s">
        <v>22</v>
      </c>
      <c r="M687" s="8">
        <v>0</v>
      </c>
      <c r="N687" s="6"/>
      <c r="O687" s="6"/>
      <c r="P687" s="9">
        <v>-11.13</v>
      </c>
    </row>
    <row r="688" spans="1:16" ht="19.5" customHeight="1">
      <c r="A688" s="1" t="s">
        <v>1939</v>
      </c>
      <c r="B688" s="5">
        <v>46020</v>
      </c>
      <c r="C688" s="1" t="s">
        <v>28</v>
      </c>
      <c r="D688" s="1" t="s">
        <v>29</v>
      </c>
      <c r="E688" s="1" t="s">
        <v>25</v>
      </c>
      <c r="F688" s="1" t="s">
        <v>26</v>
      </c>
      <c r="G688" s="1" t="s">
        <v>1229</v>
      </c>
      <c r="H688" s="6">
        <v>1</v>
      </c>
      <c r="I688" s="7">
        <v>1704</v>
      </c>
      <c r="J688" s="5">
        <v>46013</v>
      </c>
      <c r="K688" s="1" t="s">
        <v>957</v>
      </c>
      <c r="L688" s="1" t="s">
        <v>30</v>
      </c>
      <c r="M688" s="8">
        <v>0.43</v>
      </c>
      <c r="N688" s="6"/>
      <c r="O688" s="6">
        <v>42</v>
      </c>
      <c r="P688" s="9">
        <v>-121.99</v>
      </c>
    </row>
    <row r="689" spans="1:16" ht="19.5" customHeight="1">
      <c r="A689" s="1" t="s">
        <v>1939</v>
      </c>
      <c r="B689" s="5">
        <v>46020</v>
      </c>
      <c r="C689" s="1" t="s">
        <v>31</v>
      </c>
      <c r="D689" s="1" t="s">
        <v>32</v>
      </c>
      <c r="E689" s="1" t="s">
        <v>25</v>
      </c>
      <c r="F689" s="1" t="s">
        <v>26</v>
      </c>
      <c r="G689" s="1" t="s">
        <v>1229</v>
      </c>
      <c r="H689" s="6">
        <v>1</v>
      </c>
      <c r="I689" s="7">
        <v>1704</v>
      </c>
      <c r="J689" s="5">
        <v>46013</v>
      </c>
      <c r="K689" s="1" t="s">
        <v>957</v>
      </c>
      <c r="L689" s="1" t="s">
        <v>30</v>
      </c>
      <c r="M689" s="8">
        <v>0</v>
      </c>
      <c r="N689" s="6"/>
      <c r="O689" s="6"/>
      <c r="P689" s="9">
        <v>585.16</v>
      </c>
    </row>
    <row r="690" spans="1:16" ht="19.5" customHeight="1">
      <c r="A690" s="1" t="s">
        <v>1939</v>
      </c>
      <c r="B690" s="5">
        <v>46020</v>
      </c>
      <c r="C690" s="1" t="s">
        <v>31</v>
      </c>
      <c r="D690" s="1" t="s">
        <v>33</v>
      </c>
      <c r="E690" s="1" t="s">
        <v>25</v>
      </c>
      <c r="F690" s="1" t="s">
        <v>26</v>
      </c>
      <c r="G690" s="1" t="s">
        <v>1229</v>
      </c>
      <c r="H690" s="6">
        <v>1</v>
      </c>
      <c r="I690" s="7">
        <v>1704</v>
      </c>
      <c r="J690" s="5">
        <v>46013</v>
      </c>
      <c r="K690" s="1" t="s">
        <v>957</v>
      </c>
      <c r="L690" s="1" t="s">
        <v>30</v>
      </c>
      <c r="M690" s="8">
        <v>0</v>
      </c>
      <c r="N690" s="6"/>
      <c r="O690" s="6"/>
      <c r="P690" s="9">
        <v>5.85</v>
      </c>
    </row>
    <row r="691" spans="1:16" ht="19.5" customHeight="1">
      <c r="A691" s="1" t="s">
        <v>1939</v>
      </c>
      <c r="B691" s="5">
        <v>46020</v>
      </c>
      <c r="C691" s="1" t="s">
        <v>31</v>
      </c>
      <c r="D691" s="1" t="s">
        <v>34</v>
      </c>
      <c r="E691" s="1" t="s">
        <v>25</v>
      </c>
      <c r="F691" s="1" t="s">
        <v>26</v>
      </c>
      <c r="G691" s="1" t="s">
        <v>1229</v>
      </c>
      <c r="H691" s="6">
        <v>1</v>
      </c>
      <c r="I691" s="7">
        <v>1704</v>
      </c>
      <c r="J691" s="5">
        <v>46013</v>
      </c>
      <c r="K691" s="1" t="s">
        <v>957</v>
      </c>
      <c r="L691" s="1" t="s">
        <v>30</v>
      </c>
      <c r="M691" s="8">
        <v>0</v>
      </c>
      <c r="N691" s="6"/>
      <c r="O691" s="6"/>
      <c r="P691" s="9">
        <v>1112.99</v>
      </c>
    </row>
    <row r="692" spans="1:16" ht="19.5" customHeight="1">
      <c r="A692" s="1" t="s">
        <v>1939</v>
      </c>
      <c r="B692" s="5">
        <v>46020</v>
      </c>
      <c r="C692" s="1" t="s">
        <v>35</v>
      </c>
      <c r="D692" s="1" t="s">
        <v>36</v>
      </c>
      <c r="E692" s="1" t="s">
        <v>25</v>
      </c>
      <c r="F692" s="1" t="s">
        <v>26</v>
      </c>
      <c r="G692" s="1" t="s">
        <v>1229</v>
      </c>
      <c r="H692" s="6">
        <v>1</v>
      </c>
      <c r="I692" s="7">
        <v>1704</v>
      </c>
      <c r="J692" s="5">
        <v>46013</v>
      </c>
      <c r="K692" s="1" t="s">
        <v>957</v>
      </c>
      <c r="L692" s="1" t="s">
        <v>30</v>
      </c>
      <c r="M692" s="8">
        <v>0.43</v>
      </c>
      <c r="N692" s="6"/>
      <c r="O692" s="6"/>
      <c r="P692" s="9">
        <v>-732.72</v>
      </c>
    </row>
    <row r="693" spans="1:16" ht="19.5" customHeight="1">
      <c r="A693" s="1" t="s">
        <v>1939</v>
      </c>
      <c r="B693" s="5">
        <v>46020</v>
      </c>
      <c r="C693" s="1" t="s">
        <v>17</v>
      </c>
      <c r="D693" s="1" t="s">
        <v>37</v>
      </c>
      <c r="E693" s="1" t="s">
        <v>25</v>
      </c>
      <c r="F693" s="1" t="s">
        <v>26</v>
      </c>
      <c r="G693" s="1" t="s">
        <v>1229</v>
      </c>
      <c r="H693" s="6">
        <v>1</v>
      </c>
      <c r="I693" s="7">
        <v>1704</v>
      </c>
      <c r="J693" s="5">
        <v>46013</v>
      </c>
      <c r="K693" s="1" t="s">
        <v>957</v>
      </c>
      <c r="L693" s="1" t="s">
        <v>30</v>
      </c>
      <c r="M693" s="8">
        <v>0.43</v>
      </c>
      <c r="N693" s="6"/>
      <c r="O693" s="6"/>
      <c r="P693" s="9">
        <v>-25</v>
      </c>
    </row>
    <row r="694" spans="1:16" ht="19.5" customHeight="1">
      <c r="A694" s="1" t="s">
        <v>1940</v>
      </c>
      <c r="B694" s="5">
        <v>46020</v>
      </c>
      <c r="C694" s="1" t="s">
        <v>28</v>
      </c>
      <c r="D694" s="1" t="s">
        <v>29</v>
      </c>
      <c r="E694" s="1" t="s">
        <v>25</v>
      </c>
      <c r="F694" s="1" t="s">
        <v>26</v>
      </c>
      <c r="G694" s="1" t="s">
        <v>1229</v>
      </c>
      <c r="H694" s="6">
        <v>1</v>
      </c>
      <c r="I694" s="7">
        <v>1704</v>
      </c>
      <c r="J694" s="5">
        <v>46019</v>
      </c>
      <c r="K694" s="1" t="s">
        <v>957</v>
      </c>
      <c r="L694" s="1" t="s">
        <v>30</v>
      </c>
      <c r="M694" s="8">
        <v>0.43</v>
      </c>
      <c r="N694" s="6"/>
      <c r="O694" s="6">
        <v>39</v>
      </c>
      <c r="P694" s="9">
        <v>-110.12</v>
      </c>
    </row>
    <row r="695" spans="1:16" ht="19.5" customHeight="1">
      <c r="A695" s="1" t="s">
        <v>1940</v>
      </c>
      <c r="B695" s="5">
        <v>46020</v>
      </c>
      <c r="C695" s="1" t="s">
        <v>31</v>
      </c>
      <c r="D695" s="1" t="s">
        <v>32</v>
      </c>
      <c r="E695" s="1" t="s">
        <v>25</v>
      </c>
      <c r="F695" s="1" t="s">
        <v>26</v>
      </c>
      <c r="G695" s="1" t="s">
        <v>1229</v>
      </c>
      <c r="H695" s="6">
        <v>1</v>
      </c>
      <c r="I695" s="7">
        <v>1704</v>
      </c>
      <c r="J695" s="5">
        <v>46019</v>
      </c>
      <c r="K695" s="1" t="s">
        <v>957</v>
      </c>
      <c r="L695" s="1" t="s">
        <v>30</v>
      </c>
      <c r="M695" s="8">
        <v>0</v>
      </c>
      <c r="N695" s="6"/>
      <c r="O695" s="6"/>
      <c r="P695" s="9">
        <v>585.71</v>
      </c>
    </row>
    <row r="696" spans="1:16" ht="19.5" customHeight="1">
      <c r="A696" s="1" t="s">
        <v>1940</v>
      </c>
      <c r="B696" s="5">
        <v>46020</v>
      </c>
      <c r="C696" s="1" t="s">
        <v>31</v>
      </c>
      <c r="D696" s="1" t="s">
        <v>33</v>
      </c>
      <c r="E696" s="1" t="s">
        <v>25</v>
      </c>
      <c r="F696" s="1" t="s">
        <v>26</v>
      </c>
      <c r="G696" s="1" t="s">
        <v>1229</v>
      </c>
      <c r="H696" s="6">
        <v>1</v>
      </c>
      <c r="I696" s="7">
        <v>1704</v>
      </c>
      <c r="J696" s="5">
        <v>46019</v>
      </c>
      <c r="K696" s="1" t="s">
        <v>957</v>
      </c>
      <c r="L696" s="1" t="s">
        <v>30</v>
      </c>
      <c r="M696" s="8">
        <v>0</v>
      </c>
      <c r="N696" s="6"/>
      <c r="O696" s="6"/>
      <c r="P696" s="9">
        <v>5.86</v>
      </c>
    </row>
    <row r="697" spans="1:16" ht="19.5" customHeight="1">
      <c r="A697" s="1" t="s">
        <v>1940</v>
      </c>
      <c r="B697" s="5">
        <v>46020</v>
      </c>
      <c r="C697" s="1" t="s">
        <v>31</v>
      </c>
      <c r="D697" s="1" t="s">
        <v>34</v>
      </c>
      <c r="E697" s="1" t="s">
        <v>25</v>
      </c>
      <c r="F697" s="1" t="s">
        <v>26</v>
      </c>
      <c r="G697" s="1" t="s">
        <v>1229</v>
      </c>
      <c r="H697" s="6">
        <v>1</v>
      </c>
      <c r="I697" s="7">
        <v>1704</v>
      </c>
      <c r="J697" s="5">
        <v>46019</v>
      </c>
      <c r="K697" s="1" t="s">
        <v>957</v>
      </c>
      <c r="L697" s="1" t="s">
        <v>30</v>
      </c>
      <c r="M697" s="8">
        <v>0</v>
      </c>
      <c r="N697" s="6"/>
      <c r="O697" s="6"/>
      <c r="P697" s="9">
        <v>1112.43</v>
      </c>
    </row>
    <row r="698" spans="1:16" ht="19.5" customHeight="1">
      <c r="A698" s="1" t="s">
        <v>1940</v>
      </c>
      <c r="B698" s="5">
        <v>46020</v>
      </c>
      <c r="C698" s="1" t="s">
        <v>35</v>
      </c>
      <c r="D698" s="1" t="s">
        <v>36</v>
      </c>
      <c r="E698" s="1" t="s">
        <v>25</v>
      </c>
      <c r="F698" s="1" t="s">
        <v>26</v>
      </c>
      <c r="G698" s="1" t="s">
        <v>1229</v>
      </c>
      <c r="H698" s="6">
        <v>1</v>
      </c>
      <c r="I698" s="7">
        <v>1704</v>
      </c>
      <c r="J698" s="5">
        <v>46019</v>
      </c>
      <c r="K698" s="1" t="s">
        <v>957</v>
      </c>
      <c r="L698" s="1" t="s">
        <v>30</v>
      </c>
      <c r="M698" s="8">
        <v>0.43</v>
      </c>
      <c r="N698" s="6"/>
      <c r="O698" s="6"/>
      <c r="P698" s="9">
        <v>-732.72</v>
      </c>
    </row>
    <row r="699" spans="1:16" ht="19.5" customHeight="1">
      <c r="A699" s="1" t="s">
        <v>1940</v>
      </c>
      <c r="B699" s="5">
        <v>46020</v>
      </c>
      <c r="C699" s="1" t="s">
        <v>17</v>
      </c>
      <c r="D699" s="1" t="s">
        <v>37</v>
      </c>
      <c r="E699" s="1" t="s">
        <v>25</v>
      </c>
      <c r="F699" s="1" t="s">
        <v>26</v>
      </c>
      <c r="G699" s="1" t="s">
        <v>1229</v>
      </c>
      <c r="H699" s="6">
        <v>1</v>
      </c>
      <c r="I699" s="7">
        <v>1704</v>
      </c>
      <c r="J699" s="5">
        <v>46019</v>
      </c>
      <c r="K699" s="1" t="s">
        <v>957</v>
      </c>
      <c r="L699" s="1" t="s">
        <v>30</v>
      </c>
      <c r="M699" s="8">
        <v>0.43</v>
      </c>
      <c r="N699" s="6"/>
      <c r="O699" s="6"/>
      <c r="P699" s="9">
        <v>-9.56</v>
      </c>
    </row>
    <row r="700" spans="1:16" ht="19.5" customHeight="1">
      <c r="A700" s="1" t="s">
        <v>1941</v>
      </c>
      <c r="B700" s="5">
        <v>46020</v>
      </c>
      <c r="C700" s="1" t="s">
        <v>28</v>
      </c>
      <c r="D700" s="1" t="s">
        <v>29</v>
      </c>
      <c r="E700" s="1" t="s">
        <v>25</v>
      </c>
      <c r="F700" s="1" t="s">
        <v>26</v>
      </c>
      <c r="G700" s="1" t="s">
        <v>1229</v>
      </c>
      <c r="H700" s="6">
        <v>1</v>
      </c>
      <c r="I700" s="7">
        <v>1704</v>
      </c>
      <c r="J700" s="5">
        <v>46018</v>
      </c>
      <c r="K700" s="1" t="s">
        <v>957</v>
      </c>
      <c r="L700" s="1" t="s">
        <v>30</v>
      </c>
      <c r="M700" s="8">
        <v>0.43</v>
      </c>
      <c r="N700" s="6"/>
      <c r="O700" s="6">
        <v>39</v>
      </c>
      <c r="P700" s="9">
        <v>-108.98</v>
      </c>
    </row>
    <row r="701" spans="1:16" ht="19.5" customHeight="1">
      <c r="A701" s="1" t="s">
        <v>1941</v>
      </c>
      <c r="B701" s="5">
        <v>46020</v>
      </c>
      <c r="C701" s="1" t="s">
        <v>31</v>
      </c>
      <c r="D701" s="1" t="s">
        <v>32</v>
      </c>
      <c r="E701" s="1" t="s">
        <v>25</v>
      </c>
      <c r="F701" s="1" t="s">
        <v>26</v>
      </c>
      <c r="G701" s="1" t="s">
        <v>1229</v>
      </c>
      <c r="H701" s="6">
        <v>1</v>
      </c>
      <c r="I701" s="7">
        <v>1704</v>
      </c>
      <c r="J701" s="5">
        <v>46018</v>
      </c>
      <c r="K701" s="1" t="s">
        <v>957</v>
      </c>
      <c r="L701" s="1" t="s">
        <v>30</v>
      </c>
      <c r="M701" s="8">
        <v>0</v>
      </c>
      <c r="N701" s="6"/>
      <c r="O701" s="6"/>
      <c r="P701" s="9">
        <v>649.52</v>
      </c>
    </row>
    <row r="702" spans="1:16" ht="19.5" customHeight="1">
      <c r="A702" s="1" t="s">
        <v>1941</v>
      </c>
      <c r="B702" s="5">
        <v>46020</v>
      </c>
      <c r="C702" s="1" t="s">
        <v>31</v>
      </c>
      <c r="D702" s="1" t="s">
        <v>33</v>
      </c>
      <c r="E702" s="1" t="s">
        <v>25</v>
      </c>
      <c r="F702" s="1" t="s">
        <v>26</v>
      </c>
      <c r="G702" s="1" t="s">
        <v>1229</v>
      </c>
      <c r="H702" s="6">
        <v>1</v>
      </c>
      <c r="I702" s="7">
        <v>1704</v>
      </c>
      <c r="J702" s="5">
        <v>46018</v>
      </c>
      <c r="K702" s="1" t="s">
        <v>957</v>
      </c>
      <c r="L702" s="1" t="s">
        <v>30</v>
      </c>
      <c r="M702" s="8">
        <v>0</v>
      </c>
      <c r="N702" s="6"/>
      <c r="O702" s="6"/>
      <c r="P702" s="9">
        <v>0</v>
      </c>
    </row>
    <row r="703" spans="1:16" ht="19.5" customHeight="1">
      <c r="A703" s="1" t="s">
        <v>1941</v>
      </c>
      <c r="B703" s="5">
        <v>46020</v>
      </c>
      <c r="C703" s="1" t="s">
        <v>31</v>
      </c>
      <c r="D703" s="1" t="s">
        <v>34</v>
      </c>
      <c r="E703" s="1" t="s">
        <v>25</v>
      </c>
      <c r="F703" s="1" t="s">
        <v>26</v>
      </c>
      <c r="G703" s="1" t="s">
        <v>1229</v>
      </c>
      <c r="H703" s="6">
        <v>1</v>
      </c>
      <c r="I703" s="7">
        <v>1704</v>
      </c>
      <c r="J703" s="5">
        <v>46018</v>
      </c>
      <c r="K703" s="1" t="s">
        <v>957</v>
      </c>
      <c r="L703" s="1" t="s">
        <v>30</v>
      </c>
      <c r="M703" s="8">
        <v>0</v>
      </c>
      <c r="N703" s="6"/>
      <c r="O703" s="6"/>
      <c r="P703" s="9">
        <v>1054.48</v>
      </c>
    </row>
    <row r="704" spans="1:16" ht="19.5" customHeight="1">
      <c r="A704" s="1" t="s">
        <v>1941</v>
      </c>
      <c r="B704" s="5">
        <v>46020</v>
      </c>
      <c r="C704" s="1" t="s">
        <v>35</v>
      </c>
      <c r="D704" s="1" t="s">
        <v>36</v>
      </c>
      <c r="E704" s="1" t="s">
        <v>25</v>
      </c>
      <c r="F704" s="1" t="s">
        <v>26</v>
      </c>
      <c r="G704" s="1" t="s">
        <v>1229</v>
      </c>
      <c r="H704" s="6">
        <v>1</v>
      </c>
      <c r="I704" s="7">
        <v>1704</v>
      </c>
      <c r="J704" s="5">
        <v>46018</v>
      </c>
      <c r="K704" s="1" t="s">
        <v>957</v>
      </c>
      <c r="L704" s="1" t="s">
        <v>30</v>
      </c>
      <c r="M704" s="8">
        <v>0.43</v>
      </c>
      <c r="N704" s="6"/>
      <c r="O704" s="6"/>
      <c r="P704" s="9">
        <v>-732.72</v>
      </c>
    </row>
    <row r="705" spans="1:16" ht="19.5" customHeight="1">
      <c r="A705" s="1" t="s">
        <v>1941</v>
      </c>
      <c r="B705" s="5">
        <v>46020</v>
      </c>
      <c r="C705" s="1" t="s">
        <v>17</v>
      </c>
      <c r="D705" s="1" t="s">
        <v>37</v>
      </c>
      <c r="E705" s="1" t="s">
        <v>25</v>
      </c>
      <c r="F705" s="1" t="s">
        <v>26</v>
      </c>
      <c r="G705" s="1" t="s">
        <v>1229</v>
      </c>
      <c r="H705" s="6">
        <v>1</v>
      </c>
      <c r="I705" s="7">
        <v>1704</v>
      </c>
      <c r="J705" s="5">
        <v>46018</v>
      </c>
      <c r="K705" s="1" t="s">
        <v>957</v>
      </c>
      <c r="L705" s="1" t="s">
        <v>30</v>
      </c>
      <c r="M705" s="8">
        <v>0.43</v>
      </c>
      <c r="N705" s="6"/>
      <c r="O705" s="6"/>
      <c r="P705" s="9">
        <v>-8.85</v>
      </c>
    </row>
    <row r="706" spans="1:16" ht="19.5" customHeight="1">
      <c r="A706" s="1" t="s">
        <v>1942</v>
      </c>
      <c r="B706" s="5">
        <v>46020</v>
      </c>
      <c r="C706" s="1" t="s">
        <v>28</v>
      </c>
      <c r="D706" s="1" t="s">
        <v>29</v>
      </c>
      <c r="E706" s="1" t="s">
        <v>223</v>
      </c>
      <c r="F706" s="1" t="s">
        <v>395</v>
      </c>
      <c r="G706" s="1" t="s">
        <v>1229</v>
      </c>
      <c r="H706" s="6">
        <v>1</v>
      </c>
      <c r="I706" s="7">
        <v>1687</v>
      </c>
      <c r="J706" s="5">
        <v>46017</v>
      </c>
      <c r="K706" s="1" t="s">
        <v>957</v>
      </c>
      <c r="L706" s="1" t="s">
        <v>30</v>
      </c>
      <c r="M706" s="8">
        <v>0.43</v>
      </c>
      <c r="N706" s="6"/>
      <c r="O706" s="6">
        <v>38</v>
      </c>
      <c r="P706" s="9">
        <v>-103.35</v>
      </c>
    </row>
    <row r="707" spans="1:16" ht="19.5" customHeight="1">
      <c r="A707" s="1" t="s">
        <v>1942</v>
      </c>
      <c r="B707" s="5">
        <v>46020</v>
      </c>
      <c r="C707" s="1" t="s">
        <v>31</v>
      </c>
      <c r="D707" s="1" t="s">
        <v>32</v>
      </c>
      <c r="E707" s="1" t="s">
        <v>223</v>
      </c>
      <c r="F707" s="1" t="s">
        <v>395</v>
      </c>
      <c r="G707" s="1" t="s">
        <v>1229</v>
      </c>
      <c r="H707" s="6">
        <v>1</v>
      </c>
      <c r="I707" s="7">
        <v>1687</v>
      </c>
      <c r="J707" s="5">
        <v>46017</v>
      </c>
      <c r="K707" s="1" t="s">
        <v>957</v>
      </c>
      <c r="L707" s="1" t="s">
        <v>30</v>
      </c>
      <c r="M707" s="8">
        <v>0</v>
      </c>
      <c r="N707" s="6"/>
      <c r="O707" s="6"/>
      <c r="P707" s="9">
        <v>578.9</v>
      </c>
    </row>
    <row r="708" spans="1:16" ht="19.5" customHeight="1">
      <c r="A708" s="1" t="s">
        <v>1942</v>
      </c>
      <c r="B708" s="5">
        <v>46020</v>
      </c>
      <c r="C708" s="1" t="s">
        <v>31</v>
      </c>
      <c r="D708" s="1" t="s">
        <v>33</v>
      </c>
      <c r="E708" s="1" t="s">
        <v>223</v>
      </c>
      <c r="F708" s="1" t="s">
        <v>395</v>
      </c>
      <c r="G708" s="1" t="s">
        <v>1229</v>
      </c>
      <c r="H708" s="6">
        <v>1</v>
      </c>
      <c r="I708" s="7">
        <v>1687</v>
      </c>
      <c r="J708" s="5">
        <v>46017</v>
      </c>
      <c r="K708" s="1" t="s">
        <v>957</v>
      </c>
      <c r="L708" s="1" t="s">
        <v>30</v>
      </c>
      <c r="M708" s="8">
        <v>0</v>
      </c>
      <c r="N708" s="6"/>
      <c r="O708" s="6"/>
      <c r="P708" s="9">
        <v>5.79</v>
      </c>
    </row>
    <row r="709" spans="1:16" ht="19.5" customHeight="1">
      <c r="A709" s="1" t="s">
        <v>1942</v>
      </c>
      <c r="B709" s="5">
        <v>46020</v>
      </c>
      <c r="C709" s="1" t="s">
        <v>31</v>
      </c>
      <c r="D709" s="1" t="s">
        <v>34</v>
      </c>
      <c r="E709" s="1" t="s">
        <v>223</v>
      </c>
      <c r="F709" s="1" t="s">
        <v>395</v>
      </c>
      <c r="G709" s="1" t="s">
        <v>1229</v>
      </c>
      <c r="H709" s="6">
        <v>1</v>
      </c>
      <c r="I709" s="7">
        <v>1687</v>
      </c>
      <c r="J709" s="5">
        <v>46017</v>
      </c>
      <c r="K709" s="1" t="s">
        <v>957</v>
      </c>
      <c r="L709" s="1" t="s">
        <v>30</v>
      </c>
      <c r="M709" s="8">
        <v>0</v>
      </c>
      <c r="N709" s="6"/>
      <c r="O709" s="6"/>
      <c r="P709" s="9">
        <v>1102.31</v>
      </c>
    </row>
    <row r="710" spans="1:16" ht="19.5" customHeight="1">
      <c r="A710" s="1" t="s">
        <v>1942</v>
      </c>
      <c r="B710" s="5">
        <v>46020</v>
      </c>
      <c r="C710" s="1" t="s">
        <v>35</v>
      </c>
      <c r="D710" s="1" t="s">
        <v>36</v>
      </c>
      <c r="E710" s="1" t="s">
        <v>223</v>
      </c>
      <c r="F710" s="1" t="s">
        <v>395</v>
      </c>
      <c r="G710" s="1" t="s">
        <v>1229</v>
      </c>
      <c r="H710" s="6">
        <v>1</v>
      </c>
      <c r="I710" s="7">
        <v>1687</v>
      </c>
      <c r="J710" s="5">
        <v>46017</v>
      </c>
      <c r="K710" s="1" t="s">
        <v>957</v>
      </c>
      <c r="L710" s="1" t="s">
        <v>30</v>
      </c>
      <c r="M710" s="8">
        <v>0.43</v>
      </c>
      <c r="N710" s="6"/>
      <c r="O710" s="6"/>
      <c r="P710" s="9">
        <v>-725.41</v>
      </c>
    </row>
    <row r="711" spans="1:16" ht="19.5" customHeight="1">
      <c r="A711" s="1" t="s">
        <v>1942</v>
      </c>
      <c r="B711" s="5">
        <v>46020</v>
      </c>
      <c r="C711" s="1" t="s">
        <v>17</v>
      </c>
      <c r="D711" s="1" t="s">
        <v>37</v>
      </c>
      <c r="E711" s="1" t="s">
        <v>223</v>
      </c>
      <c r="F711" s="1" t="s">
        <v>395</v>
      </c>
      <c r="G711" s="1" t="s">
        <v>1229</v>
      </c>
      <c r="H711" s="6">
        <v>1</v>
      </c>
      <c r="I711" s="7">
        <v>1687</v>
      </c>
      <c r="J711" s="5">
        <v>46017</v>
      </c>
      <c r="K711" s="1" t="s">
        <v>957</v>
      </c>
      <c r="L711" s="1" t="s">
        <v>30</v>
      </c>
      <c r="M711" s="8">
        <v>0.43</v>
      </c>
      <c r="N711" s="6"/>
      <c r="O711" s="6"/>
      <c r="P711" s="9">
        <v>-8.76</v>
      </c>
    </row>
    <row r="712" spans="1:16" ht="19.5" customHeight="1">
      <c r="A712" s="1" t="s">
        <v>1943</v>
      </c>
      <c r="B712" s="5">
        <v>46020</v>
      </c>
      <c r="C712" s="1" t="s">
        <v>28</v>
      </c>
      <c r="D712" s="1" t="s">
        <v>29</v>
      </c>
      <c r="E712" s="1" t="s">
        <v>25</v>
      </c>
      <c r="F712" s="1" t="s">
        <v>26</v>
      </c>
      <c r="G712" s="1" t="s">
        <v>1229</v>
      </c>
      <c r="H712" s="6">
        <v>1</v>
      </c>
      <c r="I712" s="7">
        <v>0</v>
      </c>
      <c r="J712" s="5">
        <v>46012</v>
      </c>
      <c r="K712" s="1" t="s">
        <v>957</v>
      </c>
      <c r="L712" s="1" t="s">
        <v>30</v>
      </c>
      <c r="M712" s="8">
        <v>0</v>
      </c>
      <c r="N712" s="6"/>
      <c r="O712" s="6">
        <v>40</v>
      </c>
      <c r="P712" s="9">
        <v>-46.77</v>
      </c>
    </row>
    <row r="713" spans="1:16" ht="19.5" customHeight="1">
      <c r="A713" s="1" t="s">
        <v>1943</v>
      </c>
      <c r="B713" s="5">
        <v>46020</v>
      </c>
      <c r="C713" s="1" t="s">
        <v>17</v>
      </c>
      <c r="D713" s="1" t="s">
        <v>37</v>
      </c>
      <c r="E713" s="1" t="s">
        <v>25</v>
      </c>
      <c r="F713" s="1" t="s">
        <v>26</v>
      </c>
      <c r="G713" s="1" t="s">
        <v>1229</v>
      </c>
      <c r="H713" s="6">
        <v>1</v>
      </c>
      <c r="I713" s="7">
        <v>0</v>
      </c>
      <c r="J713" s="5">
        <v>46012</v>
      </c>
      <c r="K713" s="1" t="s">
        <v>957</v>
      </c>
      <c r="L713" s="1" t="s">
        <v>30</v>
      </c>
      <c r="M713" s="8">
        <v>0</v>
      </c>
      <c r="N713" s="6"/>
      <c r="O713" s="6"/>
      <c r="P713" s="9">
        <v>-22.47</v>
      </c>
    </row>
    <row r="714" spans="1:16" ht="19.5" customHeight="1">
      <c r="A714" s="1" t="s">
        <v>1943</v>
      </c>
      <c r="B714" s="5">
        <v>46020</v>
      </c>
      <c r="C714" s="1" t="s">
        <v>28</v>
      </c>
      <c r="D714" s="1" t="s">
        <v>45</v>
      </c>
      <c r="E714" s="1" t="s">
        <v>25</v>
      </c>
      <c r="F714" s="1" t="s">
        <v>26</v>
      </c>
      <c r="G714" s="1" t="s">
        <v>1229</v>
      </c>
      <c r="H714" s="6">
        <v>1</v>
      </c>
      <c r="I714" s="7">
        <v>0</v>
      </c>
      <c r="J714" s="5">
        <v>46012</v>
      </c>
      <c r="K714" s="1" t="s">
        <v>957</v>
      </c>
      <c r="L714" s="1" t="s">
        <v>30</v>
      </c>
      <c r="M714" s="8">
        <v>0</v>
      </c>
      <c r="N714" s="6"/>
      <c r="O714" s="6"/>
      <c r="P714" s="9">
        <v>0</v>
      </c>
    </row>
    <row r="715" spans="1:16" ht="19.5" customHeight="1">
      <c r="A715" s="1" t="s">
        <v>1943</v>
      </c>
      <c r="B715" s="5">
        <v>46020</v>
      </c>
      <c r="C715" s="1" t="s">
        <v>28</v>
      </c>
      <c r="D715" s="1" t="s">
        <v>46</v>
      </c>
      <c r="E715" s="1" t="s">
        <v>25</v>
      </c>
      <c r="F715" s="1" t="s">
        <v>26</v>
      </c>
      <c r="G715" s="1" t="s">
        <v>1229</v>
      </c>
      <c r="H715" s="6">
        <v>1</v>
      </c>
      <c r="I715" s="7">
        <v>0</v>
      </c>
      <c r="J715" s="5">
        <v>46012</v>
      </c>
      <c r="K715" s="1" t="s">
        <v>957</v>
      </c>
      <c r="L715" s="1" t="s">
        <v>30</v>
      </c>
      <c r="M715" s="8">
        <v>0</v>
      </c>
      <c r="N715" s="6"/>
      <c r="O715" s="6"/>
      <c r="P715" s="9">
        <v>-46.77</v>
      </c>
    </row>
    <row r="716" spans="1:16" ht="19.5" customHeight="1">
      <c r="A716" s="1" t="s">
        <v>1941</v>
      </c>
      <c r="B716" s="5">
        <v>46020</v>
      </c>
      <c r="C716" s="1" t="s">
        <v>17</v>
      </c>
      <c r="D716" s="1" t="s">
        <v>18</v>
      </c>
      <c r="E716" s="1" t="s">
        <v>25</v>
      </c>
      <c r="F716" s="1" t="s">
        <v>26</v>
      </c>
      <c r="G716" s="1" t="s">
        <v>1229</v>
      </c>
      <c r="H716" s="6">
        <v>1</v>
      </c>
      <c r="I716" s="7">
        <v>0</v>
      </c>
      <c r="J716" s="5">
        <v>46018</v>
      </c>
      <c r="K716" s="1" t="s">
        <v>22</v>
      </c>
      <c r="L716" s="1" t="s">
        <v>22</v>
      </c>
      <c r="M716" s="8">
        <v>0</v>
      </c>
      <c r="N716" s="6"/>
      <c r="O716" s="6"/>
      <c r="P716" s="9">
        <v>-4.68</v>
      </c>
    </row>
    <row r="717" spans="1:16" ht="19.5" customHeight="1">
      <c r="A717" s="1" t="s">
        <v>1942</v>
      </c>
      <c r="B717" s="5">
        <v>46020</v>
      </c>
      <c r="C717" s="1" t="s">
        <v>17</v>
      </c>
      <c r="D717" s="1" t="s">
        <v>18</v>
      </c>
      <c r="E717" s="1" t="s">
        <v>223</v>
      </c>
      <c r="F717" s="1" t="s">
        <v>395</v>
      </c>
      <c r="G717" s="1" t="s">
        <v>1229</v>
      </c>
      <c r="H717" s="6">
        <v>1</v>
      </c>
      <c r="I717" s="7">
        <v>0</v>
      </c>
      <c r="J717" s="5">
        <v>46017</v>
      </c>
      <c r="K717" s="1" t="s">
        <v>22</v>
      </c>
      <c r="L717" s="1" t="s">
        <v>22</v>
      </c>
      <c r="M717" s="8">
        <v>0</v>
      </c>
      <c r="N717" s="6"/>
      <c r="O717" s="6"/>
      <c r="P717" s="9">
        <v>-11</v>
      </c>
    </row>
    <row r="718" spans="1:16" ht="19.5" customHeight="1">
      <c r="A718" s="1" t="s">
        <v>1944</v>
      </c>
      <c r="B718" s="5">
        <v>46020</v>
      </c>
      <c r="C718" s="1" t="s">
        <v>28</v>
      </c>
      <c r="D718" s="1" t="s">
        <v>29</v>
      </c>
      <c r="E718" s="1" t="s">
        <v>25</v>
      </c>
      <c r="F718" s="1" t="s">
        <v>26</v>
      </c>
      <c r="G718" s="1" t="s">
        <v>1229</v>
      </c>
      <c r="H718" s="6">
        <v>1</v>
      </c>
      <c r="I718" s="7">
        <v>1704</v>
      </c>
      <c r="J718" s="5">
        <v>46018</v>
      </c>
      <c r="K718" s="1" t="s">
        <v>957</v>
      </c>
      <c r="L718" s="1" t="s">
        <v>30</v>
      </c>
      <c r="M718" s="8">
        <v>0.43</v>
      </c>
      <c r="N718" s="6"/>
      <c r="O718" s="6">
        <v>39</v>
      </c>
      <c r="P718" s="9">
        <v>-110.12</v>
      </c>
    </row>
    <row r="719" spans="1:16" ht="19.5" customHeight="1">
      <c r="A719" s="1" t="s">
        <v>1944</v>
      </c>
      <c r="B719" s="5">
        <v>46020</v>
      </c>
      <c r="C719" s="1" t="s">
        <v>31</v>
      </c>
      <c r="D719" s="1" t="s">
        <v>32</v>
      </c>
      <c r="E719" s="1" t="s">
        <v>25</v>
      </c>
      <c r="F719" s="1" t="s">
        <v>26</v>
      </c>
      <c r="G719" s="1" t="s">
        <v>1229</v>
      </c>
      <c r="H719" s="6">
        <v>1</v>
      </c>
      <c r="I719" s="7">
        <v>1704</v>
      </c>
      <c r="J719" s="5">
        <v>46018</v>
      </c>
      <c r="K719" s="1" t="s">
        <v>957</v>
      </c>
      <c r="L719" s="1" t="s">
        <v>30</v>
      </c>
      <c r="M719" s="8">
        <v>0</v>
      </c>
      <c r="N719" s="6"/>
      <c r="O719" s="6"/>
      <c r="P719" s="9">
        <v>585.16</v>
      </c>
    </row>
    <row r="720" spans="1:16" ht="19.5" customHeight="1">
      <c r="A720" s="1" t="s">
        <v>1944</v>
      </c>
      <c r="B720" s="5">
        <v>46020</v>
      </c>
      <c r="C720" s="1" t="s">
        <v>31</v>
      </c>
      <c r="D720" s="1" t="s">
        <v>33</v>
      </c>
      <c r="E720" s="1" t="s">
        <v>25</v>
      </c>
      <c r="F720" s="1" t="s">
        <v>26</v>
      </c>
      <c r="G720" s="1" t="s">
        <v>1229</v>
      </c>
      <c r="H720" s="6">
        <v>1</v>
      </c>
      <c r="I720" s="7">
        <v>1704</v>
      </c>
      <c r="J720" s="5">
        <v>46018</v>
      </c>
      <c r="K720" s="1" t="s">
        <v>957</v>
      </c>
      <c r="L720" s="1" t="s">
        <v>30</v>
      </c>
      <c r="M720" s="8">
        <v>0</v>
      </c>
      <c r="N720" s="6"/>
      <c r="O720" s="6"/>
      <c r="P720" s="9">
        <v>5.85</v>
      </c>
    </row>
    <row r="721" spans="1:16" ht="19.5" customHeight="1">
      <c r="A721" s="1" t="s">
        <v>1944</v>
      </c>
      <c r="B721" s="5">
        <v>46020</v>
      </c>
      <c r="C721" s="1" t="s">
        <v>31</v>
      </c>
      <c r="D721" s="1" t="s">
        <v>34</v>
      </c>
      <c r="E721" s="1" t="s">
        <v>25</v>
      </c>
      <c r="F721" s="1" t="s">
        <v>26</v>
      </c>
      <c r="G721" s="1" t="s">
        <v>1229</v>
      </c>
      <c r="H721" s="6">
        <v>1</v>
      </c>
      <c r="I721" s="7">
        <v>1704</v>
      </c>
      <c r="J721" s="5">
        <v>46018</v>
      </c>
      <c r="K721" s="1" t="s">
        <v>957</v>
      </c>
      <c r="L721" s="1" t="s">
        <v>30</v>
      </c>
      <c r="M721" s="8">
        <v>0</v>
      </c>
      <c r="N721" s="6"/>
      <c r="O721" s="6"/>
      <c r="P721" s="9">
        <v>1112.99</v>
      </c>
    </row>
    <row r="722" spans="1:16" ht="19.5" customHeight="1">
      <c r="A722" s="1" t="s">
        <v>1944</v>
      </c>
      <c r="B722" s="5">
        <v>46020</v>
      </c>
      <c r="C722" s="1" t="s">
        <v>35</v>
      </c>
      <c r="D722" s="1" t="s">
        <v>36</v>
      </c>
      <c r="E722" s="1" t="s">
        <v>25</v>
      </c>
      <c r="F722" s="1" t="s">
        <v>26</v>
      </c>
      <c r="G722" s="1" t="s">
        <v>1229</v>
      </c>
      <c r="H722" s="6">
        <v>1</v>
      </c>
      <c r="I722" s="7">
        <v>1704</v>
      </c>
      <c r="J722" s="5">
        <v>46018</v>
      </c>
      <c r="K722" s="1" t="s">
        <v>957</v>
      </c>
      <c r="L722" s="1" t="s">
        <v>30</v>
      </c>
      <c r="M722" s="8">
        <v>0.43</v>
      </c>
      <c r="N722" s="6"/>
      <c r="O722" s="6"/>
      <c r="P722" s="9">
        <v>-732.72</v>
      </c>
    </row>
    <row r="723" spans="1:16" ht="19.5" customHeight="1">
      <c r="A723" s="1" t="s">
        <v>1944</v>
      </c>
      <c r="B723" s="5">
        <v>46020</v>
      </c>
      <c r="C723" s="1" t="s">
        <v>17</v>
      </c>
      <c r="D723" s="1" t="s">
        <v>37</v>
      </c>
      <c r="E723" s="1" t="s">
        <v>25</v>
      </c>
      <c r="F723" s="1" t="s">
        <v>26</v>
      </c>
      <c r="G723" s="1" t="s">
        <v>1229</v>
      </c>
      <c r="H723" s="6">
        <v>1</v>
      </c>
      <c r="I723" s="7">
        <v>1704</v>
      </c>
      <c r="J723" s="5">
        <v>46018</v>
      </c>
      <c r="K723" s="1" t="s">
        <v>957</v>
      </c>
      <c r="L723" s="1" t="s">
        <v>30</v>
      </c>
      <c r="M723" s="8">
        <v>0.43</v>
      </c>
      <c r="N723" s="6"/>
      <c r="O723" s="6"/>
      <c r="P723" s="9">
        <v>-9.6999999999999993</v>
      </c>
    </row>
    <row r="724" spans="1:16" ht="19.5" customHeight="1">
      <c r="A724" s="1" t="s">
        <v>1944</v>
      </c>
      <c r="B724" s="5">
        <v>46020</v>
      </c>
      <c r="C724" s="1" t="s">
        <v>17</v>
      </c>
      <c r="D724" s="1" t="s">
        <v>18</v>
      </c>
      <c r="E724" s="1" t="s">
        <v>25</v>
      </c>
      <c r="F724" s="1" t="s">
        <v>26</v>
      </c>
      <c r="G724" s="1" t="s">
        <v>1229</v>
      </c>
      <c r="H724" s="6">
        <v>1</v>
      </c>
      <c r="I724" s="7">
        <v>0</v>
      </c>
      <c r="J724" s="5">
        <v>46018</v>
      </c>
      <c r="K724" s="1" t="s">
        <v>22</v>
      </c>
      <c r="L724" s="1" t="s">
        <v>22</v>
      </c>
      <c r="M724" s="8">
        <v>0</v>
      </c>
      <c r="N724" s="6"/>
      <c r="O724" s="6"/>
      <c r="P724" s="9">
        <v>-11.12</v>
      </c>
    </row>
    <row r="725" spans="1:16" ht="19.5" customHeight="1">
      <c r="A725" s="1" t="s">
        <v>1945</v>
      </c>
      <c r="B725" s="5">
        <v>46020</v>
      </c>
      <c r="C725" s="1" t="s">
        <v>28</v>
      </c>
      <c r="D725" s="1" t="s">
        <v>29</v>
      </c>
      <c r="E725" s="1" t="s">
        <v>25</v>
      </c>
      <c r="F725" s="1" t="s">
        <v>26</v>
      </c>
      <c r="G725" s="1" t="s">
        <v>1229</v>
      </c>
      <c r="H725" s="6">
        <v>1</v>
      </c>
      <c r="I725" s="7">
        <v>1704</v>
      </c>
      <c r="J725" s="5">
        <v>46019</v>
      </c>
      <c r="K725" s="1" t="s">
        <v>957</v>
      </c>
      <c r="L725" s="1" t="s">
        <v>30</v>
      </c>
      <c r="M725" s="8">
        <v>0.43</v>
      </c>
      <c r="N725" s="6"/>
      <c r="O725" s="6">
        <v>39</v>
      </c>
      <c r="P725" s="9">
        <v>-108.98</v>
      </c>
    </row>
    <row r="726" spans="1:16" ht="19.5" customHeight="1">
      <c r="A726" s="1" t="s">
        <v>1945</v>
      </c>
      <c r="B726" s="5">
        <v>46020</v>
      </c>
      <c r="C726" s="1" t="s">
        <v>31</v>
      </c>
      <c r="D726" s="1" t="s">
        <v>32</v>
      </c>
      <c r="E726" s="1" t="s">
        <v>25</v>
      </c>
      <c r="F726" s="1" t="s">
        <v>26</v>
      </c>
      <c r="G726" s="1" t="s">
        <v>1229</v>
      </c>
      <c r="H726" s="6">
        <v>1</v>
      </c>
      <c r="I726" s="7">
        <v>1704</v>
      </c>
      <c r="J726" s="5">
        <v>46019</v>
      </c>
      <c r="K726" s="1" t="s">
        <v>957</v>
      </c>
      <c r="L726" s="1" t="s">
        <v>30</v>
      </c>
      <c r="M726" s="8">
        <v>0</v>
      </c>
      <c r="N726" s="6"/>
      <c r="O726" s="6"/>
      <c r="P726" s="9">
        <v>585.71</v>
      </c>
    </row>
    <row r="727" spans="1:16" ht="19.5" customHeight="1">
      <c r="A727" s="1" t="s">
        <v>1945</v>
      </c>
      <c r="B727" s="5">
        <v>46020</v>
      </c>
      <c r="C727" s="1" t="s">
        <v>31</v>
      </c>
      <c r="D727" s="1" t="s">
        <v>33</v>
      </c>
      <c r="E727" s="1" t="s">
        <v>25</v>
      </c>
      <c r="F727" s="1" t="s">
        <v>26</v>
      </c>
      <c r="G727" s="1" t="s">
        <v>1229</v>
      </c>
      <c r="H727" s="6">
        <v>1</v>
      </c>
      <c r="I727" s="7">
        <v>1704</v>
      </c>
      <c r="J727" s="5">
        <v>46019</v>
      </c>
      <c r="K727" s="1" t="s">
        <v>957</v>
      </c>
      <c r="L727" s="1" t="s">
        <v>30</v>
      </c>
      <c r="M727" s="8">
        <v>0</v>
      </c>
      <c r="N727" s="6"/>
      <c r="O727" s="6"/>
      <c r="P727" s="9">
        <v>5.86</v>
      </c>
    </row>
    <row r="728" spans="1:16" ht="19.5" customHeight="1">
      <c r="A728" s="1" t="s">
        <v>1945</v>
      </c>
      <c r="B728" s="5">
        <v>46020</v>
      </c>
      <c r="C728" s="1" t="s">
        <v>31</v>
      </c>
      <c r="D728" s="1" t="s">
        <v>34</v>
      </c>
      <c r="E728" s="1" t="s">
        <v>25</v>
      </c>
      <c r="F728" s="1" t="s">
        <v>26</v>
      </c>
      <c r="G728" s="1" t="s">
        <v>1229</v>
      </c>
      <c r="H728" s="6">
        <v>1</v>
      </c>
      <c r="I728" s="7">
        <v>1704</v>
      </c>
      <c r="J728" s="5">
        <v>46019</v>
      </c>
      <c r="K728" s="1" t="s">
        <v>957</v>
      </c>
      <c r="L728" s="1" t="s">
        <v>30</v>
      </c>
      <c r="M728" s="8">
        <v>0</v>
      </c>
      <c r="N728" s="6"/>
      <c r="O728" s="6"/>
      <c r="P728" s="9">
        <v>1112.43</v>
      </c>
    </row>
    <row r="729" spans="1:16" ht="19.5" customHeight="1">
      <c r="A729" s="1" t="s">
        <v>1945</v>
      </c>
      <c r="B729" s="5">
        <v>46020</v>
      </c>
      <c r="C729" s="1" t="s">
        <v>35</v>
      </c>
      <c r="D729" s="1" t="s">
        <v>36</v>
      </c>
      <c r="E729" s="1" t="s">
        <v>25</v>
      </c>
      <c r="F729" s="1" t="s">
        <v>26</v>
      </c>
      <c r="G729" s="1" t="s">
        <v>1229</v>
      </c>
      <c r="H729" s="6">
        <v>1</v>
      </c>
      <c r="I729" s="7">
        <v>1704</v>
      </c>
      <c r="J729" s="5">
        <v>46019</v>
      </c>
      <c r="K729" s="1" t="s">
        <v>957</v>
      </c>
      <c r="L729" s="1" t="s">
        <v>30</v>
      </c>
      <c r="M729" s="8">
        <v>0.43</v>
      </c>
      <c r="N729" s="6"/>
      <c r="O729" s="6"/>
      <c r="P729" s="9">
        <v>-732.72</v>
      </c>
    </row>
    <row r="730" spans="1:16" ht="19.5" customHeight="1">
      <c r="A730" s="1" t="s">
        <v>1945</v>
      </c>
      <c r="B730" s="5">
        <v>46020</v>
      </c>
      <c r="C730" s="1" t="s">
        <v>17</v>
      </c>
      <c r="D730" s="1" t="s">
        <v>37</v>
      </c>
      <c r="E730" s="1" t="s">
        <v>25</v>
      </c>
      <c r="F730" s="1" t="s">
        <v>26</v>
      </c>
      <c r="G730" s="1" t="s">
        <v>1229</v>
      </c>
      <c r="H730" s="6">
        <v>1</v>
      </c>
      <c r="I730" s="7">
        <v>1704</v>
      </c>
      <c r="J730" s="5">
        <v>46019</v>
      </c>
      <c r="K730" s="1" t="s">
        <v>957</v>
      </c>
      <c r="L730" s="1" t="s">
        <v>30</v>
      </c>
      <c r="M730" s="8">
        <v>0.43</v>
      </c>
      <c r="N730" s="6"/>
      <c r="O730" s="6"/>
      <c r="P730" s="9">
        <v>-8.0500000000000007</v>
      </c>
    </row>
    <row r="731" spans="1:16" ht="19.5" customHeight="1">
      <c r="A731" s="1" t="s">
        <v>1946</v>
      </c>
      <c r="B731" s="5">
        <v>46020</v>
      </c>
      <c r="C731" s="1" t="s">
        <v>28</v>
      </c>
      <c r="D731" s="1" t="s">
        <v>29</v>
      </c>
      <c r="E731" s="1" t="s">
        <v>223</v>
      </c>
      <c r="F731" s="1" t="s">
        <v>395</v>
      </c>
      <c r="G731" s="1" t="s">
        <v>1229</v>
      </c>
      <c r="H731" s="6">
        <v>1</v>
      </c>
      <c r="I731" s="7">
        <v>0</v>
      </c>
      <c r="J731" s="5">
        <v>46010</v>
      </c>
      <c r="K731" s="1" t="s">
        <v>957</v>
      </c>
      <c r="L731" s="1" t="s">
        <v>30</v>
      </c>
      <c r="M731" s="8">
        <v>0</v>
      </c>
      <c r="N731" s="6"/>
      <c r="O731" s="6">
        <v>39</v>
      </c>
      <c r="P731" s="9">
        <v>-46</v>
      </c>
    </row>
    <row r="732" spans="1:16" ht="19.5" customHeight="1">
      <c r="A732" s="1" t="s">
        <v>1946</v>
      </c>
      <c r="B732" s="5">
        <v>46020</v>
      </c>
      <c r="C732" s="1" t="s">
        <v>17</v>
      </c>
      <c r="D732" s="1" t="s">
        <v>37</v>
      </c>
      <c r="E732" s="1" t="s">
        <v>223</v>
      </c>
      <c r="F732" s="1" t="s">
        <v>395</v>
      </c>
      <c r="G732" s="1" t="s">
        <v>1229</v>
      </c>
      <c r="H732" s="6">
        <v>1</v>
      </c>
      <c r="I732" s="7">
        <v>0</v>
      </c>
      <c r="J732" s="5">
        <v>46010</v>
      </c>
      <c r="K732" s="1" t="s">
        <v>957</v>
      </c>
      <c r="L732" s="1" t="s">
        <v>30</v>
      </c>
      <c r="M732" s="8">
        <v>0</v>
      </c>
      <c r="N732" s="6"/>
      <c r="O732" s="6"/>
      <c r="P732" s="9">
        <v>-7.9</v>
      </c>
    </row>
    <row r="733" spans="1:16" ht="19.5" customHeight="1">
      <c r="A733" s="1" t="s">
        <v>1946</v>
      </c>
      <c r="B733" s="5">
        <v>46020</v>
      </c>
      <c r="C733" s="1" t="s">
        <v>28</v>
      </c>
      <c r="D733" s="1" t="s">
        <v>45</v>
      </c>
      <c r="E733" s="1" t="s">
        <v>223</v>
      </c>
      <c r="F733" s="1" t="s">
        <v>395</v>
      </c>
      <c r="G733" s="1" t="s">
        <v>1229</v>
      </c>
      <c r="H733" s="6">
        <v>1</v>
      </c>
      <c r="I733" s="7">
        <v>0</v>
      </c>
      <c r="J733" s="5">
        <v>46010</v>
      </c>
      <c r="K733" s="1" t="s">
        <v>957</v>
      </c>
      <c r="L733" s="1" t="s">
        <v>30</v>
      </c>
      <c r="M733" s="8">
        <v>0</v>
      </c>
      <c r="N733" s="6"/>
      <c r="O733" s="6"/>
      <c r="P733" s="9">
        <v>0</v>
      </c>
    </row>
    <row r="734" spans="1:16" ht="19.5" customHeight="1">
      <c r="A734" s="1" t="s">
        <v>1946</v>
      </c>
      <c r="B734" s="5">
        <v>46020</v>
      </c>
      <c r="C734" s="1" t="s">
        <v>28</v>
      </c>
      <c r="D734" s="1" t="s">
        <v>46</v>
      </c>
      <c r="E734" s="1" t="s">
        <v>223</v>
      </c>
      <c r="F734" s="1" t="s">
        <v>395</v>
      </c>
      <c r="G734" s="1" t="s">
        <v>1229</v>
      </c>
      <c r="H734" s="6">
        <v>1</v>
      </c>
      <c r="I734" s="7">
        <v>0</v>
      </c>
      <c r="J734" s="5">
        <v>46010</v>
      </c>
      <c r="K734" s="1" t="s">
        <v>957</v>
      </c>
      <c r="L734" s="1" t="s">
        <v>30</v>
      </c>
      <c r="M734" s="8">
        <v>0</v>
      </c>
      <c r="N734" s="6"/>
      <c r="O734" s="6"/>
      <c r="P734" s="9">
        <v>-46</v>
      </c>
    </row>
    <row r="735" spans="1:16" ht="19.5" customHeight="1">
      <c r="A735" s="1" t="s">
        <v>1946</v>
      </c>
      <c r="B735" s="5">
        <v>46020</v>
      </c>
      <c r="C735" s="1" t="s">
        <v>17</v>
      </c>
      <c r="D735" s="1" t="s">
        <v>47</v>
      </c>
      <c r="E735" s="1" t="s">
        <v>223</v>
      </c>
      <c r="F735" s="1" t="s">
        <v>395</v>
      </c>
      <c r="G735" s="1" t="s">
        <v>1229</v>
      </c>
      <c r="H735" s="6">
        <v>1</v>
      </c>
      <c r="I735" s="7">
        <v>0</v>
      </c>
      <c r="J735" s="5">
        <v>46010</v>
      </c>
      <c r="K735" s="1" t="s">
        <v>957</v>
      </c>
      <c r="L735" s="1" t="s">
        <v>30</v>
      </c>
      <c r="M735" s="8">
        <v>0</v>
      </c>
      <c r="N735" s="6"/>
      <c r="O735" s="6"/>
      <c r="P735" s="9">
        <v>-15</v>
      </c>
    </row>
    <row r="736" spans="1:16" ht="19.5" customHeight="1">
      <c r="A736" s="1" t="s">
        <v>1947</v>
      </c>
      <c r="B736" s="5">
        <v>46020</v>
      </c>
      <c r="C736" s="1" t="s">
        <v>28</v>
      </c>
      <c r="D736" s="1" t="s">
        <v>29</v>
      </c>
      <c r="E736" s="1" t="s">
        <v>25</v>
      </c>
      <c r="F736" s="1" t="s">
        <v>26</v>
      </c>
      <c r="G736" s="1" t="s">
        <v>1229</v>
      </c>
      <c r="H736" s="6">
        <v>1</v>
      </c>
      <c r="I736" s="7">
        <v>1704</v>
      </c>
      <c r="J736" s="5">
        <v>46017</v>
      </c>
      <c r="K736" s="1" t="s">
        <v>957</v>
      </c>
      <c r="L736" s="1" t="s">
        <v>30</v>
      </c>
      <c r="M736" s="8">
        <v>0.43</v>
      </c>
      <c r="N736" s="6"/>
      <c r="O736" s="6">
        <v>38</v>
      </c>
      <c r="P736" s="9">
        <v>-103.73</v>
      </c>
    </row>
    <row r="737" spans="1:16" ht="19.5" customHeight="1">
      <c r="A737" s="1" t="s">
        <v>1947</v>
      </c>
      <c r="B737" s="5">
        <v>46020</v>
      </c>
      <c r="C737" s="1" t="s">
        <v>31</v>
      </c>
      <c r="D737" s="1" t="s">
        <v>32</v>
      </c>
      <c r="E737" s="1" t="s">
        <v>25</v>
      </c>
      <c r="F737" s="1" t="s">
        <v>26</v>
      </c>
      <c r="G737" s="1" t="s">
        <v>1229</v>
      </c>
      <c r="H737" s="6">
        <v>1</v>
      </c>
      <c r="I737" s="7">
        <v>1704</v>
      </c>
      <c r="J737" s="5">
        <v>46017</v>
      </c>
      <c r="K737" s="1" t="s">
        <v>957</v>
      </c>
      <c r="L737" s="1" t="s">
        <v>30</v>
      </c>
      <c r="M737" s="8">
        <v>0</v>
      </c>
      <c r="N737" s="6"/>
      <c r="O737" s="6"/>
      <c r="P737" s="9">
        <v>585.71</v>
      </c>
    </row>
    <row r="738" spans="1:16" ht="19.5" customHeight="1">
      <c r="A738" s="1" t="s">
        <v>1947</v>
      </c>
      <c r="B738" s="5">
        <v>46020</v>
      </c>
      <c r="C738" s="1" t="s">
        <v>31</v>
      </c>
      <c r="D738" s="1" t="s">
        <v>33</v>
      </c>
      <c r="E738" s="1" t="s">
        <v>25</v>
      </c>
      <c r="F738" s="1" t="s">
        <v>26</v>
      </c>
      <c r="G738" s="1" t="s">
        <v>1229</v>
      </c>
      <c r="H738" s="6">
        <v>1</v>
      </c>
      <c r="I738" s="7">
        <v>1704</v>
      </c>
      <c r="J738" s="5">
        <v>46017</v>
      </c>
      <c r="K738" s="1" t="s">
        <v>957</v>
      </c>
      <c r="L738" s="1" t="s">
        <v>30</v>
      </c>
      <c r="M738" s="8">
        <v>0</v>
      </c>
      <c r="N738" s="6"/>
      <c r="O738" s="6"/>
      <c r="P738" s="9">
        <v>5.86</v>
      </c>
    </row>
    <row r="739" spans="1:16" ht="19.5" customHeight="1">
      <c r="A739" s="1" t="s">
        <v>1947</v>
      </c>
      <c r="B739" s="5">
        <v>46020</v>
      </c>
      <c r="C739" s="1" t="s">
        <v>31</v>
      </c>
      <c r="D739" s="1" t="s">
        <v>34</v>
      </c>
      <c r="E739" s="1" t="s">
        <v>25</v>
      </c>
      <c r="F739" s="1" t="s">
        <v>26</v>
      </c>
      <c r="G739" s="1" t="s">
        <v>1229</v>
      </c>
      <c r="H739" s="6">
        <v>1</v>
      </c>
      <c r="I739" s="7">
        <v>1704</v>
      </c>
      <c r="J739" s="5">
        <v>46017</v>
      </c>
      <c r="K739" s="1" t="s">
        <v>957</v>
      </c>
      <c r="L739" s="1" t="s">
        <v>30</v>
      </c>
      <c r="M739" s="8">
        <v>0</v>
      </c>
      <c r="N739" s="6"/>
      <c r="O739" s="6"/>
      <c r="P739" s="9">
        <v>1112.43</v>
      </c>
    </row>
    <row r="740" spans="1:16" ht="19.5" customHeight="1">
      <c r="A740" s="1" t="s">
        <v>1947</v>
      </c>
      <c r="B740" s="5">
        <v>46020</v>
      </c>
      <c r="C740" s="1" t="s">
        <v>35</v>
      </c>
      <c r="D740" s="1" t="s">
        <v>36</v>
      </c>
      <c r="E740" s="1" t="s">
        <v>25</v>
      </c>
      <c r="F740" s="1" t="s">
        <v>26</v>
      </c>
      <c r="G740" s="1" t="s">
        <v>1229</v>
      </c>
      <c r="H740" s="6">
        <v>1</v>
      </c>
      <c r="I740" s="7">
        <v>1704</v>
      </c>
      <c r="J740" s="5">
        <v>46017</v>
      </c>
      <c r="K740" s="1" t="s">
        <v>957</v>
      </c>
      <c r="L740" s="1" t="s">
        <v>30</v>
      </c>
      <c r="M740" s="8">
        <v>0.43</v>
      </c>
      <c r="N740" s="6"/>
      <c r="O740" s="6"/>
      <c r="P740" s="9">
        <v>-732.72</v>
      </c>
    </row>
    <row r="741" spans="1:16" ht="19.5" customHeight="1">
      <c r="A741" s="1" t="s">
        <v>1947</v>
      </c>
      <c r="B741" s="5">
        <v>46020</v>
      </c>
      <c r="C741" s="1" t="s">
        <v>17</v>
      </c>
      <c r="D741" s="1" t="s">
        <v>37</v>
      </c>
      <c r="E741" s="1" t="s">
        <v>25</v>
      </c>
      <c r="F741" s="1" t="s">
        <v>26</v>
      </c>
      <c r="G741" s="1" t="s">
        <v>1229</v>
      </c>
      <c r="H741" s="6">
        <v>1</v>
      </c>
      <c r="I741" s="7">
        <v>1704</v>
      </c>
      <c r="J741" s="5">
        <v>46017</v>
      </c>
      <c r="K741" s="1" t="s">
        <v>957</v>
      </c>
      <c r="L741" s="1" t="s">
        <v>30</v>
      </c>
      <c r="M741" s="8">
        <v>0.43</v>
      </c>
      <c r="N741" s="6"/>
      <c r="O741" s="6"/>
      <c r="P741" s="9">
        <v>-9.7899999999999991</v>
      </c>
    </row>
    <row r="742" spans="1:16" ht="19.5" customHeight="1">
      <c r="A742" s="1" t="s">
        <v>1948</v>
      </c>
      <c r="B742" s="5">
        <v>46020</v>
      </c>
      <c r="C742" s="1" t="s">
        <v>28</v>
      </c>
      <c r="D742" s="1" t="s">
        <v>29</v>
      </c>
      <c r="E742" s="1" t="s">
        <v>223</v>
      </c>
      <c r="F742" s="1" t="s">
        <v>395</v>
      </c>
      <c r="G742" s="1" t="s">
        <v>1229</v>
      </c>
      <c r="H742" s="6">
        <v>1</v>
      </c>
      <c r="I742" s="7">
        <v>1687</v>
      </c>
      <c r="J742" s="5">
        <v>46018</v>
      </c>
      <c r="K742" s="1" t="s">
        <v>957</v>
      </c>
      <c r="L742" s="1" t="s">
        <v>30</v>
      </c>
      <c r="M742" s="8">
        <v>0.43</v>
      </c>
      <c r="N742" s="6"/>
      <c r="O742" s="6">
        <v>39</v>
      </c>
      <c r="P742" s="9">
        <v>-108.57</v>
      </c>
    </row>
    <row r="743" spans="1:16" ht="19.5" customHeight="1">
      <c r="A743" s="1" t="s">
        <v>1948</v>
      </c>
      <c r="B743" s="5">
        <v>46020</v>
      </c>
      <c r="C743" s="1" t="s">
        <v>31</v>
      </c>
      <c r="D743" s="1" t="s">
        <v>32</v>
      </c>
      <c r="E743" s="1" t="s">
        <v>223</v>
      </c>
      <c r="F743" s="1" t="s">
        <v>395</v>
      </c>
      <c r="G743" s="1" t="s">
        <v>1229</v>
      </c>
      <c r="H743" s="6">
        <v>1</v>
      </c>
      <c r="I743" s="7">
        <v>1687</v>
      </c>
      <c r="J743" s="5">
        <v>46018</v>
      </c>
      <c r="K743" s="1" t="s">
        <v>957</v>
      </c>
      <c r="L743" s="1" t="s">
        <v>30</v>
      </c>
      <c r="M743" s="8">
        <v>0</v>
      </c>
      <c r="N743" s="6"/>
      <c r="O743" s="6"/>
      <c r="P743" s="9">
        <v>578.9</v>
      </c>
    </row>
    <row r="744" spans="1:16" ht="19.5" customHeight="1">
      <c r="A744" s="1" t="s">
        <v>1948</v>
      </c>
      <c r="B744" s="5">
        <v>46020</v>
      </c>
      <c r="C744" s="1" t="s">
        <v>31</v>
      </c>
      <c r="D744" s="1" t="s">
        <v>33</v>
      </c>
      <c r="E744" s="1" t="s">
        <v>223</v>
      </c>
      <c r="F744" s="1" t="s">
        <v>395</v>
      </c>
      <c r="G744" s="1" t="s">
        <v>1229</v>
      </c>
      <c r="H744" s="6">
        <v>1</v>
      </c>
      <c r="I744" s="7">
        <v>1687</v>
      </c>
      <c r="J744" s="5">
        <v>46018</v>
      </c>
      <c r="K744" s="1" t="s">
        <v>957</v>
      </c>
      <c r="L744" s="1" t="s">
        <v>30</v>
      </c>
      <c r="M744" s="8">
        <v>0</v>
      </c>
      <c r="N744" s="6"/>
      <c r="O744" s="6"/>
      <c r="P744" s="9">
        <v>5.79</v>
      </c>
    </row>
    <row r="745" spans="1:16" ht="19.5" customHeight="1">
      <c r="A745" s="1" t="s">
        <v>1948</v>
      </c>
      <c r="B745" s="5">
        <v>46020</v>
      </c>
      <c r="C745" s="1" t="s">
        <v>31</v>
      </c>
      <c r="D745" s="1" t="s">
        <v>34</v>
      </c>
      <c r="E745" s="1" t="s">
        <v>223</v>
      </c>
      <c r="F745" s="1" t="s">
        <v>395</v>
      </c>
      <c r="G745" s="1" t="s">
        <v>1229</v>
      </c>
      <c r="H745" s="6">
        <v>1</v>
      </c>
      <c r="I745" s="7">
        <v>1687</v>
      </c>
      <c r="J745" s="5">
        <v>46018</v>
      </c>
      <c r="K745" s="1" t="s">
        <v>957</v>
      </c>
      <c r="L745" s="1" t="s">
        <v>30</v>
      </c>
      <c r="M745" s="8">
        <v>0</v>
      </c>
      <c r="N745" s="6"/>
      <c r="O745" s="6"/>
      <c r="P745" s="9">
        <v>1102.31</v>
      </c>
    </row>
    <row r="746" spans="1:16" ht="19.5" customHeight="1">
      <c r="A746" s="1" t="s">
        <v>1948</v>
      </c>
      <c r="B746" s="5">
        <v>46020</v>
      </c>
      <c r="C746" s="1" t="s">
        <v>35</v>
      </c>
      <c r="D746" s="1" t="s">
        <v>36</v>
      </c>
      <c r="E746" s="1" t="s">
        <v>223</v>
      </c>
      <c r="F746" s="1" t="s">
        <v>395</v>
      </c>
      <c r="G746" s="1" t="s">
        <v>1229</v>
      </c>
      <c r="H746" s="6">
        <v>1</v>
      </c>
      <c r="I746" s="7">
        <v>1687</v>
      </c>
      <c r="J746" s="5">
        <v>46018</v>
      </c>
      <c r="K746" s="1" t="s">
        <v>957</v>
      </c>
      <c r="L746" s="1" t="s">
        <v>30</v>
      </c>
      <c r="M746" s="8">
        <v>0.43</v>
      </c>
      <c r="N746" s="6"/>
      <c r="O746" s="6"/>
      <c r="P746" s="9">
        <v>-725.41</v>
      </c>
    </row>
    <row r="747" spans="1:16" ht="19.5" customHeight="1">
      <c r="A747" s="1" t="s">
        <v>1948</v>
      </c>
      <c r="B747" s="5">
        <v>46020</v>
      </c>
      <c r="C747" s="1" t="s">
        <v>17</v>
      </c>
      <c r="D747" s="1" t="s">
        <v>37</v>
      </c>
      <c r="E747" s="1" t="s">
        <v>223</v>
      </c>
      <c r="F747" s="1" t="s">
        <v>395</v>
      </c>
      <c r="G747" s="1" t="s">
        <v>1229</v>
      </c>
      <c r="H747" s="6">
        <v>1</v>
      </c>
      <c r="I747" s="7">
        <v>1687</v>
      </c>
      <c r="J747" s="5">
        <v>46018</v>
      </c>
      <c r="K747" s="1" t="s">
        <v>957</v>
      </c>
      <c r="L747" s="1" t="s">
        <v>30</v>
      </c>
      <c r="M747" s="8">
        <v>0.43</v>
      </c>
      <c r="N747" s="6"/>
      <c r="O747" s="6"/>
      <c r="P747" s="9">
        <v>-8.4700000000000006</v>
      </c>
    </row>
    <row r="748" spans="1:16" ht="19.5" customHeight="1">
      <c r="A748" s="1" t="s">
        <v>1948</v>
      </c>
      <c r="B748" s="5">
        <v>46020</v>
      </c>
      <c r="C748" s="1" t="s">
        <v>17</v>
      </c>
      <c r="D748" s="1" t="s">
        <v>18</v>
      </c>
      <c r="E748" s="1" t="s">
        <v>223</v>
      </c>
      <c r="F748" s="1" t="s">
        <v>395</v>
      </c>
      <c r="G748" s="1" t="s">
        <v>1229</v>
      </c>
      <c r="H748" s="6">
        <v>1</v>
      </c>
      <c r="I748" s="7">
        <v>0</v>
      </c>
      <c r="J748" s="5">
        <v>46018</v>
      </c>
      <c r="K748" s="1" t="s">
        <v>22</v>
      </c>
      <c r="L748" s="1" t="s">
        <v>22</v>
      </c>
      <c r="M748" s="8">
        <v>0</v>
      </c>
      <c r="N748" s="6"/>
      <c r="O748" s="6"/>
      <c r="P748" s="9">
        <v>-11</v>
      </c>
    </row>
    <row r="749" spans="1:16" ht="19.5" customHeight="1">
      <c r="A749" s="1" t="s">
        <v>1949</v>
      </c>
      <c r="B749" s="5">
        <v>46020</v>
      </c>
      <c r="C749" s="1" t="s">
        <v>17</v>
      </c>
      <c r="D749" s="1" t="s">
        <v>18</v>
      </c>
      <c r="E749" s="1" t="s">
        <v>223</v>
      </c>
      <c r="F749" s="1" t="s">
        <v>395</v>
      </c>
      <c r="G749" s="1" t="s">
        <v>1229</v>
      </c>
      <c r="H749" s="6">
        <v>1</v>
      </c>
      <c r="I749" s="7">
        <v>0</v>
      </c>
      <c r="J749" s="5">
        <v>46020</v>
      </c>
      <c r="K749" s="1" t="s">
        <v>22</v>
      </c>
      <c r="L749" s="1" t="s">
        <v>22</v>
      </c>
      <c r="M749" s="8">
        <v>0</v>
      </c>
      <c r="N749" s="6"/>
      <c r="O749" s="6"/>
      <c r="P749" s="9">
        <v>-8.3699999999999992</v>
      </c>
    </row>
    <row r="750" spans="1:16" ht="19.5" customHeight="1">
      <c r="A750" s="1" t="s">
        <v>1910</v>
      </c>
      <c r="B750" s="5">
        <v>46020</v>
      </c>
      <c r="C750" s="1" t="s">
        <v>77</v>
      </c>
      <c r="D750" s="1" t="s">
        <v>82</v>
      </c>
      <c r="E750" s="1" t="s">
        <v>22</v>
      </c>
      <c r="F750" s="1" t="s">
        <v>22</v>
      </c>
      <c r="G750" s="1" t="s">
        <v>22</v>
      </c>
      <c r="H750" s="6">
        <v>0</v>
      </c>
      <c r="I750" s="7">
        <v>0</v>
      </c>
      <c r="J750" s="5">
        <v>46020</v>
      </c>
      <c r="K750" s="1" t="s">
        <v>22</v>
      </c>
      <c r="L750" s="1" t="s">
        <v>22</v>
      </c>
      <c r="M750" s="8">
        <v>0</v>
      </c>
      <c r="N750" s="6"/>
      <c r="O750" s="6"/>
      <c r="P750" s="9">
        <v>-324.7</v>
      </c>
    </row>
    <row r="751" spans="1:16" ht="19.5" customHeight="1">
      <c r="A751" s="1" t="s">
        <v>1909</v>
      </c>
      <c r="B751" s="5">
        <v>46020</v>
      </c>
      <c r="C751" s="1" t="s">
        <v>77</v>
      </c>
      <c r="D751" s="1" t="s">
        <v>82</v>
      </c>
      <c r="E751" s="1" t="s">
        <v>22</v>
      </c>
      <c r="F751" s="1" t="s">
        <v>22</v>
      </c>
      <c r="G751" s="1" t="s">
        <v>22</v>
      </c>
      <c r="H751" s="6">
        <v>0</v>
      </c>
      <c r="I751" s="7">
        <v>0</v>
      </c>
      <c r="J751" s="5">
        <v>46020</v>
      </c>
      <c r="K751" s="1" t="s">
        <v>22</v>
      </c>
      <c r="L751" s="1" t="s">
        <v>22</v>
      </c>
      <c r="M751" s="8">
        <v>0</v>
      </c>
      <c r="N751" s="6"/>
      <c r="O751" s="6"/>
      <c r="P751" s="9">
        <v>-327.24</v>
      </c>
    </row>
    <row r="752" spans="1:16" ht="19.5" customHeight="1">
      <c r="A752" s="1" t="s">
        <v>1908</v>
      </c>
      <c r="B752" s="5">
        <v>46020</v>
      </c>
      <c r="C752" s="1" t="s">
        <v>77</v>
      </c>
      <c r="D752" s="1" t="s">
        <v>82</v>
      </c>
      <c r="E752" s="1" t="s">
        <v>22</v>
      </c>
      <c r="F752" s="1" t="s">
        <v>22</v>
      </c>
      <c r="G752" s="1" t="s">
        <v>22</v>
      </c>
      <c r="H752" s="6">
        <v>0</v>
      </c>
      <c r="I752" s="7">
        <v>0</v>
      </c>
      <c r="J752" s="5">
        <v>46020</v>
      </c>
      <c r="K752" s="1" t="s">
        <v>22</v>
      </c>
      <c r="L752" s="1" t="s">
        <v>22</v>
      </c>
      <c r="M752" s="8">
        <v>0</v>
      </c>
      <c r="N752" s="6"/>
      <c r="O752" s="6"/>
      <c r="P752" s="9">
        <v>-296.67</v>
      </c>
    </row>
    <row r="753" spans="1:16" ht="19.5" customHeight="1">
      <c r="A753" s="1" t="s">
        <v>1847</v>
      </c>
      <c r="B753" s="5">
        <v>46020</v>
      </c>
      <c r="C753" s="1" t="s">
        <v>77</v>
      </c>
      <c r="D753" s="1" t="s">
        <v>82</v>
      </c>
      <c r="E753" s="1" t="s">
        <v>22</v>
      </c>
      <c r="F753" s="1" t="s">
        <v>22</v>
      </c>
      <c r="G753" s="1" t="s">
        <v>22</v>
      </c>
      <c r="H753" s="6">
        <v>0</v>
      </c>
      <c r="I753" s="7">
        <v>0</v>
      </c>
      <c r="J753" s="5">
        <v>46020</v>
      </c>
      <c r="K753" s="1" t="s">
        <v>22</v>
      </c>
      <c r="L753" s="1" t="s">
        <v>22</v>
      </c>
      <c r="M753" s="8">
        <v>0</v>
      </c>
      <c r="N753" s="6"/>
      <c r="O753" s="6"/>
      <c r="P753" s="9">
        <v>-302.47000000000003</v>
      </c>
    </row>
    <row r="754" spans="1:16" ht="19.5" customHeight="1">
      <c r="A754" s="1" t="s">
        <v>1376</v>
      </c>
      <c r="B754" s="5">
        <v>46020</v>
      </c>
      <c r="C754" s="1" t="s">
        <v>77</v>
      </c>
      <c r="D754" s="1" t="s">
        <v>82</v>
      </c>
      <c r="E754" s="1" t="s">
        <v>22</v>
      </c>
      <c r="F754" s="1" t="s">
        <v>22</v>
      </c>
      <c r="G754" s="1" t="s">
        <v>22</v>
      </c>
      <c r="H754" s="6">
        <v>0</v>
      </c>
      <c r="I754" s="7">
        <v>0</v>
      </c>
      <c r="J754" s="5">
        <v>46020</v>
      </c>
      <c r="K754" s="1" t="s">
        <v>22</v>
      </c>
      <c r="L754" s="1" t="s">
        <v>22</v>
      </c>
      <c r="M754" s="8">
        <v>0</v>
      </c>
      <c r="N754" s="6"/>
      <c r="O754" s="6"/>
      <c r="P754" s="9">
        <v>-1798.08</v>
      </c>
    </row>
    <row r="755" spans="1:16" ht="19.5" customHeight="1">
      <c r="A755" s="1" t="s">
        <v>1075</v>
      </c>
      <c r="B755" s="5">
        <v>46020</v>
      </c>
      <c r="C755" s="1" t="s">
        <v>77</v>
      </c>
      <c r="D755" s="1" t="s">
        <v>82</v>
      </c>
      <c r="E755" s="1" t="s">
        <v>22</v>
      </c>
      <c r="F755" s="1" t="s">
        <v>22</v>
      </c>
      <c r="G755" s="1" t="s">
        <v>22</v>
      </c>
      <c r="H755" s="6">
        <v>0</v>
      </c>
      <c r="I755" s="7">
        <v>0</v>
      </c>
      <c r="J755" s="5">
        <v>46020</v>
      </c>
      <c r="K755" s="1" t="s">
        <v>22</v>
      </c>
      <c r="L755" s="1" t="s">
        <v>22</v>
      </c>
      <c r="M755" s="8">
        <v>0</v>
      </c>
      <c r="N755" s="6"/>
      <c r="O755" s="6"/>
      <c r="P755" s="9">
        <v>-661.15</v>
      </c>
    </row>
    <row r="756" spans="1:16" ht="19.5" customHeight="1">
      <c r="A756" s="1" t="s">
        <v>83</v>
      </c>
      <c r="B756" s="5">
        <v>46020</v>
      </c>
      <c r="C756" s="1" t="s">
        <v>77</v>
      </c>
      <c r="D756" s="1" t="s">
        <v>84</v>
      </c>
      <c r="E756" s="1" t="s">
        <v>22</v>
      </c>
      <c r="F756" s="1" t="s">
        <v>22</v>
      </c>
      <c r="G756" s="1" t="s">
        <v>22</v>
      </c>
      <c r="H756" s="6">
        <v>0</v>
      </c>
      <c r="I756" s="7">
        <v>0</v>
      </c>
      <c r="J756" s="5">
        <v>46020</v>
      </c>
      <c r="K756" s="1" t="s">
        <v>22</v>
      </c>
      <c r="L756" s="1" t="s">
        <v>22</v>
      </c>
      <c r="M756" s="8">
        <v>0</v>
      </c>
      <c r="N756" s="6"/>
      <c r="O756" s="6"/>
      <c r="P756" s="9">
        <v>-1230</v>
      </c>
    </row>
    <row r="757" spans="1:16" ht="19.5" customHeight="1">
      <c r="A757" s="1" t="s">
        <v>1950</v>
      </c>
      <c r="B757" s="5">
        <v>46021</v>
      </c>
      <c r="C757" s="1" t="s">
        <v>28</v>
      </c>
      <c r="D757" s="1" t="s">
        <v>29</v>
      </c>
      <c r="E757" s="1" t="s">
        <v>25</v>
      </c>
      <c r="F757" s="1" t="s">
        <v>26</v>
      </c>
      <c r="G757" s="1" t="s">
        <v>1229</v>
      </c>
      <c r="H757" s="6">
        <v>1</v>
      </c>
      <c r="I757" s="7">
        <v>0</v>
      </c>
      <c r="J757" s="5">
        <v>46006</v>
      </c>
      <c r="K757" s="1" t="s">
        <v>957</v>
      </c>
      <c r="L757" s="1" t="s">
        <v>30</v>
      </c>
      <c r="M757" s="8">
        <v>0</v>
      </c>
      <c r="N757" s="6"/>
      <c r="O757" s="6">
        <v>38</v>
      </c>
      <c r="P757" s="9">
        <v>-46.77</v>
      </c>
    </row>
    <row r="758" spans="1:16" ht="19.5" customHeight="1">
      <c r="A758" s="1" t="s">
        <v>1950</v>
      </c>
      <c r="B758" s="5">
        <v>46021</v>
      </c>
      <c r="C758" s="1" t="s">
        <v>17</v>
      </c>
      <c r="D758" s="1" t="s">
        <v>37</v>
      </c>
      <c r="E758" s="1" t="s">
        <v>25</v>
      </c>
      <c r="F758" s="1" t="s">
        <v>26</v>
      </c>
      <c r="G758" s="1" t="s">
        <v>1229</v>
      </c>
      <c r="H758" s="6">
        <v>1</v>
      </c>
      <c r="I758" s="7">
        <v>0</v>
      </c>
      <c r="J758" s="5">
        <v>46006</v>
      </c>
      <c r="K758" s="1" t="s">
        <v>957</v>
      </c>
      <c r="L758" s="1" t="s">
        <v>30</v>
      </c>
      <c r="M758" s="8">
        <v>0</v>
      </c>
      <c r="N758" s="6"/>
      <c r="O758" s="6"/>
      <c r="P758" s="9">
        <v>-5.55</v>
      </c>
    </row>
    <row r="759" spans="1:16" ht="19.5" customHeight="1">
      <c r="A759" s="1" t="s">
        <v>1950</v>
      </c>
      <c r="B759" s="5">
        <v>46021</v>
      </c>
      <c r="C759" s="1" t="s">
        <v>28</v>
      </c>
      <c r="D759" s="1" t="s">
        <v>45</v>
      </c>
      <c r="E759" s="1" t="s">
        <v>25</v>
      </c>
      <c r="F759" s="1" t="s">
        <v>26</v>
      </c>
      <c r="G759" s="1" t="s">
        <v>1229</v>
      </c>
      <c r="H759" s="6">
        <v>1</v>
      </c>
      <c r="I759" s="7">
        <v>0</v>
      </c>
      <c r="J759" s="5">
        <v>46006</v>
      </c>
      <c r="K759" s="1" t="s">
        <v>957</v>
      </c>
      <c r="L759" s="1" t="s">
        <v>30</v>
      </c>
      <c r="M759" s="8">
        <v>0</v>
      </c>
      <c r="N759" s="6"/>
      <c r="O759" s="6"/>
      <c r="P759" s="9">
        <v>0</v>
      </c>
    </row>
    <row r="760" spans="1:16" ht="19.5" customHeight="1">
      <c r="A760" s="1" t="s">
        <v>1950</v>
      </c>
      <c r="B760" s="5">
        <v>46021</v>
      </c>
      <c r="C760" s="1" t="s">
        <v>28</v>
      </c>
      <c r="D760" s="1" t="s">
        <v>46</v>
      </c>
      <c r="E760" s="1" t="s">
        <v>25</v>
      </c>
      <c r="F760" s="1" t="s">
        <v>26</v>
      </c>
      <c r="G760" s="1" t="s">
        <v>1229</v>
      </c>
      <c r="H760" s="6">
        <v>1</v>
      </c>
      <c r="I760" s="7">
        <v>0</v>
      </c>
      <c r="J760" s="5">
        <v>46006</v>
      </c>
      <c r="K760" s="1" t="s">
        <v>957</v>
      </c>
      <c r="L760" s="1" t="s">
        <v>30</v>
      </c>
      <c r="M760" s="8">
        <v>0</v>
      </c>
      <c r="N760" s="6"/>
      <c r="O760" s="6"/>
      <c r="P760" s="9">
        <v>-46.77</v>
      </c>
    </row>
    <row r="761" spans="1:16" ht="19.5" customHeight="1">
      <c r="A761" s="1" t="s">
        <v>1950</v>
      </c>
      <c r="B761" s="5">
        <v>46021</v>
      </c>
      <c r="C761" s="1" t="s">
        <v>17</v>
      </c>
      <c r="D761" s="1" t="s">
        <v>47</v>
      </c>
      <c r="E761" s="1" t="s">
        <v>25</v>
      </c>
      <c r="F761" s="1" t="s">
        <v>26</v>
      </c>
      <c r="G761" s="1" t="s">
        <v>1229</v>
      </c>
      <c r="H761" s="6">
        <v>1</v>
      </c>
      <c r="I761" s="7">
        <v>0</v>
      </c>
      <c r="J761" s="5">
        <v>46006</v>
      </c>
      <c r="K761" s="1" t="s">
        <v>957</v>
      </c>
      <c r="L761" s="1" t="s">
        <v>30</v>
      </c>
      <c r="M761" s="8">
        <v>0</v>
      </c>
      <c r="N761" s="6"/>
      <c r="O761" s="6"/>
      <c r="P761" s="9">
        <v>-15</v>
      </c>
    </row>
    <row r="762" spans="1:16" ht="19.5" customHeight="1">
      <c r="A762" s="1" t="s">
        <v>1951</v>
      </c>
      <c r="B762" s="5">
        <v>46021</v>
      </c>
      <c r="C762" s="1" t="s">
        <v>17</v>
      </c>
      <c r="D762" s="1" t="s">
        <v>18</v>
      </c>
      <c r="E762" s="1" t="s">
        <v>25</v>
      </c>
      <c r="F762" s="1" t="s">
        <v>26</v>
      </c>
      <c r="G762" s="1" t="s">
        <v>1229</v>
      </c>
      <c r="H762" s="6">
        <v>1</v>
      </c>
      <c r="I762" s="7">
        <v>0</v>
      </c>
      <c r="J762" s="5">
        <v>46021</v>
      </c>
      <c r="K762" s="1" t="s">
        <v>22</v>
      </c>
      <c r="L762" s="1" t="s">
        <v>22</v>
      </c>
      <c r="M762" s="8">
        <v>0</v>
      </c>
      <c r="N762" s="6"/>
      <c r="O762" s="6"/>
      <c r="P762" s="9">
        <v>-2.87</v>
      </c>
    </row>
    <row r="763" spans="1:16" ht="19.5" customHeight="1">
      <c r="A763" s="1" t="s">
        <v>1952</v>
      </c>
      <c r="B763" s="5">
        <v>46021</v>
      </c>
      <c r="C763" s="1" t="s">
        <v>17</v>
      </c>
      <c r="D763" s="1" t="s">
        <v>18</v>
      </c>
      <c r="E763" s="1" t="s">
        <v>25</v>
      </c>
      <c r="F763" s="1" t="s">
        <v>26</v>
      </c>
      <c r="G763" s="1" t="s">
        <v>1229</v>
      </c>
      <c r="H763" s="6">
        <v>1</v>
      </c>
      <c r="I763" s="7">
        <v>0</v>
      </c>
      <c r="J763" s="5">
        <v>46021</v>
      </c>
      <c r="K763" s="1" t="s">
        <v>22</v>
      </c>
      <c r="L763" s="1" t="s">
        <v>22</v>
      </c>
      <c r="M763" s="8">
        <v>0</v>
      </c>
      <c r="N763" s="6"/>
      <c r="O763" s="6"/>
      <c r="P763" s="9">
        <v>-2.86</v>
      </c>
    </row>
    <row r="764" spans="1:16" ht="19.5" customHeight="1">
      <c r="A764" s="1" t="s">
        <v>1953</v>
      </c>
      <c r="B764" s="5">
        <v>46021</v>
      </c>
      <c r="C764" s="1" t="s">
        <v>17</v>
      </c>
      <c r="D764" s="1" t="s">
        <v>18</v>
      </c>
      <c r="E764" s="1" t="s">
        <v>25</v>
      </c>
      <c r="F764" s="1" t="s">
        <v>26</v>
      </c>
      <c r="G764" s="1" t="s">
        <v>1229</v>
      </c>
      <c r="H764" s="6">
        <v>1</v>
      </c>
      <c r="I764" s="7">
        <v>0</v>
      </c>
      <c r="J764" s="5">
        <v>46021</v>
      </c>
      <c r="K764" s="1" t="s">
        <v>22</v>
      </c>
      <c r="L764" s="1" t="s">
        <v>22</v>
      </c>
      <c r="M764" s="8">
        <v>0</v>
      </c>
      <c r="N764" s="6"/>
      <c r="O764" s="6"/>
      <c r="P764" s="9">
        <v>-3.57</v>
      </c>
    </row>
    <row r="765" spans="1:16" ht="19.5" customHeight="1">
      <c r="A765" s="1" t="s">
        <v>1954</v>
      </c>
      <c r="B765" s="5">
        <v>46021</v>
      </c>
      <c r="C765" s="1" t="s">
        <v>28</v>
      </c>
      <c r="D765" s="1" t="s">
        <v>29</v>
      </c>
      <c r="E765" s="1" t="s">
        <v>222</v>
      </c>
      <c r="F765" s="1" t="s">
        <v>412</v>
      </c>
      <c r="G765" s="1" t="s">
        <v>1229</v>
      </c>
      <c r="H765" s="6">
        <v>1</v>
      </c>
      <c r="I765" s="7">
        <v>970</v>
      </c>
      <c r="J765" s="5">
        <v>46016</v>
      </c>
      <c r="K765" s="1" t="s">
        <v>957</v>
      </c>
      <c r="L765" s="1" t="s">
        <v>30</v>
      </c>
      <c r="M765" s="8">
        <v>0.43</v>
      </c>
      <c r="N765" s="6"/>
      <c r="O765" s="6">
        <v>38</v>
      </c>
      <c r="P765" s="9">
        <v>-88.69</v>
      </c>
    </row>
    <row r="766" spans="1:16" ht="19.5" customHeight="1">
      <c r="A766" s="1" t="s">
        <v>1954</v>
      </c>
      <c r="B766" s="5">
        <v>46021</v>
      </c>
      <c r="C766" s="1" t="s">
        <v>31</v>
      </c>
      <c r="D766" s="1" t="s">
        <v>32</v>
      </c>
      <c r="E766" s="1" t="s">
        <v>222</v>
      </c>
      <c r="F766" s="1" t="s">
        <v>412</v>
      </c>
      <c r="G766" s="1" t="s">
        <v>1229</v>
      </c>
      <c r="H766" s="6">
        <v>1</v>
      </c>
      <c r="I766" s="7">
        <v>970</v>
      </c>
      <c r="J766" s="5">
        <v>46016</v>
      </c>
      <c r="K766" s="1" t="s">
        <v>957</v>
      </c>
      <c r="L766" s="1" t="s">
        <v>30</v>
      </c>
      <c r="M766" s="8">
        <v>0</v>
      </c>
      <c r="N766" s="6"/>
      <c r="O766" s="6"/>
      <c r="P766" s="9">
        <v>323.10000000000002</v>
      </c>
    </row>
    <row r="767" spans="1:16" ht="19.5" customHeight="1">
      <c r="A767" s="1" t="s">
        <v>1954</v>
      </c>
      <c r="B767" s="5">
        <v>46021</v>
      </c>
      <c r="C767" s="1" t="s">
        <v>31</v>
      </c>
      <c r="D767" s="1" t="s">
        <v>33</v>
      </c>
      <c r="E767" s="1" t="s">
        <v>222</v>
      </c>
      <c r="F767" s="1" t="s">
        <v>412</v>
      </c>
      <c r="G767" s="1" t="s">
        <v>1229</v>
      </c>
      <c r="H767" s="6">
        <v>1</v>
      </c>
      <c r="I767" s="7">
        <v>970</v>
      </c>
      <c r="J767" s="5">
        <v>46016</v>
      </c>
      <c r="K767" s="1" t="s">
        <v>957</v>
      </c>
      <c r="L767" s="1" t="s">
        <v>30</v>
      </c>
      <c r="M767" s="8">
        <v>0</v>
      </c>
      <c r="N767" s="6"/>
      <c r="O767" s="6"/>
      <c r="P767" s="9">
        <v>3.23</v>
      </c>
    </row>
    <row r="768" spans="1:16" ht="19.5" customHeight="1">
      <c r="A768" s="1" t="s">
        <v>1954</v>
      </c>
      <c r="B768" s="5">
        <v>46021</v>
      </c>
      <c r="C768" s="1" t="s">
        <v>31</v>
      </c>
      <c r="D768" s="1" t="s">
        <v>34</v>
      </c>
      <c r="E768" s="1" t="s">
        <v>222</v>
      </c>
      <c r="F768" s="1" t="s">
        <v>412</v>
      </c>
      <c r="G768" s="1" t="s">
        <v>1229</v>
      </c>
      <c r="H768" s="6">
        <v>1</v>
      </c>
      <c r="I768" s="7">
        <v>970</v>
      </c>
      <c r="J768" s="5">
        <v>46016</v>
      </c>
      <c r="K768" s="1" t="s">
        <v>957</v>
      </c>
      <c r="L768" s="1" t="s">
        <v>30</v>
      </c>
      <c r="M768" s="8">
        <v>0</v>
      </c>
      <c r="N768" s="6"/>
      <c r="O768" s="6"/>
      <c r="P768" s="9">
        <v>643.66999999999996</v>
      </c>
    </row>
    <row r="769" spans="1:16" ht="19.5" customHeight="1">
      <c r="A769" s="1" t="s">
        <v>1954</v>
      </c>
      <c r="B769" s="5">
        <v>46021</v>
      </c>
      <c r="C769" s="1" t="s">
        <v>35</v>
      </c>
      <c r="D769" s="1" t="s">
        <v>36</v>
      </c>
      <c r="E769" s="1" t="s">
        <v>222</v>
      </c>
      <c r="F769" s="1" t="s">
        <v>412</v>
      </c>
      <c r="G769" s="1" t="s">
        <v>1229</v>
      </c>
      <c r="H769" s="6">
        <v>1</v>
      </c>
      <c r="I769" s="7">
        <v>970</v>
      </c>
      <c r="J769" s="5">
        <v>46016</v>
      </c>
      <c r="K769" s="1" t="s">
        <v>957</v>
      </c>
      <c r="L769" s="1" t="s">
        <v>30</v>
      </c>
      <c r="M769" s="8">
        <v>0.43</v>
      </c>
      <c r="N769" s="6"/>
      <c r="O769" s="6"/>
      <c r="P769" s="9">
        <v>-417.1</v>
      </c>
    </row>
    <row r="770" spans="1:16" ht="19.5" customHeight="1">
      <c r="A770" s="1" t="s">
        <v>1954</v>
      </c>
      <c r="B770" s="5">
        <v>46021</v>
      </c>
      <c r="C770" s="1" t="s">
        <v>17</v>
      </c>
      <c r="D770" s="1" t="s">
        <v>37</v>
      </c>
      <c r="E770" s="1" t="s">
        <v>222</v>
      </c>
      <c r="F770" s="1" t="s">
        <v>412</v>
      </c>
      <c r="G770" s="1" t="s">
        <v>1229</v>
      </c>
      <c r="H770" s="6">
        <v>1</v>
      </c>
      <c r="I770" s="7">
        <v>970</v>
      </c>
      <c r="J770" s="5">
        <v>46016</v>
      </c>
      <c r="K770" s="1" t="s">
        <v>957</v>
      </c>
      <c r="L770" s="1" t="s">
        <v>30</v>
      </c>
      <c r="M770" s="8">
        <v>0.43</v>
      </c>
      <c r="N770" s="6"/>
      <c r="O770" s="6"/>
      <c r="P770" s="9">
        <v>-5.7</v>
      </c>
    </row>
    <row r="771" spans="1:16" ht="19.5" customHeight="1">
      <c r="A771" s="1" t="s">
        <v>1955</v>
      </c>
      <c r="B771" s="5">
        <v>46021</v>
      </c>
      <c r="C771" s="1" t="s">
        <v>28</v>
      </c>
      <c r="D771" s="1" t="s">
        <v>29</v>
      </c>
      <c r="E771" s="1" t="s">
        <v>25</v>
      </c>
      <c r="F771" s="1" t="s">
        <v>26</v>
      </c>
      <c r="G771" s="1" t="s">
        <v>1229</v>
      </c>
      <c r="H771" s="6">
        <v>1</v>
      </c>
      <c r="I771" s="7">
        <v>1738</v>
      </c>
      <c r="J771" s="5">
        <v>46006</v>
      </c>
      <c r="K771" s="1" t="s">
        <v>957</v>
      </c>
      <c r="L771" s="1" t="s">
        <v>30</v>
      </c>
      <c r="M771" s="8">
        <v>0.43</v>
      </c>
      <c r="N771" s="6"/>
      <c r="O771" s="6">
        <v>38</v>
      </c>
      <c r="P771" s="9">
        <v>-105.59</v>
      </c>
    </row>
    <row r="772" spans="1:16" ht="19.5" customHeight="1">
      <c r="A772" s="1" t="s">
        <v>1955</v>
      </c>
      <c r="B772" s="5">
        <v>46021</v>
      </c>
      <c r="C772" s="1" t="s">
        <v>31</v>
      </c>
      <c r="D772" s="1" t="s">
        <v>32</v>
      </c>
      <c r="E772" s="1" t="s">
        <v>25</v>
      </c>
      <c r="F772" s="1" t="s">
        <v>26</v>
      </c>
      <c r="G772" s="1" t="s">
        <v>1229</v>
      </c>
      <c r="H772" s="6">
        <v>1</v>
      </c>
      <c r="I772" s="7">
        <v>1738</v>
      </c>
      <c r="J772" s="5">
        <v>46006</v>
      </c>
      <c r="K772" s="1" t="s">
        <v>957</v>
      </c>
      <c r="L772" s="1" t="s">
        <v>30</v>
      </c>
      <c r="M772" s="8">
        <v>0</v>
      </c>
      <c r="N772" s="6"/>
      <c r="O772" s="6"/>
      <c r="P772" s="9">
        <v>950.48</v>
      </c>
    </row>
    <row r="773" spans="1:16" ht="19.5" customHeight="1">
      <c r="A773" s="1" t="s">
        <v>1955</v>
      </c>
      <c r="B773" s="5">
        <v>46021</v>
      </c>
      <c r="C773" s="1" t="s">
        <v>31</v>
      </c>
      <c r="D773" s="1" t="s">
        <v>33</v>
      </c>
      <c r="E773" s="1" t="s">
        <v>25</v>
      </c>
      <c r="F773" s="1" t="s">
        <v>26</v>
      </c>
      <c r="G773" s="1" t="s">
        <v>1229</v>
      </c>
      <c r="H773" s="6">
        <v>1</v>
      </c>
      <c r="I773" s="7">
        <v>1738</v>
      </c>
      <c r="J773" s="5">
        <v>46006</v>
      </c>
      <c r="K773" s="1" t="s">
        <v>957</v>
      </c>
      <c r="L773" s="1" t="s">
        <v>30</v>
      </c>
      <c r="M773" s="8">
        <v>0</v>
      </c>
      <c r="N773" s="6"/>
      <c r="O773" s="6"/>
      <c r="P773" s="9">
        <v>0</v>
      </c>
    </row>
    <row r="774" spans="1:16" ht="19.5" customHeight="1">
      <c r="A774" s="1" t="s">
        <v>1955</v>
      </c>
      <c r="B774" s="5">
        <v>46021</v>
      </c>
      <c r="C774" s="1" t="s">
        <v>31</v>
      </c>
      <c r="D774" s="1" t="s">
        <v>34</v>
      </c>
      <c r="E774" s="1" t="s">
        <v>25</v>
      </c>
      <c r="F774" s="1" t="s">
        <v>26</v>
      </c>
      <c r="G774" s="1" t="s">
        <v>1229</v>
      </c>
      <c r="H774" s="6">
        <v>1</v>
      </c>
      <c r="I774" s="7">
        <v>1738</v>
      </c>
      <c r="J774" s="5">
        <v>46006</v>
      </c>
      <c r="K774" s="1" t="s">
        <v>957</v>
      </c>
      <c r="L774" s="1" t="s">
        <v>30</v>
      </c>
      <c r="M774" s="8">
        <v>0</v>
      </c>
      <c r="N774" s="6"/>
      <c r="O774" s="6"/>
      <c r="P774" s="9">
        <v>787.52</v>
      </c>
    </row>
    <row r="775" spans="1:16" ht="19.5" customHeight="1">
      <c r="A775" s="1" t="s">
        <v>1955</v>
      </c>
      <c r="B775" s="5">
        <v>46021</v>
      </c>
      <c r="C775" s="1" t="s">
        <v>35</v>
      </c>
      <c r="D775" s="1" t="s">
        <v>36</v>
      </c>
      <c r="E775" s="1" t="s">
        <v>25</v>
      </c>
      <c r="F775" s="1" t="s">
        <v>26</v>
      </c>
      <c r="G775" s="1" t="s">
        <v>1229</v>
      </c>
      <c r="H775" s="6">
        <v>1</v>
      </c>
      <c r="I775" s="7">
        <v>1738</v>
      </c>
      <c r="J775" s="5">
        <v>46006</v>
      </c>
      <c r="K775" s="1" t="s">
        <v>957</v>
      </c>
      <c r="L775" s="1" t="s">
        <v>30</v>
      </c>
      <c r="M775" s="8">
        <v>0.43</v>
      </c>
      <c r="N775" s="6"/>
      <c r="O775" s="6"/>
      <c r="P775" s="9">
        <v>-747.34</v>
      </c>
    </row>
    <row r="776" spans="1:16" ht="19.5" customHeight="1">
      <c r="A776" s="1" t="s">
        <v>1955</v>
      </c>
      <c r="B776" s="5">
        <v>46021</v>
      </c>
      <c r="C776" s="1" t="s">
        <v>17</v>
      </c>
      <c r="D776" s="1" t="s">
        <v>37</v>
      </c>
      <c r="E776" s="1" t="s">
        <v>25</v>
      </c>
      <c r="F776" s="1" t="s">
        <v>26</v>
      </c>
      <c r="G776" s="1" t="s">
        <v>1229</v>
      </c>
      <c r="H776" s="6">
        <v>1</v>
      </c>
      <c r="I776" s="7">
        <v>1738</v>
      </c>
      <c r="J776" s="5">
        <v>46006</v>
      </c>
      <c r="K776" s="1" t="s">
        <v>957</v>
      </c>
      <c r="L776" s="1" t="s">
        <v>30</v>
      </c>
      <c r="M776" s="8">
        <v>0.43</v>
      </c>
      <c r="N776" s="6"/>
      <c r="O776" s="6"/>
      <c r="P776" s="9">
        <v>-12.62</v>
      </c>
    </row>
    <row r="777" spans="1:16" ht="19.5" customHeight="1">
      <c r="A777" s="1" t="s">
        <v>1956</v>
      </c>
      <c r="B777" s="5">
        <v>46021</v>
      </c>
      <c r="C777" s="1" t="s">
        <v>28</v>
      </c>
      <c r="D777" s="1" t="s">
        <v>29</v>
      </c>
      <c r="E777" s="1" t="s">
        <v>223</v>
      </c>
      <c r="F777" s="1" t="s">
        <v>395</v>
      </c>
      <c r="G777" s="1" t="s">
        <v>1229</v>
      </c>
      <c r="H777" s="6">
        <v>1</v>
      </c>
      <c r="I777" s="7">
        <v>0</v>
      </c>
      <c r="J777" s="5">
        <v>46009</v>
      </c>
      <c r="K777" s="1" t="s">
        <v>957</v>
      </c>
      <c r="L777" s="1" t="s">
        <v>30</v>
      </c>
      <c r="M777" s="8">
        <v>0</v>
      </c>
      <c r="N777" s="6"/>
      <c r="O777" s="6">
        <v>40</v>
      </c>
      <c r="P777" s="9">
        <v>-46.77</v>
      </c>
    </row>
    <row r="778" spans="1:16" ht="19.5" customHeight="1">
      <c r="A778" s="1" t="s">
        <v>1956</v>
      </c>
      <c r="B778" s="5">
        <v>46021</v>
      </c>
      <c r="C778" s="1" t="s">
        <v>17</v>
      </c>
      <c r="D778" s="1" t="s">
        <v>37</v>
      </c>
      <c r="E778" s="1" t="s">
        <v>223</v>
      </c>
      <c r="F778" s="1" t="s">
        <v>395</v>
      </c>
      <c r="G778" s="1" t="s">
        <v>1229</v>
      </c>
      <c r="H778" s="6">
        <v>1</v>
      </c>
      <c r="I778" s="7">
        <v>0</v>
      </c>
      <c r="J778" s="5">
        <v>46009</v>
      </c>
      <c r="K778" s="1" t="s">
        <v>957</v>
      </c>
      <c r="L778" s="1" t="s">
        <v>30</v>
      </c>
      <c r="M778" s="8">
        <v>0</v>
      </c>
      <c r="N778" s="6"/>
      <c r="O778" s="6"/>
      <c r="P778" s="9">
        <v>-12.49</v>
      </c>
    </row>
    <row r="779" spans="1:16" ht="19.5" customHeight="1">
      <c r="A779" s="1" t="s">
        <v>1956</v>
      </c>
      <c r="B779" s="5">
        <v>46021</v>
      </c>
      <c r="C779" s="1" t="s">
        <v>28</v>
      </c>
      <c r="D779" s="1" t="s">
        <v>45</v>
      </c>
      <c r="E779" s="1" t="s">
        <v>223</v>
      </c>
      <c r="F779" s="1" t="s">
        <v>395</v>
      </c>
      <c r="G779" s="1" t="s">
        <v>1229</v>
      </c>
      <c r="H779" s="6">
        <v>1</v>
      </c>
      <c r="I779" s="7">
        <v>0</v>
      </c>
      <c r="J779" s="5">
        <v>46009</v>
      </c>
      <c r="K779" s="1" t="s">
        <v>957</v>
      </c>
      <c r="L779" s="1" t="s">
        <v>30</v>
      </c>
      <c r="M779" s="8">
        <v>0</v>
      </c>
      <c r="N779" s="6"/>
      <c r="O779" s="6"/>
      <c r="P779" s="9">
        <v>0</v>
      </c>
    </row>
    <row r="780" spans="1:16" ht="19.5" customHeight="1">
      <c r="A780" s="1" t="s">
        <v>1956</v>
      </c>
      <c r="B780" s="5">
        <v>46021</v>
      </c>
      <c r="C780" s="1" t="s">
        <v>28</v>
      </c>
      <c r="D780" s="1" t="s">
        <v>46</v>
      </c>
      <c r="E780" s="1" t="s">
        <v>223</v>
      </c>
      <c r="F780" s="1" t="s">
        <v>395</v>
      </c>
      <c r="G780" s="1" t="s">
        <v>1229</v>
      </c>
      <c r="H780" s="6">
        <v>1</v>
      </c>
      <c r="I780" s="7">
        <v>0</v>
      </c>
      <c r="J780" s="5">
        <v>46009</v>
      </c>
      <c r="K780" s="1" t="s">
        <v>957</v>
      </c>
      <c r="L780" s="1" t="s">
        <v>30</v>
      </c>
      <c r="M780" s="8">
        <v>0</v>
      </c>
      <c r="N780" s="6"/>
      <c r="O780" s="6"/>
      <c r="P780" s="9">
        <v>-46.77</v>
      </c>
    </row>
    <row r="781" spans="1:16" ht="19.5" customHeight="1">
      <c r="A781" s="1" t="s">
        <v>1956</v>
      </c>
      <c r="B781" s="5">
        <v>46021</v>
      </c>
      <c r="C781" s="1" t="s">
        <v>17</v>
      </c>
      <c r="D781" s="1" t="s">
        <v>47</v>
      </c>
      <c r="E781" s="1" t="s">
        <v>223</v>
      </c>
      <c r="F781" s="1" t="s">
        <v>395</v>
      </c>
      <c r="G781" s="1" t="s">
        <v>1229</v>
      </c>
      <c r="H781" s="6">
        <v>1</v>
      </c>
      <c r="I781" s="7">
        <v>0</v>
      </c>
      <c r="J781" s="5">
        <v>46009</v>
      </c>
      <c r="K781" s="1" t="s">
        <v>957</v>
      </c>
      <c r="L781" s="1" t="s">
        <v>30</v>
      </c>
      <c r="M781" s="8">
        <v>0</v>
      </c>
      <c r="N781" s="6"/>
      <c r="O781" s="6"/>
      <c r="P781" s="9">
        <v>-15</v>
      </c>
    </row>
    <row r="782" spans="1:16" ht="19.5" customHeight="1">
      <c r="A782" s="1" t="s">
        <v>1957</v>
      </c>
      <c r="B782" s="5">
        <v>46021</v>
      </c>
      <c r="C782" s="1" t="s">
        <v>17</v>
      </c>
      <c r="D782" s="1" t="s">
        <v>18</v>
      </c>
      <c r="E782" s="1" t="s">
        <v>223</v>
      </c>
      <c r="F782" s="1" t="s">
        <v>395</v>
      </c>
      <c r="G782" s="1" t="s">
        <v>1229</v>
      </c>
      <c r="H782" s="6">
        <v>1</v>
      </c>
      <c r="I782" s="7">
        <v>0</v>
      </c>
      <c r="J782" s="5">
        <v>46021</v>
      </c>
      <c r="K782" s="1" t="s">
        <v>22</v>
      </c>
      <c r="L782" s="1" t="s">
        <v>22</v>
      </c>
      <c r="M782" s="8">
        <v>0</v>
      </c>
      <c r="N782" s="6"/>
      <c r="O782" s="6"/>
      <c r="P782" s="9">
        <v>-8.74</v>
      </c>
    </row>
    <row r="783" spans="1:16" ht="19.5" customHeight="1">
      <c r="A783" s="1" t="s">
        <v>1958</v>
      </c>
      <c r="B783" s="5">
        <v>46021</v>
      </c>
      <c r="C783" s="1" t="s">
        <v>17</v>
      </c>
      <c r="D783" s="1" t="s">
        <v>18</v>
      </c>
      <c r="E783" s="1" t="s">
        <v>25</v>
      </c>
      <c r="F783" s="1" t="s">
        <v>26</v>
      </c>
      <c r="G783" s="1" t="s">
        <v>1229</v>
      </c>
      <c r="H783" s="6">
        <v>1</v>
      </c>
      <c r="I783" s="7">
        <v>0</v>
      </c>
      <c r="J783" s="5">
        <v>46021</v>
      </c>
      <c r="K783" s="1" t="s">
        <v>22</v>
      </c>
      <c r="L783" s="1" t="s">
        <v>22</v>
      </c>
      <c r="M783" s="8">
        <v>0</v>
      </c>
      <c r="N783" s="6"/>
      <c r="O783" s="6"/>
      <c r="P783" s="9">
        <v>-11.18</v>
      </c>
    </row>
    <row r="784" spans="1:16" ht="19.5" customHeight="1">
      <c r="A784" s="1" t="s">
        <v>1959</v>
      </c>
      <c r="B784" s="5">
        <v>46021</v>
      </c>
      <c r="C784" s="1" t="s">
        <v>28</v>
      </c>
      <c r="D784" s="1" t="s">
        <v>29</v>
      </c>
      <c r="E784" s="1" t="s">
        <v>25</v>
      </c>
      <c r="F784" s="1" t="s">
        <v>26</v>
      </c>
      <c r="G784" s="1" t="s">
        <v>1229</v>
      </c>
      <c r="H784" s="6">
        <v>1</v>
      </c>
      <c r="I784" s="7">
        <v>1704</v>
      </c>
      <c r="J784" s="5">
        <v>46016</v>
      </c>
      <c r="K784" s="1" t="s">
        <v>957</v>
      </c>
      <c r="L784" s="1" t="s">
        <v>30</v>
      </c>
      <c r="M784" s="8">
        <v>0.43</v>
      </c>
      <c r="N784" s="6"/>
      <c r="O784" s="6">
        <v>38</v>
      </c>
      <c r="P784" s="9">
        <v>-104.84</v>
      </c>
    </row>
    <row r="785" spans="1:16" ht="19.5" customHeight="1">
      <c r="A785" s="1" t="s">
        <v>1959</v>
      </c>
      <c r="B785" s="5">
        <v>46021</v>
      </c>
      <c r="C785" s="1" t="s">
        <v>31</v>
      </c>
      <c r="D785" s="1" t="s">
        <v>32</v>
      </c>
      <c r="E785" s="1" t="s">
        <v>25</v>
      </c>
      <c r="F785" s="1" t="s">
        <v>26</v>
      </c>
      <c r="G785" s="1" t="s">
        <v>1229</v>
      </c>
      <c r="H785" s="6">
        <v>1</v>
      </c>
      <c r="I785" s="7">
        <v>1704</v>
      </c>
      <c r="J785" s="5">
        <v>46016</v>
      </c>
      <c r="K785" s="1" t="s">
        <v>957</v>
      </c>
      <c r="L785" s="1" t="s">
        <v>30</v>
      </c>
      <c r="M785" s="8">
        <v>0</v>
      </c>
      <c r="N785" s="6"/>
      <c r="O785" s="6"/>
      <c r="P785" s="9">
        <v>646.45000000000005</v>
      </c>
    </row>
    <row r="786" spans="1:16" ht="19.5" customHeight="1">
      <c r="A786" s="1" t="s">
        <v>1959</v>
      </c>
      <c r="B786" s="5">
        <v>46021</v>
      </c>
      <c r="C786" s="1" t="s">
        <v>31</v>
      </c>
      <c r="D786" s="1" t="s">
        <v>33</v>
      </c>
      <c r="E786" s="1" t="s">
        <v>25</v>
      </c>
      <c r="F786" s="1" t="s">
        <v>26</v>
      </c>
      <c r="G786" s="1" t="s">
        <v>1229</v>
      </c>
      <c r="H786" s="6">
        <v>1</v>
      </c>
      <c r="I786" s="7">
        <v>1704</v>
      </c>
      <c r="J786" s="5">
        <v>46016</v>
      </c>
      <c r="K786" s="1" t="s">
        <v>957</v>
      </c>
      <c r="L786" s="1" t="s">
        <v>30</v>
      </c>
      <c r="M786" s="8">
        <v>0</v>
      </c>
      <c r="N786" s="6"/>
      <c r="O786" s="6"/>
      <c r="P786" s="9">
        <v>0</v>
      </c>
    </row>
    <row r="787" spans="1:16" ht="19.5" customHeight="1">
      <c r="A787" s="1" t="s">
        <v>1959</v>
      </c>
      <c r="B787" s="5">
        <v>46021</v>
      </c>
      <c r="C787" s="1" t="s">
        <v>31</v>
      </c>
      <c r="D787" s="1" t="s">
        <v>34</v>
      </c>
      <c r="E787" s="1" t="s">
        <v>25</v>
      </c>
      <c r="F787" s="1" t="s">
        <v>26</v>
      </c>
      <c r="G787" s="1" t="s">
        <v>1229</v>
      </c>
      <c r="H787" s="6">
        <v>1</v>
      </c>
      <c r="I787" s="7">
        <v>1704</v>
      </c>
      <c r="J787" s="5">
        <v>46016</v>
      </c>
      <c r="K787" s="1" t="s">
        <v>957</v>
      </c>
      <c r="L787" s="1" t="s">
        <v>30</v>
      </c>
      <c r="M787" s="8">
        <v>0</v>
      </c>
      <c r="N787" s="6"/>
      <c r="O787" s="6"/>
      <c r="P787" s="9">
        <v>1057.55</v>
      </c>
    </row>
    <row r="788" spans="1:16" ht="19.5" customHeight="1">
      <c r="A788" s="1" t="s">
        <v>1959</v>
      </c>
      <c r="B788" s="5">
        <v>46021</v>
      </c>
      <c r="C788" s="1" t="s">
        <v>35</v>
      </c>
      <c r="D788" s="1" t="s">
        <v>36</v>
      </c>
      <c r="E788" s="1" t="s">
        <v>25</v>
      </c>
      <c r="F788" s="1" t="s">
        <v>26</v>
      </c>
      <c r="G788" s="1" t="s">
        <v>1229</v>
      </c>
      <c r="H788" s="6">
        <v>1</v>
      </c>
      <c r="I788" s="7">
        <v>1704</v>
      </c>
      <c r="J788" s="5">
        <v>46016</v>
      </c>
      <c r="K788" s="1" t="s">
        <v>957</v>
      </c>
      <c r="L788" s="1" t="s">
        <v>30</v>
      </c>
      <c r="M788" s="8">
        <v>0.43</v>
      </c>
      <c r="N788" s="6"/>
      <c r="O788" s="6"/>
      <c r="P788" s="9">
        <v>-732.72</v>
      </c>
    </row>
    <row r="789" spans="1:16" ht="19.5" customHeight="1">
      <c r="A789" s="1" t="s">
        <v>1959</v>
      </c>
      <c r="B789" s="5">
        <v>46021</v>
      </c>
      <c r="C789" s="1" t="s">
        <v>17</v>
      </c>
      <c r="D789" s="1" t="s">
        <v>37</v>
      </c>
      <c r="E789" s="1" t="s">
        <v>25</v>
      </c>
      <c r="F789" s="1" t="s">
        <v>26</v>
      </c>
      <c r="G789" s="1" t="s">
        <v>1229</v>
      </c>
      <c r="H789" s="6">
        <v>1</v>
      </c>
      <c r="I789" s="7">
        <v>1704</v>
      </c>
      <c r="J789" s="5">
        <v>46016</v>
      </c>
      <c r="K789" s="1" t="s">
        <v>957</v>
      </c>
      <c r="L789" s="1" t="s">
        <v>30</v>
      </c>
      <c r="M789" s="8">
        <v>0.43</v>
      </c>
      <c r="N789" s="6"/>
      <c r="O789" s="6"/>
      <c r="P789" s="9">
        <v>-9.6300000000000008</v>
      </c>
    </row>
    <row r="790" spans="1:16" ht="19.5" customHeight="1">
      <c r="A790" s="1" t="s">
        <v>1960</v>
      </c>
      <c r="B790" s="5">
        <v>46021</v>
      </c>
      <c r="C790" s="1" t="s">
        <v>28</v>
      </c>
      <c r="D790" s="1" t="s">
        <v>29</v>
      </c>
      <c r="E790" s="1" t="s">
        <v>25</v>
      </c>
      <c r="F790" s="1" t="s">
        <v>26</v>
      </c>
      <c r="G790" s="1" t="s">
        <v>1229</v>
      </c>
      <c r="H790" s="6">
        <v>1</v>
      </c>
      <c r="I790" s="7">
        <v>1704</v>
      </c>
      <c r="J790" s="5">
        <v>46020</v>
      </c>
      <c r="K790" s="1" t="s">
        <v>957</v>
      </c>
      <c r="L790" s="1" t="s">
        <v>30</v>
      </c>
      <c r="M790" s="8">
        <v>0.43</v>
      </c>
      <c r="N790" s="6"/>
      <c r="O790" s="6">
        <v>38</v>
      </c>
      <c r="P790" s="9">
        <v>-103.73</v>
      </c>
    </row>
    <row r="791" spans="1:16" ht="19.5" customHeight="1">
      <c r="A791" s="1" t="s">
        <v>1960</v>
      </c>
      <c r="B791" s="5">
        <v>46021</v>
      </c>
      <c r="C791" s="1" t="s">
        <v>31</v>
      </c>
      <c r="D791" s="1" t="s">
        <v>32</v>
      </c>
      <c r="E791" s="1" t="s">
        <v>25</v>
      </c>
      <c r="F791" s="1" t="s">
        <v>26</v>
      </c>
      <c r="G791" s="1" t="s">
        <v>1229</v>
      </c>
      <c r="H791" s="6">
        <v>1</v>
      </c>
      <c r="I791" s="7">
        <v>1704</v>
      </c>
      <c r="J791" s="5">
        <v>46020</v>
      </c>
      <c r="K791" s="1" t="s">
        <v>957</v>
      </c>
      <c r="L791" s="1" t="s">
        <v>30</v>
      </c>
      <c r="M791" s="8">
        <v>0</v>
      </c>
      <c r="N791" s="6"/>
      <c r="O791" s="6"/>
      <c r="P791" s="9">
        <v>585.71</v>
      </c>
    </row>
    <row r="792" spans="1:16" ht="19.5" customHeight="1">
      <c r="A792" s="1" t="s">
        <v>1960</v>
      </c>
      <c r="B792" s="5">
        <v>46021</v>
      </c>
      <c r="C792" s="1" t="s">
        <v>31</v>
      </c>
      <c r="D792" s="1" t="s">
        <v>33</v>
      </c>
      <c r="E792" s="1" t="s">
        <v>25</v>
      </c>
      <c r="F792" s="1" t="s">
        <v>26</v>
      </c>
      <c r="G792" s="1" t="s">
        <v>1229</v>
      </c>
      <c r="H792" s="6">
        <v>1</v>
      </c>
      <c r="I792" s="7">
        <v>1704</v>
      </c>
      <c r="J792" s="5">
        <v>46020</v>
      </c>
      <c r="K792" s="1" t="s">
        <v>957</v>
      </c>
      <c r="L792" s="1" t="s">
        <v>30</v>
      </c>
      <c r="M792" s="8">
        <v>0</v>
      </c>
      <c r="N792" s="6"/>
      <c r="O792" s="6"/>
      <c r="P792" s="9">
        <v>5.86</v>
      </c>
    </row>
    <row r="793" spans="1:16" ht="19.5" customHeight="1">
      <c r="A793" s="1" t="s">
        <v>1960</v>
      </c>
      <c r="B793" s="5">
        <v>46021</v>
      </c>
      <c r="C793" s="1" t="s">
        <v>31</v>
      </c>
      <c r="D793" s="1" t="s">
        <v>34</v>
      </c>
      <c r="E793" s="1" t="s">
        <v>25</v>
      </c>
      <c r="F793" s="1" t="s">
        <v>26</v>
      </c>
      <c r="G793" s="1" t="s">
        <v>1229</v>
      </c>
      <c r="H793" s="6">
        <v>1</v>
      </c>
      <c r="I793" s="7">
        <v>1704</v>
      </c>
      <c r="J793" s="5">
        <v>46020</v>
      </c>
      <c r="K793" s="1" t="s">
        <v>957</v>
      </c>
      <c r="L793" s="1" t="s">
        <v>30</v>
      </c>
      <c r="M793" s="8">
        <v>0</v>
      </c>
      <c r="N793" s="6"/>
      <c r="O793" s="6"/>
      <c r="P793" s="9">
        <v>1112.43</v>
      </c>
    </row>
    <row r="794" spans="1:16" ht="19.5" customHeight="1">
      <c r="A794" s="1" t="s">
        <v>1960</v>
      </c>
      <c r="B794" s="5">
        <v>46021</v>
      </c>
      <c r="C794" s="1" t="s">
        <v>35</v>
      </c>
      <c r="D794" s="1" t="s">
        <v>36</v>
      </c>
      <c r="E794" s="1" t="s">
        <v>25</v>
      </c>
      <c r="F794" s="1" t="s">
        <v>26</v>
      </c>
      <c r="G794" s="1" t="s">
        <v>1229</v>
      </c>
      <c r="H794" s="6">
        <v>1</v>
      </c>
      <c r="I794" s="7">
        <v>1704</v>
      </c>
      <c r="J794" s="5">
        <v>46020</v>
      </c>
      <c r="K794" s="1" t="s">
        <v>957</v>
      </c>
      <c r="L794" s="1" t="s">
        <v>30</v>
      </c>
      <c r="M794" s="8">
        <v>0.43</v>
      </c>
      <c r="N794" s="6"/>
      <c r="O794" s="6"/>
      <c r="P794" s="9">
        <v>-732.72</v>
      </c>
    </row>
    <row r="795" spans="1:16" ht="19.5" customHeight="1">
      <c r="A795" s="1" t="s">
        <v>1960</v>
      </c>
      <c r="B795" s="5">
        <v>46021</v>
      </c>
      <c r="C795" s="1" t="s">
        <v>17</v>
      </c>
      <c r="D795" s="1" t="s">
        <v>37</v>
      </c>
      <c r="E795" s="1" t="s">
        <v>25</v>
      </c>
      <c r="F795" s="1" t="s">
        <v>26</v>
      </c>
      <c r="G795" s="1" t="s">
        <v>1229</v>
      </c>
      <c r="H795" s="6">
        <v>1</v>
      </c>
      <c r="I795" s="7">
        <v>1704</v>
      </c>
      <c r="J795" s="5">
        <v>46020</v>
      </c>
      <c r="K795" s="1" t="s">
        <v>957</v>
      </c>
      <c r="L795" s="1" t="s">
        <v>30</v>
      </c>
      <c r="M795" s="8">
        <v>0.43</v>
      </c>
      <c r="N795" s="6"/>
      <c r="O795" s="6"/>
      <c r="P795" s="9">
        <v>-11.69</v>
      </c>
    </row>
    <row r="796" spans="1:16" ht="19.5" customHeight="1">
      <c r="A796" s="1" t="s">
        <v>1960</v>
      </c>
      <c r="B796" s="5">
        <v>46021</v>
      </c>
      <c r="C796" s="1" t="s">
        <v>17</v>
      </c>
      <c r="D796" s="1" t="s">
        <v>18</v>
      </c>
      <c r="E796" s="1" t="s">
        <v>25</v>
      </c>
      <c r="F796" s="1" t="s">
        <v>26</v>
      </c>
      <c r="G796" s="1" t="s">
        <v>1229</v>
      </c>
      <c r="H796" s="6">
        <v>1</v>
      </c>
      <c r="I796" s="7">
        <v>0</v>
      </c>
      <c r="J796" s="5">
        <v>46020</v>
      </c>
      <c r="K796" s="1" t="s">
        <v>22</v>
      </c>
      <c r="L796" s="1" t="s">
        <v>22</v>
      </c>
      <c r="M796" s="8">
        <v>0</v>
      </c>
      <c r="N796" s="6"/>
      <c r="O796" s="6"/>
      <c r="P796" s="9">
        <v>-11.13</v>
      </c>
    </row>
    <row r="797" spans="1:16" ht="19.5" customHeight="1">
      <c r="A797" s="1" t="s">
        <v>1961</v>
      </c>
      <c r="B797" s="5">
        <v>46021</v>
      </c>
      <c r="C797" s="1" t="s">
        <v>28</v>
      </c>
      <c r="D797" s="1" t="s">
        <v>29</v>
      </c>
      <c r="E797" s="1" t="s">
        <v>25</v>
      </c>
      <c r="F797" s="1" t="s">
        <v>26</v>
      </c>
      <c r="G797" s="1" t="s">
        <v>1229</v>
      </c>
      <c r="H797" s="6">
        <v>1</v>
      </c>
      <c r="I797" s="7">
        <v>1704</v>
      </c>
      <c r="J797" s="5">
        <v>46017</v>
      </c>
      <c r="K797" s="1" t="s">
        <v>957</v>
      </c>
      <c r="L797" s="1" t="s">
        <v>30</v>
      </c>
      <c r="M797" s="8">
        <v>0.43</v>
      </c>
      <c r="N797" s="6"/>
      <c r="O797" s="6">
        <v>38</v>
      </c>
      <c r="P797" s="9">
        <v>-104.84</v>
      </c>
    </row>
    <row r="798" spans="1:16" ht="19.5" customHeight="1">
      <c r="A798" s="1" t="s">
        <v>1961</v>
      </c>
      <c r="B798" s="5">
        <v>46021</v>
      </c>
      <c r="C798" s="1" t="s">
        <v>31</v>
      </c>
      <c r="D798" s="1" t="s">
        <v>32</v>
      </c>
      <c r="E798" s="1" t="s">
        <v>25</v>
      </c>
      <c r="F798" s="1" t="s">
        <v>26</v>
      </c>
      <c r="G798" s="1" t="s">
        <v>1229</v>
      </c>
      <c r="H798" s="6">
        <v>1</v>
      </c>
      <c r="I798" s="7">
        <v>1704</v>
      </c>
      <c r="J798" s="5">
        <v>46017</v>
      </c>
      <c r="K798" s="1" t="s">
        <v>957</v>
      </c>
      <c r="L798" s="1" t="s">
        <v>30</v>
      </c>
      <c r="M798" s="8">
        <v>0</v>
      </c>
      <c r="N798" s="6"/>
      <c r="O798" s="6"/>
      <c r="P798" s="9">
        <v>582.39</v>
      </c>
    </row>
    <row r="799" spans="1:16" ht="19.5" customHeight="1">
      <c r="A799" s="1" t="s">
        <v>1961</v>
      </c>
      <c r="B799" s="5">
        <v>46021</v>
      </c>
      <c r="C799" s="1" t="s">
        <v>31</v>
      </c>
      <c r="D799" s="1" t="s">
        <v>33</v>
      </c>
      <c r="E799" s="1" t="s">
        <v>25</v>
      </c>
      <c r="F799" s="1" t="s">
        <v>26</v>
      </c>
      <c r="G799" s="1" t="s">
        <v>1229</v>
      </c>
      <c r="H799" s="6">
        <v>1</v>
      </c>
      <c r="I799" s="7">
        <v>1704</v>
      </c>
      <c r="J799" s="5">
        <v>46017</v>
      </c>
      <c r="K799" s="1" t="s">
        <v>957</v>
      </c>
      <c r="L799" s="1" t="s">
        <v>30</v>
      </c>
      <c r="M799" s="8">
        <v>0</v>
      </c>
      <c r="N799" s="6"/>
      <c r="O799" s="6"/>
      <c r="P799" s="9">
        <v>5.82</v>
      </c>
    </row>
    <row r="800" spans="1:16" ht="19.5" customHeight="1">
      <c r="A800" s="1" t="s">
        <v>1961</v>
      </c>
      <c r="B800" s="5">
        <v>46021</v>
      </c>
      <c r="C800" s="1" t="s">
        <v>31</v>
      </c>
      <c r="D800" s="1" t="s">
        <v>34</v>
      </c>
      <c r="E800" s="1" t="s">
        <v>25</v>
      </c>
      <c r="F800" s="1" t="s">
        <v>26</v>
      </c>
      <c r="G800" s="1" t="s">
        <v>1229</v>
      </c>
      <c r="H800" s="6">
        <v>1</v>
      </c>
      <c r="I800" s="7">
        <v>1704</v>
      </c>
      <c r="J800" s="5">
        <v>46017</v>
      </c>
      <c r="K800" s="1" t="s">
        <v>957</v>
      </c>
      <c r="L800" s="1" t="s">
        <v>30</v>
      </c>
      <c r="M800" s="8">
        <v>0</v>
      </c>
      <c r="N800" s="6"/>
      <c r="O800" s="6"/>
      <c r="P800" s="9">
        <v>1115.79</v>
      </c>
    </row>
    <row r="801" spans="1:16" ht="19.5" customHeight="1">
      <c r="A801" s="1" t="s">
        <v>1961</v>
      </c>
      <c r="B801" s="5">
        <v>46021</v>
      </c>
      <c r="C801" s="1" t="s">
        <v>35</v>
      </c>
      <c r="D801" s="1" t="s">
        <v>36</v>
      </c>
      <c r="E801" s="1" t="s">
        <v>25</v>
      </c>
      <c r="F801" s="1" t="s">
        <v>26</v>
      </c>
      <c r="G801" s="1" t="s">
        <v>1229</v>
      </c>
      <c r="H801" s="6">
        <v>1</v>
      </c>
      <c r="I801" s="7">
        <v>1704</v>
      </c>
      <c r="J801" s="5">
        <v>46017</v>
      </c>
      <c r="K801" s="1" t="s">
        <v>957</v>
      </c>
      <c r="L801" s="1" t="s">
        <v>30</v>
      </c>
      <c r="M801" s="8">
        <v>0.43</v>
      </c>
      <c r="N801" s="6"/>
      <c r="O801" s="6"/>
      <c r="P801" s="9">
        <v>-732.72</v>
      </c>
    </row>
    <row r="802" spans="1:16" ht="19.5" customHeight="1">
      <c r="A802" s="1" t="s">
        <v>1961</v>
      </c>
      <c r="B802" s="5">
        <v>46021</v>
      </c>
      <c r="C802" s="1" t="s">
        <v>17</v>
      </c>
      <c r="D802" s="1" t="s">
        <v>37</v>
      </c>
      <c r="E802" s="1" t="s">
        <v>25</v>
      </c>
      <c r="F802" s="1" t="s">
        <v>26</v>
      </c>
      <c r="G802" s="1" t="s">
        <v>1229</v>
      </c>
      <c r="H802" s="6">
        <v>1</v>
      </c>
      <c r="I802" s="7">
        <v>1704</v>
      </c>
      <c r="J802" s="5">
        <v>46017</v>
      </c>
      <c r="K802" s="1" t="s">
        <v>957</v>
      </c>
      <c r="L802" s="1" t="s">
        <v>30</v>
      </c>
      <c r="M802" s="8">
        <v>0.43</v>
      </c>
      <c r="N802" s="6"/>
      <c r="O802" s="6"/>
      <c r="P802" s="9">
        <v>-8.1300000000000008</v>
      </c>
    </row>
    <row r="803" spans="1:16" ht="19.5" customHeight="1">
      <c r="A803" s="1" t="s">
        <v>1962</v>
      </c>
      <c r="B803" s="5">
        <v>46021</v>
      </c>
      <c r="C803" s="1" t="s">
        <v>28</v>
      </c>
      <c r="D803" s="1" t="s">
        <v>29</v>
      </c>
      <c r="E803" s="1" t="s">
        <v>92</v>
      </c>
      <c r="F803" s="1" t="s">
        <v>93</v>
      </c>
      <c r="G803" s="1" t="s">
        <v>1229</v>
      </c>
      <c r="H803" s="6">
        <v>1</v>
      </c>
      <c r="I803" s="7">
        <v>1195</v>
      </c>
      <c r="J803" s="5">
        <v>46018</v>
      </c>
      <c r="K803" s="1" t="s">
        <v>957</v>
      </c>
      <c r="L803" s="1" t="s">
        <v>30</v>
      </c>
      <c r="M803" s="8">
        <v>0.43</v>
      </c>
      <c r="N803" s="6"/>
      <c r="O803" s="6">
        <v>39</v>
      </c>
      <c r="P803" s="9">
        <v>-97.9</v>
      </c>
    </row>
    <row r="804" spans="1:16" ht="19.5" customHeight="1">
      <c r="A804" s="1" t="s">
        <v>1962</v>
      </c>
      <c r="B804" s="5">
        <v>46021</v>
      </c>
      <c r="C804" s="1" t="s">
        <v>31</v>
      </c>
      <c r="D804" s="1" t="s">
        <v>32</v>
      </c>
      <c r="E804" s="1" t="s">
        <v>92</v>
      </c>
      <c r="F804" s="1" t="s">
        <v>93</v>
      </c>
      <c r="G804" s="1" t="s">
        <v>1229</v>
      </c>
      <c r="H804" s="6">
        <v>1</v>
      </c>
      <c r="I804" s="7">
        <v>1195</v>
      </c>
      <c r="J804" s="5">
        <v>46018</v>
      </c>
      <c r="K804" s="1" t="s">
        <v>957</v>
      </c>
      <c r="L804" s="1" t="s">
        <v>30</v>
      </c>
      <c r="M804" s="8">
        <v>0</v>
      </c>
      <c r="N804" s="6"/>
      <c r="O804" s="6"/>
      <c r="P804" s="9">
        <v>593.33000000000004</v>
      </c>
    </row>
    <row r="805" spans="1:16" ht="19.5" customHeight="1">
      <c r="A805" s="1" t="s">
        <v>1962</v>
      </c>
      <c r="B805" s="5">
        <v>46021</v>
      </c>
      <c r="C805" s="1" t="s">
        <v>31</v>
      </c>
      <c r="D805" s="1" t="s">
        <v>33</v>
      </c>
      <c r="E805" s="1" t="s">
        <v>92</v>
      </c>
      <c r="F805" s="1" t="s">
        <v>93</v>
      </c>
      <c r="G805" s="1" t="s">
        <v>1229</v>
      </c>
      <c r="H805" s="6">
        <v>1</v>
      </c>
      <c r="I805" s="7">
        <v>1195</v>
      </c>
      <c r="J805" s="5">
        <v>46018</v>
      </c>
      <c r="K805" s="1" t="s">
        <v>957</v>
      </c>
      <c r="L805" s="1" t="s">
        <v>30</v>
      </c>
      <c r="M805" s="8">
        <v>0</v>
      </c>
      <c r="N805" s="6"/>
      <c r="O805" s="6"/>
      <c r="P805" s="9">
        <v>5.93</v>
      </c>
    </row>
    <row r="806" spans="1:16" ht="19.5" customHeight="1">
      <c r="A806" s="1" t="s">
        <v>1962</v>
      </c>
      <c r="B806" s="5">
        <v>46021</v>
      </c>
      <c r="C806" s="1" t="s">
        <v>31</v>
      </c>
      <c r="D806" s="1" t="s">
        <v>34</v>
      </c>
      <c r="E806" s="1" t="s">
        <v>92</v>
      </c>
      <c r="F806" s="1" t="s">
        <v>93</v>
      </c>
      <c r="G806" s="1" t="s">
        <v>1229</v>
      </c>
      <c r="H806" s="6">
        <v>1</v>
      </c>
      <c r="I806" s="7">
        <v>1195</v>
      </c>
      <c r="J806" s="5">
        <v>46018</v>
      </c>
      <c r="K806" s="1" t="s">
        <v>957</v>
      </c>
      <c r="L806" s="1" t="s">
        <v>30</v>
      </c>
      <c r="M806" s="8">
        <v>0</v>
      </c>
      <c r="N806" s="6"/>
      <c r="O806" s="6"/>
      <c r="P806" s="9">
        <v>595.74</v>
      </c>
    </row>
    <row r="807" spans="1:16" ht="19.5" customHeight="1">
      <c r="A807" s="1" t="s">
        <v>1962</v>
      </c>
      <c r="B807" s="5">
        <v>46021</v>
      </c>
      <c r="C807" s="1" t="s">
        <v>35</v>
      </c>
      <c r="D807" s="1" t="s">
        <v>36</v>
      </c>
      <c r="E807" s="1" t="s">
        <v>92</v>
      </c>
      <c r="F807" s="1" t="s">
        <v>93</v>
      </c>
      <c r="G807" s="1" t="s">
        <v>1229</v>
      </c>
      <c r="H807" s="6">
        <v>1</v>
      </c>
      <c r="I807" s="7">
        <v>1195</v>
      </c>
      <c r="J807" s="5">
        <v>46018</v>
      </c>
      <c r="K807" s="1" t="s">
        <v>957</v>
      </c>
      <c r="L807" s="1" t="s">
        <v>30</v>
      </c>
      <c r="M807" s="8">
        <v>0.43</v>
      </c>
      <c r="N807" s="6"/>
      <c r="O807" s="6"/>
      <c r="P807" s="9">
        <v>-513.85</v>
      </c>
    </row>
    <row r="808" spans="1:16" ht="19.5" customHeight="1">
      <c r="A808" s="1" t="s">
        <v>1962</v>
      </c>
      <c r="B808" s="5">
        <v>46021</v>
      </c>
      <c r="C808" s="1" t="s">
        <v>17</v>
      </c>
      <c r="D808" s="1" t="s">
        <v>37</v>
      </c>
      <c r="E808" s="1" t="s">
        <v>92</v>
      </c>
      <c r="F808" s="1" t="s">
        <v>93</v>
      </c>
      <c r="G808" s="1" t="s">
        <v>1229</v>
      </c>
      <c r="H808" s="6">
        <v>1</v>
      </c>
      <c r="I808" s="7">
        <v>1195</v>
      </c>
      <c r="J808" s="5">
        <v>46018</v>
      </c>
      <c r="K808" s="1" t="s">
        <v>957</v>
      </c>
      <c r="L808" s="1" t="s">
        <v>30</v>
      </c>
      <c r="M808" s="8">
        <v>0.43</v>
      </c>
      <c r="N808" s="6"/>
      <c r="O808" s="6"/>
      <c r="P808" s="9">
        <v>-13.72</v>
      </c>
    </row>
    <row r="809" spans="1:16" ht="19.5" customHeight="1">
      <c r="A809" s="1" t="s">
        <v>1961</v>
      </c>
      <c r="B809" s="5">
        <v>46021</v>
      </c>
      <c r="C809" s="1" t="s">
        <v>17</v>
      </c>
      <c r="D809" s="1" t="s">
        <v>18</v>
      </c>
      <c r="E809" s="1" t="s">
        <v>25</v>
      </c>
      <c r="F809" s="1" t="s">
        <v>26</v>
      </c>
      <c r="G809" s="1" t="s">
        <v>1229</v>
      </c>
      <c r="H809" s="6">
        <v>1</v>
      </c>
      <c r="I809" s="7">
        <v>0</v>
      </c>
      <c r="J809" s="5">
        <v>46017</v>
      </c>
      <c r="K809" s="1" t="s">
        <v>22</v>
      </c>
      <c r="L809" s="1" t="s">
        <v>22</v>
      </c>
      <c r="M809" s="8">
        <v>0</v>
      </c>
      <c r="N809" s="6"/>
      <c r="O809" s="6"/>
      <c r="P809" s="9">
        <v>-11.07</v>
      </c>
    </row>
    <row r="810" spans="1:16" ht="19.5" customHeight="1">
      <c r="A810" s="1" t="s">
        <v>1962</v>
      </c>
      <c r="B810" s="5">
        <v>46021</v>
      </c>
      <c r="C810" s="1" t="s">
        <v>17</v>
      </c>
      <c r="D810" s="1" t="s">
        <v>18</v>
      </c>
      <c r="E810" s="1" t="s">
        <v>92</v>
      </c>
      <c r="F810" s="1" t="s">
        <v>93</v>
      </c>
      <c r="G810" s="1" t="s">
        <v>1229</v>
      </c>
      <c r="H810" s="6">
        <v>1</v>
      </c>
      <c r="I810" s="7">
        <v>0</v>
      </c>
      <c r="J810" s="5">
        <v>46018</v>
      </c>
      <c r="K810" s="1" t="s">
        <v>22</v>
      </c>
      <c r="L810" s="1" t="s">
        <v>22</v>
      </c>
      <c r="M810" s="8">
        <v>0</v>
      </c>
      <c r="N810" s="6"/>
      <c r="O810" s="6"/>
      <c r="P810" s="9">
        <v>-11.27</v>
      </c>
    </row>
    <row r="811" spans="1:16" ht="19.5" customHeight="1">
      <c r="A811" s="1" t="s">
        <v>1963</v>
      </c>
      <c r="B811" s="5">
        <v>46021</v>
      </c>
      <c r="C811" s="1" t="s">
        <v>17</v>
      </c>
      <c r="D811" s="1" t="s">
        <v>18</v>
      </c>
      <c r="E811" s="1" t="s">
        <v>223</v>
      </c>
      <c r="F811" s="1" t="s">
        <v>395</v>
      </c>
      <c r="G811" s="1" t="s">
        <v>1229</v>
      </c>
      <c r="H811" s="6">
        <v>1</v>
      </c>
      <c r="I811" s="7">
        <v>0</v>
      </c>
      <c r="J811" s="5">
        <v>46021</v>
      </c>
      <c r="K811" s="1" t="s">
        <v>22</v>
      </c>
      <c r="L811" s="1" t="s">
        <v>22</v>
      </c>
      <c r="M811" s="8">
        <v>0</v>
      </c>
      <c r="N811" s="6"/>
      <c r="O811" s="6"/>
      <c r="P811" s="9">
        <v>-8.67</v>
      </c>
    </row>
    <row r="812" spans="1:16" ht="19.5" customHeight="1">
      <c r="A812" s="1" t="s">
        <v>1964</v>
      </c>
      <c r="B812" s="5">
        <v>46021</v>
      </c>
      <c r="C812" s="1" t="s">
        <v>28</v>
      </c>
      <c r="D812" s="1" t="s">
        <v>29</v>
      </c>
      <c r="E812" s="1" t="s">
        <v>25</v>
      </c>
      <c r="F812" s="1" t="s">
        <v>26</v>
      </c>
      <c r="G812" s="1" t="s">
        <v>1229</v>
      </c>
      <c r="H812" s="6">
        <v>1</v>
      </c>
      <c r="I812" s="7">
        <v>1704</v>
      </c>
      <c r="J812" s="5">
        <v>46019</v>
      </c>
      <c r="K812" s="1" t="s">
        <v>957</v>
      </c>
      <c r="L812" s="1" t="s">
        <v>30</v>
      </c>
      <c r="M812" s="8">
        <v>0.43</v>
      </c>
      <c r="N812" s="6"/>
      <c r="O812" s="6">
        <v>39</v>
      </c>
      <c r="P812" s="9">
        <v>-110.12</v>
      </c>
    </row>
    <row r="813" spans="1:16" ht="19.5" customHeight="1">
      <c r="A813" s="1" t="s">
        <v>1964</v>
      </c>
      <c r="B813" s="5">
        <v>46021</v>
      </c>
      <c r="C813" s="1" t="s">
        <v>31</v>
      </c>
      <c r="D813" s="1" t="s">
        <v>32</v>
      </c>
      <c r="E813" s="1" t="s">
        <v>25</v>
      </c>
      <c r="F813" s="1" t="s">
        <v>26</v>
      </c>
      <c r="G813" s="1" t="s">
        <v>1229</v>
      </c>
      <c r="H813" s="6">
        <v>1</v>
      </c>
      <c r="I813" s="7">
        <v>1704</v>
      </c>
      <c r="J813" s="5">
        <v>46019</v>
      </c>
      <c r="K813" s="1" t="s">
        <v>957</v>
      </c>
      <c r="L813" s="1" t="s">
        <v>30</v>
      </c>
      <c r="M813" s="8">
        <v>0</v>
      </c>
      <c r="N813" s="6"/>
      <c r="O813" s="6"/>
      <c r="P813" s="9">
        <v>649.52</v>
      </c>
    </row>
    <row r="814" spans="1:16" ht="19.5" customHeight="1">
      <c r="A814" s="1" t="s">
        <v>1964</v>
      </c>
      <c r="B814" s="5">
        <v>46021</v>
      </c>
      <c r="C814" s="1" t="s">
        <v>31</v>
      </c>
      <c r="D814" s="1" t="s">
        <v>33</v>
      </c>
      <c r="E814" s="1" t="s">
        <v>25</v>
      </c>
      <c r="F814" s="1" t="s">
        <v>26</v>
      </c>
      <c r="G814" s="1" t="s">
        <v>1229</v>
      </c>
      <c r="H814" s="6">
        <v>1</v>
      </c>
      <c r="I814" s="7">
        <v>1704</v>
      </c>
      <c r="J814" s="5">
        <v>46019</v>
      </c>
      <c r="K814" s="1" t="s">
        <v>957</v>
      </c>
      <c r="L814" s="1" t="s">
        <v>30</v>
      </c>
      <c r="M814" s="8">
        <v>0</v>
      </c>
      <c r="N814" s="6"/>
      <c r="O814" s="6"/>
      <c r="P814" s="9">
        <v>0</v>
      </c>
    </row>
    <row r="815" spans="1:16" ht="19.5" customHeight="1">
      <c r="A815" s="1" t="s">
        <v>1964</v>
      </c>
      <c r="B815" s="5">
        <v>46021</v>
      </c>
      <c r="C815" s="1" t="s">
        <v>31</v>
      </c>
      <c r="D815" s="1" t="s">
        <v>34</v>
      </c>
      <c r="E815" s="1" t="s">
        <v>25</v>
      </c>
      <c r="F815" s="1" t="s">
        <v>26</v>
      </c>
      <c r="G815" s="1" t="s">
        <v>1229</v>
      </c>
      <c r="H815" s="6">
        <v>1</v>
      </c>
      <c r="I815" s="7">
        <v>1704</v>
      </c>
      <c r="J815" s="5">
        <v>46019</v>
      </c>
      <c r="K815" s="1" t="s">
        <v>957</v>
      </c>
      <c r="L815" s="1" t="s">
        <v>30</v>
      </c>
      <c r="M815" s="8">
        <v>0</v>
      </c>
      <c r="N815" s="6"/>
      <c r="O815" s="6"/>
      <c r="P815" s="9">
        <v>1054.48</v>
      </c>
    </row>
    <row r="816" spans="1:16" ht="19.5" customHeight="1">
      <c r="A816" s="1" t="s">
        <v>1964</v>
      </c>
      <c r="B816" s="5">
        <v>46021</v>
      </c>
      <c r="C816" s="1" t="s">
        <v>35</v>
      </c>
      <c r="D816" s="1" t="s">
        <v>36</v>
      </c>
      <c r="E816" s="1" t="s">
        <v>25</v>
      </c>
      <c r="F816" s="1" t="s">
        <v>26</v>
      </c>
      <c r="G816" s="1" t="s">
        <v>1229</v>
      </c>
      <c r="H816" s="6">
        <v>1</v>
      </c>
      <c r="I816" s="7">
        <v>1704</v>
      </c>
      <c r="J816" s="5">
        <v>46019</v>
      </c>
      <c r="K816" s="1" t="s">
        <v>957</v>
      </c>
      <c r="L816" s="1" t="s">
        <v>30</v>
      </c>
      <c r="M816" s="8">
        <v>0.43</v>
      </c>
      <c r="N816" s="6"/>
      <c r="O816" s="6"/>
      <c r="P816" s="9">
        <v>-732.72</v>
      </c>
    </row>
    <row r="817" spans="1:16" ht="19.5" customHeight="1">
      <c r="A817" s="1" t="s">
        <v>1964</v>
      </c>
      <c r="B817" s="5">
        <v>46021</v>
      </c>
      <c r="C817" s="1" t="s">
        <v>17</v>
      </c>
      <c r="D817" s="1" t="s">
        <v>37</v>
      </c>
      <c r="E817" s="1" t="s">
        <v>25</v>
      </c>
      <c r="F817" s="1" t="s">
        <v>26</v>
      </c>
      <c r="G817" s="1" t="s">
        <v>1229</v>
      </c>
      <c r="H817" s="6">
        <v>1</v>
      </c>
      <c r="I817" s="7">
        <v>1704</v>
      </c>
      <c r="J817" s="5">
        <v>46019</v>
      </c>
      <c r="K817" s="1" t="s">
        <v>957</v>
      </c>
      <c r="L817" s="1" t="s">
        <v>30</v>
      </c>
      <c r="M817" s="8">
        <v>0.43</v>
      </c>
      <c r="N817" s="6"/>
      <c r="O817" s="6"/>
      <c r="P817" s="9">
        <v>-7.9</v>
      </c>
    </row>
    <row r="818" spans="1:16" ht="19.5" customHeight="1">
      <c r="A818" s="1" t="s">
        <v>1587</v>
      </c>
      <c r="B818" s="5">
        <v>46021</v>
      </c>
      <c r="C818" s="1" t="s">
        <v>28</v>
      </c>
      <c r="D818" s="1" t="s">
        <v>60</v>
      </c>
      <c r="E818" s="1" t="s">
        <v>25</v>
      </c>
      <c r="F818" s="1" t="s">
        <v>26</v>
      </c>
      <c r="G818" s="1" t="s">
        <v>1229</v>
      </c>
      <c r="H818" s="6">
        <v>1</v>
      </c>
      <c r="I818" s="7">
        <v>0</v>
      </c>
      <c r="J818" s="5">
        <v>45994</v>
      </c>
      <c r="K818" s="1" t="s">
        <v>957</v>
      </c>
      <c r="L818" s="1" t="s">
        <v>30</v>
      </c>
      <c r="M818" s="8">
        <v>0</v>
      </c>
      <c r="N818" s="6"/>
      <c r="O818" s="6"/>
      <c r="P818" s="9">
        <v>0</v>
      </c>
    </row>
    <row r="819" spans="1:16" ht="19.5" customHeight="1">
      <c r="A819" s="1" t="s">
        <v>1587</v>
      </c>
      <c r="B819" s="5">
        <v>46021</v>
      </c>
      <c r="C819" s="1" t="s">
        <v>28</v>
      </c>
      <c r="D819" s="1" t="s">
        <v>46</v>
      </c>
      <c r="E819" s="1" t="s">
        <v>25</v>
      </c>
      <c r="F819" s="1" t="s">
        <v>26</v>
      </c>
      <c r="G819" s="1" t="s">
        <v>1229</v>
      </c>
      <c r="H819" s="6">
        <v>1</v>
      </c>
      <c r="I819" s="7">
        <v>0</v>
      </c>
      <c r="J819" s="5">
        <v>45994</v>
      </c>
      <c r="K819" s="1" t="s">
        <v>957</v>
      </c>
      <c r="L819" s="1" t="s">
        <v>30</v>
      </c>
      <c r="M819" s="8">
        <v>0</v>
      </c>
      <c r="N819" s="6"/>
      <c r="O819" s="6"/>
      <c r="P819" s="9">
        <v>-46.77</v>
      </c>
    </row>
    <row r="820" spans="1:16" ht="19.5" customHeight="1">
      <c r="A820" s="1" t="s">
        <v>1587</v>
      </c>
      <c r="B820" s="5">
        <v>46021</v>
      </c>
      <c r="C820" s="1" t="s">
        <v>17</v>
      </c>
      <c r="D820" s="1" t="s">
        <v>47</v>
      </c>
      <c r="E820" s="1" t="s">
        <v>25</v>
      </c>
      <c r="F820" s="1" t="s">
        <v>26</v>
      </c>
      <c r="G820" s="1" t="s">
        <v>1229</v>
      </c>
      <c r="H820" s="6">
        <v>1</v>
      </c>
      <c r="I820" s="7">
        <v>0</v>
      </c>
      <c r="J820" s="5">
        <v>45994</v>
      </c>
      <c r="K820" s="1" t="s">
        <v>957</v>
      </c>
      <c r="L820" s="1" t="s">
        <v>30</v>
      </c>
      <c r="M820" s="8">
        <v>0</v>
      </c>
      <c r="N820" s="6"/>
      <c r="O820" s="6"/>
      <c r="P820" s="9">
        <v>-15</v>
      </c>
    </row>
    <row r="821" spans="1:16" ht="19.5" customHeight="1">
      <c r="A821" s="1" t="s">
        <v>1964</v>
      </c>
      <c r="B821" s="5">
        <v>46021</v>
      </c>
      <c r="C821" s="1" t="s">
        <v>17</v>
      </c>
      <c r="D821" s="1" t="s">
        <v>18</v>
      </c>
      <c r="E821" s="1" t="s">
        <v>25</v>
      </c>
      <c r="F821" s="1" t="s">
        <v>26</v>
      </c>
      <c r="G821" s="1" t="s">
        <v>1229</v>
      </c>
      <c r="H821" s="6">
        <v>1</v>
      </c>
      <c r="I821" s="7">
        <v>0</v>
      </c>
      <c r="J821" s="5">
        <v>46019</v>
      </c>
      <c r="K821" s="1" t="s">
        <v>22</v>
      </c>
      <c r="L821" s="1" t="s">
        <v>22</v>
      </c>
      <c r="M821" s="8">
        <v>0</v>
      </c>
      <c r="N821" s="6"/>
      <c r="O821" s="6"/>
      <c r="P821" s="9">
        <v>-2.86</v>
      </c>
    </row>
    <row r="822" spans="1:16" ht="19.5" customHeight="1">
      <c r="A822" s="1" t="s">
        <v>1965</v>
      </c>
      <c r="B822" s="5">
        <v>46021</v>
      </c>
      <c r="C822" s="1" t="s">
        <v>17</v>
      </c>
      <c r="D822" s="1" t="s">
        <v>18</v>
      </c>
      <c r="E822" s="1" t="s">
        <v>223</v>
      </c>
      <c r="F822" s="1" t="s">
        <v>395</v>
      </c>
      <c r="G822" s="1" t="s">
        <v>1229</v>
      </c>
      <c r="H822" s="6">
        <v>1</v>
      </c>
      <c r="I822" s="7">
        <v>0</v>
      </c>
      <c r="J822" s="5">
        <v>46021</v>
      </c>
      <c r="K822" s="1" t="s">
        <v>22</v>
      </c>
      <c r="L822" s="1" t="s">
        <v>22</v>
      </c>
      <c r="M822" s="8">
        <v>0</v>
      </c>
      <c r="N822" s="6"/>
      <c r="O822" s="6"/>
      <c r="P822" s="9">
        <v>-8.48</v>
      </c>
    </row>
    <row r="823" spans="1:16" ht="19.5" customHeight="1">
      <c r="A823" s="1" t="s">
        <v>1908</v>
      </c>
      <c r="B823" s="5">
        <v>46021</v>
      </c>
      <c r="C823" s="1" t="s">
        <v>77</v>
      </c>
      <c r="D823" s="1" t="s">
        <v>82</v>
      </c>
      <c r="E823" s="1" t="s">
        <v>22</v>
      </c>
      <c r="F823" s="1" t="s">
        <v>22</v>
      </c>
      <c r="G823" s="1" t="s">
        <v>22</v>
      </c>
      <c r="H823" s="6">
        <v>0</v>
      </c>
      <c r="I823" s="7">
        <v>0</v>
      </c>
      <c r="J823" s="5">
        <v>46021</v>
      </c>
      <c r="K823" s="1" t="s">
        <v>22</v>
      </c>
      <c r="L823" s="1" t="s">
        <v>22</v>
      </c>
      <c r="M823" s="8">
        <v>0</v>
      </c>
      <c r="N823" s="6"/>
      <c r="O823" s="6"/>
      <c r="P823" s="9">
        <v>-342.08</v>
      </c>
    </row>
    <row r="824" spans="1:16" ht="19.5" customHeight="1">
      <c r="A824" s="1" t="s">
        <v>1910</v>
      </c>
      <c r="B824" s="5">
        <v>46021</v>
      </c>
      <c r="C824" s="1" t="s">
        <v>77</v>
      </c>
      <c r="D824" s="1" t="s">
        <v>82</v>
      </c>
      <c r="E824" s="1" t="s">
        <v>22</v>
      </c>
      <c r="F824" s="1" t="s">
        <v>22</v>
      </c>
      <c r="G824" s="1" t="s">
        <v>22</v>
      </c>
      <c r="H824" s="6">
        <v>0</v>
      </c>
      <c r="I824" s="7">
        <v>0</v>
      </c>
      <c r="J824" s="5">
        <v>46021</v>
      </c>
      <c r="K824" s="1" t="s">
        <v>22</v>
      </c>
      <c r="L824" s="1" t="s">
        <v>22</v>
      </c>
      <c r="M824" s="8">
        <v>0</v>
      </c>
      <c r="N824" s="6"/>
      <c r="O824" s="6"/>
      <c r="P824" s="9">
        <v>-329.58</v>
      </c>
    </row>
    <row r="825" spans="1:16" ht="19.5" customHeight="1">
      <c r="A825" s="1" t="s">
        <v>1909</v>
      </c>
      <c r="B825" s="5">
        <v>46021</v>
      </c>
      <c r="C825" s="1" t="s">
        <v>77</v>
      </c>
      <c r="D825" s="1" t="s">
        <v>82</v>
      </c>
      <c r="E825" s="1" t="s">
        <v>22</v>
      </c>
      <c r="F825" s="1" t="s">
        <v>22</v>
      </c>
      <c r="G825" s="1" t="s">
        <v>22</v>
      </c>
      <c r="H825" s="6">
        <v>0</v>
      </c>
      <c r="I825" s="7">
        <v>0</v>
      </c>
      <c r="J825" s="5">
        <v>46021</v>
      </c>
      <c r="K825" s="1" t="s">
        <v>22</v>
      </c>
      <c r="L825" s="1" t="s">
        <v>22</v>
      </c>
      <c r="M825" s="8">
        <v>0</v>
      </c>
      <c r="N825" s="6"/>
      <c r="O825" s="6"/>
      <c r="P825" s="9">
        <v>-350.65</v>
      </c>
    </row>
    <row r="826" spans="1:16" ht="19.5" customHeight="1">
      <c r="A826" s="1" t="s">
        <v>1847</v>
      </c>
      <c r="B826" s="5">
        <v>46021</v>
      </c>
      <c r="C826" s="1" t="s">
        <v>77</v>
      </c>
      <c r="D826" s="1" t="s">
        <v>82</v>
      </c>
      <c r="E826" s="1" t="s">
        <v>22</v>
      </c>
      <c r="F826" s="1" t="s">
        <v>22</v>
      </c>
      <c r="G826" s="1" t="s">
        <v>22</v>
      </c>
      <c r="H826" s="6">
        <v>0</v>
      </c>
      <c r="I826" s="7">
        <v>0</v>
      </c>
      <c r="J826" s="5">
        <v>46021</v>
      </c>
      <c r="K826" s="1" t="s">
        <v>22</v>
      </c>
      <c r="L826" s="1" t="s">
        <v>22</v>
      </c>
      <c r="M826" s="8">
        <v>0</v>
      </c>
      <c r="N826" s="6"/>
      <c r="O826" s="6"/>
      <c r="P826" s="9">
        <v>-333.04</v>
      </c>
    </row>
    <row r="827" spans="1:16" ht="19.5" customHeight="1">
      <c r="A827" s="1" t="s">
        <v>1376</v>
      </c>
      <c r="B827" s="5">
        <v>46021</v>
      </c>
      <c r="C827" s="1" t="s">
        <v>77</v>
      </c>
      <c r="D827" s="1" t="s">
        <v>82</v>
      </c>
      <c r="E827" s="1" t="s">
        <v>22</v>
      </c>
      <c r="F827" s="1" t="s">
        <v>22</v>
      </c>
      <c r="G827" s="1" t="s">
        <v>22</v>
      </c>
      <c r="H827" s="6">
        <v>0</v>
      </c>
      <c r="I827" s="7">
        <v>0</v>
      </c>
      <c r="J827" s="5">
        <v>46021</v>
      </c>
      <c r="K827" s="1" t="s">
        <v>22</v>
      </c>
      <c r="L827" s="1" t="s">
        <v>22</v>
      </c>
      <c r="M827" s="8">
        <v>0</v>
      </c>
      <c r="N827" s="6"/>
      <c r="O827" s="6"/>
      <c r="P827" s="9">
        <v>-2152.87</v>
      </c>
    </row>
    <row r="828" spans="1:16" ht="19.5" customHeight="1">
      <c r="A828" s="1" t="s">
        <v>1075</v>
      </c>
      <c r="B828" s="5">
        <v>46021</v>
      </c>
      <c r="C828" s="1" t="s">
        <v>77</v>
      </c>
      <c r="D828" s="1" t="s">
        <v>82</v>
      </c>
      <c r="E828" s="1" t="s">
        <v>22</v>
      </c>
      <c r="F828" s="1" t="s">
        <v>22</v>
      </c>
      <c r="G828" s="1" t="s">
        <v>22</v>
      </c>
      <c r="H828" s="6">
        <v>0</v>
      </c>
      <c r="I828" s="7">
        <v>0</v>
      </c>
      <c r="J828" s="5">
        <v>46021</v>
      </c>
      <c r="K828" s="1" t="s">
        <v>22</v>
      </c>
      <c r="L828" s="1" t="s">
        <v>22</v>
      </c>
      <c r="M828" s="8">
        <v>0</v>
      </c>
      <c r="N828" s="6"/>
      <c r="O828" s="6"/>
      <c r="P828" s="9">
        <v>-853.37</v>
      </c>
    </row>
    <row r="829" spans="1:16" ht="19.5" customHeight="1">
      <c r="A829" s="1" t="s">
        <v>83</v>
      </c>
      <c r="B829" s="5">
        <v>46021</v>
      </c>
      <c r="C829" s="1" t="s">
        <v>77</v>
      </c>
      <c r="D829" s="1" t="s">
        <v>84</v>
      </c>
      <c r="E829" s="1" t="s">
        <v>22</v>
      </c>
      <c r="F829" s="1" t="s">
        <v>22</v>
      </c>
      <c r="G829" s="1" t="s">
        <v>22</v>
      </c>
      <c r="H829" s="6">
        <v>0</v>
      </c>
      <c r="I829" s="7">
        <v>0</v>
      </c>
      <c r="J829" s="5">
        <v>46021</v>
      </c>
      <c r="K829" s="1" t="s">
        <v>22</v>
      </c>
      <c r="L829" s="1" t="s">
        <v>22</v>
      </c>
      <c r="M829" s="8">
        <v>0</v>
      </c>
      <c r="N829" s="6"/>
      <c r="O829" s="6"/>
      <c r="P829" s="9">
        <v>-1703.5</v>
      </c>
    </row>
    <row r="830" spans="1:16" ht="19.5" customHeight="1">
      <c r="A830" s="1" t="s">
        <v>1966</v>
      </c>
      <c r="B830" s="5">
        <v>46022</v>
      </c>
      <c r="C830" s="1" t="s">
        <v>28</v>
      </c>
      <c r="D830" s="1" t="s">
        <v>45</v>
      </c>
      <c r="E830" s="1" t="s">
        <v>111</v>
      </c>
      <c r="F830" s="1" t="s">
        <v>112</v>
      </c>
      <c r="G830" s="1" t="s">
        <v>1704</v>
      </c>
      <c r="H830" s="6">
        <v>1</v>
      </c>
      <c r="I830" s="7">
        <v>0</v>
      </c>
      <c r="J830" s="5">
        <v>46017</v>
      </c>
      <c r="K830" s="1" t="s">
        <v>957</v>
      </c>
      <c r="L830" s="1" t="s">
        <v>30</v>
      </c>
      <c r="M830" s="8">
        <v>0</v>
      </c>
      <c r="N830" s="6"/>
      <c r="O830" s="6"/>
      <c r="P830" s="9">
        <v>0</v>
      </c>
    </row>
    <row r="831" spans="1:16" ht="19.5" customHeight="1">
      <c r="A831" s="1" t="s">
        <v>1966</v>
      </c>
      <c r="B831" s="5">
        <v>46022</v>
      </c>
      <c r="C831" s="1" t="s">
        <v>28</v>
      </c>
      <c r="D831" s="1" t="s">
        <v>46</v>
      </c>
      <c r="E831" s="1" t="s">
        <v>111</v>
      </c>
      <c r="F831" s="1" t="s">
        <v>112</v>
      </c>
      <c r="G831" s="1" t="s">
        <v>1704</v>
      </c>
      <c r="H831" s="6">
        <v>1</v>
      </c>
      <c r="I831" s="7">
        <v>0</v>
      </c>
      <c r="J831" s="5">
        <v>46017</v>
      </c>
      <c r="K831" s="1" t="s">
        <v>957</v>
      </c>
      <c r="L831" s="1" t="s">
        <v>30</v>
      </c>
      <c r="M831" s="8">
        <v>0</v>
      </c>
      <c r="N831" s="6"/>
      <c r="O831" s="6"/>
      <c r="P831" s="9">
        <v>-56.94</v>
      </c>
    </row>
    <row r="832" spans="1:16" ht="19.5" customHeight="1">
      <c r="A832" s="1" t="s">
        <v>1966</v>
      </c>
      <c r="B832" s="5">
        <v>46022</v>
      </c>
      <c r="C832" s="1" t="s">
        <v>17</v>
      </c>
      <c r="D832" s="1" t="s">
        <v>47</v>
      </c>
      <c r="E832" s="1" t="s">
        <v>111</v>
      </c>
      <c r="F832" s="1" t="s">
        <v>112</v>
      </c>
      <c r="G832" s="1" t="s">
        <v>1704</v>
      </c>
      <c r="H832" s="6">
        <v>1</v>
      </c>
      <c r="I832" s="7">
        <v>0</v>
      </c>
      <c r="J832" s="5">
        <v>46017</v>
      </c>
      <c r="K832" s="1" t="s">
        <v>957</v>
      </c>
      <c r="L832" s="1" t="s">
        <v>30</v>
      </c>
      <c r="M832" s="8">
        <v>0</v>
      </c>
      <c r="N832" s="6"/>
      <c r="O832" s="6"/>
      <c r="P832" s="9">
        <v>-15</v>
      </c>
    </row>
    <row r="833" spans="1:16" ht="19.5" customHeight="1">
      <c r="A833" s="1" t="s">
        <v>1966</v>
      </c>
      <c r="B833" s="5">
        <v>46022</v>
      </c>
      <c r="C833" s="1" t="s">
        <v>28</v>
      </c>
      <c r="D833" s="1" t="s">
        <v>29</v>
      </c>
      <c r="E833" s="1" t="s">
        <v>111</v>
      </c>
      <c r="F833" s="1" t="s">
        <v>112</v>
      </c>
      <c r="G833" s="1" t="s">
        <v>1704</v>
      </c>
      <c r="H833" s="6">
        <v>1</v>
      </c>
      <c r="I833" s="7">
        <v>0</v>
      </c>
      <c r="J833" s="5">
        <v>46017</v>
      </c>
      <c r="K833" s="1" t="s">
        <v>957</v>
      </c>
      <c r="L833" s="1" t="s">
        <v>30</v>
      </c>
      <c r="M833" s="8">
        <v>0</v>
      </c>
      <c r="N833" s="6"/>
      <c r="O833" s="6">
        <v>38</v>
      </c>
      <c r="P833" s="9">
        <v>-56.94</v>
      </c>
    </row>
    <row r="834" spans="1:16" ht="19.5" customHeight="1">
      <c r="A834" s="1" t="s">
        <v>1966</v>
      </c>
      <c r="B834" s="5">
        <v>46022</v>
      </c>
      <c r="C834" s="1" t="s">
        <v>17</v>
      </c>
      <c r="D834" s="1" t="s">
        <v>37</v>
      </c>
      <c r="E834" s="1" t="s">
        <v>111</v>
      </c>
      <c r="F834" s="1" t="s">
        <v>112</v>
      </c>
      <c r="G834" s="1" t="s">
        <v>1704</v>
      </c>
      <c r="H834" s="6">
        <v>1</v>
      </c>
      <c r="I834" s="7">
        <v>0</v>
      </c>
      <c r="J834" s="5">
        <v>46017</v>
      </c>
      <c r="K834" s="1" t="s">
        <v>957</v>
      </c>
      <c r="L834" s="1" t="s">
        <v>30</v>
      </c>
      <c r="M834" s="8">
        <v>0</v>
      </c>
      <c r="N834" s="6"/>
      <c r="O834" s="6"/>
      <c r="P834" s="9">
        <v>-10.050000000000001</v>
      </c>
    </row>
    <row r="835" spans="1:16" ht="19.5" customHeight="1">
      <c r="A835" s="1" t="s">
        <v>1967</v>
      </c>
      <c r="B835" s="5">
        <v>46022</v>
      </c>
      <c r="C835" s="1" t="s">
        <v>28</v>
      </c>
      <c r="D835" s="1" t="s">
        <v>29</v>
      </c>
      <c r="E835" s="1" t="s">
        <v>228</v>
      </c>
      <c r="F835" s="1" t="s">
        <v>393</v>
      </c>
      <c r="G835" s="1" t="s">
        <v>1229</v>
      </c>
      <c r="H835" s="6">
        <v>1</v>
      </c>
      <c r="I835" s="7">
        <v>0</v>
      </c>
      <c r="J835" s="5">
        <v>46015</v>
      </c>
      <c r="K835" s="1" t="s">
        <v>957</v>
      </c>
      <c r="L835" s="1" t="s">
        <v>30</v>
      </c>
      <c r="M835" s="8">
        <v>0</v>
      </c>
      <c r="N835" s="6"/>
      <c r="O835" s="6">
        <v>39</v>
      </c>
      <c r="P835" s="9">
        <v>-46.77</v>
      </c>
    </row>
    <row r="836" spans="1:16" ht="19.5" customHeight="1">
      <c r="A836" s="1" t="s">
        <v>1967</v>
      </c>
      <c r="B836" s="5">
        <v>46022</v>
      </c>
      <c r="C836" s="1" t="s">
        <v>17</v>
      </c>
      <c r="D836" s="1" t="s">
        <v>37</v>
      </c>
      <c r="E836" s="1" t="s">
        <v>228</v>
      </c>
      <c r="F836" s="1" t="s">
        <v>393</v>
      </c>
      <c r="G836" s="1" t="s">
        <v>1229</v>
      </c>
      <c r="H836" s="6">
        <v>1</v>
      </c>
      <c r="I836" s="7">
        <v>0</v>
      </c>
      <c r="J836" s="5">
        <v>46015</v>
      </c>
      <c r="K836" s="1" t="s">
        <v>957</v>
      </c>
      <c r="L836" s="1" t="s">
        <v>30</v>
      </c>
      <c r="M836" s="8">
        <v>0</v>
      </c>
      <c r="N836" s="6"/>
      <c r="O836" s="6"/>
      <c r="P836" s="9">
        <v>-6.93</v>
      </c>
    </row>
    <row r="837" spans="1:16" ht="19.5" customHeight="1">
      <c r="A837" s="1" t="s">
        <v>1967</v>
      </c>
      <c r="B837" s="5">
        <v>46022</v>
      </c>
      <c r="C837" s="1" t="s">
        <v>28</v>
      </c>
      <c r="D837" s="1" t="s">
        <v>45</v>
      </c>
      <c r="E837" s="1" t="s">
        <v>228</v>
      </c>
      <c r="F837" s="1" t="s">
        <v>393</v>
      </c>
      <c r="G837" s="1" t="s">
        <v>1229</v>
      </c>
      <c r="H837" s="6">
        <v>1</v>
      </c>
      <c r="I837" s="7">
        <v>0</v>
      </c>
      <c r="J837" s="5">
        <v>46015</v>
      </c>
      <c r="K837" s="1" t="s">
        <v>957</v>
      </c>
      <c r="L837" s="1" t="s">
        <v>30</v>
      </c>
      <c r="M837" s="8">
        <v>0</v>
      </c>
      <c r="N837" s="6"/>
      <c r="O837" s="6"/>
      <c r="P837" s="9">
        <v>0</v>
      </c>
    </row>
    <row r="838" spans="1:16" ht="19.5" customHeight="1">
      <c r="A838" s="1" t="s">
        <v>1967</v>
      </c>
      <c r="B838" s="5">
        <v>46022</v>
      </c>
      <c r="C838" s="1" t="s">
        <v>28</v>
      </c>
      <c r="D838" s="1" t="s">
        <v>46</v>
      </c>
      <c r="E838" s="1" t="s">
        <v>228</v>
      </c>
      <c r="F838" s="1" t="s">
        <v>393</v>
      </c>
      <c r="G838" s="1" t="s">
        <v>1229</v>
      </c>
      <c r="H838" s="6">
        <v>1</v>
      </c>
      <c r="I838" s="7">
        <v>0</v>
      </c>
      <c r="J838" s="5">
        <v>46015</v>
      </c>
      <c r="K838" s="1" t="s">
        <v>957</v>
      </c>
      <c r="L838" s="1" t="s">
        <v>30</v>
      </c>
      <c r="M838" s="8">
        <v>0</v>
      </c>
      <c r="N838" s="6"/>
      <c r="O838" s="6"/>
      <c r="P838" s="9">
        <v>-46.77</v>
      </c>
    </row>
    <row r="839" spans="1:16" ht="19.5" customHeight="1">
      <c r="A839" s="1" t="s">
        <v>1967</v>
      </c>
      <c r="B839" s="5">
        <v>46022</v>
      </c>
      <c r="C839" s="1" t="s">
        <v>17</v>
      </c>
      <c r="D839" s="1" t="s">
        <v>47</v>
      </c>
      <c r="E839" s="1" t="s">
        <v>228</v>
      </c>
      <c r="F839" s="1" t="s">
        <v>393</v>
      </c>
      <c r="G839" s="1" t="s">
        <v>1229</v>
      </c>
      <c r="H839" s="6">
        <v>1</v>
      </c>
      <c r="I839" s="7">
        <v>0</v>
      </c>
      <c r="J839" s="5">
        <v>46015</v>
      </c>
      <c r="K839" s="1" t="s">
        <v>957</v>
      </c>
      <c r="L839" s="1" t="s">
        <v>30</v>
      </c>
      <c r="M839" s="8">
        <v>0</v>
      </c>
      <c r="N839" s="6"/>
      <c r="O839" s="6"/>
      <c r="P839" s="9">
        <v>-15</v>
      </c>
    </row>
    <row r="840" spans="1:16" ht="19.5" customHeight="1">
      <c r="A840" s="1" t="s">
        <v>1968</v>
      </c>
      <c r="B840" s="5">
        <v>46022</v>
      </c>
      <c r="C840" s="1" t="s">
        <v>28</v>
      </c>
      <c r="D840" s="1" t="s">
        <v>29</v>
      </c>
      <c r="E840" s="1" t="s">
        <v>25</v>
      </c>
      <c r="F840" s="1" t="s">
        <v>26</v>
      </c>
      <c r="G840" s="1" t="s">
        <v>1229</v>
      </c>
      <c r="H840" s="6">
        <v>1</v>
      </c>
      <c r="I840" s="7">
        <v>1704</v>
      </c>
      <c r="J840" s="5">
        <v>46017</v>
      </c>
      <c r="K840" s="1" t="s">
        <v>957</v>
      </c>
      <c r="L840" s="1" t="s">
        <v>30</v>
      </c>
      <c r="M840" s="8">
        <v>0.43</v>
      </c>
      <c r="N840" s="6"/>
      <c r="O840" s="6">
        <v>38</v>
      </c>
      <c r="P840" s="9">
        <v>-104.84</v>
      </c>
    </row>
    <row r="841" spans="1:16" ht="19.5" customHeight="1">
      <c r="A841" s="1" t="s">
        <v>1968</v>
      </c>
      <c r="B841" s="5">
        <v>46022</v>
      </c>
      <c r="C841" s="1" t="s">
        <v>31</v>
      </c>
      <c r="D841" s="1" t="s">
        <v>32</v>
      </c>
      <c r="E841" s="1" t="s">
        <v>25</v>
      </c>
      <c r="F841" s="1" t="s">
        <v>26</v>
      </c>
      <c r="G841" s="1" t="s">
        <v>1229</v>
      </c>
      <c r="H841" s="6">
        <v>1</v>
      </c>
      <c r="I841" s="7">
        <v>1704</v>
      </c>
      <c r="J841" s="5">
        <v>46017</v>
      </c>
      <c r="K841" s="1" t="s">
        <v>957</v>
      </c>
      <c r="L841" s="1" t="s">
        <v>30</v>
      </c>
      <c r="M841" s="8">
        <v>0</v>
      </c>
      <c r="N841" s="6"/>
      <c r="O841" s="6"/>
      <c r="P841" s="9">
        <v>582.39</v>
      </c>
    </row>
    <row r="842" spans="1:16" ht="19.5" customHeight="1">
      <c r="A842" s="1" t="s">
        <v>1968</v>
      </c>
      <c r="B842" s="5">
        <v>46022</v>
      </c>
      <c r="C842" s="1" t="s">
        <v>31</v>
      </c>
      <c r="D842" s="1" t="s">
        <v>33</v>
      </c>
      <c r="E842" s="1" t="s">
        <v>25</v>
      </c>
      <c r="F842" s="1" t="s">
        <v>26</v>
      </c>
      <c r="G842" s="1" t="s">
        <v>1229</v>
      </c>
      <c r="H842" s="6">
        <v>1</v>
      </c>
      <c r="I842" s="7">
        <v>1704</v>
      </c>
      <c r="J842" s="5">
        <v>46017</v>
      </c>
      <c r="K842" s="1" t="s">
        <v>957</v>
      </c>
      <c r="L842" s="1" t="s">
        <v>30</v>
      </c>
      <c r="M842" s="8">
        <v>0</v>
      </c>
      <c r="N842" s="6"/>
      <c r="O842" s="6"/>
      <c r="P842" s="9">
        <v>5.82</v>
      </c>
    </row>
    <row r="843" spans="1:16" ht="19.5" customHeight="1">
      <c r="A843" s="1" t="s">
        <v>1968</v>
      </c>
      <c r="B843" s="5">
        <v>46022</v>
      </c>
      <c r="C843" s="1" t="s">
        <v>31</v>
      </c>
      <c r="D843" s="1" t="s">
        <v>34</v>
      </c>
      <c r="E843" s="1" t="s">
        <v>25</v>
      </c>
      <c r="F843" s="1" t="s">
        <v>26</v>
      </c>
      <c r="G843" s="1" t="s">
        <v>1229</v>
      </c>
      <c r="H843" s="6">
        <v>1</v>
      </c>
      <c r="I843" s="7">
        <v>1704</v>
      </c>
      <c r="J843" s="5">
        <v>46017</v>
      </c>
      <c r="K843" s="1" t="s">
        <v>957</v>
      </c>
      <c r="L843" s="1" t="s">
        <v>30</v>
      </c>
      <c r="M843" s="8">
        <v>0</v>
      </c>
      <c r="N843" s="6"/>
      <c r="O843" s="6"/>
      <c r="P843" s="9">
        <v>1115.79</v>
      </c>
    </row>
    <row r="844" spans="1:16" ht="19.5" customHeight="1">
      <c r="A844" s="1" t="s">
        <v>1968</v>
      </c>
      <c r="B844" s="5">
        <v>46022</v>
      </c>
      <c r="C844" s="1" t="s">
        <v>35</v>
      </c>
      <c r="D844" s="1" t="s">
        <v>36</v>
      </c>
      <c r="E844" s="1" t="s">
        <v>25</v>
      </c>
      <c r="F844" s="1" t="s">
        <v>26</v>
      </c>
      <c r="G844" s="1" t="s">
        <v>1229</v>
      </c>
      <c r="H844" s="6">
        <v>1</v>
      </c>
      <c r="I844" s="7">
        <v>1704</v>
      </c>
      <c r="J844" s="5">
        <v>46017</v>
      </c>
      <c r="K844" s="1" t="s">
        <v>957</v>
      </c>
      <c r="L844" s="1" t="s">
        <v>30</v>
      </c>
      <c r="M844" s="8">
        <v>0.43</v>
      </c>
      <c r="N844" s="6"/>
      <c r="O844" s="6"/>
      <c r="P844" s="9">
        <v>-732.72</v>
      </c>
    </row>
    <row r="845" spans="1:16" ht="19.5" customHeight="1">
      <c r="A845" s="1" t="s">
        <v>1968</v>
      </c>
      <c r="B845" s="5">
        <v>46022</v>
      </c>
      <c r="C845" s="1" t="s">
        <v>17</v>
      </c>
      <c r="D845" s="1" t="s">
        <v>37</v>
      </c>
      <c r="E845" s="1" t="s">
        <v>25</v>
      </c>
      <c r="F845" s="1" t="s">
        <v>26</v>
      </c>
      <c r="G845" s="1" t="s">
        <v>1229</v>
      </c>
      <c r="H845" s="6">
        <v>1</v>
      </c>
      <c r="I845" s="7">
        <v>1704</v>
      </c>
      <c r="J845" s="5">
        <v>46017</v>
      </c>
      <c r="K845" s="1" t="s">
        <v>957</v>
      </c>
      <c r="L845" s="1" t="s">
        <v>30</v>
      </c>
      <c r="M845" s="8">
        <v>0.43</v>
      </c>
      <c r="N845" s="6"/>
      <c r="O845" s="6"/>
      <c r="P845" s="9">
        <v>-7.37</v>
      </c>
    </row>
    <row r="846" spans="1:16" ht="19.5" customHeight="1">
      <c r="A846" s="1" t="s">
        <v>1969</v>
      </c>
      <c r="B846" s="5">
        <v>46022</v>
      </c>
      <c r="C846" s="1" t="s">
        <v>17</v>
      </c>
      <c r="D846" s="1" t="s">
        <v>18</v>
      </c>
      <c r="E846" s="1" t="s">
        <v>25</v>
      </c>
      <c r="F846" s="1" t="s">
        <v>26</v>
      </c>
      <c r="G846" s="1" t="s">
        <v>1229</v>
      </c>
      <c r="H846" s="6">
        <v>1</v>
      </c>
      <c r="I846" s="7">
        <v>0</v>
      </c>
      <c r="J846" s="5">
        <v>46022</v>
      </c>
      <c r="K846" s="1" t="s">
        <v>22</v>
      </c>
      <c r="L846" s="1" t="s">
        <v>22</v>
      </c>
      <c r="M846" s="8">
        <v>0</v>
      </c>
      <c r="N846" s="6"/>
      <c r="O846" s="6"/>
      <c r="P846" s="9">
        <v>-11.13</v>
      </c>
    </row>
    <row r="847" spans="1:16" ht="19.5" customHeight="1">
      <c r="A847" s="1" t="s">
        <v>1968</v>
      </c>
      <c r="B847" s="5">
        <v>46022</v>
      </c>
      <c r="C847" s="1" t="s">
        <v>17</v>
      </c>
      <c r="D847" s="1" t="s">
        <v>18</v>
      </c>
      <c r="E847" s="1" t="s">
        <v>25</v>
      </c>
      <c r="F847" s="1" t="s">
        <v>26</v>
      </c>
      <c r="G847" s="1" t="s">
        <v>1229</v>
      </c>
      <c r="H847" s="6">
        <v>1</v>
      </c>
      <c r="I847" s="7">
        <v>0</v>
      </c>
      <c r="J847" s="5">
        <v>46017</v>
      </c>
      <c r="K847" s="1" t="s">
        <v>22</v>
      </c>
      <c r="L847" s="1" t="s">
        <v>22</v>
      </c>
      <c r="M847" s="8">
        <v>0</v>
      </c>
      <c r="N847" s="6"/>
      <c r="O847" s="6"/>
      <c r="P847" s="9">
        <v>-11.07</v>
      </c>
    </row>
    <row r="848" spans="1:16" ht="19.5" customHeight="1">
      <c r="A848" s="1" t="s">
        <v>1970</v>
      </c>
      <c r="B848" s="5">
        <v>46022</v>
      </c>
      <c r="C848" s="1" t="s">
        <v>28</v>
      </c>
      <c r="D848" s="1" t="s">
        <v>29</v>
      </c>
      <c r="E848" s="1" t="s">
        <v>25</v>
      </c>
      <c r="F848" s="1" t="s">
        <v>26</v>
      </c>
      <c r="G848" s="1" t="s">
        <v>1229</v>
      </c>
      <c r="H848" s="6">
        <v>1</v>
      </c>
      <c r="I848" s="7">
        <v>0</v>
      </c>
      <c r="J848" s="5">
        <v>46012</v>
      </c>
      <c r="K848" s="1" t="s">
        <v>957</v>
      </c>
      <c r="L848" s="1" t="s">
        <v>30</v>
      </c>
      <c r="M848" s="8">
        <v>0</v>
      </c>
      <c r="N848" s="6"/>
      <c r="O848" s="6">
        <v>40</v>
      </c>
      <c r="P848" s="9">
        <v>-46.77</v>
      </c>
    </row>
    <row r="849" spans="1:16" ht="19.5" customHeight="1">
      <c r="A849" s="1" t="s">
        <v>1970</v>
      </c>
      <c r="B849" s="5">
        <v>46022</v>
      </c>
      <c r="C849" s="1" t="s">
        <v>17</v>
      </c>
      <c r="D849" s="1" t="s">
        <v>37</v>
      </c>
      <c r="E849" s="1" t="s">
        <v>25</v>
      </c>
      <c r="F849" s="1" t="s">
        <v>26</v>
      </c>
      <c r="G849" s="1" t="s">
        <v>1229</v>
      </c>
      <c r="H849" s="6">
        <v>1</v>
      </c>
      <c r="I849" s="7">
        <v>0</v>
      </c>
      <c r="J849" s="5">
        <v>46012</v>
      </c>
      <c r="K849" s="1" t="s">
        <v>957</v>
      </c>
      <c r="L849" s="1" t="s">
        <v>30</v>
      </c>
      <c r="M849" s="8">
        <v>0</v>
      </c>
      <c r="N849" s="6"/>
      <c r="O849" s="6"/>
      <c r="P849" s="9">
        <v>-12.82</v>
      </c>
    </row>
    <row r="850" spans="1:16" ht="19.5" customHeight="1">
      <c r="A850" s="1" t="s">
        <v>1970</v>
      </c>
      <c r="B850" s="5">
        <v>46022</v>
      </c>
      <c r="C850" s="1" t="s">
        <v>28</v>
      </c>
      <c r="D850" s="1" t="s">
        <v>45</v>
      </c>
      <c r="E850" s="1" t="s">
        <v>25</v>
      </c>
      <c r="F850" s="1" t="s">
        <v>26</v>
      </c>
      <c r="G850" s="1" t="s">
        <v>1229</v>
      </c>
      <c r="H850" s="6">
        <v>1</v>
      </c>
      <c r="I850" s="7">
        <v>0</v>
      </c>
      <c r="J850" s="5">
        <v>46012</v>
      </c>
      <c r="K850" s="1" t="s">
        <v>957</v>
      </c>
      <c r="L850" s="1" t="s">
        <v>30</v>
      </c>
      <c r="M850" s="8">
        <v>0</v>
      </c>
      <c r="N850" s="6"/>
      <c r="O850" s="6"/>
      <c r="P850" s="9">
        <v>0</v>
      </c>
    </row>
    <row r="851" spans="1:16" ht="19.5" customHeight="1">
      <c r="A851" s="1" t="s">
        <v>1970</v>
      </c>
      <c r="B851" s="5">
        <v>46022</v>
      </c>
      <c r="C851" s="1" t="s">
        <v>28</v>
      </c>
      <c r="D851" s="1" t="s">
        <v>46</v>
      </c>
      <c r="E851" s="1" t="s">
        <v>25</v>
      </c>
      <c r="F851" s="1" t="s">
        <v>26</v>
      </c>
      <c r="G851" s="1" t="s">
        <v>1229</v>
      </c>
      <c r="H851" s="6">
        <v>1</v>
      </c>
      <c r="I851" s="7">
        <v>0</v>
      </c>
      <c r="J851" s="5">
        <v>46012</v>
      </c>
      <c r="K851" s="1" t="s">
        <v>957</v>
      </c>
      <c r="L851" s="1" t="s">
        <v>30</v>
      </c>
      <c r="M851" s="8">
        <v>0</v>
      </c>
      <c r="N851" s="6"/>
      <c r="O851" s="6"/>
      <c r="P851" s="9">
        <v>-46.77</v>
      </c>
    </row>
    <row r="852" spans="1:16" ht="19.5" customHeight="1">
      <c r="A852" s="1" t="s">
        <v>1970</v>
      </c>
      <c r="B852" s="5">
        <v>46022</v>
      </c>
      <c r="C852" s="1" t="s">
        <v>17</v>
      </c>
      <c r="D852" s="1" t="s">
        <v>47</v>
      </c>
      <c r="E852" s="1" t="s">
        <v>25</v>
      </c>
      <c r="F852" s="1" t="s">
        <v>26</v>
      </c>
      <c r="G852" s="1" t="s">
        <v>1229</v>
      </c>
      <c r="H852" s="6">
        <v>1</v>
      </c>
      <c r="I852" s="7">
        <v>0</v>
      </c>
      <c r="J852" s="5">
        <v>46012</v>
      </c>
      <c r="K852" s="1" t="s">
        <v>957</v>
      </c>
      <c r="L852" s="1" t="s">
        <v>30</v>
      </c>
      <c r="M852" s="8">
        <v>0</v>
      </c>
      <c r="N852" s="6"/>
      <c r="O852" s="6"/>
      <c r="P852" s="9">
        <v>-15</v>
      </c>
    </row>
    <row r="853" spans="1:16" ht="19.5" customHeight="1">
      <c r="A853" s="1" t="s">
        <v>1971</v>
      </c>
      <c r="B853" s="5">
        <v>46022</v>
      </c>
      <c r="C853" s="1" t="s">
        <v>28</v>
      </c>
      <c r="D853" s="1" t="s">
        <v>29</v>
      </c>
      <c r="E853" s="1" t="s">
        <v>25</v>
      </c>
      <c r="F853" s="1" t="s">
        <v>26</v>
      </c>
      <c r="G853" s="1" t="s">
        <v>1229</v>
      </c>
      <c r="H853" s="6">
        <v>1</v>
      </c>
      <c r="I853" s="7">
        <v>1704</v>
      </c>
      <c r="J853" s="5">
        <v>46019</v>
      </c>
      <c r="K853" s="1" t="s">
        <v>957</v>
      </c>
      <c r="L853" s="1" t="s">
        <v>30</v>
      </c>
      <c r="M853" s="8">
        <v>0.43</v>
      </c>
      <c r="N853" s="6"/>
      <c r="O853" s="6">
        <v>39</v>
      </c>
      <c r="P853" s="9">
        <v>-108.98</v>
      </c>
    </row>
    <row r="854" spans="1:16" ht="19.5" customHeight="1">
      <c r="A854" s="1" t="s">
        <v>1971</v>
      </c>
      <c r="B854" s="5">
        <v>46022</v>
      </c>
      <c r="C854" s="1" t="s">
        <v>31</v>
      </c>
      <c r="D854" s="1" t="s">
        <v>32</v>
      </c>
      <c r="E854" s="1" t="s">
        <v>25</v>
      </c>
      <c r="F854" s="1" t="s">
        <v>26</v>
      </c>
      <c r="G854" s="1" t="s">
        <v>1229</v>
      </c>
      <c r="H854" s="6">
        <v>1</v>
      </c>
      <c r="I854" s="7">
        <v>1704</v>
      </c>
      <c r="J854" s="5">
        <v>46019</v>
      </c>
      <c r="K854" s="1" t="s">
        <v>957</v>
      </c>
      <c r="L854" s="1" t="s">
        <v>30</v>
      </c>
      <c r="M854" s="8">
        <v>0</v>
      </c>
      <c r="N854" s="6"/>
      <c r="O854" s="6"/>
      <c r="P854" s="9">
        <v>585.71</v>
      </c>
    </row>
    <row r="855" spans="1:16" ht="19.5" customHeight="1">
      <c r="A855" s="1" t="s">
        <v>1971</v>
      </c>
      <c r="B855" s="5">
        <v>46022</v>
      </c>
      <c r="C855" s="1" t="s">
        <v>31</v>
      </c>
      <c r="D855" s="1" t="s">
        <v>33</v>
      </c>
      <c r="E855" s="1" t="s">
        <v>25</v>
      </c>
      <c r="F855" s="1" t="s">
        <v>26</v>
      </c>
      <c r="G855" s="1" t="s">
        <v>1229</v>
      </c>
      <c r="H855" s="6">
        <v>1</v>
      </c>
      <c r="I855" s="7">
        <v>1704</v>
      </c>
      <c r="J855" s="5">
        <v>46019</v>
      </c>
      <c r="K855" s="1" t="s">
        <v>957</v>
      </c>
      <c r="L855" s="1" t="s">
        <v>30</v>
      </c>
      <c r="M855" s="8">
        <v>0</v>
      </c>
      <c r="N855" s="6"/>
      <c r="O855" s="6"/>
      <c r="P855" s="9">
        <v>5.86</v>
      </c>
    </row>
    <row r="856" spans="1:16" ht="19.5" customHeight="1">
      <c r="A856" s="1" t="s">
        <v>1971</v>
      </c>
      <c r="B856" s="5">
        <v>46022</v>
      </c>
      <c r="C856" s="1" t="s">
        <v>31</v>
      </c>
      <c r="D856" s="1" t="s">
        <v>34</v>
      </c>
      <c r="E856" s="1" t="s">
        <v>25</v>
      </c>
      <c r="F856" s="1" t="s">
        <v>26</v>
      </c>
      <c r="G856" s="1" t="s">
        <v>1229</v>
      </c>
      <c r="H856" s="6">
        <v>1</v>
      </c>
      <c r="I856" s="7">
        <v>1704</v>
      </c>
      <c r="J856" s="5">
        <v>46019</v>
      </c>
      <c r="K856" s="1" t="s">
        <v>957</v>
      </c>
      <c r="L856" s="1" t="s">
        <v>30</v>
      </c>
      <c r="M856" s="8">
        <v>0</v>
      </c>
      <c r="N856" s="6"/>
      <c r="O856" s="6"/>
      <c r="P856" s="9">
        <v>1112.43</v>
      </c>
    </row>
    <row r="857" spans="1:16" ht="19.5" customHeight="1">
      <c r="A857" s="1" t="s">
        <v>1971</v>
      </c>
      <c r="B857" s="5">
        <v>46022</v>
      </c>
      <c r="C857" s="1" t="s">
        <v>35</v>
      </c>
      <c r="D857" s="1" t="s">
        <v>36</v>
      </c>
      <c r="E857" s="1" t="s">
        <v>25</v>
      </c>
      <c r="F857" s="1" t="s">
        <v>26</v>
      </c>
      <c r="G857" s="1" t="s">
        <v>1229</v>
      </c>
      <c r="H857" s="6">
        <v>1</v>
      </c>
      <c r="I857" s="7">
        <v>1704</v>
      </c>
      <c r="J857" s="5">
        <v>46019</v>
      </c>
      <c r="K857" s="1" t="s">
        <v>957</v>
      </c>
      <c r="L857" s="1" t="s">
        <v>30</v>
      </c>
      <c r="M857" s="8">
        <v>0.43</v>
      </c>
      <c r="N857" s="6"/>
      <c r="O857" s="6"/>
      <c r="P857" s="9">
        <v>-732.72</v>
      </c>
    </row>
    <row r="858" spans="1:16" ht="19.5" customHeight="1">
      <c r="A858" s="1" t="s">
        <v>1971</v>
      </c>
      <c r="B858" s="5">
        <v>46022</v>
      </c>
      <c r="C858" s="1" t="s">
        <v>17</v>
      </c>
      <c r="D858" s="1" t="s">
        <v>37</v>
      </c>
      <c r="E858" s="1" t="s">
        <v>25</v>
      </c>
      <c r="F858" s="1" t="s">
        <v>26</v>
      </c>
      <c r="G858" s="1" t="s">
        <v>1229</v>
      </c>
      <c r="H858" s="6">
        <v>1</v>
      </c>
      <c r="I858" s="7">
        <v>1704</v>
      </c>
      <c r="J858" s="5">
        <v>46019</v>
      </c>
      <c r="K858" s="1" t="s">
        <v>957</v>
      </c>
      <c r="L858" s="1" t="s">
        <v>30</v>
      </c>
      <c r="M858" s="8">
        <v>0.43</v>
      </c>
      <c r="N858" s="6"/>
      <c r="O858" s="6"/>
      <c r="P858" s="9">
        <v>-8.7799999999999994</v>
      </c>
    </row>
    <row r="859" spans="1:16" ht="19.5" customHeight="1">
      <c r="A859" s="1" t="s">
        <v>1971</v>
      </c>
      <c r="B859" s="5">
        <v>46022</v>
      </c>
      <c r="C859" s="1" t="s">
        <v>17</v>
      </c>
      <c r="D859" s="1" t="s">
        <v>18</v>
      </c>
      <c r="E859" s="1" t="s">
        <v>25</v>
      </c>
      <c r="F859" s="1" t="s">
        <v>26</v>
      </c>
      <c r="G859" s="1" t="s">
        <v>1229</v>
      </c>
      <c r="H859" s="6">
        <v>1</v>
      </c>
      <c r="I859" s="7">
        <v>0</v>
      </c>
      <c r="J859" s="5">
        <v>46019</v>
      </c>
      <c r="K859" s="1" t="s">
        <v>22</v>
      </c>
      <c r="L859" s="1" t="s">
        <v>22</v>
      </c>
      <c r="M859" s="8">
        <v>0</v>
      </c>
      <c r="N859" s="6"/>
      <c r="O859" s="6"/>
      <c r="P859" s="9">
        <v>-11.13</v>
      </c>
    </row>
    <row r="860" spans="1:16" ht="19.5" customHeight="1">
      <c r="A860" s="1" t="s">
        <v>1972</v>
      </c>
      <c r="B860" s="5">
        <v>46022</v>
      </c>
      <c r="C860" s="1" t="s">
        <v>28</v>
      </c>
      <c r="D860" s="1" t="s">
        <v>29</v>
      </c>
      <c r="E860" s="1" t="s">
        <v>25</v>
      </c>
      <c r="F860" s="1" t="s">
        <v>26</v>
      </c>
      <c r="G860" s="1" t="s">
        <v>1229</v>
      </c>
      <c r="H860" s="6">
        <v>1</v>
      </c>
      <c r="I860" s="7">
        <v>1704</v>
      </c>
      <c r="J860" s="5">
        <v>46018</v>
      </c>
      <c r="K860" s="1" t="s">
        <v>957</v>
      </c>
      <c r="L860" s="1" t="s">
        <v>30</v>
      </c>
      <c r="M860" s="8">
        <v>0.43</v>
      </c>
      <c r="N860" s="6"/>
      <c r="O860" s="6">
        <v>39</v>
      </c>
      <c r="P860" s="9">
        <v>-108.98</v>
      </c>
    </row>
    <row r="861" spans="1:16" ht="19.5" customHeight="1">
      <c r="A861" s="1" t="s">
        <v>1972</v>
      </c>
      <c r="B861" s="5">
        <v>46022</v>
      </c>
      <c r="C861" s="1" t="s">
        <v>31</v>
      </c>
      <c r="D861" s="1" t="s">
        <v>32</v>
      </c>
      <c r="E861" s="1" t="s">
        <v>25</v>
      </c>
      <c r="F861" s="1" t="s">
        <v>26</v>
      </c>
      <c r="G861" s="1" t="s">
        <v>1229</v>
      </c>
      <c r="H861" s="6">
        <v>1</v>
      </c>
      <c r="I861" s="7">
        <v>1704</v>
      </c>
      <c r="J861" s="5">
        <v>46018</v>
      </c>
      <c r="K861" s="1" t="s">
        <v>957</v>
      </c>
      <c r="L861" s="1" t="s">
        <v>30</v>
      </c>
      <c r="M861" s="8">
        <v>0</v>
      </c>
      <c r="N861" s="6"/>
      <c r="O861" s="6"/>
      <c r="P861" s="9">
        <v>649.52</v>
      </c>
    </row>
    <row r="862" spans="1:16" ht="19.5" customHeight="1">
      <c r="A862" s="1" t="s">
        <v>1972</v>
      </c>
      <c r="B862" s="5">
        <v>46022</v>
      </c>
      <c r="C862" s="1" t="s">
        <v>31</v>
      </c>
      <c r="D862" s="1" t="s">
        <v>33</v>
      </c>
      <c r="E862" s="1" t="s">
        <v>25</v>
      </c>
      <c r="F862" s="1" t="s">
        <v>26</v>
      </c>
      <c r="G862" s="1" t="s">
        <v>1229</v>
      </c>
      <c r="H862" s="6">
        <v>1</v>
      </c>
      <c r="I862" s="7">
        <v>1704</v>
      </c>
      <c r="J862" s="5">
        <v>46018</v>
      </c>
      <c r="K862" s="1" t="s">
        <v>957</v>
      </c>
      <c r="L862" s="1" t="s">
        <v>30</v>
      </c>
      <c r="M862" s="8">
        <v>0</v>
      </c>
      <c r="N862" s="6"/>
      <c r="O862" s="6"/>
      <c r="P862" s="9">
        <v>0</v>
      </c>
    </row>
    <row r="863" spans="1:16" ht="19.5" customHeight="1">
      <c r="A863" s="1" t="s">
        <v>1972</v>
      </c>
      <c r="B863" s="5">
        <v>46022</v>
      </c>
      <c r="C863" s="1" t="s">
        <v>31</v>
      </c>
      <c r="D863" s="1" t="s">
        <v>34</v>
      </c>
      <c r="E863" s="1" t="s">
        <v>25</v>
      </c>
      <c r="F863" s="1" t="s">
        <v>26</v>
      </c>
      <c r="G863" s="1" t="s">
        <v>1229</v>
      </c>
      <c r="H863" s="6">
        <v>1</v>
      </c>
      <c r="I863" s="7">
        <v>1704</v>
      </c>
      <c r="J863" s="5">
        <v>46018</v>
      </c>
      <c r="K863" s="1" t="s">
        <v>957</v>
      </c>
      <c r="L863" s="1" t="s">
        <v>30</v>
      </c>
      <c r="M863" s="8">
        <v>0</v>
      </c>
      <c r="N863" s="6"/>
      <c r="O863" s="6"/>
      <c r="P863" s="9">
        <v>1054.48</v>
      </c>
    </row>
    <row r="864" spans="1:16" ht="19.5" customHeight="1">
      <c r="A864" s="1" t="s">
        <v>1972</v>
      </c>
      <c r="B864" s="5">
        <v>46022</v>
      </c>
      <c r="C864" s="1" t="s">
        <v>35</v>
      </c>
      <c r="D864" s="1" t="s">
        <v>36</v>
      </c>
      <c r="E864" s="1" t="s">
        <v>25</v>
      </c>
      <c r="F864" s="1" t="s">
        <v>26</v>
      </c>
      <c r="G864" s="1" t="s">
        <v>1229</v>
      </c>
      <c r="H864" s="6">
        <v>1</v>
      </c>
      <c r="I864" s="7">
        <v>1704</v>
      </c>
      <c r="J864" s="5">
        <v>46018</v>
      </c>
      <c r="K864" s="1" t="s">
        <v>957</v>
      </c>
      <c r="L864" s="1" t="s">
        <v>30</v>
      </c>
      <c r="M864" s="8">
        <v>0.43</v>
      </c>
      <c r="N864" s="6"/>
      <c r="O864" s="6"/>
      <c r="P864" s="9">
        <v>-732.72</v>
      </c>
    </row>
    <row r="865" spans="1:16" ht="19.5" customHeight="1">
      <c r="A865" s="1" t="s">
        <v>1972</v>
      </c>
      <c r="B865" s="5">
        <v>46022</v>
      </c>
      <c r="C865" s="1" t="s">
        <v>17</v>
      </c>
      <c r="D865" s="1" t="s">
        <v>37</v>
      </c>
      <c r="E865" s="1" t="s">
        <v>25</v>
      </c>
      <c r="F865" s="1" t="s">
        <v>26</v>
      </c>
      <c r="G865" s="1" t="s">
        <v>1229</v>
      </c>
      <c r="H865" s="6">
        <v>1</v>
      </c>
      <c r="I865" s="7">
        <v>1704</v>
      </c>
      <c r="J865" s="5">
        <v>46018</v>
      </c>
      <c r="K865" s="1" t="s">
        <v>957</v>
      </c>
      <c r="L865" s="1" t="s">
        <v>30</v>
      </c>
      <c r="M865" s="8">
        <v>0.43</v>
      </c>
      <c r="N865" s="6"/>
      <c r="O865" s="6"/>
      <c r="P865" s="9">
        <v>-9.6999999999999993</v>
      </c>
    </row>
    <row r="866" spans="1:16" ht="19.5" customHeight="1">
      <c r="A866" s="1" t="s">
        <v>1973</v>
      </c>
      <c r="B866" s="5">
        <v>46022</v>
      </c>
      <c r="C866" s="1" t="s">
        <v>28</v>
      </c>
      <c r="D866" s="1" t="s">
        <v>29</v>
      </c>
      <c r="E866" s="1" t="s">
        <v>25</v>
      </c>
      <c r="F866" s="1" t="s">
        <v>26</v>
      </c>
      <c r="G866" s="1" t="s">
        <v>1229</v>
      </c>
      <c r="H866" s="6">
        <v>1</v>
      </c>
      <c r="I866" s="7">
        <v>0</v>
      </c>
      <c r="J866" s="5">
        <v>46017</v>
      </c>
      <c r="K866" s="1" t="s">
        <v>957</v>
      </c>
      <c r="L866" s="1" t="s">
        <v>30</v>
      </c>
      <c r="M866" s="8">
        <v>0</v>
      </c>
      <c r="N866" s="6"/>
      <c r="O866" s="6">
        <v>38</v>
      </c>
      <c r="P866" s="9">
        <v>-104.84</v>
      </c>
    </row>
    <row r="867" spans="1:16" ht="19.5" customHeight="1">
      <c r="A867" s="1" t="s">
        <v>1974</v>
      </c>
      <c r="B867" s="5">
        <v>46022</v>
      </c>
      <c r="C867" s="1" t="s">
        <v>28</v>
      </c>
      <c r="D867" s="1" t="s">
        <v>29</v>
      </c>
      <c r="E867" s="1" t="s">
        <v>25</v>
      </c>
      <c r="F867" s="1" t="s">
        <v>26</v>
      </c>
      <c r="G867" s="1" t="s">
        <v>1229</v>
      </c>
      <c r="H867" s="6">
        <v>1</v>
      </c>
      <c r="I867" s="7">
        <v>0</v>
      </c>
      <c r="J867" s="5">
        <v>46005</v>
      </c>
      <c r="K867" s="1" t="s">
        <v>957</v>
      </c>
      <c r="L867" s="1" t="s">
        <v>30</v>
      </c>
      <c r="M867" s="8">
        <v>0</v>
      </c>
      <c r="N867" s="6"/>
      <c r="O867" s="6">
        <v>40</v>
      </c>
      <c r="P867" s="9">
        <v>-46</v>
      </c>
    </row>
    <row r="868" spans="1:16" ht="19.5" customHeight="1">
      <c r="A868" s="1" t="s">
        <v>1975</v>
      </c>
      <c r="B868" s="5">
        <v>46022</v>
      </c>
      <c r="C868" s="1" t="s">
        <v>28</v>
      </c>
      <c r="D868" s="1" t="s">
        <v>29</v>
      </c>
      <c r="E868" s="1" t="s">
        <v>92</v>
      </c>
      <c r="F868" s="1" t="s">
        <v>93</v>
      </c>
      <c r="G868" s="1" t="s">
        <v>1229</v>
      </c>
      <c r="H868" s="6">
        <v>1</v>
      </c>
      <c r="I868" s="7">
        <v>1195</v>
      </c>
      <c r="J868" s="5">
        <v>46020</v>
      </c>
      <c r="K868" s="1" t="s">
        <v>957</v>
      </c>
      <c r="L868" s="1" t="s">
        <v>30</v>
      </c>
      <c r="M868" s="8">
        <v>0.43</v>
      </c>
      <c r="N868" s="6"/>
      <c r="O868" s="6">
        <v>38</v>
      </c>
      <c r="P868" s="9">
        <v>-93.64</v>
      </c>
    </row>
    <row r="869" spans="1:16" ht="19.5" customHeight="1">
      <c r="A869" s="1" t="s">
        <v>1975</v>
      </c>
      <c r="B869" s="5">
        <v>46022</v>
      </c>
      <c r="C869" s="1" t="s">
        <v>31</v>
      </c>
      <c r="D869" s="1" t="s">
        <v>32</v>
      </c>
      <c r="E869" s="1" t="s">
        <v>92</v>
      </c>
      <c r="F869" s="1" t="s">
        <v>93</v>
      </c>
      <c r="G869" s="1" t="s">
        <v>1229</v>
      </c>
      <c r="H869" s="6">
        <v>1</v>
      </c>
      <c r="I869" s="7">
        <v>1195</v>
      </c>
      <c r="J869" s="5">
        <v>46020</v>
      </c>
      <c r="K869" s="1" t="s">
        <v>957</v>
      </c>
      <c r="L869" s="1" t="s">
        <v>30</v>
      </c>
      <c r="M869" s="8">
        <v>0</v>
      </c>
      <c r="N869" s="6"/>
      <c r="O869" s="6"/>
      <c r="P869" s="9">
        <v>585.16</v>
      </c>
    </row>
    <row r="870" spans="1:16" ht="19.5" customHeight="1">
      <c r="A870" s="1" t="s">
        <v>1975</v>
      </c>
      <c r="B870" s="5">
        <v>46022</v>
      </c>
      <c r="C870" s="1" t="s">
        <v>31</v>
      </c>
      <c r="D870" s="1" t="s">
        <v>33</v>
      </c>
      <c r="E870" s="1" t="s">
        <v>92</v>
      </c>
      <c r="F870" s="1" t="s">
        <v>93</v>
      </c>
      <c r="G870" s="1" t="s">
        <v>1229</v>
      </c>
      <c r="H870" s="6">
        <v>1</v>
      </c>
      <c r="I870" s="7">
        <v>1195</v>
      </c>
      <c r="J870" s="5">
        <v>46020</v>
      </c>
      <c r="K870" s="1" t="s">
        <v>957</v>
      </c>
      <c r="L870" s="1" t="s">
        <v>30</v>
      </c>
      <c r="M870" s="8">
        <v>0</v>
      </c>
      <c r="N870" s="6"/>
      <c r="O870" s="6"/>
      <c r="P870" s="9">
        <v>5.85</v>
      </c>
    </row>
    <row r="871" spans="1:16" ht="19.5" customHeight="1">
      <c r="A871" s="1" t="s">
        <v>1975</v>
      </c>
      <c r="B871" s="5">
        <v>46022</v>
      </c>
      <c r="C871" s="1" t="s">
        <v>31</v>
      </c>
      <c r="D871" s="1" t="s">
        <v>34</v>
      </c>
      <c r="E871" s="1" t="s">
        <v>92</v>
      </c>
      <c r="F871" s="1" t="s">
        <v>93</v>
      </c>
      <c r="G871" s="1" t="s">
        <v>1229</v>
      </c>
      <c r="H871" s="6">
        <v>1</v>
      </c>
      <c r="I871" s="7">
        <v>1195</v>
      </c>
      <c r="J871" s="5">
        <v>46020</v>
      </c>
      <c r="K871" s="1" t="s">
        <v>957</v>
      </c>
      <c r="L871" s="1" t="s">
        <v>30</v>
      </c>
      <c r="M871" s="8">
        <v>0</v>
      </c>
      <c r="N871" s="6"/>
      <c r="O871" s="6"/>
      <c r="P871" s="9">
        <v>603.99</v>
      </c>
    </row>
    <row r="872" spans="1:16" ht="19.5" customHeight="1">
      <c r="A872" s="1" t="s">
        <v>1975</v>
      </c>
      <c r="B872" s="5">
        <v>46022</v>
      </c>
      <c r="C872" s="1" t="s">
        <v>35</v>
      </c>
      <c r="D872" s="1" t="s">
        <v>36</v>
      </c>
      <c r="E872" s="1" t="s">
        <v>92</v>
      </c>
      <c r="F872" s="1" t="s">
        <v>93</v>
      </c>
      <c r="G872" s="1" t="s">
        <v>1229</v>
      </c>
      <c r="H872" s="6">
        <v>1</v>
      </c>
      <c r="I872" s="7">
        <v>1195</v>
      </c>
      <c r="J872" s="5">
        <v>46020</v>
      </c>
      <c r="K872" s="1" t="s">
        <v>957</v>
      </c>
      <c r="L872" s="1" t="s">
        <v>30</v>
      </c>
      <c r="M872" s="8">
        <v>0.43</v>
      </c>
      <c r="N872" s="6"/>
      <c r="O872" s="6"/>
      <c r="P872" s="9">
        <v>-513.85</v>
      </c>
    </row>
    <row r="873" spans="1:16" ht="19.5" customHeight="1">
      <c r="A873" s="1" t="s">
        <v>1975</v>
      </c>
      <c r="B873" s="5">
        <v>46022</v>
      </c>
      <c r="C873" s="1" t="s">
        <v>17</v>
      </c>
      <c r="D873" s="1" t="s">
        <v>37</v>
      </c>
      <c r="E873" s="1" t="s">
        <v>92</v>
      </c>
      <c r="F873" s="1" t="s">
        <v>93</v>
      </c>
      <c r="G873" s="1" t="s">
        <v>1229</v>
      </c>
      <c r="H873" s="6">
        <v>1</v>
      </c>
      <c r="I873" s="7">
        <v>1195</v>
      </c>
      <c r="J873" s="5">
        <v>46020</v>
      </c>
      <c r="K873" s="1" t="s">
        <v>957</v>
      </c>
      <c r="L873" s="1" t="s">
        <v>30</v>
      </c>
      <c r="M873" s="8">
        <v>0.43</v>
      </c>
      <c r="N873" s="6"/>
      <c r="O873" s="6"/>
      <c r="P873" s="9">
        <v>-6.41</v>
      </c>
    </row>
    <row r="874" spans="1:16" ht="19.5" customHeight="1">
      <c r="A874" s="1" t="s">
        <v>1974</v>
      </c>
      <c r="B874" s="5">
        <v>46022</v>
      </c>
      <c r="C874" s="1" t="s">
        <v>28</v>
      </c>
      <c r="D874" s="1" t="s">
        <v>45</v>
      </c>
      <c r="E874" s="1" t="s">
        <v>25</v>
      </c>
      <c r="F874" s="1" t="s">
        <v>26</v>
      </c>
      <c r="G874" s="1" t="s">
        <v>1229</v>
      </c>
      <c r="H874" s="6">
        <v>1</v>
      </c>
      <c r="I874" s="7">
        <v>0</v>
      </c>
      <c r="J874" s="5">
        <v>46005</v>
      </c>
      <c r="K874" s="1" t="s">
        <v>957</v>
      </c>
      <c r="L874" s="1" t="s">
        <v>30</v>
      </c>
      <c r="M874" s="8">
        <v>0</v>
      </c>
      <c r="N874" s="6"/>
      <c r="O874" s="6"/>
      <c r="P874" s="9">
        <v>0</v>
      </c>
    </row>
    <row r="875" spans="1:16" ht="19.5" customHeight="1">
      <c r="A875" s="1" t="s">
        <v>1974</v>
      </c>
      <c r="B875" s="5">
        <v>46022</v>
      </c>
      <c r="C875" s="1" t="s">
        <v>28</v>
      </c>
      <c r="D875" s="1" t="s">
        <v>46</v>
      </c>
      <c r="E875" s="1" t="s">
        <v>25</v>
      </c>
      <c r="F875" s="1" t="s">
        <v>26</v>
      </c>
      <c r="G875" s="1" t="s">
        <v>1229</v>
      </c>
      <c r="H875" s="6">
        <v>1</v>
      </c>
      <c r="I875" s="7">
        <v>0</v>
      </c>
      <c r="J875" s="5">
        <v>46005</v>
      </c>
      <c r="K875" s="1" t="s">
        <v>957</v>
      </c>
      <c r="L875" s="1" t="s">
        <v>30</v>
      </c>
      <c r="M875" s="8">
        <v>0</v>
      </c>
      <c r="N875" s="6"/>
      <c r="O875" s="6"/>
      <c r="P875" s="9">
        <v>-46</v>
      </c>
    </row>
    <row r="876" spans="1:16" ht="19.5" customHeight="1">
      <c r="A876" s="1" t="s">
        <v>1975</v>
      </c>
      <c r="B876" s="5">
        <v>46022</v>
      </c>
      <c r="C876" s="1" t="s">
        <v>17</v>
      </c>
      <c r="D876" s="1" t="s">
        <v>18</v>
      </c>
      <c r="E876" s="1" t="s">
        <v>92</v>
      </c>
      <c r="F876" s="1" t="s">
        <v>93</v>
      </c>
      <c r="G876" s="1" t="s">
        <v>1229</v>
      </c>
      <c r="H876" s="6">
        <v>1</v>
      </c>
      <c r="I876" s="7">
        <v>0</v>
      </c>
      <c r="J876" s="5">
        <v>46020</v>
      </c>
      <c r="K876" s="1" t="s">
        <v>22</v>
      </c>
      <c r="L876" s="1" t="s">
        <v>22</v>
      </c>
      <c r="M876" s="8">
        <v>0</v>
      </c>
      <c r="N876" s="6"/>
      <c r="O876" s="6"/>
      <c r="P876" s="9">
        <v>-11.12</v>
      </c>
    </row>
    <row r="877" spans="1:16" ht="19.5" customHeight="1">
      <c r="A877" s="1" t="s">
        <v>1976</v>
      </c>
      <c r="B877" s="5">
        <v>46022</v>
      </c>
      <c r="C877" s="1" t="s">
        <v>28</v>
      </c>
      <c r="D877" s="1" t="s">
        <v>29</v>
      </c>
      <c r="E877" s="1" t="s">
        <v>25</v>
      </c>
      <c r="F877" s="1" t="s">
        <v>26</v>
      </c>
      <c r="G877" s="1" t="s">
        <v>1229</v>
      </c>
      <c r="H877" s="6">
        <v>1</v>
      </c>
      <c r="I877" s="7">
        <v>1704</v>
      </c>
      <c r="J877" s="5">
        <v>46020</v>
      </c>
      <c r="K877" s="1" t="s">
        <v>957</v>
      </c>
      <c r="L877" s="1" t="s">
        <v>30</v>
      </c>
      <c r="M877" s="8">
        <v>0.43</v>
      </c>
      <c r="N877" s="6"/>
      <c r="O877" s="6">
        <v>38</v>
      </c>
      <c r="P877" s="9">
        <v>-104.84</v>
      </c>
    </row>
    <row r="878" spans="1:16" ht="19.5" customHeight="1">
      <c r="A878" s="1" t="s">
        <v>1976</v>
      </c>
      <c r="B878" s="5">
        <v>46022</v>
      </c>
      <c r="C878" s="1" t="s">
        <v>31</v>
      </c>
      <c r="D878" s="1" t="s">
        <v>32</v>
      </c>
      <c r="E878" s="1" t="s">
        <v>25</v>
      </c>
      <c r="F878" s="1" t="s">
        <v>26</v>
      </c>
      <c r="G878" s="1" t="s">
        <v>1229</v>
      </c>
      <c r="H878" s="6">
        <v>1</v>
      </c>
      <c r="I878" s="7">
        <v>1704</v>
      </c>
      <c r="J878" s="5">
        <v>46020</v>
      </c>
      <c r="K878" s="1" t="s">
        <v>957</v>
      </c>
      <c r="L878" s="1" t="s">
        <v>30</v>
      </c>
      <c r="M878" s="8">
        <v>0</v>
      </c>
      <c r="N878" s="6"/>
      <c r="O878" s="6"/>
      <c r="P878" s="9">
        <v>585.16</v>
      </c>
    </row>
    <row r="879" spans="1:16" ht="19.5" customHeight="1">
      <c r="A879" s="1" t="s">
        <v>1976</v>
      </c>
      <c r="B879" s="5">
        <v>46022</v>
      </c>
      <c r="C879" s="1" t="s">
        <v>31</v>
      </c>
      <c r="D879" s="1" t="s">
        <v>33</v>
      </c>
      <c r="E879" s="1" t="s">
        <v>25</v>
      </c>
      <c r="F879" s="1" t="s">
        <v>26</v>
      </c>
      <c r="G879" s="1" t="s">
        <v>1229</v>
      </c>
      <c r="H879" s="6">
        <v>1</v>
      </c>
      <c r="I879" s="7">
        <v>1704</v>
      </c>
      <c r="J879" s="5">
        <v>46020</v>
      </c>
      <c r="K879" s="1" t="s">
        <v>957</v>
      </c>
      <c r="L879" s="1" t="s">
        <v>30</v>
      </c>
      <c r="M879" s="8">
        <v>0</v>
      </c>
      <c r="N879" s="6"/>
      <c r="O879" s="6"/>
      <c r="P879" s="9">
        <v>5.85</v>
      </c>
    </row>
    <row r="880" spans="1:16" ht="19.5" customHeight="1">
      <c r="A880" s="1" t="s">
        <v>1976</v>
      </c>
      <c r="B880" s="5">
        <v>46022</v>
      </c>
      <c r="C880" s="1" t="s">
        <v>31</v>
      </c>
      <c r="D880" s="1" t="s">
        <v>34</v>
      </c>
      <c r="E880" s="1" t="s">
        <v>25</v>
      </c>
      <c r="F880" s="1" t="s">
        <v>26</v>
      </c>
      <c r="G880" s="1" t="s">
        <v>1229</v>
      </c>
      <c r="H880" s="6">
        <v>1</v>
      </c>
      <c r="I880" s="7">
        <v>1704</v>
      </c>
      <c r="J880" s="5">
        <v>46020</v>
      </c>
      <c r="K880" s="1" t="s">
        <v>957</v>
      </c>
      <c r="L880" s="1" t="s">
        <v>30</v>
      </c>
      <c r="M880" s="8">
        <v>0</v>
      </c>
      <c r="N880" s="6"/>
      <c r="O880" s="6"/>
      <c r="P880" s="9">
        <v>1112.99</v>
      </c>
    </row>
    <row r="881" spans="1:16" ht="19.5" customHeight="1">
      <c r="A881" s="1" t="s">
        <v>1976</v>
      </c>
      <c r="B881" s="5">
        <v>46022</v>
      </c>
      <c r="C881" s="1" t="s">
        <v>35</v>
      </c>
      <c r="D881" s="1" t="s">
        <v>36</v>
      </c>
      <c r="E881" s="1" t="s">
        <v>25</v>
      </c>
      <c r="F881" s="1" t="s">
        <v>26</v>
      </c>
      <c r="G881" s="1" t="s">
        <v>1229</v>
      </c>
      <c r="H881" s="6">
        <v>1</v>
      </c>
      <c r="I881" s="7">
        <v>1704</v>
      </c>
      <c r="J881" s="5">
        <v>46020</v>
      </c>
      <c r="K881" s="1" t="s">
        <v>957</v>
      </c>
      <c r="L881" s="1" t="s">
        <v>30</v>
      </c>
      <c r="M881" s="8">
        <v>0.43</v>
      </c>
      <c r="N881" s="6"/>
      <c r="O881" s="6"/>
      <c r="P881" s="9">
        <v>-732.72</v>
      </c>
    </row>
    <row r="882" spans="1:16" ht="19.5" customHeight="1">
      <c r="A882" s="1" t="s">
        <v>1976</v>
      </c>
      <c r="B882" s="5">
        <v>46022</v>
      </c>
      <c r="C882" s="1" t="s">
        <v>17</v>
      </c>
      <c r="D882" s="1" t="s">
        <v>37</v>
      </c>
      <c r="E882" s="1" t="s">
        <v>25</v>
      </c>
      <c r="F882" s="1" t="s">
        <v>26</v>
      </c>
      <c r="G882" s="1" t="s">
        <v>1229</v>
      </c>
      <c r="H882" s="6">
        <v>1</v>
      </c>
      <c r="I882" s="7">
        <v>1704</v>
      </c>
      <c r="J882" s="5">
        <v>46020</v>
      </c>
      <c r="K882" s="1" t="s">
        <v>957</v>
      </c>
      <c r="L882" s="1" t="s">
        <v>30</v>
      </c>
      <c r="M882" s="8">
        <v>0.43</v>
      </c>
      <c r="N882" s="6"/>
      <c r="O882" s="6"/>
      <c r="P882" s="9">
        <v>-10.54</v>
      </c>
    </row>
    <row r="883" spans="1:16" ht="19.5" customHeight="1">
      <c r="A883" s="1" t="s">
        <v>1976</v>
      </c>
      <c r="B883" s="5">
        <v>46022</v>
      </c>
      <c r="C883" s="1" t="s">
        <v>17</v>
      </c>
      <c r="D883" s="1" t="s">
        <v>18</v>
      </c>
      <c r="E883" s="1" t="s">
        <v>25</v>
      </c>
      <c r="F883" s="1" t="s">
        <v>26</v>
      </c>
      <c r="G883" s="1" t="s">
        <v>1229</v>
      </c>
      <c r="H883" s="6">
        <v>1</v>
      </c>
      <c r="I883" s="7">
        <v>0</v>
      </c>
      <c r="J883" s="5">
        <v>46020</v>
      </c>
      <c r="K883" s="1" t="s">
        <v>22</v>
      </c>
      <c r="L883" s="1" t="s">
        <v>22</v>
      </c>
      <c r="M883" s="8">
        <v>0</v>
      </c>
      <c r="N883" s="6"/>
      <c r="O883" s="6"/>
      <c r="P883" s="9">
        <v>-11.12</v>
      </c>
    </row>
    <row r="884" spans="1:16" ht="19.5" customHeight="1">
      <c r="A884" s="1" t="s">
        <v>1977</v>
      </c>
      <c r="B884" s="5">
        <v>46022</v>
      </c>
      <c r="C884" s="1" t="s">
        <v>17</v>
      </c>
      <c r="D884" s="1" t="s">
        <v>18</v>
      </c>
      <c r="E884" s="1" t="s">
        <v>54</v>
      </c>
      <c r="F884" s="1" t="s">
        <v>55</v>
      </c>
      <c r="G884" s="1" t="s">
        <v>1229</v>
      </c>
      <c r="H884" s="6">
        <v>1</v>
      </c>
      <c r="I884" s="7">
        <v>0</v>
      </c>
      <c r="J884" s="5">
        <v>46022</v>
      </c>
      <c r="K884" s="1" t="s">
        <v>22</v>
      </c>
      <c r="L884" s="1" t="s">
        <v>22</v>
      </c>
      <c r="M884" s="8">
        <v>0</v>
      </c>
      <c r="N884" s="6"/>
      <c r="O884" s="6"/>
      <c r="P884" s="9">
        <v>-12.36</v>
      </c>
    </row>
    <row r="885" spans="1:16" ht="19.5" customHeight="1">
      <c r="A885" s="1" t="s">
        <v>1978</v>
      </c>
      <c r="B885" s="5">
        <v>46022</v>
      </c>
      <c r="C885" s="1" t="s">
        <v>28</v>
      </c>
      <c r="D885" s="1" t="s">
        <v>29</v>
      </c>
      <c r="E885" s="1" t="s">
        <v>223</v>
      </c>
      <c r="F885" s="1" t="s">
        <v>395</v>
      </c>
      <c r="G885" s="1" t="s">
        <v>1229</v>
      </c>
      <c r="H885" s="6">
        <v>1</v>
      </c>
      <c r="I885" s="7">
        <v>1687</v>
      </c>
      <c r="J885" s="5">
        <v>46014</v>
      </c>
      <c r="K885" s="1" t="s">
        <v>957</v>
      </c>
      <c r="L885" s="1" t="s">
        <v>30</v>
      </c>
      <c r="M885" s="8">
        <v>0.43</v>
      </c>
      <c r="N885" s="6"/>
      <c r="O885" s="6">
        <v>42</v>
      </c>
      <c r="P885" s="9">
        <v>-120.3</v>
      </c>
    </row>
    <row r="886" spans="1:16" ht="19.5" customHeight="1">
      <c r="A886" s="1" t="s">
        <v>1978</v>
      </c>
      <c r="B886" s="5">
        <v>46022</v>
      </c>
      <c r="C886" s="1" t="s">
        <v>31</v>
      </c>
      <c r="D886" s="1" t="s">
        <v>32</v>
      </c>
      <c r="E886" s="1" t="s">
        <v>223</v>
      </c>
      <c r="F886" s="1" t="s">
        <v>395</v>
      </c>
      <c r="G886" s="1" t="s">
        <v>1229</v>
      </c>
      <c r="H886" s="6">
        <v>1</v>
      </c>
      <c r="I886" s="7">
        <v>1687</v>
      </c>
      <c r="J886" s="5">
        <v>46014</v>
      </c>
      <c r="K886" s="1" t="s">
        <v>957</v>
      </c>
      <c r="L886" s="1" t="s">
        <v>30</v>
      </c>
      <c r="M886" s="8">
        <v>0</v>
      </c>
      <c r="N886" s="6"/>
      <c r="O886" s="6"/>
      <c r="P886" s="9">
        <v>580</v>
      </c>
    </row>
    <row r="887" spans="1:16" ht="19.5" customHeight="1">
      <c r="A887" s="1" t="s">
        <v>1978</v>
      </c>
      <c r="B887" s="5">
        <v>46022</v>
      </c>
      <c r="C887" s="1" t="s">
        <v>31</v>
      </c>
      <c r="D887" s="1" t="s">
        <v>33</v>
      </c>
      <c r="E887" s="1" t="s">
        <v>223</v>
      </c>
      <c r="F887" s="1" t="s">
        <v>395</v>
      </c>
      <c r="G887" s="1" t="s">
        <v>1229</v>
      </c>
      <c r="H887" s="6">
        <v>1</v>
      </c>
      <c r="I887" s="7">
        <v>1687</v>
      </c>
      <c r="J887" s="5">
        <v>46014</v>
      </c>
      <c r="K887" s="1" t="s">
        <v>957</v>
      </c>
      <c r="L887" s="1" t="s">
        <v>30</v>
      </c>
      <c r="M887" s="8">
        <v>0</v>
      </c>
      <c r="N887" s="6"/>
      <c r="O887" s="6"/>
      <c r="P887" s="9">
        <v>5.8</v>
      </c>
    </row>
    <row r="888" spans="1:16" ht="19.5" customHeight="1">
      <c r="A888" s="1" t="s">
        <v>1978</v>
      </c>
      <c r="B888" s="5">
        <v>46022</v>
      </c>
      <c r="C888" s="1" t="s">
        <v>31</v>
      </c>
      <c r="D888" s="1" t="s">
        <v>34</v>
      </c>
      <c r="E888" s="1" t="s">
        <v>223</v>
      </c>
      <c r="F888" s="1" t="s">
        <v>395</v>
      </c>
      <c r="G888" s="1" t="s">
        <v>1229</v>
      </c>
      <c r="H888" s="6">
        <v>1</v>
      </c>
      <c r="I888" s="7">
        <v>1687</v>
      </c>
      <c r="J888" s="5">
        <v>46014</v>
      </c>
      <c r="K888" s="1" t="s">
        <v>957</v>
      </c>
      <c r="L888" s="1" t="s">
        <v>30</v>
      </c>
      <c r="M888" s="8">
        <v>0</v>
      </c>
      <c r="N888" s="6"/>
      <c r="O888" s="6"/>
      <c r="P888" s="9">
        <v>1101.2</v>
      </c>
    </row>
    <row r="889" spans="1:16" ht="19.5" customHeight="1">
      <c r="A889" s="1" t="s">
        <v>1978</v>
      </c>
      <c r="B889" s="5">
        <v>46022</v>
      </c>
      <c r="C889" s="1" t="s">
        <v>35</v>
      </c>
      <c r="D889" s="1" t="s">
        <v>36</v>
      </c>
      <c r="E889" s="1" t="s">
        <v>223</v>
      </c>
      <c r="F889" s="1" t="s">
        <v>395</v>
      </c>
      <c r="G889" s="1" t="s">
        <v>1229</v>
      </c>
      <c r="H889" s="6">
        <v>1</v>
      </c>
      <c r="I889" s="7">
        <v>1687</v>
      </c>
      <c r="J889" s="5">
        <v>46014</v>
      </c>
      <c r="K889" s="1" t="s">
        <v>957</v>
      </c>
      <c r="L889" s="1" t="s">
        <v>30</v>
      </c>
      <c r="M889" s="8">
        <v>0.43</v>
      </c>
      <c r="N889" s="6"/>
      <c r="O889" s="6"/>
      <c r="P889" s="9">
        <v>-725.41</v>
      </c>
    </row>
    <row r="890" spans="1:16" ht="19.5" customHeight="1">
      <c r="A890" s="1" t="s">
        <v>1978</v>
      </c>
      <c r="B890" s="5">
        <v>46022</v>
      </c>
      <c r="C890" s="1" t="s">
        <v>17</v>
      </c>
      <c r="D890" s="1" t="s">
        <v>37</v>
      </c>
      <c r="E890" s="1" t="s">
        <v>223</v>
      </c>
      <c r="F890" s="1" t="s">
        <v>395</v>
      </c>
      <c r="G890" s="1" t="s">
        <v>1229</v>
      </c>
      <c r="H890" s="6">
        <v>1</v>
      </c>
      <c r="I890" s="7">
        <v>1687</v>
      </c>
      <c r="J890" s="5">
        <v>46014</v>
      </c>
      <c r="K890" s="1" t="s">
        <v>957</v>
      </c>
      <c r="L890" s="1" t="s">
        <v>30</v>
      </c>
      <c r="M890" s="8">
        <v>0.43</v>
      </c>
      <c r="N890" s="6"/>
      <c r="O890" s="6"/>
      <c r="P890" s="9">
        <v>-7.43</v>
      </c>
    </row>
    <row r="891" spans="1:16" ht="19.5" customHeight="1">
      <c r="A891" s="1" t="s">
        <v>1979</v>
      </c>
      <c r="B891" s="5">
        <v>46022</v>
      </c>
      <c r="C891" s="1" t="s">
        <v>28</v>
      </c>
      <c r="D891" s="1" t="s">
        <v>29</v>
      </c>
      <c r="E891" s="1" t="s">
        <v>25</v>
      </c>
      <c r="F891" s="1" t="s">
        <v>26</v>
      </c>
      <c r="G891" s="1" t="s">
        <v>1229</v>
      </c>
      <c r="H891" s="6">
        <v>1</v>
      </c>
      <c r="I891" s="7">
        <v>1704</v>
      </c>
      <c r="J891" s="5">
        <v>46018</v>
      </c>
      <c r="K891" s="1" t="s">
        <v>957</v>
      </c>
      <c r="L891" s="1" t="s">
        <v>30</v>
      </c>
      <c r="M891" s="8">
        <v>0.43</v>
      </c>
      <c r="N891" s="6"/>
      <c r="O891" s="6">
        <v>39</v>
      </c>
      <c r="P891" s="9">
        <v>-108.98</v>
      </c>
    </row>
    <row r="892" spans="1:16" ht="19.5" customHeight="1">
      <c r="A892" s="1" t="s">
        <v>1979</v>
      </c>
      <c r="B892" s="5">
        <v>46022</v>
      </c>
      <c r="C892" s="1" t="s">
        <v>31</v>
      </c>
      <c r="D892" s="1" t="s">
        <v>32</v>
      </c>
      <c r="E892" s="1" t="s">
        <v>25</v>
      </c>
      <c r="F892" s="1" t="s">
        <v>26</v>
      </c>
      <c r="G892" s="1" t="s">
        <v>1229</v>
      </c>
      <c r="H892" s="6">
        <v>1</v>
      </c>
      <c r="I892" s="7">
        <v>1704</v>
      </c>
      <c r="J892" s="5">
        <v>46018</v>
      </c>
      <c r="K892" s="1" t="s">
        <v>957</v>
      </c>
      <c r="L892" s="1" t="s">
        <v>30</v>
      </c>
      <c r="M892" s="8">
        <v>0</v>
      </c>
      <c r="N892" s="6"/>
      <c r="O892" s="6"/>
      <c r="P892" s="9">
        <v>585.71</v>
      </c>
    </row>
    <row r="893" spans="1:16" ht="19.5" customHeight="1">
      <c r="A893" s="1" t="s">
        <v>1979</v>
      </c>
      <c r="B893" s="5">
        <v>46022</v>
      </c>
      <c r="C893" s="1" t="s">
        <v>31</v>
      </c>
      <c r="D893" s="1" t="s">
        <v>33</v>
      </c>
      <c r="E893" s="1" t="s">
        <v>25</v>
      </c>
      <c r="F893" s="1" t="s">
        <v>26</v>
      </c>
      <c r="G893" s="1" t="s">
        <v>1229</v>
      </c>
      <c r="H893" s="6">
        <v>1</v>
      </c>
      <c r="I893" s="7">
        <v>1704</v>
      </c>
      <c r="J893" s="5">
        <v>46018</v>
      </c>
      <c r="K893" s="1" t="s">
        <v>957</v>
      </c>
      <c r="L893" s="1" t="s">
        <v>30</v>
      </c>
      <c r="M893" s="8">
        <v>0</v>
      </c>
      <c r="N893" s="6"/>
      <c r="O893" s="6"/>
      <c r="P893" s="9">
        <v>5.86</v>
      </c>
    </row>
    <row r="894" spans="1:16" ht="19.5" customHeight="1">
      <c r="A894" s="1" t="s">
        <v>1979</v>
      </c>
      <c r="B894" s="5">
        <v>46022</v>
      </c>
      <c r="C894" s="1" t="s">
        <v>31</v>
      </c>
      <c r="D894" s="1" t="s">
        <v>34</v>
      </c>
      <c r="E894" s="1" t="s">
        <v>25</v>
      </c>
      <c r="F894" s="1" t="s">
        <v>26</v>
      </c>
      <c r="G894" s="1" t="s">
        <v>1229</v>
      </c>
      <c r="H894" s="6">
        <v>1</v>
      </c>
      <c r="I894" s="7">
        <v>1704</v>
      </c>
      <c r="J894" s="5">
        <v>46018</v>
      </c>
      <c r="K894" s="1" t="s">
        <v>957</v>
      </c>
      <c r="L894" s="1" t="s">
        <v>30</v>
      </c>
      <c r="M894" s="8">
        <v>0</v>
      </c>
      <c r="N894" s="6"/>
      <c r="O894" s="6"/>
      <c r="P894" s="9">
        <v>1112.43</v>
      </c>
    </row>
    <row r="895" spans="1:16" ht="19.5" customHeight="1">
      <c r="A895" s="1" t="s">
        <v>1979</v>
      </c>
      <c r="B895" s="5">
        <v>46022</v>
      </c>
      <c r="C895" s="1" t="s">
        <v>35</v>
      </c>
      <c r="D895" s="1" t="s">
        <v>36</v>
      </c>
      <c r="E895" s="1" t="s">
        <v>25</v>
      </c>
      <c r="F895" s="1" t="s">
        <v>26</v>
      </c>
      <c r="G895" s="1" t="s">
        <v>1229</v>
      </c>
      <c r="H895" s="6">
        <v>1</v>
      </c>
      <c r="I895" s="7">
        <v>1704</v>
      </c>
      <c r="J895" s="5">
        <v>46018</v>
      </c>
      <c r="K895" s="1" t="s">
        <v>957</v>
      </c>
      <c r="L895" s="1" t="s">
        <v>30</v>
      </c>
      <c r="M895" s="8">
        <v>0.43</v>
      </c>
      <c r="N895" s="6"/>
      <c r="O895" s="6"/>
      <c r="P895" s="9">
        <v>-732.72</v>
      </c>
    </row>
    <row r="896" spans="1:16" ht="19.5" customHeight="1">
      <c r="A896" s="1" t="s">
        <v>1979</v>
      </c>
      <c r="B896" s="5">
        <v>46022</v>
      </c>
      <c r="C896" s="1" t="s">
        <v>17</v>
      </c>
      <c r="D896" s="1" t="s">
        <v>37</v>
      </c>
      <c r="E896" s="1" t="s">
        <v>25</v>
      </c>
      <c r="F896" s="1" t="s">
        <v>26</v>
      </c>
      <c r="G896" s="1" t="s">
        <v>1229</v>
      </c>
      <c r="H896" s="6">
        <v>1</v>
      </c>
      <c r="I896" s="7">
        <v>1704</v>
      </c>
      <c r="J896" s="5">
        <v>46018</v>
      </c>
      <c r="K896" s="1" t="s">
        <v>957</v>
      </c>
      <c r="L896" s="1" t="s">
        <v>30</v>
      </c>
      <c r="M896" s="8">
        <v>0.43</v>
      </c>
      <c r="N896" s="6"/>
      <c r="O896" s="6"/>
      <c r="P896" s="9">
        <v>-10.48</v>
      </c>
    </row>
    <row r="897" spans="1:16" ht="19.5" customHeight="1">
      <c r="A897" s="1" t="s">
        <v>1978</v>
      </c>
      <c r="B897" s="5">
        <v>46022</v>
      </c>
      <c r="C897" s="1" t="s">
        <v>17</v>
      </c>
      <c r="D897" s="1" t="s">
        <v>18</v>
      </c>
      <c r="E897" s="1" t="s">
        <v>223</v>
      </c>
      <c r="F897" s="1" t="s">
        <v>395</v>
      </c>
      <c r="G897" s="1" t="s">
        <v>1229</v>
      </c>
      <c r="H897" s="6">
        <v>1</v>
      </c>
      <c r="I897" s="7">
        <v>0</v>
      </c>
      <c r="J897" s="5">
        <v>46014</v>
      </c>
      <c r="K897" s="1" t="s">
        <v>22</v>
      </c>
      <c r="L897" s="1" t="s">
        <v>22</v>
      </c>
      <c r="M897" s="8">
        <v>0</v>
      </c>
      <c r="N897" s="6"/>
      <c r="O897" s="6"/>
      <c r="P897" s="9">
        <v>-11.02</v>
      </c>
    </row>
    <row r="898" spans="1:16" ht="19.5" customHeight="1">
      <c r="A898" s="1" t="s">
        <v>1980</v>
      </c>
      <c r="B898" s="5">
        <v>46022</v>
      </c>
      <c r="C898" s="1" t="s">
        <v>28</v>
      </c>
      <c r="D898" s="1" t="s">
        <v>29</v>
      </c>
      <c r="E898" s="1" t="s">
        <v>223</v>
      </c>
      <c r="F898" s="1" t="s">
        <v>395</v>
      </c>
      <c r="G898" s="1" t="s">
        <v>1229</v>
      </c>
      <c r="H898" s="6">
        <v>1</v>
      </c>
      <c r="I898" s="7">
        <v>1186</v>
      </c>
      <c r="J898" s="5">
        <v>46016</v>
      </c>
      <c r="K898" s="1" t="s">
        <v>957</v>
      </c>
      <c r="L898" s="1" t="s">
        <v>30</v>
      </c>
      <c r="M898" s="8">
        <v>0.43</v>
      </c>
      <c r="N898" s="6"/>
      <c r="O898" s="6">
        <v>38</v>
      </c>
      <c r="P898" s="9">
        <v>-93.44</v>
      </c>
    </row>
    <row r="899" spans="1:16" ht="19.5" customHeight="1">
      <c r="A899" s="1" t="s">
        <v>1980</v>
      </c>
      <c r="B899" s="5">
        <v>46022</v>
      </c>
      <c r="C899" s="1" t="s">
        <v>31</v>
      </c>
      <c r="D899" s="1" t="s">
        <v>32</v>
      </c>
      <c r="E899" s="1" t="s">
        <v>223</v>
      </c>
      <c r="F899" s="1" t="s">
        <v>395</v>
      </c>
      <c r="G899" s="1" t="s">
        <v>1229</v>
      </c>
      <c r="H899" s="6">
        <v>1</v>
      </c>
      <c r="I899" s="7">
        <v>1186</v>
      </c>
      <c r="J899" s="5">
        <v>46016</v>
      </c>
      <c r="K899" s="1" t="s">
        <v>957</v>
      </c>
      <c r="L899" s="1" t="s">
        <v>30</v>
      </c>
      <c r="M899" s="8">
        <v>0</v>
      </c>
      <c r="N899" s="6"/>
      <c r="O899" s="6"/>
      <c r="P899" s="9">
        <v>436.31</v>
      </c>
    </row>
    <row r="900" spans="1:16" ht="19.5" customHeight="1">
      <c r="A900" s="1" t="s">
        <v>1980</v>
      </c>
      <c r="B900" s="5">
        <v>46022</v>
      </c>
      <c r="C900" s="1" t="s">
        <v>31</v>
      </c>
      <c r="D900" s="1" t="s">
        <v>33</v>
      </c>
      <c r="E900" s="1" t="s">
        <v>223</v>
      </c>
      <c r="F900" s="1" t="s">
        <v>395</v>
      </c>
      <c r="G900" s="1" t="s">
        <v>1229</v>
      </c>
      <c r="H900" s="6">
        <v>1</v>
      </c>
      <c r="I900" s="7">
        <v>1186</v>
      </c>
      <c r="J900" s="5">
        <v>46016</v>
      </c>
      <c r="K900" s="1" t="s">
        <v>957</v>
      </c>
      <c r="L900" s="1" t="s">
        <v>30</v>
      </c>
      <c r="M900" s="8">
        <v>0</v>
      </c>
      <c r="N900" s="6"/>
      <c r="O900" s="6"/>
      <c r="P900" s="9">
        <v>0</v>
      </c>
    </row>
    <row r="901" spans="1:16" ht="19.5" customHeight="1">
      <c r="A901" s="1" t="s">
        <v>1980</v>
      </c>
      <c r="B901" s="5">
        <v>46022</v>
      </c>
      <c r="C901" s="1" t="s">
        <v>31</v>
      </c>
      <c r="D901" s="1" t="s">
        <v>34</v>
      </c>
      <c r="E901" s="1" t="s">
        <v>223</v>
      </c>
      <c r="F901" s="1" t="s">
        <v>395</v>
      </c>
      <c r="G901" s="1" t="s">
        <v>1229</v>
      </c>
      <c r="H901" s="6">
        <v>1</v>
      </c>
      <c r="I901" s="7">
        <v>1186</v>
      </c>
      <c r="J901" s="5">
        <v>46016</v>
      </c>
      <c r="K901" s="1" t="s">
        <v>957</v>
      </c>
      <c r="L901" s="1" t="s">
        <v>30</v>
      </c>
      <c r="M901" s="8">
        <v>0</v>
      </c>
      <c r="N901" s="6"/>
      <c r="O901" s="6"/>
      <c r="P901" s="9">
        <v>749.69</v>
      </c>
    </row>
    <row r="902" spans="1:16" ht="19.5" customHeight="1">
      <c r="A902" s="1" t="s">
        <v>1980</v>
      </c>
      <c r="B902" s="5">
        <v>46022</v>
      </c>
      <c r="C902" s="1" t="s">
        <v>35</v>
      </c>
      <c r="D902" s="1" t="s">
        <v>36</v>
      </c>
      <c r="E902" s="1" t="s">
        <v>223</v>
      </c>
      <c r="F902" s="1" t="s">
        <v>395</v>
      </c>
      <c r="G902" s="1" t="s">
        <v>1229</v>
      </c>
      <c r="H902" s="6">
        <v>1</v>
      </c>
      <c r="I902" s="7">
        <v>1186</v>
      </c>
      <c r="J902" s="5">
        <v>46016</v>
      </c>
      <c r="K902" s="1" t="s">
        <v>957</v>
      </c>
      <c r="L902" s="1" t="s">
        <v>30</v>
      </c>
      <c r="M902" s="8">
        <v>0.43</v>
      </c>
      <c r="N902" s="6"/>
      <c r="O902" s="6"/>
      <c r="P902" s="9">
        <v>-509.98</v>
      </c>
    </row>
    <row r="903" spans="1:16" ht="19.5" customHeight="1">
      <c r="A903" s="1" t="s">
        <v>1981</v>
      </c>
      <c r="B903" s="5">
        <v>46022</v>
      </c>
      <c r="C903" s="1" t="s">
        <v>28</v>
      </c>
      <c r="D903" s="1" t="s">
        <v>29</v>
      </c>
      <c r="E903" s="1" t="s">
        <v>223</v>
      </c>
      <c r="F903" s="1" t="s">
        <v>395</v>
      </c>
      <c r="G903" s="1" t="s">
        <v>1229</v>
      </c>
      <c r="H903" s="6">
        <v>1</v>
      </c>
      <c r="I903" s="7">
        <v>1186</v>
      </c>
      <c r="J903" s="5">
        <v>46016</v>
      </c>
      <c r="K903" s="1" t="s">
        <v>957</v>
      </c>
      <c r="L903" s="1" t="s">
        <v>30</v>
      </c>
      <c r="M903" s="8">
        <v>0.43</v>
      </c>
      <c r="N903" s="6"/>
      <c r="O903" s="6">
        <v>38</v>
      </c>
      <c r="P903" s="9">
        <v>-93.44</v>
      </c>
    </row>
    <row r="904" spans="1:16" ht="19.5" customHeight="1">
      <c r="A904" s="1" t="s">
        <v>1981</v>
      </c>
      <c r="B904" s="5">
        <v>46022</v>
      </c>
      <c r="C904" s="1" t="s">
        <v>31</v>
      </c>
      <c r="D904" s="1" t="s">
        <v>32</v>
      </c>
      <c r="E904" s="1" t="s">
        <v>223</v>
      </c>
      <c r="F904" s="1" t="s">
        <v>395</v>
      </c>
      <c r="G904" s="1" t="s">
        <v>1229</v>
      </c>
      <c r="H904" s="6">
        <v>1</v>
      </c>
      <c r="I904" s="7">
        <v>1186</v>
      </c>
      <c r="J904" s="5">
        <v>46016</v>
      </c>
      <c r="K904" s="1" t="s">
        <v>957</v>
      </c>
      <c r="L904" s="1" t="s">
        <v>30</v>
      </c>
      <c r="M904" s="8">
        <v>0</v>
      </c>
      <c r="N904" s="6"/>
      <c r="O904" s="6"/>
      <c r="P904" s="9">
        <v>415.24</v>
      </c>
    </row>
    <row r="905" spans="1:16" ht="19.5" customHeight="1">
      <c r="A905" s="1" t="s">
        <v>1981</v>
      </c>
      <c r="B905" s="5">
        <v>46022</v>
      </c>
      <c r="C905" s="1" t="s">
        <v>31</v>
      </c>
      <c r="D905" s="1" t="s">
        <v>33</v>
      </c>
      <c r="E905" s="1" t="s">
        <v>223</v>
      </c>
      <c r="F905" s="1" t="s">
        <v>395</v>
      </c>
      <c r="G905" s="1" t="s">
        <v>1229</v>
      </c>
      <c r="H905" s="6">
        <v>1</v>
      </c>
      <c r="I905" s="7">
        <v>1186</v>
      </c>
      <c r="J905" s="5">
        <v>46016</v>
      </c>
      <c r="K905" s="1" t="s">
        <v>957</v>
      </c>
      <c r="L905" s="1" t="s">
        <v>30</v>
      </c>
      <c r="M905" s="8">
        <v>0</v>
      </c>
      <c r="N905" s="6"/>
      <c r="O905" s="6"/>
      <c r="P905" s="9">
        <v>4.1500000000000004</v>
      </c>
    </row>
    <row r="906" spans="1:16" ht="19.5" customHeight="1">
      <c r="A906" s="1" t="s">
        <v>1981</v>
      </c>
      <c r="B906" s="5">
        <v>46022</v>
      </c>
      <c r="C906" s="1" t="s">
        <v>31</v>
      </c>
      <c r="D906" s="1" t="s">
        <v>34</v>
      </c>
      <c r="E906" s="1" t="s">
        <v>223</v>
      </c>
      <c r="F906" s="1" t="s">
        <v>395</v>
      </c>
      <c r="G906" s="1" t="s">
        <v>1229</v>
      </c>
      <c r="H906" s="6">
        <v>1</v>
      </c>
      <c r="I906" s="7">
        <v>1186</v>
      </c>
      <c r="J906" s="5">
        <v>46016</v>
      </c>
      <c r="K906" s="1" t="s">
        <v>957</v>
      </c>
      <c r="L906" s="1" t="s">
        <v>30</v>
      </c>
      <c r="M906" s="8">
        <v>0</v>
      </c>
      <c r="N906" s="6"/>
      <c r="O906" s="6"/>
      <c r="P906" s="9">
        <v>766.61</v>
      </c>
    </row>
    <row r="907" spans="1:16" ht="19.5" customHeight="1">
      <c r="A907" s="1" t="s">
        <v>1981</v>
      </c>
      <c r="B907" s="5">
        <v>46022</v>
      </c>
      <c r="C907" s="1" t="s">
        <v>35</v>
      </c>
      <c r="D907" s="1" t="s">
        <v>36</v>
      </c>
      <c r="E907" s="1" t="s">
        <v>223</v>
      </c>
      <c r="F907" s="1" t="s">
        <v>395</v>
      </c>
      <c r="G907" s="1" t="s">
        <v>1229</v>
      </c>
      <c r="H907" s="6">
        <v>1</v>
      </c>
      <c r="I907" s="7">
        <v>1186</v>
      </c>
      <c r="J907" s="5">
        <v>46016</v>
      </c>
      <c r="K907" s="1" t="s">
        <v>957</v>
      </c>
      <c r="L907" s="1" t="s">
        <v>30</v>
      </c>
      <c r="M907" s="8">
        <v>0.43</v>
      </c>
      <c r="N907" s="6"/>
      <c r="O907" s="6"/>
      <c r="P907" s="9">
        <v>-509.98</v>
      </c>
    </row>
    <row r="908" spans="1:16" ht="19.5" customHeight="1">
      <c r="A908" s="1" t="s">
        <v>1981</v>
      </c>
      <c r="B908" s="5">
        <v>46022</v>
      </c>
      <c r="C908" s="1" t="s">
        <v>17</v>
      </c>
      <c r="D908" s="1" t="s">
        <v>37</v>
      </c>
      <c r="E908" s="1" t="s">
        <v>223</v>
      </c>
      <c r="F908" s="1" t="s">
        <v>395</v>
      </c>
      <c r="G908" s="1" t="s">
        <v>1229</v>
      </c>
      <c r="H908" s="6">
        <v>1</v>
      </c>
      <c r="I908" s="7">
        <v>1186</v>
      </c>
      <c r="J908" s="5">
        <v>46016</v>
      </c>
      <c r="K908" s="1" t="s">
        <v>957</v>
      </c>
      <c r="L908" s="1" t="s">
        <v>30</v>
      </c>
      <c r="M908" s="8">
        <v>0.43</v>
      </c>
      <c r="N908" s="6"/>
      <c r="O908" s="6"/>
      <c r="P908" s="9">
        <v>-4.99</v>
      </c>
    </row>
    <row r="909" spans="1:16" ht="19.5" customHeight="1">
      <c r="A909" s="1" t="s">
        <v>1981</v>
      </c>
      <c r="B909" s="5">
        <v>46022</v>
      </c>
      <c r="C909" s="1" t="s">
        <v>17</v>
      </c>
      <c r="D909" s="1" t="s">
        <v>18</v>
      </c>
      <c r="E909" s="1" t="s">
        <v>223</v>
      </c>
      <c r="F909" s="1" t="s">
        <v>395</v>
      </c>
      <c r="G909" s="1" t="s">
        <v>1229</v>
      </c>
      <c r="H909" s="6">
        <v>1</v>
      </c>
      <c r="I909" s="7">
        <v>0</v>
      </c>
      <c r="J909" s="5">
        <v>46016</v>
      </c>
      <c r="K909" s="1" t="s">
        <v>22</v>
      </c>
      <c r="L909" s="1" t="s">
        <v>22</v>
      </c>
      <c r="M909" s="8">
        <v>0</v>
      </c>
      <c r="N909" s="6"/>
      <c r="O909" s="6"/>
      <c r="P909" s="9">
        <v>-7.89</v>
      </c>
    </row>
    <row r="910" spans="1:16" ht="19.5" customHeight="1">
      <c r="A910" s="1" t="s">
        <v>1982</v>
      </c>
      <c r="B910" s="5">
        <v>46022</v>
      </c>
      <c r="C910" s="1" t="s">
        <v>28</v>
      </c>
      <c r="D910" s="1" t="s">
        <v>29</v>
      </c>
      <c r="E910" s="1" t="s">
        <v>25</v>
      </c>
      <c r="F910" s="1" t="s">
        <v>26</v>
      </c>
      <c r="G910" s="1" t="s">
        <v>1229</v>
      </c>
      <c r="H910" s="6">
        <v>1</v>
      </c>
      <c r="I910" s="7">
        <v>1704</v>
      </c>
      <c r="J910" s="5">
        <v>46019</v>
      </c>
      <c r="K910" s="1" t="s">
        <v>957</v>
      </c>
      <c r="L910" s="1" t="s">
        <v>30</v>
      </c>
      <c r="M910" s="8">
        <v>0.43</v>
      </c>
      <c r="N910" s="6"/>
      <c r="O910" s="6">
        <v>39</v>
      </c>
      <c r="P910" s="9">
        <v>-110.12</v>
      </c>
    </row>
    <row r="911" spans="1:16" ht="19.5" customHeight="1">
      <c r="A911" s="1" t="s">
        <v>1982</v>
      </c>
      <c r="B911" s="5">
        <v>46022</v>
      </c>
      <c r="C911" s="1" t="s">
        <v>31</v>
      </c>
      <c r="D911" s="1" t="s">
        <v>32</v>
      </c>
      <c r="E911" s="1" t="s">
        <v>25</v>
      </c>
      <c r="F911" s="1" t="s">
        <v>26</v>
      </c>
      <c r="G911" s="1" t="s">
        <v>1229</v>
      </c>
      <c r="H911" s="6">
        <v>1</v>
      </c>
      <c r="I911" s="7">
        <v>1704</v>
      </c>
      <c r="J911" s="5">
        <v>46019</v>
      </c>
      <c r="K911" s="1" t="s">
        <v>957</v>
      </c>
      <c r="L911" s="1" t="s">
        <v>30</v>
      </c>
      <c r="M911" s="8">
        <v>0</v>
      </c>
      <c r="N911" s="6"/>
      <c r="O911" s="6"/>
      <c r="P911" s="9">
        <v>584.6</v>
      </c>
    </row>
    <row r="912" spans="1:16" ht="19.5" customHeight="1">
      <c r="A912" s="1" t="s">
        <v>1982</v>
      </c>
      <c r="B912" s="5">
        <v>46022</v>
      </c>
      <c r="C912" s="1" t="s">
        <v>31</v>
      </c>
      <c r="D912" s="1" t="s">
        <v>33</v>
      </c>
      <c r="E912" s="1" t="s">
        <v>25</v>
      </c>
      <c r="F912" s="1" t="s">
        <v>26</v>
      </c>
      <c r="G912" s="1" t="s">
        <v>1229</v>
      </c>
      <c r="H912" s="6">
        <v>1</v>
      </c>
      <c r="I912" s="7">
        <v>1704</v>
      </c>
      <c r="J912" s="5">
        <v>46019</v>
      </c>
      <c r="K912" s="1" t="s">
        <v>957</v>
      </c>
      <c r="L912" s="1" t="s">
        <v>30</v>
      </c>
      <c r="M912" s="8">
        <v>0</v>
      </c>
      <c r="N912" s="6"/>
      <c r="O912" s="6"/>
      <c r="P912" s="9">
        <v>5.85</v>
      </c>
    </row>
    <row r="913" spans="1:16" ht="19.5" customHeight="1">
      <c r="A913" s="1" t="s">
        <v>1982</v>
      </c>
      <c r="B913" s="5">
        <v>46022</v>
      </c>
      <c r="C913" s="1" t="s">
        <v>31</v>
      </c>
      <c r="D913" s="1" t="s">
        <v>34</v>
      </c>
      <c r="E913" s="1" t="s">
        <v>25</v>
      </c>
      <c r="F913" s="1" t="s">
        <v>26</v>
      </c>
      <c r="G913" s="1" t="s">
        <v>1229</v>
      </c>
      <c r="H913" s="6">
        <v>1</v>
      </c>
      <c r="I913" s="7">
        <v>1704</v>
      </c>
      <c r="J913" s="5">
        <v>46019</v>
      </c>
      <c r="K913" s="1" t="s">
        <v>957</v>
      </c>
      <c r="L913" s="1" t="s">
        <v>30</v>
      </c>
      <c r="M913" s="8">
        <v>0</v>
      </c>
      <c r="N913" s="6"/>
      <c r="O913" s="6"/>
      <c r="P913" s="9">
        <v>1113.55</v>
      </c>
    </row>
    <row r="914" spans="1:16" ht="19.5" customHeight="1">
      <c r="A914" s="1" t="s">
        <v>1982</v>
      </c>
      <c r="B914" s="5">
        <v>46022</v>
      </c>
      <c r="C914" s="1" t="s">
        <v>35</v>
      </c>
      <c r="D914" s="1" t="s">
        <v>36</v>
      </c>
      <c r="E914" s="1" t="s">
        <v>25</v>
      </c>
      <c r="F914" s="1" t="s">
        <v>26</v>
      </c>
      <c r="G914" s="1" t="s">
        <v>1229</v>
      </c>
      <c r="H914" s="6">
        <v>1</v>
      </c>
      <c r="I914" s="7">
        <v>1704</v>
      </c>
      <c r="J914" s="5">
        <v>46019</v>
      </c>
      <c r="K914" s="1" t="s">
        <v>957</v>
      </c>
      <c r="L914" s="1" t="s">
        <v>30</v>
      </c>
      <c r="M914" s="8">
        <v>0.43</v>
      </c>
      <c r="N914" s="6"/>
      <c r="O914" s="6"/>
      <c r="P914" s="9">
        <v>-732.72</v>
      </c>
    </row>
    <row r="915" spans="1:16" ht="19.5" customHeight="1">
      <c r="A915" s="1" t="s">
        <v>1982</v>
      </c>
      <c r="B915" s="5">
        <v>46022</v>
      </c>
      <c r="C915" s="1" t="s">
        <v>17</v>
      </c>
      <c r="D915" s="1" t="s">
        <v>37</v>
      </c>
      <c r="E915" s="1" t="s">
        <v>25</v>
      </c>
      <c r="F915" s="1" t="s">
        <v>26</v>
      </c>
      <c r="G915" s="1" t="s">
        <v>1229</v>
      </c>
      <c r="H915" s="6">
        <v>1</v>
      </c>
      <c r="I915" s="7">
        <v>1704</v>
      </c>
      <c r="J915" s="5">
        <v>46019</v>
      </c>
      <c r="K915" s="1" t="s">
        <v>957</v>
      </c>
      <c r="L915" s="1" t="s">
        <v>30</v>
      </c>
      <c r="M915" s="8">
        <v>0.43</v>
      </c>
      <c r="N915" s="6"/>
      <c r="O915" s="6"/>
      <c r="P915" s="9">
        <v>-7.55</v>
      </c>
    </row>
    <row r="916" spans="1:16" ht="19.5" customHeight="1">
      <c r="A916" s="1" t="s">
        <v>1983</v>
      </c>
      <c r="B916" s="5">
        <v>46022</v>
      </c>
      <c r="C916" s="1" t="s">
        <v>17</v>
      </c>
      <c r="D916" s="1" t="s">
        <v>18</v>
      </c>
      <c r="E916" s="1" t="s">
        <v>25</v>
      </c>
      <c r="F916" s="1" t="s">
        <v>26</v>
      </c>
      <c r="G916" s="1" t="s">
        <v>1229</v>
      </c>
      <c r="H916" s="6">
        <v>1</v>
      </c>
      <c r="I916" s="7">
        <v>0</v>
      </c>
      <c r="J916" s="5">
        <v>46022</v>
      </c>
      <c r="K916" s="1" t="s">
        <v>22</v>
      </c>
      <c r="L916" s="1" t="s">
        <v>22</v>
      </c>
      <c r="M916" s="8">
        <v>0</v>
      </c>
      <c r="N916" s="6"/>
      <c r="O916" s="6"/>
      <c r="P916" s="9">
        <v>-11.12</v>
      </c>
    </row>
    <row r="917" spans="1:16" ht="19.5" customHeight="1">
      <c r="A917" s="1" t="s">
        <v>1984</v>
      </c>
      <c r="B917" s="5">
        <v>46022</v>
      </c>
      <c r="C917" s="1" t="s">
        <v>28</v>
      </c>
      <c r="D917" s="1" t="s">
        <v>29</v>
      </c>
      <c r="E917" s="1" t="s">
        <v>25</v>
      </c>
      <c r="F917" s="1" t="s">
        <v>26</v>
      </c>
      <c r="G917" s="1" t="s">
        <v>1229</v>
      </c>
      <c r="H917" s="6">
        <v>1</v>
      </c>
      <c r="I917" s="7">
        <v>1704</v>
      </c>
      <c r="J917" s="5">
        <v>46021</v>
      </c>
      <c r="K917" s="1" t="s">
        <v>957</v>
      </c>
      <c r="L917" s="1" t="s">
        <v>30</v>
      </c>
      <c r="M917" s="8">
        <v>0.43</v>
      </c>
      <c r="N917" s="6"/>
      <c r="O917" s="6">
        <v>38</v>
      </c>
      <c r="P917" s="9">
        <v>-104.84</v>
      </c>
    </row>
    <row r="918" spans="1:16" ht="19.5" customHeight="1">
      <c r="A918" s="1" t="s">
        <v>1984</v>
      </c>
      <c r="B918" s="5">
        <v>46022</v>
      </c>
      <c r="C918" s="1" t="s">
        <v>31</v>
      </c>
      <c r="D918" s="1" t="s">
        <v>32</v>
      </c>
      <c r="E918" s="1" t="s">
        <v>25</v>
      </c>
      <c r="F918" s="1" t="s">
        <v>26</v>
      </c>
      <c r="G918" s="1" t="s">
        <v>1229</v>
      </c>
      <c r="H918" s="6">
        <v>1</v>
      </c>
      <c r="I918" s="7">
        <v>1704</v>
      </c>
      <c r="J918" s="5">
        <v>46021</v>
      </c>
      <c r="K918" s="1" t="s">
        <v>957</v>
      </c>
      <c r="L918" s="1" t="s">
        <v>30</v>
      </c>
      <c r="M918" s="8">
        <v>0</v>
      </c>
      <c r="N918" s="6"/>
      <c r="O918" s="6"/>
      <c r="P918" s="9">
        <v>649.52</v>
      </c>
    </row>
    <row r="919" spans="1:16" ht="19.5" customHeight="1">
      <c r="A919" s="1" t="s">
        <v>1984</v>
      </c>
      <c r="B919" s="5">
        <v>46022</v>
      </c>
      <c r="C919" s="1" t="s">
        <v>31</v>
      </c>
      <c r="D919" s="1" t="s">
        <v>33</v>
      </c>
      <c r="E919" s="1" t="s">
        <v>25</v>
      </c>
      <c r="F919" s="1" t="s">
        <v>26</v>
      </c>
      <c r="G919" s="1" t="s">
        <v>1229</v>
      </c>
      <c r="H919" s="6">
        <v>1</v>
      </c>
      <c r="I919" s="7">
        <v>1704</v>
      </c>
      <c r="J919" s="5">
        <v>46021</v>
      </c>
      <c r="K919" s="1" t="s">
        <v>957</v>
      </c>
      <c r="L919" s="1" t="s">
        <v>30</v>
      </c>
      <c r="M919" s="8">
        <v>0</v>
      </c>
      <c r="N919" s="6"/>
      <c r="O919" s="6"/>
      <c r="P919" s="9">
        <v>0</v>
      </c>
    </row>
    <row r="920" spans="1:16" ht="19.5" customHeight="1">
      <c r="A920" s="1" t="s">
        <v>1984</v>
      </c>
      <c r="B920" s="5">
        <v>46022</v>
      </c>
      <c r="C920" s="1" t="s">
        <v>31</v>
      </c>
      <c r="D920" s="1" t="s">
        <v>34</v>
      </c>
      <c r="E920" s="1" t="s">
        <v>25</v>
      </c>
      <c r="F920" s="1" t="s">
        <v>26</v>
      </c>
      <c r="G920" s="1" t="s">
        <v>1229</v>
      </c>
      <c r="H920" s="6">
        <v>1</v>
      </c>
      <c r="I920" s="7">
        <v>1704</v>
      </c>
      <c r="J920" s="5">
        <v>46021</v>
      </c>
      <c r="K920" s="1" t="s">
        <v>957</v>
      </c>
      <c r="L920" s="1" t="s">
        <v>30</v>
      </c>
      <c r="M920" s="8">
        <v>0</v>
      </c>
      <c r="N920" s="6"/>
      <c r="O920" s="6"/>
      <c r="P920" s="9">
        <v>1054.48</v>
      </c>
    </row>
    <row r="921" spans="1:16" ht="19.5" customHeight="1">
      <c r="A921" s="1" t="s">
        <v>1984</v>
      </c>
      <c r="B921" s="5">
        <v>46022</v>
      </c>
      <c r="C921" s="1" t="s">
        <v>35</v>
      </c>
      <c r="D921" s="1" t="s">
        <v>36</v>
      </c>
      <c r="E921" s="1" t="s">
        <v>25</v>
      </c>
      <c r="F921" s="1" t="s">
        <v>26</v>
      </c>
      <c r="G921" s="1" t="s">
        <v>1229</v>
      </c>
      <c r="H921" s="6">
        <v>1</v>
      </c>
      <c r="I921" s="7">
        <v>1704</v>
      </c>
      <c r="J921" s="5">
        <v>46021</v>
      </c>
      <c r="K921" s="1" t="s">
        <v>957</v>
      </c>
      <c r="L921" s="1" t="s">
        <v>30</v>
      </c>
      <c r="M921" s="8">
        <v>0.43</v>
      </c>
      <c r="N921" s="6"/>
      <c r="O921" s="6"/>
      <c r="P921" s="9">
        <v>-732.72</v>
      </c>
    </row>
    <row r="922" spans="1:16" ht="19.5" customHeight="1">
      <c r="A922" s="1" t="s">
        <v>1984</v>
      </c>
      <c r="B922" s="5">
        <v>46022</v>
      </c>
      <c r="C922" s="1" t="s">
        <v>17</v>
      </c>
      <c r="D922" s="1" t="s">
        <v>37</v>
      </c>
      <c r="E922" s="1" t="s">
        <v>25</v>
      </c>
      <c r="F922" s="1" t="s">
        <v>26</v>
      </c>
      <c r="G922" s="1" t="s">
        <v>1229</v>
      </c>
      <c r="H922" s="6">
        <v>1</v>
      </c>
      <c r="I922" s="7">
        <v>1704</v>
      </c>
      <c r="J922" s="5">
        <v>46021</v>
      </c>
      <c r="K922" s="1" t="s">
        <v>957</v>
      </c>
      <c r="L922" s="1" t="s">
        <v>30</v>
      </c>
      <c r="M922" s="8">
        <v>0.43</v>
      </c>
      <c r="N922" s="6"/>
      <c r="O922" s="6"/>
      <c r="P922" s="9">
        <v>-12.71</v>
      </c>
    </row>
    <row r="923" spans="1:16" ht="19.5" customHeight="1">
      <c r="A923" s="1" t="s">
        <v>1982</v>
      </c>
      <c r="B923" s="5">
        <v>46022</v>
      </c>
      <c r="C923" s="1" t="s">
        <v>17</v>
      </c>
      <c r="D923" s="1" t="s">
        <v>18</v>
      </c>
      <c r="E923" s="1" t="s">
        <v>25</v>
      </c>
      <c r="F923" s="1" t="s">
        <v>26</v>
      </c>
      <c r="G923" s="1" t="s">
        <v>1229</v>
      </c>
      <c r="H923" s="6">
        <v>1</v>
      </c>
      <c r="I923" s="7">
        <v>0</v>
      </c>
      <c r="J923" s="5">
        <v>46019</v>
      </c>
      <c r="K923" s="1" t="s">
        <v>22</v>
      </c>
      <c r="L923" s="1" t="s">
        <v>22</v>
      </c>
      <c r="M923" s="8">
        <v>0</v>
      </c>
      <c r="N923" s="6"/>
      <c r="O923" s="6"/>
      <c r="P923" s="9">
        <v>-11.11</v>
      </c>
    </row>
    <row r="924" spans="1:16" ht="19.5" customHeight="1">
      <c r="A924" s="1" t="s">
        <v>1985</v>
      </c>
      <c r="B924" s="5">
        <v>46022</v>
      </c>
      <c r="C924" s="1" t="s">
        <v>17</v>
      </c>
      <c r="D924" s="1" t="s">
        <v>18</v>
      </c>
      <c r="E924" s="1" t="s">
        <v>223</v>
      </c>
      <c r="F924" s="1" t="s">
        <v>395</v>
      </c>
      <c r="G924" s="1" t="s">
        <v>1229</v>
      </c>
      <c r="H924" s="6">
        <v>1</v>
      </c>
      <c r="I924" s="7">
        <v>0</v>
      </c>
      <c r="J924" s="5">
        <v>46022</v>
      </c>
      <c r="K924" s="1" t="s">
        <v>22</v>
      </c>
      <c r="L924" s="1" t="s">
        <v>22</v>
      </c>
      <c r="M924" s="8">
        <v>0</v>
      </c>
      <c r="N924" s="6"/>
      <c r="O924" s="6"/>
      <c r="P924" s="9">
        <v>-8.67</v>
      </c>
    </row>
    <row r="925" spans="1:16" ht="19.5" customHeight="1">
      <c r="A925" s="1" t="s">
        <v>1985</v>
      </c>
      <c r="B925" s="5">
        <v>46022</v>
      </c>
      <c r="C925" s="1" t="s">
        <v>17</v>
      </c>
      <c r="D925" s="1" t="s">
        <v>18</v>
      </c>
      <c r="E925" s="1" t="s">
        <v>223</v>
      </c>
      <c r="F925" s="1" t="s">
        <v>395</v>
      </c>
      <c r="G925" s="1" t="s">
        <v>1229</v>
      </c>
      <c r="H925" s="6">
        <v>1</v>
      </c>
      <c r="I925" s="7">
        <v>0</v>
      </c>
      <c r="J925" s="5">
        <v>46022</v>
      </c>
      <c r="K925" s="1" t="s">
        <v>22</v>
      </c>
      <c r="L925" s="1" t="s">
        <v>22</v>
      </c>
      <c r="M925" s="8">
        <v>0</v>
      </c>
      <c r="N925" s="6"/>
      <c r="O925" s="6"/>
      <c r="P925" s="9">
        <v>8.67</v>
      </c>
    </row>
    <row r="926" spans="1:16" ht="19.5" customHeight="1">
      <c r="A926" s="1" t="s">
        <v>1986</v>
      </c>
      <c r="B926" s="5">
        <v>46022</v>
      </c>
      <c r="C926" s="1" t="s">
        <v>17</v>
      </c>
      <c r="D926" s="1" t="s">
        <v>18</v>
      </c>
      <c r="E926" s="1" t="s">
        <v>25</v>
      </c>
      <c r="F926" s="1" t="s">
        <v>26</v>
      </c>
      <c r="G926" s="1" t="s">
        <v>1229</v>
      </c>
      <c r="H926" s="6">
        <v>1</v>
      </c>
      <c r="I926" s="7">
        <v>0</v>
      </c>
      <c r="J926" s="5">
        <v>46022</v>
      </c>
      <c r="K926" s="1" t="s">
        <v>22</v>
      </c>
      <c r="L926" s="1" t="s">
        <v>22</v>
      </c>
      <c r="M926" s="8">
        <v>0</v>
      </c>
      <c r="N926" s="6"/>
      <c r="O926" s="6"/>
      <c r="P926" s="9">
        <v>-4.5</v>
      </c>
    </row>
    <row r="927" spans="1:16" ht="19.5" customHeight="1">
      <c r="A927" s="1" t="s">
        <v>1987</v>
      </c>
      <c r="B927" s="5">
        <v>46022</v>
      </c>
      <c r="C927" s="1" t="s">
        <v>28</v>
      </c>
      <c r="D927" s="1" t="s">
        <v>29</v>
      </c>
      <c r="E927" s="1" t="s">
        <v>25</v>
      </c>
      <c r="F927" s="1" t="s">
        <v>26</v>
      </c>
      <c r="G927" s="1" t="s">
        <v>1229</v>
      </c>
      <c r="H927" s="6">
        <v>1</v>
      </c>
      <c r="I927" s="7">
        <v>1704</v>
      </c>
      <c r="J927" s="5">
        <v>46018</v>
      </c>
      <c r="K927" s="1" t="s">
        <v>957</v>
      </c>
      <c r="L927" s="1" t="s">
        <v>30</v>
      </c>
      <c r="M927" s="8">
        <v>0.43</v>
      </c>
      <c r="N927" s="6"/>
      <c r="O927" s="6">
        <v>39</v>
      </c>
      <c r="P927" s="9">
        <v>-110.12</v>
      </c>
    </row>
    <row r="928" spans="1:16" ht="19.5" customHeight="1">
      <c r="A928" s="1" t="s">
        <v>1987</v>
      </c>
      <c r="B928" s="5">
        <v>46022</v>
      </c>
      <c r="C928" s="1" t="s">
        <v>31</v>
      </c>
      <c r="D928" s="1" t="s">
        <v>32</v>
      </c>
      <c r="E928" s="1" t="s">
        <v>25</v>
      </c>
      <c r="F928" s="1" t="s">
        <v>26</v>
      </c>
      <c r="G928" s="1" t="s">
        <v>1229</v>
      </c>
      <c r="H928" s="6">
        <v>1</v>
      </c>
      <c r="I928" s="7">
        <v>1704</v>
      </c>
      <c r="J928" s="5">
        <v>46018</v>
      </c>
      <c r="K928" s="1" t="s">
        <v>957</v>
      </c>
      <c r="L928" s="1" t="s">
        <v>30</v>
      </c>
      <c r="M928" s="8">
        <v>0</v>
      </c>
      <c r="N928" s="6"/>
      <c r="O928" s="6"/>
      <c r="P928" s="9">
        <v>585.71</v>
      </c>
    </row>
    <row r="929" spans="1:16" ht="19.5" customHeight="1">
      <c r="A929" s="1" t="s">
        <v>1987</v>
      </c>
      <c r="B929" s="5">
        <v>46022</v>
      </c>
      <c r="C929" s="1" t="s">
        <v>31</v>
      </c>
      <c r="D929" s="1" t="s">
        <v>33</v>
      </c>
      <c r="E929" s="1" t="s">
        <v>25</v>
      </c>
      <c r="F929" s="1" t="s">
        <v>26</v>
      </c>
      <c r="G929" s="1" t="s">
        <v>1229</v>
      </c>
      <c r="H929" s="6">
        <v>1</v>
      </c>
      <c r="I929" s="7">
        <v>1704</v>
      </c>
      <c r="J929" s="5">
        <v>46018</v>
      </c>
      <c r="K929" s="1" t="s">
        <v>957</v>
      </c>
      <c r="L929" s="1" t="s">
        <v>30</v>
      </c>
      <c r="M929" s="8">
        <v>0</v>
      </c>
      <c r="N929" s="6"/>
      <c r="O929" s="6"/>
      <c r="P929" s="9">
        <v>5.86</v>
      </c>
    </row>
    <row r="930" spans="1:16" ht="19.5" customHeight="1">
      <c r="A930" s="1" t="s">
        <v>1987</v>
      </c>
      <c r="B930" s="5">
        <v>46022</v>
      </c>
      <c r="C930" s="1" t="s">
        <v>31</v>
      </c>
      <c r="D930" s="1" t="s">
        <v>34</v>
      </c>
      <c r="E930" s="1" t="s">
        <v>25</v>
      </c>
      <c r="F930" s="1" t="s">
        <v>26</v>
      </c>
      <c r="G930" s="1" t="s">
        <v>1229</v>
      </c>
      <c r="H930" s="6">
        <v>1</v>
      </c>
      <c r="I930" s="7">
        <v>1704</v>
      </c>
      <c r="J930" s="5">
        <v>46018</v>
      </c>
      <c r="K930" s="1" t="s">
        <v>957</v>
      </c>
      <c r="L930" s="1" t="s">
        <v>30</v>
      </c>
      <c r="M930" s="8">
        <v>0</v>
      </c>
      <c r="N930" s="6"/>
      <c r="O930" s="6"/>
      <c r="P930" s="9">
        <v>1112.43</v>
      </c>
    </row>
    <row r="931" spans="1:16" ht="19.5" customHeight="1">
      <c r="A931" s="1" t="s">
        <v>1987</v>
      </c>
      <c r="B931" s="5">
        <v>46022</v>
      </c>
      <c r="C931" s="1" t="s">
        <v>35</v>
      </c>
      <c r="D931" s="1" t="s">
        <v>36</v>
      </c>
      <c r="E931" s="1" t="s">
        <v>25</v>
      </c>
      <c r="F931" s="1" t="s">
        <v>26</v>
      </c>
      <c r="G931" s="1" t="s">
        <v>1229</v>
      </c>
      <c r="H931" s="6">
        <v>1</v>
      </c>
      <c r="I931" s="7">
        <v>1704</v>
      </c>
      <c r="J931" s="5">
        <v>46018</v>
      </c>
      <c r="K931" s="1" t="s">
        <v>957</v>
      </c>
      <c r="L931" s="1" t="s">
        <v>30</v>
      </c>
      <c r="M931" s="8">
        <v>0.43</v>
      </c>
      <c r="N931" s="6"/>
      <c r="O931" s="6"/>
      <c r="P931" s="9">
        <v>-732.72</v>
      </c>
    </row>
    <row r="932" spans="1:16" ht="19.5" customHeight="1">
      <c r="A932" s="1" t="s">
        <v>1987</v>
      </c>
      <c r="B932" s="5">
        <v>46022</v>
      </c>
      <c r="C932" s="1" t="s">
        <v>17</v>
      </c>
      <c r="D932" s="1" t="s">
        <v>37</v>
      </c>
      <c r="E932" s="1" t="s">
        <v>25</v>
      </c>
      <c r="F932" s="1" t="s">
        <v>26</v>
      </c>
      <c r="G932" s="1" t="s">
        <v>1229</v>
      </c>
      <c r="H932" s="6">
        <v>1</v>
      </c>
      <c r="I932" s="7">
        <v>1704</v>
      </c>
      <c r="J932" s="5">
        <v>46018</v>
      </c>
      <c r="K932" s="1" t="s">
        <v>957</v>
      </c>
      <c r="L932" s="1" t="s">
        <v>30</v>
      </c>
      <c r="M932" s="8">
        <v>0.43</v>
      </c>
      <c r="N932" s="6"/>
      <c r="O932" s="6"/>
      <c r="P932" s="9">
        <v>-12.87</v>
      </c>
    </row>
    <row r="933" spans="1:16" ht="19.5" customHeight="1">
      <c r="A933" s="1" t="s">
        <v>1988</v>
      </c>
      <c r="B933" s="5">
        <v>46022</v>
      </c>
      <c r="C933" s="1" t="s">
        <v>17</v>
      </c>
      <c r="D933" s="1" t="s">
        <v>18</v>
      </c>
      <c r="E933" s="1" t="s">
        <v>223</v>
      </c>
      <c r="F933" s="1" t="s">
        <v>395</v>
      </c>
      <c r="G933" s="1" t="s">
        <v>1229</v>
      </c>
      <c r="H933" s="6">
        <v>1</v>
      </c>
      <c r="I933" s="7">
        <v>0</v>
      </c>
      <c r="J933" s="5">
        <v>46022</v>
      </c>
      <c r="K933" s="1" t="s">
        <v>22</v>
      </c>
      <c r="L933" s="1" t="s">
        <v>22</v>
      </c>
      <c r="M933" s="8">
        <v>0</v>
      </c>
      <c r="N933" s="6"/>
      <c r="O933" s="6"/>
      <c r="P933" s="9">
        <v>-3.82</v>
      </c>
    </row>
    <row r="934" spans="1:16" ht="19.5" customHeight="1">
      <c r="A934" s="1" t="s">
        <v>1989</v>
      </c>
      <c r="B934" s="5">
        <v>46022</v>
      </c>
      <c r="C934" s="1" t="s">
        <v>17</v>
      </c>
      <c r="D934" s="1" t="s">
        <v>18</v>
      </c>
      <c r="E934" s="1" t="s">
        <v>25</v>
      </c>
      <c r="F934" s="1" t="s">
        <v>26</v>
      </c>
      <c r="G934" s="1" t="s">
        <v>1229</v>
      </c>
      <c r="H934" s="6">
        <v>1</v>
      </c>
      <c r="I934" s="7">
        <v>0</v>
      </c>
      <c r="J934" s="5">
        <v>46022</v>
      </c>
      <c r="K934" s="1" t="s">
        <v>22</v>
      </c>
      <c r="L934" s="1" t="s">
        <v>22</v>
      </c>
      <c r="M934" s="8">
        <v>0</v>
      </c>
      <c r="N934" s="6"/>
      <c r="O934" s="6"/>
      <c r="P934" s="9">
        <v>-11.13</v>
      </c>
    </row>
    <row r="935" spans="1:16" ht="19.5" customHeight="1">
      <c r="A935" s="1" t="s">
        <v>1908</v>
      </c>
      <c r="B935" s="5">
        <v>46022</v>
      </c>
      <c r="C935" s="1" t="s">
        <v>77</v>
      </c>
      <c r="D935" s="1" t="s">
        <v>82</v>
      </c>
      <c r="E935" s="1" t="s">
        <v>22</v>
      </c>
      <c r="F935" s="1" t="s">
        <v>22</v>
      </c>
      <c r="G935" s="1" t="s">
        <v>22</v>
      </c>
      <c r="H935" s="6">
        <v>0</v>
      </c>
      <c r="I935" s="7">
        <v>0</v>
      </c>
      <c r="J935" s="5">
        <v>46022</v>
      </c>
      <c r="K935" s="1" t="s">
        <v>22</v>
      </c>
      <c r="L935" s="1" t="s">
        <v>22</v>
      </c>
      <c r="M935" s="8">
        <v>0</v>
      </c>
      <c r="N935" s="6"/>
      <c r="O935" s="6"/>
      <c r="P935" s="9">
        <v>-232.68</v>
      </c>
    </row>
    <row r="936" spans="1:16" ht="19.5" customHeight="1">
      <c r="A936" s="1" t="s">
        <v>1910</v>
      </c>
      <c r="B936" s="5">
        <v>46022</v>
      </c>
      <c r="C936" s="1" t="s">
        <v>77</v>
      </c>
      <c r="D936" s="1" t="s">
        <v>82</v>
      </c>
      <c r="E936" s="1" t="s">
        <v>22</v>
      </c>
      <c r="F936" s="1" t="s">
        <v>22</v>
      </c>
      <c r="G936" s="1" t="s">
        <v>22</v>
      </c>
      <c r="H936" s="6">
        <v>0</v>
      </c>
      <c r="I936" s="7">
        <v>0</v>
      </c>
      <c r="J936" s="5">
        <v>46022</v>
      </c>
      <c r="K936" s="1" t="s">
        <v>22</v>
      </c>
      <c r="L936" s="1" t="s">
        <v>22</v>
      </c>
      <c r="M936" s="8">
        <v>0</v>
      </c>
      <c r="N936" s="6"/>
      <c r="O936" s="6"/>
      <c r="P936" s="9">
        <v>-277.73</v>
      </c>
    </row>
    <row r="937" spans="1:16" ht="19.5" customHeight="1">
      <c r="A937" s="1" t="s">
        <v>1909</v>
      </c>
      <c r="B937" s="5">
        <v>46022</v>
      </c>
      <c r="C937" s="1" t="s">
        <v>77</v>
      </c>
      <c r="D937" s="1" t="s">
        <v>82</v>
      </c>
      <c r="E937" s="1" t="s">
        <v>22</v>
      </c>
      <c r="F937" s="1" t="s">
        <v>22</v>
      </c>
      <c r="G937" s="1" t="s">
        <v>22</v>
      </c>
      <c r="H937" s="6">
        <v>0</v>
      </c>
      <c r="I937" s="7">
        <v>0</v>
      </c>
      <c r="J937" s="5">
        <v>46022</v>
      </c>
      <c r="K937" s="1" t="s">
        <v>22</v>
      </c>
      <c r="L937" s="1" t="s">
        <v>22</v>
      </c>
      <c r="M937" s="8">
        <v>0</v>
      </c>
      <c r="N937" s="6"/>
      <c r="O937" s="6"/>
      <c r="P937" s="9">
        <v>-214.23</v>
      </c>
    </row>
    <row r="938" spans="1:16" ht="19.5" customHeight="1">
      <c r="A938" s="1" t="s">
        <v>1847</v>
      </c>
      <c r="B938" s="5">
        <v>46022</v>
      </c>
      <c r="C938" s="1" t="s">
        <v>77</v>
      </c>
      <c r="D938" s="1" t="s">
        <v>82</v>
      </c>
      <c r="E938" s="1" t="s">
        <v>22</v>
      </c>
      <c r="F938" s="1" t="s">
        <v>22</v>
      </c>
      <c r="G938" s="1" t="s">
        <v>22</v>
      </c>
      <c r="H938" s="6">
        <v>0</v>
      </c>
      <c r="I938" s="7">
        <v>0</v>
      </c>
      <c r="J938" s="5">
        <v>46022</v>
      </c>
      <c r="K938" s="1" t="s">
        <v>22</v>
      </c>
      <c r="L938" s="1" t="s">
        <v>22</v>
      </c>
      <c r="M938" s="8">
        <v>0</v>
      </c>
      <c r="N938" s="6"/>
      <c r="O938" s="6"/>
      <c r="P938" s="9">
        <v>-197.39</v>
      </c>
    </row>
    <row r="939" spans="1:16" ht="19.5" customHeight="1">
      <c r="A939" s="1" t="s">
        <v>1376</v>
      </c>
      <c r="B939" s="5">
        <v>46022</v>
      </c>
      <c r="C939" s="1" t="s">
        <v>77</v>
      </c>
      <c r="D939" s="1" t="s">
        <v>82</v>
      </c>
      <c r="E939" s="1" t="s">
        <v>22</v>
      </c>
      <c r="F939" s="1" t="s">
        <v>22</v>
      </c>
      <c r="G939" s="1" t="s">
        <v>22</v>
      </c>
      <c r="H939" s="6">
        <v>0</v>
      </c>
      <c r="I939" s="7">
        <v>0</v>
      </c>
      <c r="J939" s="5">
        <v>46022</v>
      </c>
      <c r="K939" s="1" t="s">
        <v>22</v>
      </c>
      <c r="L939" s="1" t="s">
        <v>22</v>
      </c>
      <c r="M939" s="8">
        <v>0</v>
      </c>
      <c r="N939" s="6"/>
      <c r="O939" s="6"/>
      <c r="P939" s="9">
        <v>-1105.78</v>
      </c>
    </row>
    <row r="940" spans="1:16" ht="19.5" customHeight="1">
      <c r="A940" s="1" t="s">
        <v>1075</v>
      </c>
      <c r="B940" s="5">
        <v>46022</v>
      </c>
      <c r="C940" s="1" t="s">
        <v>77</v>
      </c>
      <c r="D940" s="1" t="s">
        <v>82</v>
      </c>
      <c r="E940" s="1" t="s">
        <v>22</v>
      </c>
      <c r="F940" s="1" t="s">
        <v>22</v>
      </c>
      <c r="G940" s="1" t="s">
        <v>22</v>
      </c>
      <c r="H940" s="6">
        <v>0</v>
      </c>
      <c r="I940" s="7">
        <v>0</v>
      </c>
      <c r="J940" s="5">
        <v>46022</v>
      </c>
      <c r="K940" s="1" t="s">
        <v>22</v>
      </c>
      <c r="L940" s="1" t="s">
        <v>22</v>
      </c>
      <c r="M940" s="8">
        <v>0</v>
      </c>
      <c r="N940" s="6"/>
      <c r="O940" s="6"/>
      <c r="P940" s="9">
        <v>-633.97</v>
      </c>
    </row>
    <row r="941" spans="1:16" ht="19.5" customHeight="1">
      <c r="A941" s="1" t="s">
        <v>83</v>
      </c>
      <c r="B941" s="5">
        <v>46022</v>
      </c>
      <c r="C941" s="1" t="s">
        <v>77</v>
      </c>
      <c r="D941" s="1" t="s">
        <v>84</v>
      </c>
      <c r="E941" s="1" t="s">
        <v>22</v>
      </c>
      <c r="F941" s="1" t="s">
        <v>22</v>
      </c>
      <c r="G941" s="1" t="s">
        <v>22</v>
      </c>
      <c r="H941" s="6">
        <v>0</v>
      </c>
      <c r="I941" s="7">
        <v>0</v>
      </c>
      <c r="J941" s="5">
        <v>46022</v>
      </c>
      <c r="K941" s="1" t="s">
        <v>22</v>
      </c>
      <c r="L941" s="1" t="s">
        <v>22</v>
      </c>
      <c r="M941" s="8">
        <v>0</v>
      </c>
      <c r="N941" s="6"/>
      <c r="O941" s="6"/>
      <c r="P941" s="9">
        <v>-1953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74BE-6179-4F12-B94C-44B2B9C87E32}">
  <dimension ref="A1:P533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1674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1675</v>
      </c>
      <c r="B3" s="5">
        <v>46006</v>
      </c>
      <c r="C3" s="1" t="s">
        <v>17</v>
      </c>
      <c r="D3" s="1" t="s">
        <v>18</v>
      </c>
      <c r="E3" s="1" t="s">
        <v>227</v>
      </c>
      <c r="F3" s="1" t="s">
        <v>402</v>
      </c>
      <c r="G3" s="1" t="s">
        <v>1229</v>
      </c>
      <c r="H3" s="6">
        <v>1</v>
      </c>
      <c r="I3" s="7">
        <v>0</v>
      </c>
      <c r="J3" s="5">
        <v>46006</v>
      </c>
      <c r="K3" s="1" t="s">
        <v>22</v>
      </c>
      <c r="L3" s="1" t="s">
        <v>22</v>
      </c>
      <c r="M3" s="8">
        <v>0</v>
      </c>
      <c r="N3" s="6"/>
      <c r="O3" s="6"/>
      <c r="P3" s="9">
        <v>-12.23</v>
      </c>
    </row>
    <row r="4" spans="1:16" ht="19.5" customHeight="1">
      <c r="A4" s="1" t="s">
        <v>1676</v>
      </c>
      <c r="B4" s="5">
        <v>46006</v>
      </c>
      <c r="C4" s="1" t="s">
        <v>17</v>
      </c>
      <c r="D4" s="1" t="s">
        <v>18</v>
      </c>
      <c r="E4" s="1" t="s">
        <v>223</v>
      </c>
      <c r="F4" s="1" t="s">
        <v>395</v>
      </c>
      <c r="G4" s="1" t="s">
        <v>1229</v>
      </c>
      <c r="H4" s="6">
        <v>1</v>
      </c>
      <c r="I4" s="7">
        <v>0</v>
      </c>
      <c r="J4" s="5">
        <v>46006</v>
      </c>
      <c r="K4" s="1" t="s">
        <v>22</v>
      </c>
      <c r="L4" s="1" t="s">
        <v>22</v>
      </c>
      <c r="M4" s="8">
        <v>0</v>
      </c>
      <c r="N4" s="6"/>
      <c r="O4" s="6"/>
      <c r="P4" s="9">
        <v>-8.68</v>
      </c>
    </row>
    <row r="5" spans="1:16" ht="19.5" customHeight="1">
      <c r="A5" s="1" t="s">
        <v>1525</v>
      </c>
      <c r="B5" s="5">
        <v>46006</v>
      </c>
      <c r="C5" s="1" t="s">
        <v>28</v>
      </c>
      <c r="D5" s="1" t="s">
        <v>60</v>
      </c>
      <c r="E5" s="1" t="s">
        <v>223</v>
      </c>
      <c r="F5" s="1" t="s">
        <v>395</v>
      </c>
      <c r="G5" s="1" t="s">
        <v>1229</v>
      </c>
      <c r="H5" s="6">
        <v>1</v>
      </c>
      <c r="I5" s="7">
        <v>0</v>
      </c>
      <c r="J5" s="5">
        <v>45994</v>
      </c>
      <c r="K5" s="1" t="s">
        <v>957</v>
      </c>
      <c r="L5" s="1" t="s">
        <v>30</v>
      </c>
      <c r="M5" s="8">
        <v>0</v>
      </c>
      <c r="N5" s="6"/>
      <c r="O5" s="6"/>
      <c r="P5" s="9">
        <v>0</v>
      </c>
    </row>
    <row r="6" spans="1:16" ht="19.5" customHeight="1">
      <c r="A6" s="1" t="s">
        <v>1525</v>
      </c>
      <c r="B6" s="5">
        <v>46006</v>
      </c>
      <c r="C6" s="1" t="s">
        <v>28</v>
      </c>
      <c r="D6" s="1" t="s">
        <v>46</v>
      </c>
      <c r="E6" s="1" t="s">
        <v>223</v>
      </c>
      <c r="F6" s="1" t="s">
        <v>395</v>
      </c>
      <c r="G6" s="1" t="s">
        <v>1229</v>
      </c>
      <c r="H6" s="6">
        <v>1</v>
      </c>
      <c r="I6" s="7">
        <v>0</v>
      </c>
      <c r="J6" s="5">
        <v>45994</v>
      </c>
      <c r="K6" s="1" t="s">
        <v>957</v>
      </c>
      <c r="L6" s="1" t="s">
        <v>30</v>
      </c>
      <c r="M6" s="8">
        <v>0</v>
      </c>
      <c r="N6" s="6"/>
      <c r="O6" s="6"/>
      <c r="P6" s="9">
        <v>-46.77</v>
      </c>
    </row>
    <row r="7" spans="1:16" ht="19.5" customHeight="1">
      <c r="A7" s="1" t="s">
        <v>1525</v>
      </c>
      <c r="B7" s="5">
        <v>46006</v>
      </c>
      <c r="C7" s="1" t="s">
        <v>17</v>
      </c>
      <c r="D7" s="1" t="s">
        <v>47</v>
      </c>
      <c r="E7" s="1" t="s">
        <v>223</v>
      </c>
      <c r="F7" s="1" t="s">
        <v>395</v>
      </c>
      <c r="G7" s="1" t="s">
        <v>1229</v>
      </c>
      <c r="H7" s="6">
        <v>1</v>
      </c>
      <c r="I7" s="7">
        <v>0</v>
      </c>
      <c r="J7" s="5">
        <v>45994</v>
      </c>
      <c r="K7" s="1" t="s">
        <v>957</v>
      </c>
      <c r="L7" s="1" t="s">
        <v>30</v>
      </c>
      <c r="M7" s="8">
        <v>0</v>
      </c>
      <c r="N7" s="6"/>
      <c r="O7" s="6"/>
      <c r="P7" s="9">
        <v>-15</v>
      </c>
    </row>
    <row r="8" spans="1:16" ht="19.5" customHeight="1">
      <c r="A8" s="1" t="s">
        <v>1677</v>
      </c>
      <c r="B8" s="5">
        <v>46006</v>
      </c>
      <c r="C8" s="1" t="s">
        <v>261</v>
      </c>
      <c r="D8" s="1" t="s">
        <v>326</v>
      </c>
      <c r="E8" s="1" t="s">
        <v>22</v>
      </c>
      <c r="F8" s="1" t="s">
        <v>22</v>
      </c>
      <c r="G8" s="1" t="s">
        <v>22</v>
      </c>
      <c r="H8" s="6">
        <v>0</v>
      </c>
      <c r="I8" s="7">
        <v>0</v>
      </c>
      <c r="J8" s="5">
        <v>45989</v>
      </c>
      <c r="K8" s="1" t="s">
        <v>22</v>
      </c>
      <c r="L8" s="1" t="s">
        <v>22</v>
      </c>
      <c r="M8" s="8">
        <v>0</v>
      </c>
      <c r="N8" s="6"/>
      <c r="O8" s="6"/>
      <c r="P8" s="9">
        <v>-1583.4</v>
      </c>
    </row>
    <row r="9" spans="1:16" ht="19.5" customHeight="1">
      <c r="A9" s="1" t="s">
        <v>1678</v>
      </c>
      <c r="B9" s="5">
        <v>46006</v>
      </c>
      <c r="C9" s="1" t="s">
        <v>28</v>
      </c>
      <c r="D9" s="1" t="s">
        <v>29</v>
      </c>
      <c r="E9" s="1" t="s">
        <v>223</v>
      </c>
      <c r="F9" s="1" t="s">
        <v>395</v>
      </c>
      <c r="G9" s="1" t="s">
        <v>1229</v>
      </c>
      <c r="H9" s="6">
        <v>1</v>
      </c>
      <c r="I9" s="7">
        <v>0</v>
      </c>
      <c r="J9" s="5">
        <v>46002</v>
      </c>
      <c r="K9" s="1" t="s">
        <v>957</v>
      </c>
      <c r="L9" s="1" t="s">
        <v>30</v>
      </c>
      <c r="M9" s="8">
        <v>0</v>
      </c>
      <c r="N9" s="6"/>
      <c r="O9" s="6">
        <v>40</v>
      </c>
      <c r="P9" s="9">
        <v>-105.3</v>
      </c>
    </row>
    <row r="10" spans="1:16" ht="19.5" customHeight="1">
      <c r="A10" s="1" t="s">
        <v>1679</v>
      </c>
      <c r="B10" s="5">
        <v>46006</v>
      </c>
      <c r="C10" s="1" t="s">
        <v>28</v>
      </c>
      <c r="D10" s="1" t="s">
        <v>29</v>
      </c>
      <c r="E10" s="1" t="s">
        <v>223</v>
      </c>
      <c r="F10" s="1" t="s">
        <v>395</v>
      </c>
      <c r="G10" s="1" t="s">
        <v>1229</v>
      </c>
      <c r="H10" s="6">
        <v>1</v>
      </c>
      <c r="I10" s="7">
        <v>1360</v>
      </c>
      <c r="J10" s="5">
        <v>46005</v>
      </c>
      <c r="K10" s="1" t="s">
        <v>957</v>
      </c>
      <c r="L10" s="1" t="s">
        <v>30</v>
      </c>
      <c r="M10" s="8">
        <v>0.43</v>
      </c>
      <c r="N10" s="6"/>
      <c r="O10" s="6">
        <v>40</v>
      </c>
      <c r="P10" s="9">
        <v>-104.14</v>
      </c>
    </row>
    <row r="11" spans="1:16" ht="19.5" customHeight="1">
      <c r="A11" s="1" t="s">
        <v>1679</v>
      </c>
      <c r="B11" s="5">
        <v>46006</v>
      </c>
      <c r="C11" s="1" t="s">
        <v>31</v>
      </c>
      <c r="D11" s="1" t="s">
        <v>32</v>
      </c>
      <c r="E11" s="1" t="s">
        <v>223</v>
      </c>
      <c r="F11" s="1" t="s">
        <v>395</v>
      </c>
      <c r="G11" s="1" t="s">
        <v>1229</v>
      </c>
      <c r="H11" s="6">
        <v>1</v>
      </c>
      <c r="I11" s="7">
        <v>1360</v>
      </c>
      <c r="J11" s="5">
        <v>46005</v>
      </c>
      <c r="K11" s="1" t="s">
        <v>957</v>
      </c>
      <c r="L11" s="1" t="s">
        <v>30</v>
      </c>
      <c r="M11" s="8">
        <v>0</v>
      </c>
      <c r="N11" s="6"/>
      <c r="O11" s="6"/>
      <c r="P11" s="9">
        <v>475.74</v>
      </c>
    </row>
    <row r="12" spans="1:16" ht="19.5" customHeight="1">
      <c r="A12" s="1" t="s">
        <v>1679</v>
      </c>
      <c r="B12" s="5">
        <v>46006</v>
      </c>
      <c r="C12" s="1" t="s">
        <v>31</v>
      </c>
      <c r="D12" s="1" t="s">
        <v>33</v>
      </c>
      <c r="E12" s="1" t="s">
        <v>223</v>
      </c>
      <c r="F12" s="1" t="s">
        <v>395</v>
      </c>
      <c r="G12" s="1" t="s">
        <v>1229</v>
      </c>
      <c r="H12" s="6">
        <v>1</v>
      </c>
      <c r="I12" s="7">
        <v>1360</v>
      </c>
      <c r="J12" s="5">
        <v>46005</v>
      </c>
      <c r="K12" s="1" t="s">
        <v>957</v>
      </c>
      <c r="L12" s="1" t="s">
        <v>30</v>
      </c>
      <c r="M12" s="8">
        <v>0</v>
      </c>
      <c r="N12" s="6"/>
      <c r="O12" s="6"/>
      <c r="P12" s="9">
        <v>4.76</v>
      </c>
    </row>
    <row r="13" spans="1:16" ht="19.5" customHeight="1">
      <c r="A13" s="1" t="s">
        <v>1679</v>
      </c>
      <c r="B13" s="5">
        <v>46006</v>
      </c>
      <c r="C13" s="1" t="s">
        <v>31</v>
      </c>
      <c r="D13" s="1" t="s">
        <v>34</v>
      </c>
      <c r="E13" s="1" t="s">
        <v>223</v>
      </c>
      <c r="F13" s="1" t="s">
        <v>395</v>
      </c>
      <c r="G13" s="1" t="s">
        <v>1229</v>
      </c>
      <c r="H13" s="6">
        <v>1</v>
      </c>
      <c r="I13" s="7">
        <v>1360</v>
      </c>
      <c r="J13" s="5">
        <v>46005</v>
      </c>
      <c r="K13" s="1" t="s">
        <v>957</v>
      </c>
      <c r="L13" s="1" t="s">
        <v>30</v>
      </c>
      <c r="M13" s="8">
        <v>0</v>
      </c>
      <c r="N13" s="6"/>
      <c r="O13" s="6"/>
      <c r="P13" s="9">
        <v>879.5</v>
      </c>
    </row>
    <row r="14" spans="1:16" ht="19.5" customHeight="1">
      <c r="A14" s="1" t="s">
        <v>1679</v>
      </c>
      <c r="B14" s="5">
        <v>46006</v>
      </c>
      <c r="C14" s="1" t="s">
        <v>35</v>
      </c>
      <c r="D14" s="1" t="s">
        <v>36</v>
      </c>
      <c r="E14" s="1" t="s">
        <v>223</v>
      </c>
      <c r="F14" s="1" t="s">
        <v>395</v>
      </c>
      <c r="G14" s="1" t="s">
        <v>1229</v>
      </c>
      <c r="H14" s="6">
        <v>1</v>
      </c>
      <c r="I14" s="7">
        <v>1360</v>
      </c>
      <c r="J14" s="5">
        <v>46005</v>
      </c>
      <c r="K14" s="1" t="s">
        <v>957</v>
      </c>
      <c r="L14" s="1" t="s">
        <v>30</v>
      </c>
      <c r="M14" s="8">
        <v>0.43</v>
      </c>
      <c r="N14" s="6"/>
      <c r="O14" s="6"/>
      <c r="P14" s="9">
        <v>-584.79999999999995</v>
      </c>
    </row>
    <row r="15" spans="1:16" ht="19.5" customHeight="1">
      <c r="A15" s="1" t="s">
        <v>1679</v>
      </c>
      <c r="B15" s="5">
        <v>46006</v>
      </c>
      <c r="C15" s="1" t="s">
        <v>17</v>
      </c>
      <c r="D15" s="1" t="s">
        <v>37</v>
      </c>
      <c r="E15" s="1" t="s">
        <v>223</v>
      </c>
      <c r="F15" s="1" t="s">
        <v>395</v>
      </c>
      <c r="G15" s="1" t="s">
        <v>1229</v>
      </c>
      <c r="H15" s="6">
        <v>1</v>
      </c>
      <c r="I15" s="7">
        <v>1360</v>
      </c>
      <c r="J15" s="5">
        <v>46005</v>
      </c>
      <c r="K15" s="1" t="s">
        <v>957</v>
      </c>
      <c r="L15" s="1" t="s">
        <v>30</v>
      </c>
      <c r="M15" s="8">
        <v>0.43</v>
      </c>
      <c r="N15" s="6"/>
      <c r="O15" s="6"/>
      <c r="P15" s="9">
        <v>-6.09</v>
      </c>
    </row>
    <row r="16" spans="1:16" ht="19.5" customHeight="1">
      <c r="A16" s="1" t="s">
        <v>1679</v>
      </c>
      <c r="B16" s="5">
        <v>46006</v>
      </c>
      <c r="C16" s="1" t="s">
        <v>17</v>
      </c>
      <c r="D16" s="1" t="s">
        <v>18</v>
      </c>
      <c r="E16" s="1" t="s">
        <v>223</v>
      </c>
      <c r="F16" s="1" t="s">
        <v>395</v>
      </c>
      <c r="G16" s="1" t="s">
        <v>1229</v>
      </c>
      <c r="H16" s="6">
        <v>1</v>
      </c>
      <c r="I16" s="7">
        <v>0</v>
      </c>
      <c r="J16" s="5">
        <v>46005</v>
      </c>
      <c r="K16" s="1" t="s">
        <v>22</v>
      </c>
      <c r="L16" s="1" t="s">
        <v>22</v>
      </c>
      <c r="M16" s="8">
        <v>0</v>
      </c>
      <c r="N16" s="6"/>
      <c r="O16" s="6"/>
      <c r="P16" s="9">
        <v>-9.0399999999999991</v>
      </c>
    </row>
    <row r="17" spans="1:16" ht="19.5" customHeight="1">
      <c r="A17" s="1" t="s">
        <v>1680</v>
      </c>
      <c r="B17" s="5">
        <v>46006</v>
      </c>
      <c r="C17" s="1" t="s">
        <v>28</v>
      </c>
      <c r="D17" s="1" t="s">
        <v>29</v>
      </c>
      <c r="E17" s="1" t="s">
        <v>25</v>
      </c>
      <c r="F17" s="1" t="s">
        <v>26</v>
      </c>
      <c r="G17" s="1" t="s">
        <v>1229</v>
      </c>
      <c r="H17" s="6">
        <v>1</v>
      </c>
      <c r="I17" s="7">
        <v>0</v>
      </c>
      <c r="J17" s="5">
        <v>45994</v>
      </c>
      <c r="K17" s="1" t="s">
        <v>957</v>
      </c>
      <c r="L17" s="1" t="s">
        <v>30</v>
      </c>
      <c r="M17" s="8">
        <v>0</v>
      </c>
      <c r="N17" s="6"/>
      <c r="O17" s="6">
        <v>40</v>
      </c>
      <c r="P17" s="9">
        <v>-46</v>
      </c>
    </row>
    <row r="18" spans="1:16" ht="19.5" customHeight="1">
      <c r="A18" s="1" t="s">
        <v>1680</v>
      </c>
      <c r="B18" s="5">
        <v>46006</v>
      </c>
      <c r="C18" s="1" t="s">
        <v>17</v>
      </c>
      <c r="D18" s="1" t="s">
        <v>37</v>
      </c>
      <c r="E18" s="1" t="s">
        <v>25</v>
      </c>
      <c r="F18" s="1" t="s">
        <v>26</v>
      </c>
      <c r="G18" s="1" t="s">
        <v>1229</v>
      </c>
      <c r="H18" s="6">
        <v>1</v>
      </c>
      <c r="I18" s="7">
        <v>0</v>
      </c>
      <c r="J18" s="5">
        <v>45994</v>
      </c>
      <c r="K18" s="1" t="s">
        <v>957</v>
      </c>
      <c r="L18" s="1" t="s">
        <v>30</v>
      </c>
      <c r="M18" s="8">
        <v>0</v>
      </c>
      <c r="N18" s="6"/>
      <c r="O18" s="6"/>
      <c r="P18" s="9">
        <v>-11.82</v>
      </c>
    </row>
    <row r="19" spans="1:16" ht="19.5" customHeight="1">
      <c r="A19" s="1" t="s">
        <v>1680</v>
      </c>
      <c r="B19" s="5">
        <v>46006</v>
      </c>
      <c r="C19" s="1" t="s">
        <v>28</v>
      </c>
      <c r="D19" s="1" t="s">
        <v>45</v>
      </c>
      <c r="E19" s="1" t="s">
        <v>25</v>
      </c>
      <c r="F19" s="1" t="s">
        <v>26</v>
      </c>
      <c r="G19" s="1" t="s">
        <v>1229</v>
      </c>
      <c r="H19" s="6">
        <v>1</v>
      </c>
      <c r="I19" s="7">
        <v>0</v>
      </c>
      <c r="J19" s="5">
        <v>45994</v>
      </c>
      <c r="K19" s="1" t="s">
        <v>957</v>
      </c>
      <c r="L19" s="1" t="s">
        <v>30</v>
      </c>
      <c r="M19" s="8">
        <v>0</v>
      </c>
      <c r="N19" s="6"/>
      <c r="O19" s="6"/>
      <c r="P19" s="9">
        <v>0</v>
      </c>
    </row>
    <row r="20" spans="1:16" ht="19.5" customHeight="1">
      <c r="A20" s="1" t="s">
        <v>1680</v>
      </c>
      <c r="B20" s="5">
        <v>46006</v>
      </c>
      <c r="C20" s="1" t="s">
        <v>28</v>
      </c>
      <c r="D20" s="1" t="s">
        <v>46</v>
      </c>
      <c r="E20" s="1" t="s">
        <v>25</v>
      </c>
      <c r="F20" s="1" t="s">
        <v>26</v>
      </c>
      <c r="G20" s="1" t="s">
        <v>1229</v>
      </c>
      <c r="H20" s="6">
        <v>1</v>
      </c>
      <c r="I20" s="7">
        <v>0</v>
      </c>
      <c r="J20" s="5">
        <v>45994</v>
      </c>
      <c r="K20" s="1" t="s">
        <v>957</v>
      </c>
      <c r="L20" s="1" t="s">
        <v>30</v>
      </c>
      <c r="M20" s="8">
        <v>0</v>
      </c>
      <c r="N20" s="6"/>
      <c r="O20" s="6"/>
      <c r="P20" s="9">
        <v>-46</v>
      </c>
    </row>
    <row r="21" spans="1:16" ht="19.5" customHeight="1">
      <c r="A21" s="1" t="s">
        <v>1680</v>
      </c>
      <c r="B21" s="5">
        <v>46006</v>
      </c>
      <c r="C21" s="1" t="s">
        <v>17</v>
      </c>
      <c r="D21" s="1" t="s">
        <v>47</v>
      </c>
      <c r="E21" s="1" t="s">
        <v>25</v>
      </c>
      <c r="F21" s="1" t="s">
        <v>26</v>
      </c>
      <c r="G21" s="1" t="s">
        <v>1229</v>
      </c>
      <c r="H21" s="6">
        <v>1</v>
      </c>
      <c r="I21" s="7">
        <v>0</v>
      </c>
      <c r="J21" s="5">
        <v>45994</v>
      </c>
      <c r="K21" s="1" t="s">
        <v>957</v>
      </c>
      <c r="L21" s="1" t="s">
        <v>30</v>
      </c>
      <c r="M21" s="8">
        <v>0</v>
      </c>
      <c r="N21" s="6"/>
      <c r="O21" s="6"/>
      <c r="P21" s="9">
        <v>-15</v>
      </c>
    </row>
    <row r="22" spans="1:16" ht="19.5" customHeight="1">
      <c r="A22" s="1" t="s">
        <v>1681</v>
      </c>
      <c r="B22" s="5">
        <v>46006</v>
      </c>
      <c r="C22" s="1" t="s">
        <v>17</v>
      </c>
      <c r="D22" s="1" t="s">
        <v>18</v>
      </c>
      <c r="E22" s="1" t="s">
        <v>225</v>
      </c>
      <c r="F22" s="1" t="s">
        <v>491</v>
      </c>
      <c r="G22" s="1" t="s">
        <v>1229</v>
      </c>
      <c r="H22" s="6">
        <v>1</v>
      </c>
      <c r="I22" s="7">
        <v>0</v>
      </c>
      <c r="J22" s="5">
        <v>46006</v>
      </c>
      <c r="K22" s="1" t="s">
        <v>22</v>
      </c>
      <c r="L22" s="1" t="s">
        <v>22</v>
      </c>
      <c r="M22" s="8">
        <v>0</v>
      </c>
      <c r="N22" s="6"/>
      <c r="O22" s="6"/>
      <c r="P22" s="9">
        <v>-10.33</v>
      </c>
    </row>
    <row r="23" spans="1:16" ht="19.5" customHeight="1">
      <c r="A23" s="1" t="s">
        <v>1629</v>
      </c>
      <c r="B23" s="5">
        <v>46006</v>
      </c>
      <c r="C23" s="1" t="s">
        <v>126</v>
      </c>
      <c r="D23" s="1" t="s">
        <v>127</v>
      </c>
      <c r="E23" s="1" t="s">
        <v>223</v>
      </c>
      <c r="F23" s="1" t="s">
        <v>395</v>
      </c>
      <c r="G23" s="1" t="s">
        <v>1229</v>
      </c>
      <c r="H23" s="6">
        <v>1</v>
      </c>
      <c r="I23" s="7">
        <v>-1687</v>
      </c>
      <c r="J23" s="5">
        <v>46000</v>
      </c>
      <c r="K23" s="1" t="s">
        <v>957</v>
      </c>
      <c r="L23" s="1" t="s">
        <v>30</v>
      </c>
      <c r="M23" s="8">
        <v>0</v>
      </c>
      <c r="N23" s="6"/>
      <c r="O23" s="6"/>
      <c r="P23" s="9">
        <v>-812.38</v>
      </c>
    </row>
    <row r="24" spans="1:16" ht="19.5" customHeight="1">
      <c r="A24" s="1" t="s">
        <v>1629</v>
      </c>
      <c r="B24" s="5">
        <v>46006</v>
      </c>
      <c r="C24" s="1" t="s">
        <v>126</v>
      </c>
      <c r="D24" s="1" t="s">
        <v>33</v>
      </c>
      <c r="E24" s="1" t="s">
        <v>223</v>
      </c>
      <c r="F24" s="1" t="s">
        <v>395</v>
      </c>
      <c r="G24" s="1" t="s">
        <v>1229</v>
      </c>
      <c r="H24" s="6">
        <v>1</v>
      </c>
      <c r="I24" s="7">
        <v>-1687</v>
      </c>
      <c r="J24" s="5">
        <v>46000</v>
      </c>
      <c r="K24" s="1" t="s">
        <v>957</v>
      </c>
      <c r="L24" s="1" t="s">
        <v>30</v>
      </c>
      <c r="M24" s="8">
        <v>0</v>
      </c>
      <c r="N24" s="6"/>
      <c r="O24" s="6"/>
      <c r="P24" s="9">
        <v>-8.1199999999999992</v>
      </c>
    </row>
    <row r="25" spans="1:16" ht="19.5" customHeight="1">
      <c r="A25" s="1" t="s">
        <v>1629</v>
      </c>
      <c r="B25" s="5">
        <v>46006</v>
      </c>
      <c r="C25" s="1" t="s">
        <v>126</v>
      </c>
      <c r="D25" s="1" t="s">
        <v>34</v>
      </c>
      <c r="E25" s="1" t="s">
        <v>223</v>
      </c>
      <c r="F25" s="1" t="s">
        <v>395</v>
      </c>
      <c r="G25" s="1" t="s">
        <v>1229</v>
      </c>
      <c r="H25" s="6">
        <v>1</v>
      </c>
      <c r="I25" s="7">
        <v>-1687</v>
      </c>
      <c r="J25" s="5">
        <v>46000</v>
      </c>
      <c r="K25" s="1" t="s">
        <v>957</v>
      </c>
      <c r="L25" s="1" t="s">
        <v>30</v>
      </c>
      <c r="M25" s="8">
        <v>0</v>
      </c>
      <c r="N25" s="6"/>
      <c r="O25" s="6"/>
      <c r="P25" s="9">
        <v>-866.5</v>
      </c>
    </row>
    <row r="26" spans="1:16" ht="19.5" customHeight="1">
      <c r="A26" s="1" t="s">
        <v>1629</v>
      </c>
      <c r="B26" s="5">
        <v>46006</v>
      </c>
      <c r="C26" s="1" t="s">
        <v>35</v>
      </c>
      <c r="D26" s="1" t="s">
        <v>128</v>
      </c>
      <c r="E26" s="1" t="s">
        <v>223</v>
      </c>
      <c r="F26" s="1" t="s">
        <v>395</v>
      </c>
      <c r="G26" s="1" t="s">
        <v>1229</v>
      </c>
      <c r="H26" s="6">
        <v>1</v>
      </c>
      <c r="I26" s="7">
        <v>-1687</v>
      </c>
      <c r="J26" s="5">
        <v>46000</v>
      </c>
      <c r="K26" s="1" t="s">
        <v>957</v>
      </c>
      <c r="L26" s="1" t="s">
        <v>30</v>
      </c>
      <c r="M26" s="8">
        <v>0.43</v>
      </c>
      <c r="N26" s="6"/>
      <c r="O26" s="6"/>
      <c r="P26" s="9">
        <v>725.41</v>
      </c>
    </row>
    <row r="27" spans="1:16" ht="19.5" customHeight="1">
      <c r="A27" s="1" t="s">
        <v>1629</v>
      </c>
      <c r="B27" s="5">
        <v>46006</v>
      </c>
      <c r="C27" s="1" t="s">
        <v>17</v>
      </c>
      <c r="D27" s="1" t="s">
        <v>18</v>
      </c>
      <c r="E27" s="1" t="s">
        <v>223</v>
      </c>
      <c r="F27" s="1" t="s">
        <v>395</v>
      </c>
      <c r="G27" s="1" t="s">
        <v>1229</v>
      </c>
      <c r="H27" s="6">
        <v>1</v>
      </c>
      <c r="I27" s="7">
        <v>0</v>
      </c>
      <c r="J27" s="5">
        <v>46000</v>
      </c>
      <c r="K27" s="1" t="s">
        <v>22</v>
      </c>
      <c r="L27" s="1" t="s">
        <v>22</v>
      </c>
      <c r="M27" s="8">
        <v>0</v>
      </c>
      <c r="N27" s="6"/>
      <c r="O27" s="6"/>
      <c r="P27" s="9">
        <v>15.44</v>
      </c>
    </row>
    <row r="28" spans="1:16" ht="19.5" customHeight="1">
      <c r="A28" s="1" t="s">
        <v>1682</v>
      </c>
      <c r="B28" s="5">
        <v>46006</v>
      </c>
      <c r="C28" s="1" t="s">
        <v>17</v>
      </c>
      <c r="D28" s="1" t="s">
        <v>18</v>
      </c>
      <c r="E28" s="1" t="s">
        <v>223</v>
      </c>
      <c r="F28" s="1" t="s">
        <v>395</v>
      </c>
      <c r="G28" s="1" t="s">
        <v>1229</v>
      </c>
      <c r="H28" s="6">
        <v>1</v>
      </c>
      <c r="I28" s="7">
        <v>0</v>
      </c>
      <c r="J28" s="5">
        <v>46006</v>
      </c>
      <c r="K28" s="1" t="s">
        <v>22</v>
      </c>
      <c r="L28" s="1" t="s">
        <v>22</v>
      </c>
      <c r="M28" s="8">
        <v>0</v>
      </c>
      <c r="N28" s="6"/>
      <c r="O28" s="6"/>
      <c r="P28" s="9">
        <v>-12.18</v>
      </c>
    </row>
    <row r="29" spans="1:16" ht="19.5" customHeight="1">
      <c r="A29" s="1" t="s">
        <v>1683</v>
      </c>
      <c r="B29" s="5">
        <v>46006</v>
      </c>
      <c r="C29" s="1" t="s">
        <v>28</v>
      </c>
      <c r="D29" s="1" t="s">
        <v>29</v>
      </c>
      <c r="E29" s="1" t="s">
        <v>25</v>
      </c>
      <c r="F29" s="1" t="s">
        <v>26</v>
      </c>
      <c r="G29" s="1" t="s">
        <v>1229</v>
      </c>
      <c r="H29" s="6">
        <v>1</v>
      </c>
      <c r="I29" s="7">
        <v>1124</v>
      </c>
      <c r="J29" s="5">
        <v>46005</v>
      </c>
      <c r="K29" s="1" t="s">
        <v>957</v>
      </c>
      <c r="L29" s="1" t="s">
        <v>30</v>
      </c>
      <c r="M29" s="8">
        <v>0.43</v>
      </c>
      <c r="N29" s="6"/>
      <c r="O29" s="6">
        <v>40</v>
      </c>
      <c r="P29" s="9">
        <v>-99.28</v>
      </c>
    </row>
    <row r="30" spans="1:16" ht="19.5" customHeight="1">
      <c r="A30" s="1" t="s">
        <v>1683</v>
      </c>
      <c r="B30" s="5">
        <v>46006</v>
      </c>
      <c r="C30" s="1" t="s">
        <v>31</v>
      </c>
      <c r="D30" s="1" t="s">
        <v>32</v>
      </c>
      <c r="E30" s="1" t="s">
        <v>25</v>
      </c>
      <c r="F30" s="1" t="s">
        <v>26</v>
      </c>
      <c r="G30" s="1" t="s">
        <v>1229</v>
      </c>
      <c r="H30" s="6">
        <v>1</v>
      </c>
      <c r="I30" s="7">
        <v>1124</v>
      </c>
      <c r="J30" s="5">
        <v>46005</v>
      </c>
      <c r="K30" s="1" t="s">
        <v>957</v>
      </c>
      <c r="L30" s="1" t="s">
        <v>30</v>
      </c>
      <c r="M30" s="8">
        <v>0</v>
      </c>
      <c r="N30" s="6"/>
      <c r="O30" s="6"/>
      <c r="P30" s="9">
        <v>455.24</v>
      </c>
    </row>
    <row r="31" spans="1:16" ht="19.5" customHeight="1">
      <c r="A31" s="1" t="s">
        <v>1683</v>
      </c>
      <c r="B31" s="5">
        <v>46006</v>
      </c>
      <c r="C31" s="1" t="s">
        <v>31</v>
      </c>
      <c r="D31" s="1" t="s">
        <v>33</v>
      </c>
      <c r="E31" s="1" t="s">
        <v>25</v>
      </c>
      <c r="F31" s="1" t="s">
        <v>26</v>
      </c>
      <c r="G31" s="1" t="s">
        <v>1229</v>
      </c>
      <c r="H31" s="6">
        <v>1</v>
      </c>
      <c r="I31" s="7">
        <v>1124</v>
      </c>
      <c r="J31" s="5">
        <v>46005</v>
      </c>
      <c r="K31" s="1" t="s">
        <v>957</v>
      </c>
      <c r="L31" s="1" t="s">
        <v>30</v>
      </c>
      <c r="M31" s="8">
        <v>0</v>
      </c>
      <c r="N31" s="6"/>
      <c r="O31" s="6"/>
      <c r="P31" s="9">
        <v>0</v>
      </c>
    </row>
    <row r="32" spans="1:16" ht="19.5" customHeight="1">
      <c r="A32" s="1" t="s">
        <v>1683</v>
      </c>
      <c r="B32" s="5">
        <v>46006</v>
      </c>
      <c r="C32" s="1" t="s">
        <v>31</v>
      </c>
      <c r="D32" s="1" t="s">
        <v>34</v>
      </c>
      <c r="E32" s="1" t="s">
        <v>25</v>
      </c>
      <c r="F32" s="1" t="s">
        <v>26</v>
      </c>
      <c r="G32" s="1" t="s">
        <v>1229</v>
      </c>
      <c r="H32" s="6">
        <v>1</v>
      </c>
      <c r="I32" s="7">
        <v>1124</v>
      </c>
      <c r="J32" s="5">
        <v>46005</v>
      </c>
      <c r="K32" s="1" t="s">
        <v>957</v>
      </c>
      <c r="L32" s="1" t="s">
        <v>30</v>
      </c>
      <c r="M32" s="8">
        <v>0</v>
      </c>
      <c r="N32" s="6"/>
      <c r="O32" s="6"/>
      <c r="P32" s="9">
        <v>668.76</v>
      </c>
    </row>
    <row r="33" spans="1:16" ht="19.5" customHeight="1">
      <c r="A33" s="1" t="s">
        <v>1683</v>
      </c>
      <c r="B33" s="5">
        <v>46006</v>
      </c>
      <c r="C33" s="1" t="s">
        <v>35</v>
      </c>
      <c r="D33" s="1" t="s">
        <v>36</v>
      </c>
      <c r="E33" s="1" t="s">
        <v>25</v>
      </c>
      <c r="F33" s="1" t="s">
        <v>26</v>
      </c>
      <c r="G33" s="1" t="s">
        <v>1229</v>
      </c>
      <c r="H33" s="6">
        <v>1</v>
      </c>
      <c r="I33" s="7">
        <v>1124</v>
      </c>
      <c r="J33" s="5">
        <v>46005</v>
      </c>
      <c r="K33" s="1" t="s">
        <v>957</v>
      </c>
      <c r="L33" s="1" t="s">
        <v>30</v>
      </c>
      <c r="M33" s="8">
        <v>0.43</v>
      </c>
      <c r="N33" s="6"/>
      <c r="O33" s="6"/>
      <c r="P33" s="9">
        <v>-483.32</v>
      </c>
    </row>
    <row r="34" spans="1:16" ht="19.5" customHeight="1">
      <c r="A34" s="1" t="s">
        <v>1683</v>
      </c>
      <c r="B34" s="5">
        <v>46006</v>
      </c>
      <c r="C34" s="1" t="s">
        <v>17</v>
      </c>
      <c r="D34" s="1" t="s">
        <v>37</v>
      </c>
      <c r="E34" s="1" t="s">
        <v>25</v>
      </c>
      <c r="F34" s="1" t="s">
        <v>26</v>
      </c>
      <c r="G34" s="1" t="s">
        <v>1229</v>
      </c>
      <c r="H34" s="6">
        <v>1</v>
      </c>
      <c r="I34" s="7">
        <v>1124</v>
      </c>
      <c r="J34" s="5">
        <v>46005</v>
      </c>
      <c r="K34" s="1" t="s">
        <v>957</v>
      </c>
      <c r="L34" s="1" t="s">
        <v>30</v>
      </c>
      <c r="M34" s="8">
        <v>0.43</v>
      </c>
      <c r="N34" s="6"/>
      <c r="O34" s="6"/>
      <c r="P34" s="9">
        <v>-7.49</v>
      </c>
    </row>
    <row r="35" spans="1:16" ht="19.5" customHeight="1">
      <c r="A35" s="1" t="s">
        <v>1684</v>
      </c>
      <c r="B35" s="5">
        <v>46006</v>
      </c>
      <c r="C35" s="1" t="s">
        <v>28</v>
      </c>
      <c r="D35" s="1" t="s">
        <v>29</v>
      </c>
      <c r="E35" s="1" t="s">
        <v>1054</v>
      </c>
      <c r="F35" s="1" t="s">
        <v>1297</v>
      </c>
      <c r="G35" s="1" t="s">
        <v>1298</v>
      </c>
      <c r="H35" s="6">
        <v>1</v>
      </c>
      <c r="I35" s="7">
        <v>1621</v>
      </c>
      <c r="J35" s="5">
        <v>46004</v>
      </c>
      <c r="K35" s="1" t="s">
        <v>957</v>
      </c>
      <c r="L35" s="1" t="s">
        <v>30</v>
      </c>
      <c r="M35" s="8">
        <v>0.43</v>
      </c>
      <c r="N35" s="6"/>
      <c r="O35" s="6">
        <v>41</v>
      </c>
      <c r="P35" s="9">
        <v>-114.61</v>
      </c>
    </row>
    <row r="36" spans="1:16" ht="19.5" customHeight="1">
      <c r="A36" s="1" t="s">
        <v>1684</v>
      </c>
      <c r="B36" s="5">
        <v>46006</v>
      </c>
      <c r="C36" s="1" t="s">
        <v>31</v>
      </c>
      <c r="D36" s="1" t="s">
        <v>32</v>
      </c>
      <c r="E36" s="1" t="s">
        <v>1054</v>
      </c>
      <c r="F36" s="1" t="s">
        <v>1297</v>
      </c>
      <c r="G36" s="1" t="s">
        <v>1298</v>
      </c>
      <c r="H36" s="6">
        <v>1</v>
      </c>
      <c r="I36" s="7">
        <v>1621</v>
      </c>
      <c r="J36" s="5">
        <v>46004</v>
      </c>
      <c r="K36" s="1" t="s">
        <v>957</v>
      </c>
      <c r="L36" s="1" t="s">
        <v>30</v>
      </c>
      <c r="M36" s="8">
        <v>0</v>
      </c>
      <c r="N36" s="6"/>
      <c r="O36" s="6"/>
      <c r="P36" s="9">
        <v>802.08</v>
      </c>
    </row>
    <row r="37" spans="1:16" ht="19.5" customHeight="1">
      <c r="A37" s="1" t="s">
        <v>1684</v>
      </c>
      <c r="B37" s="5">
        <v>46006</v>
      </c>
      <c r="C37" s="1" t="s">
        <v>31</v>
      </c>
      <c r="D37" s="1" t="s">
        <v>33</v>
      </c>
      <c r="E37" s="1" t="s">
        <v>1054</v>
      </c>
      <c r="F37" s="1" t="s">
        <v>1297</v>
      </c>
      <c r="G37" s="1" t="s">
        <v>1298</v>
      </c>
      <c r="H37" s="6">
        <v>1</v>
      </c>
      <c r="I37" s="7">
        <v>1621</v>
      </c>
      <c r="J37" s="5">
        <v>46004</v>
      </c>
      <c r="K37" s="1" t="s">
        <v>957</v>
      </c>
      <c r="L37" s="1" t="s">
        <v>30</v>
      </c>
      <c r="M37" s="8">
        <v>0</v>
      </c>
      <c r="N37" s="6"/>
      <c r="O37" s="6"/>
      <c r="P37" s="9">
        <v>8.02</v>
      </c>
    </row>
    <row r="38" spans="1:16" ht="19.5" customHeight="1">
      <c r="A38" s="1" t="s">
        <v>1684</v>
      </c>
      <c r="B38" s="5">
        <v>46006</v>
      </c>
      <c r="C38" s="1" t="s">
        <v>31</v>
      </c>
      <c r="D38" s="1" t="s">
        <v>34</v>
      </c>
      <c r="E38" s="1" t="s">
        <v>1054</v>
      </c>
      <c r="F38" s="1" t="s">
        <v>1297</v>
      </c>
      <c r="G38" s="1" t="s">
        <v>1298</v>
      </c>
      <c r="H38" s="6">
        <v>1</v>
      </c>
      <c r="I38" s="7">
        <v>1621</v>
      </c>
      <c r="J38" s="5">
        <v>46004</v>
      </c>
      <c r="K38" s="1" t="s">
        <v>957</v>
      </c>
      <c r="L38" s="1" t="s">
        <v>30</v>
      </c>
      <c r="M38" s="8">
        <v>0</v>
      </c>
      <c r="N38" s="6"/>
      <c r="O38" s="6"/>
      <c r="P38" s="9">
        <v>810.9</v>
      </c>
    </row>
    <row r="39" spans="1:16" ht="19.5" customHeight="1">
      <c r="A39" s="1" t="s">
        <v>1684</v>
      </c>
      <c r="B39" s="5">
        <v>46006</v>
      </c>
      <c r="C39" s="1" t="s">
        <v>35</v>
      </c>
      <c r="D39" s="1" t="s">
        <v>36</v>
      </c>
      <c r="E39" s="1" t="s">
        <v>1054</v>
      </c>
      <c r="F39" s="1" t="s">
        <v>1297</v>
      </c>
      <c r="G39" s="1" t="s">
        <v>1298</v>
      </c>
      <c r="H39" s="6">
        <v>1</v>
      </c>
      <c r="I39" s="7">
        <v>1621</v>
      </c>
      <c r="J39" s="5">
        <v>46004</v>
      </c>
      <c r="K39" s="1" t="s">
        <v>957</v>
      </c>
      <c r="L39" s="1" t="s">
        <v>30</v>
      </c>
      <c r="M39" s="8">
        <v>0.43</v>
      </c>
      <c r="N39" s="6"/>
      <c r="O39" s="6"/>
      <c r="P39" s="9">
        <v>-697.03</v>
      </c>
    </row>
    <row r="40" spans="1:16" ht="19.5" customHeight="1">
      <c r="A40" s="1" t="s">
        <v>1684</v>
      </c>
      <c r="B40" s="5">
        <v>46006</v>
      </c>
      <c r="C40" s="1" t="s">
        <v>17</v>
      </c>
      <c r="D40" s="1" t="s">
        <v>37</v>
      </c>
      <c r="E40" s="1" t="s">
        <v>1054</v>
      </c>
      <c r="F40" s="1" t="s">
        <v>1297</v>
      </c>
      <c r="G40" s="1" t="s">
        <v>1298</v>
      </c>
      <c r="H40" s="6">
        <v>1</v>
      </c>
      <c r="I40" s="7">
        <v>1621</v>
      </c>
      <c r="J40" s="5">
        <v>46004</v>
      </c>
      <c r="K40" s="1" t="s">
        <v>957</v>
      </c>
      <c r="L40" s="1" t="s">
        <v>30</v>
      </c>
      <c r="M40" s="8">
        <v>0.43</v>
      </c>
      <c r="N40" s="6"/>
      <c r="O40" s="6"/>
      <c r="P40" s="9">
        <v>-9.8800000000000008</v>
      </c>
    </row>
    <row r="41" spans="1:16" ht="19.5" customHeight="1">
      <c r="A41" s="1" t="s">
        <v>1683</v>
      </c>
      <c r="B41" s="5">
        <v>46006</v>
      </c>
      <c r="C41" s="1" t="s">
        <v>17</v>
      </c>
      <c r="D41" s="1" t="s">
        <v>18</v>
      </c>
      <c r="E41" s="1" t="s">
        <v>25</v>
      </c>
      <c r="F41" s="1" t="s">
        <v>26</v>
      </c>
      <c r="G41" s="1" t="s">
        <v>1229</v>
      </c>
      <c r="H41" s="6">
        <v>1</v>
      </c>
      <c r="I41" s="7">
        <v>0</v>
      </c>
      <c r="J41" s="5">
        <v>46005</v>
      </c>
      <c r="K41" s="1" t="s">
        <v>22</v>
      </c>
      <c r="L41" s="1" t="s">
        <v>22</v>
      </c>
      <c r="M41" s="8">
        <v>0</v>
      </c>
      <c r="N41" s="6"/>
      <c r="O41" s="6"/>
      <c r="P41" s="9">
        <v>-2.87</v>
      </c>
    </row>
    <row r="42" spans="1:16" ht="19.5" customHeight="1">
      <c r="A42" s="1" t="s">
        <v>22</v>
      </c>
      <c r="B42" s="5">
        <v>46006</v>
      </c>
      <c r="C42" s="1" t="s">
        <v>77</v>
      </c>
      <c r="D42" s="1" t="s">
        <v>78</v>
      </c>
      <c r="E42" s="1" t="s">
        <v>22</v>
      </c>
      <c r="F42" s="1" t="s">
        <v>22</v>
      </c>
      <c r="G42" s="1" t="s">
        <v>1685</v>
      </c>
      <c r="H42" s="6">
        <v>0</v>
      </c>
      <c r="I42" s="7">
        <v>0</v>
      </c>
      <c r="J42" s="5">
        <v>46006</v>
      </c>
      <c r="K42" s="1" t="s">
        <v>22</v>
      </c>
      <c r="L42" s="1" t="s">
        <v>22</v>
      </c>
      <c r="M42" s="8">
        <v>0</v>
      </c>
      <c r="N42" s="6"/>
      <c r="O42" s="6"/>
      <c r="P42" s="9">
        <v>-450</v>
      </c>
    </row>
    <row r="43" spans="1:16" ht="19.5" customHeight="1">
      <c r="A43" s="1" t="s">
        <v>1686</v>
      </c>
      <c r="B43" s="5">
        <v>46006</v>
      </c>
      <c r="C43" s="1" t="s">
        <v>17</v>
      </c>
      <c r="D43" s="1" t="s">
        <v>18</v>
      </c>
      <c r="E43" s="1" t="s">
        <v>25</v>
      </c>
      <c r="F43" s="1" t="s">
        <v>26</v>
      </c>
      <c r="G43" s="1" t="s">
        <v>1229</v>
      </c>
      <c r="H43" s="6">
        <v>1</v>
      </c>
      <c r="I43" s="7">
        <v>0</v>
      </c>
      <c r="J43" s="5">
        <v>46006</v>
      </c>
      <c r="K43" s="1" t="s">
        <v>22</v>
      </c>
      <c r="L43" s="1" t="s">
        <v>22</v>
      </c>
      <c r="M43" s="8">
        <v>0</v>
      </c>
      <c r="N43" s="6"/>
      <c r="O43" s="6"/>
      <c r="P43" s="9">
        <v>-5.23</v>
      </c>
    </row>
    <row r="44" spans="1:16" ht="19.5" customHeight="1">
      <c r="A44" s="1" t="s">
        <v>1637</v>
      </c>
      <c r="B44" s="5">
        <v>46006</v>
      </c>
      <c r="C44" s="1" t="s">
        <v>77</v>
      </c>
      <c r="D44" s="1" t="s">
        <v>82</v>
      </c>
      <c r="E44" s="1" t="s">
        <v>22</v>
      </c>
      <c r="F44" s="1" t="s">
        <v>22</v>
      </c>
      <c r="G44" s="1" t="s">
        <v>22</v>
      </c>
      <c r="H44" s="6">
        <v>0</v>
      </c>
      <c r="I44" s="7">
        <v>0</v>
      </c>
      <c r="J44" s="5">
        <v>46006</v>
      </c>
      <c r="K44" s="1" t="s">
        <v>22</v>
      </c>
      <c r="L44" s="1" t="s">
        <v>22</v>
      </c>
      <c r="M44" s="8">
        <v>0</v>
      </c>
      <c r="N44" s="6"/>
      <c r="O44" s="6"/>
      <c r="P44" s="9">
        <v>-123.49</v>
      </c>
    </row>
    <row r="45" spans="1:16" ht="19.5" customHeight="1">
      <c r="A45" s="1" t="s">
        <v>1376</v>
      </c>
      <c r="B45" s="5">
        <v>46006</v>
      </c>
      <c r="C45" s="1" t="s">
        <v>77</v>
      </c>
      <c r="D45" s="1" t="s">
        <v>82</v>
      </c>
      <c r="E45" s="1" t="s">
        <v>22</v>
      </c>
      <c r="F45" s="1" t="s">
        <v>22</v>
      </c>
      <c r="G45" s="1" t="s">
        <v>22</v>
      </c>
      <c r="H45" s="6">
        <v>0</v>
      </c>
      <c r="I45" s="7">
        <v>0</v>
      </c>
      <c r="J45" s="5">
        <v>46006</v>
      </c>
      <c r="K45" s="1" t="s">
        <v>22</v>
      </c>
      <c r="L45" s="1" t="s">
        <v>22</v>
      </c>
      <c r="M45" s="8">
        <v>0</v>
      </c>
      <c r="N45" s="6"/>
      <c r="O45" s="6"/>
      <c r="P45" s="9">
        <v>-910.61</v>
      </c>
    </row>
    <row r="46" spans="1:16" ht="19.5" customHeight="1">
      <c r="A46" s="1" t="s">
        <v>1075</v>
      </c>
      <c r="B46" s="5">
        <v>46006</v>
      </c>
      <c r="C46" s="1" t="s">
        <v>77</v>
      </c>
      <c r="D46" s="1" t="s">
        <v>82</v>
      </c>
      <c r="E46" s="1" t="s">
        <v>22</v>
      </c>
      <c r="F46" s="1" t="s">
        <v>22</v>
      </c>
      <c r="G46" s="1" t="s">
        <v>22</v>
      </c>
      <c r="H46" s="6">
        <v>0</v>
      </c>
      <c r="I46" s="7">
        <v>0</v>
      </c>
      <c r="J46" s="5">
        <v>46006</v>
      </c>
      <c r="K46" s="1" t="s">
        <v>22</v>
      </c>
      <c r="L46" s="1" t="s">
        <v>22</v>
      </c>
      <c r="M46" s="8">
        <v>0</v>
      </c>
      <c r="N46" s="6"/>
      <c r="O46" s="6"/>
      <c r="P46" s="9">
        <v>-971.41</v>
      </c>
    </row>
    <row r="47" spans="1:16" ht="19.5" customHeight="1">
      <c r="A47" s="1" t="s">
        <v>83</v>
      </c>
      <c r="B47" s="5">
        <v>46006</v>
      </c>
      <c r="C47" s="1" t="s">
        <v>77</v>
      </c>
      <c r="D47" s="1" t="s">
        <v>84</v>
      </c>
      <c r="E47" s="1" t="s">
        <v>22</v>
      </c>
      <c r="F47" s="1" t="s">
        <v>22</v>
      </c>
      <c r="G47" s="1" t="s">
        <v>22</v>
      </c>
      <c r="H47" s="6">
        <v>0</v>
      </c>
      <c r="I47" s="7">
        <v>0</v>
      </c>
      <c r="J47" s="5">
        <v>46006</v>
      </c>
      <c r="K47" s="1" t="s">
        <v>22</v>
      </c>
      <c r="L47" s="1" t="s">
        <v>22</v>
      </c>
      <c r="M47" s="8">
        <v>0</v>
      </c>
      <c r="N47" s="6"/>
      <c r="O47" s="6"/>
      <c r="P47" s="9">
        <v>-759.26</v>
      </c>
    </row>
    <row r="48" spans="1:16" ht="19.5" customHeight="1">
      <c r="A48" s="1" t="s">
        <v>1687</v>
      </c>
      <c r="B48" s="5">
        <v>46007</v>
      </c>
      <c r="C48" s="1" t="s">
        <v>17</v>
      </c>
      <c r="D48" s="1" t="s">
        <v>18</v>
      </c>
      <c r="E48" s="1" t="s">
        <v>223</v>
      </c>
      <c r="F48" s="1" t="s">
        <v>395</v>
      </c>
      <c r="G48" s="1" t="s">
        <v>1229</v>
      </c>
      <c r="H48" s="6">
        <v>1</v>
      </c>
      <c r="I48" s="7">
        <v>0</v>
      </c>
      <c r="J48" s="5">
        <v>46007</v>
      </c>
      <c r="K48" s="1" t="s">
        <v>22</v>
      </c>
      <c r="L48" s="1" t="s">
        <v>22</v>
      </c>
      <c r="M48" s="8">
        <v>0</v>
      </c>
      <c r="N48" s="6"/>
      <c r="O48" s="6"/>
      <c r="P48" s="9">
        <v>-12.17</v>
      </c>
    </row>
    <row r="49" spans="1:16" ht="19.5" customHeight="1">
      <c r="A49" s="1" t="s">
        <v>1688</v>
      </c>
      <c r="B49" s="5">
        <v>46007</v>
      </c>
      <c r="C49" s="1" t="s">
        <v>28</v>
      </c>
      <c r="D49" s="1" t="s">
        <v>29</v>
      </c>
      <c r="E49" s="1" t="s">
        <v>25</v>
      </c>
      <c r="F49" s="1" t="s">
        <v>26</v>
      </c>
      <c r="G49" s="1" t="s">
        <v>1229</v>
      </c>
      <c r="H49" s="6">
        <v>1</v>
      </c>
      <c r="I49" s="7">
        <v>1148</v>
      </c>
      <c r="J49" s="5">
        <v>45989</v>
      </c>
      <c r="K49" s="1" t="s">
        <v>957</v>
      </c>
      <c r="L49" s="1" t="s">
        <v>30</v>
      </c>
      <c r="M49" s="8">
        <v>0.43</v>
      </c>
      <c r="N49" s="6"/>
      <c r="O49" s="6">
        <v>44</v>
      </c>
      <c r="P49" s="9">
        <v>-111.14</v>
      </c>
    </row>
    <row r="50" spans="1:16" ht="19.5" customHeight="1">
      <c r="A50" s="1" t="s">
        <v>1688</v>
      </c>
      <c r="B50" s="5">
        <v>46007</v>
      </c>
      <c r="C50" s="1" t="s">
        <v>31</v>
      </c>
      <c r="D50" s="1" t="s">
        <v>32</v>
      </c>
      <c r="E50" s="1" t="s">
        <v>25</v>
      </c>
      <c r="F50" s="1" t="s">
        <v>26</v>
      </c>
      <c r="G50" s="1" t="s">
        <v>1229</v>
      </c>
      <c r="H50" s="6">
        <v>1</v>
      </c>
      <c r="I50" s="7">
        <v>1148</v>
      </c>
      <c r="J50" s="5">
        <v>45989</v>
      </c>
      <c r="K50" s="1" t="s">
        <v>957</v>
      </c>
      <c r="L50" s="1" t="s">
        <v>30</v>
      </c>
      <c r="M50" s="8">
        <v>0</v>
      </c>
      <c r="N50" s="6"/>
      <c r="O50" s="6"/>
      <c r="P50" s="9">
        <v>487.62</v>
      </c>
    </row>
    <row r="51" spans="1:16" ht="19.5" customHeight="1">
      <c r="A51" s="1" t="s">
        <v>1688</v>
      </c>
      <c r="B51" s="5">
        <v>46007</v>
      </c>
      <c r="C51" s="1" t="s">
        <v>31</v>
      </c>
      <c r="D51" s="1" t="s">
        <v>33</v>
      </c>
      <c r="E51" s="1" t="s">
        <v>25</v>
      </c>
      <c r="F51" s="1" t="s">
        <v>26</v>
      </c>
      <c r="G51" s="1" t="s">
        <v>1229</v>
      </c>
      <c r="H51" s="6">
        <v>1</v>
      </c>
      <c r="I51" s="7">
        <v>1148</v>
      </c>
      <c r="J51" s="5">
        <v>45989</v>
      </c>
      <c r="K51" s="1" t="s">
        <v>957</v>
      </c>
      <c r="L51" s="1" t="s">
        <v>30</v>
      </c>
      <c r="M51" s="8">
        <v>0</v>
      </c>
      <c r="N51" s="6"/>
      <c r="O51" s="6"/>
      <c r="P51" s="9">
        <v>4.88</v>
      </c>
    </row>
    <row r="52" spans="1:16" ht="19.5" customHeight="1">
      <c r="A52" s="1" t="s">
        <v>1688</v>
      </c>
      <c r="B52" s="5">
        <v>46007</v>
      </c>
      <c r="C52" s="1" t="s">
        <v>31</v>
      </c>
      <c r="D52" s="1" t="s">
        <v>34</v>
      </c>
      <c r="E52" s="1" t="s">
        <v>25</v>
      </c>
      <c r="F52" s="1" t="s">
        <v>26</v>
      </c>
      <c r="G52" s="1" t="s">
        <v>1229</v>
      </c>
      <c r="H52" s="6">
        <v>1</v>
      </c>
      <c r="I52" s="7">
        <v>1148</v>
      </c>
      <c r="J52" s="5">
        <v>45989</v>
      </c>
      <c r="K52" s="1" t="s">
        <v>957</v>
      </c>
      <c r="L52" s="1" t="s">
        <v>30</v>
      </c>
      <c r="M52" s="8">
        <v>0</v>
      </c>
      <c r="N52" s="6"/>
      <c r="O52" s="6"/>
      <c r="P52" s="9">
        <v>655.5</v>
      </c>
    </row>
    <row r="53" spans="1:16" ht="19.5" customHeight="1">
      <c r="A53" s="1" t="s">
        <v>1688</v>
      </c>
      <c r="B53" s="5">
        <v>46007</v>
      </c>
      <c r="C53" s="1" t="s">
        <v>35</v>
      </c>
      <c r="D53" s="1" t="s">
        <v>36</v>
      </c>
      <c r="E53" s="1" t="s">
        <v>25</v>
      </c>
      <c r="F53" s="1" t="s">
        <v>26</v>
      </c>
      <c r="G53" s="1" t="s">
        <v>1229</v>
      </c>
      <c r="H53" s="6">
        <v>1</v>
      </c>
      <c r="I53" s="7">
        <v>1148</v>
      </c>
      <c r="J53" s="5">
        <v>45989</v>
      </c>
      <c r="K53" s="1" t="s">
        <v>957</v>
      </c>
      <c r="L53" s="1" t="s">
        <v>30</v>
      </c>
      <c r="M53" s="8">
        <v>0.43</v>
      </c>
      <c r="N53" s="6"/>
      <c r="O53" s="6"/>
      <c r="P53" s="9">
        <v>-493.64</v>
      </c>
    </row>
    <row r="54" spans="1:16" ht="19.5" customHeight="1">
      <c r="A54" s="1" t="s">
        <v>1688</v>
      </c>
      <c r="B54" s="5">
        <v>46007</v>
      </c>
      <c r="C54" s="1" t="s">
        <v>17</v>
      </c>
      <c r="D54" s="1" t="s">
        <v>37</v>
      </c>
      <c r="E54" s="1" t="s">
        <v>25</v>
      </c>
      <c r="F54" s="1" t="s">
        <v>26</v>
      </c>
      <c r="G54" s="1" t="s">
        <v>1229</v>
      </c>
      <c r="H54" s="6">
        <v>1</v>
      </c>
      <c r="I54" s="7">
        <v>1148</v>
      </c>
      <c r="J54" s="5">
        <v>45989</v>
      </c>
      <c r="K54" s="1" t="s">
        <v>957</v>
      </c>
      <c r="L54" s="1" t="s">
        <v>30</v>
      </c>
      <c r="M54" s="8">
        <v>0.43</v>
      </c>
      <c r="N54" s="6"/>
      <c r="O54" s="6"/>
      <c r="P54" s="9">
        <v>-0.55000000000000004</v>
      </c>
    </row>
    <row r="55" spans="1:16" ht="19.5" customHeight="1">
      <c r="A55" s="1" t="s">
        <v>1689</v>
      </c>
      <c r="B55" s="5">
        <v>46007</v>
      </c>
      <c r="C55" s="1" t="s">
        <v>17</v>
      </c>
      <c r="D55" s="1" t="s">
        <v>18</v>
      </c>
      <c r="E55" s="1" t="s">
        <v>25</v>
      </c>
      <c r="F55" s="1" t="s">
        <v>26</v>
      </c>
      <c r="G55" s="1" t="s">
        <v>1229</v>
      </c>
      <c r="H55" s="6">
        <v>1</v>
      </c>
      <c r="I55" s="7">
        <v>0</v>
      </c>
      <c r="J55" s="5">
        <v>46007</v>
      </c>
      <c r="K55" s="1" t="s">
        <v>22</v>
      </c>
      <c r="L55" s="1" t="s">
        <v>22</v>
      </c>
      <c r="M55" s="8">
        <v>0</v>
      </c>
      <c r="N55" s="6"/>
      <c r="O55" s="6"/>
      <c r="P55" s="9">
        <v>-14.84</v>
      </c>
    </row>
    <row r="56" spans="1:16" ht="19.5" customHeight="1">
      <c r="A56" s="1" t="s">
        <v>1690</v>
      </c>
      <c r="B56" s="5">
        <v>46007</v>
      </c>
      <c r="C56" s="1" t="s">
        <v>28</v>
      </c>
      <c r="D56" s="1" t="s">
        <v>29</v>
      </c>
      <c r="E56" s="1" t="s">
        <v>223</v>
      </c>
      <c r="F56" s="1" t="s">
        <v>395</v>
      </c>
      <c r="G56" s="1" t="s">
        <v>1229</v>
      </c>
      <c r="H56" s="6">
        <v>1</v>
      </c>
      <c r="I56" s="7">
        <v>0</v>
      </c>
      <c r="J56" s="5">
        <v>45993</v>
      </c>
      <c r="K56" s="1" t="s">
        <v>957</v>
      </c>
      <c r="L56" s="1" t="s">
        <v>30</v>
      </c>
      <c r="M56" s="8">
        <v>0</v>
      </c>
      <c r="N56" s="6"/>
      <c r="O56" s="6">
        <v>41</v>
      </c>
      <c r="P56" s="9">
        <v>-46</v>
      </c>
    </row>
    <row r="57" spans="1:16" ht="19.5" customHeight="1">
      <c r="A57" s="1" t="s">
        <v>1690</v>
      </c>
      <c r="B57" s="5">
        <v>46007</v>
      </c>
      <c r="C57" s="1" t="s">
        <v>17</v>
      </c>
      <c r="D57" s="1" t="s">
        <v>37</v>
      </c>
      <c r="E57" s="1" t="s">
        <v>223</v>
      </c>
      <c r="F57" s="1" t="s">
        <v>395</v>
      </c>
      <c r="G57" s="1" t="s">
        <v>1229</v>
      </c>
      <c r="H57" s="6">
        <v>1</v>
      </c>
      <c r="I57" s="7">
        <v>0</v>
      </c>
      <c r="J57" s="5">
        <v>45993</v>
      </c>
      <c r="K57" s="1" t="s">
        <v>957</v>
      </c>
      <c r="L57" s="1" t="s">
        <v>30</v>
      </c>
      <c r="M57" s="8">
        <v>0</v>
      </c>
      <c r="N57" s="6"/>
      <c r="O57" s="6"/>
      <c r="P57" s="9">
        <v>-7.64</v>
      </c>
    </row>
    <row r="58" spans="1:16" ht="19.5" customHeight="1">
      <c r="A58" s="1" t="s">
        <v>1690</v>
      </c>
      <c r="B58" s="5">
        <v>46007</v>
      </c>
      <c r="C58" s="1" t="s">
        <v>28</v>
      </c>
      <c r="D58" s="1" t="s">
        <v>45</v>
      </c>
      <c r="E58" s="1" t="s">
        <v>223</v>
      </c>
      <c r="F58" s="1" t="s">
        <v>395</v>
      </c>
      <c r="G58" s="1" t="s">
        <v>1229</v>
      </c>
      <c r="H58" s="6">
        <v>1</v>
      </c>
      <c r="I58" s="7">
        <v>0</v>
      </c>
      <c r="J58" s="5">
        <v>45993</v>
      </c>
      <c r="K58" s="1" t="s">
        <v>957</v>
      </c>
      <c r="L58" s="1" t="s">
        <v>30</v>
      </c>
      <c r="M58" s="8">
        <v>0</v>
      </c>
      <c r="N58" s="6"/>
      <c r="O58" s="6"/>
      <c r="P58" s="9">
        <v>0</v>
      </c>
    </row>
    <row r="59" spans="1:16" ht="19.5" customHeight="1">
      <c r="A59" s="1" t="s">
        <v>1690</v>
      </c>
      <c r="B59" s="5">
        <v>46007</v>
      </c>
      <c r="C59" s="1" t="s">
        <v>28</v>
      </c>
      <c r="D59" s="1" t="s">
        <v>46</v>
      </c>
      <c r="E59" s="1" t="s">
        <v>223</v>
      </c>
      <c r="F59" s="1" t="s">
        <v>395</v>
      </c>
      <c r="G59" s="1" t="s">
        <v>1229</v>
      </c>
      <c r="H59" s="6">
        <v>1</v>
      </c>
      <c r="I59" s="7">
        <v>0</v>
      </c>
      <c r="J59" s="5">
        <v>45993</v>
      </c>
      <c r="K59" s="1" t="s">
        <v>957</v>
      </c>
      <c r="L59" s="1" t="s">
        <v>30</v>
      </c>
      <c r="M59" s="8">
        <v>0</v>
      </c>
      <c r="N59" s="6"/>
      <c r="O59" s="6"/>
      <c r="P59" s="9">
        <v>-46</v>
      </c>
    </row>
    <row r="60" spans="1:16" ht="19.5" customHeight="1">
      <c r="A60" s="1" t="s">
        <v>1690</v>
      </c>
      <c r="B60" s="5">
        <v>46007</v>
      </c>
      <c r="C60" s="1" t="s">
        <v>17</v>
      </c>
      <c r="D60" s="1" t="s">
        <v>47</v>
      </c>
      <c r="E60" s="1" t="s">
        <v>223</v>
      </c>
      <c r="F60" s="1" t="s">
        <v>395</v>
      </c>
      <c r="G60" s="1" t="s">
        <v>1229</v>
      </c>
      <c r="H60" s="6">
        <v>1</v>
      </c>
      <c r="I60" s="7">
        <v>0</v>
      </c>
      <c r="J60" s="5">
        <v>45993</v>
      </c>
      <c r="K60" s="1" t="s">
        <v>957</v>
      </c>
      <c r="L60" s="1" t="s">
        <v>30</v>
      </c>
      <c r="M60" s="8">
        <v>0</v>
      </c>
      <c r="N60" s="6"/>
      <c r="O60" s="6"/>
      <c r="P60" s="9">
        <v>-15</v>
      </c>
    </row>
    <row r="61" spans="1:16" ht="19.5" customHeight="1">
      <c r="A61" s="1" t="s">
        <v>1691</v>
      </c>
      <c r="B61" s="5">
        <v>46007</v>
      </c>
      <c r="C61" s="1" t="s">
        <v>28</v>
      </c>
      <c r="D61" s="1" t="s">
        <v>29</v>
      </c>
      <c r="E61" s="1" t="s">
        <v>1055</v>
      </c>
      <c r="F61" s="1" t="s">
        <v>1317</v>
      </c>
      <c r="G61" s="1" t="s">
        <v>1298</v>
      </c>
      <c r="H61" s="6">
        <v>1</v>
      </c>
      <c r="I61" s="7">
        <v>0</v>
      </c>
      <c r="J61" s="5">
        <v>45996</v>
      </c>
      <c r="K61" s="1" t="s">
        <v>957</v>
      </c>
      <c r="L61" s="1" t="s">
        <v>30</v>
      </c>
      <c r="M61" s="8">
        <v>0</v>
      </c>
      <c r="N61" s="6"/>
      <c r="O61" s="6">
        <v>40</v>
      </c>
      <c r="P61" s="9">
        <v>-46</v>
      </c>
    </row>
    <row r="62" spans="1:16" ht="19.5" customHeight="1">
      <c r="A62" s="1" t="s">
        <v>1691</v>
      </c>
      <c r="B62" s="5">
        <v>46007</v>
      </c>
      <c r="C62" s="1" t="s">
        <v>28</v>
      </c>
      <c r="D62" s="1" t="s">
        <v>45</v>
      </c>
      <c r="E62" s="1" t="s">
        <v>1055</v>
      </c>
      <c r="F62" s="1" t="s">
        <v>1317</v>
      </c>
      <c r="G62" s="1" t="s">
        <v>1298</v>
      </c>
      <c r="H62" s="6">
        <v>1</v>
      </c>
      <c r="I62" s="7">
        <v>0</v>
      </c>
      <c r="J62" s="5">
        <v>45996</v>
      </c>
      <c r="K62" s="1" t="s">
        <v>957</v>
      </c>
      <c r="L62" s="1" t="s">
        <v>30</v>
      </c>
      <c r="M62" s="8">
        <v>0</v>
      </c>
      <c r="N62" s="6"/>
      <c r="O62" s="6"/>
      <c r="P62" s="9">
        <v>0</v>
      </c>
    </row>
    <row r="63" spans="1:16" ht="19.5" customHeight="1">
      <c r="A63" s="1" t="s">
        <v>1691</v>
      </c>
      <c r="B63" s="5">
        <v>46007</v>
      </c>
      <c r="C63" s="1" t="s">
        <v>28</v>
      </c>
      <c r="D63" s="1" t="s">
        <v>46</v>
      </c>
      <c r="E63" s="1" t="s">
        <v>1055</v>
      </c>
      <c r="F63" s="1" t="s">
        <v>1317</v>
      </c>
      <c r="G63" s="1" t="s">
        <v>1298</v>
      </c>
      <c r="H63" s="6">
        <v>1</v>
      </c>
      <c r="I63" s="7">
        <v>0</v>
      </c>
      <c r="J63" s="5">
        <v>45996</v>
      </c>
      <c r="K63" s="1" t="s">
        <v>957</v>
      </c>
      <c r="L63" s="1" t="s">
        <v>30</v>
      </c>
      <c r="M63" s="8">
        <v>0</v>
      </c>
      <c r="N63" s="6"/>
      <c r="O63" s="6"/>
      <c r="P63" s="9">
        <v>-46</v>
      </c>
    </row>
    <row r="64" spans="1:16" ht="19.5" customHeight="1">
      <c r="A64" s="1" t="s">
        <v>1691</v>
      </c>
      <c r="B64" s="5">
        <v>46007</v>
      </c>
      <c r="C64" s="1" t="s">
        <v>17</v>
      </c>
      <c r="D64" s="1" t="s">
        <v>47</v>
      </c>
      <c r="E64" s="1" t="s">
        <v>1055</v>
      </c>
      <c r="F64" s="1" t="s">
        <v>1317</v>
      </c>
      <c r="G64" s="1" t="s">
        <v>1298</v>
      </c>
      <c r="H64" s="6">
        <v>1</v>
      </c>
      <c r="I64" s="7">
        <v>0</v>
      </c>
      <c r="J64" s="5">
        <v>45996</v>
      </c>
      <c r="K64" s="1" t="s">
        <v>957</v>
      </c>
      <c r="L64" s="1" t="s">
        <v>30</v>
      </c>
      <c r="M64" s="8">
        <v>0</v>
      </c>
      <c r="N64" s="6"/>
      <c r="O64" s="6"/>
      <c r="P64" s="9">
        <v>-15</v>
      </c>
    </row>
    <row r="65" spans="1:16" ht="19.5" customHeight="1">
      <c r="A65" s="1" t="s">
        <v>1692</v>
      </c>
      <c r="B65" s="5">
        <v>46007</v>
      </c>
      <c r="C65" s="1" t="s">
        <v>17</v>
      </c>
      <c r="D65" s="1" t="s">
        <v>18</v>
      </c>
      <c r="E65" s="1" t="s">
        <v>54</v>
      </c>
      <c r="F65" s="1" t="s">
        <v>55</v>
      </c>
      <c r="G65" s="1" t="s">
        <v>1229</v>
      </c>
      <c r="H65" s="6">
        <v>1</v>
      </c>
      <c r="I65" s="7">
        <v>0</v>
      </c>
      <c r="J65" s="5">
        <v>46007</v>
      </c>
      <c r="K65" s="1" t="s">
        <v>22</v>
      </c>
      <c r="L65" s="1" t="s">
        <v>22</v>
      </c>
      <c r="M65" s="8">
        <v>0</v>
      </c>
      <c r="N65" s="6"/>
      <c r="O65" s="6"/>
      <c r="P65" s="9">
        <v>-16.34</v>
      </c>
    </row>
    <row r="66" spans="1:16" ht="19.5" customHeight="1">
      <c r="A66" s="1" t="s">
        <v>1693</v>
      </c>
      <c r="B66" s="5">
        <v>46007</v>
      </c>
      <c r="C66" s="1" t="s">
        <v>17</v>
      </c>
      <c r="D66" s="1" t="s">
        <v>18</v>
      </c>
      <c r="E66" s="1" t="s">
        <v>223</v>
      </c>
      <c r="F66" s="1" t="s">
        <v>395</v>
      </c>
      <c r="G66" s="1" t="s">
        <v>1229</v>
      </c>
      <c r="H66" s="6">
        <v>1</v>
      </c>
      <c r="I66" s="7">
        <v>0</v>
      </c>
      <c r="J66" s="5">
        <v>46007</v>
      </c>
      <c r="K66" s="1" t="s">
        <v>22</v>
      </c>
      <c r="L66" s="1" t="s">
        <v>22</v>
      </c>
      <c r="M66" s="8">
        <v>0</v>
      </c>
      <c r="N66" s="6"/>
      <c r="O66" s="6"/>
      <c r="P66" s="9">
        <v>-11.16</v>
      </c>
    </row>
    <row r="67" spans="1:16" ht="19.5" customHeight="1">
      <c r="A67" s="1" t="s">
        <v>1694</v>
      </c>
      <c r="B67" s="5">
        <v>46007</v>
      </c>
      <c r="C67" s="1" t="s">
        <v>28</v>
      </c>
      <c r="D67" s="1" t="s">
        <v>29</v>
      </c>
      <c r="E67" s="1" t="s">
        <v>25</v>
      </c>
      <c r="F67" s="1" t="s">
        <v>26</v>
      </c>
      <c r="G67" s="1" t="s">
        <v>1229</v>
      </c>
      <c r="H67" s="6">
        <v>1</v>
      </c>
      <c r="I67" s="7">
        <v>1061</v>
      </c>
      <c r="J67" s="5">
        <v>46006</v>
      </c>
      <c r="K67" s="1" t="s">
        <v>957</v>
      </c>
      <c r="L67" s="1" t="s">
        <v>30</v>
      </c>
      <c r="M67" s="8">
        <v>0.43</v>
      </c>
      <c r="N67" s="6"/>
      <c r="O67" s="6">
        <v>38</v>
      </c>
      <c r="P67" s="9">
        <v>-89.58</v>
      </c>
    </row>
    <row r="68" spans="1:16" ht="19.5" customHeight="1">
      <c r="A68" s="1" t="s">
        <v>1694</v>
      </c>
      <c r="B68" s="5">
        <v>46007</v>
      </c>
      <c r="C68" s="1" t="s">
        <v>31</v>
      </c>
      <c r="D68" s="1" t="s">
        <v>32</v>
      </c>
      <c r="E68" s="1" t="s">
        <v>25</v>
      </c>
      <c r="F68" s="1" t="s">
        <v>26</v>
      </c>
      <c r="G68" s="1" t="s">
        <v>1229</v>
      </c>
      <c r="H68" s="6">
        <v>1</v>
      </c>
      <c r="I68" s="7">
        <v>1061</v>
      </c>
      <c r="J68" s="5">
        <v>46006</v>
      </c>
      <c r="K68" s="1" t="s">
        <v>957</v>
      </c>
      <c r="L68" s="1" t="s">
        <v>30</v>
      </c>
      <c r="M68" s="8">
        <v>0</v>
      </c>
      <c r="N68" s="6"/>
      <c r="O68" s="6"/>
      <c r="P68" s="9">
        <v>462.42</v>
      </c>
    </row>
    <row r="69" spans="1:16" ht="19.5" customHeight="1">
      <c r="A69" s="1" t="s">
        <v>1694</v>
      </c>
      <c r="B69" s="5">
        <v>46007</v>
      </c>
      <c r="C69" s="1" t="s">
        <v>31</v>
      </c>
      <c r="D69" s="1" t="s">
        <v>33</v>
      </c>
      <c r="E69" s="1" t="s">
        <v>25</v>
      </c>
      <c r="F69" s="1" t="s">
        <v>26</v>
      </c>
      <c r="G69" s="1" t="s">
        <v>1229</v>
      </c>
      <c r="H69" s="6">
        <v>1</v>
      </c>
      <c r="I69" s="7">
        <v>1061</v>
      </c>
      <c r="J69" s="5">
        <v>46006</v>
      </c>
      <c r="K69" s="1" t="s">
        <v>957</v>
      </c>
      <c r="L69" s="1" t="s">
        <v>30</v>
      </c>
      <c r="M69" s="8">
        <v>0</v>
      </c>
      <c r="N69" s="6"/>
      <c r="O69" s="6"/>
      <c r="P69" s="9">
        <v>4.62</v>
      </c>
    </row>
    <row r="70" spans="1:16" ht="19.5" customHeight="1">
      <c r="A70" s="1" t="s">
        <v>1694</v>
      </c>
      <c r="B70" s="5">
        <v>46007</v>
      </c>
      <c r="C70" s="1" t="s">
        <v>31</v>
      </c>
      <c r="D70" s="1" t="s">
        <v>34</v>
      </c>
      <c r="E70" s="1" t="s">
        <v>25</v>
      </c>
      <c r="F70" s="1" t="s">
        <v>26</v>
      </c>
      <c r="G70" s="1" t="s">
        <v>1229</v>
      </c>
      <c r="H70" s="6">
        <v>1</v>
      </c>
      <c r="I70" s="7">
        <v>1061</v>
      </c>
      <c r="J70" s="5">
        <v>46006</v>
      </c>
      <c r="K70" s="1" t="s">
        <v>957</v>
      </c>
      <c r="L70" s="1" t="s">
        <v>30</v>
      </c>
      <c r="M70" s="8">
        <v>0</v>
      </c>
      <c r="N70" s="6"/>
      <c r="O70" s="6"/>
      <c r="P70" s="9">
        <v>593.96</v>
      </c>
    </row>
    <row r="71" spans="1:16" ht="19.5" customHeight="1">
      <c r="A71" s="1" t="s">
        <v>1694</v>
      </c>
      <c r="B71" s="5">
        <v>46007</v>
      </c>
      <c r="C71" s="1" t="s">
        <v>35</v>
      </c>
      <c r="D71" s="1" t="s">
        <v>36</v>
      </c>
      <c r="E71" s="1" t="s">
        <v>25</v>
      </c>
      <c r="F71" s="1" t="s">
        <v>26</v>
      </c>
      <c r="G71" s="1" t="s">
        <v>1229</v>
      </c>
      <c r="H71" s="6">
        <v>1</v>
      </c>
      <c r="I71" s="7">
        <v>1061</v>
      </c>
      <c r="J71" s="5">
        <v>46006</v>
      </c>
      <c r="K71" s="1" t="s">
        <v>957</v>
      </c>
      <c r="L71" s="1" t="s">
        <v>30</v>
      </c>
      <c r="M71" s="8">
        <v>0.43</v>
      </c>
      <c r="N71" s="6"/>
      <c r="O71" s="6"/>
      <c r="P71" s="9">
        <v>-456.23</v>
      </c>
    </row>
    <row r="72" spans="1:16" ht="19.5" customHeight="1">
      <c r="A72" s="1" t="s">
        <v>1694</v>
      </c>
      <c r="B72" s="5">
        <v>46007</v>
      </c>
      <c r="C72" s="1" t="s">
        <v>17</v>
      </c>
      <c r="D72" s="1" t="s">
        <v>37</v>
      </c>
      <c r="E72" s="1" t="s">
        <v>25</v>
      </c>
      <c r="F72" s="1" t="s">
        <v>26</v>
      </c>
      <c r="G72" s="1" t="s">
        <v>1229</v>
      </c>
      <c r="H72" s="6">
        <v>1</v>
      </c>
      <c r="I72" s="7">
        <v>1061</v>
      </c>
      <c r="J72" s="5">
        <v>46006</v>
      </c>
      <c r="K72" s="1" t="s">
        <v>957</v>
      </c>
      <c r="L72" s="1" t="s">
        <v>30</v>
      </c>
      <c r="M72" s="8">
        <v>0.43</v>
      </c>
      <c r="N72" s="6"/>
      <c r="O72" s="6"/>
      <c r="P72" s="9">
        <v>-5.85</v>
      </c>
    </row>
    <row r="73" spans="1:16" ht="19.5" customHeight="1">
      <c r="A73" s="1" t="s">
        <v>1694</v>
      </c>
      <c r="B73" s="5">
        <v>46007</v>
      </c>
      <c r="C73" s="1" t="s">
        <v>17</v>
      </c>
      <c r="D73" s="1" t="s">
        <v>18</v>
      </c>
      <c r="E73" s="1" t="s">
        <v>25</v>
      </c>
      <c r="F73" s="1" t="s">
        <v>26</v>
      </c>
      <c r="G73" s="1" t="s">
        <v>1229</v>
      </c>
      <c r="H73" s="6">
        <v>1</v>
      </c>
      <c r="I73" s="7">
        <v>0</v>
      </c>
      <c r="J73" s="5">
        <v>46006</v>
      </c>
      <c r="K73" s="1" t="s">
        <v>22</v>
      </c>
      <c r="L73" s="1" t="s">
        <v>22</v>
      </c>
      <c r="M73" s="8">
        <v>0</v>
      </c>
      <c r="N73" s="6"/>
      <c r="O73" s="6"/>
      <c r="P73" s="9">
        <v>-8.7899999999999991</v>
      </c>
    </row>
    <row r="74" spans="1:16" ht="19.5" customHeight="1">
      <c r="A74" s="1" t="s">
        <v>1695</v>
      </c>
      <c r="B74" s="5">
        <v>46007</v>
      </c>
      <c r="C74" s="1" t="s">
        <v>17</v>
      </c>
      <c r="D74" s="1" t="s">
        <v>18</v>
      </c>
      <c r="E74" s="1" t="s">
        <v>25</v>
      </c>
      <c r="F74" s="1" t="s">
        <v>26</v>
      </c>
      <c r="G74" s="1" t="s">
        <v>1229</v>
      </c>
      <c r="H74" s="6">
        <v>1</v>
      </c>
      <c r="I74" s="7">
        <v>0</v>
      </c>
      <c r="J74" s="5">
        <v>46007</v>
      </c>
      <c r="K74" s="1" t="s">
        <v>22</v>
      </c>
      <c r="L74" s="1" t="s">
        <v>22</v>
      </c>
      <c r="M74" s="8">
        <v>0</v>
      </c>
      <c r="N74" s="6"/>
      <c r="O74" s="6"/>
      <c r="P74" s="9">
        <v>-11.47</v>
      </c>
    </row>
    <row r="75" spans="1:16" ht="19.5" customHeight="1">
      <c r="A75" s="1" t="s">
        <v>1696</v>
      </c>
      <c r="B75" s="5">
        <v>46007</v>
      </c>
      <c r="C75" s="1" t="s">
        <v>28</v>
      </c>
      <c r="D75" s="1" t="s">
        <v>29</v>
      </c>
      <c r="E75" s="1" t="s">
        <v>223</v>
      </c>
      <c r="F75" s="1" t="s">
        <v>395</v>
      </c>
      <c r="G75" s="1" t="s">
        <v>1229</v>
      </c>
      <c r="H75" s="6">
        <v>1</v>
      </c>
      <c r="I75" s="7">
        <v>1360</v>
      </c>
      <c r="J75" s="5">
        <v>46005</v>
      </c>
      <c r="K75" s="1" t="s">
        <v>957</v>
      </c>
      <c r="L75" s="1" t="s">
        <v>30</v>
      </c>
      <c r="M75" s="8">
        <v>0.43</v>
      </c>
      <c r="N75" s="6"/>
      <c r="O75" s="6">
        <v>40</v>
      </c>
      <c r="P75" s="9">
        <v>-105.3</v>
      </c>
    </row>
    <row r="76" spans="1:16" ht="19.5" customHeight="1">
      <c r="A76" s="1" t="s">
        <v>1696</v>
      </c>
      <c r="B76" s="5">
        <v>46007</v>
      </c>
      <c r="C76" s="1" t="s">
        <v>31</v>
      </c>
      <c r="D76" s="1" t="s">
        <v>32</v>
      </c>
      <c r="E76" s="1" t="s">
        <v>223</v>
      </c>
      <c r="F76" s="1" t="s">
        <v>395</v>
      </c>
      <c r="G76" s="1" t="s">
        <v>1229</v>
      </c>
      <c r="H76" s="6">
        <v>1</v>
      </c>
      <c r="I76" s="7">
        <v>1360</v>
      </c>
      <c r="J76" s="5">
        <v>46005</v>
      </c>
      <c r="K76" s="1" t="s">
        <v>957</v>
      </c>
      <c r="L76" s="1" t="s">
        <v>30</v>
      </c>
      <c r="M76" s="8">
        <v>0</v>
      </c>
      <c r="N76" s="6"/>
      <c r="O76" s="6"/>
      <c r="P76" s="9">
        <v>473.93</v>
      </c>
    </row>
    <row r="77" spans="1:16" ht="19.5" customHeight="1">
      <c r="A77" s="1" t="s">
        <v>1696</v>
      </c>
      <c r="B77" s="5">
        <v>46007</v>
      </c>
      <c r="C77" s="1" t="s">
        <v>31</v>
      </c>
      <c r="D77" s="1" t="s">
        <v>33</v>
      </c>
      <c r="E77" s="1" t="s">
        <v>223</v>
      </c>
      <c r="F77" s="1" t="s">
        <v>395</v>
      </c>
      <c r="G77" s="1" t="s">
        <v>1229</v>
      </c>
      <c r="H77" s="6">
        <v>1</v>
      </c>
      <c r="I77" s="7">
        <v>1360</v>
      </c>
      <c r="J77" s="5">
        <v>46005</v>
      </c>
      <c r="K77" s="1" t="s">
        <v>957</v>
      </c>
      <c r="L77" s="1" t="s">
        <v>30</v>
      </c>
      <c r="M77" s="8">
        <v>0</v>
      </c>
      <c r="N77" s="6"/>
      <c r="O77" s="6"/>
      <c r="P77" s="9">
        <v>4.74</v>
      </c>
    </row>
    <row r="78" spans="1:16" ht="19.5" customHeight="1">
      <c r="A78" s="1" t="s">
        <v>1696</v>
      </c>
      <c r="B78" s="5">
        <v>46007</v>
      </c>
      <c r="C78" s="1" t="s">
        <v>31</v>
      </c>
      <c r="D78" s="1" t="s">
        <v>34</v>
      </c>
      <c r="E78" s="1" t="s">
        <v>223</v>
      </c>
      <c r="F78" s="1" t="s">
        <v>395</v>
      </c>
      <c r="G78" s="1" t="s">
        <v>1229</v>
      </c>
      <c r="H78" s="6">
        <v>1</v>
      </c>
      <c r="I78" s="7">
        <v>1360</v>
      </c>
      <c r="J78" s="5">
        <v>46005</v>
      </c>
      <c r="K78" s="1" t="s">
        <v>957</v>
      </c>
      <c r="L78" s="1" t="s">
        <v>30</v>
      </c>
      <c r="M78" s="8">
        <v>0</v>
      </c>
      <c r="N78" s="6"/>
      <c r="O78" s="6"/>
      <c r="P78" s="9">
        <v>881.33</v>
      </c>
    </row>
    <row r="79" spans="1:16" ht="19.5" customHeight="1">
      <c r="A79" s="1" t="s">
        <v>1696</v>
      </c>
      <c r="B79" s="5">
        <v>46007</v>
      </c>
      <c r="C79" s="1" t="s">
        <v>35</v>
      </c>
      <c r="D79" s="1" t="s">
        <v>36</v>
      </c>
      <c r="E79" s="1" t="s">
        <v>223</v>
      </c>
      <c r="F79" s="1" t="s">
        <v>395</v>
      </c>
      <c r="G79" s="1" t="s">
        <v>1229</v>
      </c>
      <c r="H79" s="6">
        <v>1</v>
      </c>
      <c r="I79" s="7">
        <v>1360</v>
      </c>
      <c r="J79" s="5">
        <v>46005</v>
      </c>
      <c r="K79" s="1" t="s">
        <v>957</v>
      </c>
      <c r="L79" s="1" t="s">
        <v>30</v>
      </c>
      <c r="M79" s="8">
        <v>0.43</v>
      </c>
      <c r="N79" s="6"/>
      <c r="O79" s="6"/>
      <c r="P79" s="9">
        <v>-584.79999999999995</v>
      </c>
    </row>
    <row r="80" spans="1:16" ht="19.5" customHeight="1">
      <c r="A80" s="1" t="s">
        <v>1696</v>
      </c>
      <c r="B80" s="5">
        <v>46007</v>
      </c>
      <c r="C80" s="1" t="s">
        <v>17</v>
      </c>
      <c r="D80" s="1" t="s">
        <v>37</v>
      </c>
      <c r="E80" s="1" t="s">
        <v>223</v>
      </c>
      <c r="F80" s="1" t="s">
        <v>395</v>
      </c>
      <c r="G80" s="1" t="s">
        <v>1229</v>
      </c>
      <c r="H80" s="6">
        <v>1</v>
      </c>
      <c r="I80" s="7">
        <v>1360</v>
      </c>
      <c r="J80" s="5">
        <v>46005</v>
      </c>
      <c r="K80" s="1" t="s">
        <v>957</v>
      </c>
      <c r="L80" s="1" t="s">
        <v>30</v>
      </c>
      <c r="M80" s="8">
        <v>0.43</v>
      </c>
      <c r="N80" s="6"/>
      <c r="O80" s="6"/>
      <c r="P80" s="9">
        <v>-5.33</v>
      </c>
    </row>
    <row r="81" spans="1:16" ht="19.5" customHeight="1">
      <c r="A81" s="1" t="s">
        <v>1584</v>
      </c>
      <c r="B81" s="5">
        <v>46007</v>
      </c>
      <c r="C81" s="1" t="s">
        <v>261</v>
      </c>
      <c r="D81" s="1" t="s">
        <v>581</v>
      </c>
      <c r="E81" s="1" t="s">
        <v>22</v>
      </c>
      <c r="F81" s="1" t="s">
        <v>22</v>
      </c>
      <c r="G81" s="1" t="s">
        <v>22</v>
      </c>
      <c r="H81" s="6">
        <v>0</v>
      </c>
      <c r="I81" s="7">
        <v>0</v>
      </c>
      <c r="J81" s="5">
        <v>46007</v>
      </c>
      <c r="K81" s="1" t="s">
        <v>22</v>
      </c>
      <c r="L81" s="1" t="s">
        <v>22</v>
      </c>
      <c r="M81" s="8">
        <v>0</v>
      </c>
      <c r="N81" s="6"/>
      <c r="O81" s="6"/>
      <c r="P81" s="9">
        <v>-800</v>
      </c>
    </row>
    <row r="82" spans="1:16" ht="19.5" customHeight="1">
      <c r="A82" s="1" t="s">
        <v>1697</v>
      </c>
      <c r="B82" s="5">
        <v>46007</v>
      </c>
      <c r="C82" s="1" t="s">
        <v>17</v>
      </c>
      <c r="D82" s="1" t="s">
        <v>18</v>
      </c>
      <c r="E82" s="1" t="s">
        <v>25</v>
      </c>
      <c r="F82" s="1" t="s">
        <v>26</v>
      </c>
      <c r="G82" s="1" t="s">
        <v>1229</v>
      </c>
      <c r="H82" s="6">
        <v>1</v>
      </c>
      <c r="I82" s="7">
        <v>0</v>
      </c>
      <c r="J82" s="5">
        <v>46007</v>
      </c>
      <c r="K82" s="1" t="s">
        <v>22</v>
      </c>
      <c r="L82" s="1" t="s">
        <v>22</v>
      </c>
      <c r="M82" s="8">
        <v>0</v>
      </c>
      <c r="N82" s="6"/>
      <c r="O82" s="6"/>
      <c r="P82" s="9">
        <v>-11.83</v>
      </c>
    </row>
    <row r="83" spans="1:16" ht="19.5" customHeight="1">
      <c r="A83" s="1" t="s">
        <v>1698</v>
      </c>
      <c r="B83" s="5">
        <v>46007</v>
      </c>
      <c r="C83" s="1" t="s">
        <v>28</v>
      </c>
      <c r="D83" s="1" t="s">
        <v>29</v>
      </c>
      <c r="E83" s="1" t="s">
        <v>223</v>
      </c>
      <c r="F83" s="1" t="s">
        <v>395</v>
      </c>
      <c r="G83" s="1" t="s">
        <v>1229</v>
      </c>
      <c r="H83" s="6">
        <v>1</v>
      </c>
      <c r="I83" s="7">
        <v>1360</v>
      </c>
      <c r="J83" s="5">
        <v>46005</v>
      </c>
      <c r="K83" s="1" t="s">
        <v>957</v>
      </c>
      <c r="L83" s="1" t="s">
        <v>30</v>
      </c>
      <c r="M83" s="8">
        <v>0.43</v>
      </c>
      <c r="N83" s="6"/>
      <c r="O83" s="6">
        <v>40</v>
      </c>
      <c r="P83" s="9">
        <v>-104.14</v>
      </c>
    </row>
    <row r="84" spans="1:16" ht="19.5" customHeight="1">
      <c r="A84" s="1" t="s">
        <v>1698</v>
      </c>
      <c r="B84" s="5">
        <v>46007</v>
      </c>
      <c r="C84" s="1" t="s">
        <v>31</v>
      </c>
      <c r="D84" s="1" t="s">
        <v>32</v>
      </c>
      <c r="E84" s="1" t="s">
        <v>223</v>
      </c>
      <c r="F84" s="1" t="s">
        <v>395</v>
      </c>
      <c r="G84" s="1" t="s">
        <v>1229</v>
      </c>
      <c r="H84" s="6">
        <v>1</v>
      </c>
      <c r="I84" s="7">
        <v>1360</v>
      </c>
      <c r="J84" s="5">
        <v>46005</v>
      </c>
      <c r="K84" s="1" t="s">
        <v>957</v>
      </c>
      <c r="L84" s="1" t="s">
        <v>30</v>
      </c>
      <c r="M84" s="8">
        <v>0</v>
      </c>
      <c r="N84" s="6"/>
      <c r="O84" s="6"/>
      <c r="P84" s="9">
        <v>476.19</v>
      </c>
    </row>
    <row r="85" spans="1:16" ht="19.5" customHeight="1">
      <c r="A85" s="1" t="s">
        <v>1698</v>
      </c>
      <c r="B85" s="5">
        <v>46007</v>
      </c>
      <c r="C85" s="1" t="s">
        <v>31</v>
      </c>
      <c r="D85" s="1" t="s">
        <v>33</v>
      </c>
      <c r="E85" s="1" t="s">
        <v>223</v>
      </c>
      <c r="F85" s="1" t="s">
        <v>395</v>
      </c>
      <c r="G85" s="1" t="s">
        <v>1229</v>
      </c>
      <c r="H85" s="6">
        <v>1</v>
      </c>
      <c r="I85" s="7">
        <v>1360</v>
      </c>
      <c r="J85" s="5">
        <v>46005</v>
      </c>
      <c r="K85" s="1" t="s">
        <v>957</v>
      </c>
      <c r="L85" s="1" t="s">
        <v>30</v>
      </c>
      <c r="M85" s="8">
        <v>0</v>
      </c>
      <c r="N85" s="6"/>
      <c r="O85" s="6"/>
      <c r="P85" s="9">
        <v>4.76</v>
      </c>
    </row>
    <row r="86" spans="1:16" ht="19.5" customHeight="1">
      <c r="A86" s="1" t="s">
        <v>1698</v>
      </c>
      <c r="B86" s="5">
        <v>46007</v>
      </c>
      <c r="C86" s="1" t="s">
        <v>31</v>
      </c>
      <c r="D86" s="1" t="s">
        <v>34</v>
      </c>
      <c r="E86" s="1" t="s">
        <v>223</v>
      </c>
      <c r="F86" s="1" t="s">
        <v>395</v>
      </c>
      <c r="G86" s="1" t="s">
        <v>1229</v>
      </c>
      <c r="H86" s="6">
        <v>1</v>
      </c>
      <c r="I86" s="7">
        <v>1360</v>
      </c>
      <c r="J86" s="5">
        <v>46005</v>
      </c>
      <c r="K86" s="1" t="s">
        <v>957</v>
      </c>
      <c r="L86" s="1" t="s">
        <v>30</v>
      </c>
      <c r="M86" s="8">
        <v>0</v>
      </c>
      <c r="N86" s="6"/>
      <c r="O86" s="6"/>
      <c r="P86" s="9">
        <v>879.05</v>
      </c>
    </row>
    <row r="87" spans="1:16" ht="19.5" customHeight="1">
      <c r="A87" s="1" t="s">
        <v>1698</v>
      </c>
      <c r="B87" s="5">
        <v>46007</v>
      </c>
      <c r="C87" s="1" t="s">
        <v>35</v>
      </c>
      <c r="D87" s="1" t="s">
        <v>36</v>
      </c>
      <c r="E87" s="1" t="s">
        <v>223</v>
      </c>
      <c r="F87" s="1" t="s">
        <v>395</v>
      </c>
      <c r="G87" s="1" t="s">
        <v>1229</v>
      </c>
      <c r="H87" s="6">
        <v>1</v>
      </c>
      <c r="I87" s="7">
        <v>1360</v>
      </c>
      <c r="J87" s="5">
        <v>46005</v>
      </c>
      <c r="K87" s="1" t="s">
        <v>957</v>
      </c>
      <c r="L87" s="1" t="s">
        <v>30</v>
      </c>
      <c r="M87" s="8">
        <v>0.43</v>
      </c>
      <c r="N87" s="6"/>
      <c r="O87" s="6"/>
      <c r="P87" s="9">
        <v>-584.79999999999995</v>
      </c>
    </row>
    <row r="88" spans="1:16" ht="19.5" customHeight="1">
      <c r="A88" s="1" t="s">
        <v>1698</v>
      </c>
      <c r="B88" s="5">
        <v>46007</v>
      </c>
      <c r="C88" s="1" t="s">
        <v>17</v>
      </c>
      <c r="D88" s="1" t="s">
        <v>37</v>
      </c>
      <c r="E88" s="1" t="s">
        <v>223</v>
      </c>
      <c r="F88" s="1" t="s">
        <v>395</v>
      </c>
      <c r="G88" s="1" t="s">
        <v>1229</v>
      </c>
      <c r="H88" s="6">
        <v>1</v>
      </c>
      <c r="I88" s="7">
        <v>1360</v>
      </c>
      <c r="J88" s="5">
        <v>46005</v>
      </c>
      <c r="K88" s="1" t="s">
        <v>957</v>
      </c>
      <c r="L88" s="1" t="s">
        <v>30</v>
      </c>
      <c r="M88" s="8">
        <v>0.43</v>
      </c>
      <c r="N88" s="6"/>
      <c r="O88" s="6"/>
      <c r="P88" s="9">
        <v>-20.39</v>
      </c>
    </row>
    <row r="89" spans="1:16" ht="19.5" customHeight="1">
      <c r="A89" s="1" t="s">
        <v>1699</v>
      </c>
      <c r="B89" s="5">
        <v>46007</v>
      </c>
      <c r="C89" s="1" t="s">
        <v>28</v>
      </c>
      <c r="D89" s="1" t="s">
        <v>29</v>
      </c>
      <c r="E89" s="1" t="s">
        <v>223</v>
      </c>
      <c r="F89" s="1" t="s">
        <v>395</v>
      </c>
      <c r="G89" s="1" t="s">
        <v>1229</v>
      </c>
      <c r="H89" s="6">
        <v>1</v>
      </c>
      <c r="I89" s="7">
        <v>0</v>
      </c>
      <c r="J89" s="5">
        <v>46001</v>
      </c>
      <c r="K89" s="1" t="s">
        <v>957</v>
      </c>
      <c r="L89" s="1" t="s">
        <v>30</v>
      </c>
      <c r="M89" s="8">
        <v>0</v>
      </c>
      <c r="N89" s="6"/>
      <c r="O89" s="6">
        <v>41</v>
      </c>
      <c r="P89" s="9">
        <v>-46.77</v>
      </c>
    </row>
    <row r="90" spans="1:16" ht="19.5" customHeight="1">
      <c r="A90" s="1" t="s">
        <v>1699</v>
      </c>
      <c r="B90" s="5">
        <v>46007</v>
      </c>
      <c r="C90" s="1" t="s">
        <v>28</v>
      </c>
      <c r="D90" s="1" t="s">
        <v>45</v>
      </c>
      <c r="E90" s="1" t="s">
        <v>223</v>
      </c>
      <c r="F90" s="1" t="s">
        <v>395</v>
      </c>
      <c r="G90" s="1" t="s">
        <v>1229</v>
      </c>
      <c r="H90" s="6">
        <v>1</v>
      </c>
      <c r="I90" s="7">
        <v>0</v>
      </c>
      <c r="J90" s="5">
        <v>46001</v>
      </c>
      <c r="K90" s="1" t="s">
        <v>957</v>
      </c>
      <c r="L90" s="1" t="s">
        <v>30</v>
      </c>
      <c r="M90" s="8">
        <v>0</v>
      </c>
      <c r="N90" s="6"/>
      <c r="O90" s="6"/>
      <c r="P90" s="9">
        <v>0</v>
      </c>
    </row>
    <row r="91" spans="1:16" ht="19.5" customHeight="1">
      <c r="A91" s="1" t="s">
        <v>1699</v>
      </c>
      <c r="B91" s="5">
        <v>46007</v>
      </c>
      <c r="C91" s="1" t="s">
        <v>28</v>
      </c>
      <c r="D91" s="1" t="s">
        <v>46</v>
      </c>
      <c r="E91" s="1" t="s">
        <v>223</v>
      </c>
      <c r="F91" s="1" t="s">
        <v>395</v>
      </c>
      <c r="G91" s="1" t="s">
        <v>1229</v>
      </c>
      <c r="H91" s="6">
        <v>1</v>
      </c>
      <c r="I91" s="7">
        <v>0</v>
      </c>
      <c r="J91" s="5">
        <v>46001</v>
      </c>
      <c r="K91" s="1" t="s">
        <v>957</v>
      </c>
      <c r="L91" s="1" t="s">
        <v>30</v>
      </c>
      <c r="M91" s="8">
        <v>0</v>
      </c>
      <c r="N91" s="6"/>
      <c r="O91" s="6"/>
      <c r="P91" s="9">
        <v>-46.77</v>
      </c>
    </row>
    <row r="92" spans="1:16" ht="19.5" customHeight="1">
      <c r="A92" s="1" t="s">
        <v>22</v>
      </c>
      <c r="B92" s="5">
        <v>46007</v>
      </c>
      <c r="C92" s="1" t="s">
        <v>77</v>
      </c>
      <c r="D92" s="1" t="s">
        <v>78</v>
      </c>
      <c r="E92" s="1" t="s">
        <v>22</v>
      </c>
      <c r="F92" s="1" t="s">
        <v>22</v>
      </c>
      <c r="G92" s="1" t="s">
        <v>1700</v>
      </c>
      <c r="H92" s="6">
        <v>0</v>
      </c>
      <c r="I92" s="7">
        <v>0</v>
      </c>
      <c r="J92" s="5">
        <v>46007</v>
      </c>
      <c r="K92" s="1" t="s">
        <v>22</v>
      </c>
      <c r="L92" s="1" t="s">
        <v>22</v>
      </c>
      <c r="M92" s="8">
        <v>0</v>
      </c>
      <c r="N92" s="6"/>
      <c r="O92" s="6"/>
      <c r="P92" s="9">
        <v>-450</v>
      </c>
    </row>
    <row r="93" spans="1:16" ht="19.5" customHeight="1">
      <c r="A93" s="1" t="s">
        <v>1701</v>
      </c>
      <c r="B93" s="5">
        <v>46007</v>
      </c>
      <c r="C93" s="1" t="s">
        <v>17</v>
      </c>
      <c r="D93" s="1" t="s">
        <v>18</v>
      </c>
      <c r="E93" s="1" t="s">
        <v>25</v>
      </c>
      <c r="F93" s="1" t="s">
        <v>26</v>
      </c>
      <c r="G93" s="1" t="s">
        <v>1229</v>
      </c>
      <c r="H93" s="6">
        <v>1</v>
      </c>
      <c r="I93" s="7">
        <v>0</v>
      </c>
      <c r="J93" s="5">
        <v>46007</v>
      </c>
      <c r="K93" s="1" t="s">
        <v>22</v>
      </c>
      <c r="L93" s="1" t="s">
        <v>22</v>
      </c>
      <c r="M93" s="8">
        <v>0</v>
      </c>
      <c r="N93" s="6"/>
      <c r="O93" s="6"/>
      <c r="P93" s="9">
        <v>-12.59</v>
      </c>
    </row>
    <row r="94" spans="1:16" ht="19.5" customHeight="1">
      <c r="A94" s="1" t="s">
        <v>1702</v>
      </c>
      <c r="B94" s="5">
        <v>46007</v>
      </c>
      <c r="C94" s="1" t="s">
        <v>17</v>
      </c>
      <c r="D94" s="1" t="s">
        <v>18</v>
      </c>
      <c r="E94" s="1" t="s">
        <v>227</v>
      </c>
      <c r="F94" s="1" t="s">
        <v>402</v>
      </c>
      <c r="G94" s="1" t="s">
        <v>1229</v>
      </c>
      <c r="H94" s="6">
        <v>1</v>
      </c>
      <c r="I94" s="7">
        <v>0</v>
      </c>
      <c r="J94" s="5">
        <v>46007</v>
      </c>
      <c r="K94" s="1" t="s">
        <v>22</v>
      </c>
      <c r="L94" s="1" t="s">
        <v>22</v>
      </c>
      <c r="M94" s="8">
        <v>0</v>
      </c>
      <c r="N94" s="6"/>
      <c r="O94" s="6"/>
      <c r="P94" s="9">
        <v>-5.54</v>
      </c>
    </row>
    <row r="95" spans="1:16" ht="19.5" customHeight="1">
      <c r="A95" s="1" t="s">
        <v>1376</v>
      </c>
      <c r="B95" s="5">
        <v>46007</v>
      </c>
      <c r="C95" s="1" t="s">
        <v>77</v>
      </c>
      <c r="D95" s="1" t="s">
        <v>82</v>
      </c>
      <c r="E95" s="1" t="s">
        <v>22</v>
      </c>
      <c r="F95" s="1" t="s">
        <v>22</v>
      </c>
      <c r="G95" s="1" t="s">
        <v>22</v>
      </c>
      <c r="H95" s="6">
        <v>0</v>
      </c>
      <c r="I95" s="7">
        <v>0</v>
      </c>
      <c r="J95" s="5">
        <v>46007</v>
      </c>
      <c r="K95" s="1" t="s">
        <v>22</v>
      </c>
      <c r="L95" s="1" t="s">
        <v>22</v>
      </c>
      <c r="M95" s="8">
        <v>0</v>
      </c>
      <c r="N95" s="6"/>
      <c r="O95" s="6"/>
      <c r="P95" s="9">
        <v>-962.23</v>
      </c>
    </row>
    <row r="96" spans="1:16" ht="19.5" customHeight="1">
      <c r="A96" s="1" t="s">
        <v>1075</v>
      </c>
      <c r="B96" s="5">
        <v>46007</v>
      </c>
      <c r="C96" s="1" t="s">
        <v>77</v>
      </c>
      <c r="D96" s="1" t="s">
        <v>82</v>
      </c>
      <c r="E96" s="1" t="s">
        <v>22</v>
      </c>
      <c r="F96" s="1" t="s">
        <v>22</v>
      </c>
      <c r="G96" s="1" t="s">
        <v>22</v>
      </c>
      <c r="H96" s="6">
        <v>0</v>
      </c>
      <c r="I96" s="7">
        <v>0</v>
      </c>
      <c r="J96" s="5">
        <v>46007</v>
      </c>
      <c r="K96" s="1" t="s">
        <v>22</v>
      </c>
      <c r="L96" s="1" t="s">
        <v>22</v>
      </c>
      <c r="M96" s="8">
        <v>0</v>
      </c>
      <c r="N96" s="6"/>
      <c r="O96" s="6"/>
      <c r="P96" s="9">
        <v>-552.98</v>
      </c>
    </row>
    <row r="97" spans="1:16" ht="19.5" customHeight="1">
      <c r="A97" s="1" t="s">
        <v>83</v>
      </c>
      <c r="B97" s="5">
        <v>46007</v>
      </c>
      <c r="C97" s="1" t="s">
        <v>77</v>
      </c>
      <c r="D97" s="1" t="s">
        <v>84</v>
      </c>
      <c r="E97" s="1" t="s">
        <v>22</v>
      </c>
      <c r="F97" s="1" t="s">
        <v>22</v>
      </c>
      <c r="G97" s="1" t="s">
        <v>22</v>
      </c>
      <c r="H97" s="6">
        <v>0</v>
      </c>
      <c r="I97" s="7">
        <v>0</v>
      </c>
      <c r="J97" s="5">
        <v>46007</v>
      </c>
      <c r="K97" s="1" t="s">
        <v>22</v>
      </c>
      <c r="L97" s="1" t="s">
        <v>22</v>
      </c>
      <c r="M97" s="8">
        <v>0</v>
      </c>
      <c r="N97" s="6"/>
      <c r="O97" s="6"/>
      <c r="P97" s="9">
        <v>-1138.7</v>
      </c>
    </row>
    <row r="98" spans="1:16" ht="19.5" customHeight="1">
      <c r="A98" s="1" t="s">
        <v>1703</v>
      </c>
      <c r="B98" s="5">
        <v>46008</v>
      </c>
      <c r="C98" s="1" t="s">
        <v>17</v>
      </c>
      <c r="D98" s="1" t="s">
        <v>18</v>
      </c>
      <c r="E98" s="1" t="s">
        <v>111</v>
      </c>
      <c r="F98" s="1" t="s">
        <v>112</v>
      </c>
      <c r="G98" s="1" t="s">
        <v>1704</v>
      </c>
      <c r="H98" s="6">
        <v>1</v>
      </c>
      <c r="I98" s="7">
        <v>0</v>
      </c>
      <c r="J98" s="5">
        <v>46008</v>
      </c>
      <c r="K98" s="1" t="s">
        <v>22</v>
      </c>
      <c r="L98" s="1" t="s">
        <v>22</v>
      </c>
      <c r="M98" s="8">
        <v>0</v>
      </c>
      <c r="N98" s="6"/>
      <c r="O98" s="6"/>
      <c r="P98" s="9">
        <v>-51.93</v>
      </c>
    </row>
    <row r="99" spans="1:16" ht="19.5" customHeight="1">
      <c r="A99" s="1" t="s">
        <v>1611</v>
      </c>
      <c r="B99" s="5">
        <v>46008</v>
      </c>
      <c r="C99" s="1" t="s">
        <v>28</v>
      </c>
      <c r="D99" s="1" t="s">
        <v>60</v>
      </c>
      <c r="E99" s="1" t="s">
        <v>25</v>
      </c>
      <c r="F99" s="1" t="s">
        <v>26</v>
      </c>
      <c r="G99" s="1" t="s">
        <v>1229</v>
      </c>
      <c r="H99" s="6">
        <v>1</v>
      </c>
      <c r="I99" s="7">
        <v>0</v>
      </c>
      <c r="J99" s="5">
        <v>45995</v>
      </c>
      <c r="K99" s="1" t="s">
        <v>957</v>
      </c>
      <c r="L99" s="1" t="s">
        <v>30</v>
      </c>
      <c r="M99" s="8">
        <v>0</v>
      </c>
      <c r="N99" s="6"/>
      <c r="O99" s="6"/>
      <c r="P99" s="9">
        <v>0</v>
      </c>
    </row>
    <row r="100" spans="1:16" ht="19.5" customHeight="1">
      <c r="A100" s="1" t="s">
        <v>1611</v>
      </c>
      <c r="B100" s="5">
        <v>46008</v>
      </c>
      <c r="C100" s="1" t="s">
        <v>28</v>
      </c>
      <c r="D100" s="1" t="s">
        <v>46</v>
      </c>
      <c r="E100" s="1" t="s">
        <v>25</v>
      </c>
      <c r="F100" s="1" t="s">
        <v>26</v>
      </c>
      <c r="G100" s="1" t="s">
        <v>1229</v>
      </c>
      <c r="H100" s="6">
        <v>1</v>
      </c>
      <c r="I100" s="7">
        <v>0</v>
      </c>
      <c r="J100" s="5">
        <v>45995</v>
      </c>
      <c r="K100" s="1" t="s">
        <v>957</v>
      </c>
      <c r="L100" s="1" t="s">
        <v>30</v>
      </c>
      <c r="M100" s="8">
        <v>0</v>
      </c>
      <c r="N100" s="6"/>
      <c r="O100" s="6"/>
      <c r="P100" s="9">
        <v>-46.77</v>
      </c>
    </row>
    <row r="101" spans="1:16" ht="19.5" customHeight="1">
      <c r="A101" s="1" t="s">
        <v>1611</v>
      </c>
      <c r="B101" s="5">
        <v>46008</v>
      </c>
      <c r="C101" s="1" t="s">
        <v>17</v>
      </c>
      <c r="D101" s="1" t="s">
        <v>47</v>
      </c>
      <c r="E101" s="1" t="s">
        <v>25</v>
      </c>
      <c r="F101" s="1" t="s">
        <v>26</v>
      </c>
      <c r="G101" s="1" t="s">
        <v>1229</v>
      </c>
      <c r="H101" s="6">
        <v>1</v>
      </c>
      <c r="I101" s="7">
        <v>0</v>
      </c>
      <c r="J101" s="5">
        <v>45995</v>
      </c>
      <c r="K101" s="1" t="s">
        <v>957</v>
      </c>
      <c r="L101" s="1" t="s">
        <v>30</v>
      </c>
      <c r="M101" s="8">
        <v>0</v>
      </c>
      <c r="N101" s="6"/>
      <c r="O101" s="6"/>
      <c r="P101" s="9">
        <v>-15</v>
      </c>
    </row>
    <row r="102" spans="1:16" ht="19.5" customHeight="1">
      <c r="A102" s="1" t="s">
        <v>1629</v>
      </c>
      <c r="B102" s="5">
        <v>46008</v>
      </c>
      <c r="C102" s="1" t="s">
        <v>28</v>
      </c>
      <c r="D102" s="1" t="s">
        <v>60</v>
      </c>
      <c r="E102" s="1" t="s">
        <v>223</v>
      </c>
      <c r="F102" s="1" t="s">
        <v>395</v>
      </c>
      <c r="G102" s="1" t="s">
        <v>1229</v>
      </c>
      <c r="H102" s="6">
        <v>1</v>
      </c>
      <c r="I102" s="7">
        <v>0</v>
      </c>
      <c r="J102" s="5">
        <v>46000</v>
      </c>
      <c r="K102" s="1" t="s">
        <v>957</v>
      </c>
      <c r="L102" s="1" t="s">
        <v>30</v>
      </c>
      <c r="M102" s="8">
        <v>0</v>
      </c>
      <c r="N102" s="6"/>
      <c r="O102" s="6"/>
      <c r="P102" s="9">
        <v>0</v>
      </c>
    </row>
    <row r="103" spans="1:16" ht="19.5" customHeight="1">
      <c r="A103" s="1" t="s">
        <v>1629</v>
      </c>
      <c r="B103" s="5">
        <v>46008</v>
      </c>
      <c r="C103" s="1" t="s">
        <v>28</v>
      </c>
      <c r="D103" s="1" t="s">
        <v>46</v>
      </c>
      <c r="E103" s="1" t="s">
        <v>223</v>
      </c>
      <c r="F103" s="1" t="s">
        <v>395</v>
      </c>
      <c r="G103" s="1" t="s">
        <v>1229</v>
      </c>
      <c r="H103" s="6">
        <v>1</v>
      </c>
      <c r="I103" s="7">
        <v>0</v>
      </c>
      <c r="J103" s="5">
        <v>46000</v>
      </c>
      <c r="K103" s="1" t="s">
        <v>957</v>
      </c>
      <c r="L103" s="1" t="s">
        <v>30</v>
      </c>
      <c r="M103" s="8">
        <v>0</v>
      </c>
      <c r="N103" s="6"/>
      <c r="O103" s="6"/>
      <c r="P103" s="9">
        <v>-46.77</v>
      </c>
    </row>
    <row r="104" spans="1:16" ht="19.5" customHeight="1">
      <c r="A104" s="1" t="s">
        <v>1629</v>
      </c>
      <c r="B104" s="5">
        <v>46008</v>
      </c>
      <c r="C104" s="1" t="s">
        <v>17</v>
      </c>
      <c r="D104" s="1" t="s">
        <v>47</v>
      </c>
      <c r="E104" s="1" t="s">
        <v>223</v>
      </c>
      <c r="F104" s="1" t="s">
        <v>395</v>
      </c>
      <c r="G104" s="1" t="s">
        <v>1229</v>
      </c>
      <c r="H104" s="6">
        <v>1</v>
      </c>
      <c r="I104" s="7">
        <v>0</v>
      </c>
      <c r="J104" s="5">
        <v>46000</v>
      </c>
      <c r="K104" s="1" t="s">
        <v>957</v>
      </c>
      <c r="L104" s="1" t="s">
        <v>30</v>
      </c>
      <c r="M104" s="8">
        <v>0</v>
      </c>
      <c r="N104" s="6"/>
      <c r="O104" s="6"/>
      <c r="P104" s="9">
        <v>-15</v>
      </c>
    </row>
    <row r="105" spans="1:16" ht="19.5" customHeight="1">
      <c r="A105" s="1" t="s">
        <v>1705</v>
      </c>
      <c r="B105" s="5">
        <v>46008</v>
      </c>
      <c r="C105" s="1" t="s">
        <v>17</v>
      </c>
      <c r="D105" s="1" t="s">
        <v>18</v>
      </c>
      <c r="E105" s="1" t="s">
        <v>223</v>
      </c>
      <c r="F105" s="1" t="s">
        <v>395</v>
      </c>
      <c r="G105" s="1" t="s">
        <v>1229</v>
      </c>
      <c r="H105" s="6">
        <v>1</v>
      </c>
      <c r="I105" s="7">
        <v>0</v>
      </c>
      <c r="J105" s="5">
        <v>46008</v>
      </c>
      <c r="K105" s="1" t="s">
        <v>22</v>
      </c>
      <c r="L105" s="1" t="s">
        <v>22</v>
      </c>
      <c r="M105" s="8">
        <v>0</v>
      </c>
      <c r="N105" s="6"/>
      <c r="O105" s="6"/>
      <c r="P105" s="9">
        <v>-3.11</v>
      </c>
    </row>
    <row r="106" spans="1:16" ht="19.5" customHeight="1">
      <c r="A106" s="1" t="s">
        <v>1706</v>
      </c>
      <c r="B106" s="5">
        <v>46008</v>
      </c>
      <c r="C106" s="1" t="s">
        <v>28</v>
      </c>
      <c r="D106" s="1" t="s">
        <v>29</v>
      </c>
      <c r="E106" s="1" t="s">
        <v>223</v>
      </c>
      <c r="F106" s="1" t="s">
        <v>395</v>
      </c>
      <c r="G106" s="1" t="s">
        <v>1229</v>
      </c>
      <c r="H106" s="6">
        <v>1</v>
      </c>
      <c r="I106" s="7">
        <v>1305</v>
      </c>
      <c r="J106" s="5">
        <v>46006</v>
      </c>
      <c r="K106" s="1" t="s">
        <v>957</v>
      </c>
      <c r="L106" s="1" t="s">
        <v>30</v>
      </c>
      <c r="M106" s="8">
        <v>0.43</v>
      </c>
      <c r="N106" s="6"/>
      <c r="O106" s="6">
        <v>38</v>
      </c>
      <c r="P106" s="9">
        <v>-94.95</v>
      </c>
    </row>
    <row r="107" spans="1:16" ht="19.5" customHeight="1">
      <c r="A107" s="1" t="s">
        <v>1706</v>
      </c>
      <c r="B107" s="5">
        <v>46008</v>
      </c>
      <c r="C107" s="1" t="s">
        <v>31</v>
      </c>
      <c r="D107" s="1" t="s">
        <v>32</v>
      </c>
      <c r="E107" s="1" t="s">
        <v>223</v>
      </c>
      <c r="F107" s="1" t="s">
        <v>395</v>
      </c>
      <c r="G107" s="1" t="s">
        <v>1229</v>
      </c>
      <c r="H107" s="6">
        <v>1</v>
      </c>
      <c r="I107" s="7">
        <v>1305</v>
      </c>
      <c r="J107" s="5">
        <v>46006</v>
      </c>
      <c r="K107" s="1" t="s">
        <v>957</v>
      </c>
      <c r="L107" s="1" t="s">
        <v>30</v>
      </c>
      <c r="M107" s="8">
        <v>0</v>
      </c>
      <c r="N107" s="6"/>
      <c r="O107" s="6"/>
      <c r="P107" s="9">
        <v>456.71</v>
      </c>
    </row>
    <row r="108" spans="1:16" ht="19.5" customHeight="1">
      <c r="A108" s="1" t="s">
        <v>1706</v>
      </c>
      <c r="B108" s="5">
        <v>46008</v>
      </c>
      <c r="C108" s="1" t="s">
        <v>31</v>
      </c>
      <c r="D108" s="1" t="s">
        <v>33</v>
      </c>
      <c r="E108" s="1" t="s">
        <v>223</v>
      </c>
      <c r="F108" s="1" t="s">
        <v>395</v>
      </c>
      <c r="G108" s="1" t="s">
        <v>1229</v>
      </c>
      <c r="H108" s="6">
        <v>1</v>
      </c>
      <c r="I108" s="7">
        <v>1305</v>
      </c>
      <c r="J108" s="5">
        <v>46006</v>
      </c>
      <c r="K108" s="1" t="s">
        <v>957</v>
      </c>
      <c r="L108" s="1" t="s">
        <v>30</v>
      </c>
      <c r="M108" s="8">
        <v>0</v>
      </c>
      <c r="N108" s="6"/>
      <c r="O108" s="6"/>
      <c r="P108" s="9">
        <v>4.57</v>
      </c>
    </row>
    <row r="109" spans="1:16" ht="19.5" customHeight="1">
      <c r="A109" s="1" t="s">
        <v>1706</v>
      </c>
      <c r="B109" s="5">
        <v>46008</v>
      </c>
      <c r="C109" s="1" t="s">
        <v>31</v>
      </c>
      <c r="D109" s="1" t="s">
        <v>34</v>
      </c>
      <c r="E109" s="1" t="s">
        <v>223</v>
      </c>
      <c r="F109" s="1" t="s">
        <v>395</v>
      </c>
      <c r="G109" s="1" t="s">
        <v>1229</v>
      </c>
      <c r="H109" s="6">
        <v>1</v>
      </c>
      <c r="I109" s="7">
        <v>1305</v>
      </c>
      <c r="J109" s="5">
        <v>46006</v>
      </c>
      <c r="K109" s="1" t="s">
        <v>957</v>
      </c>
      <c r="L109" s="1" t="s">
        <v>30</v>
      </c>
      <c r="M109" s="8">
        <v>0</v>
      </c>
      <c r="N109" s="6"/>
      <c r="O109" s="6"/>
      <c r="P109" s="9">
        <v>843.72</v>
      </c>
    </row>
    <row r="110" spans="1:16" ht="19.5" customHeight="1">
      <c r="A110" s="1" t="s">
        <v>1706</v>
      </c>
      <c r="B110" s="5">
        <v>46008</v>
      </c>
      <c r="C110" s="1" t="s">
        <v>35</v>
      </c>
      <c r="D110" s="1" t="s">
        <v>36</v>
      </c>
      <c r="E110" s="1" t="s">
        <v>223</v>
      </c>
      <c r="F110" s="1" t="s">
        <v>395</v>
      </c>
      <c r="G110" s="1" t="s">
        <v>1229</v>
      </c>
      <c r="H110" s="6">
        <v>1</v>
      </c>
      <c r="I110" s="7">
        <v>1305</v>
      </c>
      <c r="J110" s="5">
        <v>46006</v>
      </c>
      <c r="K110" s="1" t="s">
        <v>957</v>
      </c>
      <c r="L110" s="1" t="s">
        <v>30</v>
      </c>
      <c r="M110" s="8">
        <v>0.43</v>
      </c>
      <c r="N110" s="6"/>
      <c r="O110" s="6"/>
      <c r="P110" s="9">
        <v>-561.15</v>
      </c>
    </row>
    <row r="111" spans="1:16" ht="19.5" customHeight="1">
      <c r="A111" s="1" t="s">
        <v>1706</v>
      </c>
      <c r="B111" s="5">
        <v>46008</v>
      </c>
      <c r="C111" s="1" t="s">
        <v>17</v>
      </c>
      <c r="D111" s="1" t="s">
        <v>37</v>
      </c>
      <c r="E111" s="1" t="s">
        <v>223</v>
      </c>
      <c r="F111" s="1" t="s">
        <v>395</v>
      </c>
      <c r="G111" s="1" t="s">
        <v>1229</v>
      </c>
      <c r="H111" s="6">
        <v>1</v>
      </c>
      <c r="I111" s="7">
        <v>1305</v>
      </c>
      <c r="J111" s="5">
        <v>46006</v>
      </c>
      <c r="K111" s="1" t="s">
        <v>957</v>
      </c>
      <c r="L111" s="1" t="s">
        <v>30</v>
      </c>
      <c r="M111" s="8">
        <v>0.43</v>
      </c>
      <c r="N111" s="6"/>
      <c r="O111" s="6"/>
      <c r="P111" s="9">
        <v>-5.86</v>
      </c>
    </row>
    <row r="112" spans="1:16" ht="19.5" customHeight="1">
      <c r="A112" s="1" t="s">
        <v>1597</v>
      </c>
      <c r="B112" s="5">
        <v>46008</v>
      </c>
      <c r="C112" s="1" t="s">
        <v>28</v>
      </c>
      <c r="D112" s="1" t="s">
        <v>60</v>
      </c>
      <c r="E112" s="1" t="s">
        <v>223</v>
      </c>
      <c r="F112" s="1" t="s">
        <v>395</v>
      </c>
      <c r="G112" s="1" t="s">
        <v>1229</v>
      </c>
      <c r="H112" s="6">
        <v>1</v>
      </c>
      <c r="I112" s="7">
        <v>0</v>
      </c>
      <c r="J112" s="5">
        <v>45999</v>
      </c>
      <c r="K112" s="1" t="s">
        <v>957</v>
      </c>
      <c r="L112" s="1" t="s">
        <v>30</v>
      </c>
      <c r="M112" s="8">
        <v>0</v>
      </c>
      <c r="N112" s="6"/>
      <c r="O112" s="6"/>
      <c r="P112" s="9">
        <v>0</v>
      </c>
    </row>
    <row r="113" spans="1:16" ht="19.5" customHeight="1">
      <c r="A113" s="1" t="s">
        <v>1597</v>
      </c>
      <c r="B113" s="5">
        <v>46008</v>
      </c>
      <c r="C113" s="1" t="s">
        <v>28</v>
      </c>
      <c r="D113" s="1" t="s">
        <v>46</v>
      </c>
      <c r="E113" s="1" t="s">
        <v>223</v>
      </c>
      <c r="F113" s="1" t="s">
        <v>395</v>
      </c>
      <c r="G113" s="1" t="s">
        <v>1229</v>
      </c>
      <c r="H113" s="6">
        <v>1</v>
      </c>
      <c r="I113" s="7">
        <v>0</v>
      </c>
      <c r="J113" s="5">
        <v>45999</v>
      </c>
      <c r="K113" s="1" t="s">
        <v>957</v>
      </c>
      <c r="L113" s="1" t="s">
        <v>30</v>
      </c>
      <c r="M113" s="8">
        <v>0</v>
      </c>
      <c r="N113" s="6"/>
      <c r="O113" s="6"/>
      <c r="P113" s="9">
        <v>-46.77</v>
      </c>
    </row>
    <row r="114" spans="1:16" ht="19.5" customHeight="1">
      <c r="A114" s="1" t="s">
        <v>1597</v>
      </c>
      <c r="B114" s="5">
        <v>46008</v>
      </c>
      <c r="C114" s="1" t="s">
        <v>17</v>
      </c>
      <c r="D114" s="1" t="s">
        <v>47</v>
      </c>
      <c r="E114" s="1" t="s">
        <v>223</v>
      </c>
      <c r="F114" s="1" t="s">
        <v>395</v>
      </c>
      <c r="G114" s="1" t="s">
        <v>1229</v>
      </c>
      <c r="H114" s="6">
        <v>1</v>
      </c>
      <c r="I114" s="7">
        <v>0</v>
      </c>
      <c r="J114" s="5">
        <v>45999</v>
      </c>
      <c r="K114" s="1" t="s">
        <v>957</v>
      </c>
      <c r="L114" s="1" t="s">
        <v>30</v>
      </c>
      <c r="M114" s="8">
        <v>0</v>
      </c>
      <c r="N114" s="6"/>
      <c r="O114" s="6"/>
      <c r="P114" s="9">
        <v>-15</v>
      </c>
    </row>
    <row r="115" spans="1:16" ht="19.5" customHeight="1">
      <c r="A115" s="1" t="s">
        <v>1707</v>
      </c>
      <c r="B115" s="5">
        <v>46008</v>
      </c>
      <c r="C115" s="1" t="s">
        <v>17</v>
      </c>
      <c r="D115" s="1" t="s">
        <v>18</v>
      </c>
      <c r="E115" s="1" t="s">
        <v>25</v>
      </c>
      <c r="F115" s="1" t="s">
        <v>26</v>
      </c>
      <c r="G115" s="1" t="s">
        <v>1229</v>
      </c>
      <c r="H115" s="6">
        <v>1</v>
      </c>
      <c r="I115" s="7">
        <v>0</v>
      </c>
      <c r="J115" s="5">
        <v>46008</v>
      </c>
      <c r="K115" s="1" t="s">
        <v>22</v>
      </c>
      <c r="L115" s="1" t="s">
        <v>22</v>
      </c>
      <c r="M115" s="8">
        <v>0</v>
      </c>
      <c r="N115" s="6"/>
      <c r="O115" s="6"/>
      <c r="P115" s="9">
        <v>-8.31</v>
      </c>
    </row>
    <row r="116" spans="1:16" ht="19.5" customHeight="1">
      <c r="A116" s="1" t="s">
        <v>1708</v>
      </c>
      <c r="B116" s="5">
        <v>46008</v>
      </c>
      <c r="C116" s="1" t="s">
        <v>17</v>
      </c>
      <c r="D116" s="1" t="s">
        <v>18</v>
      </c>
      <c r="E116" s="1" t="s">
        <v>223</v>
      </c>
      <c r="F116" s="1" t="s">
        <v>395</v>
      </c>
      <c r="G116" s="1" t="s">
        <v>1229</v>
      </c>
      <c r="H116" s="6">
        <v>1</v>
      </c>
      <c r="I116" s="7">
        <v>0</v>
      </c>
      <c r="J116" s="5">
        <v>46008</v>
      </c>
      <c r="K116" s="1" t="s">
        <v>22</v>
      </c>
      <c r="L116" s="1" t="s">
        <v>22</v>
      </c>
      <c r="M116" s="8">
        <v>0</v>
      </c>
      <c r="N116" s="6"/>
      <c r="O116" s="6"/>
      <c r="P116" s="9">
        <v>-9.8699999999999992</v>
      </c>
    </row>
    <row r="117" spans="1:16" ht="19.5" customHeight="1">
      <c r="A117" s="1" t="s">
        <v>1709</v>
      </c>
      <c r="B117" s="5">
        <v>46008</v>
      </c>
      <c r="C117" s="1" t="s">
        <v>28</v>
      </c>
      <c r="D117" s="1" t="s">
        <v>29</v>
      </c>
      <c r="E117" s="1" t="s">
        <v>223</v>
      </c>
      <c r="F117" s="1" t="s">
        <v>395</v>
      </c>
      <c r="G117" s="1" t="s">
        <v>1229</v>
      </c>
      <c r="H117" s="6">
        <v>1</v>
      </c>
      <c r="I117" s="7">
        <v>1687</v>
      </c>
      <c r="J117" s="5">
        <v>46006</v>
      </c>
      <c r="K117" s="1" t="s">
        <v>957</v>
      </c>
      <c r="L117" s="1" t="s">
        <v>30</v>
      </c>
      <c r="M117" s="8">
        <v>0.43</v>
      </c>
      <c r="N117" s="6"/>
      <c r="O117" s="6">
        <v>38</v>
      </c>
      <c r="P117" s="9">
        <v>-104.46</v>
      </c>
    </row>
    <row r="118" spans="1:16" ht="19.5" customHeight="1">
      <c r="A118" s="1" t="s">
        <v>1709</v>
      </c>
      <c r="B118" s="5">
        <v>46008</v>
      </c>
      <c r="C118" s="1" t="s">
        <v>31</v>
      </c>
      <c r="D118" s="1" t="s">
        <v>32</v>
      </c>
      <c r="E118" s="1" t="s">
        <v>223</v>
      </c>
      <c r="F118" s="1" t="s">
        <v>395</v>
      </c>
      <c r="G118" s="1" t="s">
        <v>1229</v>
      </c>
      <c r="H118" s="6">
        <v>1</v>
      </c>
      <c r="I118" s="7">
        <v>1687</v>
      </c>
      <c r="J118" s="5">
        <v>46006</v>
      </c>
      <c r="K118" s="1" t="s">
        <v>957</v>
      </c>
      <c r="L118" s="1" t="s">
        <v>30</v>
      </c>
      <c r="M118" s="8">
        <v>0</v>
      </c>
      <c r="N118" s="6"/>
      <c r="O118" s="6"/>
      <c r="P118" s="9">
        <v>640.95000000000005</v>
      </c>
    </row>
    <row r="119" spans="1:16" ht="19.5" customHeight="1">
      <c r="A119" s="1" t="s">
        <v>1709</v>
      </c>
      <c r="B119" s="5">
        <v>46008</v>
      </c>
      <c r="C119" s="1" t="s">
        <v>31</v>
      </c>
      <c r="D119" s="1" t="s">
        <v>33</v>
      </c>
      <c r="E119" s="1" t="s">
        <v>223</v>
      </c>
      <c r="F119" s="1" t="s">
        <v>395</v>
      </c>
      <c r="G119" s="1" t="s">
        <v>1229</v>
      </c>
      <c r="H119" s="6">
        <v>1</v>
      </c>
      <c r="I119" s="7">
        <v>1687</v>
      </c>
      <c r="J119" s="5">
        <v>46006</v>
      </c>
      <c r="K119" s="1" t="s">
        <v>957</v>
      </c>
      <c r="L119" s="1" t="s">
        <v>30</v>
      </c>
      <c r="M119" s="8">
        <v>0</v>
      </c>
      <c r="N119" s="6"/>
      <c r="O119" s="6"/>
      <c r="P119" s="9">
        <v>6.41</v>
      </c>
    </row>
    <row r="120" spans="1:16" ht="19.5" customHeight="1">
      <c r="A120" s="1" t="s">
        <v>1709</v>
      </c>
      <c r="B120" s="5">
        <v>46008</v>
      </c>
      <c r="C120" s="1" t="s">
        <v>31</v>
      </c>
      <c r="D120" s="1" t="s">
        <v>34</v>
      </c>
      <c r="E120" s="1" t="s">
        <v>223</v>
      </c>
      <c r="F120" s="1" t="s">
        <v>395</v>
      </c>
      <c r="G120" s="1" t="s">
        <v>1229</v>
      </c>
      <c r="H120" s="6">
        <v>1</v>
      </c>
      <c r="I120" s="7">
        <v>1687</v>
      </c>
      <c r="J120" s="5">
        <v>46006</v>
      </c>
      <c r="K120" s="1" t="s">
        <v>957</v>
      </c>
      <c r="L120" s="1" t="s">
        <v>30</v>
      </c>
      <c r="M120" s="8">
        <v>0</v>
      </c>
      <c r="N120" s="6"/>
      <c r="O120" s="6"/>
      <c r="P120" s="9">
        <v>1039.6400000000001</v>
      </c>
    </row>
    <row r="121" spans="1:16" ht="19.5" customHeight="1">
      <c r="A121" s="1" t="s">
        <v>1709</v>
      </c>
      <c r="B121" s="5">
        <v>46008</v>
      </c>
      <c r="C121" s="1" t="s">
        <v>35</v>
      </c>
      <c r="D121" s="1" t="s">
        <v>36</v>
      </c>
      <c r="E121" s="1" t="s">
        <v>223</v>
      </c>
      <c r="F121" s="1" t="s">
        <v>395</v>
      </c>
      <c r="G121" s="1" t="s">
        <v>1229</v>
      </c>
      <c r="H121" s="6">
        <v>1</v>
      </c>
      <c r="I121" s="7">
        <v>1687</v>
      </c>
      <c r="J121" s="5">
        <v>46006</v>
      </c>
      <c r="K121" s="1" t="s">
        <v>957</v>
      </c>
      <c r="L121" s="1" t="s">
        <v>30</v>
      </c>
      <c r="M121" s="8">
        <v>0.43</v>
      </c>
      <c r="N121" s="6"/>
      <c r="O121" s="6"/>
      <c r="P121" s="9">
        <v>-725.41</v>
      </c>
    </row>
    <row r="122" spans="1:16" ht="19.5" customHeight="1">
      <c r="A122" s="1" t="s">
        <v>1709</v>
      </c>
      <c r="B122" s="5">
        <v>46008</v>
      </c>
      <c r="C122" s="1" t="s">
        <v>17</v>
      </c>
      <c r="D122" s="1" t="s">
        <v>37</v>
      </c>
      <c r="E122" s="1" t="s">
        <v>223</v>
      </c>
      <c r="F122" s="1" t="s">
        <v>395</v>
      </c>
      <c r="G122" s="1" t="s">
        <v>1229</v>
      </c>
      <c r="H122" s="6">
        <v>1</v>
      </c>
      <c r="I122" s="7">
        <v>1687</v>
      </c>
      <c r="J122" s="5">
        <v>46006</v>
      </c>
      <c r="K122" s="1" t="s">
        <v>957</v>
      </c>
      <c r="L122" s="1" t="s">
        <v>30</v>
      </c>
      <c r="M122" s="8">
        <v>0.43</v>
      </c>
      <c r="N122" s="6"/>
      <c r="O122" s="6"/>
      <c r="P122" s="9">
        <v>-8.2899999999999991</v>
      </c>
    </row>
    <row r="123" spans="1:16" ht="19.5" customHeight="1">
      <c r="A123" s="1" t="s">
        <v>1710</v>
      </c>
      <c r="B123" s="5">
        <v>46008</v>
      </c>
      <c r="C123" s="1" t="s">
        <v>17</v>
      </c>
      <c r="D123" s="1" t="s">
        <v>18</v>
      </c>
      <c r="E123" s="1" t="s">
        <v>25</v>
      </c>
      <c r="F123" s="1" t="s">
        <v>26</v>
      </c>
      <c r="G123" s="1" t="s">
        <v>1229</v>
      </c>
      <c r="H123" s="6">
        <v>1</v>
      </c>
      <c r="I123" s="7">
        <v>0</v>
      </c>
      <c r="J123" s="5">
        <v>46008</v>
      </c>
      <c r="K123" s="1" t="s">
        <v>22</v>
      </c>
      <c r="L123" s="1" t="s">
        <v>22</v>
      </c>
      <c r="M123" s="8">
        <v>0</v>
      </c>
      <c r="N123" s="6"/>
      <c r="O123" s="6"/>
      <c r="P123" s="9">
        <v>-8.3000000000000007</v>
      </c>
    </row>
    <row r="124" spans="1:16" ht="19.5" customHeight="1">
      <c r="A124" s="1" t="s">
        <v>1711</v>
      </c>
      <c r="B124" s="5">
        <v>46008</v>
      </c>
      <c r="C124" s="1" t="s">
        <v>28</v>
      </c>
      <c r="D124" s="1" t="s">
        <v>29</v>
      </c>
      <c r="E124" s="1" t="s">
        <v>223</v>
      </c>
      <c r="F124" s="1" t="s">
        <v>395</v>
      </c>
      <c r="G124" s="1" t="s">
        <v>1229</v>
      </c>
      <c r="H124" s="6">
        <v>1</v>
      </c>
      <c r="I124" s="7">
        <v>1687</v>
      </c>
      <c r="J124" s="5">
        <v>46007</v>
      </c>
      <c r="K124" s="1" t="s">
        <v>957</v>
      </c>
      <c r="L124" s="1" t="s">
        <v>30</v>
      </c>
      <c r="M124" s="8">
        <v>0.43</v>
      </c>
      <c r="N124" s="6"/>
      <c r="O124" s="6">
        <v>37</v>
      </c>
      <c r="P124" s="9">
        <v>-99.22</v>
      </c>
    </row>
    <row r="125" spans="1:16" ht="19.5" customHeight="1">
      <c r="A125" s="1" t="s">
        <v>1711</v>
      </c>
      <c r="B125" s="5">
        <v>46008</v>
      </c>
      <c r="C125" s="1" t="s">
        <v>31</v>
      </c>
      <c r="D125" s="1" t="s">
        <v>32</v>
      </c>
      <c r="E125" s="1" t="s">
        <v>223</v>
      </c>
      <c r="F125" s="1" t="s">
        <v>395</v>
      </c>
      <c r="G125" s="1" t="s">
        <v>1229</v>
      </c>
      <c r="H125" s="6">
        <v>1</v>
      </c>
      <c r="I125" s="7">
        <v>1687</v>
      </c>
      <c r="J125" s="5">
        <v>46007</v>
      </c>
      <c r="K125" s="1" t="s">
        <v>957</v>
      </c>
      <c r="L125" s="1" t="s">
        <v>30</v>
      </c>
      <c r="M125" s="8">
        <v>0</v>
      </c>
      <c r="N125" s="6"/>
      <c r="O125" s="6"/>
      <c r="P125" s="9">
        <v>640.34</v>
      </c>
    </row>
    <row r="126" spans="1:16" ht="19.5" customHeight="1">
      <c r="A126" s="1" t="s">
        <v>1711</v>
      </c>
      <c r="B126" s="5">
        <v>46008</v>
      </c>
      <c r="C126" s="1" t="s">
        <v>31</v>
      </c>
      <c r="D126" s="1" t="s">
        <v>33</v>
      </c>
      <c r="E126" s="1" t="s">
        <v>223</v>
      </c>
      <c r="F126" s="1" t="s">
        <v>395</v>
      </c>
      <c r="G126" s="1" t="s">
        <v>1229</v>
      </c>
      <c r="H126" s="6">
        <v>1</v>
      </c>
      <c r="I126" s="7">
        <v>1687</v>
      </c>
      <c r="J126" s="5">
        <v>46007</v>
      </c>
      <c r="K126" s="1" t="s">
        <v>957</v>
      </c>
      <c r="L126" s="1" t="s">
        <v>30</v>
      </c>
      <c r="M126" s="8">
        <v>0</v>
      </c>
      <c r="N126" s="6"/>
      <c r="O126" s="6"/>
      <c r="P126" s="9">
        <v>6.4</v>
      </c>
    </row>
    <row r="127" spans="1:16" ht="19.5" customHeight="1">
      <c r="A127" s="1" t="s">
        <v>1711</v>
      </c>
      <c r="B127" s="5">
        <v>46008</v>
      </c>
      <c r="C127" s="1" t="s">
        <v>31</v>
      </c>
      <c r="D127" s="1" t="s">
        <v>34</v>
      </c>
      <c r="E127" s="1" t="s">
        <v>223</v>
      </c>
      <c r="F127" s="1" t="s">
        <v>395</v>
      </c>
      <c r="G127" s="1" t="s">
        <v>1229</v>
      </c>
      <c r="H127" s="6">
        <v>1</v>
      </c>
      <c r="I127" s="7">
        <v>1687</v>
      </c>
      <c r="J127" s="5">
        <v>46007</v>
      </c>
      <c r="K127" s="1" t="s">
        <v>957</v>
      </c>
      <c r="L127" s="1" t="s">
        <v>30</v>
      </c>
      <c r="M127" s="8">
        <v>0</v>
      </c>
      <c r="N127" s="6"/>
      <c r="O127" s="6"/>
      <c r="P127" s="9">
        <v>1040.26</v>
      </c>
    </row>
    <row r="128" spans="1:16" ht="19.5" customHeight="1">
      <c r="A128" s="1" t="s">
        <v>1711</v>
      </c>
      <c r="B128" s="5">
        <v>46008</v>
      </c>
      <c r="C128" s="1" t="s">
        <v>35</v>
      </c>
      <c r="D128" s="1" t="s">
        <v>36</v>
      </c>
      <c r="E128" s="1" t="s">
        <v>223</v>
      </c>
      <c r="F128" s="1" t="s">
        <v>395</v>
      </c>
      <c r="G128" s="1" t="s">
        <v>1229</v>
      </c>
      <c r="H128" s="6">
        <v>1</v>
      </c>
      <c r="I128" s="7">
        <v>1687</v>
      </c>
      <c r="J128" s="5">
        <v>46007</v>
      </c>
      <c r="K128" s="1" t="s">
        <v>957</v>
      </c>
      <c r="L128" s="1" t="s">
        <v>30</v>
      </c>
      <c r="M128" s="8">
        <v>0.43</v>
      </c>
      <c r="N128" s="6"/>
      <c r="O128" s="6"/>
      <c r="P128" s="9">
        <v>-725.41</v>
      </c>
    </row>
    <row r="129" spans="1:16" ht="19.5" customHeight="1">
      <c r="A129" s="1" t="s">
        <v>1711</v>
      </c>
      <c r="B129" s="5">
        <v>46008</v>
      </c>
      <c r="C129" s="1" t="s">
        <v>17</v>
      </c>
      <c r="D129" s="1" t="s">
        <v>37</v>
      </c>
      <c r="E129" s="1" t="s">
        <v>223</v>
      </c>
      <c r="F129" s="1" t="s">
        <v>395</v>
      </c>
      <c r="G129" s="1" t="s">
        <v>1229</v>
      </c>
      <c r="H129" s="6">
        <v>1</v>
      </c>
      <c r="I129" s="7">
        <v>1687</v>
      </c>
      <c r="J129" s="5">
        <v>46007</v>
      </c>
      <c r="K129" s="1" t="s">
        <v>957</v>
      </c>
      <c r="L129" s="1" t="s">
        <v>30</v>
      </c>
      <c r="M129" s="8">
        <v>0.43</v>
      </c>
      <c r="N129" s="6"/>
      <c r="O129" s="6"/>
      <c r="P129" s="9">
        <v>-9.85</v>
      </c>
    </row>
    <row r="130" spans="1:16" ht="19.5" customHeight="1">
      <c r="A130" s="1" t="s">
        <v>1712</v>
      </c>
      <c r="B130" s="5">
        <v>46008</v>
      </c>
      <c r="C130" s="1" t="s">
        <v>28</v>
      </c>
      <c r="D130" s="1" t="s">
        <v>29</v>
      </c>
      <c r="E130" s="1" t="s">
        <v>25</v>
      </c>
      <c r="F130" s="1" t="s">
        <v>26</v>
      </c>
      <c r="G130" s="1" t="s">
        <v>1229</v>
      </c>
      <c r="H130" s="6">
        <v>1</v>
      </c>
      <c r="I130" s="7">
        <v>1061</v>
      </c>
      <c r="J130" s="5">
        <v>46006</v>
      </c>
      <c r="K130" s="1" t="s">
        <v>957</v>
      </c>
      <c r="L130" s="1" t="s">
        <v>30</v>
      </c>
      <c r="M130" s="8">
        <v>0.43</v>
      </c>
      <c r="N130" s="6"/>
      <c r="O130" s="6">
        <v>38</v>
      </c>
      <c r="P130" s="9">
        <v>-90.69</v>
      </c>
    </row>
    <row r="131" spans="1:16" ht="19.5" customHeight="1">
      <c r="A131" s="1" t="s">
        <v>1712</v>
      </c>
      <c r="B131" s="5">
        <v>46008</v>
      </c>
      <c r="C131" s="1" t="s">
        <v>31</v>
      </c>
      <c r="D131" s="1" t="s">
        <v>32</v>
      </c>
      <c r="E131" s="1" t="s">
        <v>25</v>
      </c>
      <c r="F131" s="1" t="s">
        <v>26</v>
      </c>
      <c r="G131" s="1" t="s">
        <v>1229</v>
      </c>
      <c r="H131" s="6">
        <v>1</v>
      </c>
      <c r="I131" s="7">
        <v>1061</v>
      </c>
      <c r="J131" s="5">
        <v>46006</v>
      </c>
      <c r="K131" s="1" t="s">
        <v>957</v>
      </c>
      <c r="L131" s="1" t="s">
        <v>30</v>
      </c>
      <c r="M131" s="8">
        <v>0</v>
      </c>
      <c r="N131" s="6"/>
      <c r="O131" s="6"/>
      <c r="P131" s="9">
        <v>525.71</v>
      </c>
    </row>
    <row r="132" spans="1:16" ht="19.5" customHeight="1">
      <c r="A132" s="1" t="s">
        <v>1712</v>
      </c>
      <c r="B132" s="5">
        <v>46008</v>
      </c>
      <c r="C132" s="1" t="s">
        <v>31</v>
      </c>
      <c r="D132" s="1" t="s">
        <v>33</v>
      </c>
      <c r="E132" s="1" t="s">
        <v>25</v>
      </c>
      <c r="F132" s="1" t="s">
        <v>26</v>
      </c>
      <c r="G132" s="1" t="s">
        <v>1229</v>
      </c>
      <c r="H132" s="6">
        <v>1</v>
      </c>
      <c r="I132" s="7">
        <v>1061</v>
      </c>
      <c r="J132" s="5">
        <v>46006</v>
      </c>
      <c r="K132" s="1" t="s">
        <v>957</v>
      </c>
      <c r="L132" s="1" t="s">
        <v>30</v>
      </c>
      <c r="M132" s="8">
        <v>0</v>
      </c>
      <c r="N132" s="6"/>
      <c r="O132" s="6"/>
      <c r="P132" s="9">
        <v>5.26</v>
      </c>
    </row>
    <row r="133" spans="1:16" ht="19.5" customHeight="1">
      <c r="A133" s="1" t="s">
        <v>1712</v>
      </c>
      <c r="B133" s="5">
        <v>46008</v>
      </c>
      <c r="C133" s="1" t="s">
        <v>31</v>
      </c>
      <c r="D133" s="1" t="s">
        <v>34</v>
      </c>
      <c r="E133" s="1" t="s">
        <v>25</v>
      </c>
      <c r="F133" s="1" t="s">
        <v>26</v>
      </c>
      <c r="G133" s="1" t="s">
        <v>1229</v>
      </c>
      <c r="H133" s="6">
        <v>1</v>
      </c>
      <c r="I133" s="7">
        <v>1061</v>
      </c>
      <c r="J133" s="5">
        <v>46006</v>
      </c>
      <c r="K133" s="1" t="s">
        <v>957</v>
      </c>
      <c r="L133" s="1" t="s">
        <v>30</v>
      </c>
      <c r="M133" s="8">
        <v>0</v>
      </c>
      <c r="N133" s="6"/>
      <c r="O133" s="6"/>
      <c r="P133" s="9">
        <v>530.03</v>
      </c>
    </row>
    <row r="134" spans="1:16" ht="19.5" customHeight="1">
      <c r="A134" s="1" t="s">
        <v>1712</v>
      </c>
      <c r="B134" s="5">
        <v>46008</v>
      </c>
      <c r="C134" s="1" t="s">
        <v>35</v>
      </c>
      <c r="D134" s="1" t="s">
        <v>36</v>
      </c>
      <c r="E134" s="1" t="s">
        <v>25</v>
      </c>
      <c r="F134" s="1" t="s">
        <v>26</v>
      </c>
      <c r="G134" s="1" t="s">
        <v>1229</v>
      </c>
      <c r="H134" s="6">
        <v>1</v>
      </c>
      <c r="I134" s="7">
        <v>1061</v>
      </c>
      <c r="J134" s="5">
        <v>46006</v>
      </c>
      <c r="K134" s="1" t="s">
        <v>957</v>
      </c>
      <c r="L134" s="1" t="s">
        <v>30</v>
      </c>
      <c r="M134" s="8">
        <v>0.43</v>
      </c>
      <c r="N134" s="6"/>
      <c r="O134" s="6"/>
      <c r="P134" s="9">
        <v>-456.23</v>
      </c>
    </row>
    <row r="135" spans="1:16" ht="19.5" customHeight="1">
      <c r="A135" s="1" t="s">
        <v>1712</v>
      </c>
      <c r="B135" s="5">
        <v>46008</v>
      </c>
      <c r="C135" s="1" t="s">
        <v>17</v>
      </c>
      <c r="D135" s="1" t="s">
        <v>37</v>
      </c>
      <c r="E135" s="1" t="s">
        <v>25</v>
      </c>
      <c r="F135" s="1" t="s">
        <v>26</v>
      </c>
      <c r="G135" s="1" t="s">
        <v>1229</v>
      </c>
      <c r="H135" s="6">
        <v>1</v>
      </c>
      <c r="I135" s="7">
        <v>1061</v>
      </c>
      <c r="J135" s="5">
        <v>46006</v>
      </c>
      <c r="K135" s="1" t="s">
        <v>957</v>
      </c>
      <c r="L135" s="1" t="s">
        <v>30</v>
      </c>
      <c r="M135" s="8">
        <v>0.43</v>
      </c>
      <c r="N135" s="6"/>
      <c r="O135" s="6"/>
      <c r="P135" s="9">
        <v>-4.5999999999999996</v>
      </c>
    </row>
    <row r="136" spans="1:16" ht="19.5" customHeight="1">
      <c r="A136" s="1" t="s">
        <v>1712</v>
      </c>
      <c r="B136" s="5">
        <v>46008</v>
      </c>
      <c r="C136" s="1" t="s">
        <v>17</v>
      </c>
      <c r="D136" s="1" t="s">
        <v>18</v>
      </c>
      <c r="E136" s="1" t="s">
        <v>25</v>
      </c>
      <c r="F136" s="1" t="s">
        <v>26</v>
      </c>
      <c r="G136" s="1" t="s">
        <v>1229</v>
      </c>
      <c r="H136" s="6">
        <v>1</v>
      </c>
      <c r="I136" s="7">
        <v>0</v>
      </c>
      <c r="J136" s="5">
        <v>46006</v>
      </c>
      <c r="K136" s="1" t="s">
        <v>22</v>
      </c>
      <c r="L136" s="1" t="s">
        <v>22</v>
      </c>
      <c r="M136" s="8">
        <v>0</v>
      </c>
      <c r="N136" s="6"/>
      <c r="O136" s="6"/>
      <c r="P136" s="9">
        <v>-9.99</v>
      </c>
    </row>
    <row r="137" spans="1:16" ht="19.5" customHeight="1">
      <c r="A137" s="1" t="s">
        <v>1713</v>
      </c>
      <c r="B137" s="5">
        <v>46008</v>
      </c>
      <c r="C137" s="1" t="s">
        <v>28</v>
      </c>
      <c r="D137" s="1" t="s">
        <v>29</v>
      </c>
      <c r="E137" s="1" t="s">
        <v>222</v>
      </c>
      <c r="F137" s="1" t="s">
        <v>412</v>
      </c>
      <c r="G137" s="1" t="s">
        <v>1229</v>
      </c>
      <c r="H137" s="6">
        <v>1</v>
      </c>
      <c r="I137" s="7">
        <v>1123</v>
      </c>
      <c r="J137" s="5">
        <v>46007</v>
      </c>
      <c r="K137" s="1" t="s">
        <v>957</v>
      </c>
      <c r="L137" s="1" t="s">
        <v>30</v>
      </c>
      <c r="M137" s="8">
        <v>0.43</v>
      </c>
      <c r="N137" s="6"/>
      <c r="O137" s="6">
        <v>37</v>
      </c>
      <c r="P137" s="9">
        <v>-87.94</v>
      </c>
    </row>
    <row r="138" spans="1:16" ht="19.5" customHeight="1">
      <c r="A138" s="1" t="s">
        <v>1713</v>
      </c>
      <c r="B138" s="5">
        <v>46008</v>
      </c>
      <c r="C138" s="1" t="s">
        <v>31</v>
      </c>
      <c r="D138" s="1" t="s">
        <v>32</v>
      </c>
      <c r="E138" s="1" t="s">
        <v>222</v>
      </c>
      <c r="F138" s="1" t="s">
        <v>412</v>
      </c>
      <c r="G138" s="1" t="s">
        <v>1229</v>
      </c>
      <c r="H138" s="6">
        <v>1</v>
      </c>
      <c r="I138" s="7">
        <v>1123</v>
      </c>
      <c r="J138" s="5">
        <v>46007</v>
      </c>
      <c r="K138" s="1" t="s">
        <v>957</v>
      </c>
      <c r="L138" s="1" t="s">
        <v>30</v>
      </c>
      <c r="M138" s="8">
        <v>0</v>
      </c>
      <c r="N138" s="6"/>
      <c r="O138" s="6"/>
      <c r="P138" s="9">
        <v>468.57</v>
      </c>
    </row>
    <row r="139" spans="1:16" ht="19.5" customHeight="1">
      <c r="A139" s="1" t="s">
        <v>1713</v>
      </c>
      <c r="B139" s="5">
        <v>46008</v>
      </c>
      <c r="C139" s="1" t="s">
        <v>31</v>
      </c>
      <c r="D139" s="1" t="s">
        <v>33</v>
      </c>
      <c r="E139" s="1" t="s">
        <v>222</v>
      </c>
      <c r="F139" s="1" t="s">
        <v>412</v>
      </c>
      <c r="G139" s="1" t="s">
        <v>1229</v>
      </c>
      <c r="H139" s="6">
        <v>1</v>
      </c>
      <c r="I139" s="7">
        <v>1123</v>
      </c>
      <c r="J139" s="5">
        <v>46007</v>
      </c>
      <c r="K139" s="1" t="s">
        <v>957</v>
      </c>
      <c r="L139" s="1" t="s">
        <v>30</v>
      </c>
      <c r="M139" s="8">
        <v>0</v>
      </c>
      <c r="N139" s="6"/>
      <c r="O139" s="6"/>
      <c r="P139" s="9">
        <v>4.6900000000000004</v>
      </c>
    </row>
    <row r="140" spans="1:16" ht="19.5" customHeight="1">
      <c r="A140" s="1" t="s">
        <v>1713</v>
      </c>
      <c r="B140" s="5">
        <v>46008</v>
      </c>
      <c r="C140" s="1" t="s">
        <v>31</v>
      </c>
      <c r="D140" s="1" t="s">
        <v>34</v>
      </c>
      <c r="E140" s="1" t="s">
        <v>222</v>
      </c>
      <c r="F140" s="1" t="s">
        <v>412</v>
      </c>
      <c r="G140" s="1" t="s">
        <v>1229</v>
      </c>
      <c r="H140" s="6">
        <v>1</v>
      </c>
      <c r="I140" s="7">
        <v>1123</v>
      </c>
      <c r="J140" s="5">
        <v>46007</v>
      </c>
      <c r="K140" s="1" t="s">
        <v>957</v>
      </c>
      <c r="L140" s="1" t="s">
        <v>30</v>
      </c>
      <c r="M140" s="8">
        <v>0</v>
      </c>
      <c r="N140" s="6"/>
      <c r="O140" s="6"/>
      <c r="P140" s="9">
        <v>649.74</v>
      </c>
    </row>
    <row r="141" spans="1:16" ht="19.5" customHeight="1">
      <c r="A141" s="1" t="s">
        <v>1713</v>
      </c>
      <c r="B141" s="5">
        <v>46008</v>
      </c>
      <c r="C141" s="1" t="s">
        <v>35</v>
      </c>
      <c r="D141" s="1" t="s">
        <v>36</v>
      </c>
      <c r="E141" s="1" t="s">
        <v>222</v>
      </c>
      <c r="F141" s="1" t="s">
        <v>412</v>
      </c>
      <c r="G141" s="1" t="s">
        <v>1229</v>
      </c>
      <c r="H141" s="6">
        <v>1</v>
      </c>
      <c r="I141" s="7">
        <v>1123</v>
      </c>
      <c r="J141" s="5">
        <v>46007</v>
      </c>
      <c r="K141" s="1" t="s">
        <v>957</v>
      </c>
      <c r="L141" s="1" t="s">
        <v>30</v>
      </c>
      <c r="M141" s="8">
        <v>0.43</v>
      </c>
      <c r="N141" s="6"/>
      <c r="O141" s="6"/>
      <c r="P141" s="9">
        <v>-482.89</v>
      </c>
    </row>
    <row r="142" spans="1:16" ht="19.5" customHeight="1">
      <c r="A142" s="1" t="s">
        <v>1713</v>
      </c>
      <c r="B142" s="5">
        <v>46008</v>
      </c>
      <c r="C142" s="1" t="s">
        <v>17</v>
      </c>
      <c r="D142" s="1" t="s">
        <v>37</v>
      </c>
      <c r="E142" s="1" t="s">
        <v>222</v>
      </c>
      <c r="F142" s="1" t="s">
        <v>412</v>
      </c>
      <c r="G142" s="1" t="s">
        <v>1229</v>
      </c>
      <c r="H142" s="6">
        <v>1</v>
      </c>
      <c r="I142" s="7">
        <v>1123</v>
      </c>
      <c r="J142" s="5">
        <v>46007</v>
      </c>
      <c r="K142" s="1" t="s">
        <v>957</v>
      </c>
      <c r="L142" s="1" t="s">
        <v>30</v>
      </c>
      <c r="M142" s="8">
        <v>0.43</v>
      </c>
      <c r="N142" s="6"/>
      <c r="O142" s="6"/>
      <c r="P142" s="9">
        <v>-8.67</v>
      </c>
    </row>
    <row r="143" spans="1:16" ht="19.5" customHeight="1">
      <c r="A143" s="1" t="s">
        <v>1714</v>
      </c>
      <c r="B143" s="5">
        <v>46008</v>
      </c>
      <c r="C143" s="1" t="s">
        <v>28</v>
      </c>
      <c r="D143" s="1" t="s">
        <v>29</v>
      </c>
      <c r="E143" s="1" t="s">
        <v>25</v>
      </c>
      <c r="F143" s="1" t="s">
        <v>26</v>
      </c>
      <c r="G143" s="1" t="s">
        <v>1229</v>
      </c>
      <c r="H143" s="6">
        <v>1</v>
      </c>
      <c r="I143" s="7">
        <v>1738</v>
      </c>
      <c r="J143" s="5">
        <v>46006</v>
      </c>
      <c r="K143" s="1" t="s">
        <v>957</v>
      </c>
      <c r="L143" s="1" t="s">
        <v>30</v>
      </c>
      <c r="M143" s="8">
        <v>0.43</v>
      </c>
      <c r="N143" s="6"/>
      <c r="O143" s="6">
        <v>38</v>
      </c>
      <c r="P143" s="9">
        <v>-104.48</v>
      </c>
    </row>
    <row r="144" spans="1:16" ht="19.5" customHeight="1">
      <c r="A144" s="1" t="s">
        <v>1714</v>
      </c>
      <c r="B144" s="5">
        <v>46008</v>
      </c>
      <c r="C144" s="1" t="s">
        <v>31</v>
      </c>
      <c r="D144" s="1" t="s">
        <v>32</v>
      </c>
      <c r="E144" s="1" t="s">
        <v>25</v>
      </c>
      <c r="F144" s="1" t="s">
        <v>26</v>
      </c>
      <c r="G144" s="1" t="s">
        <v>1229</v>
      </c>
      <c r="H144" s="6">
        <v>1</v>
      </c>
      <c r="I144" s="7">
        <v>1738</v>
      </c>
      <c r="J144" s="5">
        <v>46006</v>
      </c>
      <c r="K144" s="1" t="s">
        <v>957</v>
      </c>
      <c r="L144" s="1" t="s">
        <v>30</v>
      </c>
      <c r="M144" s="8">
        <v>0</v>
      </c>
      <c r="N144" s="6"/>
      <c r="O144" s="6"/>
      <c r="P144" s="9">
        <v>597.14</v>
      </c>
    </row>
    <row r="145" spans="1:16" ht="19.5" customHeight="1">
      <c r="A145" s="1" t="s">
        <v>1714</v>
      </c>
      <c r="B145" s="5">
        <v>46008</v>
      </c>
      <c r="C145" s="1" t="s">
        <v>31</v>
      </c>
      <c r="D145" s="1" t="s">
        <v>33</v>
      </c>
      <c r="E145" s="1" t="s">
        <v>25</v>
      </c>
      <c r="F145" s="1" t="s">
        <v>26</v>
      </c>
      <c r="G145" s="1" t="s">
        <v>1229</v>
      </c>
      <c r="H145" s="6">
        <v>1</v>
      </c>
      <c r="I145" s="7">
        <v>1738</v>
      </c>
      <c r="J145" s="5">
        <v>46006</v>
      </c>
      <c r="K145" s="1" t="s">
        <v>957</v>
      </c>
      <c r="L145" s="1" t="s">
        <v>30</v>
      </c>
      <c r="M145" s="8">
        <v>0</v>
      </c>
      <c r="N145" s="6"/>
      <c r="O145" s="6"/>
      <c r="P145" s="9">
        <v>5.97</v>
      </c>
    </row>
    <row r="146" spans="1:16" ht="19.5" customHeight="1">
      <c r="A146" s="1" t="s">
        <v>1714</v>
      </c>
      <c r="B146" s="5">
        <v>46008</v>
      </c>
      <c r="C146" s="1" t="s">
        <v>31</v>
      </c>
      <c r="D146" s="1" t="s">
        <v>34</v>
      </c>
      <c r="E146" s="1" t="s">
        <v>25</v>
      </c>
      <c r="F146" s="1" t="s">
        <v>26</v>
      </c>
      <c r="G146" s="1" t="s">
        <v>1229</v>
      </c>
      <c r="H146" s="6">
        <v>1</v>
      </c>
      <c r="I146" s="7">
        <v>1738</v>
      </c>
      <c r="J146" s="5">
        <v>46006</v>
      </c>
      <c r="K146" s="1" t="s">
        <v>957</v>
      </c>
      <c r="L146" s="1" t="s">
        <v>30</v>
      </c>
      <c r="M146" s="8">
        <v>0</v>
      </c>
      <c r="N146" s="6"/>
      <c r="O146" s="6"/>
      <c r="P146" s="9">
        <v>1134.8900000000001</v>
      </c>
    </row>
    <row r="147" spans="1:16" ht="19.5" customHeight="1">
      <c r="A147" s="1" t="s">
        <v>1714</v>
      </c>
      <c r="B147" s="5">
        <v>46008</v>
      </c>
      <c r="C147" s="1" t="s">
        <v>35</v>
      </c>
      <c r="D147" s="1" t="s">
        <v>36</v>
      </c>
      <c r="E147" s="1" t="s">
        <v>25</v>
      </c>
      <c r="F147" s="1" t="s">
        <v>26</v>
      </c>
      <c r="G147" s="1" t="s">
        <v>1229</v>
      </c>
      <c r="H147" s="6">
        <v>1</v>
      </c>
      <c r="I147" s="7">
        <v>1738</v>
      </c>
      <c r="J147" s="5">
        <v>46006</v>
      </c>
      <c r="K147" s="1" t="s">
        <v>957</v>
      </c>
      <c r="L147" s="1" t="s">
        <v>30</v>
      </c>
      <c r="M147" s="8">
        <v>0.43</v>
      </c>
      <c r="N147" s="6"/>
      <c r="O147" s="6"/>
      <c r="P147" s="9">
        <v>-747.34</v>
      </c>
    </row>
    <row r="148" spans="1:16" ht="19.5" customHeight="1">
      <c r="A148" s="1" t="s">
        <v>1714</v>
      </c>
      <c r="B148" s="5">
        <v>46008</v>
      </c>
      <c r="C148" s="1" t="s">
        <v>17</v>
      </c>
      <c r="D148" s="1" t="s">
        <v>37</v>
      </c>
      <c r="E148" s="1" t="s">
        <v>25</v>
      </c>
      <c r="F148" s="1" t="s">
        <v>26</v>
      </c>
      <c r="G148" s="1" t="s">
        <v>1229</v>
      </c>
      <c r="H148" s="6">
        <v>1</v>
      </c>
      <c r="I148" s="7">
        <v>1738</v>
      </c>
      <c r="J148" s="5">
        <v>46006</v>
      </c>
      <c r="K148" s="1" t="s">
        <v>957</v>
      </c>
      <c r="L148" s="1" t="s">
        <v>30</v>
      </c>
      <c r="M148" s="8">
        <v>0.43</v>
      </c>
      <c r="N148" s="6"/>
      <c r="O148" s="6"/>
      <c r="P148" s="9">
        <v>-6.3</v>
      </c>
    </row>
    <row r="149" spans="1:16" ht="19.5" customHeight="1">
      <c r="A149" s="1" t="s">
        <v>1713</v>
      </c>
      <c r="B149" s="5">
        <v>46008</v>
      </c>
      <c r="C149" s="1" t="s">
        <v>17</v>
      </c>
      <c r="D149" s="1" t="s">
        <v>18</v>
      </c>
      <c r="E149" s="1" t="s">
        <v>222</v>
      </c>
      <c r="F149" s="1" t="s">
        <v>412</v>
      </c>
      <c r="G149" s="1" t="s">
        <v>1229</v>
      </c>
      <c r="H149" s="6">
        <v>1</v>
      </c>
      <c r="I149" s="7">
        <v>0</v>
      </c>
      <c r="J149" s="5">
        <v>46007</v>
      </c>
      <c r="K149" s="1" t="s">
        <v>22</v>
      </c>
      <c r="L149" s="1" t="s">
        <v>22</v>
      </c>
      <c r="M149" s="8">
        <v>0</v>
      </c>
      <c r="N149" s="6"/>
      <c r="O149" s="6"/>
      <c r="P149" s="9">
        <v>-8.9</v>
      </c>
    </row>
    <row r="150" spans="1:16" ht="19.5" customHeight="1">
      <c r="A150" s="1" t="s">
        <v>1714</v>
      </c>
      <c r="B150" s="5">
        <v>46008</v>
      </c>
      <c r="C150" s="1" t="s">
        <v>17</v>
      </c>
      <c r="D150" s="1" t="s">
        <v>18</v>
      </c>
      <c r="E150" s="1" t="s">
        <v>25</v>
      </c>
      <c r="F150" s="1" t="s">
        <v>26</v>
      </c>
      <c r="G150" s="1" t="s">
        <v>1229</v>
      </c>
      <c r="H150" s="6">
        <v>1</v>
      </c>
      <c r="I150" s="7">
        <v>0</v>
      </c>
      <c r="J150" s="5">
        <v>46006</v>
      </c>
      <c r="K150" s="1" t="s">
        <v>22</v>
      </c>
      <c r="L150" s="1" t="s">
        <v>22</v>
      </c>
      <c r="M150" s="8">
        <v>0</v>
      </c>
      <c r="N150" s="6"/>
      <c r="O150" s="6"/>
      <c r="P150" s="9">
        <v>-11.35</v>
      </c>
    </row>
    <row r="151" spans="1:16" ht="19.5" customHeight="1">
      <c r="A151" s="1" t="s">
        <v>22</v>
      </c>
      <c r="B151" s="5">
        <v>46008</v>
      </c>
      <c r="C151" s="1" t="s">
        <v>77</v>
      </c>
      <c r="D151" s="1" t="s">
        <v>78</v>
      </c>
      <c r="E151" s="1" t="s">
        <v>22</v>
      </c>
      <c r="F151" s="1" t="s">
        <v>22</v>
      </c>
      <c r="G151" s="1" t="s">
        <v>1715</v>
      </c>
      <c r="H151" s="6">
        <v>0</v>
      </c>
      <c r="I151" s="7">
        <v>0</v>
      </c>
      <c r="J151" s="5">
        <v>46008</v>
      </c>
      <c r="K151" s="1" t="s">
        <v>22</v>
      </c>
      <c r="L151" s="1" t="s">
        <v>22</v>
      </c>
      <c r="M151" s="8">
        <v>0</v>
      </c>
      <c r="N151" s="6"/>
      <c r="O151" s="6"/>
      <c r="P151" s="9">
        <v>-450</v>
      </c>
    </row>
    <row r="152" spans="1:16" ht="19.5" customHeight="1">
      <c r="A152" s="1" t="s">
        <v>1376</v>
      </c>
      <c r="B152" s="5">
        <v>46008</v>
      </c>
      <c r="C152" s="1" t="s">
        <v>77</v>
      </c>
      <c r="D152" s="1" t="s">
        <v>82</v>
      </c>
      <c r="E152" s="1" t="s">
        <v>22</v>
      </c>
      <c r="F152" s="1" t="s">
        <v>22</v>
      </c>
      <c r="G152" s="1" t="s">
        <v>22</v>
      </c>
      <c r="H152" s="6">
        <v>0</v>
      </c>
      <c r="I152" s="7">
        <v>0</v>
      </c>
      <c r="J152" s="5">
        <v>46008</v>
      </c>
      <c r="K152" s="1" t="s">
        <v>22</v>
      </c>
      <c r="L152" s="1" t="s">
        <v>22</v>
      </c>
      <c r="M152" s="8">
        <v>0</v>
      </c>
      <c r="N152" s="6"/>
      <c r="O152" s="6"/>
      <c r="P152" s="9">
        <v>-555.54</v>
      </c>
    </row>
    <row r="153" spans="1:16" ht="19.5" customHeight="1">
      <c r="A153" s="1" t="s">
        <v>1075</v>
      </c>
      <c r="B153" s="5">
        <v>46008</v>
      </c>
      <c r="C153" s="1" t="s">
        <v>77</v>
      </c>
      <c r="D153" s="1" t="s">
        <v>82</v>
      </c>
      <c r="E153" s="1" t="s">
        <v>22</v>
      </c>
      <c r="F153" s="1" t="s">
        <v>22</v>
      </c>
      <c r="G153" s="1" t="s">
        <v>22</v>
      </c>
      <c r="H153" s="6">
        <v>0</v>
      </c>
      <c r="I153" s="7">
        <v>0</v>
      </c>
      <c r="J153" s="5">
        <v>46008</v>
      </c>
      <c r="K153" s="1" t="s">
        <v>22</v>
      </c>
      <c r="L153" s="1" t="s">
        <v>22</v>
      </c>
      <c r="M153" s="8">
        <v>0</v>
      </c>
      <c r="N153" s="6"/>
      <c r="O153" s="6"/>
      <c r="P153" s="9">
        <v>-542.45000000000005</v>
      </c>
    </row>
    <row r="154" spans="1:16" ht="19.5" customHeight="1">
      <c r="A154" s="1" t="s">
        <v>83</v>
      </c>
      <c r="B154" s="5">
        <v>46008</v>
      </c>
      <c r="C154" s="1" t="s">
        <v>77</v>
      </c>
      <c r="D154" s="1" t="s">
        <v>84</v>
      </c>
      <c r="E154" s="1" t="s">
        <v>22</v>
      </c>
      <c r="F154" s="1" t="s">
        <v>22</v>
      </c>
      <c r="G154" s="1" t="s">
        <v>22</v>
      </c>
      <c r="H154" s="6">
        <v>0</v>
      </c>
      <c r="I154" s="7">
        <v>0</v>
      </c>
      <c r="J154" s="5">
        <v>46008</v>
      </c>
      <c r="K154" s="1" t="s">
        <v>22</v>
      </c>
      <c r="L154" s="1" t="s">
        <v>22</v>
      </c>
      <c r="M154" s="8">
        <v>0</v>
      </c>
      <c r="N154" s="6"/>
      <c r="O154" s="6"/>
      <c r="P154" s="9">
        <v>-820.2</v>
      </c>
    </row>
    <row r="155" spans="1:16" ht="19.5" customHeight="1">
      <c r="A155" s="1" t="s">
        <v>1716</v>
      </c>
      <c r="B155" s="5">
        <v>46009</v>
      </c>
      <c r="C155" s="1" t="s">
        <v>28</v>
      </c>
      <c r="D155" s="1" t="s">
        <v>29</v>
      </c>
      <c r="E155" s="1" t="s">
        <v>25</v>
      </c>
      <c r="F155" s="1" t="s">
        <v>26</v>
      </c>
      <c r="G155" s="1" t="s">
        <v>1229</v>
      </c>
      <c r="H155" s="6">
        <v>1</v>
      </c>
      <c r="I155" s="7">
        <v>0</v>
      </c>
      <c r="J155" s="5">
        <v>45999</v>
      </c>
      <c r="K155" s="1" t="s">
        <v>957</v>
      </c>
      <c r="L155" s="1" t="s">
        <v>30</v>
      </c>
      <c r="M155" s="8">
        <v>0</v>
      </c>
      <c r="N155" s="6"/>
      <c r="O155" s="6">
        <v>39</v>
      </c>
      <c r="P155" s="9">
        <v>-46</v>
      </c>
    </row>
    <row r="156" spans="1:16" ht="19.5" customHeight="1">
      <c r="A156" s="1" t="s">
        <v>1716</v>
      </c>
      <c r="B156" s="5">
        <v>46009</v>
      </c>
      <c r="C156" s="1" t="s">
        <v>28</v>
      </c>
      <c r="D156" s="1" t="s">
        <v>45</v>
      </c>
      <c r="E156" s="1" t="s">
        <v>25</v>
      </c>
      <c r="F156" s="1" t="s">
        <v>26</v>
      </c>
      <c r="G156" s="1" t="s">
        <v>1229</v>
      </c>
      <c r="H156" s="6">
        <v>1</v>
      </c>
      <c r="I156" s="7">
        <v>0</v>
      </c>
      <c r="J156" s="5">
        <v>45999</v>
      </c>
      <c r="K156" s="1" t="s">
        <v>957</v>
      </c>
      <c r="L156" s="1" t="s">
        <v>30</v>
      </c>
      <c r="M156" s="8">
        <v>0</v>
      </c>
      <c r="N156" s="6"/>
      <c r="O156" s="6"/>
      <c r="P156" s="9">
        <v>0</v>
      </c>
    </row>
    <row r="157" spans="1:16" ht="19.5" customHeight="1">
      <c r="A157" s="1" t="s">
        <v>1716</v>
      </c>
      <c r="B157" s="5">
        <v>46009</v>
      </c>
      <c r="C157" s="1" t="s">
        <v>28</v>
      </c>
      <c r="D157" s="1" t="s">
        <v>46</v>
      </c>
      <c r="E157" s="1" t="s">
        <v>25</v>
      </c>
      <c r="F157" s="1" t="s">
        <v>26</v>
      </c>
      <c r="G157" s="1" t="s">
        <v>1229</v>
      </c>
      <c r="H157" s="6">
        <v>1</v>
      </c>
      <c r="I157" s="7">
        <v>0</v>
      </c>
      <c r="J157" s="5">
        <v>45999</v>
      </c>
      <c r="K157" s="1" t="s">
        <v>957</v>
      </c>
      <c r="L157" s="1" t="s">
        <v>30</v>
      </c>
      <c r="M157" s="8">
        <v>0</v>
      </c>
      <c r="N157" s="6"/>
      <c r="O157" s="6"/>
      <c r="P157" s="9">
        <v>-46</v>
      </c>
    </row>
    <row r="158" spans="1:16" ht="19.5" customHeight="1">
      <c r="A158" s="1" t="s">
        <v>1717</v>
      </c>
      <c r="B158" s="5">
        <v>46009</v>
      </c>
      <c r="C158" s="1" t="s">
        <v>28</v>
      </c>
      <c r="D158" s="1" t="s">
        <v>29</v>
      </c>
      <c r="E158" s="1" t="s">
        <v>223</v>
      </c>
      <c r="F158" s="1" t="s">
        <v>395</v>
      </c>
      <c r="G158" s="1" t="s">
        <v>1229</v>
      </c>
      <c r="H158" s="6">
        <v>1</v>
      </c>
      <c r="I158" s="7">
        <v>0</v>
      </c>
      <c r="J158" s="5">
        <v>45995</v>
      </c>
      <c r="K158" s="1" t="s">
        <v>957</v>
      </c>
      <c r="L158" s="1" t="s">
        <v>30</v>
      </c>
      <c r="M158" s="8">
        <v>0</v>
      </c>
      <c r="N158" s="6"/>
      <c r="O158" s="6">
        <v>42</v>
      </c>
      <c r="P158" s="9">
        <v>-46</v>
      </c>
    </row>
    <row r="159" spans="1:16" ht="19.5" customHeight="1">
      <c r="A159" s="1" t="s">
        <v>1717</v>
      </c>
      <c r="B159" s="5">
        <v>46009</v>
      </c>
      <c r="C159" s="1" t="s">
        <v>17</v>
      </c>
      <c r="D159" s="1" t="s">
        <v>37</v>
      </c>
      <c r="E159" s="1" t="s">
        <v>223</v>
      </c>
      <c r="F159" s="1" t="s">
        <v>395</v>
      </c>
      <c r="G159" s="1" t="s">
        <v>1229</v>
      </c>
      <c r="H159" s="6">
        <v>1</v>
      </c>
      <c r="I159" s="7">
        <v>0</v>
      </c>
      <c r="J159" s="5">
        <v>45995</v>
      </c>
      <c r="K159" s="1" t="s">
        <v>957</v>
      </c>
      <c r="L159" s="1" t="s">
        <v>30</v>
      </c>
      <c r="M159" s="8">
        <v>0</v>
      </c>
      <c r="N159" s="6"/>
      <c r="O159" s="6"/>
      <c r="P159" s="9">
        <v>-10.33</v>
      </c>
    </row>
    <row r="160" spans="1:16" ht="19.5" customHeight="1">
      <c r="A160" s="1" t="s">
        <v>1717</v>
      </c>
      <c r="B160" s="5">
        <v>46009</v>
      </c>
      <c r="C160" s="1" t="s">
        <v>28</v>
      </c>
      <c r="D160" s="1" t="s">
        <v>45</v>
      </c>
      <c r="E160" s="1" t="s">
        <v>223</v>
      </c>
      <c r="F160" s="1" t="s">
        <v>395</v>
      </c>
      <c r="G160" s="1" t="s">
        <v>1229</v>
      </c>
      <c r="H160" s="6">
        <v>1</v>
      </c>
      <c r="I160" s="7">
        <v>0</v>
      </c>
      <c r="J160" s="5">
        <v>45995</v>
      </c>
      <c r="K160" s="1" t="s">
        <v>957</v>
      </c>
      <c r="L160" s="1" t="s">
        <v>30</v>
      </c>
      <c r="M160" s="8">
        <v>0</v>
      </c>
      <c r="N160" s="6"/>
      <c r="O160" s="6"/>
      <c r="P160" s="9">
        <v>0</v>
      </c>
    </row>
    <row r="161" spans="1:16" ht="19.5" customHeight="1">
      <c r="A161" s="1" t="s">
        <v>1717</v>
      </c>
      <c r="B161" s="5">
        <v>46009</v>
      </c>
      <c r="C161" s="1" t="s">
        <v>28</v>
      </c>
      <c r="D161" s="1" t="s">
        <v>46</v>
      </c>
      <c r="E161" s="1" t="s">
        <v>223</v>
      </c>
      <c r="F161" s="1" t="s">
        <v>395</v>
      </c>
      <c r="G161" s="1" t="s">
        <v>1229</v>
      </c>
      <c r="H161" s="6">
        <v>1</v>
      </c>
      <c r="I161" s="7">
        <v>0</v>
      </c>
      <c r="J161" s="5">
        <v>45995</v>
      </c>
      <c r="K161" s="1" t="s">
        <v>957</v>
      </c>
      <c r="L161" s="1" t="s">
        <v>30</v>
      </c>
      <c r="M161" s="8">
        <v>0</v>
      </c>
      <c r="N161" s="6"/>
      <c r="O161" s="6"/>
      <c r="P161" s="9">
        <v>-46</v>
      </c>
    </row>
    <row r="162" spans="1:16" ht="19.5" customHeight="1">
      <c r="A162" s="1" t="s">
        <v>1717</v>
      </c>
      <c r="B162" s="5">
        <v>46009</v>
      </c>
      <c r="C162" s="1" t="s">
        <v>17</v>
      </c>
      <c r="D162" s="1" t="s">
        <v>47</v>
      </c>
      <c r="E162" s="1" t="s">
        <v>223</v>
      </c>
      <c r="F162" s="1" t="s">
        <v>395</v>
      </c>
      <c r="G162" s="1" t="s">
        <v>1229</v>
      </c>
      <c r="H162" s="6">
        <v>1</v>
      </c>
      <c r="I162" s="7">
        <v>0</v>
      </c>
      <c r="J162" s="5">
        <v>45995</v>
      </c>
      <c r="K162" s="1" t="s">
        <v>957</v>
      </c>
      <c r="L162" s="1" t="s">
        <v>30</v>
      </c>
      <c r="M162" s="8">
        <v>0</v>
      </c>
      <c r="N162" s="6"/>
      <c r="O162" s="6"/>
      <c r="P162" s="9">
        <v>-15</v>
      </c>
    </row>
    <row r="163" spans="1:16" ht="19.5" customHeight="1">
      <c r="A163" s="1" t="s">
        <v>1718</v>
      </c>
      <c r="B163" s="5">
        <v>46009</v>
      </c>
      <c r="C163" s="1" t="s">
        <v>28</v>
      </c>
      <c r="D163" s="1" t="s">
        <v>45</v>
      </c>
      <c r="E163" s="1" t="s">
        <v>223</v>
      </c>
      <c r="F163" s="1" t="s">
        <v>395</v>
      </c>
      <c r="G163" s="1" t="s">
        <v>1229</v>
      </c>
      <c r="H163" s="6">
        <v>1</v>
      </c>
      <c r="I163" s="7">
        <v>0</v>
      </c>
      <c r="J163" s="5">
        <v>46002</v>
      </c>
      <c r="K163" s="1" t="s">
        <v>957</v>
      </c>
      <c r="L163" s="1" t="s">
        <v>30</v>
      </c>
      <c r="M163" s="8">
        <v>0</v>
      </c>
      <c r="N163" s="6"/>
      <c r="O163" s="6"/>
      <c r="P163" s="9">
        <v>0</v>
      </c>
    </row>
    <row r="164" spans="1:16" ht="19.5" customHeight="1">
      <c r="A164" s="1" t="s">
        <v>1718</v>
      </c>
      <c r="B164" s="5">
        <v>46009</v>
      </c>
      <c r="C164" s="1" t="s">
        <v>28</v>
      </c>
      <c r="D164" s="1" t="s">
        <v>46</v>
      </c>
      <c r="E164" s="1" t="s">
        <v>223</v>
      </c>
      <c r="F164" s="1" t="s">
        <v>395</v>
      </c>
      <c r="G164" s="1" t="s">
        <v>1229</v>
      </c>
      <c r="H164" s="6">
        <v>1</v>
      </c>
      <c r="I164" s="7">
        <v>0</v>
      </c>
      <c r="J164" s="5">
        <v>46002</v>
      </c>
      <c r="K164" s="1" t="s">
        <v>957</v>
      </c>
      <c r="L164" s="1" t="s">
        <v>30</v>
      </c>
      <c r="M164" s="8">
        <v>0</v>
      </c>
      <c r="N164" s="6"/>
      <c r="O164" s="6"/>
      <c r="P164" s="9">
        <v>-46.77</v>
      </c>
    </row>
    <row r="165" spans="1:16" ht="19.5" customHeight="1">
      <c r="A165" s="1" t="s">
        <v>1718</v>
      </c>
      <c r="B165" s="5">
        <v>46009</v>
      </c>
      <c r="C165" s="1" t="s">
        <v>17</v>
      </c>
      <c r="D165" s="1" t="s">
        <v>47</v>
      </c>
      <c r="E165" s="1" t="s">
        <v>223</v>
      </c>
      <c r="F165" s="1" t="s">
        <v>395</v>
      </c>
      <c r="G165" s="1" t="s">
        <v>1229</v>
      </c>
      <c r="H165" s="6">
        <v>1</v>
      </c>
      <c r="I165" s="7">
        <v>0</v>
      </c>
      <c r="J165" s="5">
        <v>46002</v>
      </c>
      <c r="K165" s="1" t="s">
        <v>957</v>
      </c>
      <c r="L165" s="1" t="s">
        <v>30</v>
      </c>
      <c r="M165" s="8">
        <v>0</v>
      </c>
      <c r="N165" s="6"/>
      <c r="O165" s="6"/>
      <c r="P165" s="9">
        <v>-15</v>
      </c>
    </row>
    <row r="166" spans="1:16" ht="19.5" customHeight="1">
      <c r="A166" s="1" t="s">
        <v>1718</v>
      </c>
      <c r="B166" s="5">
        <v>46009</v>
      </c>
      <c r="C166" s="1" t="s">
        <v>28</v>
      </c>
      <c r="D166" s="1" t="s">
        <v>29</v>
      </c>
      <c r="E166" s="1" t="s">
        <v>223</v>
      </c>
      <c r="F166" s="1" t="s">
        <v>395</v>
      </c>
      <c r="G166" s="1" t="s">
        <v>1229</v>
      </c>
      <c r="H166" s="6">
        <v>1</v>
      </c>
      <c r="I166" s="7">
        <v>0</v>
      </c>
      <c r="J166" s="5">
        <v>46002</v>
      </c>
      <c r="K166" s="1" t="s">
        <v>957</v>
      </c>
      <c r="L166" s="1" t="s">
        <v>30</v>
      </c>
      <c r="M166" s="8">
        <v>0</v>
      </c>
      <c r="N166" s="6"/>
      <c r="O166" s="6">
        <v>40</v>
      </c>
      <c r="P166" s="9">
        <v>-46.77</v>
      </c>
    </row>
    <row r="167" spans="1:16" ht="19.5" customHeight="1">
      <c r="A167" s="1" t="s">
        <v>1718</v>
      </c>
      <c r="B167" s="5">
        <v>46009</v>
      </c>
      <c r="C167" s="1" t="s">
        <v>17</v>
      </c>
      <c r="D167" s="1" t="s">
        <v>37</v>
      </c>
      <c r="E167" s="1" t="s">
        <v>223</v>
      </c>
      <c r="F167" s="1" t="s">
        <v>395</v>
      </c>
      <c r="G167" s="1" t="s">
        <v>1229</v>
      </c>
      <c r="H167" s="6">
        <v>1</v>
      </c>
      <c r="I167" s="7">
        <v>0</v>
      </c>
      <c r="J167" s="5">
        <v>46002</v>
      </c>
      <c r="K167" s="1" t="s">
        <v>957</v>
      </c>
      <c r="L167" s="1" t="s">
        <v>30</v>
      </c>
      <c r="M167" s="8">
        <v>0</v>
      </c>
      <c r="N167" s="6"/>
      <c r="O167" s="6"/>
      <c r="P167" s="9">
        <v>-8.1</v>
      </c>
    </row>
    <row r="168" spans="1:16" ht="19.5" customHeight="1">
      <c r="A168" s="1" t="s">
        <v>1719</v>
      </c>
      <c r="B168" s="5">
        <v>46009</v>
      </c>
      <c r="C168" s="1" t="s">
        <v>17</v>
      </c>
      <c r="D168" s="1" t="s">
        <v>18</v>
      </c>
      <c r="E168" s="1" t="s">
        <v>25</v>
      </c>
      <c r="F168" s="1" t="s">
        <v>26</v>
      </c>
      <c r="G168" s="1" t="s">
        <v>1229</v>
      </c>
      <c r="H168" s="6">
        <v>1</v>
      </c>
      <c r="I168" s="7">
        <v>0</v>
      </c>
      <c r="J168" s="5">
        <v>46009</v>
      </c>
      <c r="K168" s="1" t="s">
        <v>22</v>
      </c>
      <c r="L168" s="1" t="s">
        <v>22</v>
      </c>
      <c r="M168" s="8">
        <v>0</v>
      </c>
      <c r="N168" s="6"/>
      <c r="O168" s="6"/>
      <c r="P168" s="9">
        <v>-9.27</v>
      </c>
    </row>
    <row r="169" spans="1:16" ht="19.5" customHeight="1">
      <c r="A169" s="1" t="s">
        <v>1720</v>
      </c>
      <c r="B169" s="5">
        <v>46009</v>
      </c>
      <c r="C169" s="1" t="s">
        <v>28</v>
      </c>
      <c r="D169" s="1" t="s">
        <v>29</v>
      </c>
      <c r="E169" s="1" t="s">
        <v>236</v>
      </c>
      <c r="F169" s="1" t="s">
        <v>1064</v>
      </c>
      <c r="G169" s="1" t="s">
        <v>1133</v>
      </c>
      <c r="H169" s="6">
        <v>1</v>
      </c>
      <c r="I169" s="7">
        <v>3080</v>
      </c>
      <c r="J169" s="5">
        <v>46004</v>
      </c>
      <c r="K169" s="1" t="s">
        <v>957</v>
      </c>
      <c r="L169" s="1" t="s">
        <v>30</v>
      </c>
      <c r="M169" s="8">
        <v>0.43</v>
      </c>
      <c r="N169" s="6"/>
      <c r="O169" s="6">
        <v>41</v>
      </c>
      <c r="P169" s="9">
        <v>-170.85</v>
      </c>
    </row>
    <row r="170" spans="1:16" ht="19.5" customHeight="1">
      <c r="A170" s="1" t="s">
        <v>1720</v>
      </c>
      <c r="B170" s="5">
        <v>46009</v>
      </c>
      <c r="C170" s="1" t="s">
        <v>31</v>
      </c>
      <c r="D170" s="1" t="s">
        <v>32</v>
      </c>
      <c r="E170" s="1" t="s">
        <v>236</v>
      </c>
      <c r="F170" s="1" t="s">
        <v>1064</v>
      </c>
      <c r="G170" s="1" t="s">
        <v>1133</v>
      </c>
      <c r="H170" s="6">
        <v>1</v>
      </c>
      <c r="I170" s="7">
        <v>3080</v>
      </c>
      <c r="J170" s="5">
        <v>46004</v>
      </c>
      <c r="K170" s="1" t="s">
        <v>957</v>
      </c>
      <c r="L170" s="1" t="s">
        <v>30</v>
      </c>
      <c r="M170" s="8">
        <v>0</v>
      </c>
      <c r="N170" s="6"/>
      <c r="O170" s="6"/>
      <c r="P170" s="9">
        <v>1585.16</v>
      </c>
    </row>
    <row r="171" spans="1:16" ht="19.5" customHeight="1">
      <c r="A171" s="1" t="s">
        <v>1720</v>
      </c>
      <c r="B171" s="5">
        <v>46009</v>
      </c>
      <c r="C171" s="1" t="s">
        <v>31</v>
      </c>
      <c r="D171" s="1" t="s">
        <v>33</v>
      </c>
      <c r="E171" s="1" t="s">
        <v>236</v>
      </c>
      <c r="F171" s="1" t="s">
        <v>1064</v>
      </c>
      <c r="G171" s="1" t="s">
        <v>1133</v>
      </c>
      <c r="H171" s="6">
        <v>1</v>
      </c>
      <c r="I171" s="7">
        <v>3080</v>
      </c>
      <c r="J171" s="5">
        <v>46004</v>
      </c>
      <c r="K171" s="1" t="s">
        <v>957</v>
      </c>
      <c r="L171" s="1" t="s">
        <v>30</v>
      </c>
      <c r="M171" s="8">
        <v>0</v>
      </c>
      <c r="N171" s="6"/>
      <c r="O171" s="6"/>
      <c r="P171" s="9">
        <v>15.85</v>
      </c>
    </row>
    <row r="172" spans="1:16" ht="19.5" customHeight="1">
      <c r="A172" s="1" t="s">
        <v>1720</v>
      </c>
      <c r="B172" s="5">
        <v>46009</v>
      </c>
      <c r="C172" s="1" t="s">
        <v>31</v>
      </c>
      <c r="D172" s="1" t="s">
        <v>34</v>
      </c>
      <c r="E172" s="1" t="s">
        <v>236</v>
      </c>
      <c r="F172" s="1" t="s">
        <v>1064</v>
      </c>
      <c r="G172" s="1" t="s">
        <v>1133</v>
      </c>
      <c r="H172" s="6">
        <v>1</v>
      </c>
      <c r="I172" s="7">
        <v>3080</v>
      </c>
      <c r="J172" s="5">
        <v>46004</v>
      </c>
      <c r="K172" s="1" t="s">
        <v>957</v>
      </c>
      <c r="L172" s="1" t="s">
        <v>30</v>
      </c>
      <c r="M172" s="8">
        <v>0</v>
      </c>
      <c r="N172" s="6"/>
      <c r="O172" s="6"/>
      <c r="P172" s="9">
        <v>1478.99</v>
      </c>
    </row>
    <row r="173" spans="1:16" ht="19.5" customHeight="1">
      <c r="A173" s="1" t="s">
        <v>1720</v>
      </c>
      <c r="B173" s="5">
        <v>46009</v>
      </c>
      <c r="C173" s="1" t="s">
        <v>35</v>
      </c>
      <c r="D173" s="1" t="s">
        <v>36</v>
      </c>
      <c r="E173" s="1" t="s">
        <v>236</v>
      </c>
      <c r="F173" s="1" t="s">
        <v>1064</v>
      </c>
      <c r="G173" s="1" t="s">
        <v>1133</v>
      </c>
      <c r="H173" s="6">
        <v>1</v>
      </c>
      <c r="I173" s="7">
        <v>3080</v>
      </c>
      <c r="J173" s="5">
        <v>46004</v>
      </c>
      <c r="K173" s="1" t="s">
        <v>957</v>
      </c>
      <c r="L173" s="1" t="s">
        <v>30</v>
      </c>
      <c r="M173" s="8">
        <v>0.43</v>
      </c>
      <c r="N173" s="6"/>
      <c r="O173" s="6"/>
      <c r="P173" s="9">
        <v>-1324.4</v>
      </c>
    </row>
    <row r="174" spans="1:16" ht="19.5" customHeight="1">
      <c r="A174" s="1" t="s">
        <v>1720</v>
      </c>
      <c r="B174" s="5">
        <v>46009</v>
      </c>
      <c r="C174" s="1" t="s">
        <v>17</v>
      </c>
      <c r="D174" s="1" t="s">
        <v>37</v>
      </c>
      <c r="E174" s="1" t="s">
        <v>236</v>
      </c>
      <c r="F174" s="1" t="s">
        <v>1064</v>
      </c>
      <c r="G174" s="1" t="s">
        <v>1133</v>
      </c>
      <c r="H174" s="6">
        <v>1</v>
      </c>
      <c r="I174" s="7">
        <v>3080</v>
      </c>
      <c r="J174" s="5">
        <v>46004</v>
      </c>
      <c r="K174" s="1" t="s">
        <v>957</v>
      </c>
      <c r="L174" s="1" t="s">
        <v>30</v>
      </c>
      <c r="M174" s="8">
        <v>0.43</v>
      </c>
      <c r="N174" s="6"/>
      <c r="O174" s="6"/>
      <c r="P174" s="9">
        <v>-13.84</v>
      </c>
    </row>
    <row r="175" spans="1:16" ht="19.5" customHeight="1">
      <c r="A175" s="1" t="s">
        <v>1720</v>
      </c>
      <c r="B175" s="5">
        <v>46009</v>
      </c>
      <c r="C175" s="1" t="s">
        <v>17</v>
      </c>
      <c r="D175" s="1" t="s">
        <v>18</v>
      </c>
      <c r="E175" s="1" t="s">
        <v>236</v>
      </c>
      <c r="F175" s="1" t="s">
        <v>1064</v>
      </c>
      <c r="G175" s="1" t="s">
        <v>1133</v>
      </c>
      <c r="H175" s="6">
        <v>1</v>
      </c>
      <c r="I175" s="7">
        <v>0</v>
      </c>
      <c r="J175" s="5">
        <v>46004</v>
      </c>
      <c r="K175" s="1" t="s">
        <v>22</v>
      </c>
      <c r="L175" s="1" t="s">
        <v>22</v>
      </c>
      <c r="M175" s="8">
        <v>0</v>
      </c>
      <c r="N175" s="6"/>
      <c r="O175" s="6"/>
      <c r="P175" s="9">
        <v>-30.12</v>
      </c>
    </row>
    <row r="176" spans="1:16" ht="19.5" customHeight="1">
      <c r="A176" s="1" t="s">
        <v>1721</v>
      </c>
      <c r="B176" s="5">
        <v>46009</v>
      </c>
      <c r="C176" s="1" t="s">
        <v>17</v>
      </c>
      <c r="D176" s="1" t="s">
        <v>18</v>
      </c>
      <c r="E176" s="1" t="s">
        <v>223</v>
      </c>
      <c r="F176" s="1" t="s">
        <v>395</v>
      </c>
      <c r="G176" s="1" t="s">
        <v>1229</v>
      </c>
      <c r="H176" s="6">
        <v>1</v>
      </c>
      <c r="I176" s="7">
        <v>0</v>
      </c>
      <c r="J176" s="5">
        <v>46009</v>
      </c>
      <c r="K176" s="1" t="s">
        <v>22</v>
      </c>
      <c r="L176" s="1" t="s">
        <v>22</v>
      </c>
      <c r="M176" s="8">
        <v>0</v>
      </c>
      <c r="N176" s="6"/>
      <c r="O176" s="6"/>
      <c r="P176" s="9">
        <v>-9.0299999999999994</v>
      </c>
    </row>
    <row r="177" spans="1:16" ht="19.5" customHeight="1">
      <c r="A177" s="1" t="s">
        <v>1722</v>
      </c>
      <c r="B177" s="5">
        <v>46009</v>
      </c>
      <c r="C177" s="1" t="s">
        <v>28</v>
      </c>
      <c r="D177" s="1" t="s">
        <v>29</v>
      </c>
      <c r="E177" s="1" t="s">
        <v>223</v>
      </c>
      <c r="F177" s="1" t="s">
        <v>395</v>
      </c>
      <c r="G177" s="1" t="s">
        <v>1229</v>
      </c>
      <c r="H177" s="6">
        <v>1</v>
      </c>
      <c r="I177" s="7">
        <v>1305</v>
      </c>
      <c r="J177" s="5">
        <v>46006</v>
      </c>
      <c r="K177" s="1" t="s">
        <v>957</v>
      </c>
      <c r="L177" s="1" t="s">
        <v>30</v>
      </c>
      <c r="M177" s="8">
        <v>0.43</v>
      </c>
      <c r="N177" s="6"/>
      <c r="O177" s="6">
        <v>38</v>
      </c>
      <c r="P177" s="9">
        <v>-96.06</v>
      </c>
    </row>
    <row r="178" spans="1:16" ht="19.5" customHeight="1">
      <c r="A178" s="1" t="s">
        <v>1722</v>
      </c>
      <c r="B178" s="5">
        <v>46009</v>
      </c>
      <c r="C178" s="1" t="s">
        <v>31</v>
      </c>
      <c r="D178" s="1" t="s">
        <v>32</v>
      </c>
      <c r="E178" s="1" t="s">
        <v>223</v>
      </c>
      <c r="F178" s="1" t="s">
        <v>395</v>
      </c>
      <c r="G178" s="1" t="s">
        <v>1229</v>
      </c>
      <c r="H178" s="6">
        <v>1</v>
      </c>
      <c r="I178" s="7">
        <v>1305</v>
      </c>
      <c r="J178" s="5">
        <v>46006</v>
      </c>
      <c r="K178" s="1" t="s">
        <v>957</v>
      </c>
      <c r="L178" s="1" t="s">
        <v>30</v>
      </c>
      <c r="M178" s="8">
        <v>0</v>
      </c>
      <c r="N178" s="6"/>
      <c r="O178" s="6"/>
      <c r="P178" s="9">
        <v>489.52</v>
      </c>
    </row>
    <row r="179" spans="1:16" ht="19.5" customHeight="1">
      <c r="A179" s="1" t="s">
        <v>1722</v>
      </c>
      <c r="B179" s="5">
        <v>46009</v>
      </c>
      <c r="C179" s="1" t="s">
        <v>31</v>
      </c>
      <c r="D179" s="1" t="s">
        <v>33</v>
      </c>
      <c r="E179" s="1" t="s">
        <v>223</v>
      </c>
      <c r="F179" s="1" t="s">
        <v>395</v>
      </c>
      <c r="G179" s="1" t="s">
        <v>1229</v>
      </c>
      <c r="H179" s="6">
        <v>1</v>
      </c>
      <c r="I179" s="7">
        <v>1305</v>
      </c>
      <c r="J179" s="5">
        <v>46006</v>
      </c>
      <c r="K179" s="1" t="s">
        <v>957</v>
      </c>
      <c r="L179" s="1" t="s">
        <v>30</v>
      </c>
      <c r="M179" s="8">
        <v>0</v>
      </c>
      <c r="N179" s="6"/>
      <c r="O179" s="6"/>
      <c r="P179" s="9">
        <v>4.9000000000000004</v>
      </c>
    </row>
    <row r="180" spans="1:16" ht="19.5" customHeight="1">
      <c r="A180" s="1" t="s">
        <v>1722</v>
      </c>
      <c r="B180" s="5">
        <v>46009</v>
      </c>
      <c r="C180" s="1" t="s">
        <v>31</v>
      </c>
      <c r="D180" s="1" t="s">
        <v>34</v>
      </c>
      <c r="E180" s="1" t="s">
        <v>223</v>
      </c>
      <c r="F180" s="1" t="s">
        <v>395</v>
      </c>
      <c r="G180" s="1" t="s">
        <v>1229</v>
      </c>
      <c r="H180" s="6">
        <v>1</v>
      </c>
      <c r="I180" s="7">
        <v>1305</v>
      </c>
      <c r="J180" s="5">
        <v>46006</v>
      </c>
      <c r="K180" s="1" t="s">
        <v>957</v>
      </c>
      <c r="L180" s="1" t="s">
        <v>30</v>
      </c>
      <c r="M180" s="8">
        <v>0</v>
      </c>
      <c r="N180" s="6"/>
      <c r="O180" s="6"/>
      <c r="P180" s="9">
        <v>810.58</v>
      </c>
    </row>
    <row r="181" spans="1:16" ht="19.5" customHeight="1">
      <c r="A181" s="1" t="s">
        <v>1722</v>
      </c>
      <c r="B181" s="5">
        <v>46009</v>
      </c>
      <c r="C181" s="1" t="s">
        <v>35</v>
      </c>
      <c r="D181" s="1" t="s">
        <v>36</v>
      </c>
      <c r="E181" s="1" t="s">
        <v>223</v>
      </c>
      <c r="F181" s="1" t="s">
        <v>395</v>
      </c>
      <c r="G181" s="1" t="s">
        <v>1229</v>
      </c>
      <c r="H181" s="6">
        <v>1</v>
      </c>
      <c r="I181" s="7">
        <v>1305</v>
      </c>
      <c r="J181" s="5">
        <v>46006</v>
      </c>
      <c r="K181" s="1" t="s">
        <v>957</v>
      </c>
      <c r="L181" s="1" t="s">
        <v>30</v>
      </c>
      <c r="M181" s="8">
        <v>0.43</v>
      </c>
      <c r="N181" s="6"/>
      <c r="O181" s="6"/>
      <c r="P181" s="9">
        <v>-561.15</v>
      </c>
    </row>
    <row r="182" spans="1:16" ht="19.5" customHeight="1">
      <c r="A182" s="1" t="s">
        <v>1722</v>
      </c>
      <c r="B182" s="5">
        <v>46009</v>
      </c>
      <c r="C182" s="1" t="s">
        <v>17</v>
      </c>
      <c r="D182" s="1" t="s">
        <v>37</v>
      </c>
      <c r="E182" s="1" t="s">
        <v>223</v>
      </c>
      <c r="F182" s="1" t="s">
        <v>395</v>
      </c>
      <c r="G182" s="1" t="s">
        <v>1229</v>
      </c>
      <c r="H182" s="6">
        <v>1</v>
      </c>
      <c r="I182" s="7">
        <v>1305</v>
      </c>
      <c r="J182" s="5">
        <v>46006</v>
      </c>
      <c r="K182" s="1" t="s">
        <v>957</v>
      </c>
      <c r="L182" s="1" t="s">
        <v>30</v>
      </c>
      <c r="M182" s="8">
        <v>0.43</v>
      </c>
      <c r="N182" s="6"/>
      <c r="O182" s="6"/>
      <c r="P182" s="9">
        <v>-16.04</v>
      </c>
    </row>
    <row r="183" spans="1:16" ht="19.5" customHeight="1">
      <c r="A183" s="1" t="s">
        <v>1722</v>
      </c>
      <c r="B183" s="5">
        <v>46009</v>
      </c>
      <c r="C183" s="1" t="s">
        <v>17</v>
      </c>
      <c r="D183" s="1" t="s">
        <v>18</v>
      </c>
      <c r="E183" s="1" t="s">
        <v>223</v>
      </c>
      <c r="F183" s="1" t="s">
        <v>395</v>
      </c>
      <c r="G183" s="1" t="s">
        <v>1229</v>
      </c>
      <c r="H183" s="6">
        <v>1</v>
      </c>
      <c r="I183" s="7">
        <v>0</v>
      </c>
      <c r="J183" s="5">
        <v>46006</v>
      </c>
      <c r="K183" s="1" t="s">
        <v>22</v>
      </c>
      <c r="L183" s="1" t="s">
        <v>22</v>
      </c>
      <c r="M183" s="8">
        <v>0</v>
      </c>
      <c r="N183" s="6"/>
      <c r="O183" s="6"/>
      <c r="P183" s="9">
        <v>-9.3000000000000007</v>
      </c>
    </row>
    <row r="184" spans="1:16" ht="19.5" customHeight="1">
      <c r="A184" s="1" t="s">
        <v>1723</v>
      </c>
      <c r="B184" s="5">
        <v>46009</v>
      </c>
      <c r="C184" s="1" t="s">
        <v>28</v>
      </c>
      <c r="D184" s="1" t="s">
        <v>29</v>
      </c>
      <c r="E184" s="1" t="s">
        <v>223</v>
      </c>
      <c r="F184" s="1" t="s">
        <v>395</v>
      </c>
      <c r="G184" s="1" t="s">
        <v>1229</v>
      </c>
      <c r="H184" s="6">
        <v>1</v>
      </c>
      <c r="I184" s="7">
        <v>1687</v>
      </c>
      <c r="J184" s="5">
        <v>46007</v>
      </c>
      <c r="K184" s="1" t="s">
        <v>957</v>
      </c>
      <c r="L184" s="1" t="s">
        <v>30</v>
      </c>
      <c r="M184" s="8">
        <v>0.43</v>
      </c>
      <c r="N184" s="6"/>
      <c r="O184" s="6">
        <v>37</v>
      </c>
      <c r="P184" s="9">
        <v>-99.22</v>
      </c>
    </row>
    <row r="185" spans="1:16" ht="19.5" customHeight="1">
      <c r="A185" s="1" t="s">
        <v>1723</v>
      </c>
      <c r="B185" s="5">
        <v>46009</v>
      </c>
      <c r="C185" s="1" t="s">
        <v>31</v>
      </c>
      <c r="D185" s="1" t="s">
        <v>32</v>
      </c>
      <c r="E185" s="1" t="s">
        <v>223</v>
      </c>
      <c r="F185" s="1" t="s">
        <v>395</v>
      </c>
      <c r="G185" s="1" t="s">
        <v>1229</v>
      </c>
      <c r="H185" s="6">
        <v>1</v>
      </c>
      <c r="I185" s="7">
        <v>1687</v>
      </c>
      <c r="J185" s="5">
        <v>46007</v>
      </c>
      <c r="K185" s="1" t="s">
        <v>957</v>
      </c>
      <c r="L185" s="1" t="s">
        <v>30</v>
      </c>
      <c r="M185" s="8">
        <v>0</v>
      </c>
      <c r="N185" s="6"/>
      <c r="O185" s="6"/>
      <c r="P185" s="9">
        <v>587.05999999999995</v>
      </c>
    </row>
    <row r="186" spans="1:16" ht="19.5" customHeight="1">
      <c r="A186" s="1" t="s">
        <v>1723</v>
      </c>
      <c r="B186" s="5">
        <v>46009</v>
      </c>
      <c r="C186" s="1" t="s">
        <v>31</v>
      </c>
      <c r="D186" s="1" t="s">
        <v>33</v>
      </c>
      <c r="E186" s="1" t="s">
        <v>223</v>
      </c>
      <c r="F186" s="1" t="s">
        <v>395</v>
      </c>
      <c r="G186" s="1" t="s">
        <v>1229</v>
      </c>
      <c r="H186" s="6">
        <v>1</v>
      </c>
      <c r="I186" s="7">
        <v>1687</v>
      </c>
      <c r="J186" s="5">
        <v>46007</v>
      </c>
      <c r="K186" s="1" t="s">
        <v>957</v>
      </c>
      <c r="L186" s="1" t="s">
        <v>30</v>
      </c>
      <c r="M186" s="8">
        <v>0</v>
      </c>
      <c r="N186" s="6"/>
      <c r="O186" s="6"/>
      <c r="P186" s="9">
        <v>5.87</v>
      </c>
    </row>
    <row r="187" spans="1:16" ht="19.5" customHeight="1">
      <c r="A187" s="1" t="s">
        <v>1723</v>
      </c>
      <c r="B187" s="5">
        <v>46009</v>
      </c>
      <c r="C187" s="1" t="s">
        <v>31</v>
      </c>
      <c r="D187" s="1" t="s">
        <v>34</v>
      </c>
      <c r="E187" s="1" t="s">
        <v>223</v>
      </c>
      <c r="F187" s="1" t="s">
        <v>395</v>
      </c>
      <c r="G187" s="1" t="s">
        <v>1229</v>
      </c>
      <c r="H187" s="6">
        <v>1</v>
      </c>
      <c r="I187" s="7">
        <v>1687</v>
      </c>
      <c r="J187" s="5">
        <v>46007</v>
      </c>
      <c r="K187" s="1" t="s">
        <v>957</v>
      </c>
      <c r="L187" s="1" t="s">
        <v>30</v>
      </c>
      <c r="M187" s="8">
        <v>0</v>
      </c>
      <c r="N187" s="6"/>
      <c r="O187" s="6"/>
      <c r="P187" s="9">
        <v>1094.07</v>
      </c>
    </row>
    <row r="188" spans="1:16" ht="19.5" customHeight="1">
      <c r="A188" s="1" t="s">
        <v>1723</v>
      </c>
      <c r="B188" s="5">
        <v>46009</v>
      </c>
      <c r="C188" s="1" t="s">
        <v>35</v>
      </c>
      <c r="D188" s="1" t="s">
        <v>36</v>
      </c>
      <c r="E188" s="1" t="s">
        <v>223</v>
      </c>
      <c r="F188" s="1" t="s">
        <v>395</v>
      </c>
      <c r="G188" s="1" t="s">
        <v>1229</v>
      </c>
      <c r="H188" s="6">
        <v>1</v>
      </c>
      <c r="I188" s="7">
        <v>1687</v>
      </c>
      <c r="J188" s="5">
        <v>46007</v>
      </c>
      <c r="K188" s="1" t="s">
        <v>957</v>
      </c>
      <c r="L188" s="1" t="s">
        <v>30</v>
      </c>
      <c r="M188" s="8">
        <v>0.43</v>
      </c>
      <c r="N188" s="6"/>
      <c r="O188" s="6"/>
      <c r="P188" s="9">
        <v>-725.41</v>
      </c>
    </row>
    <row r="189" spans="1:16" ht="19.5" customHeight="1">
      <c r="A189" s="1" t="s">
        <v>1723</v>
      </c>
      <c r="B189" s="5">
        <v>46009</v>
      </c>
      <c r="C189" s="1" t="s">
        <v>17</v>
      </c>
      <c r="D189" s="1" t="s">
        <v>37</v>
      </c>
      <c r="E189" s="1" t="s">
        <v>223</v>
      </c>
      <c r="F189" s="1" t="s">
        <v>395</v>
      </c>
      <c r="G189" s="1" t="s">
        <v>1229</v>
      </c>
      <c r="H189" s="6">
        <v>1</v>
      </c>
      <c r="I189" s="7">
        <v>1687</v>
      </c>
      <c r="J189" s="5">
        <v>46007</v>
      </c>
      <c r="K189" s="1" t="s">
        <v>957</v>
      </c>
      <c r="L189" s="1" t="s">
        <v>30</v>
      </c>
      <c r="M189" s="8">
        <v>0.43</v>
      </c>
      <c r="N189" s="6"/>
      <c r="O189" s="6"/>
      <c r="P189" s="9">
        <v>-8.77</v>
      </c>
    </row>
    <row r="190" spans="1:16" ht="19.5" customHeight="1">
      <c r="A190" s="1" t="s">
        <v>1723</v>
      </c>
      <c r="B190" s="5">
        <v>46009</v>
      </c>
      <c r="C190" s="1" t="s">
        <v>17</v>
      </c>
      <c r="D190" s="1" t="s">
        <v>18</v>
      </c>
      <c r="E190" s="1" t="s">
        <v>223</v>
      </c>
      <c r="F190" s="1" t="s">
        <v>395</v>
      </c>
      <c r="G190" s="1" t="s">
        <v>1229</v>
      </c>
      <c r="H190" s="6">
        <v>1</v>
      </c>
      <c r="I190" s="7">
        <v>0</v>
      </c>
      <c r="J190" s="5">
        <v>46007</v>
      </c>
      <c r="K190" s="1" t="s">
        <v>22</v>
      </c>
      <c r="L190" s="1" t="s">
        <v>22</v>
      </c>
      <c r="M190" s="8">
        <v>0</v>
      </c>
      <c r="N190" s="6"/>
      <c r="O190" s="6"/>
      <c r="P190" s="9">
        <v>-11.15</v>
      </c>
    </row>
    <row r="191" spans="1:16" ht="19.5" customHeight="1">
      <c r="A191" s="1" t="s">
        <v>1724</v>
      </c>
      <c r="B191" s="5">
        <v>46009</v>
      </c>
      <c r="C191" s="1" t="s">
        <v>28</v>
      </c>
      <c r="D191" s="1" t="s">
        <v>29</v>
      </c>
      <c r="E191" s="1" t="s">
        <v>25</v>
      </c>
      <c r="F191" s="1" t="s">
        <v>26</v>
      </c>
      <c r="G191" s="1" t="s">
        <v>1229</v>
      </c>
      <c r="H191" s="6">
        <v>1</v>
      </c>
      <c r="I191" s="7">
        <v>1124</v>
      </c>
      <c r="J191" s="5">
        <v>46003</v>
      </c>
      <c r="K191" s="1" t="s">
        <v>957</v>
      </c>
      <c r="L191" s="1" t="s">
        <v>30</v>
      </c>
      <c r="M191" s="8">
        <v>0.43</v>
      </c>
      <c r="N191" s="6"/>
      <c r="O191" s="6">
        <v>40</v>
      </c>
      <c r="P191" s="9">
        <v>-99.28</v>
      </c>
    </row>
    <row r="192" spans="1:16" ht="19.5" customHeight="1">
      <c r="A192" s="1" t="s">
        <v>1724</v>
      </c>
      <c r="B192" s="5">
        <v>46009</v>
      </c>
      <c r="C192" s="1" t="s">
        <v>31</v>
      </c>
      <c r="D192" s="1" t="s">
        <v>32</v>
      </c>
      <c r="E192" s="1" t="s">
        <v>25</v>
      </c>
      <c r="F192" s="1" t="s">
        <v>26</v>
      </c>
      <c r="G192" s="1" t="s">
        <v>1229</v>
      </c>
      <c r="H192" s="6">
        <v>1</v>
      </c>
      <c r="I192" s="7">
        <v>1124</v>
      </c>
      <c r="J192" s="5">
        <v>46003</v>
      </c>
      <c r="K192" s="1" t="s">
        <v>957</v>
      </c>
      <c r="L192" s="1" t="s">
        <v>30</v>
      </c>
      <c r="M192" s="8">
        <v>0</v>
      </c>
      <c r="N192" s="6"/>
      <c r="O192" s="6"/>
      <c r="P192" s="9">
        <v>660.65</v>
      </c>
    </row>
    <row r="193" spans="1:16" ht="19.5" customHeight="1">
      <c r="A193" s="1" t="s">
        <v>1724</v>
      </c>
      <c r="B193" s="5">
        <v>46009</v>
      </c>
      <c r="C193" s="1" t="s">
        <v>31</v>
      </c>
      <c r="D193" s="1" t="s">
        <v>33</v>
      </c>
      <c r="E193" s="1" t="s">
        <v>25</v>
      </c>
      <c r="F193" s="1" t="s">
        <v>26</v>
      </c>
      <c r="G193" s="1" t="s">
        <v>1229</v>
      </c>
      <c r="H193" s="6">
        <v>1</v>
      </c>
      <c r="I193" s="7">
        <v>1124</v>
      </c>
      <c r="J193" s="5">
        <v>46003</v>
      </c>
      <c r="K193" s="1" t="s">
        <v>957</v>
      </c>
      <c r="L193" s="1" t="s">
        <v>30</v>
      </c>
      <c r="M193" s="8">
        <v>0</v>
      </c>
      <c r="N193" s="6"/>
      <c r="O193" s="6"/>
      <c r="P193" s="9">
        <v>0</v>
      </c>
    </row>
    <row r="194" spans="1:16" ht="19.5" customHeight="1">
      <c r="A194" s="1" t="s">
        <v>1724</v>
      </c>
      <c r="B194" s="5">
        <v>46009</v>
      </c>
      <c r="C194" s="1" t="s">
        <v>31</v>
      </c>
      <c r="D194" s="1" t="s">
        <v>34</v>
      </c>
      <c r="E194" s="1" t="s">
        <v>25</v>
      </c>
      <c r="F194" s="1" t="s">
        <v>26</v>
      </c>
      <c r="G194" s="1" t="s">
        <v>1229</v>
      </c>
      <c r="H194" s="6">
        <v>1</v>
      </c>
      <c r="I194" s="7">
        <v>1124</v>
      </c>
      <c r="J194" s="5">
        <v>46003</v>
      </c>
      <c r="K194" s="1" t="s">
        <v>957</v>
      </c>
      <c r="L194" s="1" t="s">
        <v>30</v>
      </c>
      <c r="M194" s="8">
        <v>0</v>
      </c>
      <c r="N194" s="6"/>
      <c r="O194" s="6"/>
      <c r="P194" s="9">
        <v>463.35</v>
      </c>
    </row>
    <row r="195" spans="1:16" ht="19.5" customHeight="1">
      <c r="A195" s="1" t="s">
        <v>1724</v>
      </c>
      <c r="B195" s="5">
        <v>46009</v>
      </c>
      <c r="C195" s="1" t="s">
        <v>35</v>
      </c>
      <c r="D195" s="1" t="s">
        <v>36</v>
      </c>
      <c r="E195" s="1" t="s">
        <v>25</v>
      </c>
      <c r="F195" s="1" t="s">
        <v>26</v>
      </c>
      <c r="G195" s="1" t="s">
        <v>1229</v>
      </c>
      <c r="H195" s="6">
        <v>1</v>
      </c>
      <c r="I195" s="7">
        <v>1124</v>
      </c>
      <c r="J195" s="5">
        <v>46003</v>
      </c>
      <c r="K195" s="1" t="s">
        <v>957</v>
      </c>
      <c r="L195" s="1" t="s">
        <v>30</v>
      </c>
      <c r="M195" s="8">
        <v>0.43</v>
      </c>
      <c r="N195" s="6"/>
      <c r="O195" s="6"/>
      <c r="P195" s="9">
        <v>-483.32</v>
      </c>
    </row>
    <row r="196" spans="1:16" ht="19.5" customHeight="1">
      <c r="A196" s="1" t="s">
        <v>1725</v>
      </c>
      <c r="B196" s="5">
        <v>46009</v>
      </c>
      <c r="C196" s="1" t="s">
        <v>28</v>
      </c>
      <c r="D196" s="1" t="s">
        <v>29</v>
      </c>
      <c r="E196" s="1" t="s">
        <v>223</v>
      </c>
      <c r="F196" s="1" t="s">
        <v>395</v>
      </c>
      <c r="G196" s="1" t="s">
        <v>1229</v>
      </c>
      <c r="H196" s="6">
        <v>1</v>
      </c>
      <c r="I196" s="7">
        <v>0</v>
      </c>
      <c r="J196" s="5">
        <v>46006</v>
      </c>
      <c r="K196" s="1" t="s">
        <v>957</v>
      </c>
      <c r="L196" s="1" t="s">
        <v>30</v>
      </c>
      <c r="M196" s="8">
        <v>0</v>
      </c>
      <c r="N196" s="6"/>
      <c r="O196" s="6">
        <v>38</v>
      </c>
      <c r="P196" s="9">
        <v>-96.06</v>
      </c>
    </row>
    <row r="197" spans="1:16" ht="19.5" customHeight="1">
      <c r="A197" s="1" t="s">
        <v>1726</v>
      </c>
      <c r="B197" s="5">
        <v>46009</v>
      </c>
      <c r="C197" s="1" t="s">
        <v>28</v>
      </c>
      <c r="D197" s="1" t="s">
        <v>29</v>
      </c>
      <c r="E197" s="1" t="s">
        <v>222</v>
      </c>
      <c r="F197" s="1" t="s">
        <v>412</v>
      </c>
      <c r="G197" s="1" t="s">
        <v>1229</v>
      </c>
      <c r="H197" s="6">
        <v>1</v>
      </c>
      <c r="I197" s="7">
        <v>1123</v>
      </c>
      <c r="J197" s="5">
        <v>46006</v>
      </c>
      <c r="K197" s="1" t="s">
        <v>957</v>
      </c>
      <c r="L197" s="1" t="s">
        <v>30</v>
      </c>
      <c r="M197" s="8">
        <v>0.43</v>
      </c>
      <c r="N197" s="6"/>
      <c r="O197" s="6">
        <v>38</v>
      </c>
      <c r="P197" s="9">
        <v>-92.06</v>
      </c>
    </row>
    <row r="198" spans="1:16" ht="19.5" customHeight="1">
      <c r="A198" s="1" t="s">
        <v>1726</v>
      </c>
      <c r="B198" s="5">
        <v>46009</v>
      </c>
      <c r="C198" s="1" t="s">
        <v>31</v>
      </c>
      <c r="D198" s="1" t="s">
        <v>32</v>
      </c>
      <c r="E198" s="1" t="s">
        <v>222</v>
      </c>
      <c r="F198" s="1" t="s">
        <v>412</v>
      </c>
      <c r="G198" s="1" t="s">
        <v>1229</v>
      </c>
      <c r="H198" s="6">
        <v>1</v>
      </c>
      <c r="I198" s="7">
        <v>1123</v>
      </c>
      <c r="J198" s="5">
        <v>46006</v>
      </c>
      <c r="K198" s="1" t="s">
        <v>957</v>
      </c>
      <c r="L198" s="1" t="s">
        <v>30</v>
      </c>
      <c r="M198" s="8">
        <v>0</v>
      </c>
      <c r="N198" s="6"/>
      <c r="O198" s="6"/>
      <c r="P198" s="9">
        <v>456.19</v>
      </c>
    </row>
    <row r="199" spans="1:16" ht="19.5" customHeight="1">
      <c r="A199" s="1" t="s">
        <v>1726</v>
      </c>
      <c r="B199" s="5">
        <v>46009</v>
      </c>
      <c r="C199" s="1" t="s">
        <v>31</v>
      </c>
      <c r="D199" s="1" t="s">
        <v>33</v>
      </c>
      <c r="E199" s="1" t="s">
        <v>222</v>
      </c>
      <c r="F199" s="1" t="s">
        <v>412</v>
      </c>
      <c r="G199" s="1" t="s">
        <v>1229</v>
      </c>
      <c r="H199" s="6">
        <v>1</v>
      </c>
      <c r="I199" s="7">
        <v>1123</v>
      </c>
      <c r="J199" s="5">
        <v>46006</v>
      </c>
      <c r="K199" s="1" t="s">
        <v>957</v>
      </c>
      <c r="L199" s="1" t="s">
        <v>30</v>
      </c>
      <c r="M199" s="8">
        <v>0</v>
      </c>
      <c r="N199" s="6"/>
      <c r="O199" s="6"/>
      <c r="P199" s="9">
        <v>0</v>
      </c>
    </row>
    <row r="200" spans="1:16" ht="19.5" customHeight="1">
      <c r="A200" s="1" t="s">
        <v>1726</v>
      </c>
      <c r="B200" s="5">
        <v>46009</v>
      </c>
      <c r="C200" s="1" t="s">
        <v>31</v>
      </c>
      <c r="D200" s="1" t="s">
        <v>34</v>
      </c>
      <c r="E200" s="1" t="s">
        <v>222</v>
      </c>
      <c r="F200" s="1" t="s">
        <v>412</v>
      </c>
      <c r="G200" s="1" t="s">
        <v>1229</v>
      </c>
      <c r="H200" s="6">
        <v>1</v>
      </c>
      <c r="I200" s="7">
        <v>1123</v>
      </c>
      <c r="J200" s="5">
        <v>46006</v>
      </c>
      <c r="K200" s="1" t="s">
        <v>957</v>
      </c>
      <c r="L200" s="1" t="s">
        <v>30</v>
      </c>
      <c r="M200" s="8">
        <v>0</v>
      </c>
      <c r="N200" s="6"/>
      <c r="O200" s="6"/>
      <c r="P200" s="9">
        <v>666.81</v>
      </c>
    </row>
    <row r="201" spans="1:16" ht="19.5" customHeight="1">
      <c r="A201" s="1" t="s">
        <v>1726</v>
      </c>
      <c r="B201" s="5">
        <v>46009</v>
      </c>
      <c r="C201" s="1" t="s">
        <v>35</v>
      </c>
      <c r="D201" s="1" t="s">
        <v>36</v>
      </c>
      <c r="E201" s="1" t="s">
        <v>222</v>
      </c>
      <c r="F201" s="1" t="s">
        <v>412</v>
      </c>
      <c r="G201" s="1" t="s">
        <v>1229</v>
      </c>
      <c r="H201" s="6">
        <v>1</v>
      </c>
      <c r="I201" s="7">
        <v>1123</v>
      </c>
      <c r="J201" s="5">
        <v>46006</v>
      </c>
      <c r="K201" s="1" t="s">
        <v>957</v>
      </c>
      <c r="L201" s="1" t="s">
        <v>30</v>
      </c>
      <c r="M201" s="8">
        <v>0.43</v>
      </c>
      <c r="N201" s="6"/>
      <c r="O201" s="6"/>
      <c r="P201" s="9">
        <v>-482.89</v>
      </c>
    </row>
    <row r="202" spans="1:16" ht="19.5" customHeight="1">
      <c r="A202" s="1" t="s">
        <v>1726</v>
      </c>
      <c r="B202" s="5">
        <v>46009</v>
      </c>
      <c r="C202" s="1" t="s">
        <v>17</v>
      </c>
      <c r="D202" s="1" t="s">
        <v>37</v>
      </c>
      <c r="E202" s="1" t="s">
        <v>222</v>
      </c>
      <c r="F202" s="1" t="s">
        <v>412</v>
      </c>
      <c r="G202" s="1" t="s">
        <v>1229</v>
      </c>
      <c r="H202" s="6">
        <v>1</v>
      </c>
      <c r="I202" s="7">
        <v>1123</v>
      </c>
      <c r="J202" s="5">
        <v>46006</v>
      </c>
      <c r="K202" s="1" t="s">
        <v>957</v>
      </c>
      <c r="L202" s="1" t="s">
        <v>30</v>
      </c>
      <c r="M202" s="8">
        <v>0.43</v>
      </c>
      <c r="N202" s="6"/>
      <c r="O202" s="6"/>
      <c r="P202" s="9">
        <v>-8.68</v>
      </c>
    </row>
    <row r="203" spans="1:16" ht="19.5" customHeight="1">
      <c r="A203" s="1" t="s">
        <v>1726</v>
      </c>
      <c r="B203" s="5">
        <v>46009</v>
      </c>
      <c r="C203" s="1" t="s">
        <v>17</v>
      </c>
      <c r="D203" s="1" t="s">
        <v>18</v>
      </c>
      <c r="E203" s="1" t="s">
        <v>222</v>
      </c>
      <c r="F203" s="1" t="s">
        <v>412</v>
      </c>
      <c r="G203" s="1" t="s">
        <v>1229</v>
      </c>
      <c r="H203" s="6">
        <v>1</v>
      </c>
      <c r="I203" s="7">
        <v>0</v>
      </c>
      <c r="J203" s="5">
        <v>46006</v>
      </c>
      <c r="K203" s="1" t="s">
        <v>22</v>
      </c>
      <c r="L203" s="1" t="s">
        <v>22</v>
      </c>
      <c r="M203" s="8">
        <v>0</v>
      </c>
      <c r="N203" s="6"/>
      <c r="O203" s="6"/>
      <c r="P203" s="9">
        <v>-1.96</v>
      </c>
    </row>
    <row r="204" spans="1:16" ht="19.5" customHeight="1">
      <c r="A204" s="1" t="s">
        <v>1727</v>
      </c>
      <c r="B204" s="5">
        <v>46009</v>
      </c>
      <c r="C204" s="1" t="s">
        <v>28</v>
      </c>
      <c r="D204" s="1" t="s">
        <v>29</v>
      </c>
      <c r="E204" s="1" t="s">
        <v>25</v>
      </c>
      <c r="F204" s="1" t="s">
        <v>26</v>
      </c>
      <c r="G204" s="1" t="s">
        <v>1229</v>
      </c>
      <c r="H204" s="6">
        <v>1</v>
      </c>
      <c r="I204" s="7">
        <v>1071</v>
      </c>
      <c r="J204" s="5">
        <v>46008</v>
      </c>
      <c r="K204" s="1" t="s">
        <v>957</v>
      </c>
      <c r="L204" s="1" t="s">
        <v>30</v>
      </c>
      <c r="M204" s="8">
        <v>0.43</v>
      </c>
      <c r="N204" s="6"/>
      <c r="O204" s="6">
        <v>41</v>
      </c>
      <c r="P204" s="9">
        <v>-100.95</v>
      </c>
    </row>
    <row r="205" spans="1:16" ht="19.5" customHeight="1">
      <c r="A205" s="1" t="s">
        <v>1727</v>
      </c>
      <c r="B205" s="5">
        <v>46009</v>
      </c>
      <c r="C205" s="1" t="s">
        <v>31</v>
      </c>
      <c r="D205" s="1" t="s">
        <v>32</v>
      </c>
      <c r="E205" s="1" t="s">
        <v>25</v>
      </c>
      <c r="F205" s="1" t="s">
        <v>26</v>
      </c>
      <c r="G205" s="1" t="s">
        <v>1229</v>
      </c>
      <c r="H205" s="6">
        <v>1</v>
      </c>
      <c r="I205" s="7">
        <v>1071</v>
      </c>
      <c r="J205" s="5">
        <v>46008</v>
      </c>
      <c r="K205" s="1" t="s">
        <v>957</v>
      </c>
      <c r="L205" s="1" t="s">
        <v>30</v>
      </c>
      <c r="M205" s="8">
        <v>0</v>
      </c>
      <c r="N205" s="6"/>
      <c r="O205" s="6"/>
      <c r="P205" s="9">
        <v>437.14</v>
      </c>
    </row>
    <row r="206" spans="1:16" ht="19.5" customHeight="1">
      <c r="A206" s="1" t="s">
        <v>1727</v>
      </c>
      <c r="B206" s="5">
        <v>46009</v>
      </c>
      <c r="C206" s="1" t="s">
        <v>31</v>
      </c>
      <c r="D206" s="1" t="s">
        <v>33</v>
      </c>
      <c r="E206" s="1" t="s">
        <v>25</v>
      </c>
      <c r="F206" s="1" t="s">
        <v>26</v>
      </c>
      <c r="G206" s="1" t="s">
        <v>1229</v>
      </c>
      <c r="H206" s="6">
        <v>1</v>
      </c>
      <c r="I206" s="7">
        <v>1071</v>
      </c>
      <c r="J206" s="5">
        <v>46008</v>
      </c>
      <c r="K206" s="1" t="s">
        <v>957</v>
      </c>
      <c r="L206" s="1" t="s">
        <v>30</v>
      </c>
      <c r="M206" s="8">
        <v>0</v>
      </c>
      <c r="N206" s="6"/>
      <c r="O206" s="6"/>
      <c r="P206" s="9">
        <v>4.37</v>
      </c>
    </row>
    <row r="207" spans="1:16" ht="19.5" customHeight="1">
      <c r="A207" s="1" t="s">
        <v>1727</v>
      </c>
      <c r="B207" s="5">
        <v>46009</v>
      </c>
      <c r="C207" s="1" t="s">
        <v>31</v>
      </c>
      <c r="D207" s="1" t="s">
        <v>34</v>
      </c>
      <c r="E207" s="1" t="s">
        <v>25</v>
      </c>
      <c r="F207" s="1" t="s">
        <v>26</v>
      </c>
      <c r="G207" s="1" t="s">
        <v>1229</v>
      </c>
      <c r="H207" s="6">
        <v>1</v>
      </c>
      <c r="I207" s="7">
        <v>1071</v>
      </c>
      <c r="J207" s="5">
        <v>46008</v>
      </c>
      <c r="K207" s="1" t="s">
        <v>957</v>
      </c>
      <c r="L207" s="1" t="s">
        <v>30</v>
      </c>
      <c r="M207" s="8">
        <v>0</v>
      </c>
      <c r="N207" s="6"/>
      <c r="O207" s="6"/>
      <c r="P207" s="9">
        <v>629.49</v>
      </c>
    </row>
    <row r="208" spans="1:16" ht="19.5" customHeight="1">
      <c r="A208" s="1" t="s">
        <v>1727</v>
      </c>
      <c r="B208" s="5">
        <v>46009</v>
      </c>
      <c r="C208" s="1" t="s">
        <v>35</v>
      </c>
      <c r="D208" s="1" t="s">
        <v>36</v>
      </c>
      <c r="E208" s="1" t="s">
        <v>25</v>
      </c>
      <c r="F208" s="1" t="s">
        <v>26</v>
      </c>
      <c r="G208" s="1" t="s">
        <v>1229</v>
      </c>
      <c r="H208" s="6">
        <v>1</v>
      </c>
      <c r="I208" s="7">
        <v>1071</v>
      </c>
      <c r="J208" s="5">
        <v>46008</v>
      </c>
      <c r="K208" s="1" t="s">
        <v>957</v>
      </c>
      <c r="L208" s="1" t="s">
        <v>30</v>
      </c>
      <c r="M208" s="8">
        <v>0.43</v>
      </c>
      <c r="N208" s="6"/>
      <c r="O208" s="6"/>
      <c r="P208" s="9">
        <v>-460.53</v>
      </c>
    </row>
    <row r="209" spans="1:16" ht="19.5" customHeight="1">
      <c r="A209" s="1" t="s">
        <v>1727</v>
      </c>
      <c r="B209" s="5">
        <v>46009</v>
      </c>
      <c r="C209" s="1" t="s">
        <v>17</v>
      </c>
      <c r="D209" s="1" t="s">
        <v>37</v>
      </c>
      <c r="E209" s="1" t="s">
        <v>25</v>
      </c>
      <c r="F209" s="1" t="s">
        <v>26</v>
      </c>
      <c r="G209" s="1" t="s">
        <v>1229</v>
      </c>
      <c r="H209" s="6">
        <v>1</v>
      </c>
      <c r="I209" s="7">
        <v>1071</v>
      </c>
      <c r="J209" s="5">
        <v>46008</v>
      </c>
      <c r="K209" s="1" t="s">
        <v>957</v>
      </c>
      <c r="L209" s="1" t="s">
        <v>30</v>
      </c>
      <c r="M209" s="8">
        <v>0.43</v>
      </c>
      <c r="N209" s="6"/>
      <c r="O209" s="6"/>
      <c r="P209" s="9">
        <v>-5.18</v>
      </c>
    </row>
    <row r="210" spans="1:16" ht="19.5" customHeight="1">
      <c r="A210" s="1" t="s">
        <v>1727</v>
      </c>
      <c r="B210" s="5">
        <v>46009</v>
      </c>
      <c r="C210" s="1" t="s">
        <v>17</v>
      </c>
      <c r="D210" s="1" t="s">
        <v>18</v>
      </c>
      <c r="E210" s="1" t="s">
        <v>25</v>
      </c>
      <c r="F210" s="1" t="s">
        <v>26</v>
      </c>
      <c r="G210" s="1" t="s">
        <v>1229</v>
      </c>
      <c r="H210" s="6">
        <v>1</v>
      </c>
      <c r="I210" s="7">
        <v>0</v>
      </c>
      <c r="J210" s="5">
        <v>46008</v>
      </c>
      <c r="K210" s="1" t="s">
        <v>22</v>
      </c>
      <c r="L210" s="1" t="s">
        <v>22</v>
      </c>
      <c r="M210" s="8">
        <v>0</v>
      </c>
      <c r="N210" s="6"/>
      <c r="O210" s="6"/>
      <c r="P210" s="9">
        <v>-8.31</v>
      </c>
    </row>
    <row r="211" spans="1:16" ht="19.5" customHeight="1">
      <c r="A211" s="1" t="s">
        <v>1728</v>
      </c>
      <c r="B211" s="5">
        <v>46009</v>
      </c>
      <c r="C211" s="1" t="s">
        <v>28</v>
      </c>
      <c r="D211" s="1" t="s">
        <v>29</v>
      </c>
      <c r="E211" s="1" t="s">
        <v>228</v>
      </c>
      <c r="F211" s="1" t="s">
        <v>393</v>
      </c>
      <c r="G211" s="1" t="s">
        <v>1229</v>
      </c>
      <c r="H211" s="6">
        <v>1</v>
      </c>
      <c r="I211" s="7">
        <v>0</v>
      </c>
      <c r="J211" s="5">
        <v>46000</v>
      </c>
      <c r="K211" s="1" t="s">
        <v>957</v>
      </c>
      <c r="L211" s="1" t="s">
        <v>30</v>
      </c>
      <c r="M211" s="8">
        <v>0</v>
      </c>
      <c r="N211" s="6"/>
      <c r="O211" s="6">
        <v>41</v>
      </c>
      <c r="P211" s="9">
        <v>-46</v>
      </c>
    </row>
    <row r="212" spans="1:16" ht="19.5" customHeight="1">
      <c r="A212" s="1" t="s">
        <v>1728</v>
      </c>
      <c r="B212" s="5">
        <v>46009</v>
      </c>
      <c r="C212" s="1" t="s">
        <v>28</v>
      </c>
      <c r="D212" s="1" t="s">
        <v>45</v>
      </c>
      <c r="E212" s="1" t="s">
        <v>228</v>
      </c>
      <c r="F212" s="1" t="s">
        <v>393</v>
      </c>
      <c r="G212" s="1" t="s">
        <v>1229</v>
      </c>
      <c r="H212" s="6">
        <v>1</v>
      </c>
      <c r="I212" s="7">
        <v>0</v>
      </c>
      <c r="J212" s="5">
        <v>46000</v>
      </c>
      <c r="K212" s="1" t="s">
        <v>957</v>
      </c>
      <c r="L212" s="1" t="s">
        <v>30</v>
      </c>
      <c r="M212" s="8">
        <v>0</v>
      </c>
      <c r="N212" s="6"/>
      <c r="O212" s="6"/>
      <c r="P212" s="9">
        <v>0</v>
      </c>
    </row>
    <row r="213" spans="1:16" ht="19.5" customHeight="1">
      <c r="A213" s="1" t="s">
        <v>1728</v>
      </c>
      <c r="B213" s="5">
        <v>46009</v>
      </c>
      <c r="C213" s="1" t="s">
        <v>28</v>
      </c>
      <c r="D213" s="1" t="s">
        <v>46</v>
      </c>
      <c r="E213" s="1" t="s">
        <v>228</v>
      </c>
      <c r="F213" s="1" t="s">
        <v>393</v>
      </c>
      <c r="G213" s="1" t="s">
        <v>1229</v>
      </c>
      <c r="H213" s="6">
        <v>1</v>
      </c>
      <c r="I213" s="7">
        <v>0</v>
      </c>
      <c r="J213" s="5">
        <v>46000</v>
      </c>
      <c r="K213" s="1" t="s">
        <v>957</v>
      </c>
      <c r="L213" s="1" t="s">
        <v>30</v>
      </c>
      <c r="M213" s="8">
        <v>0</v>
      </c>
      <c r="N213" s="6"/>
      <c r="O213" s="6"/>
      <c r="P213" s="9">
        <v>-46</v>
      </c>
    </row>
    <row r="214" spans="1:16" ht="19.5" customHeight="1">
      <c r="A214" s="1" t="s">
        <v>1728</v>
      </c>
      <c r="B214" s="5">
        <v>46009</v>
      </c>
      <c r="C214" s="1" t="s">
        <v>17</v>
      </c>
      <c r="D214" s="1" t="s">
        <v>47</v>
      </c>
      <c r="E214" s="1" t="s">
        <v>228</v>
      </c>
      <c r="F214" s="1" t="s">
        <v>393</v>
      </c>
      <c r="G214" s="1" t="s">
        <v>1229</v>
      </c>
      <c r="H214" s="6">
        <v>1</v>
      </c>
      <c r="I214" s="7">
        <v>0</v>
      </c>
      <c r="J214" s="5">
        <v>46000</v>
      </c>
      <c r="K214" s="1" t="s">
        <v>957</v>
      </c>
      <c r="L214" s="1" t="s">
        <v>30</v>
      </c>
      <c r="M214" s="8">
        <v>0</v>
      </c>
      <c r="N214" s="6"/>
      <c r="O214" s="6"/>
      <c r="P214" s="9">
        <v>-15</v>
      </c>
    </row>
    <row r="215" spans="1:16" ht="19.5" customHeight="1">
      <c r="A215" s="1" t="s">
        <v>1729</v>
      </c>
      <c r="B215" s="5">
        <v>46009</v>
      </c>
      <c r="C215" s="1" t="s">
        <v>28</v>
      </c>
      <c r="D215" s="1" t="s">
        <v>29</v>
      </c>
      <c r="E215" s="1" t="s">
        <v>25</v>
      </c>
      <c r="F215" s="1" t="s">
        <v>26</v>
      </c>
      <c r="G215" s="1" t="s">
        <v>1229</v>
      </c>
      <c r="H215" s="6">
        <v>1</v>
      </c>
      <c r="I215" s="7">
        <v>1738</v>
      </c>
      <c r="J215" s="5">
        <v>46007</v>
      </c>
      <c r="K215" s="1" t="s">
        <v>957</v>
      </c>
      <c r="L215" s="1" t="s">
        <v>30</v>
      </c>
      <c r="M215" s="8">
        <v>0.43</v>
      </c>
      <c r="N215" s="6"/>
      <c r="O215" s="6">
        <v>37</v>
      </c>
      <c r="P215" s="9">
        <v>-100.24</v>
      </c>
    </row>
    <row r="216" spans="1:16" ht="19.5" customHeight="1">
      <c r="A216" s="1" t="s">
        <v>1729</v>
      </c>
      <c r="B216" s="5">
        <v>46009</v>
      </c>
      <c r="C216" s="1" t="s">
        <v>31</v>
      </c>
      <c r="D216" s="1" t="s">
        <v>32</v>
      </c>
      <c r="E216" s="1" t="s">
        <v>25</v>
      </c>
      <c r="F216" s="1" t="s">
        <v>26</v>
      </c>
      <c r="G216" s="1" t="s">
        <v>1229</v>
      </c>
      <c r="H216" s="6">
        <v>1</v>
      </c>
      <c r="I216" s="7">
        <v>1738</v>
      </c>
      <c r="J216" s="5">
        <v>46007</v>
      </c>
      <c r="K216" s="1" t="s">
        <v>957</v>
      </c>
      <c r="L216" s="1" t="s">
        <v>30</v>
      </c>
      <c r="M216" s="8">
        <v>0</v>
      </c>
      <c r="N216" s="6"/>
      <c r="O216" s="6"/>
      <c r="P216" s="9">
        <v>663.81</v>
      </c>
    </row>
    <row r="217" spans="1:16" ht="19.5" customHeight="1">
      <c r="A217" s="1" t="s">
        <v>1729</v>
      </c>
      <c r="B217" s="5">
        <v>46009</v>
      </c>
      <c r="C217" s="1" t="s">
        <v>31</v>
      </c>
      <c r="D217" s="1" t="s">
        <v>33</v>
      </c>
      <c r="E217" s="1" t="s">
        <v>25</v>
      </c>
      <c r="F217" s="1" t="s">
        <v>26</v>
      </c>
      <c r="G217" s="1" t="s">
        <v>1229</v>
      </c>
      <c r="H217" s="6">
        <v>1</v>
      </c>
      <c r="I217" s="7">
        <v>1738</v>
      </c>
      <c r="J217" s="5">
        <v>46007</v>
      </c>
      <c r="K217" s="1" t="s">
        <v>957</v>
      </c>
      <c r="L217" s="1" t="s">
        <v>30</v>
      </c>
      <c r="M217" s="8">
        <v>0</v>
      </c>
      <c r="N217" s="6"/>
      <c r="O217" s="6"/>
      <c r="P217" s="9">
        <v>6.64</v>
      </c>
    </row>
    <row r="218" spans="1:16" ht="19.5" customHeight="1">
      <c r="A218" s="1" t="s">
        <v>1729</v>
      </c>
      <c r="B218" s="5">
        <v>46009</v>
      </c>
      <c r="C218" s="1" t="s">
        <v>31</v>
      </c>
      <c r="D218" s="1" t="s">
        <v>34</v>
      </c>
      <c r="E218" s="1" t="s">
        <v>25</v>
      </c>
      <c r="F218" s="1" t="s">
        <v>26</v>
      </c>
      <c r="G218" s="1" t="s">
        <v>1229</v>
      </c>
      <c r="H218" s="6">
        <v>1</v>
      </c>
      <c r="I218" s="7">
        <v>1738</v>
      </c>
      <c r="J218" s="5">
        <v>46007</v>
      </c>
      <c r="K218" s="1" t="s">
        <v>957</v>
      </c>
      <c r="L218" s="1" t="s">
        <v>30</v>
      </c>
      <c r="M218" s="8">
        <v>0</v>
      </c>
      <c r="N218" s="6"/>
      <c r="O218" s="6"/>
      <c r="P218" s="9">
        <v>1067.55</v>
      </c>
    </row>
    <row r="219" spans="1:16" ht="19.5" customHeight="1">
      <c r="A219" s="1" t="s">
        <v>1729</v>
      </c>
      <c r="B219" s="5">
        <v>46009</v>
      </c>
      <c r="C219" s="1" t="s">
        <v>35</v>
      </c>
      <c r="D219" s="1" t="s">
        <v>36</v>
      </c>
      <c r="E219" s="1" t="s">
        <v>25</v>
      </c>
      <c r="F219" s="1" t="s">
        <v>26</v>
      </c>
      <c r="G219" s="1" t="s">
        <v>1229</v>
      </c>
      <c r="H219" s="6">
        <v>1</v>
      </c>
      <c r="I219" s="7">
        <v>1738</v>
      </c>
      <c r="J219" s="5">
        <v>46007</v>
      </c>
      <c r="K219" s="1" t="s">
        <v>957</v>
      </c>
      <c r="L219" s="1" t="s">
        <v>30</v>
      </c>
      <c r="M219" s="8">
        <v>0.43</v>
      </c>
      <c r="N219" s="6"/>
      <c r="O219" s="6"/>
      <c r="P219" s="9">
        <v>-747.34</v>
      </c>
    </row>
    <row r="220" spans="1:16" ht="19.5" customHeight="1">
      <c r="A220" s="1" t="s">
        <v>1729</v>
      </c>
      <c r="B220" s="5">
        <v>46009</v>
      </c>
      <c r="C220" s="1" t="s">
        <v>17</v>
      </c>
      <c r="D220" s="1" t="s">
        <v>37</v>
      </c>
      <c r="E220" s="1" t="s">
        <v>25</v>
      </c>
      <c r="F220" s="1" t="s">
        <v>26</v>
      </c>
      <c r="G220" s="1" t="s">
        <v>1229</v>
      </c>
      <c r="H220" s="6">
        <v>1</v>
      </c>
      <c r="I220" s="7">
        <v>1738</v>
      </c>
      <c r="J220" s="5">
        <v>46007</v>
      </c>
      <c r="K220" s="1" t="s">
        <v>957</v>
      </c>
      <c r="L220" s="1" t="s">
        <v>30</v>
      </c>
      <c r="M220" s="8">
        <v>0.43</v>
      </c>
      <c r="N220" s="6"/>
      <c r="O220" s="6"/>
      <c r="P220" s="9">
        <v>-10.4</v>
      </c>
    </row>
    <row r="221" spans="1:16" ht="19.5" customHeight="1">
      <c r="A221" s="1" t="s">
        <v>1730</v>
      </c>
      <c r="B221" s="5">
        <v>46009</v>
      </c>
      <c r="C221" s="1" t="s">
        <v>28</v>
      </c>
      <c r="D221" s="1" t="s">
        <v>29</v>
      </c>
      <c r="E221" s="1" t="s">
        <v>228</v>
      </c>
      <c r="F221" s="1" t="s">
        <v>393</v>
      </c>
      <c r="G221" s="1" t="s">
        <v>1229</v>
      </c>
      <c r="H221" s="6">
        <v>1</v>
      </c>
      <c r="I221" s="7">
        <v>1335</v>
      </c>
      <c r="J221" s="5">
        <v>46005</v>
      </c>
      <c r="K221" s="1" t="s">
        <v>957</v>
      </c>
      <c r="L221" s="1" t="s">
        <v>30</v>
      </c>
      <c r="M221" s="8">
        <v>0.43</v>
      </c>
      <c r="N221" s="6"/>
      <c r="O221" s="6">
        <v>40</v>
      </c>
      <c r="P221" s="9">
        <v>-104.66</v>
      </c>
    </row>
    <row r="222" spans="1:16" ht="19.5" customHeight="1">
      <c r="A222" s="1" t="s">
        <v>1730</v>
      </c>
      <c r="B222" s="5">
        <v>46009</v>
      </c>
      <c r="C222" s="1" t="s">
        <v>31</v>
      </c>
      <c r="D222" s="1" t="s">
        <v>32</v>
      </c>
      <c r="E222" s="1" t="s">
        <v>228</v>
      </c>
      <c r="F222" s="1" t="s">
        <v>393</v>
      </c>
      <c r="G222" s="1" t="s">
        <v>1229</v>
      </c>
      <c r="H222" s="6">
        <v>1</v>
      </c>
      <c r="I222" s="7">
        <v>1335</v>
      </c>
      <c r="J222" s="5">
        <v>46005</v>
      </c>
      <c r="K222" s="1" t="s">
        <v>957</v>
      </c>
      <c r="L222" s="1" t="s">
        <v>30</v>
      </c>
      <c r="M222" s="8">
        <v>0</v>
      </c>
      <c r="N222" s="6"/>
      <c r="O222" s="6"/>
      <c r="P222" s="9">
        <v>665.08</v>
      </c>
    </row>
    <row r="223" spans="1:16" ht="19.5" customHeight="1">
      <c r="A223" s="1" t="s">
        <v>1730</v>
      </c>
      <c r="B223" s="5">
        <v>46009</v>
      </c>
      <c r="C223" s="1" t="s">
        <v>31</v>
      </c>
      <c r="D223" s="1" t="s">
        <v>33</v>
      </c>
      <c r="E223" s="1" t="s">
        <v>228</v>
      </c>
      <c r="F223" s="1" t="s">
        <v>393</v>
      </c>
      <c r="G223" s="1" t="s">
        <v>1229</v>
      </c>
      <c r="H223" s="6">
        <v>1</v>
      </c>
      <c r="I223" s="7">
        <v>1335</v>
      </c>
      <c r="J223" s="5">
        <v>46005</v>
      </c>
      <c r="K223" s="1" t="s">
        <v>957</v>
      </c>
      <c r="L223" s="1" t="s">
        <v>30</v>
      </c>
      <c r="M223" s="8">
        <v>0</v>
      </c>
      <c r="N223" s="6"/>
      <c r="O223" s="6"/>
      <c r="P223" s="9">
        <v>0</v>
      </c>
    </row>
    <row r="224" spans="1:16" ht="19.5" customHeight="1">
      <c r="A224" s="1" t="s">
        <v>1730</v>
      </c>
      <c r="B224" s="5">
        <v>46009</v>
      </c>
      <c r="C224" s="1" t="s">
        <v>31</v>
      </c>
      <c r="D224" s="1" t="s">
        <v>34</v>
      </c>
      <c r="E224" s="1" t="s">
        <v>228</v>
      </c>
      <c r="F224" s="1" t="s">
        <v>393</v>
      </c>
      <c r="G224" s="1" t="s">
        <v>1229</v>
      </c>
      <c r="H224" s="6">
        <v>1</v>
      </c>
      <c r="I224" s="7">
        <v>1335</v>
      </c>
      <c r="J224" s="5">
        <v>46005</v>
      </c>
      <c r="K224" s="1" t="s">
        <v>957</v>
      </c>
      <c r="L224" s="1" t="s">
        <v>30</v>
      </c>
      <c r="M224" s="8">
        <v>0</v>
      </c>
      <c r="N224" s="6"/>
      <c r="O224" s="6"/>
      <c r="P224" s="9">
        <v>669.92</v>
      </c>
    </row>
    <row r="225" spans="1:16" ht="19.5" customHeight="1">
      <c r="A225" s="1" t="s">
        <v>1730</v>
      </c>
      <c r="B225" s="5">
        <v>46009</v>
      </c>
      <c r="C225" s="1" t="s">
        <v>35</v>
      </c>
      <c r="D225" s="1" t="s">
        <v>36</v>
      </c>
      <c r="E225" s="1" t="s">
        <v>228</v>
      </c>
      <c r="F225" s="1" t="s">
        <v>393</v>
      </c>
      <c r="G225" s="1" t="s">
        <v>1229</v>
      </c>
      <c r="H225" s="6">
        <v>1</v>
      </c>
      <c r="I225" s="7">
        <v>1335</v>
      </c>
      <c r="J225" s="5">
        <v>46005</v>
      </c>
      <c r="K225" s="1" t="s">
        <v>957</v>
      </c>
      <c r="L225" s="1" t="s">
        <v>30</v>
      </c>
      <c r="M225" s="8">
        <v>0.43</v>
      </c>
      <c r="N225" s="6"/>
      <c r="O225" s="6"/>
      <c r="P225" s="9">
        <v>-574.04999999999995</v>
      </c>
    </row>
    <row r="226" spans="1:16" ht="19.5" customHeight="1">
      <c r="A226" s="1" t="s">
        <v>1730</v>
      </c>
      <c r="B226" s="5">
        <v>46009</v>
      </c>
      <c r="C226" s="1" t="s">
        <v>17</v>
      </c>
      <c r="D226" s="1" t="s">
        <v>37</v>
      </c>
      <c r="E226" s="1" t="s">
        <v>228</v>
      </c>
      <c r="F226" s="1" t="s">
        <v>393</v>
      </c>
      <c r="G226" s="1" t="s">
        <v>1229</v>
      </c>
      <c r="H226" s="6">
        <v>1</v>
      </c>
      <c r="I226" s="7">
        <v>1335</v>
      </c>
      <c r="J226" s="5">
        <v>46005</v>
      </c>
      <c r="K226" s="1" t="s">
        <v>957</v>
      </c>
      <c r="L226" s="1" t="s">
        <v>30</v>
      </c>
      <c r="M226" s="8">
        <v>0.43</v>
      </c>
      <c r="N226" s="6"/>
      <c r="O226" s="6"/>
      <c r="P226" s="9">
        <v>-7.53</v>
      </c>
    </row>
    <row r="227" spans="1:16" ht="19.5" customHeight="1">
      <c r="A227" s="1" t="s">
        <v>1729</v>
      </c>
      <c r="B227" s="5">
        <v>46009</v>
      </c>
      <c r="C227" s="1" t="s">
        <v>17</v>
      </c>
      <c r="D227" s="1" t="s">
        <v>18</v>
      </c>
      <c r="E227" s="1" t="s">
        <v>25</v>
      </c>
      <c r="F227" s="1" t="s">
        <v>26</v>
      </c>
      <c r="G227" s="1" t="s">
        <v>1229</v>
      </c>
      <c r="H227" s="6">
        <v>1</v>
      </c>
      <c r="I227" s="7">
        <v>0</v>
      </c>
      <c r="J227" s="5">
        <v>46007</v>
      </c>
      <c r="K227" s="1" t="s">
        <v>22</v>
      </c>
      <c r="L227" s="1" t="s">
        <v>22</v>
      </c>
      <c r="M227" s="8">
        <v>0</v>
      </c>
      <c r="N227" s="6"/>
      <c r="O227" s="6"/>
      <c r="P227" s="9">
        <v>-12.61</v>
      </c>
    </row>
    <row r="228" spans="1:16" ht="19.5" customHeight="1">
      <c r="A228" s="1" t="s">
        <v>1720</v>
      </c>
      <c r="B228" s="5">
        <v>46009</v>
      </c>
      <c r="C228" s="1" t="s">
        <v>126</v>
      </c>
      <c r="D228" s="1" t="s">
        <v>127</v>
      </c>
      <c r="E228" s="1" t="s">
        <v>236</v>
      </c>
      <c r="F228" s="1" t="s">
        <v>1064</v>
      </c>
      <c r="G228" s="1" t="s">
        <v>1133</v>
      </c>
      <c r="H228" s="6">
        <v>1</v>
      </c>
      <c r="I228" s="7">
        <v>-3080</v>
      </c>
      <c r="J228" s="5">
        <v>46004</v>
      </c>
      <c r="K228" s="1" t="s">
        <v>957</v>
      </c>
      <c r="L228" s="1" t="s">
        <v>30</v>
      </c>
      <c r="M228" s="8">
        <v>0</v>
      </c>
      <c r="N228" s="6"/>
      <c r="O228" s="6"/>
      <c r="P228" s="9">
        <v>-1585.16</v>
      </c>
    </row>
    <row r="229" spans="1:16" ht="19.5" customHeight="1">
      <c r="A229" s="1" t="s">
        <v>1720</v>
      </c>
      <c r="B229" s="5">
        <v>46009</v>
      </c>
      <c r="C229" s="1" t="s">
        <v>126</v>
      </c>
      <c r="D229" s="1" t="s">
        <v>33</v>
      </c>
      <c r="E229" s="1" t="s">
        <v>236</v>
      </c>
      <c r="F229" s="1" t="s">
        <v>1064</v>
      </c>
      <c r="G229" s="1" t="s">
        <v>1133</v>
      </c>
      <c r="H229" s="6">
        <v>1</v>
      </c>
      <c r="I229" s="7">
        <v>-3080</v>
      </c>
      <c r="J229" s="5">
        <v>46004</v>
      </c>
      <c r="K229" s="1" t="s">
        <v>957</v>
      </c>
      <c r="L229" s="1" t="s">
        <v>30</v>
      </c>
      <c r="M229" s="8">
        <v>0</v>
      </c>
      <c r="N229" s="6"/>
      <c r="O229" s="6"/>
      <c r="P229" s="9">
        <v>-15.85</v>
      </c>
    </row>
    <row r="230" spans="1:16" ht="19.5" customHeight="1">
      <c r="A230" s="1" t="s">
        <v>1720</v>
      </c>
      <c r="B230" s="5">
        <v>46009</v>
      </c>
      <c r="C230" s="1" t="s">
        <v>126</v>
      </c>
      <c r="D230" s="1" t="s">
        <v>34</v>
      </c>
      <c r="E230" s="1" t="s">
        <v>236</v>
      </c>
      <c r="F230" s="1" t="s">
        <v>1064</v>
      </c>
      <c r="G230" s="1" t="s">
        <v>1133</v>
      </c>
      <c r="H230" s="6">
        <v>1</v>
      </c>
      <c r="I230" s="7">
        <v>-3080</v>
      </c>
      <c r="J230" s="5">
        <v>46004</v>
      </c>
      <c r="K230" s="1" t="s">
        <v>957</v>
      </c>
      <c r="L230" s="1" t="s">
        <v>30</v>
      </c>
      <c r="M230" s="8">
        <v>0</v>
      </c>
      <c r="N230" s="6"/>
      <c r="O230" s="6"/>
      <c r="P230" s="9">
        <v>-1478.99</v>
      </c>
    </row>
    <row r="231" spans="1:16" ht="19.5" customHeight="1">
      <c r="A231" s="1" t="s">
        <v>1720</v>
      </c>
      <c r="B231" s="5">
        <v>46009</v>
      </c>
      <c r="C231" s="1" t="s">
        <v>35</v>
      </c>
      <c r="D231" s="1" t="s">
        <v>128</v>
      </c>
      <c r="E231" s="1" t="s">
        <v>236</v>
      </c>
      <c r="F231" s="1" t="s">
        <v>1064</v>
      </c>
      <c r="G231" s="1" t="s">
        <v>1133</v>
      </c>
      <c r="H231" s="6">
        <v>1</v>
      </c>
      <c r="I231" s="7">
        <v>-3080</v>
      </c>
      <c r="J231" s="5">
        <v>46004</v>
      </c>
      <c r="K231" s="1" t="s">
        <v>957</v>
      </c>
      <c r="L231" s="1" t="s">
        <v>30</v>
      </c>
      <c r="M231" s="8">
        <v>0.43</v>
      </c>
      <c r="N231" s="6"/>
      <c r="O231" s="6"/>
      <c r="P231" s="9">
        <v>1324.4</v>
      </c>
    </row>
    <row r="232" spans="1:16" ht="19.5" customHeight="1">
      <c r="A232" s="1" t="s">
        <v>1720</v>
      </c>
      <c r="B232" s="5">
        <v>46009</v>
      </c>
      <c r="C232" s="1" t="s">
        <v>17</v>
      </c>
      <c r="D232" s="1" t="s">
        <v>18</v>
      </c>
      <c r="E232" s="1" t="s">
        <v>236</v>
      </c>
      <c r="F232" s="1" t="s">
        <v>1064</v>
      </c>
      <c r="G232" s="1" t="s">
        <v>1133</v>
      </c>
      <c r="H232" s="6">
        <v>1</v>
      </c>
      <c r="I232" s="7">
        <v>0</v>
      </c>
      <c r="J232" s="5">
        <v>46004</v>
      </c>
      <c r="K232" s="1" t="s">
        <v>22</v>
      </c>
      <c r="L232" s="1" t="s">
        <v>22</v>
      </c>
      <c r="M232" s="8">
        <v>0</v>
      </c>
      <c r="N232" s="6"/>
      <c r="O232" s="6"/>
      <c r="P232" s="9">
        <v>30.12</v>
      </c>
    </row>
    <row r="233" spans="1:16" ht="19.5" customHeight="1">
      <c r="A233" s="1" t="s">
        <v>1731</v>
      </c>
      <c r="B233" s="5">
        <v>46009</v>
      </c>
      <c r="C233" s="1" t="s">
        <v>17</v>
      </c>
      <c r="D233" s="1" t="s">
        <v>18</v>
      </c>
      <c r="E233" s="1" t="s">
        <v>228</v>
      </c>
      <c r="F233" s="1" t="s">
        <v>393</v>
      </c>
      <c r="G233" s="1" t="s">
        <v>1229</v>
      </c>
      <c r="H233" s="6">
        <v>1</v>
      </c>
      <c r="I233" s="7">
        <v>0</v>
      </c>
      <c r="J233" s="5">
        <v>46009</v>
      </c>
      <c r="K233" s="1" t="s">
        <v>22</v>
      </c>
      <c r="L233" s="1" t="s">
        <v>22</v>
      </c>
      <c r="M233" s="8">
        <v>0</v>
      </c>
      <c r="N233" s="6"/>
      <c r="O233" s="6"/>
      <c r="P233" s="9">
        <v>-8.83</v>
      </c>
    </row>
    <row r="234" spans="1:16" ht="19.5" customHeight="1">
      <c r="A234" s="1" t="s">
        <v>1710</v>
      </c>
      <c r="B234" s="5">
        <v>46009</v>
      </c>
      <c r="C234" s="1" t="s">
        <v>17</v>
      </c>
      <c r="D234" s="1" t="s">
        <v>18</v>
      </c>
      <c r="E234" s="1" t="s">
        <v>25</v>
      </c>
      <c r="F234" s="1" t="s">
        <v>26</v>
      </c>
      <c r="G234" s="1" t="s">
        <v>1229</v>
      </c>
      <c r="H234" s="6">
        <v>1</v>
      </c>
      <c r="I234" s="7">
        <v>0</v>
      </c>
      <c r="J234" s="5">
        <v>46008</v>
      </c>
      <c r="K234" s="1" t="s">
        <v>22</v>
      </c>
      <c r="L234" s="1" t="s">
        <v>22</v>
      </c>
      <c r="M234" s="8">
        <v>0</v>
      </c>
      <c r="N234" s="6"/>
      <c r="O234" s="6"/>
      <c r="P234" s="9">
        <v>8.3000000000000007</v>
      </c>
    </row>
    <row r="235" spans="1:16" ht="19.5" customHeight="1">
      <c r="A235" s="1" t="s">
        <v>22</v>
      </c>
      <c r="B235" s="5">
        <v>46009</v>
      </c>
      <c r="C235" s="1" t="s">
        <v>77</v>
      </c>
      <c r="D235" s="1" t="s">
        <v>78</v>
      </c>
      <c r="E235" s="1" t="s">
        <v>22</v>
      </c>
      <c r="F235" s="1" t="s">
        <v>22</v>
      </c>
      <c r="G235" s="1" t="s">
        <v>1732</v>
      </c>
      <c r="H235" s="6">
        <v>0</v>
      </c>
      <c r="I235" s="7">
        <v>0</v>
      </c>
      <c r="J235" s="5">
        <v>46009</v>
      </c>
      <c r="K235" s="1" t="s">
        <v>22</v>
      </c>
      <c r="L235" s="1" t="s">
        <v>22</v>
      </c>
      <c r="M235" s="8">
        <v>0</v>
      </c>
      <c r="N235" s="6"/>
      <c r="O235" s="6"/>
      <c r="P235" s="9">
        <v>-450</v>
      </c>
    </row>
    <row r="236" spans="1:16" ht="19.5" customHeight="1">
      <c r="A236" s="1" t="s">
        <v>1733</v>
      </c>
      <c r="B236" s="5">
        <v>46009</v>
      </c>
      <c r="C236" s="1" t="s">
        <v>17</v>
      </c>
      <c r="D236" s="1" t="s">
        <v>18</v>
      </c>
      <c r="E236" s="1" t="s">
        <v>25</v>
      </c>
      <c r="F236" s="1" t="s">
        <v>26</v>
      </c>
      <c r="G236" s="1" t="s">
        <v>1229</v>
      </c>
      <c r="H236" s="6">
        <v>1</v>
      </c>
      <c r="I236" s="7">
        <v>0</v>
      </c>
      <c r="J236" s="5">
        <v>46009</v>
      </c>
      <c r="K236" s="1" t="s">
        <v>22</v>
      </c>
      <c r="L236" s="1" t="s">
        <v>22</v>
      </c>
      <c r="M236" s="8">
        <v>0</v>
      </c>
      <c r="N236" s="6"/>
      <c r="O236" s="6"/>
      <c r="P236" s="9">
        <v>-6.51</v>
      </c>
    </row>
    <row r="237" spans="1:16" ht="19.5" customHeight="1">
      <c r="A237" s="1" t="s">
        <v>1376</v>
      </c>
      <c r="B237" s="5">
        <v>46009</v>
      </c>
      <c r="C237" s="1" t="s">
        <v>77</v>
      </c>
      <c r="D237" s="1" t="s">
        <v>82</v>
      </c>
      <c r="E237" s="1" t="s">
        <v>22</v>
      </c>
      <c r="F237" s="1" t="s">
        <v>22</v>
      </c>
      <c r="G237" s="1" t="s">
        <v>22</v>
      </c>
      <c r="H237" s="6">
        <v>0</v>
      </c>
      <c r="I237" s="7">
        <v>0</v>
      </c>
      <c r="J237" s="5">
        <v>46009</v>
      </c>
      <c r="K237" s="1" t="s">
        <v>22</v>
      </c>
      <c r="L237" s="1" t="s">
        <v>22</v>
      </c>
      <c r="M237" s="8">
        <v>0</v>
      </c>
      <c r="N237" s="6"/>
      <c r="O237" s="6"/>
      <c r="P237" s="9">
        <v>-542.58000000000004</v>
      </c>
    </row>
    <row r="238" spans="1:16" ht="19.5" customHeight="1">
      <c r="A238" s="1" t="s">
        <v>1075</v>
      </c>
      <c r="B238" s="5">
        <v>46009</v>
      </c>
      <c r="C238" s="1" t="s">
        <v>77</v>
      </c>
      <c r="D238" s="1" t="s">
        <v>82</v>
      </c>
      <c r="E238" s="1" t="s">
        <v>22</v>
      </c>
      <c r="F238" s="1" t="s">
        <v>22</v>
      </c>
      <c r="G238" s="1" t="s">
        <v>22</v>
      </c>
      <c r="H238" s="6">
        <v>0</v>
      </c>
      <c r="I238" s="7">
        <v>0</v>
      </c>
      <c r="J238" s="5">
        <v>46009</v>
      </c>
      <c r="K238" s="1" t="s">
        <v>22</v>
      </c>
      <c r="L238" s="1" t="s">
        <v>22</v>
      </c>
      <c r="M238" s="8">
        <v>0</v>
      </c>
      <c r="N238" s="6"/>
      <c r="O238" s="6"/>
      <c r="P238" s="9">
        <v>-551.89</v>
      </c>
    </row>
    <row r="239" spans="1:16" ht="19.5" customHeight="1">
      <c r="A239" s="1" t="s">
        <v>83</v>
      </c>
      <c r="B239" s="5">
        <v>46009</v>
      </c>
      <c r="C239" s="1" t="s">
        <v>77</v>
      </c>
      <c r="D239" s="1" t="s">
        <v>84</v>
      </c>
      <c r="E239" s="1" t="s">
        <v>22</v>
      </c>
      <c r="F239" s="1" t="s">
        <v>22</v>
      </c>
      <c r="G239" s="1" t="s">
        <v>22</v>
      </c>
      <c r="H239" s="6">
        <v>0</v>
      </c>
      <c r="I239" s="7">
        <v>0</v>
      </c>
      <c r="J239" s="5">
        <v>46009</v>
      </c>
      <c r="K239" s="1" t="s">
        <v>22</v>
      </c>
      <c r="L239" s="1" t="s">
        <v>22</v>
      </c>
      <c r="M239" s="8">
        <v>0</v>
      </c>
      <c r="N239" s="6"/>
      <c r="O239" s="6"/>
      <c r="P239" s="9">
        <v>-1312.8</v>
      </c>
    </row>
    <row r="240" spans="1:16" ht="19.5" customHeight="1">
      <c r="A240" s="1" t="s">
        <v>1734</v>
      </c>
      <c r="B240" s="5">
        <v>46010</v>
      </c>
      <c r="C240" s="1" t="s">
        <v>28</v>
      </c>
      <c r="D240" s="1" t="s">
        <v>29</v>
      </c>
      <c r="E240" s="1" t="s">
        <v>1054</v>
      </c>
      <c r="F240" s="1" t="s">
        <v>1297</v>
      </c>
      <c r="G240" s="1" t="s">
        <v>1298</v>
      </c>
      <c r="H240" s="6">
        <v>1</v>
      </c>
      <c r="I240" s="7">
        <v>0</v>
      </c>
      <c r="J240" s="5">
        <v>45996</v>
      </c>
      <c r="K240" s="1" t="s">
        <v>957</v>
      </c>
      <c r="L240" s="1" t="s">
        <v>30</v>
      </c>
      <c r="M240" s="8">
        <v>0</v>
      </c>
      <c r="N240" s="6"/>
      <c r="O240" s="6">
        <v>40</v>
      </c>
      <c r="P240" s="9">
        <v>-46</v>
      </c>
    </row>
    <row r="241" spans="1:16" ht="19.5" customHeight="1">
      <c r="A241" s="1" t="s">
        <v>1734</v>
      </c>
      <c r="B241" s="5">
        <v>46010</v>
      </c>
      <c r="C241" s="1" t="s">
        <v>17</v>
      </c>
      <c r="D241" s="1" t="s">
        <v>37</v>
      </c>
      <c r="E241" s="1" t="s">
        <v>1054</v>
      </c>
      <c r="F241" s="1" t="s">
        <v>1297</v>
      </c>
      <c r="G241" s="1" t="s">
        <v>1298</v>
      </c>
      <c r="H241" s="6">
        <v>1</v>
      </c>
      <c r="I241" s="7">
        <v>0</v>
      </c>
      <c r="J241" s="5">
        <v>45996</v>
      </c>
      <c r="K241" s="1" t="s">
        <v>957</v>
      </c>
      <c r="L241" s="1" t="s">
        <v>30</v>
      </c>
      <c r="M241" s="8">
        <v>0</v>
      </c>
      <c r="N241" s="6"/>
      <c r="O241" s="6"/>
      <c r="P241" s="9">
        <v>-10.45</v>
      </c>
    </row>
    <row r="242" spans="1:16" ht="19.5" customHeight="1">
      <c r="A242" s="1" t="s">
        <v>1734</v>
      </c>
      <c r="B242" s="5">
        <v>46010</v>
      </c>
      <c r="C242" s="1" t="s">
        <v>28</v>
      </c>
      <c r="D242" s="1" t="s">
        <v>45</v>
      </c>
      <c r="E242" s="1" t="s">
        <v>1054</v>
      </c>
      <c r="F242" s="1" t="s">
        <v>1297</v>
      </c>
      <c r="G242" s="1" t="s">
        <v>1298</v>
      </c>
      <c r="H242" s="6">
        <v>1</v>
      </c>
      <c r="I242" s="7">
        <v>0</v>
      </c>
      <c r="J242" s="5">
        <v>45996</v>
      </c>
      <c r="K242" s="1" t="s">
        <v>957</v>
      </c>
      <c r="L242" s="1" t="s">
        <v>30</v>
      </c>
      <c r="M242" s="8">
        <v>0</v>
      </c>
      <c r="N242" s="6"/>
      <c r="O242" s="6"/>
      <c r="P242" s="9">
        <v>0</v>
      </c>
    </row>
    <row r="243" spans="1:16" ht="19.5" customHeight="1">
      <c r="A243" s="1" t="s">
        <v>1734</v>
      </c>
      <c r="B243" s="5">
        <v>46010</v>
      </c>
      <c r="C243" s="1" t="s">
        <v>28</v>
      </c>
      <c r="D243" s="1" t="s">
        <v>46</v>
      </c>
      <c r="E243" s="1" t="s">
        <v>1054</v>
      </c>
      <c r="F243" s="1" t="s">
        <v>1297</v>
      </c>
      <c r="G243" s="1" t="s">
        <v>1298</v>
      </c>
      <c r="H243" s="6">
        <v>1</v>
      </c>
      <c r="I243" s="7">
        <v>0</v>
      </c>
      <c r="J243" s="5">
        <v>45996</v>
      </c>
      <c r="K243" s="1" t="s">
        <v>957</v>
      </c>
      <c r="L243" s="1" t="s">
        <v>30</v>
      </c>
      <c r="M243" s="8">
        <v>0</v>
      </c>
      <c r="N243" s="6"/>
      <c r="O243" s="6"/>
      <c r="P243" s="9">
        <v>-46</v>
      </c>
    </row>
    <row r="244" spans="1:16" ht="19.5" customHeight="1">
      <c r="A244" s="1" t="s">
        <v>1734</v>
      </c>
      <c r="B244" s="5">
        <v>46010</v>
      </c>
      <c r="C244" s="1" t="s">
        <v>17</v>
      </c>
      <c r="D244" s="1" t="s">
        <v>47</v>
      </c>
      <c r="E244" s="1" t="s">
        <v>1054</v>
      </c>
      <c r="F244" s="1" t="s">
        <v>1297</v>
      </c>
      <c r="G244" s="1" t="s">
        <v>1298</v>
      </c>
      <c r="H244" s="6">
        <v>1</v>
      </c>
      <c r="I244" s="7">
        <v>0</v>
      </c>
      <c r="J244" s="5">
        <v>45996</v>
      </c>
      <c r="K244" s="1" t="s">
        <v>957</v>
      </c>
      <c r="L244" s="1" t="s">
        <v>30</v>
      </c>
      <c r="M244" s="8">
        <v>0</v>
      </c>
      <c r="N244" s="6"/>
      <c r="O244" s="6"/>
      <c r="P244" s="9">
        <v>-15</v>
      </c>
    </row>
    <row r="245" spans="1:16" ht="19.5" customHeight="1">
      <c r="A245" s="1" t="s">
        <v>1735</v>
      </c>
      <c r="B245" s="5">
        <v>46010</v>
      </c>
      <c r="C245" s="1" t="s">
        <v>17</v>
      </c>
      <c r="D245" s="1" t="s">
        <v>18</v>
      </c>
      <c r="E245" s="1" t="s">
        <v>25</v>
      </c>
      <c r="F245" s="1" t="s">
        <v>26</v>
      </c>
      <c r="G245" s="1" t="s">
        <v>1229</v>
      </c>
      <c r="H245" s="6">
        <v>1</v>
      </c>
      <c r="I245" s="7">
        <v>0</v>
      </c>
      <c r="J245" s="5">
        <v>46010</v>
      </c>
      <c r="K245" s="1" t="s">
        <v>22</v>
      </c>
      <c r="L245" s="1" t="s">
        <v>22</v>
      </c>
      <c r="M245" s="8">
        <v>0</v>
      </c>
      <c r="N245" s="6"/>
      <c r="O245" s="6"/>
      <c r="P245" s="9">
        <v>-14.9</v>
      </c>
    </row>
    <row r="246" spans="1:16" ht="19.5" customHeight="1">
      <c r="A246" s="1" t="s">
        <v>1735</v>
      </c>
      <c r="B246" s="5">
        <v>46010</v>
      </c>
      <c r="C246" s="1" t="s">
        <v>17</v>
      </c>
      <c r="D246" s="1" t="s">
        <v>18</v>
      </c>
      <c r="E246" s="1" t="s">
        <v>223</v>
      </c>
      <c r="F246" s="1" t="s">
        <v>395</v>
      </c>
      <c r="G246" s="1" t="s">
        <v>1229</v>
      </c>
      <c r="H246" s="6">
        <v>1</v>
      </c>
      <c r="I246" s="7">
        <v>0</v>
      </c>
      <c r="J246" s="5">
        <v>46010</v>
      </c>
      <c r="K246" s="1" t="s">
        <v>22</v>
      </c>
      <c r="L246" s="1" t="s">
        <v>22</v>
      </c>
      <c r="M246" s="8">
        <v>0</v>
      </c>
      <c r="N246" s="6"/>
      <c r="O246" s="6"/>
      <c r="P246" s="9">
        <v>-12.26</v>
      </c>
    </row>
    <row r="247" spans="1:16" ht="19.5" customHeight="1">
      <c r="A247" s="1" t="s">
        <v>1620</v>
      </c>
      <c r="B247" s="5">
        <v>46010</v>
      </c>
      <c r="C247" s="1" t="s">
        <v>261</v>
      </c>
      <c r="D247" s="1" t="s">
        <v>581</v>
      </c>
      <c r="E247" s="1" t="s">
        <v>22</v>
      </c>
      <c r="F247" s="1" t="s">
        <v>22</v>
      </c>
      <c r="G247" s="1" t="s">
        <v>22</v>
      </c>
      <c r="H247" s="6">
        <v>0</v>
      </c>
      <c r="I247" s="7">
        <v>0</v>
      </c>
      <c r="J247" s="5">
        <v>46010</v>
      </c>
      <c r="K247" s="1" t="s">
        <v>22</v>
      </c>
      <c r="L247" s="1" t="s">
        <v>22</v>
      </c>
      <c r="M247" s="8">
        <v>0</v>
      </c>
      <c r="N247" s="6"/>
      <c r="O247" s="6"/>
      <c r="P247" s="9">
        <v>-795</v>
      </c>
    </row>
    <row r="248" spans="1:16" ht="19.5" customHeight="1">
      <c r="A248" s="1" t="s">
        <v>1620</v>
      </c>
      <c r="B248" s="5">
        <v>46010</v>
      </c>
      <c r="C248" s="1" t="s">
        <v>261</v>
      </c>
      <c r="D248" s="1" t="s">
        <v>329</v>
      </c>
      <c r="E248" s="1" t="s">
        <v>22</v>
      </c>
      <c r="F248" s="1" t="s">
        <v>22</v>
      </c>
      <c r="G248" s="1" t="s">
        <v>22</v>
      </c>
      <c r="H248" s="6">
        <v>0</v>
      </c>
      <c r="I248" s="7">
        <v>0</v>
      </c>
      <c r="J248" s="5">
        <v>46010</v>
      </c>
      <c r="K248" s="1" t="s">
        <v>22</v>
      </c>
      <c r="L248" s="1" t="s">
        <v>22</v>
      </c>
      <c r="M248" s="8">
        <v>0</v>
      </c>
      <c r="N248" s="6"/>
      <c r="O248" s="6"/>
      <c r="P248" s="9">
        <v>-5</v>
      </c>
    </row>
    <row r="249" spans="1:16" ht="19.5" customHeight="1">
      <c r="A249" s="1" t="s">
        <v>1736</v>
      </c>
      <c r="B249" s="5">
        <v>46010</v>
      </c>
      <c r="C249" s="1" t="s">
        <v>28</v>
      </c>
      <c r="D249" s="1" t="s">
        <v>29</v>
      </c>
      <c r="E249" s="1" t="s">
        <v>238</v>
      </c>
      <c r="F249" s="1" t="s">
        <v>921</v>
      </c>
      <c r="G249" s="1" t="s">
        <v>1133</v>
      </c>
      <c r="H249" s="6">
        <v>1</v>
      </c>
      <c r="I249" s="7">
        <v>0</v>
      </c>
      <c r="J249" s="5">
        <v>46000</v>
      </c>
      <c r="K249" s="1" t="s">
        <v>957</v>
      </c>
      <c r="L249" s="1" t="s">
        <v>30</v>
      </c>
      <c r="M249" s="8">
        <v>0</v>
      </c>
      <c r="N249" s="6"/>
      <c r="O249" s="6">
        <v>41</v>
      </c>
      <c r="P249" s="9">
        <v>-56</v>
      </c>
    </row>
    <row r="250" spans="1:16" ht="19.5" customHeight="1">
      <c r="A250" s="1" t="s">
        <v>1736</v>
      </c>
      <c r="B250" s="5">
        <v>46010</v>
      </c>
      <c r="C250" s="1" t="s">
        <v>17</v>
      </c>
      <c r="D250" s="1" t="s">
        <v>37</v>
      </c>
      <c r="E250" s="1" t="s">
        <v>238</v>
      </c>
      <c r="F250" s="1" t="s">
        <v>921</v>
      </c>
      <c r="G250" s="1" t="s">
        <v>1133</v>
      </c>
      <c r="H250" s="6">
        <v>1</v>
      </c>
      <c r="I250" s="7">
        <v>0</v>
      </c>
      <c r="J250" s="5">
        <v>46000</v>
      </c>
      <c r="K250" s="1" t="s">
        <v>957</v>
      </c>
      <c r="L250" s="1" t="s">
        <v>30</v>
      </c>
      <c r="M250" s="8">
        <v>0</v>
      </c>
      <c r="N250" s="6"/>
      <c r="O250" s="6"/>
      <c r="P250" s="9">
        <v>-14.91</v>
      </c>
    </row>
    <row r="251" spans="1:16" ht="19.5" customHeight="1">
      <c r="A251" s="1" t="s">
        <v>1736</v>
      </c>
      <c r="B251" s="5">
        <v>46010</v>
      </c>
      <c r="C251" s="1" t="s">
        <v>28</v>
      </c>
      <c r="D251" s="1" t="s">
        <v>45</v>
      </c>
      <c r="E251" s="1" t="s">
        <v>238</v>
      </c>
      <c r="F251" s="1" t="s">
        <v>921</v>
      </c>
      <c r="G251" s="1" t="s">
        <v>1133</v>
      </c>
      <c r="H251" s="6">
        <v>1</v>
      </c>
      <c r="I251" s="7">
        <v>0</v>
      </c>
      <c r="J251" s="5">
        <v>46000</v>
      </c>
      <c r="K251" s="1" t="s">
        <v>957</v>
      </c>
      <c r="L251" s="1" t="s">
        <v>30</v>
      </c>
      <c r="M251" s="8">
        <v>0</v>
      </c>
      <c r="N251" s="6"/>
      <c r="O251" s="6"/>
      <c r="P251" s="9">
        <v>0</v>
      </c>
    </row>
    <row r="252" spans="1:16" ht="19.5" customHeight="1">
      <c r="A252" s="1" t="s">
        <v>1736</v>
      </c>
      <c r="B252" s="5">
        <v>46010</v>
      </c>
      <c r="C252" s="1" t="s">
        <v>28</v>
      </c>
      <c r="D252" s="1" t="s">
        <v>46</v>
      </c>
      <c r="E252" s="1" t="s">
        <v>238</v>
      </c>
      <c r="F252" s="1" t="s">
        <v>921</v>
      </c>
      <c r="G252" s="1" t="s">
        <v>1133</v>
      </c>
      <c r="H252" s="6">
        <v>1</v>
      </c>
      <c r="I252" s="7">
        <v>0</v>
      </c>
      <c r="J252" s="5">
        <v>46000</v>
      </c>
      <c r="K252" s="1" t="s">
        <v>957</v>
      </c>
      <c r="L252" s="1" t="s">
        <v>30</v>
      </c>
      <c r="M252" s="8">
        <v>0</v>
      </c>
      <c r="N252" s="6"/>
      <c r="O252" s="6"/>
      <c r="P252" s="9">
        <v>-56</v>
      </c>
    </row>
    <row r="253" spans="1:16" ht="19.5" customHeight="1">
      <c r="A253" s="1" t="s">
        <v>1736</v>
      </c>
      <c r="B253" s="5">
        <v>46010</v>
      </c>
      <c r="C253" s="1" t="s">
        <v>17</v>
      </c>
      <c r="D253" s="1" t="s">
        <v>47</v>
      </c>
      <c r="E253" s="1" t="s">
        <v>238</v>
      </c>
      <c r="F253" s="1" t="s">
        <v>921</v>
      </c>
      <c r="G253" s="1" t="s">
        <v>1133</v>
      </c>
      <c r="H253" s="6">
        <v>1</v>
      </c>
      <c r="I253" s="7">
        <v>0</v>
      </c>
      <c r="J253" s="5">
        <v>46000</v>
      </c>
      <c r="K253" s="1" t="s">
        <v>957</v>
      </c>
      <c r="L253" s="1" t="s">
        <v>30</v>
      </c>
      <c r="M253" s="8">
        <v>0</v>
      </c>
      <c r="N253" s="6"/>
      <c r="O253" s="6"/>
      <c r="P253" s="9">
        <v>-15</v>
      </c>
    </row>
    <row r="254" spans="1:16" ht="19.5" customHeight="1">
      <c r="A254" s="1" t="s">
        <v>1737</v>
      </c>
      <c r="B254" s="5">
        <v>46010</v>
      </c>
      <c r="C254" s="1" t="s">
        <v>28</v>
      </c>
      <c r="D254" s="1" t="s">
        <v>29</v>
      </c>
      <c r="E254" s="1" t="s">
        <v>25</v>
      </c>
      <c r="F254" s="1" t="s">
        <v>26</v>
      </c>
      <c r="G254" s="1" t="s">
        <v>1229</v>
      </c>
      <c r="H254" s="6">
        <v>1</v>
      </c>
      <c r="I254" s="7">
        <v>0</v>
      </c>
      <c r="J254" s="5">
        <v>46004</v>
      </c>
      <c r="K254" s="1" t="s">
        <v>957</v>
      </c>
      <c r="L254" s="1" t="s">
        <v>30</v>
      </c>
      <c r="M254" s="8">
        <v>0</v>
      </c>
      <c r="N254" s="6"/>
      <c r="O254" s="6">
        <v>41</v>
      </c>
      <c r="P254" s="9">
        <v>-46.77</v>
      </c>
    </row>
    <row r="255" spans="1:16" ht="19.5" customHeight="1">
      <c r="A255" s="1" t="s">
        <v>1737</v>
      </c>
      <c r="B255" s="5">
        <v>46010</v>
      </c>
      <c r="C255" s="1" t="s">
        <v>28</v>
      </c>
      <c r="D255" s="1" t="s">
        <v>45</v>
      </c>
      <c r="E255" s="1" t="s">
        <v>25</v>
      </c>
      <c r="F255" s="1" t="s">
        <v>26</v>
      </c>
      <c r="G255" s="1" t="s">
        <v>1229</v>
      </c>
      <c r="H255" s="6">
        <v>1</v>
      </c>
      <c r="I255" s="7">
        <v>0</v>
      </c>
      <c r="J255" s="5">
        <v>46004</v>
      </c>
      <c r="K255" s="1" t="s">
        <v>957</v>
      </c>
      <c r="L255" s="1" t="s">
        <v>30</v>
      </c>
      <c r="M255" s="8">
        <v>0</v>
      </c>
      <c r="N255" s="6"/>
      <c r="O255" s="6"/>
      <c r="P255" s="9">
        <v>0</v>
      </c>
    </row>
    <row r="256" spans="1:16" ht="19.5" customHeight="1">
      <c r="A256" s="1" t="s">
        <v>1737</v>
      </c>
      <c r="B256" s="5">
        <v>46010</v>
      </c>
      <c r="C256" s="1" t="s">
        <v>28</v>
      </c>
      <c r="D256" s="1" t="s">
        <v>46</v>
      </c>
      <c r="E256" s="1" t="s">
        <v>25</v>
      </c>
      <c r="F256" s="1" t="s">
        <v>26</v>
      </c>
      <c r="G256" s="1" t="s">
        <v>1229</v>
      </c>
      <c r="H256" s="6">
        <v>1</v>
      </c>
      <c r="I256" s="7">
        <v>0</v>
      </c>
      <c r="J256" s="5">
        <v>46004</v>
      </c>
      <c r="K256" s="1" t="s">
        <v>957</v>
      </c>
      <c r="L256" s="1" t="s">
        <v>30</v>
      </c>
      <c r="M256" s="8">
        <v>0</v>
      </c>
      <c r="N256" s="6"/>
      <c r="O256" s="6"/>
      <c r="P256" s="9">
        <v>-46.77</v>
      </c>
    </row>
    <row r="257" spans="1:16" ht="19.5" customHeight="1">
      <c r="A257" s="1" t="s">
        <v>1677</v>
      </c>
      <c r="B257" s="5">
        <v>46010</v>
      </c>
      <c r="C257" s="1" t="s">
        <v>261</v>
      </c>
      <c r="D257" s="1" t="s">
        <v>581</v>
      </c>
      <c r="E257" s="1" t="s">
        <v>22</v>
      </c>
      <c r="F257" s="1" t="s">
        <v>22</v>
      </c>
      <c r="G257" s="1" t="s">
        <v>22</v>
      </c>
      <c r="H257" s="6">
        <v>0</v>
      </c>
      <c r="I257" s="7">
        <v>0</v>
      </c>
      <c r="J257" s="5">
        <v>46010</v>
      </c>
      <c r="K257" s="1" t="s">
        <v>22</v>
      </c>
      <c r="L257" s="1" t="s">
        <v>22</v>
      </c>
      <c r="M257" s="8">
        <v>0</v>
      </c>
      <c r="N257" s="6"/>
      <c r="O257" s="6"/>
      <c r="P257" s="9">
        <v>-800</v>
      </c>
    </row>
    <row r="258" spans="1:16" ht="19.5" customHeight="1">
      <c r="A258" s="1" t="s">
        <v>1738</v>
      </c>
      <c r="B258" s="5">
        <v>46010</v>
      </c>
      <c r="C258" s="1" t="s">
        <v>28</v>
      </c>
      <c r="D258" s="1" t="s">
        <v>29</v>
      </c>
      <c r="E258" s="1" t="s">
        <v>223</v>
      </c>
      <c r="F258" s="1" t="s">
        <v>395</v>
      </c>
      <c r="G258" s="1" t="s">
        <v>1229</v>
      </c>
      <c r="H258" s="6">
        <v>1</v>
      </c>
      <c r="I258" s="7">
        <v>1280</v>
      </c>
      <c r="J258" s="5">
        <v>45995</v>
      </c>
      <c r="K258" s="1" t="s">
        <v>957</v>
      </c>
      <c r="L258" s="1" t="s">
        <v>30</v>
      </c>
      <c r="M258" s="8">
        <v>0.43</v>
      </c>
      <c r="N258" s="6"/>
      <c r="O258" s="6">
        <v>42</v>
      </c>
      <c r="P258" s="9">
        <v>-108.7</v>
      </c>
    </row>
    <row r="259" spans="1:16" ht="19.5" customHeight="1">
      <c r="A259" s="1" t="s">
        <v>1738</v>
      </c>
      <c r="B259" s="5">
        <v>46010</v>
      </c>
      <c r="C259" s="1" t="s">
        <v>31</v>
      </c>
      <c r="D259" s="1" t="s">
        <v>32</v>
      </c>
      <c r="E259" s="1" t="s">
        <v>223</v>
      </c>
      <c r="F259" s="1" t="s">
        <v>395</v>
      </c>
      <c r="G259" s="1" t="s">
        <v>1229</v>
      </c>
      <c r="H259" s="6">
        <v>1</v>
      </c>
      <c r="I259" s="7">
        <v>1280</v>
      </c>
      <c r="J259" s="5">
        <v>45995</v>
      </c>
      <c r="K259" s="1" t="s">
        <v>957</v>
      </c>
      <c r="L259" s="1" t="s">
        <v>30</v>
      </c>
      <c r="M259" s="8">
        <v>0</v>
      </c>
      <c r="N259" s="6"/>
      <c r="O259" s="6"/>
      <c r="P259" s="9">
        <v>474.79</v>
      </c>
    </row>
    <row r="260" spans="1:16" ht="19.5" customHeight="1">
      <c r="A260" s="1" t="s">
        <v>1738</v>
      </c>
      <c r="B260" s="5">
        <v>46010</v>
      </c>
      <c r="C260" s="1" t="s">
        <v>31</v>
      </c>
      <c r="D260" s="1" t="s">
        <v>33</v>
      </c>
      <c r="E260" s="1" t="s">
        <v>223</v>
      </c>
      <c r="F260" s="1" t="s">
        <v>395</v>
      </c>
      <c r="G260" s="1" t="s">
        <v>1229</v>
      </c>
      <c r="H260" s="6">
        <v>1</v>
      </c>
      <c r="I260" s="7">
        <v>1280</v>
      </c>
      <c r="J260" s="5">
        <v>45995</v>
      </c>
      <c r="K260" s="1" t="s">
        <v>957</v>
      </c>
      <c r="L260" s="1" t="s">
        <v>30</v>
      </c>
      <c r="M260" s="8">
        <v>0</v>
      </c>
      <c r="N260" s="6"/>
      <c r="O260" s="6"/>
      <c r="P260" s="9">
        <v>4.75</v>
      </c>
    </row>
    <row r="261" spans="1:16" ht="19.5" customHeight="1">
      <c r="A261" s="1" t="s">
        <v>1738</v>
      </c>
      <c r="B261" s="5">
        <v>46010</v>
      </c>
      <c r="C261" s="1" t="s">
        <v>31</v>
      </c>
      <c r="D261" s="1" t="s">
        <v>34</v>
      </c>
      <c r="E261" s="1" t="s">
        <v>223</v>
      </c>
      <c r="F261" s="1" t="s">
        <v>395</v>
      </c>
      <c r="G261" s="1" t="s">
        <v>1229</v>
      </c>
      <c r="H261" s="6">
        <v>1</v>
      </c>
      <c r="I261" s="7">
        <v>1280</v>
      </c>
      <c r="J261" s="5">
        <v>45995</v>
      </c>
      <c r="K261" s="1" t="s">
        <v>957</v>
      </c>
      <c r="L261" s="1" t="s">
        <v>30</v>
      </c>
      <c r="M261" s="8">
        <v>0</v>
      </c>
      <c r="N261" s="6"/>
      <c r="O261" s="6"/>
      <c r="P261" s="9">
        <v>800.46</v>
      </c>
    </row>
    <row r="262" spans="1:16" ht="19.5" customHeight="1">
      <c r="A262" s="1" t="s">
        <v>1738</v>
      </c>
      <c r="B262" s="5">
        <v>46010</v>
      </c>
      <c r="C262" s="1" t="s">
        <v>35</v>
      </c>
      <c r="D262" s="1" t="s">
        <v>36</v>
      </c>
      <c r="E262" s="1" t="s">
        <v>223</v>
      </c>
      <c r="F262" s="1" t="s">
        <v>395</v>
      </c>
      <c r="G262" s="1" t="s">
        <v>1229</v>
      </c>
      <c r="H262" s="6">
        <v>1</v>
      </c>
      <c r="I262" s="7">
        <v>1280</v>
      </c>
      <c r="J262" s="5">
        <v>45995</v>
      </c>
      <c r="K262" s="1" t="s">
        <v>957</v>
      </c>
      <c r="L262" s="1" t="s">
        <v>30</v>
      </c>
      <c r="M262" s="8">
        <v>0.43</v>
      </c>
      <c r="N262" s="6"/>
      <c r="O262" s="6"/>
      <c r="P262" s="9">
        <v>-550.4</v>
      </c>
    </row>
    <row r="263" spans="1:16" ht="19.5" customHeight="1">
      <c r="A263" s="1" t="s">
        <v>1738</v>
      </c>
      <c r="B263" s="5">
        <v>46010</v>
      </c>
      <c r="C263" s="1" t="s">
        <v>17</v>
      </c>
      <c r="D263" s="1" t="s">
        <v>37</v>
      </c>
      <c r="E263" s="1" t="s">
        <v>223</v>
      </c>
      <c r="F263" s="1" t="s">
        <v>395</v>
      </c>
      <c r="G263" s="1" t="s">
        <v>1229</v>
      </c>
      <c r="H263" s="6">
        <v>1</v>
      </c>
      <c r="I263" s="7">
        <v>1280</v>
      </c>
      <c r="J263" s="5">
        <v>45995</v>
      </c>
      <c r="K263" s="1" t="s">
        <v>957</v>
      </c>
      <c r="L263" s="1" t="s">
        <v>30</v>
      </c>
      <c r="M263" s="8">
        <v>0.43</v>
      </c>
      <c r="N263" s="6"/>
      <c r="O263" s="6"/>
      <c r="P263" s="9">
        <v>-1</v>
      </c>
    </row>
    <row r="264" spans="1:16" ht="19.5" customHeight="1">
      <c r="A264" s="1" t="s">
        <v>1739</v>
      </c>
      <c r="B264" s="5">
        <v>46010</v>
      </c>
      <c r="C264" s="1" t="s">
        <v>17</v>
      </c>
      <c r="D264" s="1" t="s">
        <v>18</v>
      </c>
      <c r="E264" s="1" t="s">
        <v>225</v>
      </c>
      <c r="F264" s="1" t="s">
        <v>491</v>
      </c>
      <c r="G264" s="1" t="s">
        <v>1229</v>
      </c>
      <c r="H264" s="6">
        <v>1</v>
      </c>
      <c r="I264" s="7">
        <v>0</v>
      </c>
      <c r="J264" s="5">
        <v>46010</v>
      </c>
      <c r="K264" s="1" t="s">
        <v>22</v>
      </c>
      <c r="L264" s="1" t="s">
        <v>22</v>
      </c>
      <c r="M264" s="8">
        <v>0</v>
      </c>
      <c r="N264" s="6"/>
      <c r="O264" s="6"/>
      <c r="P264" s="9">
        <v>-3.7</v>
      </c>
    </row>
    <row r="265" spans="1:16" ht="19.5" customHeight="1">
      <c r="A265" s="1" t="s">
        <v>1740</v>
      </c>
      <c r="B265" s="5">
        <v>46010</v>
      </c>
      <c r="C265" s="1" t="s">
        <v>28</v>
      </c>
      <c r="D265" s="1" t="s">
        <v>29</v>
      </c>
      <c r="E265" s="1" t="s">
        <v>25</v>
      </c>
      <c r="F265" s="1" t="s">
        <v>26</v>
      </c>
      <c r="G265" s="1" t="s">
        <v>1229</v>
      </c>
      <c r="H265" s="6">
        <v>1</v>
      </c>
      <c r="I265" s="7">
        <v>0</v>
      </c>
      <c r="J265" s="5">
        <v>45997</v>
      </c>
      <c r="K265" s="1" t="s">
        <v>957</v>
      </c>
      <c r="L265" s="1" t="s">
        <v>30</v>
      </c>
      <c r="M265" s="8">
        <v>0</v>
      </c>
      <c r="N265" s="6"/>
      <c r="O265" s="6">
        <v>38</v>
      </c>
      <c r="P265" s="9">
        <v>-46</v>
      </c>
    </row>
    <row r="266" spans="1:16" ht="19.5" customHeight="1">
      <c r="A266" s="1" t="s">
        <v>1740</v>
      </c>
      <c r="B266" s="5">
        <v>46010</v>
      </c>
      <c r="C266" s="1" t="s">
        <v>17</v>
      </c>
      <c r="D266" s="1" t="s">
        <v>37</v>
      </c>
      <c r="E266" s="1" t="s">
        <v>25</v>
      </c>
      <c r="F266" s="1" t="s">
        <v>26</v>
      </c>
      <c r="G266" s="1" t="s">
        <v>1229</v>
      </c>
      <c r="H266" s="6">
        <v>1</v>
      </c>
      <c r="I266" s="7">
        <v>0</v>
      </c>
      <c r="J266" s="5">
        <v>45997</v>
      </c>
      <c r="K266" s="1" t="s">
        <v>957</v>
      </c>
      <c r="L266" s="1" t="s">
        <v>30</v>
      </c>
      <c r="M266" s="8">
        <v>0</v>
      </c>
      <c r="N266" s="6"/>
      <c r="O266" s="6"/>
      <c r="P266" s="9">
        <v>-8.3000000000000007</v>
      </c>
    </row>
    <row r="267" spans="1:16" ht="19.5" customHeight="1">
      <c r="A267" s="1" t="s">
        <v>1740</v>
      </c>
      <c r="B267" s="5">
        <v>46010</v>
      </c>
      <c r="C267" s="1" t="s">
        <v>28</v>
      </c>
      <c r="D267" s="1" t="s">
        <v>45</v>
      </c>
      <c r="E267" s="1" t="s">
        <v>25</v>
      </c>
      <c r="F267" s="1" t="s">
        <v>26</v>
      </c>
      <c r="G267" s="1" t="s">
        <v>1229</v>
      </c>
      <c r="H267" s="6">
        <v>1</v>
      </c>
      <c r="I267" s="7">
        <v>0</v>
      </c>
      <c r="J267" s="5">
        <v>45997</v>
      </c>
      <c r="K267" s="1" t="s">
        <v>957</v>
      </c>
      <c r="L267" s="1" t="s">
        <v>30</v>
      </c>
      <c r="M267" s="8">
        <v>0</v>
      </c>
      <c r="N267" s="6"/>
      <c r="O267" s="6"/>
      <c r="P267" s="9">
        <v>0</v>
      </c>
    </row>
    <row r="268" spans="1:16" ht="19.5" customHeight="1">
      <c r="A268" s="1" t="s">
        <v>1740</v>
      </c>
      <c r="B268" s="5">
        <v>46010</v>
      </c>
      <c r="C268" s="1" t="s">
        <v>28</v>
      </c>
      <c r="D268" s="1" t="s">
        <v>46</v>
      </c>
      <c r="E268" s="1" t="s">
        <v>25</v>
      </c>
      <c r="F268" s="1" t="s">
        <v>26</v>
      </c>
      <c r="G268" s="1" t="s">
        <v>1229</v>
      </c>
      <c r="H268" s="6">
        <v>1</v>
      </c>
      <c r="I268" s="7">
        <v>0</v>
      </c>
      <c r="J268" s="5">
        <v>45997</v>
      </c>
      <c r="K268" s="1" t="s">
        <v>957</v>
      </c>
      <c r="L268" s="1" t="s">
        <v>30</v>
      </c>
      <c r="M268" s="8">
        <v>0</v>
      </c>
      <c r="N268" s="6"/>
      <c r="O268" s="6"/>
      <c r="P268" s="9">
        <v>-46</v>
      </c>
    </row>
    <row r="269" spans="1:16" ht="19.5" customHeight="1">
      <c r="A269" s="1" t="s">
        <v>1740</v>
      </c>
      <c r="B269" s="5">
        <v>46010</v>
      </c>
      <c r="C269" s="1" t="s">
        <v>17</v>
      </c>
      <c r="D269" s="1" t="s">
        <v>47</v>
      </c>
      <c r="E269" s="1" t="s">
        <v>25</v>
      </c>
      <c r="F269" s="1" t="s">
        <v>26</v>
      </c>
      <c r="G269" s="1" t="s">
        <v>1229</v>
      </c>
      <c r="H269" s="6">
        <v>1</v>
      </c>
      <c r="I269" s="7">
        <v>0</v>
      </c>
      <c r="J269" s="5">
        <v>45997</v>
      </c>
      <c r="K269" s="1" t="s">
        <v>957</v>
      </c>
      <c r="L269" s="1" t="s">
        <v>30</v>
      </c>
      <c r="M269" s="8">
        <v>0</v>
      </c>
      <c r="N269" s="6"/>
      <c r="O269" s="6"/>
      <c r="P269" s="9">
        <v>-15</v>
      </c>
    </row>
    <row r="270" spans="1:16" ht="19.5" customHeight="1">
      <c r="A270" s="1" t="s">
        <v>1741</v>
      </c>
      <c r="B270" s="5">
        <v>46010</v>
      </c>
      <c r="C270" s="1" t="s">
        <v>28</v>
      </c>
      <c r="D270" s="1" t="s">
        <v>29</v>
      </c>
      <c r="E270" s="1" t="s">
        <v>223</v>
      </c>
      <c r="F270" s="1" t="s">
        <v>395</v>
      </c>
      <c r="G270" s="1" t="s">
        <v>1229</v>
      </c>
      <c r="H270" s="6">
        <v>1</v>
      </c>
      <c r="I270" s="7">
        <v>1292</v>
      </c>
      <c r="J270" s="5">
        <v>46008</v>
      </c>
      <c r="K270" s="1" t="s">
        <v>957</v>
      </c>
      <c r="L270" s="1" t="s">
        <v>30</v>
      </c>
      <c r="M270" s="8">
        <v>0.43</v>
      </c>
      <c r="N270" s="6"/>
      <c r="O270" s="6">
        <v>41</v>
      </c>
      <c r="P270" s="9">
        <v>-106.91</v>
      </c>
    </row>
    <row r="271" spans="1:16" ht="19.5" customHeight="1">
      <c r="A271" s="1" t="s">
        <v>1741</v>
      </c>
      <c r="B271" s="5">
        <v>46010</v>
      </c>
      <c r="C271" s="1" t="s">
        <v>31</v>
      </c>
      <c r="D271" s="1" t="s">
        <v>32</v>
      </c>
      <c r="E271" s="1" t="s">
        <v>223</v>
      </c>
      <c r="F271" s="1" t="s">
        <v>395</v>
      </c>
      <c r="G271" s="1" t="s">
        <v>1229</v>
      </c>
      <c r="H271" s="6">
        <v>1</v>
      </c>
      <c r="I271" s="7">
        <v>1292</v>
      </c>
      <c r="J271" s="5">
        <v>46008</v>
      </c>
      <c r="K271" s="1" t="s">
        <v>957</v>
      </c>
      <c r="L271" s="1" t="s">
        <v>30</v>
      </c>
      <c r="M271" s="8">
        <v>0</v>
      </c>
      <c r="N271" s="6"/>
      <c r="O271" s="6"/>
      <c r="P271" s="9">
        <v>519.51</v>
      </c>
    </row>
    <row r="272" spans="1:16" ht="19.5" customHeight="1">
      <c r="A272" s="1" t="s">
        <v>1741</v>
      </c>
      <c r="B272" s="5">
        <v>46010</v>
      </c>
      <c r="C272" s="1" t="s">
        <v>31</v>
      </c>
      <c r="D272" s="1" t="s">
        <v>33</v>
      </c>
      <c r="E272" s="1" t="s">
        <v>223</v>
      </c>
      <c r="F272" s="1" t="s">
        <v>395</v>
      </c>
      <c r="G272" s="1" t="s">
        <v>1229</v>
      </c>
      <c r="H272" s="6">
        <v>1</v>
      </c>
      <c r="I272" s="7">
        <v>1292</v>
      </c>
      <c r="J272" s="5">
        <v>46008</v>
      </c>
      <c r="K272" s="1" t="s">
        <v>957</v>
      </c>
      <c r="L272" s="1" t="s">
        <v>30</v>
      </c>
      <c r="M272" s="8">
        <v>0</v>
      </c>
      <c r="N272" s="6"/>
      <c r="O272" s="6"/>
      <c r="P272" s="9">
        <v>5.2</v>
      </c>
    </row>
    <row r="273" spans="1:16" ht="19.5" customHeight="1">
      <c r="A273" s="1" t="s">
        <v>1741</v>
      </c>
      <c r="B273" s="5">
        <v>46010</v>
      </c>
      <c r="C273" s="1" t="s">
        <v>31</v>
      </c>
      <c r="D273" s="1" t="s">
        <v>34</v>
      </c>
      <c r="E273" s="1" t="s">
        <v>223</v>
      </c>
      <c r="F273" s="1" t="s">
        <v>395</v>
      </c>
      <c r="G273" s="1" t="s">
        <v>1229</v>
      </c>
      <c r="H273" s="6">
        <v>1</v>
      </c>
      <c r="I273" s="7">
        <v>1292</v>
      </c>
      <c r="J273" s="5">
        <v>46008</v>
      </c>
      <c r="K273" s="1" t="s">
        <v>957</v>
      </c>
      <c r="L273" s="1" t="s">
        <v>30</v>
      </c>
      <c r="M273" s="8">
        <v>0</v>
      </c>
      <c r="N273" s="6"/>
      <c r="O273" s="6"/>
      <c r="P273" s="9">
        <v>767.29</v>
      </c>
    </row>
    <row r="274" spans="1:16" ht="19.5" customHeight="1">
      <c r="A274" s="1" t="s">
        <v>1741</v>
      </c>
      <c r="B274" s="5">
        <v>46010</v>
      </c>
      <c r="C274" s="1" t="s">
        <v>35</v>
      </c>
      <c r="D274" s="1" t="s">
        <v>36</v>
      </c>
      <c r="E274" s="1" t="s">
        <v>223</v>
      </c>
      <c r="F274" s="1" t="s">
        <v>395</v>
      </c>
      <c r="G274" s="1" t="s">
        <v>1229</v>
      </c>
      <c r="H274" s="6">
        <v>1</v>
      </c>
      <c r="I274" s="7">
        <v>1292</v>
      </c>
      <c r="J274" s="5">
        <v>46008</v>
      </c>
      <c r="K274" s="1" t="s">
        <v>957</v>
      </c>
      <c r="L274" s="1" t="s">
        <v>30</v>
      </c>
      <c r="M274" s="8">
        <v>0.43</v>
      </c>
      <c r="N274" s="6"/>
      <c r="O274" s="6"/>
      <c r="P274" s="9">
        <v>-555.55999999999995</v>
      </c>
    </row>
    <row r="275" spans="1:16" ht="19.5" customHeight="1">
      <c r="A275" s="1" t="s">
        <v>1741</v>
      </c>
      <c r="B275" s="5">
        <v>46010</v>
      </c>
      <c r="C275" s="1" t="s">
        <v>17</v>
      </c>
      <c r="D275" s="1" t="s">
        <v>37</v>
      </c>
      <c r="E275" s="1" t="s">
        <v>223</v>
      </c>
      <c r="F275" s="1" t="s">
        <v>395</v>
      </c>
      <c r="G275" s="1" t="s">
        <v>1229</v>
      </c>
      <c r="H275" s="6">
        <v>1</v>
      </c>
      <c r="I275" s="7">
        <v>1292</v>
      </c>
      <c r="J275" s="5">
        <v>46008</v>
      </c>
      <c r="K275" s="1" t="s">
        <v>957</v>
      </c>
      <c r="L275" s="1" t="s">
        <v>30</v>
      </c>
      <c r="M275" s="8">
        <v>0.43</v>
      </c>
      <c r="N275" s="6"/>
      <c r="O275" s="6"/>
      <c r="P275" s="9">
        <v>-25</v>
      </c>
    </row>
    <row r="276" spans="1:16" ht="19.5" customHeight="1">
      <c r="A276" s="1" t="s">
        <v>1741</v>
      </c>
      <c r="B276" s="5">
        <v>46010</v>
      </c>
      <c r="C276" s="1" t="s">
        <v>17</v>
      </c>
      <c r="D276" s="1" t="s">
        <v>18</v>
      </c>
      <c r="E276" s="1" t="s">
        <v>223</v>
      </c>
      <c r="F276" s="1" t="s">
        <v>395</v>
      </c>
      <c r="G276" s="1" t="s">
        <v>1229</v>
      </c>
      <c r="H276" s="6">
        <v>1</v>
      </c>
      <c r="I276" s="7">
        <v>0</v>
      </c>
      <c r="J276" s="5">
        <v>46008</v>
      </c>
      <c r="K276" s="1" t="s">
        <v>22</v>
      </c>
      <c r="L276" s="1" t="s">
        <v>22</v>
      </c>
      <c r="M276" s="8">
        <v>0</v>
      </c>
      <c r="N276" s="6"/>
      <c r="O276" s="6"/>
      <c r="P276" s="9">
        <v>-9.8699999999999992</v>
      </c>
    </row>
    <row r="277" spans="1:16" ht="19.5" customHeight="1">
      <c r="A277" s="1" t="s">
        <v>1742</v>
      </c>
      <c r="B277" s="5">
        <v>46010</v>
      </c>
      <c r="C277" s="1" t="s">
        <v>28</v>
      </c>
      <c r="D277" s="1" t="s">
        <v>29</v>
      </c>
      <c r="E277" s="1" t="s">
        <v>25</v>
      </c>
      <c r="F277" s="1" t="s">
        <v>26</v>
      </c>
      <c r="G277" s="1" t="s">
        <v>1229</v>
      </c>
      <c r="H277" s="6">
        <v>1</v>
      </c>
      <c r="I277" s="7">
        <v>0</v>
      </c>
      <c r="J277" s="5">
        <v>46000</v>
      </c>
      <c r="K277" s="1" t="s">
        <v>957</v>
      </c>
      <c r="L277" s="1" t="s">
        <v>30</v>
      </c>
      <c r="M277" s="8">
        <v>0</v>
      </c>
      <c r="N277" s="6"/>
      <c r="O277" s="6">
        <v>41</v>
      </c>
      <c r="P277" s="9">
        <v>-46</v>
      </c>
    </row>
    <row r="278" spans="1:16" ht="19.5" customHeight="1">
      <c r="A278" s="1" t="s">
        <v>1742</v>
      </c>
      <c r="B278" s="5">
        <v>46010</v>
      </c>
      <c r="C278" s="1" t="s">
        <v>17</v>
      </c>
      <c r="D278" s="1" t="s">
        <v>37</v>
      </c>
      <c r="E278" s="1" t="s">
        <v>25</v>
      </c>
      <c r="F278" s="1" t="s">
        <v>26</v>
      </c>
      <c r="G278" s="1" t="s">
        <v>1229</v>
      </c>
      <c r="H278" s="6">
        <v>1</v>
      </c>
      <c r="I278" s="7">
        <v>0</v>
      </c>
      <c r="J278" s="5">
        <v>46000</v>
      </c>
      <c r="K278" s="1" t="s">
        <v>957</v>
      </c>
      <c r="L278" s="1" t="s">
        <v>30</v>
      </c>
      <c r="M278" s="8">
        <v>0</v>
      </c>
      <c r="N278" s="6"/>
      <c r="O278" s="6"/>
      <c r="P278" s="9">
        <v>-10.31</v>
      </c>
    </row>
    <row r="279" spans="1:16" ht="19.5" customHeight="1">
      <c r="A279" s="1" t="s">
        <v>1742</v>
      </c>
      <c r="B279" s="5">
        <v>46010</v>
      </c>
      <c r="C279" s="1" t="s">
        <v>28</v>
      </c>
      <c r="D279" s="1" t="s">
        <v>45</v>
      </c>
      <c r="E279" s="1" t="s">
        <v>25</v>
      </c>
      <c r="F279" s="1" t="s">
        <v>26</v>
      </c>
      <c r="G279" s="1" t="s">
        <v>1229</v>
      </c>
      <c r="H279" s="6">
        <v>1</v>
      </c>
      <c r="I279" s="7">
        <v>0</v>
      </c>
      <c r="J279" s="5">
        <v>46000</v>
      </c>
      <c r="K279" s="1" t="s">
        <v>957</v>
      </c>
      <c r="L279" s="1" t="s">
        <v>30</v>
      </c>
      <c r="M279" s="8">
        <v>0</v>
      </c>
      <c r="N279" s="6"/>
      <c r="O279" s="6"/>
      <c r="P279" s="9">
        <v>0</v>
      </c>
    </row>
    <row r="280" spans="1:16" ht="19.5" customHeight="1">
      <c r="A280" s="1" t="s">
        <v>1742</v>
      </c>
      <c r="B280" s="5">
        <v>46010</v>
      </c>
      <c r="C280" s="1" t="s">
        <v>28</v>
      </c>
      <c r="D280" s="1" t="s">
        <v>46</v>
      </c>
      <c r="E280" s="1" t="s">
        <v>25</v>
      </c>
      <c r="F280" s="1" t="s">
        <v>26</v>
      </c>
      <c r="G280" s="1" t="s">
        <v>1229</v>
      </c>
      <c r="H280" s="6">
        <v>1</v>
      </c>
      <c r="I280" s="7">
        <v>0</v>
      </c>
      <c r="J280" s="5">
        <v>46000</v>
      </c>
      <c r="K280" s="1" t="s">
        <v>957</v>
      </c>
      <c r="L280" s="1" t="s">
        <v>30</v>
      </c>
      <c r="M280" s="8">
        <v>0</v>
      </c>
      <c r="N280" s="6"/>
      <c r="O280" s="6"/>
      <c r="P280" s="9">
        <v>-46</v>
      </c>
    </row>
    <row r="281" spans="1:16" ht="19.5" customHeight="1">
      <c r="A281" s="1" t="s">
        <v>1742</v>
      </c>
      <c r="B281" s="5">
        <v>46010</v>
      </c>
      <c r="C281" s="1" t="s">
        <v>17</v>
      </c>
      <c r="D281" s="1" t="s">
        <v>47</v>
      </c>
      <c r="E281" s="1" t="s">
        <v>25</v>
      </c>
      <c r="F281" s="1" t="s">
        <v>26</v>
      </c>
      <c r="G281" s="1" t="s">
        <v>1229</v>
      </c>
      <c r="H281" s="6">
        <v>1</v>
      </c>
      <c r="I281" s="7">
        <v>0</v>
      </c>
      <c r="J281" s="5">
        <v>46000</v>
      </c>
      <c r="K281" s="1" t="s">
        <v>957</v>
      </c>
      <c r="L281" s="1" t="s">
        <v>30</v>
      </c>
      <c r="M281" s="8">
        <v>0</v>
      </c>
      <c r="N281" s="6"/>
      <c r="O281" s="6"/>
      <c r="P281" s="9">
        <v>-15</v>
      </c>
    </row>
    <row r="282" spans="1:16" ht="19.5" customHeight="1">
      <c r="A282" s="1" t="s">
        <v>1743</v>
      </c>
      <c r="B282" s="5">
        <v>46010</v>
      </c>
      <c r="C282" s="1" t="s">
        <v>28</v>
      </c>
      <c r="D282" s="1" t="s">
        <v>29</v>
      </c>
      <c r="E282" s="1" t="s">
        <v>25</v>
      </c>
      <c r="F282" s="1" t="s">
        <v>26</v>
      </c>
      <c r="G282" s="1" t="s">
        <v>1229</v>
      </c>
      <c r="H282" s="6">
        <v>1</v>
      </c>
      <c r="I282" s="7">
        <v>1071</v>
      </c>
      <c r="J282" s="5">
        <v>46008</v>
      </c>
      <c r="K282" s="1" t="s">
        <v>957</v>
      </c>
      <c r="L282" s="1" t="s">
        <v>30</v>
      </c>
      <c r="M282" s="8">
        <v>0.43</v>
      </c>
      <c r="N282" s="6"/>
      <c r="O282" s="6">
        <v>41</v>
      </c>
      <c r="P282" s="9">
        <v>-99.76</v>
      </c>
    </row>
    <row r="283" spans="1:16" ht="19.5" customHeight="1">
      <c r="A283" s="1" t="s">
        <v>1743</v>
      </c>
      <c r="B283" s="5">
        <v>46010</v>
      </c>
      <c r="C283" s="1" t="s">
        <v>31</v>
      </c>
      <c r="D283" s="1" t="s">
        <v>32</v>
      </c>
      <c r="E283" s="1" t="s">
        <v>25</v>
      </c>
      <c r="F283" s="1" t="s">
        <v>26</v>
      </c>
      <c r="G283" s="1" t="s">
        <v>1229</v>
      </c>
      <c r="H283" s="6">
        <v>1</v>
      </c>
      <c r="I283" s="7">
        <v>1071</v>
      </c>
      <c r="J283" s="5">
        <v>46008</v>
      </c>
      <c r="K283" s="1" t="s">
        <v>957</v>
      </c>
      <c r="L283" s="1" t="s">
        <v>30</v>
      </c>
      <c r="M283" s="8">
        <v>0</v>
      </c>
      <c r="N283" s="6"/>
      <c r="O283" s="6"/>
      <c r="P283" s="9">
        <v>437.14</v>
      </c>
    </row>
    <row r="284" spans="1:16" ht="19.5" customHeight="1">
      <c r="A284" s="1" t="s">
        <v>1743</v>
      </c>
      <c r="B284" s="5">
        <v>46010</v>
      </c>
      <c r="C284" s="1" t="s">
        <v>31</v>
      </c>
      <c r="D284" s="1" t="s">
        <v>33</v>
      </c>
      <c r="E284" s="1" t="s">
        <v>25</v>
      </c>
      <c r="F284" s="1" t="s">
        <v>26</v>
      </c>
      <c r="G284" s="1" t="s">
        <v>1229</v>
      </c>
      <c r="H284" s="6">
        <v>1</v>
      </c>
      <c r="I284" s="7">
        <v>1071</v>
      </c>
      <c r="J284" s="5">
        <v>46008</v>
      </c>
      <c r="K284" s="1" t="s">
        <v>957</v>
      </c>
      <c r="L284" s="1" t="s">
        <v>30</v>
      </c>
      <c r="M284" s="8">
        <v>0</v>
      </c>
      <c r="N284" s="6"/>
      <c r="O284" s="6"/>
      <c r="P284" s="9">
        <v>4.37</v>
      </c>
    </row>
    <row r="285" spans="1:16" ht="19.5" customHeight="1">
      <c r="A285" s="1" t="s">
        <v>1743</v>
      </c>
      <c r="B285" s="5">
        <v>46010</v>
      </c>
      <c r="C285" s="1" t="s">
        <v>31</v>
      </c>
      <c r="D285" s="1" t="s">
        <v>34</v>
      </c>
      <c r="E285" s="1" t="s">
        <v>25</v>
      </c>
      <c r="F285" s="1" t="s">
        <v>26</v>
      </c>
      <c r="G285" s="1" t="s">
        <v>1229</v>
      </c>
      <c r="H285" s="6">
        <v>1</v>
      </c>
      <c r="I285" s="7">
        <v>1071</v>
      </c>
      <c r="J285" s="5">
        <v>46008</v>
      </c>
      <c r="K285" s="1" t="s">
        <v>957</v>
      </c>
      <c r="L285" s="1" t="s">
        <v>30</v>
      </c>
      <c r="M285" s="8">
        <v>0</v>
      </c>
      <c r="N285" s="6"/>
      <c r="O285" s="6"/>
      <c r="P285" s="9">
        <v>629.49</v>
      </c>
    </row>
    <row r="286" spans="1:16" ht="19.5" customHeight="1">
      <c r="A286" s="1" t="s">
        <v>1743</v>
      </c>
      <c r="B286" s="5">
        <v>46010</v>
      </c>
      <c r="C286" s="1" t="s">
        <v>35</v>
      </c>
      <c r="D286" s="1" t="s">
        <v>36</v>
      </c>
      <c r="E286" s="1" t="s">
        <v>25</v>
      </c>
      <c r="F286" s="1" t="s">
        <v>26</v>
      </c>
      <c r="G286" s="1" t="s">
        <v>1229</v>
      </c>
      <c r="H286" s="6">
        <v>1</v>
      </c>
      <c r="I286" s="7">
        <v>1071</v>
      </c>
      <c r="J286" s="5">
        <v>46008</v>
      </c>
      <c r="K286" s="1" t="s">
        <v>957</v>
      </c>
      <c r="L286" s="1" t="s">
        <v>30</v>
      </c>
      <c r="M286" s="8">
        <v>0.43</v>
      </c>
      <c r="N286" s="6"/>
      <c r="O286" s="6"/>
      <c r="P286" s="9">
        <v>-460.53</v>
      </c>
    </row>
    <row r="287" spans="1:16" ht="19.5" customHeight="1">
      <c r="A287" s="1" t="s">
        <v>1743</v>
      </c>
      <c r="B287" s="5">
        <v>46010</v>
      </c>
      <c r="C287" s="1" t="s">
        <v>17</v>
      </c>
      <c r="D287" s="1" t="s">
        <v>37</v>
      </c>
      <c r="E287" s="1" t="s">
        <v>25</v>
      </c>
      <c r="F287" s="1" t="s">
        <v>26</v>
      </c>
      <c r="G287" s="1" t="s">
        <v>1229</v>
      </c>
      <c r="H287" s="6">
        <v>1</v>
      </c>
      <c r="I287" s="7">
        <v>1071</v>
      </c>
      <c r="J287" s="5">
        <v>46008</v>
      </c>
      <c r="K287" s="1" t="s">
        <v>957</v>
      </c>
      <c r="L287" s="1" t="s">
        <v>30</v>
      </c>
      <c r="M287" s="8">
        <v>0.43</v>
      </c>
      <c r="N287" s="6"/>
      <c r="O287" s="6"/>
      <c r="P287" s="9">
        <v>-4.53</v>
      </c>
    </row>
    <row r="288" spans="1:16" ht="19.5" customHeight="1">
      <c r="A288" s="1" t="s">
        <v>1744</v>
      </c>
      <c r="B288" s="5">
        <v>46010</v>
      </c>
      <c r="C288" s="1" t="s">
        <v>28</v>
      </c>
      <c r="D288" s="1" t="s">
        <v>29</v>
      </c>
      <c r="E288" s="1" t="s">
        <v>25</v>
      </c>
      <c r="F288" s="1" t="s">
        <v>26</v>
      </c>
      <c r="G288" s="1" t="s">
        <v>1229</v>
      </c>
      <c r="H288" s="6">
        <v>1</v>
      </c>
      <c r="I288" s="7">
        <v>1738</v>
      </c>
      <c r="J288" s="5">
        <v>46007</v>
      </c>
      <c r="K288" s="1" t="s">
        <v>957</v>
      </c>
      <c r="L288" s="1" t="s">
        <v>30</v>
      </c>
      <c r="M288" s="8">
        <v>0.43</v>
      </c>
      <c r="N288" s="6"/>
      <c r="O288" s="6">
        <v>37</v>
      </c>
      <c r="P288" s="9">
        <v>-99.16</v>
      </c>
    </row>
    <row r="289" spans="1:16" ht="19.5" customHeight="1">
      <c r="A289" s="1" t="s">
        <v>1744</v>
      </c>
      <c r="B289" s="5">
        <v>46010</v>
      </c>
      <c r="C289" s="1" t="s">
        <v>31</v>
      </c>
      <c r="D289" s="1" t="s">
        <v>32</v>
      </c>
      <c r="E289" s="1" t="s">
        <v>25</v>
      </c>
      <c r="F289" s="1" t="s">
        <v>26</v>
      </c>
      <c r="G289" s="1" t="s">
        <v>1229</v>
      </c>
      <c r="H289" s="6">
        <v>1</v>
      </c>
      <c r="I289" s="7">
        <v>1738</v>
      </c>
      <c r="J289" s="5">
        <v>46007</v>
      </c>
      <c r="K289" s="1" t="s">
        <v>957</v>
      </c>
      <c r="L289" s="1" t="s">
        <v>30</v>
      </c>
      <c r="M289" s="8">
        <v>0</v>
      </c>
      <c r="N289" s="6"/>
      <c r="O289" s="6"/>
      <c r="P289" s="9">
        <v>622.86</v>
      </c>
    </row>
    <row r="290" spans="1:16" ht="19.5" customHeight="1">
      <c r="A290" s="1" t="s">
        <v>1744</v>
      </c>
      <c r="B290" s="5">
        <v>46010</v>
      </c>
      <c r="C290" s="1" t="s">
        <v>31</v>
      </c>
      <c r="D290" s="1" t="s">
        <v>33</v>
      </c>
      <c r="E290" s="1" t="s">
        <v>25</v>
      </c>
      <c r="F290" s="1" t="s">
        <v>26</v>
      </c>
      <c r="G290" s="1" t="s">
        <v>1229</v>
      </c>
      <c r="H290" s="6">
        <v>1</v>
      </c>
      <c r="I290" s="7">
        <v>1738</v>
      </c>
      <c r="J290" s="5">
        <v>46007</v>
      </c>
      <c r="K290" s="1" t="s">
        <v>957</v>
      </c>
      <c r="L290" s="1" t="s">
        <v>30</v>
      </c>
      <c r="M290" s="8">
        <v>0</v>
      </c>
      <c r="N290" s="6"/>
      <c r="O290" s="6"/>
      <c r="P290" s="9">
        <v>6.23</v>
      </c>
    </row>
    <row r="291" spans="1:16" ht="19.5" customHeight="1">
      <c r="A291" s="1" t="s">
        <v>1744</v>
      </c>
      <c r="B291" s="5">
        <v>46010</v>
      </c>
      <c r="C291" s="1" t="s">
        <v>31</v>
      </c>
      <c r="D291" s="1" t="s">
        <v>34</v>
      </c>
      <c r="E291" s="1" t="s">
        <v>25</v>
      </c>
      <c r="F291" s="1" t="s">
        <v>26</v>
      </c>
      <c r="G291" s="1" t="s">
        <v>1229</v>
      </c>
      <c r="H291" s="6">
        <v>1</v>
      </c>
      <c r="I291" s="7">
        <v>1738</v>
      </c>
      <c r="J291" s="5">
        <v>46007</v>
      </c>
      <c r="K291" s="1" t="s">
        <v>957</v>
      </c>
      <c r="L291" s="1" t="s">
        <v>30</v>
      </c>
      <c r="M291" s="8">
        <v>0</v>
      </c>
      <c r="N291" s="6"/>
      <c r="O291" s="6"/>
      <c r="P291" s="9">
        <v>1108.9100000000001</v>
      </c>
    </row>
    <row r="292" spans="1:16" ht="19.5" customHeight="1">
      <c r="A292" s="1" t="s">
        <v>1744</v>
      </c>
      <c r="B292" s="5">
        <v>46010</v>
      </c>
      <c r="C292" s="1" t="s">
        <v>35</v>
      </c>
      <c r="D292" s="1" t="s">
        <v>36</v>
      </c>
      <c r="E292" s="1" t="s">
        <v>25</v>
      </c>
      <c r="F292" s="1" t="s">
        <v>26</v>
      </c>
      <c r="G292" s="1" t="s">
        <v>1229</v>
      </c>
      <c r="H292" s="6">
        <v>1</v>
      </c>
      <c r="I292" s="7">
        <v>1738</v>
      </c>
      <c r="J292" s="5">
        <v>46007</v>
      </c>
      <c r="K292" s="1" t="s">
        <v>957</v>
      </c>
      <c r="L292" s="1" t="s">
        <v>30</v>
      </c>
      <c r="M292" s="8">
        <v>0.43</v>
      </c>
      <c r="N292" s="6"/>
      <c r="O292" s="6"/>
      <c r="P292" s="9">
        <v>-747.34</v>
      </c>
    </row>
    <row r="293" spans="1:16" ht="19.5" customHeight="1">
      <c r="A293" s="1" t="s">
        <v>1744</v>
      </c>
      <c r="B293" s="5">
        <v>46010</v>
      </c>
      <c r="C293" s="1" t="s">
        <v>17</v>
      </c>
      <c r="D293" s="1" t="s">
        <v>37</v>
      </c>
      <c r="E293" s="1" t="s">
        <v>25</v>
      </c>
      <c r="F293" s="1" t="s">
        <v>26</v>
      </c>
      <c r="G293" s="1" t="s">
        <v>1229</v>
      </c>
      <c r="H293" s="6">
        <v>1</v>
      </c>
      <c r="I293" s="7">
        <v>1738</v>
      </c>
      <c r="J293" s="5">
        <v>46007</v>
      </c>
      <c r="K293" s="1" t="s">
        <v>957</v>
      </c>
      <c r="L293" s="1" t="s">
        <v>30</v>
      </c>
      <c r="M293" s="8">
        <v>0.43</v>
      </c>
      <c r="N293" s="6"/>
      <c r="O293" s="6"/>
      <c r="P293" s="9">
        <v>-7.29</v>
      </c>
    </row>
    <row r="294" spans="1:16" ht="19.5" customHeight="1">
      <c r="A294" s="1" t="s">
        <v>1745</v>
      </c>
      <c r="B294" s="5">
        <v>46010</v>
      </c>
      <c r="C294" s="1" t="s">
        <v>28</v>
      </c>
      <c r="D294" s="1" t="s">
        <v>29</v>
      </c>
      <c r="E294" s="1" t="s">
        <v>25</v>
      </c>
      <c r="F294" s="1" t="s">
        <v>26</v>
      </c>
      <c r="G294" s="1" t="s">
        <v>1229</v>
      </c>
      <c r="H294" s="6">
        <v>1</v>
      </c>
      <c r="I294" s="7">
        <v>1738</v>
      </c>
      <c r="J294" s="5">
        <v>46007</v>
      </c>
      <c r="K294" s="1" t="s">
        <v>957</v>
      </c>
      <c r="L294" s="1" t="s">
        <v>30</v>
      </c>
      <c r="M294" s="8">
        <v>0.43</v>
      </c>
      <c r="N294" s="6"/>
      <c r="O294" s="6">
        <v>37</v>
      </c>
      <c r="P294" s="9">
        <v>-100.24</v>
      </c>
    </row>
    <row r="295" spans="1:16" ht="19.5" customHeight="1">
      <c r="A295" s="1" t="s">
        <v>1745</v>
      </c>
      <c r="B295" s="5">
        <v>46010</v>
      </c>
      <c r="C295" s="1" t="s">
        <v>31</v>
      </c>
      <c r="D295" s="1" t="s">
        <v>32</v>
      </c>
      <c r="E295" s="1" t="s">
        <v>25</v>
      </c>
      <c r="F295" s="1" t="s">
        <v>26</v>
      </c>
      <c r="G295" s="1" t="s">
        <v>1229</v>
      </c>
      <c r="H295" s="6">
        <v>1</v>
      </c>
      <c r="I295" s="7">
        <v>1738</v>
      </c>
      <c r="J295" s="5">
        <v>46007</v>
      </c>
      <c r="K295" s="1" t="s">
        <v>957</v>
      </c>
      <c r="L295" s="1" t="s">
        <v>30</v>
      </c>
      <c r="M295" s="8">
        <v>0</v>
      </c>
      <c r="N295" s="6"/>
      <c r="O295" s="6"/>
      <c r="P295" s="9">
        <v>690.48</v>
      </c>
    </row>
    <row r="296" spans="1:16" ht="19.5" customHeight="1">
      <c r="A296" s="1" t="s">
        <v>1745</v>
      </c>
      <c r="B296" s="5">
        <v>46010</v>
      </c>
      <c r="C296" s="1" t="s">
        <v>31</v>
      </c>
      <c r="D296" s="1" t="s">
        <v>33</v>
      </c>
      <c r="E296" s="1" t="s">
        <v>25</v>
      </c>
      <c r="F296" s="1" t="s">
        <v>26</v>
      </c>
      <c r="G296" s="1" t="s">
        <v>1229</v>
      </c>
      <c r="H296" s="6">
        <v>1</v>
      </c>
      <c r="I296" s="7">
        <v>1738</v>
      </c>
      <c r="J296" s="5">
        <v>46007</v>
      </c>
      <c r="K296" s="1" t="s">
        <v>957</v>
      </c>
      <c r="L296" s="1" t="s">
        <v>30</v>
      </c>
      <c r="M296" s="8">
        <v>0</v>
      </c>
      <c r="N296" s="6"/>
      <c r="O296" s="6"/>
      <c r="P296" s="9">
        <v>0</v>
      </c>
    </row>
    <row r="297" spans="1:16" ht="19.5" customHeight="1">
      <c r="A297" s="1" t="s">
        <v>1745</v>
      </c>
      <c r="B297" s="5">
        <v>46010</v>
      </c>
      <c r="C297" s="1" t="s">
        <v>31</v>
      </c>
      <c r="D297" s="1" t="s">
        <v>34</v>
      </c>
      <c r="E297" s="1" t="s">
        <v>25</v>
      </c>
      <c r="F297" s="1" t="s">
        <v>26</v>
      </c>
      <c r="G297" s="1" t="s">
        <v>1229</v>
      </c>
      <c r="H297" s="6">
        <v>1</v>
      </c>
      <c r="I297" s="7">
        <v>1738</v>
      </c>
      <c r="J297" s="5">
        <v>46007</v>
      </c>
      <c r="K297" s="1" t="s">
        <v>957</v>
      </c>
      <c r="L297" s="1" t="s">
        <v>30</v>
      </c>
      <c r="M297" s="8">
        <v>0</v>
      </c>
      <c r="N297" s="6"/>
      <c r="O297" s="6"/>
      <c r="P297" s="9">
        <v>1047.52</v>
      </c>
    </row>
    <row r="298" spans="1:16" ht="19.5" customHeight="1">
      <c r="A298" s="1" t="s">
        <v>1745</v>
      </c>
      <c r="B298" s="5">
        <v>46010</v>
      </c>
      <c r="C298" s="1" t="s">
        <v>35</v>
      </c>
      <c r="D298" s="1" t="s">
        <v>36</v>
      </c>
      <c r="E298" s="1" t="s">
        <v>25</v>
      </c>
      <c r="F298" s="1" t="s">
        <v>26</v>
      </c>
      <c r="G298" s="1" t="s">
        <v>1229</v>
      </c>
      <c r="H298" s="6">
        <v>1</v>
      </c>
      <c r="I298" s="7">
        <v>1738</v>
      </c>
      <c r="J298" s="5">
        <v>46007</v>
      </c>
      <c r="K298" s="1" t="s">
        <v>957</v>
      </c>
      <c r="L298" s="1" t="s">
        <v>30</v>
      </c>
      <c r="M298" s="8">
        <v>0.43</v>
      </c>
      <c r="N298" s="6"/>
      <c r="O298" s="6"/>
      <c r="P298" s="9">
        <v>-747.34</v>
      </c>
    </row>
    <row r="299" spans="1:16" ht="19.5" customHeight="1">
      <c r="A299" s="1" t="s">
        <v>1745</v>
      </c>
      <c r="B299" s="5">
        <v>46010</v>
      </c>
      <c r="C299" s="1" t="s">
        <v>17</v>
      </c>
      <c r="D299" s="1" t="s">
        <v>37</v>
      </c>
      <c r="E299" s="1" t="s">
        <v>25</v>
      </c>
      <c r="F299" s="1" t="s">
        <v>26</v>
      </c>
      <c r="G299" s="1" t="s">
        <v>1229</v>
      </c>
      <c r="H299" s="6">
        <v>1</v>
      </c>
      <c r="I299" s="7">
        <v>1738</v>
      </c>
      <c r="J299" s="5">
        <v>46007</v>
      </c>
      <c r="K299" s="1" t="s">
        <v>957</v>
      </c>
      <c r="L299" s="1" t="s">
        <v>30</v>
      </c>
      <c r="M299" s="8">
        <v>0.43</v>
      </c>
      <c r="N299" s="6"/>
      <c r="O299" s="6"/>
      <c r="P299" s="9">
        <v>-18.760000000000002</v>
      </c>
    </row>
    <row r="300" spans="1:16" ht="19.5" customHeight="1">
      <c r="A300" s="1" t="s">
        <v>1746</v>
      </c>
      <c r="B300" s="5">
        <v>46010</v>
      </c>
      <c r="C300" s="1" t="s">
        <v>17</v>
      </c>
      <c r="D300" s="1" t="s">
        <v>18</v>
      </c>
      <c r="E300" s="1" t="s">
        <v>25</v>
      </c>
      <c r="F300" s="1" t="s">
        <v>26</v>
      </c>
      <c r="G300" s="1" t="s">
        <v>1229</v>
      </c>
      <c r="H300" s="6">
        <v>1</v>
      </c>
      <c r="I300" s="7">
        <v>0</v>
      </c>
      <c r="J300" s="5">
        <v>46010</v>
      </c>
      <c r="K300" s="1" t="s">
        <v>22</v>
      </c>
      <c r="L300" s="1" t="s">
        <v>22</v>
      </c>
      <c r="M300" s="8">
        <v>0</v>
      </c>
      <c r="N300" s="6"/>
      <c r="O300" s="6"/>
      <c r="P300" s="9">
        <v>-2.92</v>
      </c>
    </row>
    <row r="301" spans="1:16" ht="19.5" customHeight="1">
      <c r="A301" s="1" t="s">
        <v>1745</v>
      </c>
      <c r="B301" s="5">
        <v>46010</v>
      </c>
      <c r="C301" s="1" t="s">
        <v>17</v>
      </c>
      <c r="D301" s="1" t="s">
        <v>18</v>
      </c>
      <c r="E301" s="1" t="s">
        <v>25</v>
      </c>
      <c r="F301" s="1" t="s">
        <v>26</v>
      </c>
      <c r="G301" s="1" t="s">
        <v>1229</v>
      </c>
      <c r="H301" s="6">
        <v>1</v>
      </c>
      <c r="I301" s="7">
        <v>0</v>
      </c>
      <c r="J301" s="5">
        <v>46007</v>
      </c>
      <c r="K301" s="1" t="s">
        <v>22</v>
      </c>
      <c r="L301" s="1" t="s">
        <v>22</v>
      </c>
      <c r="M301" s="8">
        <v>0</v>
      </c>
      <c r="N301" s="6"/>
      <c r="O301" s="6"/>
      <c r="P301" s="9">
        <v>-4.3499999999999996</v>
      </c>
    </row>
    <row r="302" spans="1:16" ht="19.5" customHeight="1">
      <c r="A302" s="1" t="s">
        <v>1747</v>
      </c>
      <c r="B302" s="5">
        <v>46010</v>
      </c>
      <c r="C302" s="1" t="s">
        <v>28</v>
      </c>
      <c r="D302" s="1" t="s">
        <v>29</v>
      </c>
      <c r="E302" s="1" t="s">
        <v>227</v>
      </c>
      <c r="F302" s="1" t="s">
        <v>402</v>
      </c>
      <c r="G302" s="1" t="s">
        <v>1229</v>
      </c>
      <c r="H302" s="6">
        <v>1</v>
      </c>
      <c r="I302" s="7">
        <v>0</v>
      </c>
      <c r="J302" s="5">
        <v>46006</v>
      </c>
      <c r="K302" s="1" t="s">
        <v>957</v>
      </c>
      <c r="L302" s="1" t="s">
        <v>30</v>
      </c>
      <c r="M302" s="8">
        <v>0</v>
      </c>
      <c r="N302" s="6"/>
      <c r="O302" s="6">
        <v>38</v>
      </c>
      <c r="P302" s="9">
        <v>-46.77</v>
      </c>
    </row>
    <row r="303" spans="1:16" ht="19.5" customHeight="1">
      <c r="A303" s="1" t="s">
        <v>1747</v>
      </c>
      <c r="B303" s="5">
        <v>46010</v>
      </c>
      <c r="C303" s="1" t="s">
        <v>17</v>
      </c>
      <c r="D303" s="1" t="s">
        <v>37</v>
      </c>
      <c r="E303" s="1" t="s">
        <v>227</v>
      </c>
      <c r="F303" s="1" t="s">
        <v>402</v>
      </c>
      <c r="G303" s="1" t="s">
        <v>1229</v>
      </c>
      <c r="H303" s="6">
        <v>1</v>
      </c>
      <c r="I303" s="7">
        <v>0</v>
      </c>
      <c r="J303" s="5">
        <v>46006</v>
      </c>
      <c r="K303" s="1" t="s">
        <v>957</v>
      </c>
      <c r="L303" s="1" t="s">
        <v>30</v>
      </c>
      <c r="M303" s="8">
        <v>0</v>
      </c>
      <c r="N303" s="6"/>
      <c r="O303" s="6"/>
      <c r="P303" s="9">
        <v>-6.56</v>
      </c>
    </row>
    <row r="304" spans="1:16" ht="19.5" customHeight="1">
      <c r="A304" s="1" t="s">
        <v>1747</v>
      </c>
      <c r="B304" s="5">
        <v>46010</v>
      </c>
      <c r="C304" s="1" t="s">
        <v>28</v>
      </c>
      <c r="D304" s="1" t="s">
        <v>45</v>
      </c>
      <c r="E304" s="1" t="s">
        <v>227</v>
      </c>
      <c r="F304" s="1" t="s">
        <v>402</v>
      </c>
      <c r="G304" s="1" t="s">
        <v>1229</v>
      </c>
      <c r="H304" s="6">
        <v>1</v>
      </c>
      <c r="I304" s="7">
        <v>0</v>
      </c>
      <c r="J304" s="5">
        <v>46006</v>
      </c>
      <c r="K304" s="1" t="s">
        <v>957</v>
      </c>
      <c r="L304" s="1" t="s">
        <v>30</v>
      </c>
      <c r="M304" s="8">
        <v>0</v>
      </c>
      <c r="N304" s="6"/>
      <c r="O304" s="6"/>
      <c r="P304" s="9">
        <v>0</v>
      </c>
    </row>
    <row r="305" spans="1:16" ht="19.5" customHeight="1">
      <c r="A305" s="1" t="s">
        <v>1747</v>
      </c>
      <c r="B305" s="5">
        <v>46010</v>
      </c>
      <c r="C305" s="1" t="s">
        <v>28</v>
      </c>
      <c r="D305" s="1" t="s">
        <v>46</v>
      </c>
      <c r="E305" s="1" t="s">
        <v>227</v>
      </c>
      <c r="F305" s="1" t="s">
        <v>402</v>
      </c>
      <c r="G305" s="1" t="s">
        <v>1229</v>
      </c>
      <c r="H305" s="6">
        <v>1</v>
      </c>
      <c r="I305" s="7">
        <v>0</v>
      </c>
      <c r="J305" s="5">
        <v>46006</v>
      </c>
      <c r="K305" s="1" t="s">
        <v>957</v>
      </c>
      <c r="L305" s="1" t="s">
        <v>30</v>
      </c>
      <c r="M305" s="8">
        <v>0</v>
      </c>
      <c r="N305" s="6"/>
      <c r="O305" s="6"/>
      <c r="P305" s="9">
        <v>-46.77</v>
      </c>
    </row>
    <row r="306" spans="1:16" ht="19.5" customHeight="1">
      <c r="A306" s="1" t="s">
        <v>1747</v>
      </c>
      <c r="B306" s="5">
        <v>46010</v>
      </c>
      <c r="C306" s="1" t="s">
        <v>17</v>
      </c>
      <c r="D306" s="1" t="s">
        <v>47</v>
      </c>
      <c r="E306" s="1" t="s">
        <v>227</v>
      </c>
      <c r="F306" s="1" t="s">
        <v>402</v>
      </c>
      <c r="G306" s="1" t="s">
        <v>1229</v>
      </c>
      <c r="H306" s="6">
        <v>1</v>
      </c>
      <c r="I306" s="7">
        <v>0</v>
      </c>
      <c r="J306" s="5">
        <v>46006</v>
      </c>
      <c r="K306" s="1" t="s">
        <v>957</v>
      </c>
      <c r="L306" s="1" t="s">
        <v>30</v>
      </c>
      <c r="M306" s="8">
        <v>0</v>
      </c>
      <c r="N306" s="6"/>
      <c r="O306" s="6"/>
      <c r="P306" s="9">
        <v>-15</v>
      </c>
    </row>
    <row r="307" spans="1:16" ht="19.5" customHeight="1">
      <c r="A307" s="1" t="s">
        <v>1748</v>
      </c>
      <c r="B307" s="5">
        <v>46010</v>
      </c>
      <c r="C307" s="1" t="s">
        <v>28</v>
      </c>
      <c r="D307" s="1" t="s">
        <v>29</v>
      </c>
      <c r="E307" s="1" t="s">
        <v>70</v>
      </c>
      <c r="F307" s="1" t="s">
        <v>71</v>
      </c>
      <c r="G307" s="1" t="s">
        <v>1133</v>
      </c>
      <c r="H307" s="6">
        <v>1</v>
      </c>
      <c r="I307" s="7">
        <v>6500</v>
      </c>
      <c r="J307" s="5">
        <v>46007</v>
      </c>
      <c r="K307" s="1" t="s">
        <v>957</v>
      </c>
      <c r="L307" s="1" t="s">
        <v>30</v>
      </c>
      <c r="M307" s="8">
        <v>0.43</v>
      </c>
      <c r="N307" s="6"/>
      <c r="O307" s="6">
        <v>37</v>
      </c>
      <c r="P307" s="9">
        <v>-209.72</v>
      </c>
    </row>
    <row r="308" spans="1:16" ht="19.5" customHeight="1">
      <c r="A308" s="1" t="s">
        <v>1748</v>
      </c>
      <c r="B308" s="5">
        <v>46010</v>
      </c>
      <c r="C308" s="1" t="s">
        <v>31</v>
      </c>
      <c r="D308" s="1" t="s">
        <v>32</v>
      </c>
      <c r="E308" s="1" t="s">
        <v>70</v>
      </c>
      <c r="F308" s="1" t="s">
        <v>71</v>
      </c>
      <c r="G308" s="1" t="s">
        <v>1133</v>
      </c>
      <c r="H308" s="6">
        <v>1</v>
      </c>
      <c r="I308" s="7">
        <v>6500</v>
      </c>
      <c r="J308" s="5">
        <v>46007</v>
      </c>
      <c r="K308" s="1" t="s">
        <v>957</v>
      </c>
      <c r="L308" s="1" t="s">
        <v>30</v>
      </c>
      <c r="M308" s="8">
        <v>0</v>
      </c>
      <c r="N308" s="6"/>
      <c r="O308" s="6"/>
      <c r="P308" s="9">
        <v>3333.33</v>
      </c>
    </row>
    <row r="309" spans="1:16" ht="19.5" customHeight="1">
      <c r="A309" s="1" t="s">
        <v>1748</v>
      </c>
      <c r="B309" s="5">
        <v>46010</v>
      </c>
      <c r="C309" s="1" t="s">
        <v>31</v>
      </c>
      <c r="D309" s="1" t="s">
        <v>33</v>
      </c>
      <c r="E309" s="1" t="s">
        <v>70</v>
      </c>
      <c r="F309" s="1" t="s">
        <v>71</v>
      </c>
      <c r="G309" s="1" t="s">
        <v>1133</v>
      </c>
      <c r="H309" s="6">
        <v>1</v>
      </c>
      <c r="I309" s="7">
        <v>6500</v>
      </c>
      <c r="J309" s="5">
        <v>46007</v>
      </c>
      <c r="K309" s="1" t="s">
        <v>957</v>
      </c>
      <c r="L309" s="1" t="s">
        <v>30</v>
      </c>
      <c r="M309" s="8">
        <v>0</v>
      </c>
      <c r="N309" s="6"/>
      <c r="O309" s="6"/>
      <c r="P309" s="9">
        <v>33.33</v>
      </c>
    </row>
    <row r="310" spans="1:16" ht="19.5" customHeight="1">
      <c r="A310" s="1" t="s">
        <v>1748</v>
      </c>
      <c r="B310" s="5">
        <v>46010</v>
      </c>
      <c r="C310" s="1" t="s">
        <v>31</v>
      </c>
      <c r="D310" s="1" t="s">
        <v>34</v>
      </c>
      <c r="E310" s="1" t="s">
        <v>70</v>
      </c>
      <c r="F310" s="1" t="s">
        <v>71</v>
      </c>
      <c r="G310" s="1" t="s">
        <v>1133</v>
      </c>
      <c r="H310" s="6">
        <v>1</v>
      </c>
      <c r="I310" s="7">
        <v>6500</v>
      </c>
      <c r="J310" s="5">
        <v>46007</v>
      </c>
      <c r="K310" s="1" t="s">
        <v>957</v>
      </c>
      <c r="L310" s="1" t="s">
        <v>30</v>
      </c>
      <c r="M310" s="8">
        <v>0</v>
      </c>
      <c r="N310" s="6"/>
      <c r="O310" s="6"/>
      <c r="P310" s="9">
        <v>3133.34</v>
      </c>
    </row>
    <row r="311" spans="1:16" ht="19.5" customHeight="1">
      <c r="A311" s="1" t="s">
        <v>1748</v>
      </c>
      <c r="B311" s="5">
        <v>46010</v>
      </c>
      <c r="C311" s="1" t="s">
        <v>35</v>
      </c>
      <c r="D311" s="1" t="s">
        <v>36</v>
      </c>
      <c r="E311" s="1" t="s">
        <v>70</v>
      </c>
      <c r="F311" s="1" t="s">
        <v>71</v>
      </c>
      <c r="G311" s="1" t="s">
        <v>1133</v>
      </c>
      <c r="H311" s="6">
        <v>1</v>
      </c>
      <c r="I311" s="7">
        <v>6500</v>
      </c>
      <c r="J311" s="5">
        <v>46007</v>
      </c>
      <c r="K311" s="1" t="s">
        <v>957</v>
      </c>
      <c r="L311" s="1" t="s">
        <v>30</v>
      </c>
      <c r="M311" s="8">
        <v>0.43</v>
      </c>
      <c r="N311" s="6"/>
      <c r="O311" s="6"/>
      <c r="P311" s="9">
        <v>-2795</v>
      </c>
    </row>
    <row r="312" spans="1:16" ht="19.5" customHeight="1">
      <c r="A312" s="1" t="s">
        <v>1748</v>
      </c>
      <c r="B312" s="5">
        <v>46010</v>
      </c>
      <c r="C312" s="1" t="s">
        <v>17</v>
      </c>
      <c r="D312" s="1" t="s">
        <v>37</v>
      </c>
      <c r="E312" s="1" t="s">
        <v>70</v>
      </c>
      <c r="F312" s="1" t="s">
        <v>71</v>
      </c>
      <c r="G312" s="1" t="s">
        <v>1133</v>
      </c>
      <c r="H312" s="6">
        <v>1</v>
      </c>
      <c r="I312" s="7">
        <v>6500</v>
      </c>
      <c r="J312" s="5">
        <v>46007</v>
      </c>
      <c r="K312" s="1" t="s">
        <v>957</v>
      </c>
      <c r="L312" s="1" t="s">
        <v>30</v>
      </c>
      <c r="M312" s="8">
        <v>0.43</v>
      </c>
      <c r="N312" s="6"/>
      <c r="O312" s="6"/>
      <c r="P312" s="9">
        <v>-14.27</v>
      </c>
    </row>
    <row r="313" spans="1:16" ht="19.5" customHeight="1">
      <c r="A313" s="1" t="s">
        <v>1749</v>
      </c>
      <c r="B313" s="5">
        <v>46010</v>
      </c>
      <c r="C313" s="1" t="s">
        <v>28</v>
      </c>
      <c r="D313" s="1" t="s">
        <v>29</v>
      </c>
      <c r="E313" s="1" t="s">
        <v>25</v>
      </c>
      <c r="F313" s="1" t="s">
        <v>26</v>
      </c>
      <c r="G313" s="1" t="s">
        <v>1229</v>
      </c>
      <c r="H313" s="6">
        <v>1</v>
      </c>
      <c r="I313" s="7">
        <v>1071</v>
      </c>
      <c r="J313" s="5">
        <v>46009</v>
      </c>
      <c r="K313" s="1" t="s">
        <v>957</v>
      </c>
      <c r="L313" s="1" t="s">
        <v>30</v>
      </c>
      <c r="M313" s="8">
        <v>0.43</v>
      </c>
      <c r="N313" s="6"/>
      <c r="O313" s="6">
        <v>40</v>
      </c>
      <c r="P313" s="9">
        <v>-96.77</v>
      </c>
    </row>
    <row r="314" spans="1:16" ht="19.5" customHeight="1">
      <c r="A314" s="1" t="s">
        <v>1749</v>
      </c>
      <c r="B314" s="5">
        <v>46010</v>
      </c>
      <c r="C314" s="1" t="s">
        <v>31</v>
      </c>
      <c r="D314" s="1" t="s">
        <v>32</v>
      </c>
      <c r="E314" s="1" t="s">
        <v>25</v>
      </c>
      <c r="F314" s="1" t="s">
        <v>26</v>
      </c>
      <c r="G314" s="1" t="s">
        <v>1229</v>
      </c>
      <c r="H314" s="6">
        <v>1</v>
      </c>
      <c r="I314" s="7">
        <v>1071</v>
      </c>
      <c r="J314" s="5">
        <v>46009</v>
      </c>
      <c r="K314" s="1" t="s">
        <v>957</v>
      </c>
      <c r="L314" s="1" t="s">
        <v>30</v>
      </c>
      <c r="M314" s="8">
        <v>0</v>
      </c>
      <c r="N314" s="6"/>
      <c r="O314" s="6"/>
      <c r="P314" s="9">
        <v>488.11</v>
      </c>
    </row>
    <row r="315" spans="1:16" ht="19.5" customHeight="1">
      <c r="A315" s="1" t="s">
        <v>1749</v>
      </c>
      <c r="B315" s="5">
        <v>46010</v>
      </c>
      <c r="C315" s="1" t="s">
        <v>31</v>
      </c>
      <c r="D315" s="1" t="s">
        <v>33</v>
      </c>
      <c r="E315" s="1" t="s">
        <v>25</v>
      </c>
      <c r="F315" s="1" t="s">
        <v>26</v>
      </c>
      <c r="G315" s="1" t="s">
        <v>1229</v>
      </c>
      <c r="H315" s="6">
        <v>1</v>
      </c>
      <c r="I315" s="7">
        <v>1071</v>
      </c>
      <c r="J315" s="5">
        <v>46009</v>
      </c>
      <c r="K315" s="1" t="s">
        <v>957</v>
      </c>
      <c r="L315" s="1" t="s">
        <v>30</v>
      </c>
      <c r="M315" s="8">
        <v>0</v>
      </c>
      <c r="N315" s="6"/>
      <c r="O315" s="6"/>
      <c r="P315" s="9">
        <v>4.88</v>
      </c>
    </row>
    <row r="316" spans="1:16" ht="19.5" customHeight="1">
      <c r="A316" s="1" t="s">
        <v>1749</v>
      </c>
      <c r="B316" s="5">
        <v>46010</v>
      </c>
      <c r="C316" s="1" t="s">
        <v>31</v>
      </c>
      <c r="D316" s="1" t="s">
        <v>34</v>
      </c>
      <c r="E316" s="1" t="s">
        <v>25</v>
      </c>
      <c r="F316" s="1" t="s">
        <v>26</v>
      </c>
      <c r="G316" s="1" t="s">
        <v>1229</v>
      </c>
      <c r="H316" s="6">
        <v>1</v>
      </c>
      <c r="I316" s="7">
        <v>1071</v>
      </c>
      <c r="J316" s="5">
        <v>46009</v>
      </c>
      <c r="K316" s="1" t="s">
        <v>957</v>
      </c>
      <c r="L316" s="1" t="s">
        <v>30</v>
      </c>
      <c r="M316" s="8">
        <v>0</v>
      </c>
      <c r="N316" s="6"/>
      <c r="O316" s="6"/>
      <c r="P316" s="9">
        <v>578.01</v>
      </c>
    </row>
    <row r="317" spans="1:16" ht="19.5" customHeight="1">
      <c r="A317" s="1" t="s">
        <v>1749</v>
      </c>
      <c r="B317" s="5">
        <v>46010</v>
      </c>
      <c r="C317" s="1" t="s">
        <v>35</v>
      </c>
      <c r="D317" s="1" t="s">
        <v>36</v>
      </c>
      <c r="E317" s="1" t="s">
        <v>25</v>
      </c>
      <c r="F317" s="1" t="s">
        <v>26</v>
      </c>
      <c r="G317" s="1" t="s">
        <v>1229</v>
      </c>
      <c r="H317" s="6">
        <v>1</v>
      </c>
      <c r="I317" s="7">
        <v>1071</v>
      </c>
      <c r="J317" s="5">
        <v>46009</v>
      </c>
      <c r="K317" s="1" t="s">
        <v>957</v>
      </c>
      <c r="L317" s="1" t="s">
        <v>30</v>
      </c>
      <c r="M317" s="8">
        <v>0.43</v>
      </c>
      <c r="N317" s="6"/>
      <c r="O317" s="6"/>
      <c r="P317" s="9">
        <v>-460.53</v>
      </c>
    </row>
    <row r="318" spans="1:16" ht="19.5" customHeight="1">
      <c r="A318" s="1" t="s">
        <v>1749</v>
      </c>
      <c r="B318" s="5">
        <v>46010</v>
      </c>
      <c r="C318" s="1" t="s">
        <v>17</v>
      </c>
      <c r="D318" s="1" t="s">
        <v>37</v>
      </c>
      <c r="E318" s="1" t="s">
        <v>25</v>
      </c>
      <c r="F318" s="1" t="s">
        <v>26</v>
      </c>
      <c r="G318" s="1" t="s">
        <v>1229</v>
      </c>
      <c r="H318" s="6">
        <v>1</v>
      </c>
      <c r="I318" s="7">
        <v>1071</v>
      </c>
      <c r="J318" s="5">
        <v>46009</v>
      </c>
      <c r="K318" s="1" t="s">
        <v>957</v>
      </c>
      <c r="L318" s="1" t="s">
        <v>30</v>
      </c>
      <c r="M318" s="8">
        <v>0.43</v>
      </c>
      <c r="N318" s="6"/>
      <c r="O318" s="6"/>
      <c r="P318" s="9">
        <v>-5.78</v>
      </c>
    </row>
    <row r="319" spans="1:16" ht="19.5" customHeight="1">
      <c r="A319" s="1" t="s">
        <v>1748</v>
      </c>
      <c r="B319" s="5">
        <v>46010</v>
      </c>
      <c r="C319" s="1" t="s">
        <v>17</v>
      </c>
      <c r="D319" s="1" t="s">
        <v>18</v>
      </c>
      <c r="E319" s="1" t="s">
        <v>70</v>
      </c>
      <c r="F319" s="1" t="s">
        <v>71</v>
      </c>
      <c r="G319" s="1" t="s">
        <v>1133</v>
      </c>
      <c r="H319" s="6">
        <v>1</v>
      </c>
      <c r="I319" s="7">
        <v>0</v>
      </c>
      <c r="J319" s="5">
        <v>46007</v>
      </c>
      <c r="K319" s="1" t="s">
        <v>22</v>
      </c>
      <c r="L319" s="1" t="s">
        <v>22</v>
      </c>
      <c r="M319" s="8">
        <v>0</v>
      </c>
      <c r="N319" s="6"/>
      <c r="O319" s="6"/>
      <c r="P319" s="9">
        <v>-63.33</v>
      </c>
    </row>
    <row r="320" spans="1:16" ht="19.5" customHeight="1">
      <c r="A320" s="1" t="s">
        <v>1750</v>
      </c>
      <c r="B320" s="5">
        <v>46010</v>
      </c>
      <c r="C320" s="1" t="s">
        <v>28</v>
      </c>
      <c r="D320" s="1" t="s">
        <v>29</v>
      </c>
      <c r="E320" s="1" t="s">
        <v>25</v>
      </c>
      <c r="F320" s="1" t="s">
        <v>26</v>
      </c>
      <c r="G320" s="1" t="s">
        <v>1229</v>
      </c>
      <c r="H320" s="6">
        <v>1</v>
      </c>
      <c r="I320" s="7">
        <v>1124</v>
      </c>
      <c r="J320" s="5">
        <v>46003</v>
      </c>
      <c r="K320" s="1" t="s">
        <v>957</v>
      </c>
      <c r="L320" s="1" t="s">
        <v>30</v>
      </c>
      <c r="M320" s="8">
        <v>0.43</v>
      </c>
      <c r="N320" s="6"/>
      <c r="O320" s="6">
        <v>40</v>
      </c>
      <c r="P320" s="9">
        <v>-99.28</v>
      </c>
    </row>
    <row r="321" spans="1:16" ht="19.5" customHeight="1">
      <c r="A321" s="1" t="s">
        <v>1750</v>
      </c>
      <c r="B321" s="5">
        <v>46010</v>
      </c>
      <c r="C321" s="1" t="s">
        <v>31</v>
      </c>
      <c r="D321" s="1" t="s">
        <v>32</v>
      </c>
      <c r="E321" s="1" t="s">
        <v>25</v>
      </c>
      <c r="F321" s="1" t="s">
        <v>26</v>
      </c>
      <c r="G321" s="1" t="s">
        <v>1229</v>
      </c>
      <c r="H321" s="6">
        <v>1</v>
      </c>
      <c r="I321" s="7">
        <v>1124</v>
      </c>
      <c r="J321" s="5">
        <v>46003</v>
      </c>
      <c r="K321" s="1" t="s">
        <v>957</v>
      </c>
      <c r="L321" s="1" t="s">
        <v>30</v>
      </c>
      <c r="M321" s="8">
        <v>0</v>
      </c>
      <c r="N321" s="6"/>
      <c r="O321" s="6"/>
      <c r="P321" s="9">
        <v>648.34</v>
      </c>
    </row>
    <row r="322" spans="1:16" ht="19.5" customHeight="1">
      <c r="A322" s="1" t="s">
        <v>1750</v>
      </c>
      <c r="B322" s="5">
        <v>46010</v>
      </c>
      <c r="C322" s="1" t="s">
        <v>31</v>
      </c>
      <c r="D322" s="1" t="s">
        <v>33</v>
      </c>
      <c r="E322" s="1" t="s">
        <v>25</v>
      </c>
      <c r="F322" s="1" t="s">
        <v>26</v>
      </c>
      <c r="G322" s="1" t="s">
        <v>1229</v>
      </c>
      <c r="H322" s="6">
        <v>1</v>
      </c>
      <c r="I322" s="7">
        <v>1124</v>
      </c>
      <c r="J322" s="5">
        <v>46003</v>
      </c>
      <c r="K322" s="1" t="s">
        <v>957</v>
      </c>
      <c r="L322" s="1" t="s">
        <v>30</v>
      </c>
      <c r="M322" s="8">
        <v>0</v>
      </c>
      <c r="N322" s="6"/>
      <c r="O322" s="6"/>
      <c r="P322" s="9">
        <v>6.48</v>
      </c>
    </row>
    <row r="323" spans="1:16" ht="19.5" customHeight="1">
      <c r="A323" s="1" t="s">
        <v>1750</v>
      </c>
      <c r="B323" s="5">
        <v>46010</v>
      </c>
      <c r="C323" s="1" t="s">
        <v>31</v>
      </c>
      <c r="D323" s="1" t="s">
        <v>34</v>
      </c>
      <c r="E323" s="1" t="s">
        <v>25</v>
      </c>
      <c r="F323" s="1" t="s">
        <v>26</v>
      </c>
      <c r="G323" s="1" t="s">
        <v>1229</v>
      </c>
      <c r="H323" s="6">
        <v>1</v>
      </c>
      <c r="I323" s="7">
        <v>1124</v>
      </c>
      <c r="J323" s="5">
        <v>46003</v>
      </c>
      <c r="K323" s="1" t="s">
        <v>957</v>
      </c>
      <c r="L323" s="1" t="s">
        <v>30</v>
      </c>
      <c r="M323" s="8">
        <v>0</v>
      </c>
      <c r="N323" s="6"/>
      <c r="O323" s="6"/>
      <c r="P323" s="9">
        <v>469.18</v>
      </c>
    </row>
    <row r="324" spans="1:16" ht="19.5" customHeight="1">
      <c r="A324" s="1" t="s">
        <v>1750</v>
      </c>
      <c r="B324" s="5">
        <v>46010</v>
      </c>
      <c r="C324" s="1" t="s">
        <v>35</v>
      </c>
      <c r="D324" s="1" t="s">
        <v>36</v>
      </c>
      <c r="E324" s="1" t="s">
        <v>25</v>
      </c>
      <c r="F324" s="1" t="s">
        <v>26</v>
      </c>
      <c r="G324" s="1" t="s">
        <v>1229</v>
      </c>
      <c r="H324" s="6">
        <v>1</v>
      </c>
      <c r="I324" s="7">
        <v>1124</v>
      </c>
      <c r="J324" s="5">
        <v>46003</v>
      </c>
      <c r="K324" s="1" t="s">
        <v>957</v>
      </c>
      <c r="L324" s="1" t="s">
        <v>30</v>
      </c>
      <c r="M324" s="8">
        <v>0.43</v>
      </c>
      <c r="N324" s="6"/>
      <c r="O324" s="6"/>
      <c r="P324" s="9">
        <v>-483.32</v>
      </c>
    </row>
    <row r="325" spans="1:16" ht="19.5" customHeight="1">
      <c r="A325" s="1" t="s">
        <v>1750</v>
      </c>
      <c r="B325" s="5">
        <v>46010</v>
      </c>
      <c r="C325" s="1" t="s">
        <v>17</v>
      </c>
      <c r="D325" s="1" t="s">
        <v>37</v>
      </c>
      <c r="E325" s="1" t="s">
        <v>25</v>
      </c>
      <c r="F325" s="1" t="s">
        <v>26</v>
      </c>
      <c r="G325" s="1" t="s">
        <v>1229</v>
      </c>
      <c r="H325" s="6">
        <v>1</v>
      </c>
      <c r="I325" s="7">
        <v>1124</v>
      </c>
      <c r="J325" s="5">
        <v>46003</v>
      </c>
      <c r="K325" s="1" t="s">
        <v>957</v>
      </c>
      <c r="L325" s="1" t="s">
        <v>30</v>
      </c>
      <c r="M325" s="8">
        <v>0.43</v>
      </c>
      <c r="N325" s="6"/>
      <c r="O325" s="6"/>
      <c r="P325" s="9">
        <v>-4.71</v>
      </c>
    </row>
    <row r="326" spans="1:16" ht="19.5" customHeight="1">
      <c r="A326" s="1" t="s">
        <v>22</v>
      </c>
      <c r="B326" s="5">
        <v>46010</v>
      </c>
      <c r="C326" s="1" t="s">
        <v>77</v>
      </c>
      <c r="D326" s="1" t="s">
        <v>78</v>
      </c>
      <c r="E326" s="1" t="s">
        <v>22</v>
      </c>
      <c r="F326" s="1" t="s">
        <v>22</v>
      </c>
      <c r="G326" s="1" t="s">
        <v>1751</v>
      </c>
      <c r="H326" s="6">
        <v>0</v>
      </c>
      <c r="I326" s="7">
        <v>0</v>
      </c>
      <c r="J326" s="5">
        <v>46010</v>
      </c>
      <c r="K326" s="1" t="s">
        <v>22</v>
      </c>
      <c r="L326" s="1" t="s">
        <v>22</v>
      </c>
      <c r="M326" s="8">
        <v>0</v>
      </c>
      <c r="N326" s="6"/>
      <c r="O326" s="6"/>
      <c r="P326" s="9">
        <v>-450</v>
      </c>
    </row>
    <row r="327" spans="1:16" ht="19.5" customHeight="1">
      <c r="A327" s="1" t="s">
        <v>1752</v>
      </c>
      <c r="B327" s="5">
        <v>46010</v>
      </c>
      <c r="C327" s="1" t="s">
        <v>17</v>
      </c>
      <c r="D327" s="1" t="s">
        <v>18</v>
      </c>
      <c r="E327" s="1" t="s">
        <v>222</v>
      </c>
      <c r="F327" s="1" t="s">
        <v>412</v>
      </c>
      <c r="G327" s="1" t="s">
        <v>1229</v>
      </c>
      <c r="H327" s="6">
        <v>1</v>
      </c>
      <c r="I327" s="7">
        <v>0</v>
      </c>
      <c r="J327" s="5">
        <v>46010</v>
      </c>
      <c r="K327" s="1" t="s">
        <v>22</v>
      </c>
      <c r="L327" s="1" t="s">
        <v>22</v>
      </c>
      <c r="M327" s="8">
        <v>0</v>
      </c>
      <c r="N327" s="6"/>
      <c r="O327" s="6"/>
      <c r="P327" s="9">
        <v>-13.32</v>
      </c>
    </row>
    <row r="328" spans="1:16" ht="19.5" customHeight="1">
      <c r="A328" s="1" t="s">
        <v>1750</v>
      </c>
      <c r="B328" s="5">
        <v>46010</v>
      </c>
      <c r="C328" s="1" t="s">
        <v>17</v>
      </c>
      <c r="D328" s="1" t="s">
        <v>18</v>
      </c>
      <c r="E328" s="1" t="s">
        <v>25</v>
      </c>
      <c r="F328" s="1" t="s">
        <v>26</v>
      </c>
      <c r="G328" s="1" t="s">
        <v>1229</v>
      </c>
      <c r="H328" s="6">
        <v>1</v>
      </c>
      <c r="I328" s="7">
        <v>0</v>
      </c>
      <c r="J328" s="5">
        <v>46003</v>
      </c>
      <c r="K328" s="1" t="s">
        <v>22</v>
      </c>
      <c r="L328" s="1" t="s">
        <v>22</v>
      </c>
      <c r="M328" s="8">
        <v>0</v>
      </c>
      <c r="N328" s="6"/>
      <c r="O328" s="6"/>
      <c r="P328" s="9">
        <v>-12.32</v>
      </c>
    </row>
    <row r="329" spans="1:16" ht="19.5" customHeight="1">
      <c r="A329" s="1" t="s">
        <v>1376</v>
      </c>
      <c r="B329" s="5">
        <v>46010</v>
      </c>
      <c r="C329" s="1" t="s">
        <v>77</v>
      </c>
      <c r="D329" s="1" t="s">
        <v>82</v>
      </c>
      <c r="E329" s="1" t="s">
        <v>22</v>
      </c>
      <c r="F329" s="1" t="s">
        <v>22</v>
      </c>
      <c r="G329" s="1" t="s">
        <v>22</v>
      </c>
      <c r="H329" s="6">
        <v>0</v>
      </c>
      <c r="I329" s="7">
        <v>0</v>
      </c>
      <c r="J329" s="5">
        <v>46010</v>
      </c>
      <c r="K329" s="1" t="s">
        <v>22</v>
      </c>
      <c r="L329" s="1" t="s">
        <v>22</v>
      </c>
      <c r="M329" s="8">
        <v>0</v>
      </c>
      <c r="N329" s="6"/>
      <c r="O329" s="6"/>
      <c r="P329" s="9">
        <v>-546.49</v>
      </c>
    </row>
    <row r="330" spans="1:16" ht="19.5" customHeight="1">
      <c r="A330" s="1" t="s">
        <v>1075</v>
      </c>
      <c r="B330" s="5">
        <v>46010</v>
      </c>
      <c r="C330" s="1" t="s">
        <v>77</v>
      </c>
      <c r="D330" s="1" t="s">
        <v>82</v>
      </c>
      <c r="E330" s="1" t="s">
        <v>22</v>
      </c>
      <c r="F330" s="1" t="s">
        <v>22</v>
      </c>
      <c r="G330" s="1" t="s">
        <v>22</v>
      </c>
      <c r="H330" s="6">
        <v>0</v>
      </c>
      <c r="I330" s="7">
        <v>0</v>
      </c>
      <c r="J330" s="5">
        <v>46010</v>
      </c>
      <c r="K330" s="1" t="s">
        <v>22</v>
      </c>
      <c r="L330" s="1" t="s">
        <v>22</v>
      </c>
      <c r="M330" s="8">
        <v>0</v>
      </c>
      <c r="N330" s="6"/>
      <c r="O330" s="6"/>
      <c r="P330" s="9">
        <v>-593.97</v>
      </c>
    </row>
    <row r="331" spans="1:16" ht="19.5" customHeight="1">
      <c r="A331" s="1" t="s">
        <v>83</v>
      </c>
      <c r="B331" s="5">
        <v>46010</v>
      </c>
      <c r="C331" s="1" t="s">
        <v>77</v>
      </c>
      <c r="D331" s="1" t="s">
        <v>84</v>
      </c>
      <c r="E331" s="1" t="s">
        <v>22</v>
      </c>
      <c r="F331" s="1" t="s">
        <v>22</v>
      </c>
      <c r="G331" s="1" t="s">
        <v>22</v>
      </c>
      <c r="H331" s="6">
        <v>0</v>
      </c>
      <c r="I331" s="7">
        <v>0</v>
      </c>
      <c r="J331" s="5">
        <v>46010</v>
      </c>
      <c r="K331" s="1" t="s">
        <v>22</v>
      </c>
      <c r="L331" s="1" t="s">
        <v>22</v>
      </c>
      <c r="M331" s="8">
        <v>0</v>
      </c>
      <c r="N331" s="6"/>
      <c r="O331" s="6"/>
      <c r="P331" s="9">
        <v>-1317.1</v>
      </c>
    </row>
    <row r="332" spans="1:16" ht="19.5" customHeight="1">
      <c r="A332" s="1" t="s">
        <v>1753</v>
      </c>
      <c r="B332" s="5">
        <v>46011</v>
      </c>
      <c r="C332" s="1" t="s">
        <v>28</v>
      </c>
      <c r="D332" s="1" t="s">
        <v>29</v>
      </c>
      <c r="E332" s="1" t="s">
        <v>243</v>
      </c>
      <c r="F332" s="1" t="s">
        <v>603</v>
      </c>
      <c r="G332" s="1" t="s">
        <v>1133</v>
      </c>
      <c r="H332" s="6">
        <v>1</v>
      </c>
      <c r="I332" s="7">
        <v>0</v>
      </c>
      <c r="J332" s="5">
        <v>45999</v>
      </c>
      <c r="K332" s="1" t="s">
        <v>957</v>
      </c>
      <c r="L332" s="1" t="s">
        <v>30</v>
      </c>
      <c r="M332" s="8">
        <v>0</v>
      </c>
      <c r="N332" s="6"/>
      <c r="O332" s="6">
        <v>39</v>
      </c>
      <c r="P332" s="9">
        <v>-56</v>
      </c>
    </row>
    <row r="333" spans="1:16" ht="19.5" customHeight="1">
      <c r="A333" s="1" t="s">
        <v>1753</v>
      </c>
      <c r="B333" s="5">
        <v>46011</v>
      </c>
      <c r="C333" s="1" t="s">
        <v>17</v>
      </c>
      <c r="D333" s="1" t="s">
        <v>37</v>
      </c>
      <c r="E333" s="1" t="s">
        <v>243</v>
      </c>
      <c r="F333" s="1" t="s">
        <v>603</v>
      </c>
      <c r="G333" s="1" t="s">
        <v>1133</v>
      </c>
      <c r="H333" s="6">
        <v>1</v>
      </c>
      <c r="I333" s="7">
        <v>0</v>
      </c>
      <c r="J333" s="5">
        <v>45999</v>
      </c>
      <c r="K333" s="1" t="s">
        <v>957</v>
      </c>
      <c r="L333" s="1" t="s">
        <v>30</v>
      </c>
      <c r="M333" s="8">
        <v>0</v>
      </c>
      <c r="N333" s="6"/>
      <c r="O333" s="6"/>
      <c r="P333" s="9">
        <v>-11.68</v>
      </c>
    </row>
    <row r="334" spans="1:16" ht="19.5" customHeight="1">
      <c r="A334" s="1" t="s">
        <v>1753</v>
      </c>
      <c r="B334" s="5">
        <v>46011</v>
      </c>
      <c r="C334" s="1" t="s">
        <v>28</v>
      </c>
      <c r="D334" s="1" t="s">
        <v>45</v>
      </c>
      <c r="E334" s="1" t="s">
        <v>243</v>
      </c>
      <c r="F334" s="1" t="s">
        <v>603</v>
      </c>
      <c r="G334" s="1" t="s">
        <v>1133</v>
      </c>
      <c r="H334" s="6">
        <v>1</v>
      </c>
      <c r="I334" s="7">
        <v>0</v>
      </c>
      <c r="J334" s="5">
        <v>45999</v>
      </c>
      <c r="K334" s="1" t="s">
        <v>957</v>
      </c>
      <c r="L334" s="1" t="s">
        <v>30</v>
      </c>
      <c r="M334" s="8">
        <v>0</v>
      </c>
      <c r="N334" s="6"/>
      <c r="O334" s="6"/>
      <c r="P334" s="9">
        <v>0</v>
      </c>
    </row>
    <row r="335" spans="1:16" ht="19.5" customHeight="1">
      <c r="A335" s="1" t="s">
        <v>1753</v>
      </c>
      <c r="B335" s="5">
        <v>46011</v>
      </c>
      <c r="C335" s="1" t="s">
        <v>28</v>
      </c>
      <c r="D335" s="1" t="s">
        <v>46</v>
      </c>
      <c r="E335" s="1" t="s">
        <v>243</v>
      </c>
      <c r="F335" s="1" t="s">
        <v>603</v>
      </c>
      <c r="G335" s="1" t="s">
        <v>1133</v>
      </c>
      <c r="H335" s="6">
        <v>1</v>
      </c>
      <c r="I335" s="7">
        <v>0</v>
      </c>
      <c r="J335" s="5">
        <v>45999</v>
      </c>
      <c r="K335" s="1" t="s">
        <v>957</v>
      </c>
      <c r="L335" s="1" t="s">
        <v>30</v>
      </c>
      <c r="M335" s="8">
        <v>0</v>
      </c>
      <c r="N335" s="6"/>
      <c r="O335" s="6"/>
      <c r="P335" s="9">
        <v>-56</v>
      </c>
    </row>
    <row r="336" spans="1:16" ht="19.5" customHeight="1">
      <c r="A336" s="1" t="s">
        <v>1753</v>
      </c>
      <c r="B336" s="5">
        <v>46011</v>
      </c>
      <c r="C336" s="1" t="s">
        <v>17</v>
      </c>
      <c r="D336" s="1" t="s">
        <v>47</v>
      </c>
      <c r="E336" s="1" t="s">
        <v>243</v>
      </c>
      <c r="F336" s="1" t="s">
        <v>603</v>
      </c>
      <c r="G336" s="1" t="s">
        <v>1133</v>
      </c>
      <c r="H336" s="6">
        <v>1</v>
      </c>
      <c r="I336" s="7">
        <v>0</v>
      </c>
      <c r="J336" s="5">
        <v>45999</v>
      </c>
      <c r="K336" s="1" t="s">
        <v>957</v>
      </c>
      <c r="L336" s="1" t="s">
        <v>30</v>
      </c>
      <c r="M336" s="8">
        <v>0</v>
      </c>
      <c r="N336" s="6"/>
      <c r="O336" s="6"/>
      <c r="P336" s="9">
        <v>-15</v>
      </c>
    </row>
    <row r="337" spans="1:16" ht="19.5" customHeight="1">
      <c r="A337" s="1" t="s">
        <v>1754</v>
      </c>
      <c r="B337" s="5">
        <v>46011</v>
      </c>
      <c r="C337" s="1" t="s">
        <v>28</v>
      </c>
      <c r="D337" s="1" t="s">
        <v>29</v>
      </c>
      <c r="E337" s="1" t="s">
        <v>25</v>
      </c>
      <c r="F337" s="1" t="s">
        <v>26</v>
      </c>
      <c r="G337" s="1" t="s">
        <v>1229</v>
      </c>
      <c r="H337" s="6">
        <v>1</v>
      </c>
      <c r="I337" s="7">
        <v>0</v>
      </c>
      <c r="J337" s="5">
        <v>46008</v>
      </c>
      <c r="K337" s="1" t="s">
        <v>957</v>
      </c>
      <c r="L337" s="1" t="s">
        <v>30</v>
      </c>
      <c r="M337" s="8">
        <v>0</v>
      </c>
      <c r="N337" s="6"/>
      <c r="O337" s="6">
        <v>41</v>
      </c>
      <c r="P337" s="9">
        <v>-46.77</v>
      </c>
    </row>
    <row r="338" spans="1:16" ht="19.5" customHeight="1">
      <c r="A338" s="1" t="s">
        <v>1754</v>
      </c>
      <c r="B338" s="5">
        <v>46011</v>
      </c>
      <c r="C338" s="1" t="s">
        <v>17</v>
      </c>
      <c r="D338" s="1" t="s">
        <v>37</v>
      </c>
      <c r="E338" s="1" t="s">
        <v>25</v>
      </c>
      <c r="F338" s="1" t="s">
        <v>26</v>
      </c>
      <c r="G338" s="1" t="s">
        <v>1229</v>
      </c>
      <c r="H338" s="6">
        <v>1</v>
      </c>
      <c r="I338" s="7">
        <v>0</v>
      </c>
      <c r="J338" s="5">
        <v>46008</v>
      </c>
      <c r="K338" s="1" t="s">
        <v>957</v>
      </c>
      <c r="L338" s="1" t="s">
        <v>30</v>
      </c>
      <c r="M338" s="8">
        <v>0</v>
      </c>
      <c r="N338" s="6"/>
      <c r="O338" s="6"/>
      <c r="P338" s="9">
        <v>-4.21</v>
      </c>
    </row>
    <row r="339" spans="1:16" ht="19.5" customHeight="1">
      <c r="A339" s="1" t="s">
        <v>1754</v>
      </c>
      <c r="B339" s="5">
        <v>46011</v>
      </c>
      <c r="C339" s="1" t="s">
        <v>28</v>
      </c>
      <c r="D339" s="1" t="s">
        <v>45</v>
      </c>
      <c r="E339" s="1" t="s">
        <v>25</v>
      </c>
      <c r="F339" s="1" t="s">
        <v>26</v>
      </c>
      <c r="G339" s="1" t="s">
        <v>1229</v>
      </c>
      <c r="H339" s="6">
        <v>1</v>
      </c>
      <c r="I339" s="7">
        <v>0</v>
      </c>
      <c r="J339" s="5">
        <v>46008</v>
      </c>
      <c r="K339" s="1" t="s">
        <v>957</v>
      </c>
      <c r="L339" s="1" t="s">
        <v>30</v>
      </c>
      <c r="M339" s="8">
        <v>0</v>
      </c>
      <c r="N339" s="6"/>
      <c r="O339" s="6"/>
      <c r="P339" s="9">
        <v>0</v>
      </c>
    </row>
    <row r="340" spans="1:16" ht="19.5" customHeight="1">
      <c r="A340" s="1" t="s">
        <v>1754</v>
      </c>
      <c r="B340" s="5">
        <v>46011</v>
      </c>
      <c r="C340" s="1" t="s">
        <v>28</v>
      </c>
      <c r="D340" s="1" t="s">
        <v>46</v>
      </c>
      <c r="E340" s="1" t="s">
        <v>25</v>
      </c>
      <c r="F340" s="1" t="s">
        <v>26</v>
      </c>
      <c r="G340" s="1" t="s">
        <v>1229</v>
      </c>
      <c r="H340" s="6">
        <v>1</v>
      </c>
      <c r="I340" s="7">
        <v>0</v>
      </c>
      <c r="J340" s="5">
        <v>46008</v>
      </c>
      <c r="K340" s="1" t="s">
        <v>957</v>
      </c>
      <c r="L340" s="1" t="s">
        <v>30</v>
      </c>
      <c r="M340" s="8">
        <v>0</v>
      </c>
      <c r="N340" s="6"/>
      <c r="O340" s="6"/>
      <c r="P340" s="9">
        <v>-46.77</v>
      </c>
    </row>
    <row r="341" spans="1:16" ht="19.5" customHeight="1">
      <c r="A341" s="1" t="s">
        <v>1754</v>
      </c>
      <c r="B341" s="5">
        <v>46011</v>
      </c>
      <c r="C341" s="1" t="s">
        <v>17</v>
      </c>
      <c r="D341" s="1" t="s">
        <v>47</v>
      </c>
      <c r="E341" s="1" t="s">
        <v>25</v>
      </c>
      <c r="F341" s="1" t="s">
        <v>26</v>
      </c>
      <c r="G341" s="1" t="s">
        <v>1229</v>
      </c>
      <c r="H341" s="6">
        <v>1</v>
      </c>
      <c r="I341" s="7">
        <v>0</v>
      </c>
      <c r="J341" s="5">
        <v>46008</v>
      </c>
      <c r="K341" s="1" t="s">
        <v>957</v>
      </c>
      <c r="L341" s="1" t="s">
        <v>30</v>
      </c>
      <c r="M341" s="8">
        <v>0</v>
      </c>
      <c r="N341" s="6"/>
      <c r="O341" s="6"/>
      <c r="P341" s="9">
        <v>-15</v>
      </c>
    </row>
    <row r="342" spans="1:16" ht="19.5" customHeight="1">
      <c r="A342" s="1" t="s">
        <v>1755</v>
      </c>
      <c r="B342" s="5">
        <v>46011</v>
      </c>
      <c r="C342" s="1" t="s">
        <v>28</v>
      </c>
      <c r="D342" s="1" t="s">
        <v>45</v>
      </c>
      <c r="E342" s="1" t="s">
        <v>92</v>
      </c>
      <c r="F342" s="1" t="s">
        <v>93</v>
      </c>
      <c r="G342" s="1" t="s">
        <v>1229</v>
      </c>
      <c r="H342" s="6">
        <v>1</v>
      </c>
      <c r="I342" s="7">
        <v>0</v>
      </c>
      <c r="J342" s="5">
        <v>45994</v>
      </c>
      <c r="K342" s="1" t="s">
        <v>957</v>
      </c>
      <c r="L342" s="1" t="s">
        <v>30</v>
      </c>
      <c r="M342" s="8">
        <v>0</v>
      </c>
      <c r="N342" s="6"/>
      <c r="O342" s="6"/>
      <c r="P342" s="9">
        <v>0</v>
      </c>
    </row>
    <row r="343" spans="1:16" ht="19.5" customHeight="1">
      <c r="A343" s="1" t="s">
        <v>1755</v>
      </c>
      <c r="B343" s="5">
        <v>46011</v>
      </c>
      <c r="C343" s="1" t="s">
        <v>28</v>
      </c>
      <c r="D343" s="1" t="s">
        <v>46</v>
      </c>
      <c r="E343" s="1" t="s">
        <v>92</v>
      </c>
      <c r="F343" s="1" t="s">
        <v>93</v>
      </c>
      <c r="G343" s="1" t="s">
        <v>1229</v>
      </c>
      <c r="H343" s="6">
        <v>1</v>
      </c>
      <c r="I343" s="7">
        <v>0</v>
      </c>
      <c r="J343" s="5">
        <v>45994</v>
      </c>
      <c r="K343" s="1" t="s">
        <v>957</v>
      </c>
      <c r="L343" s="1" t="s">
        <v>30</v>
      </c>
      <c r="M343" s="8">
        <v>0</v>
      </c>
      <c r="N343" s="6"/>
      <c r="O343" s="6"/>
      <c r="P343" s="9">
        <v>-46</v>
      </c>
    </row>
    <row r="344" spans="1:16" ht="19.5" customHeight="1">
      <c r="A344" s="1" t="s">
        <v>1755</v>
      </c>
      <c r="B344" s="5">
        <v>46011</v>
      </c>
      <c r="C344" s="1" t="s">
        <v>28</v>
      </c>
      <c r="D344" s="1" t="s">
        <v>29</v>
      </c>
      <c r="E344" s="1" t="s">
        <v>92</v>
      </c>
      <c r="F344" s="1" t="s">
        <v>93</v>
      </c>
      <c r="G344" s="1" t="s">
        <v>1229</v>
      </c>
      <c r="H344" s="6">
        <v>1</v>
      </c>
      <c r="I344" s="7">
        <v>0</v>
      </c>
      <c r="J344" s="5">
        <v>45994</v>
      </c>
      <c r="K344" s="1" t="s">
        <v>957</v>
      </c>
      <c r="L344" s="1" t="s">
        <v>30</v>
      </c>
      <c r="M344" s="8">
        <v>0</v>
      </c>
      <c r="N344" s="6"/>
      <c r="O344" s="6">
        <v>40</v>
      </c>
      <c r="P344" s="9">
        <v>-46</v>
      </c>
    </row>
    <row r="345" spans="1:16" ht="19.5" customHeight="1">
      <c r="A345" s="1" t="s">
        <v>1755</v>
      </c>
      <c r="B345" s="5">
        <v>46011</v>
      </c>
      <c r="C345" s="1" t="s">
        <v>17</v>
      </c>
      <c r="D345" s="1" t="s">
        <v>37</v>
      </c>
      <c r="E345" s="1" t="s">
        <v>92</v>
      </c>
      <c r="F345" s="1" t="s">
        <v>93</v>
      </c>
      <c r="G345" s="1" t="s">
        <v>1229</v>
      </c>
      <c r="H345" s="6">
        <v>1</v>
      </c>
      <c r="I345" s="7">
        <v>0</v>
      </c>
      <c r="J345" s="5">
        <v>45994</v>
      </c>
      <c r="K345" s="1" t="s">
        <v>957</v>
      </c>
      <c r="L345" s="1" t="s">
        <v>30</v>
      </c>
      <c r="M345" s="8">
        <v>0</v>
      </c>
      <c r="N345" s="6"/>
      <c r="O345" s="6"/>
      <c r="P345" s="9">
        <v>-5.37</v>
      </c>
    </row>
    <row r="346" spans="1:16" ht="19.5" customHeight="1">
      <c r="A346" s="1" t="s">
        <v>1756</v>
      </c>
      <c r="B346" s="5">
        <v>46011</v>
      </c>
      <c r="C346" s="1" t="s">
        <v>28</v>
      </c>
      <c r="D346" s="1" t="s">
        <v>29</v>
      </c>
      <c r="E346" s="1" t="s">
        <v>25</v>
      </c>
      <c r="F346" s="1" t="s">
        <v>26</v>
      </c>
      <c r="G346" s="1" t="s">
        <v>1229</v>
      </c>
      <c r="H346" s="6">
        <v>1</v>
      </c>
      <c r="I346" s="7">
        <v>0</v>
      </c>
      <c r="J346" s="5">
        <v>46002</v>
      </c>
      <c r="K346" s="1" t="s">
        <v>957</v>
      </c>
      <c r="L346" s="1" t="s">
        <v>30</v>
      </c>
      <c r="M346" s="8">
        <v>0</v>
      </c>
      <c r="N346" s="6"/>
      <c r="O346" s="6">
        <v>40</v>
      </c>
      <c r="P346" s="9">
        <v>-46.77</v>
      </c>
    </row>
    <row r="347" spans="1:16" ht="19.5" customHeight="1">
      <c r="A347" s="1" t="s">
        <v>1756</v>
      </c>
      <c r="B347" s="5">
        <v>46011</v>
      </c>
      <c r="C347" s="1" t="s">
        <v>17</v>
      </c>
      <c r="D347" s="1" t="s">
        <v>37</v>
      </c>
      <c r="E347" s="1" t="s">
        <v>25</v>
      </c>
      <c r="F347" s="1" t="s">
        <v>26</v>
      </c>
      <c r="G347" s="1" t="s">
        <v>1229</v>
      </c>
      <c r="H347" s="6">
        <v>1</v>
      </c>
      <c r="I347" s="7">
        <v>0</v>
      </c>
      <c r="J347" s="5">
        <v>46002</v>
      </c>
      <c r="K347" s="1" t="s">
        <v>957</v>
      </c>
      <c r="L347" s="1" t="s">
        <v>30</v>
      </c>
      <c r="M347" s="8">
        <v>0</v>
      </c>
      <c r="N347" s="6"/>
      <c r="O347" s="6"/>
      <c r="P347" s="9">
        <v>-7.03</v>
      </c>
    </row>
    <row r="348" spans="1:16" ht="19.5" customHeight="1">
      <c r="A348" s="1" t="s">
        <v>1756</v>
      </c>
      <c r="B348" s="5">
        <v>46011</v>
      </c>
      <c r="C348" s="1" t="s">
        <v>28</v>
      </c>
      <c r="D348" s="1" t="s">
        <v>45</v>
      </c>
      <c r="E348" s="1" t="s">
        <v>25</v>
      </c>
      <c r="F348" s="1" t="s">
        <v>26</v>
      </c>
      <c r="G348" s="1" t="s">
        <v>1229</v>
      </c>
      <c r="H348" s="6">
        <v>1</v>
      </c>
      <c r="I348" s="7">
        <v>0</v>
      </c>
      <c r="J348" s="5">
        <v>46002</v>
      </c>
      <c r="K348" s="1" t="s">
        <v>957</v>
      </c>
      <c r="L348" s="1" t="s">
        <v>30</v>
      </c>
      <c r="M348" s="8">
        <v>0</v>
      </c>
      <c r="N348" s="6"/>
      <c r="O348" s="6"/>
      <c r="P348" s="9">
        <v>0</v>
      </c>
    </row>
    <row r="349" spans="1:16" ht="19.5" customHeight="1">
      <c r="A349" s="1" t="s">
        <v>1756</v>
      </c>
      <c r="B349" s="5">
        <v>46011</v>
      </c>
      <c r="C349" s="1" t="s">
        <v>28</v>
      </c>
      <c r="D349" s="1" t="s">
        <v>46</v>
      </c>
      <c r="E349" s="1" t="s">
        <v>25</v>
      </c>
      <c r="F349" s="1" t="s">
        <v>26</v>
      </c>
      <c r="G349" s="1" t="s">
        <v>1229</v>
      </c>
      <c r="H349" s="6">
        <v>1</v>
      </c>
      <c r="I349" s="7">
        <v>0</v>
      </c>
      <c r="J349" s="5">
        <v>46002</v>
      </c>
      <c r="K349" s="1" t="s">
        <v>957</v>
      </c>
      <c r="L349" s="1" t="s">
        <v>30</v>
      </c>
      <c r="M349" s="8">
        <v>0</v>
      </c>
      <c r="N349" s="6"/>
      <c r="O349" s="6"/>
      <c r="P349" s="9">
        <v>-46.77</v>
      </c>
    </row>
    <row r="350" spans="1:16" ht="19.5" customHeight="1">
      <c r="A350" s="1" t="s">
        <v>1756</v>
      </c>
      <c r="B350" s="5">
        <v>46011</v>
      </c>
      <c r="C350" s="1" t="s">
        <v>17</v>
      </c>
      <c r="D350" s="1" t="s">
        <v>47</v>
      </c>
      <c r="E350" s="1" t="s">
        <v>25</v>
      </c>
      <c r="F350" s="1" t="s">
        <v>26</v>
      </c>
      <c r="G350" s="1" t="s">
        <v>1229</v>
      </c>
      <c r="H350" s="6">
        <v>1</v>
      </c>
      <c r="I350" s="7">
        <v>0</v>
      </c>
      <c r="J350" s="5">
        <v>46002</v>
      </c>
      <c r="K350" s="1" t="s">
        <v>957</v>
      </c>
      <c r="L350" s="1" t="s">
        <v>30</v>
      </c>
      <c r="M350" s="8">
        <v>0</v>
      </c>
      <c r="N350" s="6"/>
      <c r="O350" s="6"/>
      <c r="P350" s="9">
        <v>-15</v>
      </c>
    </row>
    <row r="351" spans="1:16" ht="19.5" customHeight="1">
      <c r="A351" s="1" t="s">
        <v>1757</v>
      </c>
      <c r="B351" s="5">
        <v>46011</v>
      </c>
      <c r="C351" s="1" t="s">
        <v>28</v>
      </c>
      <c r="D351" s="1" t="s">
        <v>29</v>
      </c>
      <c r="E351" s="1" t="s">
        <v>227</v>
      </c>
      <c r="F351" s="1" t="s">
        <v>402</v>
      </c>
      <c r="G351" s="1" t="s">
        <v>1229</v>
      </c>
      <c r="H351" s="6">
        <v>1</v>
      </c>
      <c r="I351" s="7">
        <v>1505</v>
      </c>
      <c r="J351" s="5">
        <v>46003</v>
      </c>
      <c r="K351" s="1" t="s">
        <v>957</v>
      </c>
      <c r="L351" s="1" t="s">
        <v>30</v>
      </c>
      <c r="M351" s="8">
        <v>0.43</v>
      </c>
      <c r="N351" s="6"/>
      <c r="O351" s="6">
        <v>40</v>
      </c>
      <c r="P351" s="9">
        <v>-109</v>
      </c>
    </row>
    <row r="352" spans="1:16" ht="19.5" customHeight="1">
      <c r="A352" s="1" t="s">
        <v>1757</v>
      </c>
      <c r="B352" s="5">
        <v>46011</v>
      </c>
      <c r="C352" s="1" t="s">
        <v>31</v>
      </c>
      <c r="D352" s="1" t="s">
        <v>32</v>
      </c>
      <c r="E352" s="1" t="s">
        <v>227</v>
      </c>
      <c r="F352" s="1" t="s">
        <v>402</v>
      </c>
      <c r="G352" s="1" t="s">
        <v>1229</v>
      </c>
      <c r="H352" s="6">
        <v>1</v>
      </c>
      <c r="I352" s="7">
        <v>1505</v>
      </c>
      <c r="J352" s="5">
        <v>46003</v>
      </c>
      <c r="K352" s="1" t="s">
        <v>957</v>
      </c>
      <c r="L352" s="1" t="s">
        <v>30</v>
      </c>
      <c r="M352" s="8">
        <v>0</v>
      </c>
      <c r="N352" s="6"/>
      <c r="O352" s="6"/>
      <c r="P352" s="9">
        <v>568.57000000000005</v>
      </c>
    </row>
    <row r="353" spans="1:16" ht="19.5" customHeight="1">
      <c r="A353" s="1" t="s">
        <v>1757</v>
      </c>
      <c r="B353" s="5">
        <v>46011</v>
      </c>
      <c r="C353" s="1" t="s">
        <v>31</v>
      </c>
      <c r="D353" s="1" t="s">
        <v>33</v>
      </c>
      <c r="E353" s="1" t="s">
        <v>227</v>
      </c>
      <c r="F353" s="1" t="s">
        <v>402</v>
      </c>
      <c r="G353" s="1" t="s">
        <v>1229</v>
      </c>
      <c r="H353" s="6">
        <v>1</v>
      </c>
      <c r="I353" s="7">
        <v>1505</v>
      </c>
      <c r="J353" s="5">
        <v>46003</v>
      </c>
      <c r="K353" s="1" t="s">
        <v>957</v>
      </c>
      <c r="L353" s="1" t="s">
        <v>30</v>
      </c>
      <c r="M353" s="8">
        <v>0</v>
      </c>
      <c r="N353" s="6"/>
      <c r="O353" s="6"/>
      <c r="P353" s="9">
        <v>5.69</v>
      </c>
    </row>
    <row r="354" spans="1:16" ht="19.5" customHeight="1">
      <c r="A354" s="1" t="s">
        <v>1757</v>
      </c>
      <c r="B354" s="5">
        <v>46011</v>
      </c>
      <c r="C354" s="1" t="s">
        <v>31</v>
      </c>
      <c r="D354" s="1" t="s">
        <v>34</v>
      </c>
      <c r="E354" s="1" t="s">
        <v>227</v>
      </c>
      <c r="F354" s="1" t="s">
        <v>402</v>
      </c>
      <c r="G354" s="1" t="s">
        <v>1229</v>
      </c>
      <c r="H354" s="6">
        <v>1</v>
      </c>
      <c r="I354" s="7">
        <v>1505</v>
      </c>
      <c r="J354" s="5">
        <v>46003</v>
      </c>
      <c r="K354" s="1" t="s">
        <v>957</v>
      </c>
      <c r="L354" s="1" t="s">
        <v>30</v>
      </c>
      <c r="M354" s="8">
        <v>0</v>
      </c>
      <c r="N354" s="6"/>
      <c r="O354" s="6"/>
      <c r="P354" s="9">
        <v>930.74</v>
      </c>
    </row>
    <row r="355" spans="1:16" ht="19.5" customHeight="1">
      <c r="A355" s="1" t="s">
        <v>1757</v>
      </c>
      <c r="B355" s="5">
        <v>46011</v>
      </c>
      <c r="C355" s="1" t="s">
        <v>35</v>
      </c>
      <c r="D355" s="1" t="s">
        <v>36</v>
      </c>
      <c r="E355" s="1" t="s">
        <v>227</v>
      </c>
      <c r="F355" s="1" t="s">
        <v>402</v>
      </c>
      <c r="G355" s="1" t="s">
        <v>1229</v>
      </c>
      <c r="H355" s="6">
        <v>1</v>
      </c>
      <c r="I355" s="7">
        <v>1505</v>
      </c>
      <c r="J355" s="5">
        <v>46003</v>
      </c>
      <c r="K355" s="1" t="s">
        <v>957</v>
      </c>
      <c r="L355" s="1" t="s">
        <v>30</v>
      </c>
      <c r="M355" s="8">
        <v>0.43</v>
      </c>
      <c r="N355" s="6"/>
      <c r="O355" s="6"/>
      <c r="P355" s="9">
        <v>-647.15</v>
      </c>
    </row>
    <row r="356" spans="1:16" ht="19.5" customHeight="1">
      <c r="A356" s="1" t="s">
        <v>1757</v>
      </c>
      <c r="B356" s="5">
        <v>46011</v>
      </c>
      <c r="C356" s="1" t="s">
        <v>17</v>
      </c>
      <c r="D356" s="1" t="s">
        <v>37</v>
      </c>
      <c r="E356" s="1" t="s">
        <v>227</v>
      </c>
      <c r="F356" s="1" t="s">
        <v>402</v>
      </c>
      <c r="G356" s="1" t="s">
        <v>1229</v>
      </c>
      <c r="H356" s="6">
        <v>1</v>
      </c>
      <c r="I356" s="7">
        <v>1505</v>
      </c>
      <c r="J356" s="5">
        <v>46003</v>
      </c>
      <c r="K356" s="1" t="s">
        <v>957</v>
      </c>
      <c r="L356" s="1" t="s">
        <v>30</v>
      </c>
      <c r="M356" s="8">
        <v>0.43</v>
      </c>
      <c r="N356" s="6"/>
      <c r="O356" s="6"/>
      <c r="P356" s="9">
        <v>-15.07</v>
      </c>
    </row>
    <row r="357" spans="1:16" ht="19.5" customHeight="1">
      <c r="A357" s="1" t="s">
        <v>1757</v>
      </c>
      <c r="B357" s="5">
        <v>46011</v>
      </c>
      <c r="C357" s="1" t="s">
        <v>17</v>
      </c>
      <c r="D357" s="1" t="s">
        <v>18</v>
      </c>
      <c r="E357" s="1" t="s">
        <v>227</v>
      </c>
      <c r="F357" s="1" t="s">
        <v>402</v>
      </c>
      <c r="G357" s="1" t="s">
        <v>1229</v>
      </c>
      <c r="H357" s="6">
        <v>1</v>
      </c>
      <c r="I357" s="7">
        <v>0</v>
      </c>
      <c r="J357" s="5">
        <v>46003</v>
      </c>
      <c r="K357" s="1" t="s">
        <v>22</v>
      </c>
      <c r="L357" s="1" t="s">
        <v>22</v>
      </c>
      <c r="M357" s="8">
        <v>0</v>
      </c>
      <c r="N357" s="6"/>
      <c r="O357" s="6"/>
      <c r="P357" s="9">
        <v>-10.8</v>
      </c>
    </row>
    <row r="358" spans="1:16" ht="19.5" customHeight="1">
      <c r="A358" s="1" t="s">
        <v>1596</v>
      </c>
      <c r="B358" s="5">
        <v>46011</v>
      </c>
      <c r="C358" s="1" t="s">
        <v>17</v>
      </c>
      <c r="D358" s="1" t="s">
        <v>18</v>
      </c>
      <c r="E358" s="1" t="s">
        <v>25</v>
      </c>
      <c r="F358" s="1" t="s">
        <v>26</v>
      </c>
      <c r="G358" s="1" t="s">
        <v>1229</v>
      </c>
      <c r="H358" s="6">
        <v>1</v>
      </c>
      <c r="I358" s="7">
        <v>0</v>
      </c>
      <c r="J358" s="5">
        <v>46001</v>
      </c>
      <c r="K358" s="1" t="s">
        <v>22</v>
      </c>
      <c r="L358" s="1" t="s">
        <v>22</v>
      </c>
      <c r="M358" s="8">
        <v>0</v>
      </c>
      <c r="N358" s="6"/>
      <c r="O358" s="6"/>
      <c r="P358" s="9">
        <v>14.96</v>
      </c>
    </row>
    <row r="359" spans="1:16" ht="19.5" customHeight="1">
      <c r="A359" s="1" t="s">
        <v>1758</v>
      </c>
      <c r="B359" s="5">
        <v>46011</v>
      </c>
      <c r="C359" s="1" t="s">
        <v>17</v>
      </c>
      <c r="D359" s="1" t="s">
        <v>18</v>
      </c>
      <c r="E359" s="1" t="s">
        <v>25</v>
      </c>
      <c r="F359" s="1" t="s">
        <v>26</v>
      </c>
      <c r="G359" s="1" t="s">
        <v>1229</v>
      </c>
      <c r="H359" s="6">
        <v>1</v>
      </c>
      <c r="I359" s="7">
        <v>0</v>
      </c>
      <c r="J359" s="5">
        <v>46011</v>
      </c>
      <c r="K359" s="1" t="s">
        <v>22</v>
      </c>
      <c r="L359" s="1" t="s">
        <v>22</v>
      </c>
      <c r="M359" s="8">
        <v>0</v>
      </c>
      <c r="N359" s="6"/>
      <c r="O359" s="6"/>
      <c r="P359" s="9">
        <v>-11.28</v>
      </c>
    </row>
    <row r="360" spans="1:16" ht="19.5" customHeight="1">
      <c r="A360" s="1" t="s">
        <v>1759</v>
      </c>
      <c r="B360" s="5">
        <v>46011</v>
      </c>
      <c r="C360" s="1" t="s">
        <v>28</v>
      </c>
      <c r="D360" s="1" t="s">
        <v>29</v>
      </c>
      <c r="E360" s="1" t="s">
        <v>223</v>
      </c>
      <c r="F360" s="1" t="s">
        <v>395</v>
      </c>
      <c r="G360" s="1" t="s">
        <v>1229</v>
      </c>
      <c r="H360" s="6">
        <v>1</v>
      </c>
      <c r="I360" s="7">
        <v>0</v>
      </c>
      <c r="J360" s="5">
        <v>46004</v>
      </c>
      <c r="K360" s="1" t="s">
        <v>957</v>
      </c>
      <c r="L360" s="1" t="s">
        <v>30</v>
      </c>
      <c r="M360" s="8">
        <v>0</v>
      </c>
      <c r="N360" s="6"/>
      <c r="O360" s="6">
        <v>41</v>
      </c>
      <c r="P360" s="9">
        <v>-46.77</v>
      </c>
    </row>
    <row r="361" spans="1:16" ht="19.5" customHeight="1">
      <c r="A361" s="1" t="s">
        <v>1759</v>
      </c>
      <c r="B361" s="5">
        <v>46011</v>
      </c>
      <c r="C361" s="1" t="s">
        <v>17</v>
      </c>
      <c r="D361" s="1" t="s">
        <v>37</v>
      </c>
      <c r="E361" s="1" t="s">
        <v>223</v>
      </c>
      <c r="F361" s="1" t="s">
        <v>395</v>
      </c>
      <c r="G361" s="1" t="s">
        <v>1229</v>
      </c>
      <c r="H361" s="6">
        <v>1</v>
      </c>
      <c r="I361" s="7">
        <v>0</v>
      </c>
      <c r="J361" s="5">
        <v>46004</v>
      </c>
      <c r="K361" s="1" t="s">
        <v>957</v>
      </c>
      <c r="L361" s="1" t="s">
        <v>30</v>
      </c>
      <c r="M361" s="8">
        <v>0</v>
      </c>
      <c r="N361" s="6"/>
      <c r="O361" s="6"/>
      <c r="P361" s="9">
        <v>-7.1</v>
      </c>
    </row>
    <row r="362" spans="1:16" ht="19.5" customHeight="1">
      <c r="A362" s="1" t="s">
        <v>1759</v>
      </c>
      <c r="B362" s="5">
        <v>46011</v>
      </c>
      <c r="C362" s="1" t="s">
        <v>28</v>
      </c>
      <c r="D362" s="1" t="s">
        <v>45</v>
      </c>
      <c r="E362" s="1" t="s">
        <v>223</v>
      </c>
      <c r="F362" s="1" t="s">
        <v>395</v>
      </c>
      <c r="G362" s="1" t="s">
        <v>1229</v>
      </c>
      <c r="H362" s="6">
        <v>1</v>
      </c>
      <c r="I362" s="7">
        <v>0</v>
      </c>
      <c r="J362" s="5">
        <v>46004</v>
      </c>
      <c r="K362" s="1" t="s">
        <v>957</v>
      </c>
      <c r="L362" s="1" t="s">
        <v>30</v>
      </c>
      <c r="M362" s="8">
        <v>0</v>
      </c>
      <c r="N362" s="6"/>
      <c r="O362" s="6"/>
      <c r="P362" s="9">
        <v>0</v>
      </c>
    </row>
    <row r="363" spans="1:16" ht="19.5" customHeight="1">
      <c r="A363" s="1" t="s">
        <v>1759</v>
      </c>
      <c r="B363" s="5">
        <v>46011</v>
      </c>
      <c r="C363" s="1" t="s">
        <v>28</v>
      </c>
      <c r="D363" s="1" t="s">
        <v>46</v>
      </c>
      <c r="E363" s="1" t="s">
        <v>223</v>
      </c>
      <c r="F363" s="1" t="s">
        <v>395</v>
      </c>
      <c r="G363" s="1" t="s">
        <v>1229</v>
      </c>
      <c r="H363" s="6">
        <v>1</v>
      </c>
      <c r="I363" s="7">
        <v>0</v>
      </c>
      <c r="J363" s="5">
        <v>46004</v>
      </c>
      <c r="K363" s="1" t="s">
        <v>957</v>
      </c>
      <c r="L363" s="1" t="s">
        <v>30</v>
      </c>
      <c r="M363" s="8">
        <v>0</v>
      </c>
      <c r="N363" s="6"/>
      <c r="O363" s="6"/>
      <c r="P363" s="9">
        <v>-46.77</v>
      </c>
    </row>
    <row r="364" spans="1:16" ht="19.5" customHeight="1">
      <c r="A364" s="1" t="s">
        <v>1759</v>
      </c>
      <c r="B364" s="5">
        <v>46011</v>
      </c>
      <c r="C364" s="1" t="s">
        <v>17</v>
      </c>
      <c r="D364" s="1" t="s">
        <v>47</v>
      </c>
      <c r="E364" s="1" t="s">
        <v>223</v>
      </c>
      <c r="F364" s="1" t="s">
        <v>395</v>
      </c>
      <c r="G364" s="1" t="s">
        <v>1229</v>
      </c>
      <c r="H364" s="6">
        <v>1</v>
      </c>
      <c r="I364" s="7">
        <v>0</v>
      </c>
      <c r="J364" s="5">
        <v>46004</v>
      </c>
      <c r="K364" s="1" t="s">
        <v>957</v>
      </c>
      <c r="L364" s="1" t="s">
        <v>30</v>
      </c>
      <c r="M364" s="8">
        <v>0</v>
      </c>
      <c r="N364" s="6"/>
      <c r="O364" s="6"/>
      <c r="P364" s="9">
        <v>-15</v>
      </c>
    </row>
    <row r="365" spans="1:16" ht="19.5" customHeight="1">
      <c r="A365" s="1" t="s">
        <v>1760</v>
      </c>
      <c r="B365" s="5">
        <v>46011</v>
      </c>
      <c r="C365" s="1" t="s">
        <v>28</v>
      </c>
      <c r="D365" s="1" t="s">
        <v>29</v>
      </c>
      <c r="E365" s="1" t="s">
        <v>25</v>
      </c>
      <c r="F365" s="1" t="s">
        <v>26</v>
      </c>
      <c r="G365" s="1" t="s">
        <v>1229</v>
      </c>
      <c r="H365" s="6">
        <v>1</v>
      </c>
      <c r="I365" s="7">
        <v>0</v>
      </c>
      <c r="J365" s="5">
        <v>45999</v>
      </c>
      <c r="K365" s="1" t="s">
        <v>957</v>
      </c>
      <c r="L365" s="1" t="s">
        <v>30</v>
      </c>
      <c r="M365" s="8">
        <v>0</v>
      </c>
      <c r="N365" s="6"/>
      <c r="O365" s="6">
        <v>39</v>
      </c>
      <c r="P365" s="9">
        <v>-46</v>
      </c>
    </row>
    <row r="366" spans="1:16" ht="19.5" customHeight="1">
      <c r="A366" s="1" t="s">
        <v>1760</v>
      </c>
      <c r="B366" s="5">
        <v>46011</v>
      </c>
      <c r="C366" s="1" t="s">
        <v>17</v>
      </c>
      <c r="D366" s="1" t="s">
        <v>37</v>
      </c>
      <c r="E366" s="1" t="s">
        <v>25</v>
      </c>
      <c r="F366" s="1" t="s">
        <v>26</v>
      </c>
      <c r="G366" s="1" t="s">
        <v>1229</v>
      </c>
      <c r="H366" s="6">
        <v>1</v>
      </c>
      <c r="I366" s="7">
        <v>0</v>
      </c>
      <c r="J366" s="5">
        <v>45999</v>
      </c>
      <c r="K366" s="1" t="s">
        <v>957</v>
      </c>
      <c r="L366" s="1" t="s">
        <v>30</v>
      </c>
      <c r="M366" s="8">
        <v>0</v>
      </c>
      <c r="N366" s="6"/>
      <c r="O366" s="6"/>
      <c r="P366" s="9">
        <v>-8.24</v>
      </c>
    </row>
    <row r="367" spans="1:16" ht="19.5" customHeight="1">
      <c r="A367" s="1" t="s">
        <v>1760</v>
      </c>
      <c r="B367" s="5">
        <v>46011</v>
      </c>
      <c r="C367" s="1" t="s">
        <v>28</v>
      </c>
      <c r="D367" s="1" t="s">
        <v>45</v>
      </c>
      <c r="E367" s="1" t="s">
        <v>25</v>
      </c>
      <c r="F367" s="1" t="s">
        <v>26</v>
      </c>
      <c r="G367" s="1" t="s">
        <v>1229</v>
      </c>
      <c r="H367" s="6">
        <v>1</v>
      </c>
      <c r="I367" s="7">
        <v>0</v>
      </c>
      <c r="J367" s="5">
        <v>45999</v>
      </c>
      <c r="K367" s="1" t="s">
        <v>957</v>
      </c>
      <c r="L367" s="1" t="s">
        <v>30</v>
      </c>
      <c r="M367" s="8">
        <v>0</v>
      </c>
      <c r="N367" s="6"/>
      <c r="O367" s="6"/>
      <c r="P367" s="9">
        <v>0</v>
      </c>
    </row>
    <row r="368" spans="1:16" ht="19.5" customHeight="1">
      <c r="A368" s="1" t="s">
        <v>1760</v>
      </c>
      <c r="B368" s="5">
        <v>46011</v>
      </c>
      <c r="C368" s="1" t="s">
        <v>28</v>
      </c>
      <c r="D368" s="1" t="s">
        <v>46</v>
      </c>
      <c r="E368" s="1" t="s">
        <v>25</v>
      </c>
      <c r="F368" s="1" t="s">
        <v>26</v>
      </c>
      <c r="G368" s="1" t="s">
        <v>1229</v>
      </c>
      <c r="H368" s="6">
        <v>1</v>
      </c>
      <c r="I368" s="7">
        <v>0</v>
      </c>
      <c r="J368" s="5">
        <v>45999</v>
      </c>
      <c r="K368" s="1" t="s">
        <v>957</v>
      </c>
      <c r="L368" s="1" t="s">
        <v>30</v>
      </c>
      <c r="M368" s="8">
        <v>0</v>
      </c>
      <c r="N368" s="6"/>
      <c r="O368" s="6"/>
      <c r="P368" s="9">
        <v>-46</v>
      </c>
    </row>
    <row r="369" spans="1:16" ht="19.5" customHeight="1">
      <c r="A369" s="1" t="s">
        <v>1760</v>
      </c>
      <c r="B369" s="5">
        <v>46011</v>
      </c>
      <c r="C369" s="1" t="s">
        <v>17</v>
      </c>
      <c r="D369" s="1" t="s">
        <v>47</v>
      </c>
      <c r="E369" s="1" t="s">
        <v>25</v>
      </c>
      <c r="F369" s="1" t="s">
        <v>26</v>
      </c>
      <c r="G369" s="1" t="s">
        <v>1229</v>
      </c>
      <c r="H369" s="6">
        <v>1</v>
      </c>
      <c r="I369" s="7">
        <v>0</v>
      </c>
      <c r="J369" s="5">
        <v>45999</v>
      </c>
      <c r="K369" s="1" t="s">
        <v>957</v>
      </c>
      <c r="L369" s="1" t="s">
        <v>30</v>
      </c>
      <c r="M369" s="8">
        <v>0</v>
      </c>
      <c r="N369" s="6"/>
      <c r="O369" s="6"/>
      <c r="P369" s="9">
        <v>-15</v>
      </c>
    </row>
    <row r="370" spans="1:16" ht="19.5" customHeight="1">
      <c r="A370" s="1" t="s">
        <v>1761</v>
      </c>
      <c r="B370" s="5">
        <v>46011</v>
      </c>
      <c r="C370" s="1" t="s">
        <v>28</v>
      </c>
      <c r="D370" s="1" t="s">
        <v>29</v>
      </c>
      <c r="E370" s="1" t="s">
        <v>223</v>
      </c>
      <c r="F370" s="1" t="s">
        <v>395</v>
      </c>
      <c r="G370" s="1" t="s">
        <v>1229</v>
      </c>
      <c r="H370" s="6">
        <v>1</v>
      </c>
      <c r="I370" s="7">
        <v>1292</v>
      </c>
      <c r="J370" s="5">
        <v>46009</v>
      </c>
      <c r="K370" s="1" t="s">
        <v>957</v>
      </c>
      <c r="L370" s="1" t="s">
        <v>30</v>
      </c>
      <c r="M370" s="8">
        <v>0.43</v>
      </c>
      <c r="N370" s="6"/>
      <c r="O370" s="6">
        <v>40</v>
      </c>
      <c r="P370" s="9">
        <v>-103.57</v>
      </c>
    </row>
    <row r="371" spans="1:16" ht="19.5" customHeight="1">
      <c r="A371" s="1" t="s">
        <v>1761</v>
      </c>
      <c r="B371" s="5">
        <v>46011</v>
      </c>
      <c r="C371" s="1" t="s">
        <v>31</v>
      </c>
      <c r="D371" s="1" t="s">
        <v>32</v>
      </c>
      <c r="E371" s="1" t="s">
        <v>223</v>
      </c>
      <c r="F371" s="1" t="s">
        <v>395</v>
      </c>
      <c r="G371" s="1" t="s">
        <v>1229</v>
      </c>
      <c r="H371" s="6">
        <v>1</v>
      </c>
      <c r="I371" s="7">
        <v>1292</v>
      </c>
      <c r="J371" s="5">
        <v>46009</v>
      </c>
      <c r="K371" s="1" t="s">
        <v>957</v>
      </c>
      <c r="L371" s="1" t="s">
        <v>30</v>
      </c>
      <c r="M371" s="8">
        <v>0</v>
      </c>
      <c r="N371" s="6"/>
      <c r="O371" s="6"/>
      <c r="P371" s="9">
        <v>493.33</v>
      </c>
    </row>
    <row r="372" spans="1:16" ht="19.5" customHeight="1">
      <c r="A372" s="1" t="s">
        <v>1761</v>
      </c>
      <c r="B372" s="5">
        <v>46011</v>
      </c>
      <c r="C372" s="1" t="s">
        <v>31</v>
      </c>
      <c r="D372" s="1" t="s">
        <v>33</v>
      </c>
      <c r="E372" s="1" t="s">
        <v>223</v>
      </c>
      <c r="F372" s="1" t="s">
        <v>395</v>
      </c>
      <c r="G372" s="1" t="s">
        <v>1229</v>
      </c>
      <c r="H372" s="6">
        <v>1</v>
      </c>
      <c r="I372" s="7">
        <v>1292</v>
      </c>
      <c r="J372" s="5">
        <v>46009</v>
      </c>
      <c r="K372" s="1" t="s">
        <v>957</v>
      </c>
      <c r="L372" s="1" t="s">
        <v>30</v>
      </c>
      <c r="M372" s="8">
        <v>0</v>
      </c>
      <c r="N372" s="6"/>
      <c r="O372" s="6"/>
      <c r="P372" s="9">
        <v>4.93</v>
      </c>
    </row>
    <row r="373" spans="1:16" ht="19.5" customHeight="1">
      <c r="A373" s="1" t="s">
        <v>1761</v>
      </c>
      <c r="B373" s="5">
        <v>46011</v>
      </c>
      <c r="C373" s="1" t="s">
        <v>31</v>
      </c>
      <c r="D373" s="1" t="s">
        <v>34</v>
      </c>
      <c r="E373" s="1" t="s">
        <v>223</v>
      </c>
      <c r="F373" s="1" t="s">
        <v>395</v>
      </c>
      <c r="G373" s="1" t="s">
        <v>1229</v>
      </c>
      <c r="H373" s="6">
        <v>1</v>
      </c>
      <c r="I373" s="7">
        <v>1292</v>
      </c>
      <c r="J373" s="5">
        <v>46009</v>
      </c>
      <c r="K373" s="1" t="s">
        <v>957</v>
      </c>
      <c r="L373" s="1" t="s">
        <v>30</v>
      </c>
      <c r="M373" s="8">
        <v>0</v>
      </c>
      <c r="N373" s="6"/>
      <c r="O373" s="6"/>
      <c r="P373" s="9">
        <v>793.74</v>
      </c>
    </row>
    <row r="374" spans="1:16" ht="19.5" customHeight="1">
      <c r="A374" s="1" t="s">
        <v>1761</v>
      </c>
      <c r="B374" s="5">
        <v>46011</v>
      </c>
      <c r="C374" s="1" t="s">
        <v>35</v>
      </c>
      <c r="D374" s="1" t="s">
        <v>36</v>
      </c>
      <c r="E374" s="1" t="s">
        <v>223</v>
      </c>
      <c r="F374" s="1" t="s">
        <v>395</v>
      </c>
      <c r="G374" s="1" t="s">
        <v>1229</v>
      </c>
      <c r="H374" s="6">
        <v>1</v>
      </c>
      <c r="I374" s="7">
        <v>1292</v>
      </c>
      <c r="J374" s="5">
        <v>46009</v>
      </c>
      <c r="K374" s="1" t="s">
        <v>957</v>
      </c>
      <c r="L374" s="1" t="s">
        <v>30</v>
      </c>
      <c r="M374" s="8">
        <v>0.43</v>
      </c>
      <c r="N374" s="6"/>
      <c r="O374" s="6"/>
      <c r="P374" s="9">
        <v>-555.55999999999995</v>
      </c>
    </row>
    <row r="375" spans="1:16" ht="19.5" customHeight="1">
      <c r="A375" s="1" t="s">
        <v>1761</v>
      </c>
      <c r="B375" s="5">
        <v>46011</v>
      </c>
      <c r="C375" s="1" t="s">
        <v>17</v>
      </c>
      <c r="D375" s="1" t="s">
        <v>37</v>
      </c>
      <c r="E375" s="1" t="s">
        <v>223</v>
      </c>
      <c r="F375" s="1" t="s">
        <v>395</v>
      </c>
      <c r="G375" s="1" t="s">
        <v>1229</v>
      </c>
      <c r="H375" s="6">
        <v>1</v>
      </c>
      <c r="I375" s="7">
        <v>1292</v>
      </c>
      <c r="J375" s="5">
        <v>46009</v>
      </c>
      <c r="K375" s="1" t="s">
        <v>957</v>
      </c>
      <c r="L375" s="1" t="s">
        <v>30</v>
      </c>
      <c r="M375" s="8">
        <v>0.43</v>
      </c>
      <c r="N375" s="6"/>
      <c r="O375" s="6"/>
      <c r="P375" s="9">
        <v>-8.93</v>
      </c>
    </row>
    <row r="376" spans="1:16" ht="19.5" customHeight="1">
      <c r="A376" s="1" t="s">
        <v>1761</v>
      </c>
      <c r="B376" s="5">
        <v>46011</v>
      </c>
      <c r="C376" s="1" t="s">
        <v>17</v>
      </c>
      <c r="D376" s="1" t="s">
        <v>18</v>
      </c>
      <c r="E376" s="1" t="s">
        <v>223</v>
      </c>
      <c r="F376" s="1" t="s">
        <v>395</v>
      </c>
      <c r="G376" s="1" t="s">
        <v>1229</v>
      </c>
      <c r="H376" s="6">
        <v>1</v>
      </c>
      <c r="I376" s="7">
        <v>0</v>
      </c>
      <c r="J376" s="5">
        <v>46009</v>
      </c>
      <c r="K376" s="1" t="s">
        <v>22</v>
      </c>
      <c r="L376" s="1" t="s">
        <v>22</v>
      </c>
      <c r="M376" s="8">
        <v>0</v>
      </c>
      <c r="N376" s="6"/>
      <c r="O376" s="6"/>
      <c r="P376" s="9">
        <v>-9.3699999999999992</v>
      </c>
    </row>
    <row r="377" spans="1:16" ht="19.5" customHeight="1">
      <c r="A377" s="1" t="s">
        <v>1762</v>
      </c>
      <c r="B377" s="5">
        <v>46011</v>
      </c>
      <c r="C377" s="1" t="s">
        <v>28</v>
      </c>
      <c r="D377" s="1" t="s">
        <v>29</v>
      </c>
      <c r="E377" s="1" t="s">
        <v>25</v>
      </c>
      <c r="F377" s="1" t="s">
        <v>26</v>
      </c>
      <c r="G377" s="1" t="s">
        <v>1229</v>
      </c>
      <c r="H377" s="6">
        <v>1</v>
      </c>
      <c r="I377" s="7">
        <v>0</v>
      </c>
      <c r="J377" s="5">
        <v>46008</v>
      </c>
      <c r="K377" s="1" t="s">
        <v>957</v>
      </c>
      <c r="L377" s="1" t="s">
        <v>30</v>
      </c>
      <c r="M377" s="8">
        <v>0</v>
      </c>
      <c r="N377" s="6"/>
      <c r="O377" s="6">
        <v>41</v>
      </c>
      <c r="P377" s="9">
        <v>-46</v>
      </c>
    </row>
    <row r="378" spans="1:16" ht="19.5" customHeight="1">
      <c r="A378" s="1" t="s">
        <v>1762</v>
      </c>
      <c r="B378" s="5">
        <v>46011</v>
      </c>
      <c r="C378" s="1" t="s">
        <v>17</v>
      </c>
      <c r="D378" s="1" t="s">
        <v>37</v>
      </c>
      <c r="E378" s="1" t="s">
        <v>25</v>
      </c>
      <c r="F378" s="1" t="s">
        <v>26</v>
      </c>
      <c r="G378" s="1" t="s">
        <v>1229</v>
      </c>
      <c r="H378" s="6">
        <v>1</v>
      </c>
      <c r="I378" s="7">
        <v>0</v>
      </c>
      <c r="J378" s="5">
        <v>46008</v>
      </c>
      <c r="K378" s="1" t="s">
        <v>957</v>
      </c>
      <c r="L378" s="1" t="s">
        <v>30</v>
      </c>
      <c r="M378" s="8">
        <v>0</v>
      </c>
      <c r="N378" s="6"/>
      <c r="O378" s="6"/>
      <c r="P378" s="9">
        <v>-4.83</v>
      </c>
    </row>
    <row r="379" spans="1:16" ht="19.5" customHeight="1">
      <c r="A379" s="1" t="s">
        <v>1762</v>
      </c>
      <c r="B379" s="5">
        <v>46011</v>
      </c>
      <c r="C379" s="1" t="s">
        <v>28</v>
      </c>
      <c r="D379" s="1" t="s">
        <v>45</v>
      </c>
      <c r="E379" s="1" t="s">
        <v>25</v>
      </c>
      <c r="F379" s="1" t="s">
        <v>26</v>
      </c>
      <c r="G379" s="1" t="s">
        <v>1229</v>
      </c>
      <c r="H379" s="6">
        <v>1</v>
      </c>
      <c r="I379" s="7">
        <v>0</v>
      </c>
      <c r="J379" s="5">
        <v>46008</v>
      </c>
      <c r="K379" s="1" t="s">
        <v>957</v>
      </c>
      <c r="L379" s="1" t="s">
        <v>30</v>
      </c>
      <c r="M379" s="8">
        <v>0</v>
      </c>
      <c r="N379" s="6"/>
      <c r="O379" s="6"/>
      <c r="P379" s="9">
        <v>0</v>
      </c>
    </row>
    <row r="380" spans="1:16" ht="19.5" customHeight="1">
      <c r="A380" s="1" t="s">
        <v>1762</v>
      </c>
      <c r="B380" s="5">
        <v>46011</v>
      </c>
      <c r="C380" s="1" t="s">
        <v>28</v>
      </c>
      <c r="D380" s="1" t="s">
        <v>46</v>
      </c>
      <c r="E380" s="1" t="s">
        <v>25</v>
      </c>
      <c r="F380" s="1" t="s">
        <v>26</v>
      </c>
      <c r="G380" s="1" t="s">
        <v>1229</v>
      </c>
      <c r="H380" s="6">
        <v>1</v>
      </c>
      <c r="I380" s="7">
        <v>0</v>
      </c>
      <c r="J380" s="5">
        <v>46008</v>
      </c>
      <c r="K380" s="1" t="s">
        <v>957</v>
      </c>
      <c r="L380" s="1" t="s">
        <v>30</v>
      </c>
      <c r="M380" s="8">
        <v>0</v>
      </c>
      <c r="N380" s="6"/>
      <c r="O380" s="6"/>
      <c r="P380" s="9">
        <v>-46</v>
      </c>
    </row>
    <row r="381" spans="1:16" ht="19.5" customHeight="1">
      <c r="A381" s="1" t="s">
        <v>1762</v>
      </c>
      <c r="B381" s="5">
        <v>46011</v>
      </c>
      <c r="C381" s="1" t="s">
        <v>17</v>
      </c>
      <c r="D381" s="1" t="s">
        <v>47</v>
      </c>
      <c r="E381" s="1" t="s">
        <v>25</v>
      </c>
      <c r="F381" s="1" t="s">
        <v>26</v>
      </c>
      <c r="G381" s="1" t="s">
        <v>1229</v>
      </c>
      <c r="H381" s="6">
        <v>1</v>
      </c>
      <c r="I381" s="7">
        <v>0</v>
      </c>
      <c r="J381" s="5">
        <v>46008</v>
      </c>
      <c r="K381" s="1" t="s">
        <v>957</v>
      </c>
      <c r="L381" s="1" t="s">
        <v>30</v>
      </c>
      <c r="M381" s="8">
        <v>0</v>
      </c>
      <c r="N381" s="6"/>
      <c r="O381" s="6"/>
      <c r="P381" s="9">
        <v>-15</v>
      </c>
    </row>
    <row r="382" spans="1:16" ht="19.5" customHeight="1">
      <c r="A382" s="1" t="s">
        <v>1494</v>
      </c>
      <c r="B382" s="5">
        <v>46011</v>
      </c>
      <c r="C382" s="1" t="s">
        <v>17</v>
      </c>
      <c r="D382" s="1" t="s">
        <v>18</v>
      </c>
      <c r="E382" s="1" t="s">
        <v>25</v>
      </c>
      <c r="F382" s="1" t="s">
        <v>26</v>
      </c>
      <c r="G382" s="1" t="s">
        <v>1229</v>
      </c>
      <c r="H382" s="6">
        <v>1</v>
      </c>
      <c r="I382" s="7">
        <v>0</v>
      </c>
      <c r="J382" s="5">
        <v>45995</v>
      </c>
      <c r="K382" s="1" t="s">
        <v>22</v>
      </c>
      <c r="L382" s="1" t="s">
        <v>22</v>
      </c>
      <c r="M382" s="8">
        <v>0</v>
      </c>
      <c r="N382" s="6"/>
      <c r="O382" s="6"/>
      <c r="P382" s="9">
        <v>14.51</v>
      </c>
    </row>
    <row r="383" spans="1:16" ht="19.5" customHeight="1">
      <c r="A383" s="1" t="s">
        <v>1763</v>
      </c>
      <c r="B383" s="5">
        <v>46011</v>
      </c>
      <c r="C383" s="1" t="s">
        <v>28</v>
      </c>
      <c r="D383" s="1" t="s">
        <v>29</v>
      </c>
      <c r="E383" s="1" t="s">
        <v>223</v>
      </c>
      <c r="F383" s="1" t="s">
        <v>395</v>
      </c>
      <c r="G383" s="1" t="s">
        <v>1229</v>
      </c>
      <c r="H383" s="6">
        <v>1</v>
      </c>
      <c r="I383" s="7">
        <v>1292</v>
      </c>
      <c r="J383" s="5">
        <v>46008</v>
      </c>
      <c r="K383" s="1" t="s">
        <v>957</v>
      </c>
      <c r="L383" s="1" t="s">
        <v>30</v>
      </c>
      <c r="M383" s="8">
        <v>0.43</v>
      </c>
      <c r="N383" s="6"/>
      <c r="O383" s="6">
        <v>41</v>
      </c>
      <c r="P383" s="9">
        <v>-106.91</v>
      </c>
    </row>
    <row r="384" spans="1:16" ht="19.5" customHeight="1">
      <c r="A384" s="1" t="s">
        <v>1763</v>
      </c>
      <c r="B384" s="5">
        <v>46011</v>
      </c>
      <c r="C384" s="1" t="s">
        <v>31</v>
      </c>
      <c r="D384" s="1" t="s">
        <v>32</v>
      </c>
      <c r="E384" s="1" t="s">
        <v>223</v>
      </c>
      <c r="F384" s="1" t="s">
        <v>395</v>
      </c>
      <c r="G384" s="1" t="s">
        <v>1229</v>
      </c>
      <c r="H384" s="6">
        <v>1</v>
      </c>
      <c r="I384" s="7">
        <v>1292</v>
      </c>
      <c r="J384" s="5">
        <v>46008</v>
      </c>
      <c r="K384" s="1" t="s">
        <v>957</v>
      </c>
      <c r="L384" s="1" t="s">
        <v>30</v>
      </c>
      <c r="M384" s="8">
        <v>0</v>
      </c>
      <c r="N384" s="6"/>
      <c r="O384" s="6"/>
      <c r="P384" s="9">
        <v>492.4</v>
      </c>
    </row>
    <row r="385" spans="1:16" ht="19.5" customHeight="1">
      <c r="A385" s="1" t="s">
        <v>1763</v>
      </c>
      <c r="B385" s="5">
        <v>46011</v>
      </c>
      <c r="C385" s="1" t="s">
        <v>31</v>
      </c>
      <c r="D385" s="1" t="s">
        <v>33</v>
      </c>
      <c r="E385" s="1" t="s">
        <v>223</v>
      </c>
      <c r="F385" s="1" t="s">
        <v>395</v>
      </c>
      <c r="G385" s="1" t="s">
        <v>1229</v>
      </c>
      <c r="H385" s="6">
        <v>1</v>
      </c>
      <c r="I385" s="7">
        <v>1292</v>
      </c>
      <c r="J385" s="5">
        <v>46008</v>
      </c>
      <c r="K385" s="1" t="s">
        <v>957</v>
      </c>
      <c r="L385" s="1" t="s">
        <v>30</v>
      </c>
      <c r="M385" s="8">
        <v>0</v>
      </c>
      <c r="N385" s="6"/>
      <c r="O385" s="6"/>
      <c r="P385" s="9">
        <v>4.92</v>
      </c>
    </row>
    <row r="386" spans="1:16" ht="19.5" customHeight="1">
      <c r="A386" s="1" t="s">
        <v>1763</v>
      </c>
      <c r="B386" s="5">
        <v>46011</v>
      </c>
      <c r="C386" s="1" t="s">
        <v>31</v>
      </c>
      <c r="D386" s="1" t="s">
        <v>34</v>
      </c>
      <c r="E386" s="1" t="s">
        <v>223</v>
      </c>
      <c r="F386" s="1" t="s">
        <v>395</v>
      </c>
      <c r="G386" s="1" t="s">
        <v>1229</v>
      </c>
      <c r="H386" s="6">
        <v>1</v>
      </c>
      <c r="I386" s="7">
        <v>1292</v>
      </c>
      <c r="J386" s="5">
        <v>46008</v>
      </c>
      <c r="K386" s="1" t="s">
        <v>957</v>
      </c>
      <c r="L386" s="1" t="s">
        <v>30</v>
      </c>
      <c r="M386" s="8">
        <v>0</v>
      </c>
      <c r="N386" s="6"/>
      <c r="O386" s="6"/>
      <c r="P386" s="9">
        <v>794.68</v>
      </c>
    </row>
    <row r="387" spans="1:16" ht="19.5" customHeight="1">
      <c r="A387" s="1" t="s">
        <v>1763</v>
      </c>
      <c r="B387" s="5">
        <v>46011</v>
      </c>
      <c r="C387" s="1" t="s">
        <v>35</v>
      </c>
      <c r="D387" s="1" t="s">
        <v>36</v>
      </c>
      <c r="E387" s="1" t="s">
        <v>223</v>
      </c>
      <c r="F387" s="1" t="s">
        <v>395</v>
      </c>
      <c r="G387" s="1" t="s">
        <v>1229</v>
      </c>
      <c r="H387" s="6">
        <v>1</v>
      </c>
      <c r="I387" s="7">
        <v>1292</v>
      </c>
      <c r="J387" s="5">
        <v>46008</v>
      </c>
      <c r="K387" s="1" t="s">
        <v>957</v>
      </c>
      <c r="L387" s="1" t="s">
        <v>30</v>
      </c>
      <c r="M387" s="8">
        <v>0.43</v>
      </c>
      <c r="N387" s="6"/>
      <c r="O387" s="6"/>
      <c r="P387" s="9">
        <v>-555.55999999999995</v>
      </c>
    </row>
    <row r="388" spans="1:16" ht="19.5" customHeight="1">
      <c r="A388" s="1" t="s">
        <v>1763</v>
      </c>
      <c r="B388" s="5">
        <v>46011</v>
      </c>
      <c r="C388" s="1" t="s">
        <v>17</v>
      </c>
      <c r="D388" s="1" t="s">
        <v>37</v>
      </c>
      <c r="E388" s="1" t="s">
        <v>223</v>
      </c>
      <c r="F388" s="1" t="s">
        <v>395</v>
      </c>
      <c r="G388" s="1" t="s">
        <v>1229</v>
      </c>
      <c r="H388" s="6">
        <v>1</v>
      </c>
      <c r="I388" s="7">
        <v>1292</v>
      </c>
      <c r="J388" s="5">
        <v>46008</v>
      </c>
      <c r="K388" s="1" t="s">
        <v>957</v>
      </c>
      <c r="L388" s="1" t="s">
        <v>30</v>
      </c>
      <c r="M388" s="8">
        <v>0.43</v>
      </c>
      <c r="N388" s="6"/>
      <c r="O388" s="6"/>
      <c r="P388" s="9">
        <v>-5.3</v>
      </c>
    </row>
    <row r="389" spans="1:16" ht="19.5" customHeight="1">
      <c r="A389" s="1" t="s">
        <v>1764</v>
      </c>
      <c r="B389" s="5">
        <v>46011</v>
      </c>
      <c r="C389" s="1" t="s">
        <v>28</v>
      </c>
      <c r="D389" s="1" t="s">
        <v>29</v>
      </c>
      <c r="E389" s="1" t="s">
        <v>223</v>
      </c>
      <c r="F389" s="1" t="s">
        <v>395</v>
      </c>
      <c r="G389" s="1" t="s">
        <v>1229</v>
      </c>
      <c r="H389" s="6">
        <v>1</v>
      </c>
      <c r="I389" s="7">
        <v>1687</v>
      </c>
      <c r="J389" s="5">
        <v>46007</v>
      </c>
      <c r="K389" s="1" t="s">
        <v>957</v>
      </c>
      <c r="L389" s="1" t="s">
        <v>30</v>
      </c>
      <c r="M389" s="8">
        <v>0.43</v>
      </c>
      <c r="N389" s="6"/>
      <c r="O389" s="6">
        <v>37</v>
      </c>
      <c r="P389" s="9">
        <v>-99.22</v>
      </c>
    </row>
    <row r="390" spans="1:16" ht="19.5" customHeight="1">
      <c r="A390" s="1" t="s">
        <v>1764</v>
      </c>
      <c r="B390" s="5">
        <v>46011</v>
      </c>
      <c r="C390" s="1" t="s">
        <v>31</v>
      </c>
      <c r="D390" s="1" t="s">
        <v>32</v>
      </c>
      <c r="E390" s="1" t="s">
        <v>223</v>
      </c>
      <c r="F390" s="1" t="s">
        <v>395</v>
      </c>
      <c r="G390" s="1" t="s">
        <v>1229</v>
      </c>
      <c r="H390" s="6">
        <v>1</v>
      </c>
      <c r="I390" s="7">
        <v>1687</v>
      </c>
      <c r="J390" s="5">
        <v>46007</v>
      </c>
      <c r="K390" s="1" t="s">
        <v>957</v>
      </c>
      <c r="L390" s="1" t="s">
        <v>30</v>
      </c>
      <c r="M390" s="8">
        <v>0</v>
      </c>
      <c r="N390" s="6"/>
      <c r="O390" s="6"/>
      <c r="P390" s="9">
        <v>587.62</v>
      </c>
    </row>
    <row r="391" spans="1:16" ht="19.5" customHeight="1">
      <c r="A391" s="1" t="s">
        <v>1764</v>
      </c>
      <c r="B391" s="5">
        <v>46011</v>
      </c>
      <c r="C391" s="1" t="s">
        <v>31</v>
      </c>
      <c r="D391" s="1" t="s">
        <v>33</v>
      </c>
      <c r="E391" s="1" t="s">
        <v>223</v>
      </c>
      <c r="F391" s="1" t="s">
        <v>395</v>
      </c>
      <c r="G391" s="1" t="s">
        <v>1229</v>
      </c>
      <c r="H391" s="6">
        <v>1</v>
      </c>
      <c r="I391" s="7">
        <v>1687</v>
      </c>
      <c r="J391" s="5">
        <v>46007</v>
      </c>
      <c r="K391" s="1" t="s">
        <v>957</v>
      </c>
      <c r="L391" s="1" t="s">
        <v>30</v>
      </c>
      <c r="M391" s="8">
        <v>0</v>
      </c>
      <c r="N391" s="6"/>
      <c r="O391" s="6"/>
      <c r="P391" s="9">
        <v>5.88</v>
      </c>
    </row>
    <row r="392" spans="1:16" ht="19.5" customHeight="1">
      <c r="A392" s="1" t="s">
        <v>1764</v>
      </c>
      <c r="B392" s="5">
        <v>46011</v>
      </c>
      <c r="C392" s="1" t="s">
        <v>31</v>
      </c>
      <c r="D392" s="1" t="s">
        <v>34</v>
      </c>
      <c r="E392" s="1" t="s">
        <v>223</v>
      </c>
      <c r="F392" s="1" t="s">
        <v>395</v>
      </c>
      <c r="G392" s="1" t="s">
        <v>1229</v>
      </c>
      <c r="H392" s="6">
        <v>1</v>
      </c>
      <c r="I392" s="7">
        <v>1687</v>
      </c>
      <c r="J392" s="5">
        <v>46007</v>
      </c>
      <c r="K392" s="1" t="s">
        <v>957</v>
      </c>
      <c r="L392" s="1" t="s">
        <v>30</v>
      </c>
      <c r="M392" s="8">
        <v>0</v>
      </c>
      <c r="N392" s="6"/>
      <c r="O392" s="6"/>
      <c r="P392" s="9">
        <v>1093.5</v>
      </c>
    </row>
    <row r="393" spans="1:16" ht="19.5" customHeight="1">
      <c r="A393" s="1" t="s">
        <v>1764</v>
      </c>
      <c r="B393" s="5">
        <v>46011</v>
      </c>
      <c r="C393" s="1" t="s">
        <v>35</v>
      </c>
      <c r="D393" s="1" t="s">
        <v>36</v>
      </c>
      <c r="E393" s="1" t="s">
        <v>223</v>
      </c>
      <c r="F393" s="1" t="s">
        <v>395</v>
      </c>
      <c r="G393" s="1" t="s">
        <v>1229</v>
      </c>
      <c r="H393" s="6">
        <v>1</v>
      </c>
      <c r="I393" s="7">
        <v>1687</v>
      </c>
      <c r="J393" s="5">
        <v>46007</v>
      </c>
      <c r="K393" s="1" t="s">
        <v>957</v>
      </c>
      <c r="L393" s="1" t="s">
        <v>30</v>
      </c>
      <c r="M393" s="8">
        <v>0.43</v>
      </c>
      <c r="N393" s="6"/>
      <c r="O393" s="6"/>
      <c r="P393" s="9">
        <v>-725.41</v>
      </c>
    </row>
    <row r="394" spans="1:16" ht="19.5" customHeight="1">
      <c r="A394" s="1" t="s">
        <v>1764</v>
      </c>
      <c r="B394" s="5">
        <v>46011</v>
      </c>
      <c r="C394" s="1" t="s">
        <v>17</v>
      </c>
      <c r="D394" s="1" t="s">
        <v>37</v>
      </c>
      <c r="E394" s="1" t="s">
        <v>223</v>
      </c>
      <c r="F394" s="1" t="s">
        <v>395</v>
      </c>
      <c r="G394" s="1" t="s">
        <v>1229</v>
      </c>
      <c r="H394" s="6">
        <v>1</v>
      </c>
      <c r="I394" s="7">
        <v>1687</v>
      </c>
      <c r="J394" s="5">
        <v>46007</v>
      </c>
      <c r="K394" s="1" t="s">
        <v>957</v>
      </c>
      <c r="L394" s="1" t="s">
        <v>30</v>
      </c>
      <c r="M394" s="8">
        <v>0.43</v>
      </c>
      <c r="N394" s="6"/>
      <c r="O394" s="6"/>
      <c r="P394" s="9">
        <v>-8.14</v>
      </c>
    </row>
    <row r="395" spans="1:16" ht="19.5" customHeight="1">
      <c r="A395" s="1" t="s">
        <v>1763</v>
      </c>
      <c r="B395" s="5">
        <v>46011</v>
      </c>
      <c r="C395" s="1" t="s">
        <v>17</v>
      </c>
      <c r="D395" s="1" t="s">
        <v>18</v>
      </c>
      <c r="E395" s="1" t="s">
        <v>223</v>
      </c>
      <c r="F395" s="1" t="s">
        <v>395</v>
      </c>
      <c r="G395" s="1" t="s">
        <v>1229</v>
      </c>
      <c r="H395" s="6">
        <v>1</v>
      </c>
      <c r="I395" s="7">
        <v>0</v>
      </c>
      <c r="J395" s="5">
        <v>46008</v>
      </c>
      <c r="K395" s="1" t="s">
        <v>22</v>
      </c>
      <c r="L395" s="1" t="s">
        <v>22</v>
      </c>
      <c r="M395" s="8">
        <v>0</v>
      </c>
      <c r="N395" s="6"/>
      <c r="O395" s="6"/>
      <c r="P395" s="9">
        <v>-9.36</v>
      </c>
    </row>
    <row r="396" spans="1:16" ht="19.5" customHeight="1">
      <c r="A396" s="1" t="s">
        <v>1765</v>
      </c>
      <c r="B396" s="5">
        <v>46011</v>
      </c>
      <c r="C396" s="1" t="s">
        <v>28</v>
      </c>
      <c r="D396" s="1" t="s">
        <v>29</v>
      </c>
      <c r="E396" s="1" t="s">
        <v>223</v>
      </c>
      <c r="F396" s="1" t="s">
        <v>395</v>
      </c>
      <c r="G396" s="1" t="s">
        <v>1229</v>
      </c>
      <c r="H396" s="6">
        <v>1</v>
      </c>
      <c r="I396" s="7">
        <v>1687</v>
      </c>
      <c r="J396" s="5">
        <v>46010</v>
      </c>
      <c r="K396" s="1" t="s">
        <v>957</v>
      </c>
      <c r="L396" s="1" t="s">
        <v>30</v>
      </c>
      <c r="M396" s="8">
        <v>0.43</v>
      </c>
      <c r="N396" s="6"/>
      <c r="O396" s="6">
        <v>39</v>
      </c>
      <c r="P396" s="9">
        <v>-108.57</v>
      </c>
    </row>
    <row r="397" spans="1:16" ht="19.5" customHeight="1">
      <c r="A397" s="1" t="s">
        <v>1765</v>
      </c>
      <c r="B397" s="5">
        <v>46011</v>
      </c>
      <c r="C397" s="1" t="s">
        <v>31</v>
      </c>
      <c r="D397" s="1" t="s">
        <v>32</v>
      </c>
      <c r="E397" s="1" t="s">
        <v>223</v>
      </c>
      <c r="F397" s="1" t="s">
        <v>395</v>
      </c>
      <c r="G397" s="1" t="s">
        <v>1229</v>
      </c>
      <c r="H397" s="6">
        <v>1</v>
      </c>
      <c r="I397" s="7">
        <v>1687</v>
      </c>
      <c r="J397" s="5">
        <v>46010</v>
      </c>
      <c r="K397" s="1" t="s">
        <v>957</v>
      </c>
      <c r="L397" s="1" t="s">
        <v>30</v>
      </c>
      <c r="M397" s="8">
        <v>0</v>
      </c>
      <c r="N397" s="6"/>
      <c r="O397" s="6"/>
      <c r="P397" s="9">
        <v>645.1</v>
      </c>
    </row>
    <row r="398" spans="1:16" ht="19.5" customHeight="1">
      <c r="A398" s="1" t="s">
        <v>1765</v>
      </c>
      <c r="B398" s="5">
        <v>46011</v>
      </c>
      <c r="C398" s="1" t="s">
        <v>31</v>
      </c>
      <c r="D398" s="1" t="s">
        <v>33</v>
      </c>
      <c r="E398" s="1" t="s">
        <v>223</v>
      </c>
      <c r="F398" s="1" t="s">
        <v>395</v>
      </c>
      <c r="G398" s="1" t="s">
        <v>1229</v>
      </c>
      <c r="H398" s="6">
        <v>1</v>
      </c>
      <c r="I398" s="7">
        <v>1687</v>
      </c>
      <c r="J398" s="5">
        <v>46010</v>
      </c>
      <c r="K398" s="1" t="s">
        <v>957</v>
      </c>
      <c r="L398" s="1" t="s">
        <v>30</v>
      </c>
      <c r="M398" s="8">
        <v>0</v>
      </c>
      <c r="N398" s="6"/>
      <c r="O398" s="6"/>
      <c r="P398" s="9">
        <v>6.45</v>
      </c>
    </row>
    <row r="399" spans="1:16" ht="19.5" customHeight="1">
      <c r="A399" s="1" t="s">
        <v>1765</v>
      </c>
      <c r="B399" s="5">
        <v>46011</v>
      </c>
      <c r="C399" s="1" t="s">
        <v>31</v>
      </c>
      <c r="D399" s="1" t="s">
        <v>34</v>
      </c>
      <c r="E399" s="1" t="s">
        <v>223</v>
      </c>
      <c r="F399" s="1" t="s">
        <v>395</v>
      </c>
      <c r="G399" s="1" t="s">
        <v>1229</v>
      </c>
      <c r="H399" s="6">
        <v>1</v>
      </c>
      <c r="I399" s="7">
        <v>1687</v>
      </c>
      <c r="J399" s="5">
        <v>46010</v>
      </c>
      <c r="K399" s="1" t="s">
        <v>957</v>
      </c>
      <c r="L399" s="1" t="s">
        <v>30</v>
      </c>
      <c r="M399" s="8">
        <v>0</v>
      </c>
      <c r="N399" s="6"/>
      <c r="O399" s="6"/>
      <c r="P399" s="9">
        <v>1035.45</v>
      </c>
    </row>
    <row r="400" spans="1:16" ht="19.5" customHeight="1">
      <c r="A400" s="1" t="s">
        <v>1765</v>
      </c>
      <c r="B400" s="5">
        <v>46011</v>
      </c>
      <c r="C400" s="1" t="s">
        <v>35</v>
      </c>
      <c r="D400" s="1" t="s">
        <v>36</v>
      </c>
      <c r="E400" s="1" t="s">
        <v>223</v>
      </c>
      <c r="F400" s="1" t="s">
        <v>395</v>
      </c>
      <c r="G400" s="1" t="s">
        <v>1229</v>
      </c>
      <c r="H400" s="6">
        <v>1</v>
      </c>
      <c r="I400" s="7">
        <v>1687</v>
      </c>
      <c r="J400" s="5">
        <v>46010</v>
      </c>
      <c r="K400" s="1" t="s">
        <v>957</v>
      </c>
      <c r="L400" s="1" t="s">
        <v>30</v>
      </c>
      <c r="M400" s="8">
        <v>0.43</v>
      </c>
      <c r="N400" s="6"/>
      <c r="O400" s="6"/>
      <c r="P400" s="9">
        <v>-725.41</v>
      </c>
    </row>
    <row r="401" spans="1:16" ht="19.5" customHeight="1">
      <c r="A401" s="1" t="s">
        <v>1765</v>
      </c>
      <c r="B401" s="5">
        <v>46011</v>
      </c>
      <c r="C401" s="1" t="s">
        <v>17</v>
      </c>
      <c r="D401" s="1" t="s">
        <v>37</v>
      </c>
      <c r="E401" s="1" t="s">
        <v>223</v>
      </c>
      <c r="F401" s="1" t="s">
        <v>395</v>
      </c>
      <c r="G401" s="1" t="s">
        <v>1229</v>
      </c>
      <c r="H401" s="6">
        <v>1</v>
      </c>
      <c r="I401" s="7">
        <v>1687</v>
      </c>
      <c r="J401" s="5">
        <v>46010</v>
      </c>
      <c r="K401" s="1" t="s">
        <v>957</v>
      </c>
      <c r="L401" s="1" t="s">
        <v>30</v>
      </c>
      <c r="M401" s="8">
        <v>0.43</v>
      </c>
      <c r="N401" s="6"/>
      <c r="O401" s="6"/>
      <c r="P401" s="9">
        <v>-6.7</v>
      </c>
    </row>
    <row r="402" spans="1:16" ht="19.5" customHeight="1">
      <c r="A402" s="1" t="s">
        <v>1766</v>
      </c>
      <c r="B402" s="5">
        <v>46011</v>
      </c>
      <c r="C402" s="1" t="s">
        <v>28</v>
      </c>
      <c r="D402" s="1" t="s">
        <v>29</v>
      </c>
      <c r="E402" s="1" t="s">
        <v>25</v>
      </c>
      <c r="F402" s="1" t="s">
        <v>26</v>
      </c>
      <c r="G402" s="1" t="s">
        <v>1229</v>
      </c>
      <c r="H402" s="6">
        <v>1</v>
      </c>
      <c r="I402" s="7">
        <v>1704</v>
      </c>
      <c r="J402" s="5">
        <v>46010</v>
      </c>
      <c r="K402" s="1" t="s">
        <v>957</v>
      </c>
      <c r="L402" s="1" t="s">
        <v>30</v>
      </c>
      <c r="M402" s="8">
        <v>0.43</v>
      </c>
      <c r="N402" s="6"/>
      <c r="O402" s="6">
        <v>39</v>
      </c>
      <c r="P402" s="9">
        <v>-108.98</v>
      </c>
    </row>
    <row r="403" spans="1:16" ht="19.5" customHeight="1">
      <c r="A403" s="1" t="s">
        <v>1766</v>
      </c>
      <c r="B403" s="5">
        <v>46011</v>
      </c>
      <c r="C403" s="1" t="s">
        <v>31</v>
      </c>
      <c r="D403" s="1" t="s">
        <v>32</v>
      </c>
      <c r="E403" s="1" t="s">
        <v>25</v>
      </c>
      <c r="F403" s="1" t="s">
        <v>26</v>
      </c>
      <c r="G403" s="1" t="s">
        <v>1229</v>
      </c>
      <c r="H403" s="6">
        <v>1</v>
      </c>
      <c r="I403" s="7">
        <v>1704</v>
      </c>
      <c r="J403" s="5">
        <v>46010</v>
      </c>
      <c r="K403" s="1" t="s">
        <v>957</v>
      </c>
      <c r="L403" s="1" t="s">
        <v>30</v>
      </c>
      <c r="M403" s="8">
        <v>0</v>
      </c>
      <c r="N403" s="6"/>
      <c r="O403" s="6"/>
      <c r="P403" s="9">
        <v>784.02</v>
      </c>
    </row>
    <row r="404" spans="1:16" ht="19.5" customHeight="1">
      <c r="A404" s="1" t="s">
        <v>1766</v>
      </c>
      <c r="B404" s="5">
        <v>46011</v>
      </c>
      <c r="C404" s="1" t="s">
        <v>31</v>
      </c>
      <c r="D404" s="1" t="s">
        <v>33</v>
      </c>
      <c r="E404" s="1" t="s">
        <v>25</v>
      </c>
      <c r="F404" s="1" t="s">
        <v>26</v>
      </c>
      <c r="G404" s="1" t="s">
        <v>1229</v>
      </c>
      <c r="H404" s="6">
        <v>1</v>
      </c>
      <c r="I404" s="7">
        <v>1704</v>
      </c>
      <c r="J404" s="5">
        <v>46010</v>
      </c>
      <c r="K404" s="1" t="s">
        <v>957</v>
      </c>
      <c r="L404" s="1" t="s">
        <v>30</v>
      </c>
      <c r="M404" s="8">
        <v>0</v>
      </c>
      <c r="N404" s="6"/>
      <c r="O404" s="6"/>
      <c r="P404" s="9">
        <v>7.84</v>
      </c>
    </row>
    <row r="405" spans="1:16" ht="19.5" customHeight="1">
      <c r="A405" s="1" t="s">
        <v>1766</v>
      </c>
      <c r="B405" s="5">
        <v>46011</v>
      </c>
      <c r="C405" s="1" t="s">
        <v>31</v>
      </c>
      <c r="D405" s="1" t="s">
        <v>34</v>
      </c>
      <c r="E405" s="1" t="s">
        <v>25</v>
      </c>
      <c r="F405" s="1" t="s">
        <v>26</v>
      </c>
      <c r="G405" s="1" t="s">
        <v>1229</v>
      </c>
      <c r="H405" s="6">
        <v>1</v>
      </c>
      <c r="I405" s="7">
        <v>1704</v>
      </c>
      <c r="J405" s="5">
        <v>46010</v>
      </c>
      <c r="K405" s="1" t="s">
        <v>957</v>
      </c>
      <c r="L405" s="1" t="s">
        <v>30</v>
      </c>
      <c r="M405" s="8">
        <v>0</v>
      </c>
      <c r="N405" s="6"/>
      <c r="O405" s="6"/>
      <c r="P405" s="9">
        <v>912.14</v>
      </c>
    </row>
    <row r="406" spans="1:16" ht="19.5" customHeight="1">
      <c r="A406" s="1" t="s">
        <v>1766</v>
      </c>
      <c r="B406" s="5">
        <v>46011</v>
      </c>
      <c r="C406" s="1" t="s">
        <v>35</v>
      </c>
      <c r="D406" s="1" t="s">
        <v>36</v>
      </c>
      <c r="E406" s="1" t="s">
        <v>25</v>
      </c>
      <c r="F406" s="1" t="s">
        <v>26</v>
      </c>
      <c r="G406" s="1" t="s">
        <v>1229</v>
      </c>
      <c r="H406" s="6">
        <v>1</v>
      </c>
      <c r="I406" s="7">
        <v>1704</v>
      </c>
      <c r="J406" s="5">
        <v>46010</v>
      </c>
      <c r="K406" s="1" t="s">
        <v>957</v>
      </c>
      <c r="L406" s="1" t="s">
        <v>30</v>
      </c>
      <c r="M406" s="8">
        <v>0.43</v>
      </c>
      <c r="N406" s="6"/>
      <c r="O406" s="6"/>
      <c r="P406" s="9">
        <v>-732.72</v>
      </c>
    </row>
    <row r="407" spans="1:16" ht="19.5" customHeight="1">
      <c r="A407" s="1" t="s">
        <v>1766</v>
      </c>
      <c r="B407" s="5">
        <v>46011</v>
      </c>
      <c r="C407" s="1" t="s">
        <v>17</v>
      </c>
      <c r="D407" s="1" t="s">
        <v>37</v>
      </c>
      <c r="E407" s="1" t="s">
        <v>25</v>
      </c>
      <c r="F407" s="1" t="s">
        <v>26</v>
      </c>
      <c r="G407" s="1" t="s">
        <v>1229</v>
      </c>
      <c r="H407" s="6">
        <v>1</v>
      </c>
      <c r="I407" s="7">
        <v>1704</v>
      </c>
      <c r="J407" s="5">
        <v>46010</v>
      </c>
      <c r="K407" s="1" t="s">
        <v>957</v>
      </c>
      <c r="L407" s="1" t="s">
        <v>30</v>
      </c>
      <c r="M407" s="8">
        <v>0.43</v>
      </c>
      <c r="N407" s="6"/>
      <c r="O407" s="6"/>
      <c r="P407" s="9">
        <v>-6.77</v>
      </c>
    </row>
    <row r="408" spans="1:16" ht="19.5" customHeight="1">
      <c r="A408" s="1" t="s">
        <v>1767</v>
      </c>
      <c r="B408" s="5">
        <v>46011</v>
      </c>
      <c r="C408" s="1" t="s">
        <v>17</v>
      </c>
      <c r="D408" s="1" t="s">
        <v>18</v>
      </c>
      <c r="E408" s="1" t="s">
        <v>25</v>
      </c>
      <c r="F408" s="1" t="s">
        <v>26</v>
      </c>
      <c r="G408" s="1" t="s">
        <v>1229</v>
      </c>
      <c r="H408" s="6">
        <v>1</v>
      </c>
      <c r="I408" s="7">
        <v>0</v>
      </c>
      <c r="J408" s="5">
        <v>46011</v>
      </c>
      <c r="K408" s="1" t="s">
        <v>22</v>
      </c>
      <c r="L408" s="1" t="s">
        <v>22</v>
      </c>
      <c r="M408" s="8">
        <v>0</v>
      </c>
      <c r="N408" s="6"/>
      <c r="O408" s="6"/>
      <c r="P408" s="9">
        <v>-2.79</v>
      </c>
    </row>
    <row r="409" spans="1:16" ht="19.5" customHeight="1">
      <c r="A409" s="1" t="s">
        <v>1721</v>
      </c>
      <c r="B409" s="5">
        <v>46011</v>
      </c>
      <c r="C409" s="1" t="s">
        <v>17</v>
      </c>
      <c r="D409" s="1" t="s">
        <v>18</v>
      </c>
      <c r="E409" s="1" t="s">
        <v>223</v>
      </c>
      <c r="F409" s="1" t="s">
        <v>395</v>
      </c>
      <c r="G409" s="1" t="s">
        <v>1229</v>
      </c>
      <c r="H409" s="6">
        <v>1</v>
      </c>
      <c r="I409" s="7">
        <v>0</v>
      </c>
      <c r="J409" s="5">
        <v>46009</v>
      </c>
      <c r="K409" s="1" t="s">
        <v>22</v>
      </c>
      <c r="L409" s="1" t="s">
        <v>22</v>
      </c>
      <c r="M409" s="8">
        <v>0</v>
      </c>
      <c r="N409" s="6"/>
      <c r="O409" s="6"/>
      <c r="P409" s="9">
        <v>9.0299999999999994</v>
      </c>
    </row>
    <row r="410" spans="1:16" ht="19.5" customHeight="1">
      <c r="A410" s="1" t="s">
        <v>1768</v>
      </c>
      <c r="B410" s="5">
        <v>46011</v>
      </c>
      <c r="C410" s="1" t="s">
        <v>28</v>
      </c>
      <c r="D410" s="1" t="s">
        <v>29</v>
      </c>
      <c r="E410" s="1" t="s">
        <v>25</v>
      </c>
      <c r="F410" s="1" t="s">
        <v>26</v>
      </c>
      <c r="G410" s="1" t="s">
        <v>1229</v>
      </c>
      <c r="H410" s="6">
        <v>1</v>
      </c>
      <c r="I410" s="7">
        <v>1704</v>
      </c>
      <c r="J410" s="5">
        <v>46010</v>
      </c>
      <c r="K410" s="1" t="s">
        <v>957</v>
      </c>
      <c r="L410" s="1" t="s">
        <v>30</v>
      </c>
      <c r="M410" s="8">
        <v>0.43</v>
      </c>
      <c r="N410" s="6"/>
      <c r="O410" s="6">
        <v>39</v>
      </c>
      <c r="P410" s="9">
        <v>-110.12</v>
      </c>
    </row>
    <row r="411" spans="1:16" ht="19.5" customHeight="1">
      <c r="A411" s="1" t="s">
        <v>1768</v>
      </c>
      <c r="B411" s="5">
        <v>46011</v>
      </c>
      <c r="C411" s="1" t="s">
        <v>31</v>
      </c>
      <c r="D411" s="1" t="s">
        <v>32</v>
      </c>
      <c r="E411" s="1" t="s">
        <v>25</v>
      </c>
      <c r="F411" s="1" t="s">
        <v>26</v>
      </c>
      <c r="G411" s="1" t="s">
        <v>1229</v>
      </c>
      <c r="H411" s="6">
        <v>1</v>
      </c>
      <c r="I411" s="7">
        <v>1704</v>
      </c>
      <c r="J411" s="5">
        <v>46010</v>
      </c>
      <c r="K411" s="1" t="s">
        <v>957</v>
      </c>
      <c r="L411" s="1" t="s">
        <v>30</v>
      </c>
      <c r="M411" s="8">
        <v>0</v>
      </c>
      <c r="N411" s="6"/>
      <c r="O411" s="6"/>
      <c r="P411" s="9">
        <v>585.71</v>
      </c>
    </row>
    <row r="412" spans="1:16" ht="19.5" customHeight="1">
      <c r="A412" s="1" t="s">
        <v>1768</v>
      </c>
      <c r="B412" s="5">
        <v>46011</v>
      </c>
      <c r="C412" s="1" t="s">
        <v>31</v>
      </c>
      <c r="D412" s="1" t="s">
        <v>33</v>
      </c>
      <c r="E412" s="1" t="s">
        <v>25</v>
      </c>
      <c r="F412" s="1" t="s">
        <v>26</v>
      </c>
      <c r="G412" s="1" t="s">
        <v>1229</v>
      </c>
      <c r="H412" s="6">
        <v>1</v>
      </c>
      <c r="I412" s="7">
        <v>1704</v>
      </c>
      <c r="J412" s="5">
        <v>46010</v>
      </c>
      <c r="K412" s="1" t="s">
        <v>957</v>
      </c>
      <c r="L412" s="1" t="s">
        <v>30</v>
      </c>
      <c r="M412" s="8">
        <v>0</v>
      </c>
      <c r="N412" s="6"/>
      <c r="O412" s="6"/>
      <c r="P412" s="9">
        <v>5.86</v>
      </c>
    </row>
    <row r="413" spans="1:16" ht="19.5" customHeight="1">
      <c r="A413" s="1" t="s">
        <v>1768</v>
      </c>
      <c r="B413" s="5">
        <v>46011</v>
      </c>
      <c r="C413" s="1" t="s">
        <v>31</v>
      </c>
      <c r="D413" s="1" t="s">
        <v>34</v>
      </c>
      <c r="E413" s="1" t="s">
        <v>25</v>
      </c>
      <c r="F413" s="1" t="s">
        <v>26</v>
      </c>
      <c r="G413" s="1" t="s">
        <v>1229</v>
      </c>
      <c r="H413" s="6">
        <v>1</v>
      </c>
      <c r="I413" s="7">
        <v>1704</v>
      </c>
      <c r="J413" s="5">
        <v>46010</v>
      </c>
      <c r="K413" s="1" t="s">
        <v>957</v>
      </c>
      <c r="L413" s="1" t="s">
        <v>30</v>
      </c>
      <c r="M413" s="8">
        <v>0</v>
      </c>
      <c r="N413" s="6"/>
      <c r="O413" s="6"/>
      <c r="P413" s="9">
        <v>1112.43</v>
      </c>
    </row>
    <row r="414" spans="1:16" ht="19.5" customHeight="1">
      <c r="A414" s="1" t="s">
        <v>1768</v>
      </c>
      <c r="B414" s="5">
        <v>46011</v>
      </c>
      <c r="C414" s="1" t="s">
        <v>35</v>
      </c>
      <c r="D414" s="1" t="s">
        <v>36</v>
      </c>
      <c r="E414" s="1" t="s">
        <v>25</v>
      </c>
      <c r="F414" s="1" t="s">
        <v>26</v>
      </c>
      <c r="G414" s="1" t="s">
        <v>1229</v>
      </c>
      <c r="H414" s="6">
        <v>1</v>
      </c>
      <c r="I414" s="7">
        <v>1704</v>
      </c>
      <c r="J414" s="5">
        <v>46010</v>
      </c>
      <c r="K414" s="1" t="s">
        <v>957</v>
      </c>
      <c r="L414" s="1" t="s">
        <v>30</v>
      </c>
      <c r="M414" s="8">
        <v>0.43</v>
      </c>
      <c r="N414" s="6"/>
      <c r="O414" s="6"/>
      <c r="P414" s="9">
        <v>-732.72</v>
      </c>
    </row>
    <row r="415" spans="1:16" ht="19.5" customHeight="1">
      <c r="A415" s="1" t="s">
        <v>1768</v>
      </c>
      <c r="B415" s="5">
        <v>46011</v>
      </c>
      <c r="C415" s="1" t="s">
        <v>17</v>
      </c>
      <c r="D415" s="1" t="s">
        <v>37</v>
      </c>
      <c r="E415" s="1" t="s">
        <v>25</v>
      </c>
      <c r="F415" s="1" t="s">
        <v>26</v>
      </c>
      <c r="G415" s="1" t="s">
        <v>1229</v>
      </c>
      <c r="H415" s="6">
        <v>1</v>
      </c>
      <c r="I415" s="7">
        <v>1704</v>
      </c>
      <c r="J415" s="5">
        <v>46010</v>
      </c>
      <c r="K415" s="1" t="s">
        <v>957</v>
      </c>
      <c r="L415" s="1" t="s">
        <v>30</v>
      </c>
      <c r="M415" s="8">
        <v>0.43</v>
      </c>
      <c r="N415" s="6"/>
      <c r="O415" s="6"/>
      <c r="P415" s="9">
        <v>-7.66</v>
      </c>
    </row>
    <row r="416" spans="1:16" ht="19.5" customHeight="1">
      <c r="A416" s="1" t="s">
        <v>1768</v>
      </c>
      <c r="B416" s="5">
        <v>46011</v>
      </c>
      <c r="C416" s="1" t="s">
        <v>17</v>
      </c>
      <c r="D416" s="1" t="s">
        <v>18</v>
      </c>
      <c r="E416" s="1" t="s">
        <v>25</v>
      </c>
      <c r="F416" s="1" t="s">
        <v>26</v>
      </c>
      <c r="G416" s="1" t="s">
        <v>1229</v>
      </c>
      <c r="H416" s="6">
        <v>1</v>
      </c>
      <c r="I416" s="7">
        <v>0</v>
      </c>
      <c r="J416" s="5">
        <v>46010</v>
      </c>
      <c r="K416" s="1" t="s">
        <v>22</v>
      </c>
      <c r="L416" s="1" t="s">
        <v>22</v>
      </c>
      <c r="M416" s="8">
        <v>0</v>
      </c>
      <c r="N416" s="6"/>
      <c r="O416" s="6"/>
      <c r="P416" s="9">
        <v>-11.13</v>
      </c>
    </row>
    <row r="417" spans="1:16" ht="19.5" customHeight="1">
      <c r="A417" s="1" t="s">
        <v>22</v>
      </c>
      <c r="B417" s="5">
        <v>46011</v>
      </c>
      <c r="C417" s="1" t="s">
        <v>77</v>
      </c>
      <c r="D417" s="1" t="s">
        <v>78</v>
      </c>
      <c r="E417" s="1" t="s">
        <v>22</v>
      </c>
      <c r="F417" s="1" t="s">
        <v>22</v>
      </c>
      <c r="G417" s="1" t="s">
        <v>1769</v>
      </c>
      <c r="H417" s="6">
        <v>0</v>
      </c>
      <c r="I417" s="7">
        <v>0</v>
      </c>
      <c r="J417" s="5">
        <v>46011</v>
      </c>
      <c r="K417" s="1" t="s">
        <v>22</v>
      </c>
      <c r="L417" s="1" t="s">
        <v>22</v>
      </c>
      <c r="M417" s="8">
        <v>0</v>
      </c>
      <c r="N417" s="6"/>
      <c r="O417" s="6"/>
      <c r="P417" s="9">
        <v>-450</v>
      </c>
    </row>
    <row r="418" spans="1:16" ht="19.5" customHeight="1">
      <c r="A418" s="1" t="s">
        <v>1376</v>
      </c>
      <c r="B418" s="5">
        <v>46011</v>
      </c>
      <c r="C418" s="1" t="s">
        <v>77</v>
      </c>
      <c r="D418" s="1" t="s">
        <v>82</v>
      </c>
      <c r="E418" s="1" t="s">
        <v>22</v>
      </c>
      <c r="F418" s="1" t="s">
        <v>22</v>
      </c>
      <c r="G418" s="1" t="s">
        <v>22</v>
      </c>
      <c r="H418" s="6">
        <v>0</v>
      </c>
      <c r="I418" s="7">
        <v>0</v>
      </c>
      <c r="J418" s="5">
        <v>46011</v>
      </c>
      <c r="K418" s="1" t="s">
        <v>22</v>
      </c>
      <c r="L418" s="1" t="s">
        <v>22</v>
      </c>
      <c r="M418" s="8">
        <v>0</v>
      </c>
      <c r="N418" s="6"/>
      <c r="O418" s="6"/>
      <c r="P418" s="9">
        <v>-558.25</v>
      </c>
    </row>
    <row r="419" spans="1:16" ht="19.5" customHeight="1">
      <c r="A419" s="1" t="s">
        <v>1075</v>
      </c>
      <c r="B419" s="5">
        <v>46011</v>
      </c>
      <c r="C419" s="1" t="s">
        <v>77</v>
      </c>
      <c r="D419" s="1" t="s">
        <v>82</v>
      </c>
      <c r="E419" s="1" t="s">
        <v>22</v>
      </c>
      <c r="F419" s="1" t="s">
        <v>22</v>
      </c>
      <c r="G419" s="1" t="s">
        <v>22</v>
      </c>
      <c r="H419" s="6">
        <v>0</v>
      </c>
      <c r="I419" s="7">
        <v>0</v>
      </c>
      <c r="J419" s="5">
        <v>46011</v>
      </c>
      <c r="K419" s="1" t="s">
        <v>22</v>
      </c>
      <c r="L419" s="1" t="s">
        <v>22</v>
      </c>
      <c r="M419" s="8">
        <v>0</v>
      </c>
      <c r="N419" s="6"/>
      <c r="O419" s="6"/>
      <c r="P419" s="9">
        <v>-567.38</v>
      </c>
    </row>
    <row r="420" spans="1:16" ht="19.5" customHeight="1">
      <c r="A420" s="1" t="s">
        <v>83</v>
      </c>
      <c r="B420" s="5">
        <v>46011</v>
      </c>
      <c r="C420" s="1" t="s">
        <v>77</v>
      </c>
      <c r="D420" s="1" t="s">
        <v>84</v>
      </c>
      <c r="E420" s="1" t="s">
        <v>22</v>
      </c>
      <c r="F420" s="1" t="s">
        <v>22</v>
      </c>
      <c r="G420" s="1" t="s">
        <v>22</v>
      </c>
      <c r="H420" s="6">
        <v>0</v>
      </c>
      <c r="I420" s="7">
        <v>0</v>
      </c>
      <c r="J420" s="5">
        <v>46011</v>
      </c>
      <c r="K420" s="1" t="s">
        <v>22</v>
      </c>
      <c r="L420" s="1" t="s">
        <v>22</v>
      </c>
      <c r="M420" s="8">
        <v>0</v>
      </c>
      <c r="N420" s="6"/>
      <c r="O420" s="6"/>
      <c r="P420" s="9">
        <v>-767.9</v>
      </c>
    </row>
    <row r="421" spans="1:16" ht="19.5" customHeight="1">
      <c r="A421" s="1" t="s">
        <v>1770</v>
      </c>
      <c r="B421" s="5">
        <v>46012</v>
      </c>
      <c r="C421" s="1" t="s">
        <v>28</v>
      </c>
      <c r="D421" s="1" t="s">
        <v>29</v>
      </c>
      <c r="E421" s="1" t="s">
        <v>25</v>
      </c>
      <c r="F421" s="1" t="s">
        <v>26</v>
      </c>
      <c r="G421" s="1" t="s">
        <v>1229</v>
      </c>
      <c r="H421" s="6">
        <v>1</v>
      </c>
      <c r="I421" s="7">
        <v>0</v>
      </c>
      <c r="J421" s="5">
        <v>46005</v>
      </c>
      <c r="K421" s="1" t="s">
        <v>957</v>
      </c>
      <c r="L421" s="1" t="s">
        <v>30</v>
      </c>
      <c r="M421" s="8">
        <v>0</v>
      </c>
      <c r="N421" s="6"/>
      <c r="O421" s="6">
        <v>40</v>
      </c>
      <c r="P421" s="9">
        <v>-46.77</v>
      </c>
    </row>
    <row r="422" spans="1:16" ht="19.5" customHeight="1">
      <c r="A422" s="1" t="s">
        <v>1770</v>
      </c>
      <c r="B422" s="5">
        <v>46012</v>
      </c>
      <c r="C422" s="1" t="s">
        <v>17</v>
      </c>
      <c r="D422" s="1" t="s">
        <v>37</v>
      </c>
      <c r="E422" s="1" t="s">
        <v>25</v>
      </c>
      <c r="F422" s="1" t="s">
        <v>26</v>
      </c>
      <c r="G422" s="1" t="s">
        <v>1229</v>
      </c>
      <c r="H422" s="6">
        <v>1</v>
      </c>
      <c r="I422" s="7">
        <v>0</v>
      </c>
      <c r="J422" s="5">
        <v>46005</v>
      </c>
      <c r="K422" s="1" t="s">
        <v>957</v>
      </c>
      <c r="L422" s="1" t="s">
        <v>30</v>
      </c>
      <c r="M422" s="8">
        <v>0</v>
      </c>
      <c r="N422" s="6"/>
      <c r="O422" s="6"/>
      <c r="P422" s="9">
        <v>-6.02</v>
      </c>
    </row>
    <row r="423" spans="1:16" ht="19.5" customHeight="1">
      <c r="A423" s="1" t="s">
        <v>1770</v>
      </c>
      <c r="B423" s="5">
        <v>46012</v>
      </c>
      <c r="C423" s="1" t="s">
        <v>28</v>
      </c>
      <c r="D423" s="1" t="s">
        <v>45</v>
      </c>
      <c r="E423" s="1" t="s">
        <v>25</v>
      </c>
      <c r="F423" s="1" t="s">
        <v>26</v>
      </c>
      <c r="G423" s="1" t="s">
        <v>1229</v>
      </c>
      <c r="H423" s="6">
        <v>1</v>
      </c>
      <c r="I423" s="7">
        <v>0</v>
      </c>
      <c r="J423" s="5">
        <v>46005</v>
      </c>
      <c r="K423" s="1" t="s">
        <v>957</v>
      </c>
      <c r="L423" s="1" t="s">
        <v>30</v>
      </c>
      <c r="M423" s="8">
        <v>0</v>
      </c>
      <c r="N423" s="6"/>
      <c r="O423" s="6"/>
      <c r="P423" s="9">
        <v>0</v>
      </c>
    </row>
    <row r="424" spans="1:16" ht="19.5" customHeight="1">
      <c r="A424" s="1" t="s">
        <v>1770</v>
      </c>
      <c r="B424" s="5">
        <v>46012</v>
      </c>
      <c r="C424" s="1" t="s">
        <v>28</v>
      </c>
      <c r="D424" s="1" t="s">
        <v>46</v>
      </c>
      <c r="E424" s="1" t="s">
        <v>25</v>
      </c>
      <c r="F424" s="1" t="s">
        <v>26</v>
      </c>
      <c r="G424" s="1" t="s">
        <v>1229</v>
      </c>
      <c r="H424" s="6">
        <v>1</v>
      </c>
      <c r="I424" s="7">
        <v>0</v>
      </c>
      <c r="J424" s="5">
        <v>46005</v>
      </c>
      <c r="K424" s="1" t="s">
        <v>957</v>
      </c>
      <c r="L424" s="1" t="s">
        <v>30</v>
      </c>
      <c r="M424" s="8">
        <v>0</v>
      </c>
      <c r="N424" s="6"/>
      <c r="O424" s="6"/>
      <c r="P424" s="9">
        <v>-46.77</v>
      </c>
    </row>
    <row r="425" spans="1:16" ht="19.5" customHeight="1">
      <c r="A425" s="1" t="s">
        <v>1771</v>
      </c>
      <c r="B425" s="5">
        <v>46012</v>
      </c>
      <c r="C425" s="1" t="s">
        <v>28</v>
      </c>
      <c r="D425" s="1" t="s">
        <v>29</v>
      </c>
      <c r="E425" s="1" t="s">
        <v>223</v>
      </c>
      <c r="F425" s="1" t="s">
        <v>395</v>
      </c>
      <c r="G425" s="1" t="s">
        <v>1229</v>
      </c>
      <c r="H425" s="6">
        <v>1</v>
      </c>
      <c r="I425" s="7">
        <v>1292</v>
      </c>
      <c r="J425" s="5">
        <v>46008</v>
      </c>
      <c r="K425" s="1" t="s">
        <v>957</v>
      </c>
      <c r="L425" s="1" t="s">
        <v>30</v>
      </c>
      <c r="M425" s="8">
        <v>0.43</v>
      </c>
      <c r="N425" s="6"/>
      <c r="O425" s="6">
        <v>41</v>
      </c>
      <c r="P425" s="9">
        <v>-106.91</v>
      </c>
    </row>
    <row r="426" spans="1:16" ht="19.5" customHeight="1">
      <c r="A426" s="1" t="s">
        <v>1771</v>
      </c>
      <c r="B426" s="5">
        <v>46012</v>
      </c>
      <c r="C426" s="1" t="s">
        <v>31</v>
      </c>
      <c r="D426" s="1" t="s">
        <v>32</v>
      </c>
      <c r="E426" s="1" t="s">
        <v>223</v>
      </c>
      <c r="F426" s="1" t="s">
        <v>395</v>
      </c>
      <c r="G426" s="1" t="s">
        <v>1229</v>
      </c>
      <c r="H426" s="6">
        <v>1</v>
      </c>
      <c r="I426" s="7">
        <v>1292</v>
      </c>
      <c r="J426" s="5">
        <v>46008</v>
      </c>
      <c r="K426" s="1" t="s">
        <v>957</v>
      </c>
      <c r="L426" s="1" t="s">
        <v>30</v>
      </c>
      <c r="M426" s="8">
        <v>0</v>
      </c>
      <c r="N426" s="6"/>
      <c r="O426" s="6"/>
      <c r="P426" s="9">
        <v>459.05</v>
      </c>
    </row>
    <row r="427" spans="1:16" ht="19.5" customHeight="1">
      <c r="A427" s="1" t="s">
        <v>1771</v>
      </c>
      <c r="B427" s="5">
        <v>46012</v>
      </c>
      <c r="C427" s="1" t="s">
        <v>31</v>
      </c>
      <c r="D427" s="1" t="s">
        <v>33</v>
      </c>
      <c r="E427" s="1" t="s">
        <v>223</v>
      </c>
      <c r="F427" s="1" t="s">
        <v>395</v>
      </c>
      <c r="G427" s="1" t="s">
        <v>1229</v>
      </c>
      <c r="H427" s="6">
        <v>1</v>
      </c>
      <c r="I427" s="7">
        <v>1292</v>
      </c>
      <c r="J427" s="5">
        <v>46008</v>
      </c>
      <c r="K427" s="1" t="s">
        <v>957</v>
      </c>
      <c r="L427" s="1" t="s">
        <v>30</v>
      </c>
      <c r="M427" s="8">
        <v>0</v>
      </c>
      <c r="N427" s="6"/>
      <c r="O427" s="6"/>
      <c r="P427" s="9">
        <v>4.59</v>
      </c>
    </row>
    <row r="428" spans="1:16" ht="19.5" customHeight="1">
      <c r="A428" s="1" t="s">
        <v>1771</v>
      </c>
      <c r="B428" s="5">
        <v>46012</v>
      </c>
      <c r="C428" s="1" t="s">
        <v>31</v>
      </c>
      <c r="D428" s="1" t="s">
        <v>34</v>
      </c>
      <c r="E428" s="1" t="s">
        <v>223</v>
      </c>
      <c r="F428" s="1" t="s">
        <v>395</v>
      </c>
      <c r="G428" s="1" t="s">
        <v>1229</v>
      </c>
      <c r="H428" s="6">
        <v>1</v>
      </c>
      <c r="I428" s="7">
        <v>1292</v>
      </c>
      <c r="J428" s="5">
        <v>46008</v>
      </c>
      <c r="K428" s="1" t="s">
        <v>957</v>
      </c>
      <c r="L428" s="1" t="s">
        <v>30</v>
      </c>
      <c r="M428" s="8">
        <v>0</v>
      </c>
      <c r="N428" s="6"/>
      <c r="O428" s="6"/>
      <c r="P428" s="9">
        <v>828.36</v>
      </c>
    </row>
    <row r="429" spans="1:16" ht="19.5" customHeight="1">
      <c r="A429" s="1" t="s">
        <v>1771</v>
      </c>
      <c r="B429" s="5">
        <v>46012</v>
      </c>
      <c r="C429" s="1" t="s">
        <v>35</v>
      </c>
      <c r="D429" s="1" t="s">
        <v>36</v>
      </c>
      <c r="E429" s="1" t="s">
        <v>223</v>
      </c>
      <c r="F429" s="1" t="s">
        <v>395</v>
      </c>
      <c r="G429" s="1" t="s">
        <v>1229</v>
      </c>
      <c r="H429" s="6">
        <v>1</v>
      </c>
      <c r="I429" s="7">
        <v>1292</v>
      </c>
      <c r="J429" s="5">
        <v>46008</v>
      </c>
      <c r="K429" s="1" t="s">
        <v>957</v>
      </c>
      <c r="L429" s="1" t="s">
        <v>30</v>
      </c>
      <c r="M429" s="8">
        <v>0.43</v>
      </c>
      <c r="N429" s="6"/>
      <c r="O429" s="6"/>
      <c r="P429" s="9">
        <v>-555.55999999999995</v>
      </c>
    </row>
    <row r="430" spans="1:16" ht="19.5" customHeight="1">
      <c r="A430" s="1" t="s">
        <v>1771</v>
      </c>
      <c r="B430" s="5">
        <v>46012</v>
      </c>
      <c r="C430" s="1" t="s">
        <v>17</v>
      </c>
      <c r="D430" s="1" t="s">
        <v>37</v>
      </c>
      <c r="E430" s="1" t="s">
        <v>223</v>
      </c>
      <c r="F430" s="1" t="s">
        <v>395</v>
      </c>
      <c r="G430" s="1" t="s">
        <v>1229</v>
      </c>
      <c r="H430" s="6">
        <v>1</v>
      </c>
      <c r="I430" s="7">
        <v>1292</v>
      </c>
      <c r="J430" s="5">
        <v>46008</v>
      </c>
      <c r="K430" s="1" t="s">
        <v>957</v>
      </c>
      <c r="L430" s="1" t="s">
        <v>30</v>
      </c>
      <c r="M430" s="8">
        <v>0.43</v>
      </c>
      <c r="N430" s="6"/>
      <c r="O430" s="6"/>
      <c r="P430" s="9">
        <v>-15.95</v>
      </c>
    </row>
    <row r="431" spans="1:16" ht="19.5" customHeight="1">
      <c r="A431" s="1" t="s">
        <v>1771</v>
      </c>
      <c r="B431" s="5">
        <v>46012</v>
      </c>
      <c r="C431" s="1" t="s">
        <v>17</v>
      </c>
      <c r="D431" s="1" t="s">
        <v>18</v>
      </c>
      <c r="E431" s="1" t="s">
        <v>223</v>
      </c>
      <c r="F431" s="1" t="s">
        <v>395</v>
      </c>
      <c r="G431" s="1" t="s">
        <v>1229</v>
      </c>
      <c r="H431" s="6">
        <v>1</v>
      </c>
      <c r="I431" s="7">
        <v>0</v>
      </c>
      <c r="J431" s="5">
        <v>46008</v>
      </c>
      <c r="K431" s="1" t="s">
        <v>22</v>
      </c>
      <c r="L431" s="1" t="s">
        <v>22</v>
      </c>
      <c r="M431" s="8">
        <v>0</v>
      </c>
      <c r="N431" s="6"/>
      <c r="O431" s="6"/>
      <c r="P431" s="9">
        <v>-8.7200000000000006</v>
      </c>
    </row>
    <row r="432" spans="1:16" ht="19.5" customHeight="1">
      <c r="A432" s="1" t="s">
        <v>1772</v>
      </c>
      <c r="B432" s="5">
        <v>46012</v>
      </c>
      <c r="C432" s="1" t="s">
        <v>28</v>
      </c>
      <c r="D432" s="1" t="s">
        <v>29</v>
      </c>
      <c r="E432" s="1" t="s">
        <v>25</v>
      </c>
      <c r="F432" s="1" t="s">
        <v>26</v>
      </c>
      <c r="G432" s="1" t="s">
        <v>1229</v>
      </c>
      <c r="H432" s="6">
        <v>1</v>
      </c>
      <c r="I432" s="7">
        <v>0</v>
      </c>
      <c r="J432" s="5">
        <v>46005</v>
      </c>
      <c r="K432" s="1" t="s">
        <v>957</v>
      </c>
      <c r="L432" s="1" t="s">
        <v>30</v>
      </c>
      <c r="M432" s="8">
        <v>0</v>
      </c>
      <c r="N432" s="6"/>
      <c r="O432" s="6">
        <v>40</v>
      </c>
      <c r="P432" s="9">
        <v>-46.77</v>
      </c>
    </row>
    <row r="433" spans="1:16" ht="19.5" customHeight="1">
      <c r="A433" s="1" t="s">
        <v>1772</v>
      </c>
      <c r="B433" s="5">
        <v>46012</v>
      </c>
      <c r="C433" s="1" t="s">
        <v>17</v>
      </c>
      <c r="D433" s="1" t="s">
        <v>37</v>
      </c>
      <c r="E433" s="1" t="s">
        <v>25</v>
      </c>
      <c r="F433" s="1" t="s">
        <v>26</v>
      </c>
      <c r="G433" s="1" t="s">
        <v>1229</v>
      </c>
      <c r="H433" s="6">
        <v>1</v>
      </c>
      <c r="I433" s="7">
        <v>0</v>
      </c>
      <c r="J433" s="5">
        <v>46005</v>
      </c>
      <c r="K433" s="1" t="s">
        <v>957</v>
      </c>
      <c r="L433" s="1" t="s">
        <v>30</v>
      </c>
      <c r="M433" s="8">
        <v>0</v>
      </c>
      <c r="N433" s="6"/>
      <c r="O433" s="6"/>
      <c r="P433" s="9">
        <v>-6.42</v>
      </c>
    </row>
    <row r="434" spans="1:16" ht="19.5" customHeight="1">
      <c r="A434" s="1" t="s">
        <v>1772</v>
      </c>
      <c r="B434" s="5">
        <v>46012</v>
      </c>
      <c r="C434" s="1" t="s">
        <v>28</v>
      </c>
      <c r="D434" s="1" t="s">
        <v>45</v>
      </c>
      <c r="E434" s="1" t="s">
        <v>25</v>
      </c>
      <c r="F434" s="1" t="s">
        <v>26</v>
      </c>
      <c r="G434" s="1" t="s">
        <v>1229</v>
      </c>
      <c r="H434" s="6">
        <v>1</v>
      </c>
      <c r="I434" s="7">
        <v>0</v>
      </c>
      <c r="J434" s="5">
        <v>46005</v>
      </c>
      <c r="K434" s="1" t="s">
        <v>957</v>
      </c>
      <c r="L434" s="1" t="s">
        <v>30</v>
      </c>
      <c r="M434" s="8">
        <v>0</v>
      </c>
      <c r="N434" s="6"/>
      <c r="O434" s="6"/>
      <c r="P434" s="9">
        <v>0</v>
      </c>
    </row>
    <row r="435" spans="1:16" ht="19.5" customHeight="1">
      <c r="A435" s="1" t="s">
        <v>1772</v>
      </c>
      <c r="B435" s="5">
        <v>46012</v>
      </c>
      <c r="C435" s="1" t="s">
        <v>28</v>
      </c>
      <c r="D435" s="1" t="s">
        <v>46</v>
      </c>
      <c r="E435" s="1" t="s">
        <v>25</v>
      </c>
      <c r="F435" s="1" t="s">
        <v>26</v>
      </c>
      <c r="G435" s="1" t="s">
        <v>1229</v>
      </c>
      <c r="H435" s="6">
        <v>1</v>
      </c>
      <c r="I435" s="7">
        <v>0</v>
      </c>
      <c r="J435" s="5">
        <v>46005</v>
      </c>
      <c r="K435" s="1" t="s">
        <v>957</v>
      </c>
      <c r="L435" s="1" t="s">
        <v>30</v>
      </c>
      <c r="M435" s="8">
        <v>0</v>
      </c>
      <c r="N435" s="6"/>
      <c r="O435" s="6"/>
      <c r="P435" s="9">
        <v>-46.77</v>
      </c>
    </row>
    <row r="436" spans="1:16" ht="19.5" customHeight="1">
      <c r="A436" s="1" t="s">
        <v>1772</v>
      </c>
      <c r="B436" s="5">
        <v>46012</v>
      </c>
      <c r="C436" s="1" t="s">
        <v>17</v>
      </c>
      <c r="D436" s="1" t="s">
        <v>47</v>
      </c>
      <c r="E436" s="1" t="s">
        <v>25</v>
      </c>
      <c r="F436" s="1" t="s">
        <v>26</v>
      </c>
      <c r="G436" s="1" t="s">
        <v>1229</v>
      </c>
      <c r="H436" s="6">
        <v>1</v>
      </c>
      <c r="I436" s="7">
        <v>0</v>
      </c>
      <c r="J436" s="5">
        <v>46005</v>
      </c>
      <c r="K436" s="1" t="s">
        <v>957</v>
      </c>
      <c r="L436" s="1" t="s">
        <v>30</v>
      </c>
      <c r="M436" s="8">
        <v>0</v>
      </c>
      <c r="N436" s="6"/>
      <c r="O436" s="6"/>
      <c r="P436" s="9">
        <v>-15</v>
      </c>
    </row>
    <row r="437" spans="1:16" ht="19.5" customHeight="1">
      <c r="A437" s="1" t="s">
        <v>1773</v>
      </c>
      <c r="B437" s="5">
        <v>46012</v>
      </c>
      <c r="C437" s="1" t="s">
        <v>28</v>
      </c>
      <c r="D437" s="1" t="s">
        <v>29</v>
      </c>
      <c r="E437" s="1" t="s">
        <v>225</v>
      </c>
      <c r="F437" s="1" t="s">
        <v>491</v>
      </c>
      <c r="G437" s="1" t="s">
        <v>1229</v>
      </c>
      <c r="H437" s="6">
        <v>1</v>
      </c>
      <c r="I437" s="7">
        <v>1102</v>
      </c>
      <c r="J437" s="5">
        <v>46006</v>
      </c>
      <c r="K437" s="1" t="s">
        <v>957</v>
      </c>
      <c r="L437" s="1" t="s">
        <v>30</v>
      </c>
      <c r="M437" s="8">
        <v>0.43</v>
      </c>
      <c r="N437" s="6"/>
      <c r="O437" s="6">
        <v>38</v>
      </c>
      <c r="P437" s="9">
        <v>-91.59</v>
      </c>
    </row>
    <row r="438" spans="1:16" ht="19.5" customHeight="1">
      <c r="A438" s="1" t="s">
        <v>1773</v>
      </c>
      <c r="B438" s="5">
        <v>46012</v>
      </c>
      <c r="C438" s="1" t="s">
        <v>31</v>
      </c>
      <c r="D438" s="1" t="s">
        <v>32</v>
      </c>
      <c r="E438" s="1" t="s">
        <v>225</v>
      </c>
      <c r="F438" s="1" t="s">
        <v>491</v>
      </c>
      <c r="G438" s="1" t="s">
        <v>1229</v>
      </c>
      <c r="H438" s="6">
        <v>1</v>
      </c>
      <c r="I438" s="7">
        <v>1102</v>
      </c>
      <c r="J438" s="5">
        <v>46006</v>
      </c>
      <c r="K438" s="1" t="s">
        <v>957</v>
      </c>
      <c r="L438" s="1" t="s">
        <v>30</v>
      </c>
      <c r="M438" s="8">
        <v>0</v>
      </c>
      <c r="N438" s="6"/>
      <c r="O438" s="6"/>
      <c r="P438" s="9">
        <v>543.80999999999995</v>
      </c>
    </row>
    <row r="439" spans="1:16" ht="19.5" customHeight="1">
      <c r="A439" s="1" t="s">
        <v>1773</v>
      </c>
      <c r="B439" s="5">
        <v>46012</v>
      </c>
      <c r="C439" s="1" t="s">
        <v>31</v>
      </c>
      <c r="D439" s="1" t="s">
        <v>33</v>
      </c>
      <c r="E439" s="1" t="s">
        <v>225</v>
      </c>
      <c r="F439" s="1" t="s">
        <v>491</v>
      </c>
      <c r="G439" s="1" t="s">
        <v>1229</v>
      </c>
      <c r="H439" s="6">
        <v>1</v>
      </c>
      <c r="I439" s="7">
        <v>1102</v>
      </c>
      <c r="J439" s="5">
        <v>46006</v>
      </c>
      <c r="K439" s="1" t="s">
        <v>957</v>
      </c>
      <c r="L439" s="1" t="s">
        <v>30</v>
      </c>
      <c r="M439" s="8">
        <v>0</v>
      </c>
      <c r="N439" s="6"/>
      <c r="O439" s="6"/>
      <c r="P439" s="9">
        <v>5.44</v>
      </c>
    </row>
    <row r="440" spans="1:16" ht="19.5" customHeight="1">
      <c r="A440" s="1" t="s">
        <v>1773</v>
      </c>
      <c r="B440" s="5">
        <v>46012</v>
      </c>
      <c r="C440" s="1" t="s">
        <v>31</v>
      </c>
      <c r="D440" s="1" t="s">
        <v>34</v>
      </c>
      <c r="E440" s="1" t="s">
        <v>225</v>
      </c>
      <c r="F440" s="1" t="s">
        <v>491</v>
      </c>
      <c r="G440" s="1" t="s">
        <v>1229</v>
      </c>
      <c r="H440" s="6">
        <v>1</v>
      </c>
      <c r="I440" s="7">
        <v>1102</v>
      </c>
      <c r="J440" s="5">
        <v>46006</v>
      </c>
      <c r="K440" s="1" t="s">
        <v>957</v>
      </c>
      <c r="L440" s="1" t="s">
        <v>30</v>
      </c>
      <c r="M440" s="8">
        <v>0</v>
      </c>
      <c r="N440" s="6"/>
      <c r="O440" s="6"/>
      <c r="P440" s="9">
        <v>552.75</v>
      </c>
    </row>
    <row r="441" spans="1:16" ht="19.5" customHeight="1">
      <c r="A441" s="1" t="s">
        <v>1773</v>
      </c>
      <c r="B441" s="5">
        <v>46012</v>
      </c>
      <c r="C441" s="1" t="s">
        <v>35</v>
      </c>
      <c r="D441" s="1" t="s">
        <v>36</v>
      </c>
      <c r="E441" s="1" t="s">
        <v>225</v>
      </c>
      <c r="F441" s="1" t="s">
        <v>491</v>
      </c>
      <c r="G441" s="1" t="s">
        <v>1229</v>
      </c>
      <c r="H441" s="6">
        <v>1</v>
      </c>
      <c r="I441" s="7">
        <v>1102</v>
      </c>
      <c r="J441" s="5">
        <v>46006</v>
      </c>
      <c r="K441" s="1" t="s">
        <v>957</v>
      </c>
      <c r="L441" s="1" t="s">
        <v>30</v>
      </c>
      <c r="M441" s="8">
        <v>0.43</v>
      </c>
      <c r="N441" s="6"/>
      <c r="O441" s="6"/>
      <c r="P441" s="9">
        <v>-473.86</v>
      </c>
    </row>
    <row r="442" spans="1:16" ht="19.5" customHeight="1">
      <c r="A442" s="1" t="s">
        <v>1773</v>
      </c>
      <c r="B442" s="5">
        <v>46012</v>
      </c>
      <c r="C442" s="1" t="s">
        <v>17</v>
      </c>
      <c r="D442" s="1" t="s">
        <v>37</v>
      </c>
      <c r="E442" s="1" t="s">
        <v>225</v>
      </c>
      <c r="F442" s="1" t="s">
        <v>491</v>
      </c>
      <c r="G442" s="1" t="s">
        <v>1229</v>
      </c>
      <c r="H442" s="6">
        <v>1</v>
      </c>
      <c r="I442" s="7">
        <v>1102</v>
      </c>
      <c r="J442" s="5">
        <v>46006</v>
      </c>
      <c r="K442" s="1" t="s">
        <v>957</v>
      </c>
      <c r="L442" s="1" t="s">
        <v>30</v>
      </c>
      <c r="M442" s="8">
        <v>0.43</v>
      </c>
      <c r="N442" s="6"/>
      <c r="O442" s="6"/>
      <c r="P442" s="9">
        <v>-5.91</v>
      </c>
    </row>
    <row r="443" spans="1:16" ht="19.5" customHeight="1">
      <c r="A443" s="1" t="s">
        <v>1774</v>
      </c>
      <c r="B443" s="5">
        <v>46012</v>
      </c>
      <c r="C443" s="1" t="s">
        <v>28</v>
      </c>
      <c r="D443" s="1" t="s">
        <v>29</v>
      </c>
      <c r="E443" s="1" t="s">
        <v>25</v>
      </c>
      <c r="F443" s="1" t="s">
        <v>26</v>
      </c>
      <c r="G443" s="1" t="s">
        <v>1229</v>
      </c>
      <c r="H443" s="6">
        <v>1</v>
      </c>
      <c r="I443" s="7">
        <v>1124</v>
      </c>
      <c r="J443" s="5">
        <v>46005</v>
      </c>
      <c r="K443" s="1" t="s">
        <v>957</v>
      </c>
      <c r="L443" s="1" t="s">
        <v>30</v>
      </c>
      <c r="M443" s="8">
        <v>0.43</v>
      </c>
      <c r="N443" s="6"/>
      <c r="O443" s="6">
        <v>40</v>
      </c>
      <c r="P443" s="9">
        <v>-99.28</v>
      </c>
    </row>
    <row r="444" spans="1:16" ht="19.5" customHeight="1">
      <c r="A444" s="1" t="s">
        <v>1774</v>
      </c>
      <c r="B444" s="5">
        <v>46012</v>
      </c>
      <c r="C444" s="1" t="s">
        <v>31</v>
      </c>
      <c r="D444" s="1" t="s">
        <v>32</v>
      </c>
      <c r="E444" s="1" t="s">
        <v>25</v>
      </c>
      <c r="F444" s="1" t="s">
        <v>26</v>
      </c>
      <c r="G444" s="1" t="s">
        <v>1229</v>
      </c>
      <c r="H444" s="6">
        <v>1</v>
      </c>
      <c r="I444" s="7">
        <v>1124</v>
      </c>
      <c r="J444" s="5">
        <v>46005</v>
      </c>
      <c r="K444" s="1" t="s">
        <v>957</v>
      </c>
      <c r="L444" s="1" t="s">
        <v>30</v>
      </c>
      <c r="M444" s="8">
        <v>0</v>
      </c>
      <c r="N444" s="6"/>
      <c r="O444" s="6"/>
      <c r="P444" s="9">
        <v>607.99</v>
      </c>
    </row>
    <row r="445" spans="1:16" ht="19.5" customHeight="1">
      <c r="A445" s="1" t="s">
        <v>1774</v>
      </c>
      <c r="B445" s="5">
        <v>46012</v>
      </c>
      <c r="C445" s="1" t="s">
        <v>31</v>
      </c>
      <c r="D445" s="1" t="s">
        <v>33</v>
      </c>
      <c r="E445" s="1" t="s">
        <v>25</v>
      </c>
      <c r="F445" s="1" t="s">
        <v>26</v>
      </c>
      <c r="G445" s="1" t="s">
        <v>1229</v>
      </c>
      <c r="H445" s="6">
        <v>1</v>
      </c>
      <c r="I445" s="7">
        <v>1124</v>
      </c>
      <c r="J445" s="5">
        <v>46005</v>
      </c>
      <c r="K445" s="1" t="s">
        <v>957</v>
      </c>
      <c r="L445" s="1" t="s">
        <v>30</v>
      </c>
      <c r="M445" s="8">
        <v>0</v>
      </c>
      <c r="N445" s="6"/>
      <c r="O445" s="6"/>
      <c r="P445" s="9">
        <v>6.08</v>
      </c>
    </row>
    <row r="446" spans="1:16" ht="19.5" customHeight="1">
      <c r="A446" s="1" t="s">
        <v>1774</v>
      </c>
      <c r="B446" s="5">
        <v>46012</v>
      </c>
      <c r="C446" s="1" t="s">
        <v>31</v>
      </c>
      <c r="D446" s="1" t="s">
        <v>34</v>
      </c>
      <c r="E446" s="1" t="s">
        <v>25</v>
      </c>
      <c r="F446" s="1" t="s">
        <v>26</v>
      </c>
      <c r="G446" s="1" t="s">
        <v>1229</v>
      </c>
      <c r="H446" s="6">
        <v>1</v>
      </c>
      <c r="I446" s="7">
        <v>1124</v>
      </c>
      <c r="J446" s="5">
        <v>46005</v>
      </c>
      <c r="K446" s="1" t="s">
        <v>957</v>
      </c>
      <c r="L446" s="1" t="s">
        <v>30</v>
      </c>
      <c r="M446" s="8">
        <v>0</v>
      </c>
      <c r="N446" s="6"/>
      <c r="O446" s="6"/>
      <c r="P446" s="9">
        <v>509.93</v>
      </c>
    </row>
    <row r="447" spans="1:16" ht="19.5" customHeight="1">
      <c r="A447" s="1" t="s">
        <v>1774</v>
      </c>
      <c r="B447" s="5">
        <v>46012</v>
      </c>
      <c r="C447" s="1" t="s">
        <v>35</v>
      </c>
      <c r="D447" s="1" t="s">
        <v>36</v>
      </c>
      <c r="E447" s="1" t="s">
        <v>25</v>
      </c>
      <c r="F447" s="1" t="s">
        <v>26</v>
      </c>
      <c r="G447" s="1" t="s">
        <v>1229</v>
      </c>
      <c r="H447" s="6">
        <v>1</v>
      </c>
      <c r="I447" s="7">
        <v>1124</v>
      </c>
      <c r="J447" s="5">
        <v>46005</v>
      </c>
      <c r="K447" s="1" t="s">
        <v>957</v>
      </c>
      <c r="L447" s="1" t="s">
        <v>30</v>
      </c>
      <c r="M447" s="8">
        <v>0.43</v>
      </c>
      <c r="N447" s="6"/>
      <c r="O447" s="6"/>
      <c r="P447" s="9">
        <v>-483.32</v>
      </c>
    </row>
    <row r="448" spans="1:16" ht="19.5" customHeight="1">
      <c r="A448" s="1" t="s">
        <v>1774</v>
      </c>
      <c r="B448" s="5">
        <v>46012</v>
      </c>
      <c r="C448" s="1" t="s">
        <v>17</v>
      </c>
      <c r="D448" s="1" t="s">
        <v>37</v>
      </c>
      <c r="E448" s="1" t="s">
        <v>25</v>
      </c>
      <c r="F448" s="1" t="s">
        <v>26</v>
      </c>
      <c r="G448" s="1" t="s">
        <v>1229</v>
      </c>
      <c r="H448" s="6">
        <v>1</v>
      </c>
      <c r="I448" s="7">
        <v>1124</v>
      </c>
      <c r="J448" s="5">
        <v>46005</v>
      </c>
      <c r="K448" s="1" t="s">
        <v>957</v>
      </c>
      <c r="L448" s="1" t="s">
        <v>30</v>
      </c>
      <c r="M448" s="8">
        <v>0.43</v>
      </c>
      <c r="N448" s="6"/>
      <c r="O448" s="6"/>
      <c r="P448" s="9">
        <v>-5.48</v>
      </c>
    </row>
    <row r="449" spans="1:16" ht="19.5" customHeight="1">
      <c r="A449" s="1" t="s">
        <v>1774</v>
      </c>
      <c r="B449" s="5">
        <v>46012</v>
      </c>
      <c r="C449" s="1" t="s">
        <v>17</v>
      </c>
      <c r="D449" s="1" t="s">
        <v>18</v>
      </c>
      <c r="E449" s="1" t="s">
        <v>25</v>
      </c>
      <c r="F449" s="1" t="s">
        <v>26</v>
      </c>
      <c r="G449" s="1" t="s">
        <v>1229</v>
      </c>
      <c r="H449" s="6">
        <v>1</v>
      </c>
      <c r="I449" s="7">
        <v>0</v>
      </c>
      <c r="J449" s="5">
        <v>46005</v>
      </c>
      <c r="K449" s="1" t="s">
        <v>22</v>
      </c>
      <c r="L449" s="1" t="s">
        <v>22</v>
      </c>
      <c r="M449" s="8">
        <v>0</v>
      </c>
      <c r="N449" s="6"/>
      <c r="O449" s="6"/>
      <c r="P449" s="9">
        <v>-11.55</v>
      </c>
    </row>
    <row r="450" spans="1:16" ht="19.5" customHeight="1">
      <c r="A450" s="1" t="s">
        <v>1775</v>
      </c>
      <c r="B450" s="5">
        <v>46012</v>
      </c>
      <c r="C450" s="1" t="s">
        <v>28</v>
      </c>
      <c r="D450" s="1" t="s">
        <v>29</v>
      </c>
      <c r="E450" s="1" t="s">
        <v>223</v>
      </c>
      <c r="F450" s="1" t="s">
        <v>395</v>
      </c>
      <c r="G450" s="1" t="s">
        <v>1229</v>
      </c>
      <c r="H450" s="6">
        <v>1</v>
      </c>
      <c r="I450" s="7">
        <v>1687</v>
      </c>
      <c r="J450" s="5">
        <v>46007</v>
      </c>
      <c r="K450" s="1" t="s">
        <v>957</v>
      </c>
      <c r="L450" s="1" t="s">
        <v>30</v>
      </c>
      <c r="M450" s="8">
        <v>0.43</v>
      </c>
      <c r="N450" s="6"/>
      <c r="O450" s="6">
        <v>37</v>
      </c>
      <c r="P450" s="9">
        <v>-98.14</v>
      </c>
    </row>
    <row r="451" spans="1:16" ht="19.5" customHeight="1">
      <c r="A451" s="1" t="s">
        <v>1775</v>
      </c>
      <c r="B451" s="5">
        <v>46012</v>
      </c>
      <c r="C451" s="1" t="s">
        <v>31</v>
      </c>
      <c r="D451" s="1" t="s">
        <v>32</v>
      </c>
      <c r="E451" s="1" t="s">
        <v>223</v>
      </c>
      <c r="F451" s="1" t="s">
        <v>395</v>
      </c>
      <c r="G451" s="1" t="s">
        <v>1229</v>
      </c>
      <c r="H451" s="6">
        <v>1</v>
      </c>
      <c r="I451" s="7">
        <v>1687</v>
      </c>
      <c r="J451" s="5">
        <v>46007</v>
      </c>
      <c r="K451" s="1" t="s">
        <v>957</v>
      </c>
      <c r="L451" s="1" t="s">
        <v>30</v>
      </c>
      <c r="M451" s="8">
        <v>0</v>
      </c>
      <c r="N451" s="6"/>
      <c r="O451" s="6"/>
      <c r="P451" s="9">
        <v>580</v>
      </c>
    </row>
    <row r="452" spans="1:16" ht="19.5" customHeight="1">
      <c r="A452" s="1" t="s">
        <v>1775</v>
      </c>
      <c r="B452" s="5">
        <v>46012</v>
      </c>
      <c r="C452" s="1" t="s">
        <v>31</v>
      </c>
      <c r="D452" s="1" t="s">
        <v>33</v>
      </c>
      <c r="E452" s="1" t="s">
        <v>223</v>
      </c>
      <c r="F452" s="1" t="s">
        <v>395</v>
      </c>
      <c r="G452" s="1" t="s">
        <v>1229</v>
      </c>
      <c r="H452" s="6">
        <v>1</v>
      </c>
      <c r="I452" s="7">
        <v>1687</v>
      </c>
      <c r="J452" s="5">
        <v>46007</v>
      </c>
      <c r="K452" s="1" t="s">
        <v>957</v>
      </c>
      <c r="L452" s="1" t="s">
        <v>30</v>
      </c>
      <c r="M452" s="8">
        <v>0</v>
      </c>
      <c r="N452" s="6"/>
      <c r="O452" s="6"/>
      <c r="P452" s="9">
        <v>5.8</v>
      </c>
    </row>
    <row r="453" spans="1:16" ht="19.5" customHeight="1">
      <c r="A453" s="1" t="s">
        <v>1775</v>
      </c>
      <c r="B453" s="5">
        <v>46012</v>
      </c>
      <c r="C453" s="1" t="s">
        <v>31</v>
      </c>
      <c r="D453" s="1" t="s">
        <v>34</v>
      </c>
      <c r="E453" s="1" t="s">
        <v>223</v>
      </c>
      <c r="F453" s="1" t="s">
        <v>395</v>
      </c>
      <c r="G453" s="1" t="s">
        <v>1229</v>
      </c>
      <c r="H453" s="6">
        <v>1</v>
      </c>
      <c r="I453" s="7">
        <v>1687</v>
      </c>
      <c r="J453" s="5">
        <v>46007</v>
      </c>
      <c r="K453" s="1" t="s">
        <v>957</v>
      </c>
      <c r="L453" s="1" t="s">
        <v>30</v>
      </c>
      <c r="M453" s="8">
        <v>0</v>
      </c>
      <c r="N453" s="6"/>
      <c r="O453" s="6"/>
      <c r="P453" s="9">
        <v>1101.2</v>
      </c>
    </row>
    <row r="454" spans="1:16" ht="19.5" customHeight="1">
      <c r="A454" s="1" t="s">
        <v>1775</v>
      </c>
      <c r="B454" s="5">
        <v>46012</v>
      </c>
      <c r="C454" s="1" t="s">
        <v>35</v>
      </c>
      <c r="D454" s="1" t="s">
        <v>36</v>
      </c>
      <c r="E454" s="1" t="s">
        <v>223</v>
      </c>
      <c r="F454" s="1" t="s">
        <v>395</v>
      </c>
      <c r="G454" s="1" t="s">
        <v>1229</v>
      </c>
      <c r="H454" s="6">
        <v>1</v>
      </c>
      <c r="I454" s="7">
        <v>1687</v>
      </c>
      <c r="J454" s="5">
        <v>46007</v>
      </c>
      <c r="K454" s="1" t="s">
        <v>957</v>
      </c>
      <c r="L454" s="1" t="s">
        <v>30</v>
      </c>
      <c r="M454" s="8">
        <v>0.43</v>
      </c>
      <c r="N454" s="6"/>
      <c r="O454" s="6"/>
      <c r="P454" s="9">
        <v>-725.41</v>
      </c>
    </row>
    <row r="455" spans="1:16" ht="19.5" customHeight="1">
      <c r="A455" s="1" t="s">
        <v>1775</v>
      </c>
      <c r="B455" s="5">
        <v>46012</v>
      </c>
      <c r="C455" s="1" t="s">
        <v>17</v>
      </c>
      <c r="D455" s="1" t="s">
        <v>37</v>
      </c>
      <c r="E455" s="1" t="s">
        <v>223</v>
      </c>
      <c r="F455" s="1" t="s">
        <v>395</v>
      </c>
      <c r="G455" s="1" t="s">
        <v>1229</v>
      </c>
      <c r="H455" s="6">
        <v>1</v>
      </c>
      <c r="I455" s="7">
        <v>1687</v>
      </c>
      <c r="J455" s="5">
        <v>46007</v>
      </c>
      <c r="K455" s="1" t="s">
        <v>957</v>
      </c>
      <c r="L455" s="1" t="s">
        <v>30</v>
      </c>
      <c r="M455" s="8">
        <v>0.43</v>
      </c>
      <c r="N455" s="6"/>
      <c r="O455" s="6"/>
      <c r="P455" s="9">
        <v>-10.68</v>
      </c>
    </row>
    <row r="456" spans="1:16" ht="19.5" customHeight="1">
      <c r="A456" s="1" t="s">
        <v>1776</v>
      </c>
      <c r="B456" s="5">
        <v>46012</v>
      </c>
      <c r="C456" s="1" t="s">
        <v>17</v>
      </c>
      <c r="D456" s="1" t="s">
        <v>18</v>
      </c>
      <c r="E456" s="1" t="s">
        <v>223</v>
      </c>
      <c r="F456" s="1" t="s">
        <v>395</v>
      </c>
      <c r="G456" s="1" t="s">
        <v>1229</v>
      </c>
      <c r="H456" s="6">
        <v>1</v>
      </c>
      <c r="I456" s="7">
        <v>0</v>
      </c>
      <c r="J456" s="5">
        <v>46012</v>
      </c>
      <c r="K456" s="1" t="s">
        <v>22</v>
      </c>
      <c r="L456" s="1" t="s">
        <v>22</v>
      </c>
      <c r="M456" s="8">
        <v>0</v>
      </c>
      <c r="N456" s="6"/>
      <c r="O456" s="6"/>
      <c r="P456" s="9">
        <v>-11.57</v>
      </c>
    </row>
    <row r="457" spans="1:16" ht="19.5" customHeight="1">
      <c r="A457" s="1" t="s">
        <v>1775</v>
      </c>
      <c r="B457" s="5">
        <v>46012</v>
      </c>
      <c r="C457" s="1" t="s">
        <v>17</v>
      </c>
      <c r="D457" s="1" t="s">
        <v>18</v>
      </c>
      <c r="E457" s="1" t="s">
        <v>223</v>
      </c>
      <c r="F457" s="1" t="s">
        <v>395</v>
      </c>
      <c r="G457" s="1" t="s">
        <v>1229</v>
      </c>
      <c r="H457" s="6">
        <v>1</v>
      </c>
      <c r="I457" s="7">
        <v>0</v>
      </c>
      <c r="J457" s="5">
        <v>46007</v>
      </c>
      <c r="K457" s="1" t="s">
        <v>22</v>
      </c>
      <c r="L457" s="1" t="s">
        <v>22</v>
      </c>
      <c r="M457" s="8">
        <v>0</v>
      </c>
      <c r="N457" s="6"/>
      <c r="O457" s="6"/>
      <c r="P457" s="9">
        <v>-11.02</v>
      </c>
    </row>
    <row r="458" spans="1:16" ht="19.5" customHeight="1">
      <c r="A458" s="1" t="s">
        <v>1777</v>
      </c>
      <c r="B458" s="5">
        <v>46012</v>
      </c>
      <c r="C458" s="1" t="s">
        <v>28</v>
      </c>
      <c r="D458" s="1" t="s">
        <v>29</v>
      </c>
      <c r="E458" s="1" t="s">
        <v>223</v>
      </c>
      <c r="F458" s="1" t="s">
        <v>395</v>
      </c>
      <c r="G458" s="1" t="s">
        <v>1229</v>
      </c>
      <c r="H458" s="6">
        <v>1</v>
      </c>
      <c r="I458" s="7">
        <v>1292</v>
      </c>
      <c r="J458" s="5">
        <v>46009</v>
      </c>
      <c r="K458" s="1" t="s">
        <v>957</v>
      </c>
      <c r="L458" s="1" t="s">
        <v>30</v>
      </c>
      <c r="M458" s="8">
        <v>0.43</v>
      </c>
      <c r="N458" s="6"/>
      <c r="O458" s="6">
        <v>40</v>
      </c>
      <c r="P458" s="9">
        <v>-103.57</v>
      </c>
    </row>
    <row r="459" spans="1:16" ht="19.5" customHeight="1">
      <c r="A459" s="1" t="s">
        <v>1777</v>
      </c>
      <c r="B459" s="5">
        <v>46012</v>
      </c>
      <c r="C459" s="1" t="s">
        <v>31</v>
      </c>
      <c r="D459" s="1" t="s">
        <v>32</v>
      </c>
      <c r="E459" s="1" t="s">
        <v>223</v>
      </c>
      <c r="F459" s="1" t="s">
        <v>395</v>
      </c>
      <c r="G459" s="1" t="s">
        <v>1229</v>
      </c>
      <c r="H459" s="6">
        <v>1</v>
      </c>
      <c r="I459" s="7">
        <v>1292</v>
      </c>
      <c r="J459" s="5">
        <v>46009</v>
      </c>
      <c r="K459" s="1" t="s">
        <v>957</v>
      </c>
      <c r="L459" s="1" t="s">
        <v>30</v>
      </c>
      <c r="M459" s="8">
        <v>0</v>
      </c>
      <c r="N459" s="6"/>
      <c r="O459" s="6"/>
      <c r="P459" s="9">
        <v>492.86</v>
      </c>
    </row>
    <row r="460" spans="1:16" ht="19.5" customHeight="1">
      <c r="A460" s="1" t="s">
        <v>1777</v>
      </c>
      <c r="B460" s="5">
        <v>46012</v>
      </c>
      <c r="C460" s="1" t="s">
        <v>31</v>
      </c>
      <c r="D460" s="1" t="s">
        <v>33</v>
      </c>
      <c r="E460" s="1" t="s">
        <v>223</v>
      </c>
      <c r="F460" s="1" t="s">
        <v>395</v>
      </c>
      <c r="G460" s="1" t="s">
        <v>1229</v>
      </c>
      <c r="H460" s="6">
        <v>1</v>
      </c>
      <c r="I460" s="7">
        <v>1292</v>
      </c>
      <c r="J460" s="5">
        <v>46009</v>
      </c>
      <c r="K460" s="1" t="s">
        <v>957</v>
      </c>
      <c r="L460" s="1" t="s">
        <v>30</v>
      </c>
      <c r="M460" s="8">
        <v>0</v>
      </c>
      <c r="N460" s="6"/>
      <c r="O460" s="6"/>
      <c r="P460" s="9">
        <v>4.93</v>
      </c>
    </row>
    <row r="461" spans="1:16" ht="19.5" customHeight="1">
      <c r="A461" s="1" t="s">
        <v>1777</v>
      </c>
      <c r="B461" s="5">
        <v>46012</v>
      </c>
      <c r="C461" s="1" t="s">
        <v>31</v>
      </c>
      <c r="D461" s="1" t="s">
        <v>34</v>
      </c>
      <c r="E461" s="1" t="s">
        <v>223</v>
      </c>
      <c r="F461" s="1" t="s">
        <v>395</v>
      </c>
      <c r="G461" s="1" t="s">
        <v>1229</v>
      </c>
      <c r="H461" s="6">
        <v>1</v>
      </c>
      <c r="I461" s="7">
        <v>1292</v>
      </c>
      <c r="J461" s="5">
        <v>46009</v>
      </c>
      <c r="K461" s="1" t="s">
        <v>957</v>
      </c>
      <c r="L461" s="1" t="s">
        <v>30</v>
      </c>
      <c r="M461" s="8">
        <v>0</v>
      </c>
      <c r="N461" s="6"/>
      <c r="O461" s="6"/>
      <c r="P461" s="9">
        <v>794.21</v>
      </c>
    </row>
    <row r="462" spans="1:16" ht="19.5" customHeight="1">
      <c r="A462" s="1" t="s">
        <v>1777</v>
      </c>
      <c r="B462" s="5">
        <v>46012</v>
      </c>
      <c r="C462" s="1" t="s">
        <v>35</v>
      </c>
      <c r="D462" s="1" t="s">
        <v>36</v>
      </c>
      <c r="E462" s="1" t="s">
        <v>223</v>
      </c>
      <c r="F462" s="1" t="s">
        <v>395</v>
      </c>
      <c r="G462" s="1" t="s">
        <v>1229</v>
      </c>
      <c r="H462" s="6">
        <v>1</v>
      </c>
      <c r="I462" s="7">
        <v>1292</v>
      </c>
      <c r="J462" s="5">
        <v>46009</v>
      </c>
      <c r="K462" s="1" t="s">
        <v>957</v>
      </c>
      <c r="L462" s="1" t="s">
        <v>30</v>
      </c>
      <c r="M462" s="8">
        <v>0.43</v>
      </c>
      <c r="N462" s="6"/>
      <c r="O462" s="6"/>
      <c r="P462" s="9">
        <v>-555.55999999999995</v>
      </c>
    </row>
    <row r="463" spans="1:16" ht="19.5" customHeight="1">
      <c r="A463" s="1" t="s">
        <v>1777</v>
      </c>
      <c r="B463" s="5">
        <v>46012</v>
      </c>
      <c r="C463" s="1" t="s">
        <v>17</v>
      </c>
      <c r="D463" s="1" t="s">
        <v>37</v>
      </c>
      <c r="E463" s="1" t="s">
        <v>223</v>
      </c>
      <c r="F463" s="1" t="s">
        <v>395</v>
      </c>
      <c r="G463" s="1" t="s">
        <v>1229</v>
      </c>
      <c r="H463" s="6">
        <v>1</v>
      </c>
      <c r="I463" s="7">
        <v>1292</v>
      </c>
      <c r="J463" s="5">
        <v>46009</v>
      </c>
      <c r="K463" s="1" t="s">
        <v>957</v>
      </c>
      <c r="L463" s="1" t="s">
        <v>30</v>
      </c>
      <c r="M463" s="8">
        <v>0.43</v>
      </c>
      <c r="N463" s="6"/>
      <c r="O463" s="6"/>
      <c r="P463" s="9">
        <v>-9.6199999999999992</v>
      </c>
    </row>
    <row r="464" spans="1:16" ht="19.5" customHeight="1">
      <c r="A464" s="1" t="s">
        <v>1777</v>
      </c>
      <c r="B464" s="5">
        <v>46012</v>
      </c>
      <c r="C464" s="1" t="s">
        <v>17</v>
      </c>
      <c r="D464" s="1" t="s">
        <v>18</v>
      </c>
      <c r="E464" s="1" t="s">
        <v>223</v>
      </c>
      <c r="F464" s="1" t="s">
        <v>395</v>
      </c>
      <c r="G464" s="1" t="s">
        <v>1229</v>
      </c>
      <c r="H464" s="6">
        <v>1</v>
      </c>
      <c r="I464" s="7">
        <v>0</v>
      </c>
      <c r="J464" s="5">
        <v>46009</v>
      </c>
      <c r="K464" s="1" t="s">
        <v>22</v>
      </c>
      <c r="L464" s="1" t="s">
        <v>22</v>
      </c>
      <c r="M464" s="8">
        <v>0</v>
      </c>
      <c r="N464" s="6"/>
      <c r="O464" s="6"/>
      <c r="P464" s="9">
        <v>-9.36</v>
      </c>
    </row>
    <row r="465" spans="1:16" ht="19.5" customHeight="1">
      <c r="A465" s="1" t="s">
        <v>1778</v>
      </c>
      <c r="B465" s="5">
        <v>46012</v>
      </c>
      <c r="C465" s="1" t="s">
        <v>28</v>
      </c>
      <c r="D465" s="1" t="s">
        <v>45</v>
      </c>
      <c r="E465" s="1" t="s">
        <v>228</v>
      </c>
      <c r="F465" s="1" t="s">
        <v>393</v>
      </c>
      <c r="G465" s="1" t="s">
        <v>1229</v>
      </c>
      <c r="H465" s="6">
        <v>1</v>
      </c>
      <c r="I465" s="7">
        <v>0</v>
      </c>
      <c r="J465" s="5">
        <v>46008</v>
      </c>
      <c r="K465" s="1" t="s">
        <v>957</v>
      </c>
      <c r="L465" s="1" t="s">
        <v>30</v>
      </c>
      <c r="M465" s="8">
        <v>0</v>
      </c>
      <c r="N465" s="6"/>
      <c r="O465" s="6"/>
      <c r="P465" s="9">
        <v>0</v>
      </c>
    </row>
    <row r="466" spans="1:16" ht="19.5" customHeight="1">
      <c r="A466" s="1" t="s">
        <v>1778</v>
      </c>
      <c r="B466" s="5">
        <v>46012</v>
      </c>
      <c r="C466" s="1" t="s">
        <v>28</v>
      </c>
      <c r="D466" s="1" t="s">
        <v>46</v>
      </c>
      <c r="E466" s="1" t="s">
        <v>228</v>
      </c>
      <c r="F466" s="1" t="s">
        <v>393</v>
      </c>
      <c r="G466" s="1" t="s">
        <v>1229</v>
      </c>
      <c r="H466" s="6">
        <v>1</v>
      </c>
      <c r="I466" s="7">
        <v>0</v>
      </c>
      <c r="J466" s="5">
        <v>46008</v>
      </c>
      <c r="K466" s="1" t="s">
        <v>957</v>
      </c>
      <c r="L466" s="1" t="s">
        <v>30</v>
      </c>
      <c r="M466" s="8">
        <v>0</v>
      </c>
      <c r="N466" s="6"/>
      <c r="O466" s="6"/>
      <c r="P466" s="9">
        <v>-46.77</v>
      </c>
    </row>
    <row r="467" spans="1:16" ht="19.5" customHeight="1">
      <c r="A467" s="1" t="s">
        <v>1778</v>
      </c>
      <c r="B467" s="5">
        <v>46012</v>
      </c>
      <c r="C467" s="1" t="s">
        <v>17</v>
      </c>
      <c r="D467" s="1" t="s">
        <v>47</v>
      </c>
      <c r="E467" s="1" t="s">
        <v>228</v>
      </c>
      <c r="F467" s="1" t="s">
        <v>393</v>
      </c>
      <c r="G467" s="1" t="s">
        <v>1229</v>
      </c>
      <c r="H467" s="6">
        <v>1</v>
      </c>
      <c r="I467" s="7">
        <v>0</v>
      </c>
      <c r="J467" s="5">
        <v>46008</v>
      </c>
      <c r="K467" s="1" t="s">
        <v>957</v>
      </c>
      <c r="L467" s="1" t="s">
        <v>30</v>
      </c>
      <c r="M467" s="8">
        <v>0</v>
      </c>
      <c r="N467" s="6"/>
      <c r="O467" s="6"/>
      <c r="P467" s="9">
        <v>-15</v>
      </c>
    </row>
    <row r="468" spans="1:16" ht="19.5" customHeight="1">
      <c r="A468" s="1" t="s">
        <v>1778</v>
      </c>
      <c r="B468" s="5">
        <v>46012</v>
      </c>
      <c r="C468" s="1" t="s">
        <v>28</v>
      </c>
      <c r="D468" s="1" t="s">
        <v>29</v>
      </c>
      <c r="E468" s="1" t="s">
        <v>228</v>
      </c>
      <c r="F468" s="1" t="s">
        <v>393</v>
      </c>
      <c r="G468" s="1" t="s">
        <v>1229</v>
      </c>
      <c r="H468" s="6">
        <v>1</v>
      </c>
      <c r="I468" s="7">
        <v>0</v>
      </c>
      <c r="J468" s="5">
        <v>46008</v>
      </c>
      <c r="K468" s="1" t="s">
        <v>957</v>
      </c>
      <c r="L468" s="1" t="s">
        <v>30</v>
      </c>
      <c r="M468" s="8">
        <v>0</v>
      </c>
      <c r="N468" s="6"/>
      <c r="O468" s="6">
        <v>41</v>
      </c>
      <c r="P468" s="9">
        <v>-46.77</v>
      </c>
    </row>
    <row r="469" spans="1:16" ht="19.5" customHeight="1">
      <c r="A469" s="1" t="s">
        <v>1778</v>
      </c>
      <c r="B469" s="5">
        <v>46012</v>
      </c>
      <c r="C469" s="1" t="s">
        <v>17</v>
      </c>
      <c r="D469" s="1" t="s">
        <v>37</v>
      </c>
      <c r="E469" s="1" t="s">
        <v>228</v>
      </c>
      <c r="F469" s="1" t="s">
        <v>393</v>
      </c>
      <c r="G469" s="1" t="s">
        <v>1229</v>
      </c>
      <c r="H469" s="6">
        <v>1</v>
      </c>
      <c r="I469" s="7">
        <v>0</v>
      </c>
      <c r="J469" s="5">
        <v>46008</v>
      </c>
      <c r="K469" s="1" t="s">
        <v>957</v>
      </c>
      <c r="L469" s="1" t="s">
        <v>30</v>
      </c>
      <c r="M469" s="8">
        <v>0</v>
      </c>
      <c r="N469" s="6"/>
      <c r="O469" s="6"/>
      <c r="P469" s="9">
        <v>-6.54</v>
      </c>
    </row>
    <row r="470" spans="1:16" ht="19.5" customHeight="1">
      <c r="A470" s="1" t="s">
        <v>1779</v>
      </c>
      <c r="B470" s="5">
        <v>46012</v>
      </c>
      <c r="C470" s="1" t="s">
        <v>28</v>
      </c>
      <c r="D470" s="1" t="s">
        <v>29</v>
      </c>
      <c r="E470" s="1" t="s">
        <v>223</v>
      </c>
      <c r="F470" s="1" t="s">
        <v>395</v>
      </c>
      <c r="G470" s="1" t="s">
        <v>1229</v>
      </c>
      <c r="H470" s="6">
        <v>1</v>
      </c>
      <c r="I470" s="7">
        <v>0</v>
      </c>
      <c r="J470" s="5">
        <v>46006</v>
      </c>
      <c r="K470" s="1" t="s">
        <v>957</v>
      </c>
      <c r="L470" s="1" t="s">
        <v>30</v>
      </c>
      <c r="M470" s="8">
        <v>0</v>
      </c>
      <c r="N470" s="6"/>
      <c r="O470" s="6">
        <v>38</v>
      </c>
      <c r="P470" s="9">
        <v>-46.77</v>
      </c>
    </row>
    <row r="471" spans="1:16" ht="19.5" customHeight="1">
      <c r="A471" s="1" t="s">
        <v>1779</v>
      </c>
      <c r="B471" s="5">
        <v>46012</v>
      </c>
      <c r="C471" s="1" t="s">
        <v>17</v>
      </c>
      <c r="D471" s="1" t="s">
        <v>37</v>
      </c>
      <c r="E471" s="1" t="s">
        <v>223</v>
      </c>
      <c r="F471" s="1" t="s">
        <v>395</v>
      </c>
      <c r="G471" s="1" t="s">
        <v>1229</v>
      </c>
      <c r="H471" s="6">
        <v>1</v>
      </c>
      <c r="I471" s="7">
        <v>0</v>
      </c>
      <c r="J471" s="5">
        <v>46006</v>
      </c>
      <c r="K471" s="1" t="s">
        <v>957</v>
      </c>
      <c r="L471" s="1" t="s">
        <v>30</v>
      </c>
      <c r="M471" s="8">
        <v>0</v>
      </c>
      <c r="N471" s="6"/>
      <c r="O471" s="6"/>
      <c r="P471" s="9">
        <v>-10.83</v>
      </c>
    </row>
    <row r="472" spans="1:16" ht="19.5" customHeight="1">
      <c r="A472" s="1" t="s">
        <v>1779</v>
      </c>
      <c r="B472" s="5">
        <v>46012</v>
      </c>
      <c r="C472" s="1" t="s">
        <v>28</v>
      </c>
      <c r="D472" s="1" t="s">
        <v>45</v>
      </c>
      <c r="E472" s="1" t="s">
        <v>223</v>
      </c>
      <c r="F472" s="1" t="s">
        <v>395</v>
      </c>
      <c r="G472" s="1" t="s">
        <v>1229</v>
      </c>
      <c r="H472" s="6">
        <v>1</v>
      </c>
      <c r="I472" s="7">
        <v>0</v>
      </c>
      <c r="J472" s="5">
        <v>46006</v>
      </c>
      <c r="K472" s="1" t="s">
        <v>957</v>
      </c>
      <c r="L472" s="1" t="s">
        <v>30</v>
      </c>
      <c r="M472" s="8">
        <v>0</v>
      </c>
      <c r="N472" s="6"/>
      <c r="O472" s="6"/>
      <c r="P472" s="9">
        <v>0</v>
      </c>
    </row>
    <row r="473" spans="1:16" ht="19.5" customHeight="1">
      <c r="A473" s="1" t="s">
        <v>1779</v>
      </c>
      <c r="B473" s="5">
        <v>46012</v>
      </c>
      <c r="C473" s="1" t="s">
        <v>28</v>
      </c>
      <c r="D473" s="1" t="s">
        <v>46</v>
      </c>
      <c r="E473" s="1" t="s">
        <v>223</v>
      </c>
      <c r="F473" s="1" t="s">
        <v>395</v>
      </c>
      <c r="G473" s="1" t="s">
        <v>1229</v>
      </c>
      <c r="H473" s="6">
        <v>1</v>
      </c>
      <c r="I473" s="7">
        <v>0</v>
      </c>
      <c r="J473" s="5">
        <v>46006</v>
      </c>
      <c r="K473" s="1" t="s">
        <v>957</v>
      </c>
      <c r="L473" s="1" t="s">
        <v>30</v>
      </c>
      <c r="M473" s="8">
        <v>0</v>
      </c>
      <c r="N473" s="6"/>
      <c r="O473" s="6"/>
      <c r="P473" s="9">
        <v>-46.77</v>
      </c>
    </row>
    <row r="474" spans="1:16" ht="19.5" customHeight="1">
      <c r="A474" s="1" t="s">
        <v>1779</v>
      </c>
      <c r="B474" s="5">
        <v>46012</v>
      </c>
      <c r="C474" s="1" t="s">
        <v>17</v>
      </c>
      <c r="D474" s="1" t="s">
        <v>47</v>
      </c>
      <c r="E474" s="1" t="s">
        <v>223</v>
      </c>
      <c r="F474" s="1" t="s">
        <v>395</v>
      </c>
      <c r="G474" s="1" t="s">
        <v>1229</v>
      </c>
      <c r="H474" s="6">
        <v>1</v>
      </c>
      <c r="I474" s="7">
        <v>0</v>
      </c>
      <c r="J474" s="5">
        <v>46006</v>
      </c>
      <c r="K474" s="1" t="s">
        <v>957</v>
      </c>
      <c r="L474" s="1" t="s">
        <v>30</v>
      </c>
      <c r="M474" s="8">
        <v>0</v>
      </c>
      <c r="N474" s="6"/>
      <c r="O474" s="6"/>
      <c r="P474" s="9">
        <v>-15</v>
      </c>
    </row>
    <row r="475" spans="1:16" ht="19.5" customHeight="1">
      <c r="A475" s="1" t="s">
        <v>1780</v>
      </c>
      <c r="B475" s="5">
        <v>46012</v>
      </c>
      <c r="C475" s="1" t="s">
        <v>28</v>
      </c>
      <c r="D475" s="1" t="s">
        <v>29</v>
      </c>
      <c r="E475" s="1" t="s">
        <v>54</v>
      </c>
      <c r="F475" s="1" t="s">
        <v>55</v>
      </c>
      <c r="G475" s="1" t="s">
        <v>1229</v>
      </c>
      <c r="H475" s="6">
        <v>1</v>
      </c>
      <c r="I475" s="7">
        <v>1536</v>
      </c>
      <c r="J475" s="5">
        <v>46007</v>
      </c>
      <c r="K475" s="1" t="s">
        <v>957</v>
      </c>
      <c r="L475" s="1" t="s">
        <v>30</v>
      </c>
      <c r="M475" s="8">
        <v>0.43</v>
      </c>
      <c r="N475" s="6"/>
      <c r="O475" s="6">
        <v>37</v>
      </c>
      <c r="P475" s="9">
        <v>-96.2</v>
      </c>
    </row>
    <row r="476" spans="1:16" ht="19.5" customHeight="1">
      <c r="A476" s="1" t="s">
        <v>1780</v>
      </c>
      <c r="B476" s="5">
        <v>46012</v>
      </c>
      <c r="C476" s="1" t="s">
        <v>31</v>
      </c>
      <c r="D476" s="1" t="s">
        <v>32</v>
      </c>
      <c r="E476" s="1" t="s">
        <v>54</v>
      </c>
      <c r="F476" s="1" t="s">
        <v>55</v>
      </c>
      <c r="G476" s="1" t="s">
        <v>1229</v>
      </c>
      <c r="H476" s="6">
        <v>1</v>
      </c>
      <c r="I476" s="7">
        <v>1536</v>
      </c>
      <c r="J476" s="5">
        <v>46007</v>
      </c>
      <c r="K476" s="1" t="s">
        <v>957</v>
      </c>
      <c r="L476" s="1" t="s">
        <v>30</v>
      </c>
      <c r="M476" s="8">
        <v>0</v>
      </c>
      <c r="N476" s="6"/>
      <c r="O476" s="6"/>
      <c r="P476" s="9">
        <v>860</v>
      </c>
    </row>
    <row r="477" spans="1:16" ht="19.5" customHeight="1">
      <c r="A477" s="1" t="s">
        <v>1780</v>
      </c>
      <c r="B477" s="5">
        <v>46012</v>
      </c>
      <c r="C477" s="1" t="s">
        <v>31</v>
      </c>
      <c r="D477" s="1" t="s">
        <v>33</v>
      </c>
      <c r="E477" s="1" t="s">
        <v>54</v>
      </c>
      <c r="F477" s="1" t="s">
        <v>55</v>
      </c>
      <c r="G477" s="1" t="s">
        <v>1229</v>
      </c>
      <c r="H477" s="6">
        <v>1</v>
      </c>
      <c r="I477" s="7">
        <v>1536</v>
      </c>
      <c r="J477" s="5">
        <v>46007</v>
      </c>
      <c r="K477" s="1" t="s">
        <v>957</v>
      </c>
      <c r="L477" s="1" t="s">
        <v>30</v>
      </c>
      <c r="M477" s="8">
        <v>0</v>
      </c>
      <c r="N477" s="6"/>
      <c r="O477" s="6"/>
      <c r="P477" s="9">
        <v>8.6</v>
      </c>
    </row>
    <row r="478" spans="1:16" ht="19.5" customHeight="1">
      <c r="A478" s="1" t="s">
        <v>1780</v>
      </c>
      <c r="B478" s="5">
        <v>46012</v>
      </c>
      <c r="C478" s="1" t="s">
        <v>31</v>
      </c>
      <c r="D478" s="1" t="s">
        <v>34</v>
      </c>
      <c r="E478" s="1" t="s">
        <v>54</v>
      </c>
      <c r="F478" s="1" t="s">
        <v>55</v>
      </c>
      <c r="G478" s="1" t="s">
        <v>1229</v>
      </c>
      <c r="H478" s="6">
        <v>1</v>
      </c>
      <c r="I478" s="7">
        <v>1536</v>
      </c>
      <c r="J478" s="5">
        <v>46007</v>
      </c>
      <c r="K478" s="1" t="s">
        <v>957</v>
      </c>
      <c r="L478" s="1" t="s">
        <v>30</v>
      </c>
      <c r="M478" s="8">
        <v>0</v>
      </c>
      <c r="N478" s="6"/>
      <c r="O478" s="6"/>
      <c r="P478" s="9">
        <v>667.4</v>
      </c>
    </row>
    <row r="479" spans="1:16" ht="19.5" customHeight="1">
      <c r="A479" s="1" t="s">
        <v>1780</v>
      </c>
      <c r="B479" s="5">
        <v>46012</v>
      </c>
      <c r="C479" s="1" t="s">
        <v>35</v>
      </c>
      <c r="D479" s="1" t="s">
        <v>36</v>
      </c>
      <c r="E479" s="1" t="s">
        <v>54</v>
      </c>
      <c r="F479" s="1" t="s">
        <v>55</v>
      </c>
      <c r="G479" s="1" t="s">
        <v>1229</v>
      </c>
      <c r="H479" s="6">
        <v>1</v>
      </c>
      <c r="I479" s="7">
        <v>1536</v>
      </c>
      <c r="J479" s="5">
        <v>46007</v>
      </c>
      <c r="K479" s="1" t="s">
        <v>957</v>
      </c>
      <c r="L479" s="1" t="s">
        <v>30</v>
      </c>
      <c r="M479" s="8">
        <v>0.43</v>
      </c>
      <c r="N479" s="6"/>
      <c r="O479" s="6"/>
      <c r="P479" s="9">
        <v>-660.48</v>
      </c>
    </row>
    <row r="480" spans="1:16" ht="19.5" customHeight="1">
      <c r="A480" s="1" t="s">
        <v>1781</v>
      </c>
      <c r="B480" s="5">
        <v>46012</v>
      </c>
      <c r="C480" s="1" t="s">
        <v>28</v>
      </c>
      <c r="D480" s="1" t="s">
        <v>29</v>
      </c>
      <c r="E480" s="1" t="s">
        <v>25</v>
      </c>
      <c r="F480" s="1" t="s">
        <v>26</v>
      </c>
      <c r="G480" s="1" t="s">
        <v>1229</v>
      </c>
      <c r="H480" s="6">
        <v>1</v>
      </c>
      <c r="I480" s="7">
        <v>0</v>
      </c>
      <c r="J480" s="5">
        <v>46011</v>
      </c>
      <c r="K480" s="1" t="s">
        <v>957</v>
      </c>
      <c r="L480" s="1" t="s">
        <v>30</v>
      </c>
      <c r="M480" s="8">
        <v>0</v>
      </c>
      <c r="N480" s="6"/>
      <c r="O480" s="6">
        <v>39</v>
      </c>
      <c r="P480" s="9">
        <v>-110.12</v>
      </c>
    </row>
    <row r="481" spans="1:16" ht="19.5" customHeight="1">
      <c r="A481" s="1" t="s">
        <v>1782</v>
      </c>
      <c r="B481" s="5">
        <v>46012</v>
      </c>
      <c r="C481" s="1" t="s">
        <v>28</v>
      </c>
      <c r="D481" s="1" t="s">
        <v>29</v>
      </c>
      <c r="E481" s="1" t="s">
        <v>92</v>
      </c>
      <c r="F481" s="1" t="s">
        <v>93</v>
      </c>
      <c r="G481" s="1" t="s">
        <v>1229</v>
      </c>
      <c r="H481" s="6">
        <v>1</v>
      </c>
      <c r="I481" s="7">
        <v>1101</v>
      </c>
      <c r="J481" s="5">
        <v>46006</v>
      </c>
      <c r="K481" s="1" t="s">
        <v>957</v>
      </c>
      <c r="L481" s="1" t="s">
        <v>30</v>
      </c>
      <c r="M481" s="8">
        <v>0.43</v>
      </c>
      <c r="N481" s="6"/>
      <c r="O481" s="6">
        <v>38</v>
      </c>
      <c r="P481" s="9">
        <v>-91.57</v>
      </c>
    </row>
    <row r="482" spans="1:16" ht="19.5" customHeight="1">
      <c r="A482" s="1" t="s">
        <v>1782</v>
      </c>
      <c r="B482" s="5">
        <v>46012</v>
      </c>
      <c r="C482" s="1" t="s">
        <v>31</v>
      </c>
      <c r="D482" s="1" t="s">
        <v>32</v>
      </c>
      <c r="E482" s="1" t="s">
        <v>92</v>
      </c>
      <c r="F482" s="1" t="s">
        <v>93</v>
      </c>
      <c r="G482" s="1" t="s">
        <v>1229</v>
      </c>
      <c r="H482" s="6">
        <v>1</v>
      </c>
      <c r="I482" s="7">
        <v>1101</v>
      </c>
      <c r="J482" s="5">
        <v>46006</v>
      </c>
      <c r="K482" s="1" t="s">
        <v>957</v>
      </c>
      <c r="L482" s="1" t="s">
        <v>30</v>
      </c>
      <c r="M482" s="8">
        <v>0</v>
      </c>
      <c r="N482" s="6"/>
      <c r="O482" s="6"/>
      <c r="P482" s="9">
        <v>481.45</v>
      </c>
    </row>
    <row r="483" spans="1:16" ht="19.5" customHeight="1">
      <c r="A483" s="1" t="s">
        <v>1782</v>
      </c>
      <c r="B483" s="5">
        <v>46012</v>
      </c>
      <c r="C483" s="1" t="s">
        <v>31</v>
      </c>
      <c r="D483" s="1" t="s">
        <v>33</v>
      </c>
      <c r="E483" s="1" t="s">
        <v>92</v>
      </c>
      <c r="F483" s="1" t="s">
        <v>93</v>
      </c>
      <c r="G483" s="1" t="s">
        <v>1229</v>
      </c>
      <c r="H483" s="6">
        <v>1</v>
      </c>
      <c r="I483" s="7">
        <v>1101</v>
      </c>
      <c r="J483" s="5">
        <v>46006</v>
      </c>
      <c r="K483" s="1" t="s">
        <v>957</v>
      </c>
      <c r="L483" s="1" t="s">
        <v>30</v>
      </c>
      <c r="M483" s="8">
        <v>0</v>
      </c>
      <c r="N483" s="6"/>
      <c r="O483" s="6"/>
      <c r="P483" s="9">
        <v>0</v>
      </c>
    </row>
    <row r="484" spans="1:16" ht="19.5" customHeight="1">
      <c r="A484" s="1" t="s">
        <v>1782</v>
      </c>
      <c r="B484" s="5">
        <v>46012</v>
      </c>
      <c r="C484" s="1" t="s">
        <v>31</v>
      </c>
      <c r="D484" s="1" t="s">
        <v>34</v>
      </c>
      <c r="E484" s="1" t="s">
        <v>92</v>
      </c>
      <c r="F484" s="1" t="s">
        <v>93</v>
      </c>
      <c r="G484" s="1" t="s">
        <v>1229</v>
      </c>
      <c r="H484" s="6">
        <v>1</v>
      </c>
      <c r="I484" s="7">
        <v>1101</v>
      </c>
      <c r="J484" s="5">
        <v>46006</v>
      </c>
      <c r="K484" s="1" t="s">
        <v>957</v>
      </c>
      <c r="L484" s="1" t="s">
        <v>30</v>
      </c>
      <c r="M484" s="8">
        <v>0</v>
      </c>
      <c r="N484" s="6"/>
      <c r="O484" s="6"/>
      <c r="P484" s="9">
        <v>619.54999999999995</v>
      </c>
    </row>
    <row r="485" spans="1:16" ht="19.5" customHeight="1">
      <c r="A485" s="1" t="s">
        <v>1782</v>
      </c>
      <c r="B485" s="5">
        <v>46012</v>
      </c>
      <c r="C485" s="1" t="s">
        <v>35</v>
      </c>
      <c r="D485" s="1" t="s">
        <v>36</v>
      </c>
      <c r="E485" s="1" t="s">
        <v>92</v>
      </c>
      <c r="F485" s="1" t="s">
        <v>93</v>
      </c>
      <c r="G485" s="1" t="s">
        <v>1229</v>
      </c>
      <c r="H485" s="6">
        <v>1</v>
      </c>
      <c r="I485" s="7">
        <v>1101</v>
      </c>
      <c r="J485" s="5">
        <v>46006</v>
      </c>
      <c r="K485" s="1" t="s">
        <v>957</v>
      </c>
      <c r="L485" s="1" t="s">
        <v>30</v>
      </c>
      <c r="M485" s="8">
        <v>0.43</v>
      </c>
      <c r="N485" s="6"/>
      <c r="O485" s="6"/>
      <c r="P485" s="9">
        <v>-473.43</v>
      </c>
    </row>
    <row r="486" spans="1:16" ht="19.5" customHeight="1">
      <c r="A486" s="1" t="s">
        <v>1782</v>
      </c>
      <c r="B486" s="5">
        <v>46012</v>
      </c>
      <c r="C486" s="1" t="s">
        <v>17</v>
      </c>
      <c r="D486" s="1" t="s">
        <v>37</v>
      </c>
      <c r="E486" s="1" t="s">
        <v>92</v>
      </c>
      <c r="F486" s="1" t="s">
        <v>93</v>
      </c>
      <c r="G486" s="1" t="s">
        <v>1229</v>
      </c>
      <c r="H486" s="6">
        <v>1</v>
      </c>
      <c r="I486" s="7">
        <v>1101</v>
      </c>
      <c r="J486" s="5">
        <v>46006</v>
      </c>
      <c r="K486" s="1" t="s">
        <v>957</v>
      </c>
      <c r="L486" s="1" t="s">
        <v>30</v>
      </c>
      <c r="M486" s="8">
        <v>0.43</v>
      </c>
      <c r="N486" s="6"/>
      <c r="O486" s="6"/>
      <c r="P486" s="9">
        <v>-4.25</v>
      </c>
    </row>
    <row r="487" spans="1:16" ht="19.5" customHeight="1">
      <c r="A487" s="1" t="s">
        <v>1782</v>
      </c>
      <c r="B487" s="5">
        <v>46012</v>
      </c>
      <c r="C487" s="1" t="s">
        <v>17</v>
      </c>
      <c r="D487" s="1" t="s">
        <v>18</v>
      </c>
      <c r="E487" s="1" t="s">
        <v>92</v>
      </c>
      <c r="F487" s="1" t="s">
        <v>93</v>
      </c>
      <c r="G487" s="1" t="s">
        <v>1229</v>
      </c>
      <c r="H487" s="6">
        <v>1</v>
      </c>
      <c r="I487" s="7">
        <v>0</v>
      </c>
      <c r="J487" s="5">
        <v>46006</v>
      </c>
      <c r="K487" s="1" t="s">
        <v>22</v>
      </c>
      <c r="L487" s="1" t="s">
        <v>22</v>
      </c>
      <c r="M487" s="8">
        <v>0</v>
      </c>
      <c r="N487" s="6"/>
      <c r="O487" s="6"/>
      <c r="P487" s="9">
        <v>-2.0699999999999998</v>
      </c>
    </row>
    <row r="488" spans="1:16" ht="19.5" customHeight="1">
      <c r="A488" s="1" t="s">
        <v>1768</v>
      </c>
      <c r="B488" s="5">
        <v>46012</v>
      </c>
      <c r="C488" s="1" t="s">
        <v>126</v>
      </c>
      <c r="D488" s="1" t="s">
        <v>127</v>
      </c>
      <c r="E488" s="1" t="s">
        <v>25</v>
      </c>
      <c r="F488" s="1" t="s">
        <v>26</v>
      </c>
      <c r="G488" s="1" t="s">
        <v>1229</v>
      </c>
      <c r="H488" s="6">
        <v>1</v>
      </c>
      <c r="I488" s="7">
        <v>-1704</v>
      </c>
      <c r="J488" s="5">
        <v>46010</v>
      </c>
      <c r="K488" s="1" t="s">
        <v>957</v>
      </c>
      <c r="L488" s="1" t="s">
        <v>30</v>
      </c>
      <c r="M488" s="8">
        <v>0</v>
      </c>
      <c r="N488" s="6"/>
      <c r="O488" s="6"/>
      <c r="P488" s="9">
        <v>-585.71</v>
      </c>
    </row>
    <row r="489" spans="1:16" ht="19.5" customHeight="1">
      <c r="A489" s="1" t="s">
        <v>1768</v>
      </c>
      <c r="B489" s="5">
        <v>46012</v>
      </c>
      <c r="C489" s="1" t="s">
        <v>126</v>
      </c>
      <c r="D489" s="1" t="s">
        <v>33</v>
      </c>
      <c r="E489" s="1" t="s">
        <v>25</v>
      </c>
      <c r="F489" s="1" t="s">
        <v>26</v>
      </c>
      <c r="G489" s="1" t="s">
        <v>1229</v>
      </c>
      <c r="H489" s="6">
        <v>1</v>
      </c>
      <c r="I489" s="7">
        <v>-1704</v>
      </c>
      <c r="J489" s="5">
        <v>46010</v>
      </c>
      <c r="K489" s="1" t="s">
        <v>957</v>
      </c>
      <c r="L489" s="1" t="s">
        <v>30</v>
      </c>
      <c r="M489" s="8">
        <v>0</v>
      </c>
      <c r="N489" s="6"/>
      <c r="O489" s="6"/>
      <c r="P489" s="9">
        <v>-5.86</v>
      </c>
    </row>
    <row r="490" spans="1:16" ht="19.5" customHeight="1">
      <c r="A490" s="1" t="s">
        <v>1768</v>
      </c>
      <c r="B490" s="5">
        <v>46012</v>
      </c>
      <c r="C490" s="1" t="s">
        <v>126</v>
      </c>
      <c r="D490" s="1" t="s">
        <v>34</v>
      </c>
      <c r="E490" s="1" t="s">
        <v>25</v>
      </c>
      <c r="F490" s="1" t="s">
        <v>26</v>
      </c>
      <c r="G490" s="1" t="s">
        <v>1229</v>
      </c>
      <c r="H490" s="6">
        <v>1</v>
      </c>
      <c r="I490" s="7">
        <v>-1704</v>
      </c>
      <c r="J490" s="5">
        <v>46010</v>
      </c>
      <c r="K490" s="1" t="s">
        <v>957</v>
      </c>
      <c r="L490" s="1" t="s">
        <v>30</v>
      </c>
      <c r="M490" s="8">
        <v>0</v>
      </c>
      <c r="N490" s="6"/>
      <c r="O490" s="6"/>
      <c r="P490" s="9">
        <v>-1112.43</v>
      </c>
    </row>
    <row r="491" spans="1:16" ht="19.5" customHeight="1">
      <c r="A491" s="1" t="s">
        <v>1768</v>
      </c>
      <c r="B491" s="5">
        <v>46012</v>
      </c>
      <c r="C491" s="1" t="s">
        <v>35</v>
      </c>
      <c r="D491" s="1" t="s">
        <v>128</v>
      </c>
      <c r="E491" s="1" t="s">
        <v>25</v>
      </c>
      <c r="F491" s="1" t="s">
        <v>26</v>
      </c>
      <c r="G491" s="1" t="s">
        <v>1229</v>
      </c>
      <c r="H491" s="6">
        <v>1</v>
      </c>
      <c r="I491" s="7">
        <v>-1704</v>
      </c>
      <c r="J491" s="5">
        <v>46010</v>
      </c>
      <c r="K491" s="1" t="s">
        <v>957</v>
      </c>
      <c r="L491" s="1" t="s">
        <v>30</v>
      </c>
      <c r="M491" s="8">
        <v>0.43</v>
      </c>
      <c r="N491" s="6"/>
      <c r="O491" s="6"/>
      <c r="P491" s="9">
        <v>732.72</v>
      </c>
    </row>
    <row r="492" spans="1:16" ht="19.5" customHeight="1">
      <c r="A492" s="1" t="s">
        <v>1768</v>
      </c>
      <c r="B492" s="5">
        <v>46012</v>
      </c>
      <c r="C492" s="1" t="s">
        <v>17</v>
      </c>
      <c r="D492" s="1" t="s">
        <v>18</v>
      </c>
      <c r="E492" s="1" t="s">
        <v>25</v>
      </c>
      <c r="F492" s="1" t="s">
        <v>26</v>
      </c>
      <c r="G492" s="1" t="s">
        <v>1229</v>
      </c>
      <c r="H492" s="6">
        <v>1</v>
      </c>
      <c r="I492" s="7">
        <v>0</v>
      </c>
      <c r="J492" s="5">
        <v>46010</v>
      </c>
      <c r="K492" s="1" t="s">
        <v>22</v>
      </c>
      <c r="L492" s="1" t="s">
        <v>22</v>
      </c>
      <c r="M492" s="8">
        <v>0</v>
      </c>
      <c r="N492" s="6"/>
      <c r="O492" s="6"/>
      <c r="P492" s="9">
        <v>11.13</v>
      </c>
    </row>
    <row r="493" spans="1:16" ht="19.5" customHeight="1">
      <c r="A493" s="1" t="s">
        <v>1783</v>
      </c>
      <c r="B493" s="5">
        <v>46012</v>
      </c>
      <c r="C493" s="1" t="s">
        <v>28</v>
      </c>
      <c r="D493" s="1" t="s">
        <v>29</v>
      </c>
      <c r="E493" s="1" t="s">
        <v>25</v>
      </c>
      <c r="F493" s="1" t="s">
        <v>26</v>
      </c>
      <c r="G493" s="1" t="s">
        <v>1229</v>
      </c>
      <c r="H493" s="6">
        <v>1</v>
      </c>
      <c r="I493" s="7">
        <v>1704</v>
      </c>
      <c r="J493" s="5">
        <v>46010</v>
      </c>
      <c r="K493" s="1" t="s">
        <v>957</v>
      </c>
      <c r="L493" s="1" t="s">
        <v>30</v>
      </c>
      <c r="M493" s="8">
        <v>0.43</v>
      </c>
      <c r="N493" s="6"/>
      <c r="O493" s="6">
        <v>39</v>
      </c>
      <c r="P493" s="9">
        <v>-108.98</v>
      </c>
    </row>
    <row r="494" spans="1:16" ht="19.5" customHeight="1">
      <c r="A494" s="1" t="s">
        <v>1783</v>
      </c>
      <c r="B494" s="5">
        <v>46012</v>
      </c>
      <c r="C494" s="1" t="s">
        <v>31</v>
      </c>
      <c r="D494" s="1" t="s">
        <v>32</v>
      </c>
      <c r="E494" s="1" t="s">
        <v>25</v>
      </c>
      <c r="F494" s="1" t="s">
        <v>26</v>
      </c>
      <c r="G494" s="1" t="s">
        <v>1229</v>
      </c>
      <c r="H494" s="6">
        <v>1</v>
      </c>
      <c r="I494" s="7">
        <v>1704</v>
      </c>
      <c r="J494" s="5">
        <v>46010</v>
      </c>
      <c r="K494" s="1" t="s">
        <v>957</v>
      </c>
      <c r="L494" s="1" t="s">
        <v>30</v>
      </c>
      <c r="M494" s="8">
        <v>0</v>
      </c>
      <c r="N494" s="6"/>
      <c r="O494" s="6"/>
      <c r="P494" s="9">
        <v>585.71</v>
      </c>
    </row>
    <row r="495" spans="1:16" ht="19.5" customHeight="1">
      <c r="A495" s="1" t="s">
        <v>1783</v>
      </c>
      <c r="B495" s="5">
        <v>46012</v>
      </c>
      <c r="C495" s="1" t="s">
        <v>31</v>
      </c>
      <c r="D495" s="1" t="s">
        <v>33</v>
      </c>
      <c r="E495" s="1" t="s">
        <v>25</v>
      </c>
      <c r="F495" s="1" t="s">
        <v>26</v>
      </c>
      <c r="G495" s="1" t="s">
        <v>1229</v>
      </c>
      <c r="H495" s="6">
        <v>1</v>
      </c>
      <c r="I495" s="7">
        <v>1704</v>
      </c>
      <c r="J495" s="5">
        <v>46010</v>
      </c>
      <c r="K495" s="1" t="s">
        <v>957</v>
      </c>
      <c r="L495" s="1" t="s">
        <v>30</v>
      </c>
      <c r="M495" s="8">
        <v>0</v>
      </c>
      <c r="N495" s="6"/>
      <c r="O495" s="6"/>
      <c r="P495" s="9">
        <v>5.86</v>
      </c>
    </row>
    <row r="496" spans="1:16" ht="19.5" customHeight="1">
      <c r="A496" s="1" t="s">
        <v>1783</v>
      </c>
      <c r="B496" s="5">
        <v>46012</v>
      </c>
      <c r="C496" s="1" t="s">
        <v>31</v>
      </c>
      <c r="D496" s="1" t="s">
        <v>34</v>
      </c>
      <c r="E496" s="1" t="s">
        <v>25</v>
      </c>
      <c r="F496" s="1" t="s">
        <v>26</v>
      </c>
      <c r="G496" s="1" t="s">
        <v>1229</v>
      </c>
      <c r="H496" s="6">
        <v>1</v>
      </c>
      <c r="I496" s="7">
        <v>1704</v>
      </c>
      <c r="J496" s="5">
        <v>46010</v>
      </c>
      <c r="K496" s="1" t="s">
        <v>957</v>
      </c>
      <c r="L496" s="1" t="s">
        <v>30</v>
      </c>
      <c r="M496" s="8">
        <v>0</v>
      </c>
      <c r="N496" s="6"/>
      <c r="O496" s="6"/>
      <c r="P496" s="9">
        <v>1112.43</v>
      </c>
    </row>
    <row r="497" spans="1:16" ht="19.5" customHeight="1">
      <c r="A497" s="1" t="s">
        <v>1783</v>
      </c>
      <c r="B497" s="5">
        <v>46012</v>
      </c>
      <c r="C497" s="1" t="s">
        <v>35</v>
      </c>
      <c r="D497" s="1" t="s">
        <v>36</v>
      </c>
      <c r="E497" s="1" t="s">
        <v>25</v>
      </c>
      <c r="F497" s="1" t="s">
        <v>26</v>
      </c>
      <c r="G497" s="1" t="s">
        <v>1229</v>
      </c>
      <c r="H497" s="6">
        <v>1</v>
      </c>
      <c r="I497" s="7">
        <v>1704</v>
      </c>
      <c r="J497" s="5">
        <v>46010</v>
      </c>
      <c r="K497" s="1" t="s">
        <v>957</v>
      </c>
      <c r="L497" s="1" t="s">
        <v>30</v>
      </c>
      <c r="M497" s="8">
        <v>0.43</v>
      </c>
      <c r="N497" s="6"/>
      <c r="O497" s="6"/>
      <c r="P497" s="9">
        <v>-732.72</v>
      </c>
    </row>
    <row r="498" spans="1:16" ht="19.5" customHeight="1">
      <c r="A498" s="1" t="s">
        <v>1783</v>
      </c>
      <c r="B498" s="5">
        <v>46012</v>
      </c>
      <c r="C498" s="1" t="s">
        <v>17</v>
      </c>
      <c r="D498" s="1" t="s">
        <v>37</v>
      </c>
      <c r="E498" s="1" t="s">
        <v>25</v>
      </c>
      <c r="F498" s="1" t="s">
        <v>26</v>
      </c>
      <c r="G498" s="1" t="s">
        <v>1229</v>
      </c>
      <c r="H498" s="6">
        <v>1</v>
      </c>
      <c r="I498" s="7">
        <v>1704</v>
      </c>
      <c r="J498" s="5">
        <v>46010</v>
      </c>
      <c r="K498" s="1" t="s">
        <v>957</v>
      </c>
      <c r="L498" s="1" t="s">
        <v>30</v>
      </c>
      <c r="M498" s="8">
        <v>0.43</v>
      </c>
      <c r="N498" s="6"/>
      <c r="O498" s="6"/>
      <c r="P498" s="9">
        <v>-7.26</v>
      </c>
    </row>
    <row r="499" spans="1:16" ht="19.5" customHeight="1">
      <c r="A499" s="1" t="s">
        <v>1784</v>
      </c>
      <c r="B499" s="5">
        <v>46012</v>
      </c>
      <c r="C499" s="1" t="s">
        <v>28</v>
      </c>
      <c r="D499" s="1" t="s">
        <v>29</v>
      </c>
      <c r="E499" s="1" t="s">
        <v>228</v>
      </c>
      <c r="F499" s="1" t="s">
        <v>393</v>
      </c>
      <c r="G499" s="1" t="s">
        <v>1229</v>
      </c>
      <c r="H499" s="6">
        <v>1</v>
      </c>
      <c r="I499" s="7">
        <v>1335</v>
      </c>
      <c r="J499" s="5">
        <v>46009</v>
      </c>
      <c r="K499" s="1" t="s">
        <v>957</v>
      </c>
      <c r="L499" s="1" t="s">
        <v>30</v>
      </c>
      <c r="M499" s="8">
        <v>0.43</v>
      </c>
      <c r="N499" s="6"/>
      <c r="O499" s="6">
        <v>40</v>
      </c>
      <c r="P499" s="9">
        <v>-104.66</v>
      </c>
    </row>
    <row r="500" spans="1:16" ht="19.5" customHeight="1">
      <c r="A500" s="1" t="s">
        <v>1784</v>
      </c>
      <c r="B500" s="5">
        <v>46012</v>
      </c>
      <c r="C500" s="1" t="s">
        <v>31</v>
      </c>
      <c r="D500" s="1" t="s">
        <v>32</v>
      </c>
      <c r="E500" s="1" t="s">
        <v>228</v>
      </c>
      <c r="F500" s="1" t="s">
        <v>393</v>
      </c>
      <c r="G500" s="1" t="s">
        <v>1229</v>
      </c>
      <c r="H500" s="6">
        <v>1</v>
      </c>
      <c r="I500" s="7">
        <v>1335</v>
      </c>
      <c r="J500" s="5">
        <v>46009</v>
      </c>
      <c r="K500" s="1" t="s">
        <v>957</v>
      </c>
      <c r="L500" s="1" t="s">
        <v>30</v>
      </c>
      <c r="M500" s="8">
        <v>0</v>
      </c>
      <c r="N500" s="6"/>
      <c r="O500" s="6"/>
      <c r="P500" s="9">
        <v>464.96</v>
      </c>
    </row>
    <row r="501" spans="1:16" ht="19.5" customHeight="1">
      <c r="A501" s="1" t="s">
        <v>1784</v>
      </c>
      <c r="B501" s="5">
        <v>46012</v>
      </c>
      <c r="C501" s="1" t="s">
        <v>31</v>
      </c>
      <c r="D501" s="1" t="s">
        <v>33</v>
      </c>
      <c r="E501" s="1" t="s">
        <v>228</v>
      </c>
      <c r="F501" s="1" t="s">
        <v>393</v>
      </c>
      <c r="G501" s="1" t="s">
        <v>1229</v>
      </c>
      <c r="H501" s="6">
        <v>1</v>
      </c>
      <c r="I501" s="7">
        <v>1335</v>
      </c>
      <c r="J501" s="5">
        <v>46009</v>
      </c>
      <c r="K501" s="1" t="s">
        <v>957</v>
      </c>
      <c r="L501" s="1" t="s">
        <v>30</v>
      </c>
      <c r="M501" s="8">
        <v>0</v>
      </c>
      <c r="N501" s="6"/>
      <c r="O501" s="6"/>
      <c r="P501" s="9">
        <v>4.6500000000000004</v>
      </c>
    </row>
    <row r="502" spans="1:16" ht="19.5" customHeight="1">
      <c r="A502" s="1" t="s">
        <v>1784</v>
      </c>
      <c r="B502" s="5">
        <v>46012</v>
      </c>
      <c r="C502" s="1" t="s">
        <v>31</v>
      </c>
      <c r="D502" s="1" t="s">
        <v>34</v>
      </c>
      <c r="E502" s="1" t="s">
        <v>228</v>
      </c>
      <c r="F502" s="1" t="s">
        <v>393</v>
      </c>
      <c r="G502" s="1" t="s">
        <v>1229</v>
      </c>
      <c r="H502" s="6">
        <v>1</v>
      </c>
      <c r="I502" s="7">
        <v>1335</v>
      </c>
      <c r="J502" s="5">
        <v>46009</v>
      </c>
      <c r="K502" s="1" t="s">
        <v>957</v>
      </c>
      <c r="L502" s="1" t="s">
        <v>30</v>
      </c>
      <c r="M502" s="8">
        <v>0</v>
      </c>
      <c r="N502" s="6"/>
      <c r="O502" s="6"/>
      <c r="P502" s="9">
        <v>865.39</v>
      </c>
    </row>
    <row r="503" spans="1:16" ht="19.5" customHeight="1">
      <c r="A503" s="1" t="s">
        <v>1784</v>
      </c>
      <c r="B503" s="5">
        <v>46012</v>
      </c>
      <c r="C503" s="1" t="s">
        <v>35</v>
      </c>
      <c r="D503" s="1" t="s">
        <v>36</v>
      </c>
      <c r="E503" s="1" t="s">
        <v>228</v>
      </c>
      <c r="F503" s="1" t="s">
        <v>393</v>
      </c>
      <c r="G503" s="1" t="s">
        <v>1229</v>
      </c>
      <c r="H503" s="6">
        <v>1</v>
      </c>
      <c r="I503" s="7">
        <v>1335</v>
      </c>
      <c r="J503" s="5">
        <v>46009</v>
      </c>
      <c r="K503" s="1" t="s">
        <v>957</v>
      </c>
      <c r="L503" s="1" t="s">
        <v>30</v>
      </c>
      <c r="M503" s="8">
        <v>0.43</v>
      </c>
      <c r="N503" s="6"/>
      <c r="O503" s="6"/>
      <c r="P503" s="9">
        <v>-574.04999999999995</v>
      </c>
    </row>
    <row r="504" spans="1:16" ht="19.5" customHeight="1">
      <c r="A504" s="1" t="s">
        <v>1784</v>
      </c>
      <c r="B504" s="5">
        <v>46012</v>
      </c>
      <c r="C504" s="1" t="s">
        <v>17</v>
      </c>
      <c r="D504" s="1" t="s">
        <v>37</v>
      </c>
      <c r="E504" s="1" t="s">
        <v>228</v>
      </c>
      <c r="F504" s="1" t="s">
        <v>393</v>
      </c>
      <c r="G504" s="1" t="s">
        <v>1229</v>
      </c>
      <c r="H504" s="6">
        <v>1</v>
      </c>
      <c r="I504" s="7">
        <v>1335</v>
      </c>
      <c r="J504" s="5">
        <v>46009</v>
      </c>
      <c r="K504" s="1" t="s">
        <v>957</v>
      </c>
      <c r="L504" s="1" t="s">
        <v>30</v>
      </c>
      <c r="M504" s="8">
        <v>0.43</v>
      </c>
      <c r="N504" s="6"/>
      <c r="O504" s="6"/>
      <c r="P504" s="9">
        <v>-6.05</v>
      </c>
    </row>
    <row r="505" spans="1:16" ht="19.5" customHeight="1">
      <c r="A505" s="1" t="s">
        <v>1783</v>
      </c>
      <c r="B505" s="5">
        <v>46012</v>
      </c>
      <c r="C505" s="1" t="s">
        <v>17</v>
      </c>
      <c r="D505" s="1" t="s">
        <v>18</v>
      </c>
      <c r="E505" s="1" t="s">
        <v>25</v>
      </c>
      <c r="F505" s="1" t="s">
        <v>26</v>
      </c>
      <c r="G505" s="1" t="s">
        <v>1229</v>
      </c>
      <c r="H505" s="6">
        <v>1</v>
      </c>
      <c r="I505" s="7">
        <v>0</v>
      </c>
      <c r="J505" s="5">
        <v>46010</v>
      </c>
      <c r="K505" s="1" t="s">
        <v>22</v>
      </c>
      <c r="L505" s="1" t="s">
        <v>22</v>
      </c>
      <c r="M505" s="8">
        <v>0</v>
      </c>
      <c r="N505" s="6"/>
      <c r="O505" s="6"/>
      <c r="P505" s="9">
        <v>-11.13</v>
      </c>
    </row>
    <row r="506" spans="1:16" ht="19.5" customHeight="1">
      <c r="A506" s="1" t="s">
        <v>1785</v>
      </c>
      <c r="B506" s="5">
        <v>46012</v>
      </c>
      <c r="C506" s="1" t="s">
        <v>17</v>
      </c>
      <c r="D506" s="1" t="s">
        <v>18</v>
      </c>
      <c r="E506" s="1" t="s">
        <v>25</v>
      </c>
      <c r="F506" s="1" t="s">
        <v>26</v>
      </c>
      <c r="G506" s="1" t="s">
        <v>1229</v>
      </c>
      <c r="H506" s="6">
        <v>1</v>
      </c>
      <c r="I506" s="7">
        <v>0</v>
      </c>
      <c r="J506" s="5">
        <v>46012</v>
      </c>
      <c r="K506" s="1" t="s">
        <v>22</v>
      </c>
      <c r="L506" s="1" t="s">
        <v>22</v>
      </c>
      <c r="M506" s="8">
        <v>0</v>
      </c>
      <c r="N506" s="6"/>
      <c r="O506" s="6"/>
      <c r="P506" s="9">
        <v>-11.13</v>
      </c>
    </row>
    <row r="507" spans="1:16" ht="19.5" customHeight="1">
      <c r="A507" s="1" t="s">
        <v>1786</v>
      </c>
      <c r="B507" s="5">
        <v>46012</v>
      </c>
      <c r="C507" s="1" t="s">
        <v>28</v>
      </c>
      <c r="D507" s="1" t="s">
        <v>29</v>
      </c>
      <c r="E507" s="1" t="s">
        <v>25</v>
      </c>
      <c r="F507" s="1" t="s">
        <v>26</v>
      </c>
      <c r="G507" s="1" t="s">
        <v>1229</v>
      </c>
      <c r="H507" s="6">
        <v>1</v>
      </c>
      <c r="I507" s="7">
        <v>0</v>
      </c>
      <c r="J507" s="5">
        <v>46008</v>
      </c>
      <c r="K507" s="1" t="s">
        <v>957</v>
      </c>
      <c r="L507" s="1" t="s">
        <v>30</v>
      </c>
      <c r="M507" s="8">
        <v>0</v>
      </c>
      <c r="N507" s="6"/>
      <c r="O507" s="6">
        <v>41</v>
      </c>
      <c r="P507" s="9">
        <v>-46.77</v>
      </c>
    </row>
    <row r="508" spans="1:16" ht="19.5" customHeight="1">
      <c r="A508" s="1" t="s">
        <v>1786</v>
      </c>
      <c r="B508" s="5">
        <v>46012</v>
      </c>
      <c r="C508" s="1" t="s">
        <v>17</v>
      </c>
      <c r="D508" s="1" t="s">
        <v>37</v>
      </c>
      <c r="E508" s="1" t="s">
        <v>25</v>
      </c>
      <c r="F508" s="1" t="s">
        <v>26</v>
      </c>
      <c r="G508" s="1" t="s">
        <v>1229</v>
      </c>
      <c r="H508" s="6">
        <v>1</v>
      </c>
      <c r="I508" s="7">
        <v>0</v>
      </c>
      <c r="J508" s="5">
        <v>46008</v>
      </c>
      <c r="K508" s="1" t="s">
        <v>957</v>
      </c>
      <c r="L508" s="1" t="s">
        <v>30</v>
      </c>
      <c r="M508" s="8">
        <v>0</v>
      </c>
      <c r="N508" s="6"/>
      <c r="O508" s="6"/>
      <c r="P508" s="9">
        <v>-6.36</v>
      </c>
    </row>
    <row r="509" spans="1:16" ht="19.5" customHeight="1">
      <c r="A509" s="1" t="s">
        <v>1786</v>
      </c>
      <c r="B509" s="5">
        <v>46012</v>
      </c>
      <c r="C509" s="1" t="s">
        <v>28</v>
      </c>
      <c r="D509" s="1" t="s">
        <v>45</v>
      </c>
      <c r="E509" s="1" t="s">
        <v>25</v>
      </c>
      <c r="F509" s="1" t="s">
        <v>26</v>
      </c>
      <c r="G509" s="1" t="s">
        <v>1229</v>
      </c>
      <c r="H509" s="6">
        <v>1</v>
      </c>
      <c r="I509" s="7">
        <v>0</v>
      </c>
      <c r="J509" s="5">
        <v>46008</v>
      </c>
      <c r="K509" s="1" t="s">
        <v>957</v>
      </c>
      <c r="L509" s="1" t="s">
        <v>30</v>
      </c>
      <c r="M509" s="8">
        <v>0</v>
      </c>
      <c r="N509" s="6"/>
      <c r="O509" s="6"/>
      <c r="P509" s="9">
        <v>0</v>
      </c>
    </row>
    <row r="510" spans="1:16" ht="19.5" customHeight="1">
      <c r="A510" s="1" t="s">
        <v>1786</v>
      </c>
      <c r="B510" s="5">
        <v>46012</v>
      </c>
      <c r="C510" s="1" t="s">
        <v>28</v>
      </c>
      <c r="D510" s="1" t="s">
        <v>46</v>
      </c>
      <c r="E510" s="1" t="s">
        <v>25</v>
      </c>
      <c r="F510" s="1" t="s">
        <v>26</v>
      </c>
      <c r="G510" s="1" t="s">
        <v>1229</v>
      </c>
      <c r="H510" s="6">
        <v>1</v>
      </c>
      <c r="I510" s="7">
        <v>0</v>
      </c>
      <c r="J510" s="5">
        <v>46008</v>
      </c>
      <c r="K510" s="1" t="s">
        <v>957</v>
      </c>
      <c r="L510" s="1" t="s">
        <v>30</v>
      </c>
      <c r="M510" s="8">
        <v>0</v>
      </c>
      <c r="N510" s="6"/>
      <c r="O510" s="6"/>
      <c r="P510" s="9">
        <v>-46.77</v>
      </c>
    </row>
    <row r="511" spans="1:16" ht="19.5" customHeight="1">
      <c r="A511" s="1" t="s">
        <v>1786</v>
      </c>
      <c r="B511" s="5">
        <v>46012</v>
      </c>
      <c r="C511" s="1" t="s">
        <v>17</v>
      </c>
      <c r="D511" s="1" t="s">
        <v>47</v>
      </c>
      <c r="E511" s="1" t="s">
        <v>25</v>
      </c>
      <c r="F511" s="1" t="s">
        <v>26</v>
      </c>
      <c r="G511" s="1" t="s">
        <v>1229</v>
      </c>
      <c r="H511" s="6">
        <v>1</v>
      </c>
      <c r="I511" s="7">
        <v>0</v>
      </c>
      <c r="J511" s="5">
        <v>46008</v>
      </c>
      <c r="K511" s="1" t="s">
        <v>957</v>
      </c>
      <c r="L511" s="1" t="s">
        <v>30</v>
      </c>
      <c r="M511" s="8">
        <v>0</v>
      </c>
      <c r="N511" s="6"/>
      <c r="O511" s="6"/>
      <c r="P511" s="9">
        <v>-15</v>
      </c>
    </row>
    <row r="512" spans="1:16" ht="19.5" customHeight="1">
      <c r="A512" s="1" t="s">
        <v>1787</v>
      </c>
      <c r="B512" s="5">
        <v>46012</v>
      </c>
      <c r="C512" s="1" t="s">
        <v>28</v>
      </c>
      <c r="D512" s="1" t="s">
        <v>29</v>
      </c>
      <c r="E512" s="1" t="s">
        <v>25</v>
      </c>
      <c r="F512" s="1" t="s">
        <v>26</v>
      </c>
      <c r="G512" s="1" t="s">
        <v>1229</v>
      </c>
      <c r="H512" s="6">
        <v>1</v>
      </c>
      <c r="I512" s="7">
        <v>1738</v>
      </c>
      <c r="J512" s="5">
        <v>46007</v>
      </c>
      <c r="K512" s="1" t="s">
        <v>957</v>
      </c>
      <c r="L512" s="1" t="s">
        <v>30</v>
      </c>
      <c r="M512" s="8">
        <v>0.43</v>
      </c>
      <c r="N512" s="6"/>
      <c r="O512" s="6">
        <v>37</v>
      </c>
      <c r="P512" s="9">
        <v>-99.16</v>
      </c>
    </row>
    <row r="513" spans="1:16" ht="19.5" customHeight="1">
      <c r="A513" s="1" t="s">
        <v>1787</v>
      </c>
      <c r="B513" s="5">
        <v>46012</v>
      </c>
      <c r="C513" s="1" t="s">
        <v>31</v>
      </c>
      <c r="D513" s="1" t="s">
        <v>32</v>
      </c>
      <c r="E513" s="1" t="s">
        <v>25</v>
      </c>
      <c r="F513" s="1" t="s">
        <v>26</v>
      </c>
      <c r="G513" s="1" t="s">
        <v>1229</v>
      </c>
      <c r="H513" s="6">
        <v>1</v>
      </c>
      <c r="I513" s="7">
        <v>1738</v>
      </c>
      <c r="J513" s="5">
        <v>46007</v>
      </c>
      <c r="K513" s="1" t="s">
        <v>957</v>
      </c>
      <c r="L513" s="1" t="s">
        <v>30</v>
      </c>
      <c r="M513" s="8">
        <v>0</v>
      </c>
      <c r="N513" s="6"/>
      <c r="O513" s="6"/>
      <c r="P513" s="9">
        <v>678.71</v>
      </c>
    </row>
    <row r="514" spans="1:16" ht="19.5" customHeight="1">
      <c r="A514" s="1" t="s">
        <v>1787</v>
      </c>
      <c r="B514" s="5">
        <v>46012</v>
      </c>
      <c r="C514" s="1" t="s">
        <v>31</v>
      </c>
      <c r="D514" s="1" t="s">
        <v>33</v>
      </c>
      <c r="E514" s="1" t="s">
        <v>25</v>
      </c>
      <c r="F514" s="1" t="s">
        <v>26</v>
      </c>
      <c r="G514" s="1" t="s">
        <v>1229</v>
      </c>
      <c r="H514" s="6">
        <v>1</v>
      </c>
      <c r="I514" s="7">
        <v>1738</v>
      </c>
      <c r="J514" s="5">
        <v>46007</v>
      </c>
      <c r="K514" s="1" t="s">
        <v>957</v>
      </c>
      <c r="L514" s="1" t="s">
        <v>30</v>
      </c>
      <c r="M514" s="8">
        <v>0</v>
      </c>
      <c r="N514" s="6"/>
      <c r="O514" s="6"/>
      <c r="P514" s="9">
        <v>6.79</v>
      </c>
    </row>
    <row r="515" spans="1:16" ht="19.5" customHeight="1">
      <c r="A515" s="1" t="s">
        <v>1787</v>
      </c>
      <c r="B515" s="5">
        <v>46012</v>
      </c>
      <c r="C515" s="1" t="s">
        <v>31</v>
      </c>
      <c r="D515" s="1" t="s">
        <v>34</v>
      </c>
      <c r="E515" s="1" t="s">
        <v>25</v>
      </c>
      <c r="F515" s="1" t="s">
        <v>26</v>
      </c>
      <c r="G515" s="1" t="s">
        <v>1229</v>
      </c>
      <c r="H515" s="6">
        <v>1</v>
      </c>
      <c r="I515" s="7">
        <v>1738</v>
      </c>
      <c r="J515" s="5">
        <v>46007</v>
      </c>
      <c r="K515" s="1" t="s">
        <v>957</v>
      </c>
      <c r="L515" s="1" t="s">
        <v>30</v>
      </c>
      <c r="M515" s="8">
        <v>0</v>
      </c>
      <c r="N515" s="6"/>
      <c r="O515" s="6"/>
      <c r="P515" s="9">
        <v>1052.5</v>
      </c>
    </row>
    <row r="516" spans="1:16" ht="19.5" customHeight="1">
      <c r="A516" s="1" t="s">
        <v>1787</v>
      </c>
      <c r="B516" s="5">
        <v>46012</v>
      </c>
      <c r="C516" s="1" t="s">
        <v>35</v>
      </c>
      <c r="D516" s="1" t="s">
        <v>36</v>
      </c>
      <c r="E516" s="1" t="s">
        <v>25</v>
      </c>
      <c r="F516" s="1" t="s">
        <v>26</v>
      </c>
      <c r="G516" s="1" t="s">
        <v>1229</v>
      </c>
      <c r="H516" s="6">
        <v>1</v>
      </c>
      <c r="I516" s="7">
        <v>1738</v>
      </c>
      <c r="J516" s="5">
        <v>46007</v>
      </c>
      <c r="K516" s="1" t="s">
        <v>957</v>
      </c>
      <c r="L516" s="1" t="s">
        <v>30</v>
      </c>
      <c r="M516" s="8">
        <v>0.43</v>
      </c>
      <c r="N516" s="6"/>
      <c r="O516" s="6"/>
      <c r="P516" s="9">
        <v>-747.34</v>
      </c>
    </row>
    <row r="517" spans="1:16" ht="19.5" customHeight="1">
      <c r="A517" s="1" t="s">
        <v>1787</v>
      </c>
      <c r="B517" s="5">
        <v>46012</v>
      </c>
      <c r="C517" s="1" t="s">
        <v>17</v>
      </c>
      <c r="D517" s="1" t="s">
        <v>37</v>
      </c>
      <c r="E517" s="1" t="s">
        <v>25</v>
      </c>
      <c r="F517" s="1" t="s">
        <v>26</v>
      </c>
      <c r="G517" s="1" t="s">
        <v>1229</v>
      </c>
      <c r="H517" s="6">
        <v>1</v>
      </c>
      <c r="I517" s="7">
        <v>1738</v>
      </c>
      <c r="J517" s="5">
        <v>46007</v>
      </c>
      <c r="K517" s="1" t="s">
        <v>957</v>
      </c>
      <c r="L517" s="1" t="s">
        <v>30</v>
      </c>
      <c r="M517" s="8">
        <v>0.43</v>
      </c>
      <c r="N517" s="6"/>
      <c r="O517" s="6"/>
      <c r="P517" s="9">
        <v>-12.97</v>
      </c>
    </row>
    <row r="518" spans="1:16" ht="19.5" customHeight="1">
      <c r="A518" s="1" t="s">
        <v>1788</v>
      </c>
      <c r="B518" s="5">
        <v>46012</v>
      </c>
      <c r="C518" s="1" t="s">
        <v>17</v>
      </c>
      <c r="D518" s="1" t="s">
        <v>18</v>
      </c>
      <c r="E518" s="1" t="s">
        <v>25</v>
      </c>
      <c r="F518" s="1" t="s">
        <v>26</v>
      </c>
      <c r="G518" s="1" t="s">
        <v>1229</v>
      </c>
      <c r="H518" s="6">
        <v>1</v>
      </c>
      <c r="I518" s="7">
        <v>0</v>
      </c>
      <c r="J518" s="5">
        <v>46012</v>
      </c>
      <c r="K518" s="1" t="s">
        <v>22</v>
      </c>
      <c r="L518" s="1" t="s">
        <v>22</v>
      </c>
      <c r="M518" s="8">
        <v>0</v>
      </c>
      <c r="N518" s="6"/>
      <c r="O518" s="6"/>
      <c r="P518" s="9">
        <v>-11.13</v>
      </c>
    </row>
    <row r="519" spans="1:16" ht="19.5" customHeight="1">
      <c r="A519" s="1" t="s">
        <v>1787</v>
      </c>
      <c r="B519" s="5">
        <v>46012</v>
      </c>
      <c r="C519" s="1" t="s">
        <v>17</v>
      </c>
      <c r="D519" s="1" t="s">
        <v>18</v>
      </c>
      <c r="E519" s="1" t="s">
        <v>25</v>
      </c>
      <c r="F519" s="1" t="s">
        <v>26</v>
      </c>
      <c r="G519" s="1" t="s">
        <v>1229</v>
      </c>
      <c r="H519" s="6">
        <v>1</v>
      </c>
      <c r="I519" s="7">
        <v>0</v>
      </c>
      <c r="J519" s="5">
        <v>46007</v>
      </c>
      <c r="K519" s="1" t="s">
        <v>22</v>
      </c>
      <c r="L519" s="1" t="s">
        <v>22</v>
      </c>
      <c r="M519" s="8">
        <v>0</v>
      </c>
      <c r="N519" s="6"/>
      <c r="O519" s="6"/>
      <c r="P519" s="9">
        <v>-12.9</v>
      </c>
    </row>
    <row r="520" spans="1:16" ht="19.5" customHeight="1">
      <c r="A520" s="1" t="s">
        <v>1789</v>
      </c>
      <c r="B520" s="5">
        <v>46012</v>
      </c>
      <c r="C520" s="1" t="s">
        <v>28</v>
      </c>
      <c r="D520" s="1" t="s">
        <v>29</v>
      </c>
      <c r="E520" s="1" t="s">
        <v>25</v>
      </c>
      <c r="F520" s="1" t="s">
        <v>26</v>
      </c>
      <c r="G520" s="1" t="s">
        <v>1229</v>
      </c>
      <c r="H520" s="6">
        <v>1</v>
      </c>
      <c r="I520" s="7">
        <v>0</v>
      </c>
      <c r="J520" s="5">
        <v>45993</v>
      </c>
      <c r="K520" s="1" t="s">
        <v>957</v>
      </c>
      <c r="L520" s="1" t="s">
        <v>30</v>
      </c>
      <c r="M520" s="8">
        <v>0</v>
      </c>
      <c r="N520" s="6"/>
      <c r="O520" s="6">
        <v>41</v>
      </c>
      <c r="P520" s="9">
        <v>-46</v>
      </c>
    </row>
    <row r="521" spans="1:16" ht="19.5" customHeight="1">
      <c r="A521" s="1" t="s">
        <v>1789</v>
      </c>
      <c r="B521" s="5">
        <v>46012</v>
      </c>
      <c r="C521" s="1" t="s">
        <v>17</v>
      </c>
      <c r="D521" s="1" t="s">
        <v>37</v>
      </c>
      <c r="E521" s="1" t="s">
        <v>25</v>
      </c>
      <c r="F521" s="1" t="s">
        <v>26</v>
      </c>
      <c r="G521" s="1" t="s">
        <v>1229</v>
      </c>
      <c r="H521" s="6">
        <v>1</v>
      </c>
      <c r="I521" s="7">
        <v>0</v>
      </c>
      <c r="J521" s="5">
        <v>45993</v>
      </c>
      <c r="K521" s="1" t="s">
        <v>957</v>
      </c>
      <c r="L521" s="1" t="s">
        <v>30</v>
      </c>
      <c r="M521" s="8">
        <v>0</v>
      </c>
      <c r="N521" s="6"/>
      <c r="O521" s="6"/>
      <c r="P521" s="9">
        <v>-9.61</v>
      </c>
    </row>
    <row r="522" spans="1:16" ht="19.5" customHeight="1">
      <c r="A522" s="1" t="s">
        <v>1789</v>
      </c>
      <c r="B522" s="5">
        <v>46012</v>
      </c>
      <c r="C522" s="1" t="s">
        <v>28</v>
      </c>
      <c r="D522" s="1" t="s">
        <v>45</v>
      </c>
      <c r="E522" s="1" t="s">
        <v>25</v>
      </c>
      <c r="F522" s="1" t="s">
        <v>26</v>
      </c>
      <c r="G522" s="1" t="s">
        <v>1229</v>
      </c>
      <c r="H522" s="6">
        <v>1</v>
      </c>
      <c r="I522" s="7">
        <v>0</v>
      </c>
      <c r="J522" s="5">
        <v>45993</v>
      </c>
      <c r="K522" s="1" t="s">
        <v>957</v>
      </c>
      <c r="L522" s="1" t="s">
        <v>30</v>
      </c>
      <c r="M522" s="8">
        <v>0</v>
      </c>
      <c r="N522" s="6"/>
      <c r="O522" s="6"/>
      <c r="P522" s="9">
        <v>0</v>
      </c>
    </row>
    <row r="523" spans="1:16" ht="19.5" customHeight="1">
      <c r="A523" s="1" t="s">
        <v>1789</v>
      </c>
      <c r="B523" s="5">
        <v>46012</v>
      </c>
      <c r="C523" s="1" t="s">
        <v>28</v>
      </c>
      <c r="D523" s="1" t="s">
        <v>46</v>
      </c>
      <c r="E523" s="1" t="s">
        <v>25</v>
      </c>
      <c r="F523" s="1" t="s">
        <v>26</v>
      </c>
      <c r="G523" s="1" t="s">
        <v>1229</v>
      </c>
      <c r="H523" s="6">
        <v>1</v>
      </c>
      <c r="I523" s="7">
        <v>0</v>
      </c>
      <c r="J523" s="5">
        <v>45993</v>
      </c>
      <c r="K523" s="1" t="s">
        <v>957</v>
      </c>
      <c r="L523" s="1" t="s">
        <v>30</v>
      </c>
      <c r="M523" s="8">
        <v>0</v>
      </c>
      <c r="N523" s="6"/>
      <c r="O523" s="6"/>
      <c r="P523" s="9">
        <v>-46</v>
      </c>
    </row>
    <row r="524" spans="1:16" ht="19.5" customHeight="1">
      <c r="A524" s="1" t="s">
        <v>1789</v>
      </c>
      <c r="B524" s="5">
        <v>46012</v>
      </c>
      <c r="C524" s="1" t="s">
        <v>17</v>
      </c>
      <c r="D524" s="1" t="s">
        <v>47</v>
      </c>
      <c r="E524" s="1" t="s">
        <v>25</v>
      </c>
      <c r="F524" s="1" t="s">
        <v>26</v>
      </c>
      <c r="G524" s="1" t="s">
        <v>1229</v>
      </c>
      <c r="H524" s="6">
        <v>1</v>
      </c>
      <c r="I524" s="7">
        <v>0</v>
      </c>
      <c r="J524" s="5">
        <v>45993</v>
      </c>
      <c r="K524" s="1" t="s">
        <v>957</v>
      </c>
      <c r="L524" s="1" t="s">
        <v>30</v>
      </c>
      <c r="M524" s="8">
        <v>0</v>
      </c>
      <c r="N524" s="6"/>
      <c r="O524" s="6"/>
      <c r="P524" s="9">
        <v>-15</v>
      </c>
    </row>
    <row r="525" spans="1:16" ht="19.5" customHeight="1">
      <c r="A525" s="1" t="s">
        <v>22</v>
      </c>
      <c r="B525" s="5">
        <v>46012</v>
      </c>
      <c r="C525" s="1" t="s">
        <v>77</v>
      </c>
      <c r="D525" s="1" t="s">
        <v>78</v>
      </c>
      <c r="E525" s="1" t="s">
        <v>22</v>
      </c>
      <c r="F525" s="1" t="s">
        <v>22</v>
      </c>
      <c r="G525" s="1" t="s">
        <v>1790</v>
      </c>
      <c r="H525" s="6">
        <v>0</v>
      </c>
      <c r="I525" s="7">
        <v>0</v>
      </c>
      <c r="J525" s="5">
        <v>46012</v>
      </c>
      <c r="K525" s="1" t="s">
        <v>22</v>
      </c>
      <c r="L525" s="1" t="s">
        <v>22</v>
      </c>
      <c r="M525" s="8">
        <v>0</v>
      </c>
      <c r="N525" s="6"/>
      <c r="O525" s="6"/>
      <c r="P525" s="9">
        <v>-450</v>
      </c>
    </row>
    <row r="526" spans="1:16" ht="19.5" customHeight="1">
      <c r="A526" s="1" t="s">
        <v>1791</v>
      </c>
      <c r="B526" s="5">
        <v>46012</v>
      </c>
      <c r="C526" s="1" t="s">
        <v>28</v>
      </c>
      <c r="D526" s="1" t="s">
        <v>29</v>
      </c>
      <c r="E526" s="1" t="s">
        <v>25</v>
      </c>
      <c r="F526" s="1" t="s">
        <v>26</v>
      </c>
      <c r="G526" s="1" t="s">
        <v>1229</v>
      </c>
      <c r="H526" s="6">
        <v>1</v>
      </c>
      <c r="I526" s="7">
        <v>0</v>
      </c>
      <c r="J526" s="5">
        <v>46004</v>
      </c>
      <c r="K526" s="1" t="s">
        <v>957</v>
      </c>
      <c r="L526" s="1" t="s">
        <v>30</v>
      </c>
      <c r="M526" s="8">
        <v>0</v>
      </c>
      <c r="N526" s="6"/>
      <c r="O526" s="6">
        <v>41</v>
      </c>
      <c r="P526" s="9">
        <v>-46.77</v>
      </c>
    </row>
    <row r="527" spans="1:16" ht="19.5" customHeight="1">
      <c r="A527" s="1" t="s">
        <v>1791</v>
      </c>
      <c r="B527" s="5">
        <v>46012</v>
      </c>
      <c r="C527" s="1" t="s">
        <v>17</v>
      </c>
      <c r="D527" s="1" t="s">
        <v>37</v>
      </c>
      <c r="E527" s="1" t="s">
        <v>25</v>
      </c>
      <c r="F527" s="1" t="s">
        <v>26</v>
      </c>
      <c r="G527" s="1" t="s">
        <v>1229</v>
      </c>
      <c r="H527" s="6">
        <v>1</v>
      </c>
      <c r="I527" s="7">
        <v>0</v>
      </c>
      <c r="J527" s="5">
        <v>46004</v>
      </c>
      <c r="K527" s="1" t="s">
        <v>957</v>
      </c>
      <c r="L527" s="1" t="s">
        <v>30</v>
      </c>
      <c r="M527" s="8">
        <v>0</v>
      </c>
      <c r="N527" s="6"/>
      <c r="O527" s="6"/>
      <c r="P527" s="9">
        <v>-5.4</v>
      </c>
    </row>
    <row r="528" spans="1:16" ht="19.5" customHeight="1">
      <c r="A528" s="1" t="s">
        <v>1791</v>
      </c>
      <c r="B528" s="5">
        <v>46012</v>
      </c>
      <c r="C528" s="1" t="s">
        <v>28</v>
      </c>
      <c r="D528" s="1" t="s">
        <v>45</v>
      </c>
      <c r="E528" s="1" t="s">
        <v>25</v>
      </c>
      <c r="F528" s="1" t="s">
        <v>26</v>
      </c>
      <c r="G528" s="1" t="s">
        <v>1229</v>
      </c>
      <c r="H528" s="6">
        <v>1</v>
      </c>
      <c r="I528" s="7">
        <v>0</v>
      </c>
      <c r="J528" s="5">
        <v>46004</v>
      </c>
      <c r="K528" s="1" t="s">
        <v>957</v>
      </c>
      <c r="L528" s="1" t="s">
        <v>30</v>
      </c>
      <c r="M528" s="8">
        <v>0</v>
      </c>
      <c r="N528" s="6"/>
      <c r="O528" s="6"/>
      <c r="P528" s="9">
        <v>0</v>
      </c>
    </row>
    <row r="529" spans="1:16" ht="19.5" customHeight="1">
      <c r="A529" s="1" t="s">
        <v>1791</v>
      </c>
      <c r="B529" s="5">
        <v>46012</v>
      </c>
      <c r="C529" s="1" t="s">
        <v>28</v>
      </c>
      <c r="D529" s="1" t="s">
        <v>46</v>
      </c>
      <c r="E529" s="1" t="s">
        <v>25</v>
      </c>
      <c r="F529" s="1" t="s">
        <v>26</v>
      </c>
      <c r="G529" s="1" t="s">
        <v>1229</v>
      </c>
      <c r="H529" s="6">
        <v>1</v>
      </c>
      <c r="I529" s="7">
        <v>0</v>
      </c>
      <c r="J529" s="5">
        <v>46004</v>
      </c>
      <c r="K529" s="1" t="s">
        <v>957</v>
      </c>
      <c r="L529" s="1" t="s">
        <v>30</v>
      </c>
      <c r="M529" s="8">
        <v>0</v>
      </c>
      <c r="N529" s="6"/>
      <c r="O529" s="6"/>
      <c r="P529" s="9">
        <v>-46.77</v>
      </c>
    </row>
    <row r="530" spans="1:16" ht="19.5" customHeight="1">
      <c r="A530" s="1" t="s">
        <v>1791</v>
      </c>
      <c r="B530" s="5">
        <v>46012</v>
      </c>
      <c r="C530" s="1" t="s">
        <v>17</v>
      </c>
      <c r="D530" s="1" t="s">
        <v>47</v>
      </c>
      <c r="E530" s="1" t="s">
        <v>25</v>
      </c>
      <c r="F530" s="1" t="s">
        <v>26</v>
      </c>
      <c r="G530" s="1" t="s">
        <v>1229</v>
      </c>
      <c r="H530" s="6">
        <v>1</v>
      </c>
      <c r="I530" s="7">
        <v>0</v>
      </c>
      <c r="J530" s="5">
        <v>46004</v>
      </c>
      <c r="K530" s="1" t="s">
        <v>957</v>
      </c>
      <c r="L530" s="1" t="s">
        <v>30</v>
      </c>
      <c r="M530" s="8">
        <v>0</v>
      </c>
      <c r="N530" s="6"/>
      <c r="O530" s="6"/>
      <c r="P530" s="9">
        <v>-15</v>
      </c>
    </row>
    <row r="531" spans="1:16" ht="19.5" customHeight="1">
      <c r="A531" s="1" t="s">
        <v>1376</v>
      </c>
      <c r="B531" s="5">
        <v>46012</v>
      </c>
      <c r="C531" s="1" t="s">
        <v>77</v>
      </c>
      <c r="D531" s="1" t="s">
        <v>82</v>
      </c>
      <c r="E531" s="1" t="s">
        <v>22</v>
      </c>
      <c r="F531" s="1" t="s">
        <v>22</v>
      </c>
      <c r="G531" s="1" t="s">
        <v>22</v>
      </c>
      <c r="H531" s="6">
        <v>0</v>
      </c>
      <c r="I531" s="7">
        <v>0</v>
      </c>
      <c r="J531" s="5">
        <v>46012</v>
      </c>
      <c r="K531" s="1" t="s">
        <v>22</v>
      </c>
      <c r="L531" s="1" t="s">
        <v>22</v>
      </c>
      <c r="M531" s="8">
        <v>0</v>
      </c>
      <c r="N531" s="6"/>
      <c r="O531" s="6"/>
      <c r="P531" s="9">
        <v>-939.48</v>
      </c>
    </row>
    <row r="532" spans="1:16" ht="19.5" customHeight="1">
      <c r="A532" s="1" t="s">
        <v>1075</v>
      </c>
      <c r="B532" s="5">
        <v>46012</v>
      </c>
      <c r="C532" s="1" t="s">
        <v>77</v>
      </c>
      <c r="D532" s="1" t="s">
        <v>82</v>
      </c>
      <c r="E532" s="1" t="s">
        <v>22</v>
      </c>
      <c r="F532" s="1" t="s">
        <v>22</v>
      </c>
      <c r="G532" s="1" t="s">
        <v>22</v>
      </c>
      <c r="H532" s="6">
        <v>0</v>
      </c>
      <c r="I532" s="7">
        <v>0</v>
      </c>
      <c r="J532" s="5">
        <v>46012</v>
      </c>
      <c r="K532" s="1" t="s">
        <v>22</v>
      </c>
      <c r="L532" s="1" t="s">
        <v>22</v>
      </c>
      <c r="M532" s="8">
        <v>0</v>
      </c>
      <c r="N532" s="6"/>
      <c r="O532" s="6"/>
      <c r="P532" s="9">
        <v>-660.58</v>
      </c>
    </row>
    <row r="533" spans="1:16" ht="19.5" customHeight="1">
      <c r="A533" s="1" t="s">
        <v>83</v>
      </c>
      <c r="B533" s="5">
        <v>46012</v>
      </c>
      <c r="C533" s="1" t="s">
        <v>77</v>
      </c>
      <c r="D533" s="1" t="s">
        <v>84</v>
      </c>
      <c r="E533" s="1" t="s">
        <v>22</v>
      </c>
      <c r="F533" s="1" t="s">
        <v>22</v>
      </c>
      <c r="G533" s="1" t="s">
        <v>22</v>
      </c>
      <c r="H533" s="6">
        <v>0</v>
      </c>
      <c r="I533" s="7">
        <v>0</v>
      </c>
      <c r="J533" s="5">
        <v>46012</v>
      </c>
      <c r="K533" s="1" t="s">
        <v>22</v>
      </c>
      <c r="L533" s="1" t="s">
        <v>22</v>
      </c>
      <c r="M533" s="8">
        <v>0</v>
      </c>
      <c r="N533" s="6"/>
      <c r="O533" s="6"/>
      <c r="P533" s="9">
        <v>-1799.39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C173-FDE9-4066-9734-689FAEF458B3}">
  <dimension ref="A1:P475"/>
  <sheetViews>
    <sheetView zoomScale="80" zoomScaleNormal="80" workbookViewId="0">
      <selection activeCell="D7" sqref="D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1560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1561</v>
      </c>
      <c r="B3" s="5">
        <v>45999</v>
      </c>
      <c r="C3" s="1" t="s">
        <v>28</v>
      </c>
      <c r="D3" s="1" t="s">
        <v>29</v>
      </c>
      <c r="E3" s="1" t="s">
        <v>25</v>
      </c>
      <c r="F3" s="1" t="s">
        <v>26</v>
      </c>
      <c r="G3" s="1" t="s">
        <v>1229</v>
      </c>
      <c r="H3" s="6">
        <v>1</v>
      </c>
      <c r="I3" s="7">
        <v>0</v>
      </c>
      <c r="J3" s="5">
        <v>45991</v>
      </c>
      <c r="K3" s="1" t="s">
        <v>957</v>
      </c>
      <c r="L3" s="1" t="s">
        <v>30</v>
      </c>
      <c r="M3" s="8">
        <v>0</v>
      </c>
      <c r="N3" s="6"/>
      <c r="O3" s="6">
        <v>48</v>
      </c>
      <c r="P3" s="9">
        <v>-46</v>
      </c>
    </row>
    <row r="4" spans="1:16" ht="19.5" customHeight="1">
      <c r="A4" s="1" t="s">
        <v>1561</v>
      </c>
      <c r="B4" s="5">
        <v>45999</v>
      </c>
      <c r="C4" s="1" t="s">
        <v>17</v>
      </c>
      <c r="D4" s="1" t="s">
        <v>37</v>
      </c>
      <c r="E4" s="1" t="s">
        <v>25</v>
      </c>
      <c r="F4" s="1" t="s">
        <v>26</v>
      </c>
      <c r="G4" s="1" t="s">
        <v>1229</v>
      </c>
      <c r="H4" s="6">
        <v>1</v>
      </c>
      <c r="I4" s="7">
        <v>0</v>
      </c>
      <c r="J4" s="5">
        <v>45991</v>
      </c>
      <c r="K4" s="1" t="s">
        <v>957</v>
      </c>
      <c r="L4" s="1" t="s">
        <v>30</v>
      </c>
      <c r="M4" s="8">
        <v>0</v>
      </c>
      <c r="N4" s="6"/>
      <c r="O4" s="6"/>
      <c r="P4" s="9">
        <v>-8.42</v>
      </c>
    </row>
    <row r="5" spans="1:16" ht="19.5" customHeight="1">
      <c r="A5" s="1" t="s">
        <v>1561</v>
      </c>
      <c r="B5" s="5">
        <v>45999</v>
      </c>
      <c r="C5" s="1" t="s">
        <v>28</v>
      </c>
      <c r="D5" s="1" t="s">
        <v>45</v>
      </c>
      <c r="E5" s="1" t="s">
        <v>25</v>
      </c>
      <c r="F5" s="1" t="s">
        <v>26</v>
      </c>
      <c r="G5" s="1" t="s">
        <v>1229</v>
      </c>
      <c r="H5" s="6">
        <v>1</v>
      </c>
      <c r="I5" s="7">
        <v>0</v>
      </c>
      <c r="J5" s="5">
        <v>45991</v>
      </c>
      <c r="K5" s="1" t="s">
        <v>957</v>
      </c>
      <c r="L5" s="1" t="s">
        <v>30</v>
      </c>
      <c r="M5" s="8">
        <v>0</v>
      </c>
      <c r="N5" s="6"/>
      <c r="O5" s="6"/>
      <c r="P5" s="9">
        <v>0</v>
      </c>
    </row>
    <row r="6" spans="1:16" ht="19.5" customHeight="1">
      <c r="A6" s="1" t="s">
        <v>1561</v>
      </c>
      <c r="B6" s="5">
        <v>45999</v>
      </c>
      <c r="C6" s="1" t="s">
        <v>28</v>
      </c>
      <c r="D6" s="1" t="s">
        <v>46</v>
      </c>
      <c r="E6" s="1" t="s">
        <v>25</v>
      </c>
      <c r="F6" s="1" t="s">
        <v>26</v>
      </c>
      <c r="G6" s="1" t="s">
        <v>1229</v>
      </c>
      <c r="H6" s="6">
        <v>1</v>
      </c>
      <c r="I6" s="7">
        <v>0</v>
      </c>
      <c r="J6" s="5">
        <v>45991</v>
      </c>
      <c r="K6" s="1" t="s">
        <v>957</v>
      </c>
      <c r="L6" s="1" t="s">
        <v>30</v>
      </c>
      <c r="M6" s="8">
        <v>0</v>
      </c>
      <c r="N6" s="6"/>
      <c r="O6" s="6"/>
      <c r="P6" s="9">
        <v>-46</v>
      </c>
    </row>
    <row r="7" spans="1:16" ht="19.5" customHeight="1">
      <c r="A7" s="1" t="s">
        <v>1561</v>
      </c>
      <c r="B7" s="5">
        <v>45999</v>
      </c>
      <c r="C7" s="1" t="s">
        <v>17</v>
      </c>
      <c r="D7" s="1" t="s">
        <v>47</v>
      </c>
      <c r="E7" s="1" t="s">
        <v>25</v>
      </c>
      <c r="F7" s="1" t="s">
        <v>26</v>
      </c>
      <c r="G7" s="1" t="s">
        <v>1229</v>
      </c>
      <c r="H7" s="6">
        <v>1</v>
      </c>
      <c r="I7" s="7">
        <v>0</v>
      </c>
      <c r="J7" s="5">
        <v>45991</v>
      </c>
      <c r="K7" s="1" t="s">
        <v>957</v>
      </c>
      <c r="L7" s="1" t="s">
        <v>30</v>
      </c>
      <c r="M7" s="8">
        <v>0</v>
      </c>
      <c r="N7" s="6"/>
      <c r="O7" s="6"/>
      <c r="P7" s="9">
        <v>-15</v>
      </c>
    </row>
    <row r="8" spans="1:16" ht="19.5" customHeight="1">
      <c r="A8" s="1" t="s">
        <v>1562</v>
      </c>
      <c r="B8" s="5">
        <v>45999</v>
      </c>
      <c r="C8" s="1" t="s">
        <v>28</v>
      </c>
      <c r="D8" s="1" t="s">
        <v>45</v>
      </c>
      <c r="E8" s="1" t="s">
        <v>223</v>
      </c>
      <c r="F8" s="1" t="s">
        <v>395</v>
      </c>
      <c r="G8" s="1" t="s">
        <v>1229</v>
      </c>
      <c r="H8" s="6">
        <v>1</v>
      </c>
      <c r="I8" s="7">
        <v>0</v>
      </c>
      <c r="J8" s="5">
        <v>45991</v>
      </c>
      <c r="K8" s="1" t="s">
        <v>957</v>
      </c>
      <c r="L8" s="1" t="s">
        <v>30</v>
      </c>
      <c r="M8" s="8">
        <v>0</v>
      </c>
      <c r="N8" s="6"/>
      <c r="O8" s="6"/>
      <c r="P8" s="9">
        <v>0</v>
      </c>
    </row>
    <row r="9" spans="1:16" ht="19.5" customHeight="1">
      <c r="A9" s="1" t="s">
        <v>1562</v>
      </c>
      <c r="B9" s="5">
        <v>45999</v>
      </c>
      <c r="C9" s="1" t="s">
        <v>28</v>
      </c>
      <c r="D9" s="1" t="s">
        <v>46</v>
      </c>
      <c r="E9" s="1" t="s">
        <v>223</v>
      </c>
      <c r="F9" s="1" t="s">
        <v>395</v>
      </c>
      <c r="G9" s="1" t="s">
        <v>1229</v>
      </c>
      <c r="H9" s="6">
        <v>1</v>
      </c>
      <c r="I9" s="7">
        <v>0</v>
      </c>
      <c r="J9" s="5">
        <v>45991</v>
      </c>
      <c r="K9" s="1" t="s">
        <v>957</v>
      </c>
      <c r="L9" s="1" t="s">
        <v>30</v>
      </c>
      <c r="M9" s="8">
        <v>0</v>
      </c>
      <c r="N9" s="6"/>
      <c r="O9" s="6"/>
      <c r="P9" s="9">
        <v>-46</v>
      </c>
    </row>
    <row r="10" spans="1:16" ht="19.5" customHeight="1">
      <c r="A10" s="1" t="s">
        <v>1562</v>
      </c>
      <c r="B10" s="5">
        <v>45999</v>
      </c>
      <c r="C10" s="1" t="s">
        <v>17</v>
      </c>
      <c r="D10" s="1" t="s">
        <v>47</v>
      </c>
      <c r="E10" s="1" t="s">
        <v>223</v>
      </c>
      <c r="F10" s="1" t="s">
        <v>395</v>
      </c>
      <c r="G10" s="1" t="s">
        <v>1229</v>
      </c>
      <c r="H10" s="6">
        <v>1</v>
      </c>
      <c r="I10" s="7">
        <v>0</v>
      </c>
      <c r="J10" s="5">
        <v>45991</v>
      </c>
      <c r="K10" s="1" t="s">
        <v>957</v>
      </c>
      <c r="L10" s="1" t="s">
        <v>30</v>
      </c>
      <c r="M10" s="8">
        <v>0</v>
      </c>
      <c r="N10" s="6"/>
      <c r="O10" s="6"/>
      <c r="P10" s="9">
        <v>-15</v>
      </c>
    </row>
    <row r="11" spans="1:16" ht="19.5" customHeight="1">
      <c r="A11" s="1" t="s">
        <v>1562</v>
      </c>
      <c r="B11" s="5">
        <v>45999</v>
      </c>
      <c r="C11" s="1" t="s">
        <v>28</v>
      </c>
      <c r="D11" s="1" t="s">
        <v>29</v>
      </c>
      <c r="E11" s="1" t="s">
        <v>223</v>
      </c>
      <c r="F11" s="1" t="s">
        <v>395</v>
      </c>
      <c r="G11" s="1" t="s">
        <v>1229</v>
      </c>
      <c r="H11" s="6">
        <v>1</v>
      </c>
      <c r="I11" s="7">
        <v>0</v>
      </c>
      <c r="J11" s="5">
        <v>45991</v>
      </c>
      <c r="K11" s="1" t="s">
        <v>957</v>
      </c>
      <c r="L11" s="1" t="s">
        <v>30</v>
      </c>
      <c r="M11" s="8">
        <v>0</v>
      </c>
      <c r="N11" s="6"/>
      <c r="O11" s="6">
        <v>48</v>
      </c>
      <c r="P11" s="9">
        <v>-46</v>
      </c>
    </row>
    <row r="12" spans="1:16" ht="19.5" customHeight="1">
      <c r="A12" s="1" t="s">
        <v>1562</v>
      </c>
      <c r="B12" s="5">
        <v>45999</v>
      </c>
      <c r="C12" s="1" t="s">
        <v>17</v>
      </c>
      <c r="D12" s="1" t="s">
        <v>37</v>
      </c>
      <c r="E12" s="1" t="s">
        <v>223</v>
      </c>
      <c r="F12" s="1" t="s">
        <v>395</v>
      </c>
      <c r="G12" s="1" t="s">
        <v>1229</v>
      </c>
      <c r="H12" s="6">
        <v>1</v>
      </c>
      <c r="I12" s="7">
        <v>0</v>
      </c>
      <c r="J12" s="5">
        <v>45991</v>
      </c>
      <c r="K12" s="1" t="s">
        <v>957</v>
      </c>
      <c r="L12" s="1" t="s">
        <v>30</v>
      </c>
      <c r="M12" s="8">
        <v>0</v>
      </c>
      <c r="N12" s="6"/>
      <c r="O12" s="6"/>
      <c r="P12" s="9">
        <v>-8.17</v>
      </c>
    </row>
    <row r="13" spans="1:16" ht="19.5" customHeight="1">
      <c r="A13" s="1" t="s">
        <v>1563</v>
      </c>
      <c r="B13" s="5">
        <v>45999</v>
      </c>
      <c r="C13" s="1" t="s">
        <v>28</v>
      </c>
      <c r="D13" s="1" t="s">
        <v>29</v>
      </c>
      <c r="E13" s="1" t="s">
        <v>228</v>
      </c>
      <c r="F13" s="1" t="s">
        <v>393</v>
      </c>
      <c r="G13" s="1" t="s">
        <v>1229</v>
      </c>
      <c r="H13" s="6">
        <v>1</v>
      </c>
      <c r="I13" s="7">
        <v>0</v>
      </c>
      <c r="J13" s="5">
        <v>45994</v>
      </c>
      <c r="K13" s="1" t="s">
        <v>957</v>
      </c>
      <c r="L13" s="1" t="s">
        <v>30</v>
      </c>
      <c r="M13" s="8">
        <v>0</v>
      </c>
      <c r="N13" s="6"/>
      <c r="O13" s="6">
        <v>40</v>
      </c>
      <c r="P13" s="9">
        <v>-46</v>
      </c>
    </row>
    <row r="14" spans="1:16" ht="19.5" customHeight="1">
      <c r="A14" s="1" t="s">
        <v>1563</v>
      </c>
      <c r="B14" s="5">
        <v>45999</v>
      </c>
      <c r="C14" s="1" t="s">
        <v>17</v>
      </c>
      <c r="D14" s="1" t="s">
        <v>37</v>
      </c>
      <c r="E14" s="1" t="s">
        <v>228</v>
      </c>
      <c r="F14" s="1" t="s">
        <v>393</v>
      </c>
      <c r="G14" s="1" t="s">
        <v>1229</v>
      </c>
      <c r="H14" s="6">
        <v>1</v>
      </c>
      <c r="I14" s="7">
        <v>0</v>
      </c>
      <c r="J14" s="5">
        <v>45994</v>
      </c>
      <c r="K14" s="1" t="s">
        <v>957</v>
      </c>
      <c r="L14" s="1" t="s">
        <v>30</v>
      </c>
      <c r="M14" s="8">
        <v>0</v>
      </c>
      <c r="N14" s="6"/>
      <c r="O14" s="6"/>
      <c r="P14" s="9">
        <v>-6.53</v>
      </c>
    </row>
    <row r="15" spans="1:16" ht="19.5" customHeight="1">
      <c r="A15" s="1" t="s">
        <v>1563</v>
      </c>
      <c r="B15" s="5">
        <v>45999</v>
      </c>
      <c r="C15" s="1" t="s">
        <v>28</v>
      </c>
      <c r="D15" s="1" t="s">
        <v>45</v>
      </c>
      <c r="E15" s="1" t="s">
        <v>228</v>
      </c>
      <c r="F15" s="1" t="s">
        <v>393</v>
      </c>
      <c r="G15" s="1" t="s">
        <v>1229</v>
      </c>
      <c r="H15" s="6">
        <v>1</v>
      </c>
      <c r="I15" s="7">
        <v>0</v>
      </c>
      <c r="J15" s="5">
        <v>45994</v>
      </c>
      <c r="K15" s="1" t="s">
        <v>957</v>
      </c>
      <c r="L15" s="1" t="s">
        <v>30</v>
      </c>
      <c r="M15" s="8">
        <v>0</v>
      </c>
      <c r="N15" s="6"/>
      <c r="O15" s="6"/>
      <c r="P15" s="9">
        <v>0</v>
      </c>
    </row>
    <row r="16" spans="1:16" ht="19.5" customHeight="1">
      <c r="A16" s="1" t="s">
        <v>1563</v>
      </c>
      <c r="B16" s="5">
        <v>45999</v>
      </c>
      <c r="C16" s="1" t="s">
        <v>28</v>
      </c>
      <c r="D16" s="1" t="s">
        <v>46</v>
      </c>
      <c r="E16" s="1" t="s">
        <v>228</v>
      </c>
      <c r="F16" s="1" t="s">
        <v>393</v>
      </c>
      <c r="G16" s="1" t="s">
        <v>1229</v>
      </c>
      <c r="H16" s="6">
        <v>1</v>
      </c>
      <c r="I16" s="7">
        <v>0</v>
      </c>
      <c r="J16" s="5">
        <v>45994</v>
      </c>
      <c r="K16" s="1" t="s">
        <v>957</v>
      </c>
      <c r="L16" s="1" t="s">
        <v>30</v>
      </c>
      <c r="M16" s="8">
        <v>0</v>
      </c>
      <c r="N16" s="6"/>
      <c r="O16" s="6"/>
      <c r="P16" s="9">
        <v>-46</v>
      </c>
    </row>
    <row r="17" spans="1:16" ht="19.5" customHeight="1">
      <c r="A17" s="1" t="s">
        <v>1563</v>
      </c>
      <c r="B17" s="5">
        <v>45999</v>
      </c>
      <c r="C17" s="1" t="s">
        <v>17</v>
      </c>
      <c r="D17" s="1" t="s">
        <v>47</v>
      </c>
      <c r="E17" s="1" t="s">
        <v>228</v>
      </c>
      <c r="F17" s="1" t="s">
        <v>393</v>
      </c>
      <c r="G17" s="1" t="s">
        <v>1229</v>
      </c>
      <c r="H17" s="6">
        <v>1</v>
      </c>
      <c r="I17" s="7">
        <v>0</v>
      </c>
      <c r="J17" s="5">
        <v>45994</v>
      </c>
      <c r="K17" s="1" t="s">
        <v>957</v>
      </c>
      <c r="L17" s="1" t="s">
        <v>30</v>
      </c>
      <c r="M17" s="8">
        <v>0</v>
      </c>
      <c r="N17" s="6"/>
      <c r="O17" s="6"/>
      <c r="P17" s="9">
        <v>-15</v>
      </c>
    </row>
    <row r="18" spans="1:16" ht="19.5" customHeight="1">
      <c r="A18" s="1" t="s">
        <v>1564</v>
      </c>
      <c r="B18" s="5">
        <v>45999</v>
      </c>
      <c r="C18" s="1" t="s">
        <v>28</v>
      </c>
      <c r="D18" s="1" t="s">
        <v>29</v>
      </c>
      <c r="E18" s="1" t="s">
        <v>25</v>
      </c>
      <c r="F18" s="1" t="s">
        <v>26</v>
      </c>
      <c r="G18" s="1" t="s">
        <v>1229</v>
      </c>
      <c r="H18" s="6">
        <v>1</v>
      </c>
      <c r="I18" s="7">
        <v>1738</v>
      </c>
      <c r="J18" s="5">
        <v>45994</v>
      </c>
      <c r="K18" s="1" t="s">
        <v>957</v>
      </c>
      <c r="L18" s="1" t="s">
        <v>30</v>
      </c>
      <c r="M18" s="8">
        <v>0.43</v>
      </c>
      <c r="N18" s="6"/>
      <c r="O18" s="6">
        <v>40</v>
      </c>
      <c r="P18" s="9">
        <v>-113.78</v>
      </c>
    </row>
    <row r="19" spans="1:16" ht="19.5" customHeight="1">
      <c r="A19" s="1" t="s">
        <v>1564</v>
      </c>
      <c r="B19" s="5">
        <v>45999</v>
      </c>
      <c r="C19" s="1" t="s">
        <v>31</v>
      </c>
      <c r="D19" s="1" t="s">
        <v>32</v>
      </c>
      <c r="E19" s="1" t="s">
        <v>25</v>
      </c>
      <c r="F19" s="1" t="s">
        <v>26</v>
      </c>
      <c r="G19" s="1" t="s">
        <v>1229</v>
      </c>
      <c r="H19" s="6">
        <v>1</v>
      </c>
      <c r="I19" s="7">
        <v>1738</v>
      </c>
      <c r="J19" s="5">
        <v>45994</v>
      </c>
      <c r="K19" s="1" t="s">
        <v>957</v>
      </c>
      <c r="L19" s="1" t="s">
        <v>30</v>
      </c>
      <c r="M19" s="8">
        <v>0</v>
      </c>
      <c r="N19" s="6"/>
      <c r="O19" s="6"/>
      <c r="P19" s="9">
        <v>656.68</v>
      </c>
    </row>
    <row r="20" spans="1:16" ht="19.5" customHeight="1">
      <c r="A20" s="1" t="s">
        <v>1564</v>
      </c>
      <c r="B20" s="5">
        <v>45999</v>
      </c>
      <c r="C20" s="1" t="s">
        <v>31</v>
      </c>
      <c r="D20" s="1" t="s">
        <v>33</v>
      </c>
      <c r="E20" s="1" t="s">
        <v>25</v>
      </c>
      <c r="F20" s="1" t="s">
        <v>26</v>
      </c>
      <c r="G20" s="1" t="s">
        <v>1229</v>
      </c>
      <c r="H20" s="6">
        <v>1</v>
      </c>
      <c r="I20" s="7">
        <v>1738</v>
      </c>
      <c r="J20" s="5">
        <v>45994</v>
      </c>
      <c r="K20" s="1" t="s">
        <v>957</v>
      </c>
      <c r="L20" s="1" t="s">
        <v>30</v>
      </c>
      <c r="M20" s="8">
        <v>0</v>
      </c>
      <c r="N20" s="6"/>
      <c r="O20" s="6"/>
      <c r="P20" s="9">
        <v>0</v>
      </c>
    </row>
    <row r="21" spans="1:16" ht="19.5" customHeight="1">
      <c r="A21" s="1" t="s">
        <v>1564</v>
      </c>
      <c r="B21" s="5">
        <v>45999</v>
      </c>
      <c r="C21" s="1" t="s">
        <v>31</v>
      </c>
      <c r="D21" s="1" t="s">
        <v>34</v>
      </c>
      <c r="E21" s="1" t="s">
        <v>25</v>
      </c>
      <c r="F21" s="1" t="s">
        <v>26</v>
      </c>
      <c r="G21" s="1" t="s">
        <v>1229</v>
      </c>
      <c r="H21" s="6">
        <v>1</v>
      </c>
      <c r="I21" s="7">
        <v>1738</v>
      </c>
      <c r="J21" s="5">
        <v>45994</v>
      </c>
      <c r="K21" s="1" t="s">
        <v>957</v>
      </c>
      <c r="L21" s="1" t="s">
        <v>30</v>
      </c>
      <c r="M21" s="8">
        <v>0</v>
      </c>
      <c r="N21" s="6"/>
      <c r="O21" s="6"/>
      <c r="P21" s="9">
        <v>1081.32</v>
      </c>
    </row>
    <row r="22" spans="1:16" ht="19.5" customHeight="1">
      <c r="A22" s="1" t="s">
        <v>1564</v>
      </c>
      <c r="B22" s="5">
        <v>45999</v>
      </c>
      <c r="C22" s="1" t="s">
        <v>35</v>
      </c>
      <c r="D22" s="1" t="s">
        <v>36</v>
      </c>
      <c r="E22" s="1" t="s">
        <v>25</v>
      </c>
      <c r="F22" s="1" t="s">
        <v>26</v>
      </c>
      <c r="G22" s="1" t="s">
        <v>1229</v>
      </c>
      <c r="H22" s="6">
        <v>1</v>
      </c>
      <c r="I22" s="7">
        <v>1738</v>
      </c>
      <c r="J22" s="5">
        <v>45994</v>
      </c>
      <c r="K22" s="1" t="s">
        <v>957</v>
      </c>
      <c r="L22" s="1" t="s">
        <v>30</v>
      </c>
      <c r="M22" s="8">
        <v>0.43</v>
      </c>
      <c r="N22" s="6"/>
      <c r="O22" s="6"/>
      <c r="P22" s="9">
        <v>-747.34</v>
      </c>
    </row>
    <row r="23" spans="1:16" ht="19.5" customHeight="1">
      <c r="A23" s="1" t="s">
        <v>1547</v>
      </c>
      <c r="B23" s="5">
        <v>45999</v>
      </c>
      <c r="C23" s="1" t="s">
        <v>261</v>
      </c>
      <c r="D23" s="1" t="s">
        <v>581</v>
      </c>
      <c r="E23" s="1" t="s">
        <v>22</v>
      </c>
      <c r="F23" s="1" t="s">
        <v>22</v>
      </c>
      <c r="G23" s="1" t="s">
        <v>22</v>
      </c>
      <c r="H23" s="6">
        <v>0</v>
      </c>
      <c r="I23" s="7">
        <v>0</v>
      </c>
      <c r="J23" s="5">
        <v>45999</v>
      </c>
      <c r="K23" s="1" t="s">
        <v>22</v>
      </c>
      <c r="L23" s="1" t="s">
        <v>22</v>
      </c>
      <c r="M23" s="8">
        <v>0</v>
      </c>
      <c r="N23" s="6"/>
      <c r="O23" s="6"/>
      <c r="P23" s="9">
        <v>-800</v>
      </c>
    </row>
    <row r="24" spans="1:16" ht="19.5" customHeight="1">
      <c r="A24" s="1" t="s">
        <v>1397</v>
      </c>
      <c r="B24" s="5">
        <v>45999</v>
      </c>
      <c r="C24" s="1" t="s">
        <v>17</v>
      </c>
      <c r="D24" s="1" t="s">
        <v>18</v>
      </c>
      <c r="E24" s="1" t="s">
        <v>228</v>
      </c>
      <c r="F24" s="1" t="s">
        <v>393</v>
      </c>
      <c r="G24" s="1" t="s">
        <v>1229</v>
      </c>
      <c r="H24" s="6">
        <v>1</v>
      </c>
      <c r="I24" s="7">
        <v>0</v>
      </c>
      <c r="J24" s="5">
        <v>45989</v>
      </c>
      <c r="K24" s="1" t="s">
        <v>22</v>
      </c>
      <c r="L24" s="1" t="s">
        <v>22</v>
      </c>
      <c r="M24" s="8">
        <v>0</v>
      </c>
      <c r="N24" s="6"/>
      <c r="O24" s="6"/>
      <c r="P24" s="9">
        <v>4.0199999999999996</v>
      </c>
    </row>
    <row r="25" spans="1:16" ht="19.5" customHeight="1">
      <c r="A25" s="1" t="s">
        <v>1565</v>
      </c>
      <c r="B25" s="5">
        <v>45999</v>
      </c>
      <c r="C25" s="1" t="s">
        <v>28</v>
      </c>
      <c r="D25" s="1" t="s">
        <v>29</v>
      </c>
      <c r="E25" s="1" t="s">
        <v>223</v>
      </c>
      <c r="F25" s="1" t="s">
        <v>395</v>
      </c>
      <c r="G25" s="1" t="s">
        <v>1229</v>
      </c>
      <c r="H25" s="6">
        <v>1</v>
      </c>
      <c r="I25" s="7">
        <v>1374</v>
      </c>
      <c r="J25" s="5">
        <v>45997</v>
      </c>
      <c r="K25" s="1" t="s">
        <v>957</v>
      </c>
      <c r="L25" s="1" t="s">
        <v>30</v>
      </c>
      <c r="M25" s="8">
        <v>0.43</v>
      </c>
      <c r="N25" s="6"/>
      <c r="O25" s="6">
        <v>38</v>
      </c>
      <c r="P25" s="9">
        <v>-96.47</v>
      </c>
    </row>
    <row r="26" spans="1:16" ht="19.5" customHeight="1">
      <c r="A26" s="1" t="s">
        <v>1565</v>
      </c>
      <c r="B26" s="5">
        <v>45999</v>
      </c>
      <c r="C26" s="1" t="s">
        <v>31</v>
      </c>
      <c r="D26" s="1" t="s">
        <v>32</v>
      </c>
      <c r="E26" s="1" t="s">
        <v>223</v>
      </c>
      <c r="F26" s="1" t="s">
        <v>395</v>
      </c>
      <c r="G26" s="1" t="s">
        <v>1229</v>
      </c>
      <c r="H26" s="6">
        <v>1</v>
      </c>
      <c r="I26" s="7">
        <v>1374</v>
      </c>
      <c r="J26" s="5">
        <v>45997</v>
      </c>
      <c r="K26" s="1" t="s">
        <v>957</v>
      </c>
      <c r="L26" s="1" t="s">
        <v>30</v>
      </c>
      <c r="M26" s="8">
        <v>0</v>
      </c>
      <c r="N26" s="6"/>
      <c r="O26" s="6"/>
      <c r="P26" s="9">
        <v>718.36</v>
      </c>
    </row>
    <row r="27" spans="1:16" ht="19.5" customHeight="1">
      <c r="A27" s="1" t="s">
        <v>1565</v>
      </c>
      <c r="B27" s="5">
        <v>45999</v>
      </c>
      <c r="C27" s="1" t="s">
        <v>31</v>
      </c>
      <c r="D27" s="1" t="s">
        <v>33</v>
      </c>
      <c r="E27" s="1" t="s">
        <v>223</v>
      </c>
      <c r="F27" s="1" t="s">
        <v>395</v>
      </c>
      <c r="G27" s="1" t="s">
        <v>1229</v>
      </c>
      <c r="H27" s="6">
        <v>1</v>
      </c>
      <c r="I27" s="7">
        <v>1374</v>
      </c>
      <c r="J27" s="5">
        <v>45997</v>
      </c>
      <c r="K27" s="1" t="s">
        <v>957</v>
      </c>
      <c r="L27" s="1" t="s">
        <v>30</v>
      </c>
      <c r="M27" s="8">
        <v>0</v>
      </c>
      <c r="N27" s="6"/>
      <c r="O27" s="6"/>
      <c r="P27" s="9">
        <v>7.18</v>
      </c>
    </row>
    <row r="28" spans="1:16" ht="19.5" customHeight="1">
      <c r="A28" s="1" t="s">
        <v>1565</v>
      </c>
      <c r="B28" s="5">
        <v>45999</v>
      </c>
      <c r="C28" s="1" t="s">
        <v>31</v>
      </c>
      <c r="D28" s="1" t="s">
        <v>34</v>
      </c>
      <c r="E28" s="1" t="s">
        <v>223</v>
      </c>
      <c r="F28" s="1" t="s">
        <v>395</v>
      </c>
      <c r="G28" s="1" t="s">
        <v>1229</v>
      </c>
      <c r="H28" s="6">
        <v>1</v>
      </c>
      <c r="I28" s="7">
        <v>1374</v>
      </c>
      <c r="J28" s="5">
        <v>45997</v>
      </c>
      <c r="K28" s="1" t="s">
        <v>957</v>
      </c>
      <c r="L28" s="1" t="s">
        <v>30</v>
      </c>
      <c r="M28" s="8">
        <v>0</v>
      </c>
      <c r="N28" s="6"/>
      <c r="O28" s="6"/>
      <c r="P28" s="9">
        <v>648.46</v>
      </c>
    </row>
    <row r="29" spans="1:16" ht="19.5" customHeight="1">
      <c r="A29" s="1" t="s">
        <v>1565</v>
      </c>
      <c r="B29" s="5">
        <v>45999</v>
      </c>
      <c r="C29" s="1" t="s">
        <v>35</v>
      </c>
      <c r="D29" s="1" t="s">
        <v>36</v>
      </c>
      <c r="E29" s="1" t="s">
        <v>223</v>
      </c>
      <c r="F29" s="1" t="s">
        <v>395</v>
      </c>
      <c r="G29" s="1" t="s">
        <v>1229</v>
      </c>
      <c r="H29" s="6">
        <v>1</v>
      </c>
      <c r="I29" s="7">
        <v>1374</v>
      </c>
      <c r="J29" s="5">
        <v>45997</v>
      </c>
      <c r="K29" s="1" t="s">
        <v>957</v>
      </c>
      <c r="L29" s="1" t="s">
        <v>30</v>
      </c>
      <c r="M29" s="8">
        <v>0.43</v>
      </c>
      <c r="N29" s="6"/>
      <c r="O29" s="6"/>
      <c r="P29" s="9">
        <v>-590.82000000000005</v>
      </c>
    </row>
    <row r="30" spans="1:16" ht="19.5" customHeight="1">
      <c r="A30" s="1" t="s">
        <v>1565</v>
      </c>
      <c r="B30" s="5">
        <v>45999</v>
      </c>
      <c r="C30" s="1" t="s">
        <v>17</v>
      </c>
      <c r="D30" s="1" t="s">
        <v>37</v>
      </c>
      <c r="E30" s="1" t="s">
        <v>223</v>
      </c>
      <c r="F30" s="1" t="s">
        <v>395</v>
      </c>
      <c r="G30" s="1" t="s">
        <v>1229</v>
      </c>
      <c r="H30" s="6">
        <v>1</v>
      </c>
      <c r="I30" s="7">
        <v>1374</v>
      </c>
      <c r="J30" s="5">
        <v>45997</v>
      </c>
      <c r="K30" s="1" t="s">
        <v>957</v>
      </c>
      <c r="L30" s="1" t="s">
        <v>30</v>
      </c>
      <c r="M30" s="8">
        <v>0.43</v>
      </c>
      <c r="N30" s="6"/>
      <c r="O30" s="6"/>
      <c r="P30" s="9">
        <v>-8.34</v>
      </c>
    </row>
    <row r="31" spans="1:16" ht="19.5" customHeight="1">
      <c r="A31" s="1" t="s">
        <v>1566</v>
      </c>
      <c r="B31" s="5">
        <v>45999</v>
      </c>
      <c r="C31" s="1" t="s">
        <v>28</v>
      </c>
      <c r="D31" s="1" t="s">
        <v>45</v>
      </c>
      <c r="E31" s="1" t="s">
        <v>25</v>
      </c>
      <c r="F31" s="1" t="s">
        <v>26</v>
      </c>
      <c r="G31" s="1" t="s">
        <v>1229</v>
      </c>
      <c r="H31" s="6">
        <v>1</v>
      </c>
      <c r="I31" s="7">
        <v>0</v>
      </c>
      <c r="J31" s="5">
        <v>45987</v>
      </c>
      <c r="K31" s="1" t="s">
        <v>957</v>
      </c>
      <c r="L31" s="1" t="s">
        <v>30</v>
      </c>
      <c r="M31" s="8">
        <v>0</v>
      </c>
      <c r="N31" s="6"/>
      <c r="O31" s="6"/>
      <c r="P31" s="9">
        <v>0</v>
      </c>
    </row>
    <row r="32" spans="1:16" ht="19.5" customHeight="1">
      <c r="A32" s="1" t="s">
        <v>1566</v>
      </c>
      <c r="B32" s="5">
        <v>45999</v>
      </c>
      <c r="C32" s="1" t="s">
        <v>28</v>
      </c>
      <c r="D32" s="1" t="s">
        <v>46</v>
      </c>
      <c r="E32" s="1" t="s">
        <v>25</v>
      </c>
      <c r="F32" s="1" t="s">
        <v>26</v>
      </c>
      <c r="G32" s="1" t="s">
        <v>1229</v>
      </c>
      <c r="H32" s="6">
        <v>1</v>
      </c>
      <c r="I32" s="7">
        <v>0</v>
      </c>
      <c r="J32" s="5">
        <v>45987</v>
      </c>
      <c r="K32" s="1" t="s">
        <v>957</v>
      </c>
      <c r="L32" s="1" t="s">
        <v>30</v>
      </c>
      <c r="M32" s="8">
        <v>0</v>
      </c>
      <c r="N32" s="6"/>
      <c r="O32" s="6"/>
      <c r="P32" s="9">
        <v>-46</v>
      </c>
    </row>
    <row r="33" spans="1:16" ht="19.5" customHeight="1">
      <c r="A33" s="1" t="s">
        <v>1566</v>
      </c>
      <c r="B33" s="5">
        <v>45999</v>
      </c>
      <c r="C33" s="1" t="s">
        <v>17</v>
      </c>
      <c r="D33" s="1" t="s">
        <v>47</v>
      </c>
      <c r="E33" s="1" t="s">
        <v>25</v>
      </c>
      <c r="F33" s="1" t="s">
        <v>26</v>
      </c>
      <c r="G33" s="1" t="s">
        <v>1229</v>
      </c>
      <c r="H33" s="6">
        <v>1</v>
      </c>
      <c r="I33" s="7">
        <v>0</v>
      </c>
      <c r="J33" s="5">
        <v>45987</v>
      </c>
      <c r="K33" s="1" t="s">
        <v>957</v>
      </c>
      <c r="L33" s="1" t="s">
        <v>30</v>
      </c>
      <c r="M33" s="8">
        <v>0</v>
      </c>
      <c r="N33" s="6"/>
      <c r="O33" s="6"/>
      <c r="P33" s="9">
        <v>-15</v>
      </c>
    </row>
    <row r="34" spans="1:16" ht="19.5" customHeight="1">
      <c r="A34" s="1" t="s">
        <v>1566</v>
      </c>
      <c r="B34" s="5">
        <v>45999</v>
      </c>
      <c r="C34" s="1" t="s">
        <v>28</v>
      </c>
      <c r="D34" s="1" t="s">
        <v>29</v>
      </c>
      <c r="E34" s="1" t="s">
        <v>25</v>
      </c>
      <c r="F34" s="1" t="s">
        <v>26</v>
      </c>
      <c r="G34" s="1" t="s">
        <v>1229</v>
      </c>
      <c r="H34" s="6">
        <v>1</v>
      </c>
      <c r="I34" s="7">
        <v>0</v>
      </c>
      <c r="J34" s="5">
        <v>45987</v>
      </c>
      <c r="K34" s="1" t="s">
        <v>957</v>
      </c>
      <c r="L34" s="1" t="s">
        <v>30</v>
      </c>
      <c r="M34" s="8">
        <v>0</v>
      </c>
      <c r="N34" s="6"/>
      <c r="O34" s="6">
        <v>44</v>
      </c>
      <c r="P34" s="9">
        <v>-46</v>
      </c>
    </row>
    <row r="35" spans="1:16" ht="19.5" customHeight="1">
      <c r="A35" s="1" t="s">
        <v>1566</v>
      </c>
      <c r="B35" s="5">
        <v>45999</v>
      </c>
      <c r="C35" s="1" t="s">
        <v>17</v>
      </c>
      <c r="D35" s="1" t="s">
        <v>37</v>
      </c>
      <c r="E35" s="1" t="s">
        <v>25</v>
      </c>
      <c r="F35" s="1" t="s">
        <v>26</v>
      </c>
      <c r="G35" s="1" t="s">
        <v>1229</v>
      </c>
      <c r="H35" s="6">
        <v>1</v>
      </c>
      <c r="I35" s="7">
        <v>0</v>
      </c>
      <c r="J35" s="5">
        <v>45987</v>
      </c>
      <c r="K35" s="1" t="s">
        <v>957</v>
      </c>
      <c r="L35" s="1" t="s">
        <v>30</v>
      </c>
      <c r="M35" s="8">
        <v>0</v>
      </c>
      <c r="N35" s="6"/>
      <c r="O35" s="6"/>
      <c r="P35" s="9">
        <v>-10.5</v>
      </c>
    </row>
    <row r="36" spans="1:16" ht="19.5" customHeight="1">
      <c r="A36" s="1" t="s">
        <v>1567</v>
      </c>
      <c r="B36" s="5">
        <v>45999</v>
      </c>
      <c r="C36" s="1" t="s">
        <v>17</v>
      </c>
      <c r="D36" s="1" t="s">
        <v>18</v>
      </c>
      <c r="E36" s="1" t="s">
        <v>223</v>
      </c>
      <c r="F36" s="1" t="s">
        <v>395</v>
      </c>
      <c r="G36" s="1" t="s">
        <v>1229</v>
      </c>
      <c r="H36" s="6">
        <v>1</v>
      </c>
      <c r="I36" s="7">
        <v>0</v>
      </c>
      <c r="J36" s="5">
        <v>45999</v>
      </c>
      <c r="K36" s="1" t="s">
        <v>22</v>
      </c>
      <c r="L36" s="1" t="s">
        <v>22</v>
      </c>
      <c r="M36" s="8">
        <v>0</v>
      </c>
      <c r="N36" s="6"/>
      <c r="O36" s="6"/>
      <c r="P36" s="9">
        <v>-5.08</v>
      </c>
    </row>
    <row r="37" spans="1:16" ht="19.5" customHeight="1">
      <c r="A37" s="1" t="s">
        <v>1568</v>
      </c>
      <c r="B37" s="5">
        <v>45999</v>
      </c>
      <c r="C37" s="1" t="s">
        <v>17</v>
      </c>
      <c r="D37" s="1" t="s">
        <v>18</v>
      </c>
      <c r="E37" s="1" t="s">
        <v>1055</v>
      </c>
      <c r="F37" s="1" t="s">
        <v>1317</v>
      </c>
      <c r="G37" s="1" t="s">
        <v>1298</v>
      </c>
      <c r="H37" s="6">
        <v>1</v>
      </c>
      <c r="I37" s="7">
        <v>0</v>
      </c>
      <c r="J37" s="5">
        <v>45999</v>
      </c>
      <c r="K37" s="1" t="s">
        <v>22</v>
      </c>
      <c r="L37" s="1" t="s">
        <v>22</v>
      </c>
      <c r="M37" s="8">
        <v>0</v>
      </c>
      <c r="N37" s="6"/>
      <c r="O37" s="6"/>
      <c r="P37" s="9">
        <v>-15.4</v>
      </c>
    </row>
    <row r="38" spans="1:16" ht="19.5" customHeight="1">
      <c r="A38" s="1" t="s">
        <v>1569</v>
      </c>
      <c r="B38" s="5">
        <v>45999</v>
      </c>
      <c r="C38" s="1" t="s">
        <v>28</v>
      </c>
      <c r="D38" s="1" t="s">
        <v>29</v>
      </c>
      <c r="E38" s="1" t="s">
        <v>25</v>
      </c>
      <c r="F38" s="1" t="s">
        <v>26</v>
      </c>
      <c r="G38" s="1" t="s">
        <v>1229</v>
      </c>
      <c r="H38" s="6">
        <v>1</v>
      </c>
      <c r="I38" s="7">
        <v>0</v>
      </c>
      <c r="J38" s="5">
        <v>45996</v>
      </c>
      <c r="K38" s="1" t="s">
        <v>957</v>
      </c>
      <c r="L38" s="1" t="s">
        <v>30</v>
      </c>
      <c r="M38" s="8">
        <v>0</v>
      </c>
      <c r="N38" s="6"/>
      <c r="O38" s="6">
        <v>40</v>
      </c>
      <c r="P38" s="9">
        <v>-46</v>
      </c>
    </row>
    <row r="39" spans="1:16" ht="19.5" customHeight="1">
      <c r="A39" s="1" t="s">
        <v>1569</v>
      </c>
      <c r="B39" s="5">
        <v>45999</v>
      </c>
      <c r="C39" s="1" t="s">
        <v>17</v>
      </c>
      <c r="D39" s="1" t="s">
        <v>37</v>
      </c>
      <c r="E39" s="1" t="s">
        <v>25</v>
      </c>
      <c r="F39" s="1" t="s">
        <v>26</v>
      </c>
      <c r="G39" s="1" t="s">
        <v>1229</v>
      </c>
      <c r="H39" s="6">
        <v>1</v>
      </c>
      <c r="I39" s="7">
        <v>0</v>
      </c>
      <c r="J39" s="5">
        <v>45996</v>
      </c>
      <c r="K39" s="1" t="s">
        <v>957</v>
      </c>
      <c r="L39" s="1" t="s">
        <v>30</v>
      </c>
      <c r="M39" s="8">
        <v>0</v>
      </c>
      <c r="N39" s="6"/>
      <c r="O39" s="6"/>
      <c r="P39" s="9">
        <v>-7.5</v>
      </c>
    </row>
    <row r="40" spans="1:16" ht="19.5" customHeight="1">
      <c r="A40" s="1" t="s">
        <v>1569</v>
      </c>
      <c r="B40" s="5">
        <v>45999</v>
      </c>
      <c r="C40" s="1" t="s">
        <v>28</v>
      </c>
      <c r="D40" s="1" t="s">
        <v>45</v>
      </c>
      <c r="E40" s="1" t="s">
        <v>25</v>
      </c>
      <c r="F40" s="1" t="s">
        <v>26</v>
      </c>
      <c r="G40" s="1" t="s">
        <v>1229</v>
      </c>
      <c r="H40" s="6">
        <v>1</v>
      </c>
      <c r="I40" s="7">
        <v>0</v>
      </c>
      <c r="J40" s="5">
        <v>45996</v>
      </c>
      <c r="K40" s="1" t="s">
        <v>957</v>
      </c>
      <c r="L40" s="1" t="s">
        <v>30</v>
      </c>
      <c r="M40" s="8">
        <v>0</v>
      </c>
      <c r="N40" s="6"/>
      <c r="O40" s="6"/>
      <c r="P40" s="9">
        <v>0</v>
      </c>
    </row>
    <row r="41" spans="1:16" ht="19.5" customHeight="1">
      <c r="A41" s="1" t="s">
        <v>1569</v>
      </c>
      <c r="B41" s="5">
        <v>45999</v>
      </c>
      <c r="C41" s="1" t="s">
        <v>28</v>
      </c>
      <c r="D41" s="1" t="s">
        <v>46</v>
      </c>
      <c r="E41" s="1" t="s">
        <v>25</v>
      </c>
      <c r="F41" s="1" t="s">
        <v>26</v>
      </c>
      <c r="G41" s="1" t="s">
        <v>1229</v>
      </c>
      <c r="H41" s="6">
        <v>1</v>
      </c>
      <c r="I41" s="7">
        <v>0</v>
      </c>
      <c r="J41" s="5">
        <v>45996</v>
      </c>
      <c r="K41" s="1" t="s">
        <v>957</v>
      </c>
      <c r="L41" s="1" t="s">
        <v>30</v>
      </c>
      <c r="M41" s="8">
        <v>0</v>
      </c>
      <c r="N41" s="6"/>
      <c r="O41" s="6"/>
      <c r="P41" s="9">
        <v>-46</v>
      </c>
    </row>
    <row r="42" spans="1:16" ht="19.5" customHeight="1">
      <c r="A42" s="1" t="s">
        <v>1570</v>
      </c>
      <c r="B42" s="5">
        <v>45999</v>
      </c>
      <c r="C42" s="1" t="s">
        <v>261</v>
      </c>
      <c r="D42" s="1" t="s">
        <v>326</v>
      </c>
      <c r="E42" s="1" t="s">
        <v>22</v>
      </c>
      <c r="F42" s="1" t="s">
        <v>22</v>
      </c>
      <c r="G42" s="1" t="s">
        <v>22</v>
      </c>
      <c r="H42" s="6">
        <v>0</v>
      </c>
      <c r="I42" s="7">
        <v>0</v>
      </c>
      <c r="J42" s="5">
        <v>45989</v>
      </c>
      <c r="K42" s="1" t="s">
        <v>22</v>
      </c>
      <c r="L42" s="1" t="s">
        <v>22</v>
      </c>
      <c r="M42" s="8">
        <v>0</v>
      </c>
      <c r="N42" s="6"/>
      <c r="O42" s="6"/>
      <c r="P42" s="9">
        <v>-1670.4</v>
      </c>
    </row>
    <row r="43" spans="1:16" ht="19.5" customHeight="1">
      <c r="A43" s="1" t="s">
        <v>1571</v>
      </c>
      <c r="B43" s="5">
        <v>45999</v>
      </c>
      <c r="C43" s="1" t="s">
        <v>28</v>
      </c>
      <c r="D43" s="1" t="s">
        <v>29</v>
      </c>
      <c r="E43" s="1" t="s">
        <v>223</v>
      </c>
      <c r="F43" s="1" t="s">
        <v>395</v>
      </c>
      <c r="G43" s="1" t="s">
        <v>1229</v>
      </c>
      <c r="H43" s="6">
        <v>1</v>
      </c>
      <c r="I43" s="7">
        <v>1280</v>
      </c>
      <c r="J43" s="5">
        <v>45995</v>
      </c>
      <c r="K43" s="1" t="s">
        <v>957</v>
      </c>
      <c r="L43" s="1" t="s">
        <v>30</v>
      </c>
      <c r="M43" s="8">
        <v>0.43</v>
      </c>
      <c r="N43" s="6"/>
      <c r="O43" s="6">
        <v>42</v>
      </c>
      <c r="P43" s="9">
        <v>-108.7</v>
      </c>
    </row>
    <row r="44" spans="1:16" ht="19.5" customHeight="1">
      <c r="A44" s="1" t="s">
        <v>1571</v>
      </c>
      <c r="B44" s="5">
        <v>45999</v>
      </c>
      <c r="C44" s="1" t="s">
        <v>31</v>
      </c>
      <c r="D44" s="1" t="s">
        <v>32</v>
      </c>
      <c r="E44" s="1" t="s">
        <v>223</v>
      </c>
      <c r="F44" s="1" t="s">
        <v>395</v>
      </c>
      <c r="G44" s="1" t="s">
        <v>1229</v>
      </c>
      <c r="H44" s="6">
        <v>1</v>
      </c>
      <c r="I44" s="7">
        <v>1280</v>
      </c>
      <c r="J44" s="5">
        <v>45995</v>
      </c>
      <c r="K44" s="1" t="s">
        <v>957</v>
      </c>
      <c r="L44" s="1" t="s">
        <v>30</v>
      </c>
      <c r="M44" s="8">
        <v>0</v>
      </c>
      <c r="N44" s="6"/>
      <c r="O44" s="6"/>
      <c r="P44" s="9">
        <v>513.33000000000004</v>
      </c>
    </row>
    <row r="45" spans="1:16" ht="19.5" customHeight="1">
      <c r="A45" s="1" t="s">
        <v>1571</v>
      </c>
      <c r="B45" s="5">
        <v>45999</v>
      </c>
      <c r="C45" s="1" t="s">
        <v>31</v>
      </c>
      <c r="D45" s="1" t="s">
        <v>33</v>
      </c>
      <c r="E45" s="1" t="s">
        <v>223</v>
      </c>
      <c r="F45" s="1" t="s">
        <v>395</v>
      </c>
      <c r="G45" s="1" t="s">
        <v>1229</v>
      </c>
      <c r="H45" s="6">
        <v>1</v>
      </c>
      <c r="I45" s="7">
        <v>1280</v>
      </c>
      <c r="J45" s="5">
        <v>45995</v>
      </c>
      <c r="K45" s="1" t="s">
        <v>957</v>
      </c>
      <c r="L45" s="1" t="s">
        <v>30</v>
      </c>
      <c r="M45" s="8">
        <v>0</v>
      </c>
      <c r="N45" s="6"/>
      <c r="O45" s="6"/>
      <c r="P45" s="9">
        <v>5.13</v>
      </c>
    </row>
    <row r="46" spans="1:16" ht="19.5" customHeight="1">
      <c r="A46" s="1" t="s">
        <v>1571</v>
      </c>
      <c r="B46" s="5">
        <v>45999</v>
      </c>
      <c r="C46" s="1" t="s">
        <v>31</v>
      </c>
      <c r="D46" s="1" t="s">
        <v>34</v>
      </c>
      <c r="E46" s="1" t="s">
        <v>223</v>
      </c>
      <c r="F46" s="1" t="s">
        <v>395</v>
      </c>
      <c r="G46" s="1" t="s">
        <v>1229</v>
      </c>
      <c r="H46" s="6">
        <v>1</v>
      </c>
      <c r="I46" s="7">
        <v>1280</v>
      </c>
      <c r="J46" s="5">
        <v>45995</v>
      </c>
      <c r="K46" s="1" t="s">
        <v>957</v>
      </c>
      <c r="L46" s="1" t="s">
        <v>30</v>
      </c>
      <c r="M46" s="8">
        <v>0</v>
      </c>
      <c r="N46" s="6"/>
      <c r="O46" s="6"/>
      <c r="P46" s="9">
        <v>761.54</v>
      </c>
    </row>
    <row r="47" spans="1:16" ht="19.5" customHeight="1">
      <c r="A47" s="1" t="s">
        <v>1571</v>
      </c>
      <c r="B47" s="5">
        <v>45999</v>
      </c>
      <c r="C47" s="1" t="s">
        <v>35</v>
      </c>
      <c r="D47" s="1" t="s">
        <v>36</v>
      </c>
      <c r="E47" s="1" t="s">
        <v>223</v>
      </c>
      <c r="F47" s="1" t="s">
        <v>395</v>
      </c>
      <c r="G47" s="1" t="s">
        <v>1229</v>
      </c>
      <c r="H47" s="6">
        <v>1</v>
      </c>
      <c r="I47" s="7">
        <v>1280</v>
      </c>
      <c r="J47" s="5">
        <v>45995</v>
      </c>
      <c r="K47" s="1" t="s">
        <v>957</v>
      </c>
      <c r="L47" s="1" t="s">
        <v>30</v>
      </c>
      <c r="M47" s="8">
        <v>0.43</v>
      </c>
      <c r="N47" s="6"/>
      <c r="O47" s="6"/>
      <c r="P47" s="9">
        <v>-550.4</v>
      </c>
    </row>
    <row r="48" spans="1:16" ht="19.5" customHeight="1">
      <c r="A48" s="1" t="s">
        <v>1571</v>
      </c>
      <c r="B48" s="5">
        <v>45999</v>
      </c>
      <c r="C48" s="1" t="s">
        <v>17</v>
      </c>
      <c r="D48" s="1" t="s">
        <v>37</v>
      </c>
      <c r="E48" s="1" t="s">
        <v>223</v>
      </c>
      <c r="F48" s="1" t="s">
        <v>395</v>
      </c>
      <c r="G48" s="1" t="s">
        <v>1229</v>
      </c>
      <c r="H48" s="6">
        <v>1</v>
      </c>
      <c r="I48" s="7">
        <v>1280</v>
      </c>
      <c r="J48" s="5">
        <v>45995</v>
      </c>
      <c r="K48" s="1" t="s">
        <v>957</v>
      </c>
      <c r="L48" s="1" t="s">
        <v>30</v>
      </c>
      <c r="M48" s="8">
        <v>0.43</v>
      </c>
      <c r="N48" s="6"/>
      <c r="O48" s="6"/>
      <c r="P48" s="9">
        <v>-5.98</v>
      </c>
    </row>
    <row r="49" spans="1:16" ht="19.5" customHeight="1">
      <c r="A49" s="1" t="s">
        <v>22</v>
      </c>
      <c r="B49" s="5">
        <v>45999</v>
      </c>
      <c r="C49" s="1" t="s">
        <v>77</v>
      </c>
      <c r="D49" s="1" t="s">
        <v>78</v>
      </c>
      <c r="E49" s="1" t="s">
        <v>22</v>
      </c>
      <c r="F49" s="1" t="s">
        <v>22</v>
      </c>
      <c r="G49" s="1" t="s">
        <v>1572</v>
      </c>
      <c r="H49" s="6">
        <v>0</v>
      </c>
      <c r="I49" s="7">
        <v>0</v>
      </c>
      <c r="J49" s="5">
        <v>45999</v>
      </c>
      <c r="K49" s="1" t="s">
        <v>22</v>
      </c>
      <c r="L49" s="1" t="s">
        <v>22</v>
      </c>
      <c r="M49" s="8">
        <v>0</v>
      </c>
      <c r="N49" s="6"/>
      <c r="O49" s="6"/>
      <c r="P49" s="9">
        <v>-450</v>
      </c>
    </row>
    <row r="50" spans="1:16" ht="19.5" customHeight="1">
      <c r="A50" s="1" t="s">
        <v>1573</v>
      </c>
      <c r="B50" s="5">
        <v>45999</v>
      </c>
      <c r="C50" s="1" t="s">
        <v>17</v>
      </c>
      <c r="D50" s="1" t="s">
        <v>18</v>
      </c>
      <c r="E50" s="1" t="s">
        <v>25</v>
      </c>
      <c r="F50" s="1" t="s">
        <v>26</v>
      </c>
      <c r="G50" s="1" t="s">
        <v>1229</v>
      </c>
      <c r="H50" s="6">
        <v>1</v>
      </c>
      <c r="I50" s="7">
        <v>0</v>
      </c>
      <c r="J50" s="5">
        <v>45999</v>
      </c>
      <c r="K50" s="1" t="s">
        <v>22</v>
      </c>
      <c r="L50" s="1" t="s">
        <v>22</v>
      </c>
      <c r="M50" s="8">
        <v>0</v>
      </c>
      <c r="N50" s="6"/>
      <c r="O50" s="6"/>
      <c r="P50" s="9">
        <v>-18.73</v>
      </c>
    </row>
    <row r="51" spans="1:16" ht="19.5" customHeight="1">
      <c r="A51" s="1" t="s">
        <v>1574</v>
      </c>
      <c r="B51" s="5">
        <v>46000</v>
      </c>
      <c r="C51" s="1" t="s">
        <v>28</v>
      </c>
      <c r="D51" s="1" t="s">
        <v>29</v>
      </c>
      <c r="E51" s="1" t="s">
        <v>25</v>
      </c>
      <c r="F51" s="1" t="s">
        <v>26</v>
      </c>
      <c r="G51" s="1" t="s">
        <v>1229</v>
      </c>
      <c r="H51" s="6">
        <v>1</v>
      </c>
      <c r="I51" s="7">
        <v>0</v>
      </c>
      <c r="J51" s="5">
        <v>45993</v>
      </c>
      <c r="K51" s="1" t="s">
        <v>957</v>
      </c>
      <c r="L51" s="1" t="s">
        <v>30</v>
      </c>
      <c r="M51" s="8">
        <v>0</v>
      </c>
      <c r="N51" s="6"/>
      <c r="O51" s="6">
        <v>41</v>
      </c>
      <c r="P51" s="9">
        <v>-46</v>
      </c>
    </row>
    <row r="52" spans="1:16" ht="19.5" customHeight="1">
      <c r="A52" s="1" t="s">
        <v>1574</v>
      </c>
      <c r="B52" s="5">
        <v>46000</v>
      </c>
      <c r="C52" s="1" t="s">
        <v>17</v>
      </c>
      <c r="D52" s="1" t="s">
        <v>37</v>
      </c>
      <c r="E52" s="1" t="s">
        <v>25</v>
      </c>
      <c r="F52" s="1" t="s">
        <v>26</v>
      </c>
      <c r="G52" s="1" t="s">
        <v>1229</v>
      </c>
      <c r="H52" s="6">
        <v>1</v>
      </c>
      <c r="I52" s="7">
        <v>0</v>
      </c>
      <c r="J52" s="5">
        <v>45993</v>
      </c>
      <c r="K52" s="1" t="s">
        <v>957</v>
      </c>
      <c r="L52" s="1" t="s">
        <v>30</v>
      </c>
      <c r="M52" s="8">
        <v>0</v>
      </c>
      <c r="N52" s="6"/>
      <c r="O52" s="6"/>
      <c r="P52" s="9">
        <v>-7.35</v>
      </c>
    </row>
    <row r="53" spans="1:16" ht="19.5" customHeight="1">
      <c r="A53" s="1" t="s">
        <v>1574</v>
      </c>
      <c r="B53" s="5">
        <v>46000</v>
      </c>
      <c r="C53" s="1" t="s">
        <v>28</v>
      </c>
      <c r="D53" s="1" t="s">
        <v>45</v>
      </c>
      <c r="E53" s="1" t="s">
        <v>25</v>
      </c>
      <c r="F53" s="1" t="s">
        <v>26</v>
      </c>
      <c r="G53" s="1" t="s">
        <v>1229</v>
      </c>
      <c r="H53" s="6">
        <v>1</v>
      </c>
      <c r="I53" s="7">
        <v>0</v>
      </c>
      <c r="J53" s="5">
        <v>45993</v>
      </c>
      <c r="K53" s="1" t="s">
        <v>957</v>
      </c>
      <c r="L53" s="1" t="s">
        <v>30</v>
      </c>
      <c r="M53" s="8">
        <v>0</v>
      </c>
      <c r="N53" s="6"/>
      <c r="O53" s="6"/>
      <c r="P53" s="9">
        <v>0</v>
      </c>
    </row>
    <row r="54" spans="1:16" ht="19.5" customHeight="1">
      <c r="A54" s="1" t="s">
        <v>1574</v>
      </c>
      <c r="B54" s="5">
        <v>46000</v>
      </c>
      <c r="C54" s="1" t="s">
        <v>28</v>
      </c>
      <c r="D54" s="1" t="s">
        <v>46</v>
      </c>
      <c r="E54" s="1" t="s">
        <v>25</v>
      </c>
      <c r="F54" s="1" t="s">
        <v>26</v>
      </c>
      <c r="G54" s="1" t="s">
        <v>1229</v>
      </c>
      <c r="H54" s="6">
        <v>1</v>
      </c>
      <c r="I54" s="7">
        <v>0</v>
      </c>
      <c r="J54" s="5">
        <v>45993</v>
      </c>
      <c r="K54" s="1" t="s">
        <v>957</v>
      </c>
      <c r="L54" s="1" t="s">
        <v>30</v>
      </c>
      <c r="M54" s="8">
        <v>0</v>
      </c>
      <c r="N54" s="6"/>
      <c r="O54" s="6"/>
      <c r="P54" s="9">
        <v>-46</v>
      </c>
    </row>
    <row r="55" spans="1:16" ht="19.5" customHeight="1">
      <c r="A55" s="1" t="s">
        <v>1574</v>
      </c>
      <c r="B55" s="5">
        <v>46000</v>
      </c>
      <c r="C55" s="1" t="s">
        <v>17</v>
      </c>
      <c r="D55" s="1" t="s">
        <v>47</v>
      </c>
      <c r="E55" s="1" t="s">
        <v>25</v>
      </c>
      <c r="F55" s="1" t="s">
        <v>26</v>
      </c>
      <c r="G55" s="1" t="s">
        <v>1229</v>
      </c>
      <c r="H55" s="6">
        <v>1</v>
      </c>
      <c r="I55" s="7">
        <v>0</v>
      </c>
      <c r="J55" s="5">
        <v>45993</v>
      </c>
      <c r="K55" s="1" t="s">
        <v>957</v>
      </c>
      <c r="L55" s="1" t="s">
        <v>30</v>
      </c>
      <c r="M55" s="8">
        <v>0</v>
      </c>
      <c r="N55" s="6"/>
      <c r="O55" s="6"/>
      <c r="P55" s="9">
        <v>-15</v>
      </c>
    </row>
    <row r="56" spans="1:16" ht="19.5" customHeight="1">
      <c r="A56" s="1" t="s">
        <v>1575</v>
      </c>
      <c r="B56" s="5">
        <v>46000</v>
      </c>
      <c r="C56" s="1" t="s">
        <v>28</v>
      </c>
      <c r="D56" s="1" t="s">
        <v>29</v>
      </c>
      <c r="E56" s="1" t="s">
        <v>25</v>
      </c>
      <c r="F56" s="1" t="s">
        <v>26</v>
      </c>
      <c r="G56" s="1" t="s">
        <v>1229</v>
      </c>
      <c r="H56" s="6">
        <v>1</v>
      </c>
      <c r="I56" s="7">
        <v>0</v>
      </c>
      <c r="J56" s="5">
        <v>45996</v>
      </c>
      <c r="K56" s="1" t="s">
        <v>957</v>
      </c>
      <c r="L56" s="1" t="s">
        <v>30</v>
      </c>
      <c r="M56" s="8">
        <v>0</v>
      </c>
      <c r="N56" s="6"/>
      <c r="O56" s="6">
        <v>40</v>
      </c>
      <c r="P56" s="9">
        <v>-46</v>
      </c>
    </row>
    <row r="57" spans="1:16" ht="19.5" customHeight="1">
      <c r="A57" s="1" t="s">
        <v>1575</v>
      </c>
      <c r="B57" s="5">
        <v>46000</v>
      </c>
      <c r="C57" s="1" t="s">
        <v>17</v>
      </c>
      <c r="D57" s="1" t="s">
        <v>37</v>
      </c>
      <c r="E57" s="1" t="s">
        <v>25</v>
      </c>
      <c r="F57" s="1" t="s">
        <v>26</v>
      </c>
      <c r="G57" s="1" t="s">
        <v>1229</v>
      </c>
      <c r="H57" s="6">
        <v>1</v>
      </c>
      <c r="I57" s="7">
        <v>0</v>
      </c>
      <c r="J57" s="5">
        <v>45996</v>
      </c>
      <c r="K57" s="1" t="s">
        <v>957</v>
      </c>
      <c r="L57" s="1" t="s">
        <v>30</v>
      </c>
      <c r="M57" s="8">
        <v>0</v>
      </c>
      <c r="N57" s="6"/>
      <c r="O57" s="6"/>
      <c r="P57" s="9">
        <v>-8.32</v>
      </c>
    </row>
    <row r="58" spans="1:16" ht="19.5" customHeight="1">
      <c r="A58" s="1" t="s">
        <v>1575</v>
      </c>
      <c r="B58" s="5">
        <v>46000</v>
      </c>
      <c r="C58" s="1" t="s">
        <v>28</v>
      </c>
      <c r="D58" s="1" t="s">
        <v>45</v>
      </c>
      <c r="E58" s="1" t="s">
        <v>25</v>
      </c>
      <c r="F58" s="1" t="s">
        <v>26</v>
      </c>
      <c r="G58" s="1" t="s">
        <v>1229</v>
      </c>
      <c r="H58" s="6">
        <v>1</v>
      </c>
      <c r="I58" s="7">
        <v>0</v>
      </c>
      <c r="J58" s="5">
        <v>45996</v>
      </c>
      <c r="K58" s="1" t="s">
        <v>957</v>
      </c>
      <c r="L58" s="1" t="s">
        <v>30</v>
      </c>
      <c r="M58" s="8">
        <v>0</v>
      </c>
      <c r="N58" s="6"/>
      <c r="O58" s="6"/>
      <c r="P58" s="9">
        <v>0</v>
      </c>
    </row>
    <row r="59" spans="1:16" ht="19.5" customHeight="1">
      <c r="A59" s="1" t="s">
        <v>1575</v>
      </c>
      <c r="B59" s="5">
        <v>46000</v>
      </c>
      <c r="C59" s="1" t="s">
        <v>28</v>
      </c>
      <c r="D59" s="1" t="s">
        <v>46</v>
      </c>
      <c r="E59" s="1" t="s">
        <v>25</v>
      </c>
      <c r="F59" s="1" t="s">
        <v>26</v>
      </c>
      <c r="G59" s="1" t="s">
        <v>1229</v>
      </c>
      <c r="H59" s="6">
        <v>1</v>
      </c>
      <c r="I59" s="7">
        <v>0</v>
      </c>
      <c r="J59" s="5">
        <v>45996</v>
      </c>
      <c r="K59" s="1" t="s">
        <v>957</v>
      </c>
      <c r="L59" s="1" t="s">
        <v>30</v>
      </c>
      <c r="M59" s="8">
        <v>0</v>
      </c>
      <c r="N59" s="6"/>
      <c r="O59" s="6"/>
      <c r="P59" s="9">
        <v>-46</v>
      </c>
    </row>
    <row r="60" spans="1:16" ht="19.5" customHeight="1">
      <c r="A60" s="1" t="s">
        <v>1575</v>
      </c>
      <c r="B60" s="5">
        <v>46000</v>
      </c>
      <c r="C60" s="1" t="s">
        <v>17</v>
      </c>
      <c r="D60" s="1" t="s">
        <v>47</v>
      </c>
      <c r="E60" s="1" t="s">
        <v>25</v>
      </c>
      <c r="F60" s="1" t="s">
        <v>26</v>
      </c>
      <c r="G60" s="1" t="s">
        <v>1229</v>
      </c>
      <c r="H60" s="6">
        <v>1</v>
      </c>
      <c r="I60" s="7">
        <v>0</v>
      </c>
      <c r="J60" s="5">
        <v>45996</v>
      </c>
      <c r="K60" s="1" t="s">
        <v>957</v>
      </c>
      <c r="L60" s="1" t="s">
        <v>30</v>
      </c>
      <c r="M60" s="8">
        <v>0</v>
      </c>
      <c r="N60" s="6"/>
      <c r="O60" s="6"/>
      <c r="P60" s="9">
        <v>-15</v>
      </c>
    </row>
    <row r="61" spans="1:16" ht="19.5" customHeight="1">
      <c r="A61" s="1" t="s">
        <v>1570</v>
      </c>
      <c r="B61" s="5">
        <v>46000</v>
      </c>
      <c r="C61" s="1" t="s">
        <v>261</v>
      </c>
      <c r="D61" s="1" t="s">
        <v>581</v>
      </c>
      <c r="E61" s="1" t="s">
        <v>22</v>
      </c>
      <c r="F61" s="1" t="s">
        <v>22</v>
      </c>
      <c r="G61" s="1" t="s">
        <v>22</v>
      </c>
      <c r="H61" s="6">
        <v>0</v>
      </c>
      <c r="I61" s="7">
        <v>0</v>
      </c>
      <c r="J61" s="5">
        <v>46000</v>
      </c>
      <c r="K61" s="1" t="s">
        <v>22</v>
      </c>
      <c r="L61" s="1" t="s">
        <v>22</v>
      </c>
      <c r="M61" s="8">
        <v>0</v>
      </c>
      <c r="N61" s="6"/>
      <c r="O61" s="6"/>
      <c r="P61" s="9">
        <v>-800</v>
      </c>
    </row>
    <row r="62" spans="1:16" ht="19.5" customHeight="1">
      <c r="A62" s="1" t="s">
        <v>1576</v>
      </c>
      <c r="B62" s="5">
        <v>46000</v>
      </c>
      <c r="C62" s="1" t="s">
        <v>28</v>
      </c>
      <c r="D62" s="1" t="s">
        <v>29</v>
      </c>
      <c r="E62" s="1" t="s">
        <v>242</v>
      </c>
      <c r="F62" s="1" t="s">
        <v>1101</v>
      </c>
      <c r="G62" s="1" t="s">
        <v>1133</v>
      </c>
      <c r="H62" s="6">
        <v>1</v>
      </c>
      <c r="I62" s="7">
        <v>2320</v>
      </c>
      <c r="J62" s="5">
        <v>45988</v>
      </c>
      <c r="K62" s="1" t="s">
        <v>957</v>
      </c>
      <c r="L62" s="1" t="s">
        <v>30</v>
      </c>
      <c r="M62" s="8">
        <v>0.43</v>
      </c>
      <c r="N62" s="6"/>
      <c r="O62" s="6">
        <v>42</v>
      </c>
      <c r="P62" s="9">
        <v>-154.04</v>
      </c>
    </row>
    <row r="63" spans="1:16" ht="19.5" customHeight="1">
      <c r="A63" s="1" t="s">
        <v>1576</v>
      </c>
      <c r="B63" s="5">
        <v>46000</v>
      </c>
      <c r="C63" s="1" t="s">
        <v>31</v>
      </c>
      <c r="D63" s="1" t="s">
        <v>32</v>
      </c>
      <c r="E63" s="1" t="s">
        <v>242</v>
      </c>
      <c r="F63" s="1" t="s">
        <v>1101</v>
      </c>
      <c r="G63" s="1" t="s">
        <v>1133</v>
      </c>
      <c r="H63" s="6">
        <v>1</v>
      </c>
      <c r="I63" s="7">
        <v>2320</v>
      </c>
      <c r="J63" s="5">
        <v>45988</v>
      </c>
      <c r="K63" s="1" t="s">
        <v>957</v>
      </c>
      <c r="L63" s="1" t="s">
        <v>30</v>
      </c>
      <c r="M63" s="8">
        <v>0</v>
      </c>
      <c r="N63" s="6"/>
      <c r="O63" s="6"/>
      <c r="P63" s="9">
        <v>997.27</v>
      </c>
    </row>
    <row r="64" spans="1:16" ht="19.5" customHeight="1">
      <c r="A64" s="1" t="s">
        <v>1576</v>
      </c>
      <c r="B64" s="5">
        <v>46000</v>
      </c>
      <c r="C64" s="1" t="s">
        <v>31</v>
      </c>
      <c r="D64" s="1" t="s">
        <v>33</v>
      </c>
      <c r="E64" s="1" t="s">
        <v>242</v>
      </c>
      <c r="F64" s="1" t="s">
        <v>1101</v>
      </c>
      <c r="G64" s="1" t="s">
        <v>1133</v>
      </c>
      <c r="H64" s="6">
        <v>1</v>
      </c>
      <c r="I64" s="7">
        <v>2320</v>
      </c>
      <c r="J64" s="5">
        <v>45988</v>
      </c>
      <c r="K64" s="1" t="s">
        <v>957</v>
      </c>
      <c r="L64" s="1" t="s">
        <v>30</v>
      </c>
      <c r="M64" s="8">
        <v>0</v>
      </c>
      <c r="N64" s="6"/>
      <c r="O64" s="6"/>
      <c r="P64" s="9">
        <v>9.9700000000000006</v>
      </c>
    </row>
    <row r="65" spans="1:16" ht="19.5" customHeight="1">
      <c r="A65" s="1" t="s">
        <v>1576</v>
      </c>
      <c r="B65" s="5">
        <v>46000</v>
      </c>
      <c r="C65" s="1" t="s">
        <v>31</v>
      </c>
      <c r="D65" s="1" t="s">
        <v>34</v>
      </c>
      <c r="E65" s="1" t="s">
        <v>242</v>
      </c>
      <c r="F65" s="1" t="s">
        <v>1101</v>
      </c>
      <c r="G65" s="1" t="s">
        <v>1133</v>
      </c>
      <c r="H65" s="6">
        <v>1</v>
      </c>
      <c r="I65" s="7">
        <v>2320</v>
      </c>
      <c r="J65" s="5">
        <v>45988</v>
      </c>
      <c r="K65" s="1" t="s">
        <v>957</v>
      </c>
      <c r="L65" s="1" t="s">
        <v>30</v>
      </c>
      <c r="M65" s="8">
        <v>0</v>
      </c>
      <c r="N65" s="6"/>
      <c r="O65" s="6"/>
      <c r="P65" s="9">
        <v>1312.76</v>
      </c>
    </row>
    <row r="66" spans="1:16" ht="19.5" customHeight="1">
      <c r="A66" s="1" t="s">
        <v>1576</v>
      </c>
      <c r="B66" s="5">
        <v>46000</v>
      </c>
      <c r="C66" s="1" t="s">
        <v>35</v>
      </c>
      <c r="D66" s="1" t="s">
        <v>36</v>
      </c>
      <c r="E66" s="1" t="s">
        <v>242</v>
      </c>
      <c r="F66" s="1" t="s">
        <v>1101</v>
      </c>
      <c r="G66" s="1" t="s">
        <v>1133</v>
      </c>
      <c r="H66" s="6">
        <v>1</v>
      </c>
      <c r="I66" s="7">
        <v>2320</v>
      </c>
      <c r="J66" s="5">
        <v>45988</v>
      </c>
      <c r="K66" s="1" t="s">
        <v>957</v>
      </c>
      <c r="L66" s="1" t="s">
        <v>30</v>
      </c>
      <c r="M66" s="8">
        <v>0.43</v>
      </c>
      <c r="N66" s="6"/>
      <c r="O66" s="6"/>
      <c r="P66" s="9">
        <v>-997.6</v>
      </c>
    </row>
    <row r="67" spans="1:16" ht="19.5" customHeight="1">
      <c r="A67" s="1" t="s">
        <v>1576</v>
      </c>
      <c r="B67" s="5">
        <v>46000</v>
      </c>
      <c r="C67" s="1" t="s">
        <v>17</v>
      </c>
      <c r="D67" s="1" t="s">
        <v>37</v>
      </c>
      <c r="E67" s="1" t="s">
        <v>242</v>
      </c>
      <c r="F67" s="1" t="s">
        <v>1101</v>
      </c>
      <c r="G67" s="1" t="s">
        <v>1133</v>
      </c>
      <c r="H67" s="6">
        <v>1</v>
      </c>
      <c r="I67" s="7">
        <v>2320</v>
      </c>
      <c r="J67" s="5">
        <v>45988</v>
      </c>
      <c r="K67" s="1" t="s">
        <v>957</v>
      </c>
      <c r="L67" s="1" t="s">
        <v>30</v>
      </c>
      <c r="M67" s="8">
        <v>0.43</v>
      </c>
      <c r="N67" s="6"/>
      <c r="O67" s="6"/>
      <c r="P67" s="9">
        <v>-9.82</v>
      </c>
    </row>
    <row r="68" spans="1:16" ht="19.5" customHeight="1">
      <c r="A68" s="1" t="s">
        <v>1576</v>
      </c>
      <c r="B68" s="5">
        <v>46000</v>
      </c>
      <c r="C68" s="1" t="s">
        <v>17</v>
      </c>
      <c r="D68" s="1" t="s">
        <v>18</v>
      </c>
      <c r="E68" s="1" t="s">
        <v>242</v>
      </c>
      <c r="F68" s="1" t="s">
        <v>1101</v>
      </c>
      <c r="G68" s="1" t="s">
        <v>1133</v>
      </c>
      <c r="H68" s="6">
        <v>1</v>
      </c>
      <c r="I68" s="7">
        <v>0</v>
      </c>
      <c r="J68" s="5">
        <v>45988</v>
      </c>
      <c r="K68" s="1" t="s">
        <v>22</v>
      </c>
      <c r="L68" s="1" t="s">
        <v>22</v>
      </c>
      <c r="M68" s="8">
        <v>0</v>
      </c>
      <c r="N68" s="6"/>
      <c r="O68" s="6"/>
      <c r="P68" s="9">
        <v>-18.95</v>
      </c>
    </row>
    <row r="69" spans="1:16" ht="19.5" customHeight="1">
      <c r="A69" s="1" t="s">
        <v>1388</v>
      </c>
      <c r="B69" s="5">
        <v>46000</v>
      </c>
      <c r="C69" s="1" t="s">
        <v>28</v>
      </c>
      <c r="D69" s="1" t="s">
        <v>60</v>
      </c>
      <c r="E69" s="1" t="s">
        <v>222</v>
      </c>
      <c r="F69" s="1" t="s">
        <v>412</v>
      </c>
      <c r="G69" s="1" t="s">
        <v>1229</v>
      </c>
      <c r="H69" s="6">
        <v>1</v>
      </c>
      <c r="I69" s="7">
        <v>0</v>
      </c>
      <c r="J69" s="5">
        <v>45985</v>
      </c>
      <c r="K69" s="1" t="s">
        <v>957</v>
      </c>
      <c r="L69" s="1" t="s">
        <v>30</v>
      </c>
      <c r="M69" s="8">
        <v>0</v>
      </c>
      <c r="N69" s="6"/>
      <c r="O69" s="6"/>
      <c r="P69" s="9">
        <v>0</v>
      </c>
    </row>
    <row r="70" spans="1:16" ht="19.5" customHeight="1">
      <c r="A70" s="1" t="s">
        <v>1388</v>
      </c>
      <c r="B70" s="5">
        <v>46000</v>
      </c>
      <c r="C70" s="1" t="s">
        <v>28</v>
      </c>
      <c r="D70" s="1" t="s">
        <v>46</v>
      </c>
      <c r="E70" s="1" t="s">
        <v>222</v>
      </c>
      <c r="F70" s="1" t="s">
        <v>412</v>
      </c>
      <c r="G70" s="1" t="s">
        <v>1229</v>
      </c>
      <c r="H70" s="6">
        <v>1</v>
      </c>
      <c r="I70" s="7">
        <v>0</v>
      </c>
      <c r="J70" s="5">
        <v>45985</v>
      </c>
      <c r="K70" s="1" t="s">
        <v>957</v>
      </c>
      <c r="L70" s="1" t="s">
        <v>30</v>
      </c>
      <c r="M70" s="8">
        <v>0</v>
      </c>
      <c r="N70" s="6"/>
      <c r="O70" s="6"/>
      <c r="P70" s="9">
        <v>-46</v>
      </c>
    </row>
    <row r="71" spans="1:16" ht="19.5" customHeight="1">
      <c r="A71" s="1" t="s">
        <v>1388</v>
      </c>
      <c r="B71" s="5">
        <v>46000</v>
      </c>
      <c r="C71" s="1" t="s">
        <v>17</v>
      </c>
      <c r="D71" s="1" t="s">
        <v>47</v>
      </c>
      <c r="E71" s="1" t="s">
        <v>222</v>
      </c>
      <c r="F71" s="1" t="s">
        <v>412</v>
      </c>
      <c r="G71" s="1" t="s">
        <v>1229</v>
      </c>
      <c r="H71" s="6">
        <v>1</v>
      </c>
      <c r="I71" s="7">
        <v>0</v>
      </c>
      <c r="J71" s="5">
        <v>45985</v>
      </c>
      <c r="K71" s="1" t="s">
        <v>957</v>
      </c>
      <c r="L71" s="1" t="s">
        <v>30</v>
      </c>
      <c r="M71" s="8">
        <v>0</v>
      </c>
      <c r="N71" s="6"/>
      <c r="O71" s="6"/>
      <c r="P71" s="9">
        <v>-15</v>
      </c>
    </row>
    <row r="72" spans="1:16" ht="19.5" customHeight="1">
      <c r="A72" s="1" t="s">
        <v>1577</v>
      </c>
      <c r="B72" s="5">
        <v>46000</v>
      </c>
      <c r="C72" s="1" t="s">
        <v>28</v>
      </c>
      <c r="D72" s="1" t="s">
        <v>29</v>
      </c>
      <c r="E72" s="1" t="s">
        <v>240</v>
      </c>
      <c r="F72" s="1" t="s">
        <v>802</v>
      </c>
      <c r="G72" s="1" t="s">
        <v>1133</v>
      </c>
      <c r="H72" s="6">
        <v>1</v>
      </c>
      <c r="I72" s="7">
        <v>0</v>
      </c>
      <c r="J72" s="5">
        <v>45986</v>
      </c>
      <c r="K72" s="1" t="s">
        <v>957</v>
      </c>
      <c r="L72" s="1" t="s">
        <v>30</v>
      </c>
      <c r="M72" s="8">
        <v>0</v>
      </c>
      <c r="N72" s="6"/>
      <c r="O72" s="6">
        <v>44</v>
      </c>
      <c r="P72" s="9">
        <v>-56</v>
      </c>
    </row>
    <row r="73" spans="1:16" ht="19.5" customHeight="1">
      <c r="A73" s="1" t="s">
        <v>1577</v>
      </c>
      <c r="B73" s="5">
        <v>46000</v>
      </c>
      <c r="C73" s="1" t="s">
        <v>17</v>
      </c>
      <c r="D73" s="1" t="s">
        <v>37</v>
      </c>
      <c r="E73" s="1" t="s">
        <v>240</v>
      </c>
      <c r="F73" s="1" t="s">
        <v>802</v>
      </c>
      <c r="G73" s="1" t="s">
        <v>1133</v>
      </c>
      <c r="H73" s="6">
        <v>1</v>
      </c>
      <c r="I73" s="7">
        <v>0</v>
      </c>
      <c r="J73" s="5">
        <v>45986</v>
      </c>
      <c r="K73" s="1" t="s">
        <v>957</v>
      </c>
      <c r="L73" s="1" t="s">
        <v>30</v>
      </c>
      <c r="M73" s="8">
        <v>0</v>
      </c>
      <c r="N73" s="6"/>
      <c r="O73" s="6"/>
      <c r="P73" s="9">
        <v>-12.45</v>
      </c>
    </row>
    <row r="74" spans="1:16" ht="19.5" customHeight="1">
      <c r="A74" s="1" t="s">
        <v>1577</v>
      </c>
      <c r="B74" s="5">
        <v>46000</v>
      </c>
      <c r="C74" s="1" t="s">
        <v>28</v>
      </c>
      <c r="D74" s="1" t="s">
        <v>45</v>
      </c>
      <c r="E74" s="1" t="s">
        <v>240</v>
      </c>
      <c r="F74" s="1" t="s">
        <v>802</v>
      </c>
      <c r="G74" s="1" t="s">
        <v>1133</v>
      </c>
      <c r="H74" s="6">
        <v>1</v>
      </c>
      <c r="I74" s="7">
        <v>0</v>
      </c>
      <c r="J74" s="5">
        <v>45986</v>
      </c>
      <c r="K74" s="1" t="s">
        <v>957</v>
      </c>
      <c r="L74" s="1" t="s">
        <v>30</v>
      </c>
      <c r="M74" s="8">
        <v>0</v>
      </c>
      <c r="N74" s="6"/>
      <c r="O74" s="6"/>
      <c r="P74" s="9">
        <v>0</v>
      </c>
    </row>
    <row r="75" spans="1:16" ht="19.5" customHeight="1">
      <c r="A75" s="1" t="s">
        <v>1577</v>
      </c>
      <c r="B75" s="5">
        <v>46000</v>
      </c>
      <c r="C75" s="1" t="s">
        <v>28</v>
      </c>
      <c r="D75" s="1" t="s">
        <v>46</v>
      </c>
      <c r="E75" s="1" t="s">
        <v>240</v>
      </c>
      <c r="F75" s="1" t="s">
        <v>802</v>
      </c>
      <c r="G75" s="1" t="s">
        <v>1133</v>
      </c>
      <c r="H75" s="6">
        <v>1</v>
      </c>
      <c r="I75" s="7">
        <v>0</v>
      </c>
      <c r="J75" s="5">
        <v>45986</v>
      </c>
      <c r="K75" s="1" t="s">
        <v>957</v>
      </c>
      <c r="L75" s="1" t="s">
        <v>30</v>
      </c>
      <c r="M75" s="8">
        <v>0</v>
      </c>
      <c r="N75" s="6"/>
      <c r="O75" s="6"/>
      <c r="P75" s="9">
        <v>-56</v>
      </c>
    </row>
    <row r="76" spans="1:16" ht="19.5" customHeight="1">
      <c r="A76" s="1" t="s">
        <v>1577</v>
      </c>
      <c r="B76" s="5">
        <v>46000</v>
      </c>
      <c r="C76" s="1" t="s">
        <v>17</v>
      </c>
      <c r="D76" s="1" t="s">
        <v>47</v>
      </c>
      <c r="E76" s="1" t="s">
        <v>240</v>
      </c>
      <c r="F76" s="1" t="s">
        <v>802</v>
      </c>
      <c r="G76" s="1" t="s">
        <v>1133</v>
      </c>
      <c r="H76" s="6">
        <v>1</v>
      </c>
      <c r="I76" s="7">
        <v>0</v>
      </c>
      <c r="J76" s="5">
        <v>45986</v>
      </c>
      <c r="K76" s="1" t="s">
        <v>957</v>
      </c>
      <c r="L76" s="1" t="s">
        <v>30</v>
      </c>
      <c r="M76" s="8">
        <v>0</v>
      </c>
      <c r="N76" s="6"/>
      <c r="O76" s="6"/>
      <c r="P76" s="9">
        <v>-15</v>
      </c>
    </row>
    <row r="77" spans="1:16" ht="19.5" customHeight="1">
      <c r="A77" s="1" t="s">
        <v>1578</v>
      </c>
      <c r="B77" s="5">
        <v>46000</v>
      </c>
      <c r="C77" s="1" t="s">
        <v>28</v>
      </c>
      <c r="D77" s="1" t="s">
        <v>29</v>
      </c>
      <c r="E77" s="1" t="s">
        <v>223</v>
      </c>
      <c r="F77" s="1" t="s">
        <v>395</v>
      </c>
      <c r="G77" s="1" t="s">
        <v>1229</v>
      </c>
      <c r="H77" s="6">
        <v>1</v>
      </c>
      <c r="I77" s="7">
        <v>1307</v>
      </c>
      <c r="J77" s="5">
        <v>45994</v>
      </c>
      <c r="K77" s="1" t="s">
        <v>957</v>
      </c>
      <c r="L77" s="1" t="s">
        <v>30</v>
      </c>
      <c r="M77" s="8">
        <v>0.43</v>
      </c>
      <c r="N77" s="6"/>
      <c r="O77" s="6">
        <v>40</v>
      </c>
      <c r="P77" s="9">
        <v>-102.79</v>
      </c>
    </row>
    <row r="78" spans="1:16" ht="19.5" customHeight="1">
      <c r="A78" s="1" t="s">
        <v>1578</v>
      </c>
      <c r="B78" s="5">
        <v>46000</v>
      </c>
      <c r="C78" s="1" t="s">
        <v>31</v>
      </c>
      <c r="D78" s="1" t="s">
        <v>32</v>
      </c>
      <c r="E78" s="1" t="s">
        <v>223</v>
      </c>
      <c r="F78" s="1" t="s">
        <v>395</v>
      </c>
      <c r="G78" s="1" t="s">
        <v>1229</v>
      </c>
      <c r="H78" s="6">
        <v>1</v>
      </c>
      <c r="I78" s="7">
        <v>1307</v>
      </c>
      <c r="J78" s="5">
        <v>45994</v>
      </c>
      <c r="K78" s="1" t="s">
        <v>957</v>
      </c>
      <c r="L78" s="1" t="s">
        <v>30</v>
      </c>
      <c r="M78" s="8">
        <v>0</v>
      </c>
      <c r="N78" s="6"/>
      <c r="O78" s="6"/>
      <c r="P78" s="9">
        <v>519.04999999999995</v>
      </c>
    </row>
    <row r="79" spans="1:16" ht="19.5" customHeight="1">
      <c r="A79" s="1" t="s">
        <v>1578</v>
      </c>
      <c r="B79" s="5">
        <v>46000</v>
      </c>
      <c r="C79" s="1" t="s">
        <v>31</v>
      </c>
      <c r="D79" s="1" t="s">
        <v>33</v>
      </c>
      <c r="E79" s="1" t="s">
        <v>223</v>
      </c>
      <c r="F79" s="1" t="s">
        <v>395</v>
      </c>
      <c r="G79" s="1" t="s">
        <v>1229</v>
      </c>
      <c r="H79" s="6">
        <v>1</v>
      </c>
      <c r="I79" s="7">
        <v>1307</v>
      </c>
      <c r="J79" s="5">
        <v>45994</v>
      </c>
      <c r="K79" s="1" t="s">
        <v>957</v>
      </c>
      <c r="L79" s="1" t="s">
        <v>30</v>
      </c>
      <c r="M79" s="8">
        <v>0</v>
      </c>
      <c r="N79" s="6"/>
      <c r="O79" s="6"/>
      <c r="P79" s="9">
        <v>5.19</v>
      </c>
    </row>
    <row r="80" spans="1:16" ht="19.5" customHeight="1">
      <c r="A80" s="1" t="s">
        <v>1578</v>
      </c>
      <c r="B80" s="5">
        <v>46000</v>
      </c>
      <c r="C80" s="1" t="s">
        <v>31</v>
      </c>
      <c r="D80" s="1" t="s">
        <v>34</v>
      </c>
      <c r="E80" s="1" t="s">
        <v>223</v>
      </c>
      <c r="F80" s="1" t="s">
        <v>395</v>
      </c>
      <c r="G80" s="1" t="s">
        <v>1229</v>
      </c>
      <c r="H80" s="6">
        <v>1</v>
      </c>
      <c r="I80" s="7">
        <v>1307</v>
      </c>
      <c r="J80" s="5">
        <v>45994</v>
      </c>
      <c r="K80" s="1" t="s">
        <v>957</v>
      </c>
      <c r="L80" s="1" t="s">
        <v>30</v>
      </c>
      <c r="M80" s="8">
        <v>0</v>
      </c>
      <c r="N80" s="6"/>
      <c r="O80" s="6"/>
      <c r="P80" s="9">
        <v>782.76</v>
      </c>
    </row>
    <row r="81" spans="1:16" ht="19.5" customHeight="1">
      <c r="A81" s="1" t="s">
        <v>1578</v>
      </c>
      <c r="B81" s="5">
        <v>46000</v>
      </c>
      <c r="C81" s="1" t="s">
        <v>35</v>
      </c>
      <c r="D81" s="1" t="s">
        <v>36</v>
      </c>
      <c r="E81" s="1" t="s">
        <v>223</v>
      </c>
      <c r="F81" s="1" t="s">
        <v>395</v>
      </c>
      <c r="G81" s="1" t="s">
        <v>1229</v>
      </c>
      <c r="H81" s="6">
        <v>1</v>
      </c>
      <c r="I81" s="7">
        <v>1307</v>
      </c>
      <c r="J81" s="5">
        <v>45994</v>
      </c>
      <c r="K81" s="1" t="s">
        <v>957</v>
      </c>
      <c r="L81" s="1" t="s">
        <v>30</v>
      </c>
      <c r="M81" s="8">
        <v>0.43</v>
      </c>
      <c r="N81" s="6"/>
      <c r="O81" s="6"/>
      <c r="P81" s="9">
        <v>-562.01</v>
      </c>
    </row>
    <row r="82" spans="1:16" ht="19.5" customHeight="1">
      <c r="A82" s="1" t="s">
        <v>1579</v>
      </c>
      <c r="B82" s="5">
        <v>46000</v>
      </c>
      <c r="C82" s="1" t="s">
        <v>28</v>
      </c>
      <c r="D82" s="1" t="s">
        <v>29</v>
      </c>
      <c r="E82" s="1" t="s">
        <v>223</v>
      </c>
      <c r="F82" s="1" t="s">
        <v>395</v>
      </c>
      <c r="G82" s="1" t="s">
        <v>1229</v>
      </c>
      <c r="H82" s="6">
        <v>1</v>
      </c>
      <c r="I82" s="7">
        <v>1280</v>
      </c>
      <c r="J82" s="5">
        <v>45995</v>
      </c>
      <c r="K82" s="1" t="s">
        <v>957</v>
      </c>
      <c r="L82" s="1" t="s">
        <v>30</v>
      </c>
      <c r="M82" s="8">
        <v>0.43</v>
      </c>
      <c r="N82" s="6"/>
      <c r="O82" s="6">
        <v>42</v>
      </c>
      <c r="P82" s="9">
        <v>-108.7</v>
      </c>
    </row>
    <row r="83" spans="1:16" ht="19.5" customHeight="1">
      <c r="A83" s="1" t="s">
        <v>1579</v>
      </c>
      <c r="B83" s="5">
        <v>46000</v>
      </c>
      <c r="C83" s="1" t="s">
        <v>31</v>
      </c>
      <c r="D83" s="1" t="s">
        <v>32</v>
      </c>
      <c r="E83" s="1" t="s">
        <v>223</v>
      </c>
      <c r="F83" s="1" t="s">
        <v>395</v>
      </c>
      <c r="G83" s="1" t="s">
        <v>1229</v>
      </c>
      <c r="H83" s="6">
        <v>1</v>
      </c>
      <c r="I83" s="7">
        <v>1280</v>
      </c>
      <c r="J83" s="5">
        <v>45995</v>
      </c>
      <c r="K83" s="1" t="s">
        <v>957</v>
      </c>
      <c r="L83" s="1" t="s">
        <v>30</v>
      </c>
      <c r="M83" s="8">
        <v>0</v>
      </c>
      <c r="N83" s="6"/>
      <c r="O83" s="6"/>
      <c r="P83" s="9">
        <v>566.29</v>
      </c>
    </row>
    <row r="84" spans="1:16" ht="19.5" customHeight="1">
      <c r="A84" s="1" t="s">
        <v>1579</v>
      </c>
      <c r="B84" s="5">
        <v>46000</v>
      </c>
      <c r="C84" s="1" t="s">
        <v>31</v>
      </c>
      <c r="D84" s="1" t="s">
        <v>33</v>
      </c>
      <c r="E84" s="1" t="s">
        <v>223</v>
      </c>
      <c r="F84" s="1" t="s">
        <v>395</v>
      </c>
      <c r="G84" s="1" t="s">
        <v>1229</v>
      </c>
      <c r="H84" s="6">
        <v>1</v>
      </c>
      <c r="I84" s="7">
        <v>1280</v>
      </c>
      <c r="J84" s="5">
        <v>45995</v>
      </c>
      <c r="K84" s="1" t="s">
        <v>957</v>
      </c>
      <c r="L84" s="1" t="s">
        <v>30</v>
      </c>
      <c r="M84" s="8">
        <v>0</v>
      </c>
      <c r="N84" s="6"/>
      <c r="O84" s="6"/>
      <c r="P84" s="9">
        <v>5.66</v>
      </c>
    </row>
    <row r="85" spans="1:16" ht="19.5" customHeight="1">
      <c r="A85" s="1" t="s">
        <v>1579</v>
      </c>
      <c r="B85" s="5">
        <v>46000</v>
      </c>
      <c r="C85" s="1" t="s">
        <v>31</v>
      </c>
      <c r="D85" s="1" t="s">
        <v>34</v>
      </c>
      <c r="E85" s="1" t="s">
        <v>223</v>
      </c>
      <c r="F85" s="1" t="s">
        <v>395</v>
      </c>
      <c r="G85" s="1" t="s">
        <v>1229</v>
      </c>
      <c r="H85" s="6">
        <v>1</v>
      </c>
      <c r="I85" s="7">
        <v>1280</v>
      </c>
      <c r="J85" s="5">
        <v>45995</v>
      </c>
      <c r="K85" s="1" t="s">
        <v>957</v>
      </c>
      <c r="L85" s="1" t="s">
        <v>30</v>
      </c>
      <c r="M85" s="8">
        <v>0</v>
      </c>
      <c r="N85" s="6"/>
      <c r="O85" s="6"/>
      <c r="P85" s="9">
        <v>708.05</v>
      </c>
    </row>
    <row r="86" spans="1:16" ht="19.5" customHeight="1">
      <c r="A86" s="1" t="s">
        <v>1579</v>
      </c>
      <c r="B86" s="5">
        <v>46000</v>
      </c>
      <c r="C86" s="1" t="s">
        <v>35</v>
      </c>
      <c r="D86" s="1" t="s">
        <v>36</v>
      </c>
      <c r="E86" s="1" t="s">
        <v>223</v>
      </c>
      <c r="F86" s="1" t="s">
        <v>395</v>
      </c>
      <c r="G86" s="1" t="s">
        <v>1229</v>
      </c>
      <c r="H86" s="6">
        <v>1</v>
      </c>
      <c r="I86" s="7">
        <v>1280</v>
      </c>
      <c r="J86" s="5">
        <v>45995</v>
      </c>
      <c r="K86" s="1" t="s">
        <v>957</v>
      </c>
      <c r="L86" s="1" t="s">
        <v>30</v>
      </c>
      <c r="M86" s="8">
        <v>0.43</v>
      </c>
      <c r="N86" s="6"/>
      <c r="O86" s="6"/>
      <c r="P86" s="9">
        <v>-550.4</v>
      </c>
    </row>
    <row r="87" spans="1:16" ht="19.5" customHeight="1">
      <c r="A87" s="1" t="s">
        <v>1579</v>
      </c>
      <c r="B87" s="5">
        <v>46000</v>
      </c>
      <c r="C87" s="1" t="s">
        <v>17</v>
      </c>
      <c r="D87" s="1" t="s">
        <v>37</v>
      </c>
      <c r="E87" s="1" t="s">
        <v>223</v>
      </c>
      <c r="F87" s="1" t="s">
        <v>395</v>
      </c>
      <c r="G87" s="1" t="s">
        <v>1229</v>
      </c>
      <c r="H87" s="6">
        <v>1</v>
      </c>
      <c r="I87" s="7">
        <v>1280</v>
      </c>
      <c r="J87" s="5">
        <v>45995</v>
      </c>
      <c r="K87" s="1" t="s">
        <v>957</v>
      </c>
      <c r="L87" s="1" t="s">
        <v>30</v>
      </c>
      <c r="M87" s="8">
        <v>0.43</v>
      </c>
      <c r="N87" s="6"/>
      <c r="O87" s="6"/>
      <c r="P87" s="9">
        <v>-6.91</v>
      </c>
    </row>
    <row r="88" spans="1:16" ht="19.5" customHeight="1">
      <c r="A88" s="1" t="s">
        <v>1579</v>
      </c>
      <c r="B88" s="5">
        <v>46000</v>
      </c>
      <c r="C88" s="1" t="s">
        <v>17</v>
      </c>
      <c r="D88" s="1" t="s">
        <v>18</v>
      </c>
      <c r="E88" s="1" t="s">
        <v>223</v>
      </c>
      <c r="F88" s="1" t="s">
        <v>395</v>
      </c>
      <c r="G88" s="1" t="s">
        <v>1229</v>
      </c>
      <c r="H88" s="6">
        <v>1</v>
      </c>
      <c r="I88" s="7">
        <v>0</v>
      </c>
      <c r="J88" s="5">
        <v>45995</v>
      </c>
      <c r="K88" s="1" t="s">
        <v>22</v>
      </c>
      <c r="L88" s="1" t="s">
        <v>22</v>
      </c>
      <c r="M88" s="8">
        <v>0</v>
      </c>
      <c r="N88" s="6"/>
      <c r="O88" s="6"/>
      <c r="P88" s="9">
        <v>-10.76</v>
      </c>
    </row>
    <row r="89" spans="1:16" ht="19.5" customHeight="1">
      <c r="A89" s="1" t="s">
        <v>1580</v>
      </c>
      <c r="B89" s="5">
        <v>46000</v>
      </c>
      <c r="C89" s="1" t="s">
        <v>28</v>
      </c>
      <c r="D89" s="1" t="s">
        <v>29</v>
      </c>
      <c r="E89" s="1" t="s">
        <v>25</v>
      </c>
      <c r="F89" s="1" t="s">
        <v>26</v>
      </c>
      <c r="G89" s="1" t="s">
        <v>1229</v>
      </c>
      <c r="H89" s="6">
        <v>1</v>
      </c>
      <c r="I89" s="7">
        <v>0</v>
      </c>
      <c r="J89" s="5">
        <v>45987</v>
      </c>
      <c r="K89" s="1" t="s">
        <v>957</v>
      </c>
      <c r="L89" s="1" t="s">
        <v>30</v>
      </c>
      <c r="M89" s="8">
        <v>0</v>
      </c>
      <c r="N89" s="6"/>
      <c r="O89" s="6">
        <v>44</v>
      </c>
      <c r="P89" s="9">
        <v>-46</v>
      </c>
    </row>
    <row r="90" spans="1:16" ht="19.5" customHeight="1">
      <c r="A90" s="1" t="s">
        <v>1580</v>
      </c>
      <c r="B90" s="5">
        <v>46000</v>
      </c>
      <c r="C90" s="1" t="s">
        <v>17</v>
      </c>
      <c r="D90" s="1" t="s">
        <v>37</v>
      </c>
      <c r="E90" s="1" t="s">
        <v>25</v>
      </c>
      <c r="F90" s="1" t="s">
        <v>26</v>
      </c>
      <c r="G90" s="1" t="s">
        <v>1229</v>
      </c>
      <c r="H90" s="6">
        <v>1</v>
      </c>
      <c r="I90" s="7">
        <v>0</v>
      </c>
      <c r="J90" s="5">
        <v>45987</v>
      </c>
      <c r="K90" s="1" t="s">
        <v>957</v>
      </c>
      <c r="L90" s="1" t="s">
        <v>30</v>
      </c>
      <c r="M90" s="8">
        <v>0</v>
      </c>
      <c r="N90" s="6"/>
      <c r="O90" s="6"/>
      <c r="P90" s="9">
        <v>-7.32</v>
      </c>
    </row>
    <row r="91" spans="1:16" ht="19.5" customHeight="1">
      <c r="A91" s="1" t="s">
        <v>1580</v>
      </c>
      <c r="B91" s="5">
        <v>46000</v>
      </c>
      <c r="C91" s="1" t="s">
        <v>28</v>
      </c>
      <c r="D91" s="1" t="s">
        <v>45</v>
      </c>
      <c r="E91" s="1" t="s">
        <v>25</v>
      </c>
      <c r="F91" s="1" t="s">
        <v>26</v>
      </c>
      <c r="G91" s="1" t="s">
        <v>1229</v>
      </c>
      <c r="H91" s="6">
        <v>1</v>
      </c>
      <c r="I91" s="7">
        <v>0</v>
      </c>
      <c r="J91" s="5">
        <v>45987</v>
      </c>
      <c r="K91" s="1" t="s">
        <v>957</v>
      </c>
      <c r="L91" s="1" t="s">
        <v>30</v>
      </c>
      <c r="M91" s="8">
        <v>0</v>
      </c>
      <c r="N91" s="6"/>
      <c r="O91" s="6"/>
      <c r="P91" s="9">
        <v>0</v>
      </c>
    </row>
    <row r="92" spans="1:16" ht="19.5" customHeight="1">
      <c r="A92" s="1" t="s">
        <v>1580</v>
      </c>
      <c r="B92" s="5">
        <v>46000</v>
      </c>
      <c r="C92" s="1" t="s">
        <v>28</v>
      </c>
      <c r="D92" s="1" t="s">
        <v>46</v>
      </c>
      <c r="E92" s="1" t="s">
        <v>25</v>
      </c>
      <c r="F92" s="1" t="s">
        <v>26</v>
      </c>
      <c r="G92" s="1" t="s">
        <v>1229</v>
      </c>
      <c r="H92" s="6">
        <v>1</v>
      </c>
      <c r="I92" s="7">
        <v>0</v>
      </c>
      <c r="J92" s="5">
        <v>45987</v>
      </c>
      <c r="K92" s="1" t="s">
        <v>957</v>
      </c>
      <c r="L92" s="1" t="s">
        <v>30</v>
      </c>
      <c r="M92" s="8">
        <v>0</v>
      </c>
      <c r="N92" s="6"/>
      <c r="O92" s="6"/>
      <c r="P92" s="9">
        <v>-46</v>
      </c>
    </row>
    <row r="93" spans="1:16" ht="19.5" customHeight="1">
      <c r="A93" s="1" t="s">
        <v>1580</v>
      </c>
      <c r="B93" s="5">
        <v>46000</v>
      </c>
      <c r="C93" s="1" t="s">
        <v>17</v>
      </c>
      <c r="D93" s="1" t="s">
        <v>47</v>
      </c>
      <c r="E93" s="1" t="s">
        <v>25</v>
      </c>
      <c r="F93" s="1" t="s">
        <v>26</v>
      </c>
      <c r="G93" s="1" t="s">
        <v>1229</v>
      </c>
      <c r="H93" s="6">
        <v>1</v>
      </c>
      <c r="I93" s="7">
        <v>0</v>
      </c>
      <c r="J93" s="5">
        <v>45987</v>
      </c>
      <c r="K93" s="1" t="s">
        <v>957</v>
      </c>
      <c r="L93" s="1" t="s">
        <v>30</v>
      </c>
      <c r="M93" s="8">
        <v>0</v>
      </c>
      <c r="N93" s="6"/>
      <c r="O93" s="6"/>
      <c r="P93" s="9">
        <v>-15</v>
      </c>
    </row>
    <row r="94" spans="1:16" ht="19.5" customHeight="1">
      <c r="A94" s="1" t="s">
        <v>1581</v>
      </c>
      <c r="B94" s="5">
        <v>46000</v>
      </c>
      <c r="C94" s="1" t="s">
        <v>28</v>
      </c>
      <c r="D94" s="1" t="s">
        <v>29</v>
      </c>
      <c r="E94" s="1" t="s">
        <v>1055</v>
      </c>
      <c r="F94" s="1" t="s">
        <v>1317</v>
      </c>
      <c r="G94" s="1" t="s">
        <v>1298</v>
      </c>
      <c r="H94" s="6">
        <v>1</v>
      </c>
      <c r="I94" s="7">
        <v>0</v>
      </c>
      <c r="J94" s="5">
        <v>45989</v>
      </c>
      <c r="K94" s="1" t="s">
        <v>957</v>
      </c>
      <c r="L94" s="1" t="s">
        <v>30</v>
      </c>
      <c r="M94" s="8">
        <v>0</v>
      </c>
      <c r="N94" s="6"/>
      <c r="O94" s="6">
        <v>44</v>
      </c>
      <c r="P94" s="9">
        <v>-46</v>
      </c>
    </row>
    <row r="95" spans="1:16" ht="19.5" customHeight="1">
      <c r="A95" s="1" t="s">
        <v>1581</v>
      </c>
      <c r="B95" s="5">
        <v>46000</v>
      </c>
      <c r="C95" s="1" t="s">
        <v>17</v>
      </c>
      <c r="D95" s="1" t="s">
        <v>37</v>
      </c>
      <c r="E95" s="1" t="s">
        <v>1055</v>
      </c>
      <c r="F95" s="1" t="s">
        <v>1317</v>
      </c>
      <c r="G95" s="1" t="s">
        <v>1298</v>
      </c>
      <c r="H95" s="6">
        <v>1</v>
      </c>
      <c r="I95" s="7">
        <v>0</v>
      </c>
      <c r="J95" s="5">
        <v>45989</v>
      </c>
      <c r="K95" s="1" t="s">
        <v>957</v>
      </c>
      <c r="L95" s="1" t="s">
        <v>30</v>
      </c>
      <c r="M95" s="8">
        <v>0</v>
      </c>
      <c r="N95" s="6"/>
      <c r="O95" s="6"/>
      <c r="P95" s="9">
        <v>-11.46</v>
      </c>
    </row>
    <row r="96" spans="1:16" ht="19.5" customHeight="1">
      <c r="A96" s="1" t="s">
        <v>1581</v>
      </c>
      <c r="B96" s="5">
        <v>46000</v>
      </c>
      <c r="C96" s="1" t="s">
        <v>28</v>
      </c>
      <c r="D96" s="1" t="s">
        <v>45</v>
      </c>
      <c r="E96" s="1" t="s">
        <v>1055</v>
      </c>
      <c r="F96" s="1" t="s">
        <v>1317</v>
      </c>
      <c r="G96" s="1" t="s">
        <v>1298</v>
      </c>
      <c r="H96" s="6">
        <v>1</v>
      </c>
      <c r="I96" s="7">
        <v>0</v>
      </c>
      <c r="J96" s="5">
        <v>45989</v>
      </c>
      <c r="K96" s="1" t="s">
        <v>957</v>
      </c>
      <c r="L96" s="1" t="s">
        <v>30</v>
      </c>
      <c r="M96" s="8">
        <v>0</v>
      </c>
      <c r="N96" s="6"/>
      <c r="O96" s="6"/>
      <c r="P96" s="9">
        <v>0</v>
      </c>
    </row>
    <row r="97" spans="1:16" ht="19.5" customHeight="1">
      <c r="A97" s="1" t="s">
        <v>1581</v>
      </c>
      <c r="B97" s="5">
        <v>46000</v>
      </c>
      <c r="C97" s="1" t="s">
        <v>28</v>
      </c>
      <c r="D97" s="1" t="s">
        <v>46</v>
      </c>
      <c r="E97" s="1" t="s">
        <v>1055</v>
      </c>
      <c r="F97" s="1" t="s">
        <v>1317</v>
      </c>
      <c r="G97" s="1" t="s">
        <v>1298</v>
      </c>
      <c r="H97" s="6">
        <v>1</v>
      </c>
      <c r="I97" s="7">
        <v>0</v>
      </c>
      <c r="J97" s="5">
        <v>45989</v>
      </c>
      <c r="K97" s="1" t="s">
        <v>957</v>
      </c>
      <c r="L97" s="1" t="s">
        <v>30</v>
      </c>
      <c r="M97" s="8">
        <v>0</v>
      </c>
      <c r="N97" s="6"/>
      <c r="O97" s="6"/>
      <c r="P97" s="9">
        <v>-46</v>
      </c>
    </row>
    <row r="98" spans="1:16" ht="19.5" customHeight="1">
      <c r="A98" s="1" t="s">
        <v>1581</v>
      </c>
      <c r="B98" s="5">
        <v>46000</v>
      </c>
      <c r="C98" s="1" t="s">
        <v>17</v>
      </c>
      <c r="D98" s="1" t="s">
        <v>47</v>
      </c>
      <c r="E98" s="1" t="s">
        <v>1055</v>
      </c>
      <c r="F98" s="1" t="s">
        <v>1317</v>
      </c>
      <c r="G98" s="1" t="s">
        <v>1298</v>
      </c>
      <c r="H98" s="6">
        <v>1</v>
      </c>
      <c r="I98" s="7">
        <v>0</v>
      </c>
      <c r="J98" s="5">
        <v>45989</v>
      </c>
      <c r="K98" s="1" t="s">
        <v>957</v>
      </c>
      <c r="L98" s="1" t="s">
        <v>30</v>
      </c>
      <c r="M98" s="8">
        <v>0</v>
      </c>
      <c r="N98" s="6"/>
      <c r="O98" s="6"/>
      <c r="P98" s="9">
        <v>-15</v>
      </c>
    </row>
    <row r="99" spans="1:16" ht="19.5" customHeight="1">
      <c r="A99" s="1" t="s">
        <v>1582</v>
      </c>
      <c r="B99" s="5">
        <v>46000</v>
      </c>
      <c r="C99" s="1" t="s">
        <v>28</v>
      </c>
      <c r="D99" s="1" t="s">
        <v>29</v>
      </c>
      <c r="E99" s="1" t="s">
        <v>223</v>
      </c>
      <c r="F99" s="1" t="s">
        <v>395</v>
      </c>
      <c r="G99" s="1" t="s">
        <v>1229</v>
      </c>
      <c r="H99" s="6">
        <v>1</v>
      </c>
      <c r="I99" s="7">
        <v>1687</v>
      </c>
      <c r="J99" s="5">
        <v>45998</v>
      </c>
      <c r="K99" s="1" t="s">
        <v>957</v>
      </c>
      <c r="L99" s="1" t="s">
        <v>30</v>
      </c>
      <c r="M99" s="8">
        <v>0.43</v>
      </c>
      <c r="N99" s="6"/>
      <c r="O99" s="6">
        <v>37</v>
      </c>
      <c r="P99" s="9">
        <v>-98.14</v>
      </c>
    </row>
    <row r="100" spans="1:16" ht="19.5" customHeight="1">
      <c r="A100" s="1" t="s">
        <v>1582</v>
      </c>
      <c r="B100" s="5">
        <v>46000</v>
      </c>
      <c r="C100" s="1" t="s">
        <v>31</v>
      </c>
      <c r="D100" s="1" t="s">
        <v>32</v>
      </c>
      <c r="E100" s="1" t="s">
        <v>223</v>
      </c>
      <c r="F100" s="1" t="s">
        <v>395</v>
      </c>
      <c r="G100" s="1" t="s">
        <v>1229</v>
      </c>
      <c r="H100" s="6">
        <v>1</v>
      </c>
      <c r="I100" s="7">
        <v>1687</v>
      </c>
      <c r="J100" s="5">
        <v>45998</v>
      </c>
      <c r="K100" s="1" t="s">
        <v>957</v>
      </c>
      <c r="L100" s="1" t="s">
        <v>30</v>
      </c>
      <c r="M100" s="8">
        <v>0</v>
      </c>
      <c r="N100" s="6"/>
      <c r="O100" s="6"/>
      <c r="P100" s="9">
        <v>842.86</v>
      </c>
    </row>
    <row r="101" spans="1:16" ht="19.5" customHeight="1">
      <c r="A101" s="1" t="s">
        <v>1582</v>
      </c>
      <c r="B101" s="5">
        <v>46000</v>
      </c>
      <c r="C101" s="1" t="s">
        <v>31</v>
      </c>
      <c r="D101" s="1" t="s">
        <v>33</v>
      </c>
      <c r="E101" s="1" t="s">
        <v>223</v>
      </c>
      <c r="F101" s="1" t="s">
        <v>395</v>
      </c>
      <c r="G101" s="1" t="s">
        <v>1229</v>
      </c>
      <c r="H101" s="6">
        <v>1</v>
      </c>
      <c r="I101" s="7">
        <v>1687</v>
      </c>
      <c r="J101" s="5">
        <v>45998</v>
      </c>
      <c r="K101" s="1" t="s">
        <v>957</v>
      </c>
      <c r="L101" s="1" t="s">
        <v>30</v>
      </c>
      <c r="M101" s="8">
        <v>0</v>
      </c>
      <c r="N101" s="6"/>
      <c r="O101" s="6"/>
      <c r="P101" s="9">
        <v>8.43</v>
      </c>
    </row>
    <row r="102" spans="1:16" ht="19.5" customHeight="1">
      <c r="A102" s="1" t="s">
        <v>1582</v>
      </c>
      <c r="B102" s="5">
        <v>46000</v>
      </c>
      <c r="C102" s="1" t="s">
        <v>31</v>
      </c>
      <c r="D102" s="1" t="s">
        <v>34</v>
      </c>
      <c r="E102" s="1" t="s">
        <v>223</v>
      </c>
      <c r="F102" s="1" t="s">
        <v>395</v>
      </c>
      <c r="G102" s="1" t="s">
        <v>1229</v>
      </c>
      <c r="H102" s="6">
        <v>1</v>
      </c>
      <c r="I102" s="7">
        <v>1687</v>
      </c>
      <c r="J102" s="5">
        <v>45998</v>
      </c>
      <c r="K102" s="1" t="s">
        <v>957</v>
      </c>
      <c r="L102" s="1" t="s">
        <v>30</v>
      </c>
      <c r="M102" s="8">
        <v>0</v>
      </c>
      <c r="N102" s="6"/>
      <c r="O102" s="6"/>
      <c r="P102" s="9">
        <v>835.71</v>
      </c>
    </row>
    <row r="103" spans="1:16" ht="19.5" customHeight="1">
      <c r="A103" s="1" t="s">
        <v>1582</v>
      </c>
      <c r="B103" s="5">
        <v>46000</v>
      </c>
      <c r="C103" s="1" t="s">
        <v>35</v>
      </c>
      <c r="D103" s="1" t="s">
        <v>36</v>
      </c>
      <c r="E103" s="1" t="s">
        <v>223</v>
      </c>
      <c r="F103" s="1" t="s">
        <v>395</v>
      </c>
      <c r="G103" s="1" t="s">
        <v>1229</v>
      </c>
      <c r="H103" s="6">
        <v>1</v>
      </c>
      <c r="I103" s="7">
        <v>1687</v>
      </c>
      <c r="J103" s="5">
        <v>45998</v>
      </c>
      <c r="K103" s="1" t="s">
        <v>957</v>
      </c>
      <c r="L103" s="1" t="s">
        <v>30</v>
      </c>
      <c r="M103" s="8">
        <v>0.43</v>
      </c>
      <c r="N103" s="6"/>
      <c r="O103" s="6"/>
      <c r="P103" s="9">
        <v>-725.41</v>
      </c>
    </row>
    <row r="104" spans="1:16" ht="19.5" customHeight="1">
      <c r="A104" s="1" t="s">
        <v>1582</v>
      </c>
      <c r="B104" s="5">
        <v>46000</v>
      </c>
      <c r="C104" s="1" t="s">
        <v>17</v>
      </c>
      <c r="D104" s="1" t="s">
        <v>37</v>
      </c>
      <c r="E104" s="1" t="s">
        <v>223</v>
      </c>
      <c r="F104" s="1" t="s">
        <v>395</v>
      </c>
      <c r="G104" s="1" t="s">
        <v>1229</v>
      </c>
      <c r="H104" s="6">
        <v>1</v>
      </c>
      <c r="I104" s="7">
        <v>1687</v>
      </c>
      <c r="J104" s="5">
        <v>45998</v>
      </c>
      <c r="K104" s="1" t="s">
        <v>957</v>
      </c>
      <c r="L104" s="1" t="s">
        <v>30</v>
      </c>
      <c r="M104" s="8">
        <v>0.43</v>
      </c>
      <c r="N104" s="6"/>
      <c r="O104" s="6"/>
      <c r="P104" s="9">
        <v>-9.58</v>
      </c>
    </row>
    <row r="105" spans="1:16" ht="19.5" customHeight="1">
      <c r="A105" s="1" t="s">
        <v>1583</v>
      </c>
      <c r="B105" s="5">
        <v>46000</v>
      </c>
      <c r="C105" s="1" t="s">
        <v>28</v>
      </c>
      <c r="D105" s="1" t="s">
        <v>29</v>
      </c>
      <c r="E105" s="1" t="s">
        <v>227</v>
      </c>
      <c r="F105" s="1" t="s">
        <v>402</v>
      </c>
      <c r="G105" s="1" t="s">
        <v>1229</v>
      </c>
      <c r="H105" s="6">
        <v>1</v>
      </c>
      <c r="I105" s="7">
        <v>1800</v>
      </c>
      <c r="J105" s="5">
        <v>45998</v>
      </c>
      <c r="K105" s="1" t="s">
        <v>957</v>
      </c>
      <c r="L105" s="1" t="s">
        <v>30</v>
      </c>
      <c r="M105" s="8">
        <v>0.43</v>
      </c>
      <c r="N105" s="6"/>
      <c r="O105" s="6">
        <v>37</v>
      </c>
      <c r="P105" s="9">
        <v>-100.4</v>
      </c>
    </row>
    <row r="106" spans="1:16" ht="19.5" customHeight="1">
      <c r="A106" s="1" t="s">
        <v>1583</v>
      </c>
      <c r="B106" s="5">
        <v>46000</v>
      </c>
      <c r="C106" s="1" t="s">
        <v>31</v>
      </c>
      <c r="D106" s="1" t="s">
        <v>32</v>
      </c>
      <c r="E106" s="1" t="s">
        <v>227</v>
      </c>
      <c r="F106" s="1" t="s">
        <v>402</v>
      </c>
      <c r="G106" s="1" t="s">
        <v>1229</v>
      </c>
      <c r="H106" s="6">
        <v>1</v>
      </c>
      <c r="I106" s="7">
        <v>1800</v>
      </c>
      <c r="J106" s="5">
        <v>45998</v>
      </c>
      <c r="K106" s="1" t="s">
        <v>957</v>
      </c>
      <c r="L106" s="1" t="s">
        <v>30</v>
      </c>
      <c r="M106" s="8">
        <v>0</v>
      </c>
      <c r="N106" s="6"/>
      <c r="O106" s="6"/>
      <c r="P106" s="9">
        <v>1027.5899999999999</v>
      </c>
    </row>
    <row r="107" spans="1:16" ht="19.5" customHeight="1">
      <c r="A107" s="1" t="s">
        <v>1583</v>
      </c>
      <c r="B107" s="5">
        <v>46000</v>
      </c>
      <c r="C107" s="1" t="s">
        <v>31</v>
      </c>
      <c r="D107" s="1" t="s">
        <v>33</v>
      </c>
      <c r="E107" s="1" t="s">
        <v>227</v>
      </c>
      <c r="F107" s="1" t="s">
        <v>402</v>
      </c>
      <c r="G107" s="1" t="s">
        <v>1229</v>
      </c>
      <c r="H107" s="6">
        <v>1</v>
      </c>
      <c r="I107" s="7">
        <v>1800</v>
      </c>
      <c r="J107" s="5">
        <v>45998</v>
      </c>
      <c r="K107" s="1" t="s">
        <v>957</v>
      </c>
      <c r="L107" s="1" t="s">
        <v>30</v>
      </c>
      <c r="M107" s="8">
        <v>0</v>
      </c>
      <c r="N107" s="6"/>
      <c r="O107" s="6"/>
      <c r="P107" s="9">
        <v>10.28</v>
      </c>
    </row>
    <row r="108" spans="1:16" ht="19.5" customHeight="1">
      <c r="A108" s="1" t="s">
        <v>1583</v>
      </c>
      <c r="B108" s="5">
        <v>46000</v>
      </c>
      <c r="C108" s="1" t="s">
        <v>31</v>
      </c>
      <c r="D108" s="1" t="s">
        <v>34</v>
      </c>
      <c r="E108" s="1" t="s">
        <v>227</v>
      </c>
      <c r="F108" s="1" t="s">
        <v>402</v>
      </c>
      <c r="G108" s="1" t="s">
        <v>1229</v>
      </c>
      <c r="H108" s="6">
        <v>1</v>
      </c>
      <c r="I108" s="7">
        <v>1800</v>
      </c>
      <c r="J108" s="5">
        <v>45998</v>
      </c>
      <c r="K108" s="1" t="s">
        <v>957</v>
      </c>
      <c r="L108" s="1" t="s">
        <v>30</v>
      </c>
      <c r="M108" s="8">
        <v>0</v>
      </c>
      <c r="N108" s="6"/>
      <c r="O108" s="6"/>
      <c r="P108" s="9">
        <v>762.13</v>
      </c>
    </row>
    <row r="109" spans="1:16" ht="19.5" customHeight="1">
      <c r="A109" s="1" t="s">
        <v>1583</v>
      </c>
      <c r="B109" s="5">
        <v>46000</v>
      </c>
      <c r="C109" s="1" t="s">
        <v>35</v>
      </c>
      <c r="D109" s="1" t="s">
        <v>36</v>
      </c>
      <c r="E109" s="1" t="s">
        <v>227</v>
      </c>
      <c r="F109" s="1" t="s">
        <v>402</v>
      </c>
      <c r="G109" s="1" t="s">
        <v>1229</v>
      </c>
      <c r="H109" s="6">
        <v>1</v>
      </c>
      <c r="I109" s="7">
        <v>1800</v>
      </c>
      <c r="J109" s="5">
        <v>45998</v>
      </c>
      <c r="K109" s="1" t="s">
        <v>957</v>
      </c>
      <c r="L109" s="1" t="s">
        <v>30</v>
      </c>
      <c r="M109" s="8">
        <v>0.43</v>
      </c>
      <c r="N109" s="6"/>
      <c r="O109" s="6"/>
      <c r="P109" s="9">
        <v>-774</v>
      </c>
    </row>
    <row r="110" spans="1:16" ht="19.5" customHeight="1">
      <c r="A110" s="1" t="s">
        <v>1583</v>
      </c>
      <c r="B110" s="5">
        <v>46000</v>
      </c>
      <c r="C110" s="1" t="s">
        <v>17</v>
      </c>
      <c r="D110" s="1" t="s">
        <v>37</v>
      </c>
      <c r="E110" s="1" t="s">
        <v>227</v>
      </c>
      <c r="F110" s="1" t="s">
        <v>402</v>
      </c>
      <c r="G110" s="1" t="s">
        <v>1229</v>
      </c>
      <c r="H110" s="6">
        <v>1</v>
      </c>
      <c r="I110" s="7">
        <v>1800</v>
      </c>
      <c r="J110" s="5">
        <v>45998</v>
      </c>
      <c r="K110" s="1" t="s">
        <v>957</v>
      </c>
      <c r="L110" s="1" t="s">
        <v>30</v>
      </c>
      <c r="M110" s="8">
        <v>0.43</v>
      </c>
      <c r="N110" s="6"/>
      <c r="O110" s="6"/>
      <c r="P110" s="9">
        <v>-9.3800000000000008</v>
      </c>
    </row>
    <row r="111" spans="1:16" ht="19.5" customHeight="1">
      <c r="A111" s="1" t="s">
        <v>1583</v>
      </c>
      <c r="B111" s="5">
        <v>46000</v>
      </c>
      <c r="C111" s="1" t="s">
        <v>17</v>
      </c>
      <c r="D111" s="1" t="s">
        <v>18</v>
      </c>
      <c r="E111" s="1" t="s">
        <v>227</v>
      </c>
      <c r="F111" s="1" t="s">
        <v>402</v>
      </c>
      <c r="G111" s="1" t="s">
        <v>1229</v>
      </c>
      <c r="H111" s="6">
        <v>1</v>
      </c>
      <c r="I111" s="7">
        <v>0</v>
      </c>
      <c r="J111" s="5">
        <v>45998</v>
      </c>
      <c r="K111" s="1" t="s">
        <v>22</v>
      </c>
      <c r="L111" s="1" t="s">
        <v>22</v>
      </c>
      <c r="M111" s="8">
        <v>0</v>
      </c>
      <c r="N111" s="6"/>
      <c r="O111" s="6"/>
      <c r="P111" s="9">
        <v>-19.52</v>
      </c>
    </row>
    <row r="112" spans="1:16" ht="19.5" customHeight="1">
      <c r="A112" s="1" t="s">
        <v>1584</v>
      </c>
      <c r="B112" s="5">
        <v>46000</v>
      </c>
      <c r="C112" s="1" t="s">
        <v>261</v>
      </c>
      <c r="D112" s="1" t="s">
        <v>326</v>
      </c>
      <c r="E112" s="1" t="s">
        <v>22</v>
      </c>
      <c r="F112" s="1" t="s">
        <v>22</v>
      </c>
      <c r="G112" s="1" t="s">
        <v>22</v>
      </c>
      <c r="H112" s="6">
        <v>0</v>
      </c>
      <c r="I112" s="7">
        <v>0</v>
      </c>
      <c r="J112" s="5">
        <v>45989</v>
      </c>
      <c r="K112" s="1" t="s">
        <v>22</v>
      </c>
      <c r="L112" s="1" t="s">
        <v>22</v>
      </c>
      <c r="M112" s="8">
        <v>0</v>
      </c>
      <c r="N112" s="6"/>
      <c r="O112" s="6"/>
      <c r="P112" s="9">
        <v>-1087.5</v>
      </c>
    </row>
    <row r="113" spans="1:16" ht="19.5" customHeight="1">
      <c r="A113" s="1" t="s">
        <v>1585</v>
      </c>
      <c r="B113" s="5">
        <v>46000</v>
      </c>
      <c r="C113" s="1" t="s">
        <v>28</v>
      </c>
      <c r="D113" s="1" t="s">
        <v>29</v>
      </c>
      <c r="E113" s="1" t="s">
        <v>223</v>
      </c>
      <c r="F113" s="1" t="s">
        <v>395</v>
      </c>
      <c r="G113" s="1" t="s">
        <v>1229</v>
      </c>
      <c r="H113" s="6">
        <v>1</v>
      </c>
      <c r="I113" s="7">
        <v>0</v>
      </c>
      <c r="J113" s="5">
        <v>45988</v>
      </c>
      <c r="K113" s="1" t="s">
        <v>957</v>
      </c>
      <c r="L113" s="1" t="s">
        <v>30</v>
      </c>
      <c r="M113" s="8">
        <v>0</v>
      </c>
      <c r="N113" s="6"/>
      <c r="O113" s="6">
        <v>42</v>
      </c>
      <c r="P113" s="9">
        <v>-46</v>
      </c>
    </row>
    <row r="114" spans="1:16" ht="19.5" customHeight="1">
      <c r="A114" s="1" t="s">
        <v>1585</v>
      </c>
      <c r="B114" s="5">
        <v>46000</v>
      </c>
      <c r="C114" s="1" t="s">
        <v>17</v>
      </c>
      <c r="D114" s="1" t="s">
        <v>37</v>
      </c>
      <c r="E114" s="1" t="s">
        <v>223</v>
      </c>
      <c r="F114" s="1" t="s">
        <v>395</v>
      </c>
      <c r="G114" s="1" t="s">
        <v>1229</v>
      </c>
      <c r="H114" s="6">
        <v>1</v>
      </c>
      <c r="I114" s="7">
        <v>0</v>
      </c>
      <c r="J114" s="5">
        <v>45988</v>
      </c>
      <c r="K114" s="1" t="s">
        <v>957</v>
      </c>
      <c r="L114" s="1" t="s">
        <v>30</v>
      </c>
      <c r="M114" s="8">
        <v>0</v>
      </c>
      <c r="N114" s="6"/>
      <c r="O114" s="6"/>
      <c r="P114" s="9">
        <v>-9.83</v>
      </c>
    </row>
    <row r="115" spans="1:16" ht="19.5" customHeight="1">
      <c r="A115" s="1" t="s">
        <v>1585</v>
      </c>
      <c r="B115" s="5">
        <v>46000</v>
      </c>
      <c r="C115" s="1" t="s">
        <v>28</v>
      </c>
      <c r="D115" s="1" t="s">
        <v>45</v>
      </c>
      <c r="E115" s="1" t="s">
        <v>223</v>
      </c>
      <c r="F115" s="1" t="s">
        <v>395</v>
      </c>
      <c r="G115" s="1" t="s">
        <v>1229</v>
      </c>
      <c r="H115" s="6">
        <v>1</v>
      </c>
      <c r="I115" s="7">
        <v>0</v>
      </c>
      <c r="J115" s="5">
        <v>45988</v>
      </c>
      <c r="K115" s="1" t="s">
        <v>957</v>
      </c>
      <c r="L115" s="1" t="s">
        <v>30</v>
      </c>
      <c r="M115" s="8">
        <v>0</v>
      </c>
      <c r="N115" s="6"/>
      <c r="O115" s="6"/>
      <c r="P115" s="9">
        <v>0</v>
      </c>
    </row>
    <row r="116" spans="1:16" ht="19.5" customHeight="1">
      <c r="A116" s="1" t="s">
        <v>1585</v>
      </c>
      <c r="B116" s="5">
        <v>46000</v>
      </c>
      <c r="C116" s="1" t="s">
        <v>28</v>
      </c>
      <c r="D116" s="1" t="s">
        <v>46</v>
      </c>
      <c r="E116" s="1" t="s">
        <v>223</v>
      </c>
      <c r="F116" s="1" t="s">
        <v>395</v>
      </c>
      <c r="G116" s="1" t="s">
        <v>1229</v>
      </c>
      <c r="H116" s="6">
        <v>1</v>
      </c>
      <c r="I116" s="7">
        <v>0</v>
      </c>
      <c r="J116" s="5">
        <v>45988</v>
      </c>
      <c r="K116" s="1" t="s">
        <v>957</v>
      </c>
      <c r="L116" s="1" t="s">
        <v>30</v>
      </c>
      <c r="M116" s="8">
        <v>0</v>
      </c>
      <c r="N116" s="6"/>
      <c r="O116" s="6"/>
      <c r="P116" s="9">
        <v>-46</v>
      </c>
    </row>
    <row r="117" spans="1:16" ht="19.5" customHeight="1">
      <c r="A117" s="1" t="s">
        <v>1585</v>
      </c>
      <c r="B117" s="5">
        <v>46000</v>
      </c>
      <c r="C117" s="1" t="s">
        <v>17</v>
      </c>
      <c r="D117" s="1" t="s">
        <v>47</v>
      </c>
      <c r="E117" s="1" t="s">
        <v>223</v>
      </c>
      <c r="F117" s="1" t="s">
        <v>395</v>
      </c>
      <c r="G117" s="1" t="s">
        <v>1229</v>
      </c>
      <c r="H117" s="6">
        <v>1</v>
      </c>
      <c r="I117" s="7">
        <v>0</v>
      </c>
      <c r="J117" s="5">
        <v>45988</v>
      </c>
      <c r="K117" s="1" t="s">
        <v>957</v>
      </c>
      <c r="L117" s="1" t="s">
        <v>30</v>
      </c>
      <c r="M117" s="8">
        <v>0</v>
      </c>
      <c r="N117" s="6"/>
      <c r="O117" s="6"/>
      <c r="P117" s="9">
        <v>-15</v>
      </c>
    </row>
    <row r="118" spans="1:16" ht="19.5" customHeight="1">
      <c r="A118" s="1" t="s">
        <v>22</v>
      </c>
      <c r="B118" s="5">
        <v>46000</v>
      </c>
      <c r="C118" s="1" t="s">
        <v>77</v>
      </c>
      <c r="D118" s="1" t="s">
        <v>78</v>
      </c>
      <c r="E118" s="1" t="s">
        <v>22</v>
      </c>
      <c r="F118" s="1" t="s">
        <v>22</v>
      </c>
      <c r="G118" s="1" t="s">
        <v>1586</v>
      </c>
      <c r="H118" s="6">
        <v>0</v>
      </c>
      <c r="I118" s="7">
        <v>0</v>
      </c>
      <c r="J118" s="5">
        <v>46000</v>
      </c>
      <c r="K118" s="1" t="s">
        <v>22</v>
      </c>
      <c r="L118" s="1" t="s">
        <v>22</v>
      </c>
      <c r="M118" s="8">
        <v>0</v>
      </c>
      <c r="N118" s="6"/>
      <c r="O118" s="6"/>
      <c r="P118" s="9">
        <v>-450</v>
      </c>
    </row>
    <row r="119" spans="1:16" ht="19.5" customHeight="1">
      <c r="A119" s="1" t="s">
        <v>1587</v>
      </c>
      <c r="B119" s="5">
        <v>46000</v>
      </c>
      <c r="C119" s="1" t="s">
        <v>28</v>
      </c>
      <c r="D119" s="1" t="s">
        <v>29</v>
      </c>
      <c r="E119" s="1" t="s">
        <v>25</v>
      </c>
      <c r="F119" s="1" t="s">
        <v>26</v>
      </c>
      <c r="G119" s="1" t="s">
        <v>1229</v>
      </c>
      <c r="H119" s="6">
        <v>1</v>
      </c>
      <c r="I119" s="7">
        <v>1738</v>
      </c>
      <c r="J119" s="5">
        <v>45994</v>
      </c>
      <c r="K119" s="1" t="s">
        <v>957</v>
      </c>
      <c r="L119" s="1" t="s">
        <v>30</v>
      </c>
      <c r="M119" s="8">
        <v>0.43</v>
      </c>
      <c r="N119" s="6"/>
      <c r="O119" s="6">
        <v>40</v>
      </c>
      <c r="P119" s="9">
        <v>-113.78</v>
      </c>
    </row>
    <row r="120" spans="1:16" ht="19.5" customHeight="1">
      <c r="A120" s="1" t="s">
        <v>1587</v>
      </c>
      <c r="B120" s="5">
        <v>46000</v>
      </c>
      <c r="C120" s="1" t="s">
        <v>31</v>
      </c>
      <c r="D120" s="1" t="s">
        <v>32</v>
      </c>
      <c r="E120" s="1" t="s">
        <v>25</v>
      </c>
      <c r="F120" s="1" t="s">
        <v>26</v>
      </c>
      <c r="G120" s="1" t="s">
        <v>1229</v>
      </c>
      <c r="H120" s="6">
        <v>1</v>
      </c>
      <c r="I120" s="7">
        <v>1738</v>
      </c>
      <c r="J120" s="5">
        <v>45994</v>
      </c>
      <c r="K120" s="1" t="s">
        <v>957</v>
      </c>
      <c r="L120" s="1" t="s">
        <v>30</v>
      </c>
      <c r="M120" s="8">
        <v>0</v>
      </c>
      <c r="N120" s="6"/>
      <c r="O120" s="6"/>
      <c r="P120" s="9">
        <v>756.4</v>
      </c>
    </row>
    <row r="121" spans="1:16" ht="19.5" customHeight="1">
      <c r="A121" s="1" t="s">
        <v>1587</v>
      </c>
      <c r="B121" s="5">
        <v>46000</v>
      </c>
      <c r="C121" s="1" t="s">
        <v>31</v>
      </c>
      <c r="D121" s="1" t="s">
        <v>33</v>
      </c>
      <c r="E121" s="1" t="s">
        <v>25</v>
      </c>
      <c r="F121" s="1" t="s">
        <v>26</v>
      </c>
      <c r="G121" s="1" t="s">
        <v>1229</v>
      </c>
      <c r="H121" s="6">
        <v>1</v>
      </c>
      <c r="I121" s="7">
        <v>1738</v>
      </c>
      <c r="J121" s="5">
        <v>45994</v>
      </c>
      <c r="K121" s="1" t="s">
        <v>957</v>
      </c>
      <c r="L121" s="1" t="s">
        <v>30</v>
      </c>
      <c r="M121" s="8">
        <v>0</v>
      </c>
      <c r="N121" s="6"/>
      <c r="O121" s="6"/>
      <c r="P121" s="9">
        <v>7.56</v>
      </c>
    </row>
    <row r="122" spans="1:16" ht="19.5" customHeight="1">
      <c r="A122" s="1" t="s">
        <v>1587</v>
      </c>
      <c r="B122" s="5">
        <v>46000</v>
      </c>
      <c r="C122" s="1" t="s">
        <v>31</v>
      </c>
      <c r="D122" s="1" t="s">
        <v>34</v>
      </c>
      <c r="E122" s="1" t="s">
        <v>25</v>
      </c>
      <c r="F122" s="1" t="s">
        <v>26</v>
      </c>
      <c r="G122" s="1" t="s">
        <v>1229</v>
      </c>
      <c r="H122" s="6">
        <v>1</v>
      </c>
      <c r="I122" s="7">
        <v>1738</v>
      </c>
      <c r="J122" s="5">
        <v>45994</v>
      </c>
      <c r="K122" s="1" t="s">
        <v>957</v>
      </c>
      <c r="L122" s="1" t="s">
        <v>30</v>
      </c>
      <c r="M122" s="8">
        <v>0</v>
      </c>
      <c r="N122" s="6"/>
      <c r="O122" s="6"/>
      <c r="P122" s="9">
        <v>974.04</v>
      </c>
    </row>
    <row r="123" spans="1:16" ht="19.5" customHeight="1">
      <c r="A123" s="1" t="s">
        <v>1587</v>
      </c>
      <c r="B123" s="5">
        <v>46000</v>
      </c>
      <c r="C123" s="1" t="s">
        <v>35</v>
      </c>
      <c r="D123" s="1" t="s">
        <v>36</v>
      </c>
      <c r="E123" s="1" t="s">
        <v>25</v>
      </c>
      <c r="F123" s="1" t="s">
        <v>26</v>
      </c>
      <c r="G123" s="1" t="s">
        <v>1229</v>
      </c>
      <c r="H123" s="6">
        <v>1</v>
      </c>
      <c r="I123" s="7">
        <v>1738</v>
      </c>
      <c r="J123" s="5">
        <v>45994</v>
      </c>
      <c r="K123" s="1" t="s">
        <v>957</v>
      </c>
      <c r="L123" s="1" t="s">
        <v>30</v>
      </c>
      <c r="M123" s="8">
        <v>0.43</v>
      </c>
      <c r="N123" s="6"/>
      <c r="O123" s="6"/>
      <c r="P123" s="9">
        <v>-747.34</v>
      </c>
    </row>
    <row r="124" spans="1:16" ht="19.5" customHeight="1">
      <c r="A124" s="1" t="s">
        <v>1587</v>
      </c>
      <c r="B124" s="5">
        <v>46000</v>
      </c>
      <c r="C124" s="1" t="s">
        <v>17</v>
      </c>
      <c r="D124" s="1" t="s">
        <v>37</v>
      </c>
      <c r="E124" s="1" t="s">
        <v>25</v>
      </c>
      <c r="F124" s="1" t="s">
        <v>26</v>
      </c>
      <c r="G124" s="1" t="s">
        <v>1229</v>
      </c>
      <c r="H124" s="6">
        <v>1</v>
      </c>
      <c r="I124" s="7">
        <v>1738</v>
      </c>
      <c r="J124" s="5">
        <v>45994</v>
      </c>
      <c r="K124" s="1" t="s">
        <v>957</v>
      </c>
      <c r="L124" s="1" t="s">
        <v>30</v>
      </c>
      <c r="M124" s="8">
        <v>0.43</v>
      </c>
      <c r="N124" s="6"/>
      <c r="O124" s="6"/>
      <c r="P124" s="9">
        <v>-10.85</v>
      </c>
    </row>
    <row r="125" spans="1:16" ht="19.5" customHeight="1">
      <c r="A125" s="1" t="s">
        <v>1587</v>
      </c>
      <c r="B125" s="5">
        <v>46000</v>
      </c>
      <c r="C125" s="1" t="s">
        <v>17</v>
      </c>
      <c r="D125" s="1" t="s">
        <v>18</v>
      </c>
      <c r="E125" s="1" t="s">
        <v>25</v>
      </c>
      <c r="F125" s="1" t="s">
        <v>26</v>
      </c>
      <c r="G125" s="1" t="s">
        <v>1229</v>
      </c>
      <c r="H125" s="6">
        <v>1</v>
      </c>
      <c r="I125" s="7">
        <v>0</v>
      </c>
      <c r="J125" s="5">
        <v>45994</v>
      </c>
      <c r="K125" s="1" t="s">
        <v>22</v>
      </c>
      <c r="L125" s="1" t="s">
        <v>22</v>
      </c>
      <c r="M125" s="8">
        <v>0</v>
      </c>
      <c r="N125" s="6"/>
      <c r="O125" s="6"/>
      <c r="P125" s="9">
        <v>-14.37</v>
      </c>
    </row>
    <row r="126" spans="1:16" ht="19.5" customHeight="1">
      <c r="A126" s="1" t="s">
        <v>1588</v>
      </c>
      <c r="B126" s="5">
        <v>46000</v>
      </c>
      <c r="C126" s="1" t="s">
        <v>28</v>
      </c>
      <c r="D126" s="1" t="s">
        <v>45</v>
      </c>
      <c r="E126" s="1" t="s">
        <v>25</v>
      </c>
      <c r="F126" s="1" t="s">
        <v>26</v>
      </c>
      <c r="G126" s="1" t="s">
        <v>1229</v>
      </c>
      <c r="H126" s="6">
        <v>1</v>
      </c>
      <c r="I126" s="7">
        <v>0</v>
      </c>
      <c r="J126" s="5">
        <v>45992</v>
      </c>
      <c r="K126" s="1" t="s">
        <v>957</v>
      </c>
      <c r="L126" s="1" t="s">
        <v>30</v>
      </c>
      <c r="M126" s="8">
        <v>0</v>
      </c>
      <c r="N126" s="6"/>
      <c r="O126" s="6"/>
      <c r="P126" s="9">
        <v>0</v>
      </c>
    </row>
    <row r="127" spans="1:16" ht="19.5" customHeight="1">
      <c r="A127" s="1" t="s">
        <v>1588</v>
      </c>
      <c r="B127" s="5">
        <v>46000</v>
      </c>
      <c r="C127" s="1" t="s">
        <v>28</v>
      </c>
      <c r="D127" s="1" t="s">
        <v>46</v>
      </c>
      <c r="E127" s="1" t="s">
        <v>25</v>
      </c>
      <c r="F127" s="1" t="s">
        <v>26</v>
      </c>
      <c r="G127" s="1" t="s">
        <v>1229</v>
      </c>
      <c r="H127" s="6">
        <v>1</v>
      </c>
      <c r="I127" s="7">
        <v>0</v>
      </c>
      <c r="J127" s="5">
        <v>45992</v>
      </c>
      <c r="K127" s="1" t="s">
        <v>957</v>
      </c>
      <c r="L127" s="1" t="s">
        <v>30</v>
      </c>
      <c r="M127" s="8">
        <v>0</v>
      </c>
      <c r="N127" s="6"/>
      <c r="O127" s="6"/>
      <c r="P127" s="9">
        <v>-46</v>
      </c>
    </row>
    <row r="128" spans="1:16" ht="19.5" customHeight="1">
      <c r="A128" s="1" t="s">
        <v>1588</v>
      </c>
      <c r="B128" s="5">
        <v>46000</v>
      </c>
      <c r="C128" s="1" t="s">
        <v>17</v>
      </c>
      <c r="D128" s="1" t="s">
        <v>47</v>
      </c>
      <c r="E128" s="1" t="s">
        <v>25</v>
      </c>
      <c r="F128" s="1" t="s">
        <v>26</v>
      </c>
      <c r="G128" s="1" t="s">
        <v>1229</v>
      </c>
      <c r="H128" s="6">
        <v>1</v>
      </c>
      <c r="I128" s="7">
        <v>0</v>
      </c>
      <c r="J128" s="5">
        <v>45992</v>
      </c>
      <c r="K128" s="1" t="s">
        <v>957</v>
      </c>
      <c r="L128" s="1" t="s">
        <v>30</v>
      </c>
      <c r="M128" s="8">
        <v>0</v>
      </c>
      <c r="N128" s="6"/>
      <c r="O128" s="6"/>
      <c r="P128" s="9">
        <v>-15</v>
      </c>
    </row>
    <row r="129" spans="1:16" ht="19.5" customHeight="1">
      <c r="A129" s="1" t="s">
        <v>1588</v>
      </c>
      <c r="B129" s="5">
        <v>46000</v>
      </c>
      <c r="C129" s="1" t="s">
        <v>28</v>
      </c>
      <c r="D129" s="1" t="s">
        <v>29</v>
      </c>
      <c r="E129" s="1" t="s">
        <v>25</v>
      </c>
      <c r="F129" s="1" t="s">
        <v>26</v>
      </c>
      <c r="G129" s="1" t="s">
        <v>1229</v>
      </c>
      <c r="H129" s="6">
        <v>1</v>
      </c>
      <c r="I129" s="7">
        <v>0</v>
      </c>
      <c r="J129" s="5">
        <v>45992</v>
      </c>
      <c r="K129" s="1" t="s">
        <v>957</v>
      </c>
      <c r="L129" s="1" t="s">
        <v>30</v>
      </c>
      <c r="M129" s="8">
        <v>0</v>
      </c>
      <c r="N129" s="6"/>
      <c r="O129" s="6">
        <v>45</v>
      </c>
      <c r="P129" s="9">
        <v>-46</v>
      </c>
    </row>
    <row r="130" spans="1:16" ht="19.5" customHeight="1">
      <c r="A130" s="1" t="s">
        <v>1588</v>
      </c>
      <c r="B130" s="5">
        <v>46000</v>
      </c>
      <c r="C130" s="1" t="s">
        <v>17</v>
      </c>
      <c r="D130" s="1" t="s">
        <v>37</v>
      </c>
      <c r="E130" s="1" t="s">
        <v>25</v>
      </c>
      <c r="F130" s="1" t="s">
        <v>26</v>
      </c>
      <c r="G130" s="1" t="s">
        <v>1229</v>
      </c>
      <c r="H130" s="6">
        <v>1</v>
      </c>
      <c r="I130" s="7">
        <v>0</v>
      </c>
      <c r="J130" s="5">
        <v>45992</v>
      </c>
      <c r="K130" s="1" t="s">
        <v>957</v>
      </c>
      <c r="L130" s="1" t="s">
        <v>30</v>
      </c>
      <c r="M130" s="8">
        <v>0</v>
      </c>
      <c r="N130" s="6"/>
      <c r="O130" s="6"/>
      <c r="P130" s="9">
        <v>-7.39</v>
      </c>
    </row>
    <row r="131" spans="1:16" ht="19.5" customHeight="1">
      <c r="A131" s="1" t="s">
        <v>22</v>
      </c>
      <c r="B131" s="5">
        <v>46000</v>
      </c>
      <c r="C131" s="1" t="s">
        <v>77</v>
      </c>
      <c r="D131" s="1" t="s">
        <v>80</v>
      </c>
      <c r="E131" s="1" t="s">
        <v>22</v>
      </c>
      <c r="F131" s="1" t="s">
        <v>22</v>
      </c>
      <c r="G131" s="1" t="s">
        <v>22</v>
      </c>
      <c r="H131" s="6">
        <v>0</v>
      </c>
      <c r="I131" s="7">
        <v>0</v>
      </c>
      <c r="J131" s="5">
        <v>46000</v>
      </c>
      <c r="K131" s="1" t="s">
        <v>22</v>
      </c>
      <c r="L131" s="1" t="s">
        <v>22</v>
      </c>
      <c r="M131" s="8">
        <v>0</v>
      </c>
      <c r="N131" s="6"/>
      <c r="O131" s="6"/>
      <c r="P131" s="9">
        <v>-216</v>
      </c>
    </row>
    <row r="132" spans="1:16" ht="19.5" customHeight="1">
      <c r="A132" s="1" t="s">
        <v>1430</v>
      </c>
      <c r="B132" s="5">
        <v>46001</v>
      </c>
      <c r="C132" s="1" t="s">
        <v>17</v>
      </c>
      <c r="D132" s="1" t="s">
        <v>18</v>
      </c>
      <c r="E132" s="1" t="s">
        <v>25</v>
      </c>
      <c r="F132" s="1" t="s">
        <v>26</v>
      </c>
      <c r="G132" s="1" t="s">
        <v>1229</v>
      </c>
      <c r="H132" s="6">
        <v>1</v>
      </c>
      <c r="I132" s="7">
        <v>0</v>
      </c>
      <c r="J132" s="5">
        <v>45991</v>
      </c>
      <c r="K132" s="1" t="s">
        <v>22</v>
      </c>
      <c r="L132" s="1" t="s">
        <v>22</v>
      </c>
      <c r="M132" s="8">
        <v>0</v>
      </c>
      <c r="N132" s="6"/>
      <c r="O132" s="6"/>
      <c r="P132" s="9">
        <v>13.02</v>
      </c>
    </row>
    <row r="133" spans="1:16" ht="19.5" customHeight="1">
      <c r="A133" s="1" t="s">
        <v>1589</v>
      </c>
      <c r="B133" s="5">
        <v>46001</v>
      </c>
      <c r="C133" s="1" t="s">
        <v>28</v>
      </c>
      <c r="D133" s="1" t="s">
        <v>29</v>
      </c>
      <c r="E133" s="1" t="s">
        <v>70</v>
      </c>
      <c r="F133" s="1" t="s">
        <v>71</v>
      </c>
      <c r="G133" s="1" t="s">
        <v>1133</v>
      </c>
      <c r="H133" s="6">
        <v>1</v>
      </c>
      <c r="I133" s="7">
        <v>0</v>
      </c>
      <c r="J133" s="5">
        <v>45989</v>
      </c>
      <c r="K133" s="1" t="s">
        <v>957</v>
      </c>
      <c r="L133" s="1" t="s">
        <v>30</v>
      </c>
      <c r="M133" s="8">
        <v>0</v>
      </c>
      <c r="N133" s="6"/>
      <c r="O133" s="6">
        <v>44</v>
      </c>
      <c r="P133" s="9">
        <v>-56</v>
      </c>
    </row>
    <row r="134" spans="1:16" ht="19.5" customHeight="1">
      <c r="A134" s="1" t="s">
        <v>1589</v>
      </c>
      <c r="B134" s="5">
        <v>46001</v>
      </c>
      <c r="C134" s="1" t="s">
        <v>17</v>
      </c>
      <c r="D134" s="1" t="s">
        <v>37</v>
      </c>
      <c r="E134" s="1" t="s">
        <v>70</v>
      </c>
      <c r="F134" s="1" t="s">
        <v>71</v>
      </c>
      <c r="G134" s="1" t="s">
        <v>1133</v>
      </c>
      <c r="H134" s="6">
        <v>1</v>
      </c>
      <c r="I134" s="7">
        <v>0</v>
      </c>
      <c r="J134" s="5">
        <v>45989</v>
      </c>
      <c r="K134" s="1" t="s">
        <v>957</v>
      </c>
      <c r="L134" s="1" t="s">
        <v>30</v>
      </c>
      <c r="M134" s="8">
        <v>0</v>
      </c>
      <c r="N134" s="6"/>
      <c r="O134" s="6"/>
      <c r="P134" s="9">
        <v>-11.24</v>
      </c>
    </row>
    <row r="135" spans="1:16" ht="19.5" customHeight="1">
      <c r="A135" s="1" t="s">
        <v>1589</v>
      </c>
      <c r="B135" s="5">
        <v>46001</v>
      </c>
      <c r="C135" s="1" t="s">
        <v>28</v>
      </c>
      <c r="D135" s="1" t="s">
        <v>45</v>
      </c>
      <c r="E135" s="1" t="s">
        <v>70</v>
      </c>
      <c r="F135" s="1" t="s">
        <v>71</v>
      </c>
      <c r="G135" s="1" t="s">
        <v>1133</v>
      </c>
      <c r="H135" s="6">
        <v>1</v>
      </c>
      <c r="I135" s="7">
        <v>0</v>
      </c>
      <c r="J135" s="5">
        <v>45989</v>
      </c>
      <c r="K135" s="1" t="s">
        <v>957</v>
      </c>
      <c r="L135" s="1" t="s">
        <v>30</v>
      </c>
      <c r="M135" s="8">
        <v>0</v>
      </c>
      <c r="N135" s="6"/>
      <c r="O135" s="6"/>
      <c r="P135" s="9">
        <v>0</v>
      </c>
    </row>
    <row r="136" spans="1:16" ht="19.5" customHeight="1">
      <c r="A136" s="1" t="s">
        <v>1589</v>
      </c>
      <c r="B136" s="5">
        <v>46001</v>
      </c>
      <c r="C136" s="1" t="s">
        <v>28</v>
      </c>
      <c r="D136" s="1" t="s">
        <v>46</v>
      </c>
      <c r="E136" s="1" t="s">
        <v>70</v>
      </c>
      <c r="F136" s="1" t="s">
        <v>71</v>
      </c>
      <c r="G136" s="1" t="s">
        <v>1133</v>
      </c>
      <c r="H136" s="6">
        <v>1</v>
      </c>
      <c r="I136" s="7">
        <v>0</v>
      </c>
      <c r="J136" s="5">
        <v>45989</v>
      </c>
      <c r="K136" s="1" t="s">
        <v>957</v>
      </c>
      <c r="L136" s="1" t="s">
        <v>30</v>
      </c>
      <c r="M136" s="8">
        <v>0</v>
      </c>
      <c r="N136" s="6"/>
      <c r="O136" s="6"/>
      <c r="P136" s="9">
        <v>-56</v>
      </c>
    </row>
    <row r="137" spans="1:16" ht="19.5" customHeight="1">
      <c r="A137" s="1" t="s">
        <v>1589</v>
      </c>
      <c r="B137" s="5">
        <v>46001</v>
      </c>
      <c r="C137" s="1" t="s">
        <v>17</v>
      </c>
      <c r="D137" s="1" t="s">
        <v>47</v>
      </c>
      <c r="E137" s="1" t="s">
        <v>70</v>
      </c>
      <c r="F137" s="1" t="s">
        <v>71</v>
      </c>
      <c r="G137" s="1" t="s">
        <v>1133</v>
      </c>
      <c r="H137" s="6">
        <v>1</v>
      </c>
      <c r="I137" s="7">
        <v>0</v>
      </c>
      <c r="J137" s="5">
        <v>45989</v>
      </c>
      <c r="K137" s="1" t="s">
        <v>957</v>
      </c>
      <c r="L137" s="1" t="s">
        <v>30</v>
      </c>
      <c r="M137" s="8">
        <v>0</v>
      </c>
      <c r="N137" s="6"/>
      <c r="O137" s="6"/>
      <c r="P137" s="9">
        <v>-15</v>
      </c>
    </row>
    <row r="138" spans="1:16" ht="19.5" customHeight="1">
      <c r="A138" s="1" t="s">
        <v>1590</v>
      </c>
      <c r="B138" s="5">
        <v>46001</v>
      </c>
      <c r="C138" s="1" t="s">
        <v>28</v>
      </c>
      <c r="D138" s="1" t="s">
        <v>29</v>
      </c>
      <c r="E138" s="1" t="s">
        <v>223</v>
      </c>
      <c r="F138" s="1" t="s">
        <v>395</v>
      </c>
      <c r="G138" s="1" t="s">
        <v>1229</v>
      </c>
      <c r="H138" s="6">
        <v>1</v>
      </c>
      <c r="I138" s="7">
        <v>0</v>
      </c>
      <c r="J138" s="5">
        <v>45990</v>
      </c>
      <c r="K138" s="1" t="s">
        <v>957</v>
      </c>
      <c r="L138" s="1" t="s">
        <v>30</v>
      </c>
      <c r="M138" s="8">
        <v>0</v>
      </c>
      <c r="N138" s="6"/>
      <c r="O138" s="6">
        <v>47</v>
      </c>
      <c r="P138" s="9">
        <v>-46</v>
      </c>
    </row>
    <row r="139" spans="1:16" ht="19.5" customHeight="1">
      <c r="A139" s="1" t="s">
        <v>1590</v>
      </c>
      <c r="B139" s="5">
        <v>46001</v>
      </c>
      <c r="C139" s="1" t="s">
        <v>17</v>
      </c>
      <c r="D139" s="1" t="s">
        <v>37</v>
      </c>
      <c r="E139" s="1" t="s">
        <v>223</v>
      </c>
      <c r="F139" s="1" t="s">
        <v>395</v>
      </c>
      <c r="G139" s="1" t="s">
        <v>1229</v>
      </c>
      <c r="H139" s="6">
        <v>1</v>
      </c>
      <c r="I139" s="7">
        <v>0</v>
      </c>
      <c r="J139" s="5">
        <v>45990</v>
      </c>
      <c r="K139" s="1" t="s">
        <v>957</v>
      </c>
      <c r="L139" s="1" t="s">
        <v>30</v>
      </c>
      <c r="M139" s="8">
        <v>0</v>
      </c>
      <c r="N139" s="6"/>
      <c r="O139" s="6"/>
      <c r="P139" s="9">
        <v>-6.76</v>
      </c>
    </row>
    <row r="140" spans="1:16" ht="19.5" customHeight="1">
      <c r="A140" s="1" t="s">
        <v>1590</v>
      </c>
      <c r="B140" s="5">
        <v>46001</v>
      </c>
      <c r="C140" s="1" t="s">
        <v>28</v>
      </c>
      <c r="D140" s="1" t="s">
        <v>45</v>
      </c>
      <c r="E140" s="1" t="s">
        <v>223</v>
      </c>
      <c r="F140" s="1" t="s">
        <v>395</v>
      </c>
      <c r="G140" s="1" t="s">
        <v>1229</v>
      </c>
      <c r="H140" s="6">
        <v>1</v>
      </c>
      <c r="I140" s="7">
        <v>0</v>
      </c>
      <c r="J140" s="5">
        <v>45990</v>
      </c>
      <c r="K140" s="1" t="s">
        <v>957</v>
      </c>
      <c r="L140" s="1" t="s">
        <v>30</v>
      </c>
      <c r="M140" s="8">
        <v>0</v>
      </c>
      <c r="N140" s="6"/>
      <c r="O140" s="6"/>
      <c r="P140" s="9">
        <v>0</v>
      </c>
    </row>
    <row r="141" spans="1:16" ht="19.5" customHeight="1">
      <c r="A141" s="1" t="s">
        <v>1590</v>
      </c>
      <c r="B141" s="5">
        <v>46001</v>
      </c>
      <c r="C141" s="1" t="s">
        <v>28</v>
      </c>
      <c r="D141" s="1" t="s">
        <v>46</v>
      </c>
      <c r="E141" s="1" t="s">
        <v>223</v>
      </c>
      <c r="F141" s="1" t="s">
        <v>395</v>
      </c>
      <c r="G141" s="1" t="s">
        <v>1229</v>
      </c>
      <c r="H141" s="6">
        <v>1</v>
      </c>
      <c r="I141" s="7">
        <v>0</v>
      </c>
      <c r="J141" s="5">
        <v>45990</v>
      </c>
      <c r="K141" s="1" t="s">
        <v>957</v>
      </c>
      <c r="L141" s="1" t="s">
        <v>30</v>
      </c>
      <c r="M141" s="8">
        <v>0</v>
      </c>
      <c r="N141" s="6"/>
      <c r="O141" s="6"/>
      <c r="P141" s="9">
        <v>-46</v>
      </c>
    </row>
    <row r="142" spans="1:16" ht="19.5" customHeight="1">
      <c r="A142" s="1" t="s">
        <v>1590</v>
      </c>
      <c r="B142" s="5">
        <v>46001</v>
      </c>
      <c r="C142" s="1" t="s">
        <v>17</v>
      </c>
      <c r="D142" s="1" t="s">
        <v>47</v>
      </c>
      <c r="E142" s="1" t="s">
        <v>223</v>
      </c>
      <c r="F142" s="1" t="s">
        <v>395</v>
      </c>
      <c r="G142" s="1" t="s">
        <v>1229</v>
      </c>
      <c r="H142" s="6">
        <v>1</v>
      </c>
      <c r="I142" s="7">
        <v>0</v>
      </c>
      <c r="J142" s="5">
        <v>45990</v>
      </c>
      <c r="K142" s="1" t="s">
        <v>957</v>
      </c>
      <c r="L142" s="1" t="s">
        <v>30</v>
      </c>
      <c r="M142" s="8">
        <v>0</v>
      </c>
      <c r="N142" s="6"/>
      <c r="O142" s="6"/>
      <c r="P142" s="9">
        <v>-15</v>
      </c>
    </row>
    <row r="143" spans="1:16" ht="19.5" customHeight="1">
      <c r="A143" s="1" t="s">
        <v>1591</v>
      </c>
      <c r="B143" s="5">
        <v>46001</v>
      </c>
      <c r="C143" s="1" t="s">
        <v>28</v>
      </c>
      <c r="D143" s="1" t="s">
        <v>29</v>
      </c>
      <c r="E143" s="1" t="s">
        <v>25</v>
      </c>
      <c r="F143" s="1" t="s">
        <v>26</v>
      </c>
      <c r="G143" s="1" t="s">
        <v>1229</v>
      </c>
      <c r="H143" s="6">
        <v>1</v>
      </c>
      <c r="I143" s="7">
        <v>1738</v>
      </c>
      <c r="J143" s="5">
        <v>45997</v>
      </c>
      <c r="K143" s="1" t="s">
        <v>957</v>
      </c>
      <c r="L143" s="1" t="s">
        <v>30</v>
      </c>
      <c r="M143" s="8">
        <v>0.43</v>
      </c>
      <c r="N143" s="6"/>
      <c r="O143" s="6">
        <v>38</v>
      </c>
      <c r="P143" s="9">
        <v>-104.48</v>
      </c>
    </row>
    <row r="144" spans="1:16" ht="19.5" customHeight="1">
      <c r="A144" s="1" t="s">
        <v>1591</v>
      </c>
      <c r="B144" s="5">
        <v>46001</v>
      </c>
      <c r="C144" s="1" t="s">
        <v>31</v>
      </c>
      <c r="D144" s="1" t="s">
        <v>32</v>
      </c>
      <c r="E144" s="1" t="s">
        <v>25</v>
      </c>
      <c r="F144" s="1" t="s">
        <v>26</v>
      </c>
      <c r="G144" s="1" t="s">
        <v>1229</v>
      </c>
      <c r="H144" s="6">
        <v>1</v>
      </c>
      <c r="I144" s="7">
        <v>1738</v>
      </c>
      <c r="J144" s="5">
        <v>45997</v>
      </c>
      <c r="K144" s="1" t="s">
        <v>957</v>
      </c>
      <c r="L144" s="1" t="s">
        <v>30</v>
      </c>
      <c r="M144" s="8">
        <v>0</v>
      </c>
      <c r="N144" s="6"/>
      <c r="O144" s="6"/>
      <c r="P144" s="9">
        <v>817.32</v>
      </c>
    </row>
    <row r="145" spans="1:16" ht="19.5" customHeight="1">
      <c r="A145" s="1" t="s">
        <v>1591</v>
      </c>
      <c r="B145" s="5">
        <v>46001</v>
      </c>
      <c r="C145" s="1" t="s">
        <v>31</v>
      </c>
      <c r="D145" s="1" t="s">
        <v>33</v>
      </c>
      <c r="E145" s="1" t="s">
        <v>25</v>
      </c>
      <c r="F145" s="1" t="s">
        <v>26</v>
      </c>
      <c r="G145" s="1" t="s">
        <v>1229</v>
      </c>
      <c r="H145" s="6">
        <v>1</v>
      </c>
      <c r="I145" s="7">
        <v>1738</v>
      </c>
      <c r="J145" s="5">
        <v>45997</v>
      </c>
      <c r="K145" s="1" t="s">
        <v>957</v>
      </c>
      <c r="L145" s="1" t="s">
        <v>30</v>
      </c>
      <c r="M145" s="8">
        <v>0</v>
      </c>
      <c r="N145" s="6"/>
      <c r="O145" s="6"/>
      <c r="P145" s="9">
        <v>8.17</v>
      </c>
    </row>
    <row r="146" spans="1:16" ht="19.5" customHeight="1">
      <c r="A146" s="1" t="s">
        <v>1591</v>
      </c>
      <c r="B146" s="5">
        <v>46001</v>
      </c>
      <c r="C146" s="1" t="s">
        <v>31</v>
      </c>
      <c r="D146" s="1" t="s">
        <v>34</v>
      </c>
      <c r="E146" s="1" t="s">
        <v>25</v>
      </c>
      <c r="F146" s="1" t="s">
        <v>26</v>
      </c>
      <c r="G146" s="1" t="s">
        <v>1229</v>
      </c>
      <c r="H146" s="6">
        <v>1</v>
      </c>
      <c r="I146" s="7">
        <v>1738</v>
      </c>
      <c r="J146" s="5">
        <v>45997</v>
      </c>
      <c r="K146" s="1" t="s">
        <v>957</v>
      </c>
      <c r="L146" s="1" t="s">
        <v>30</v>
      </c>
      <c r="M146" s="8">
        <v>0</v>
      </c>
      <c r="N146" s="6"/>
      <c r="O146" s="6"/>
      <c r="P146" s="9">
        <v>912.51</v>
      </c>
    </row>
    <row r="147" spans="1:16" ht="19.5" customHeight="1">
      <c r="A147" s="1" t="s">
        <v>1591</v>
      </c>
      <c r="B147" s="5">
        <v>46001</v>
      </c>
      <c r="C147" s="1" t="s">
        <v>35</v>
      </c>
      <c r="D147" s="1" t="s">
        <v>36</v>
      </c>
      <c r="E147" s="1" t="s">
        <v>25</v>
      </c>
      <c r="F147" s="1" t="s">
        <v>26</v>
      </c>
      <c r="G147" s="1" t="s">
        <v>1229</v>
      </c>
      <c r="H147" s="6">
        <v>1</v>
      </c>
      <c r="I147" s="7">
        <v>1738</v>
      </c>
      <c r="J147" s="5">
        <v>45997</v>
      </c>
      <c r="K147" s="1" t="s">
        <v>957</v>
      </c>
      <c r="L147" s="1" t="s">
        <v>30</v>
      </c>
      <c r="M147" s="8">
        <v>0.43</v>
      </c>
      <c r="N147" s="6"/>
      <c r="O147" s="6"/>
      <c r="P147" s="9">
        <v>-747.34</v>
      </c>
    </row>
    <row r="148" spans="1:16" ht="19.5" customHeight="1">
      <c r="A148" s="1" t="s">
        <v>1591</v>
      </c>
      <c r="B148" s="5">
        <v>46001</v>
      </c>
      <c r="C148" s="1" t="s">
        <v>17</v>
      </c>
      <c r="D148" s="1" t="s">
        <v>37</v>
      </c>
      <c r="E148" s="1" t="s">
        <v>25</v>
      </c>
      <c r="F148" s="1" t="s">
        <v>26</v>
      </c>
      <c r="G148" s="1" t="s">
        <v>1229</v>
      </c>
      <c r="H148" s="6">
        <v>1</v>
      </c>
      <c r="I148" s="7">
        <v>1738</v>
      </c>
      <c r="J148" s="5">
        <v>45997</v>
      </c>
      <c r="K148" s="1" t="s">
        <v>957</v>
      </c>
      <c r="L148" s="1" t="s">
        <v>30</v>
      </c>
      <c r="M148" s="8">
        <v>0.43</v>
      </c>
      <c r="N148" s="6"/>
      <c r="O148" s="6"/>
      <c r="P148" s="9">
        <v>-21.32</v>
      </c>
    </row>
    <row r="149" spans="1:16" ht="19.5" customHeight="1">
      <c r="A149" s="1" t="s">
        <v>1592</v>
      </c>
      <c r="B149" s="5">
        <v>46001</v>
      </c>
      <c r="C149" s="1" t="s">
        <v>28</v>
      </c>
      <c r="D149" s="1" t="s">
        <v>29</v>
      </c>
      <c r="E149" s="1" t="s">
        <v>228</v>
      </c>
      <c r="F149" s="1" t="s">
        <v>393</v>
      </c>
      <c r="G149" s="1" t="s">
        <v>1229</v>
      </c>
      <c r="H149" s="6">
        <v>1</v>
      </c>
      <c r="I149" s="7">
        <v>0</v>
      </c>
      <c r="J149" s="5">
        <v>45989</v>
      </c>
      <c r="K149" s="1" t="s">
        <v>957</v>
      </c>
      <c r="L149" s="1" t="s">
        <v>30</v>
      </c>
      <c r="M149" s="8">
        <v>0</v>
      </c>
      <c r="N149" s="6"/>
      <c r="O149" s="6">
        <v>44</v>
      </c>
      <c r="P149" s="9">
        <v>-46</v>
      </c>
    </row>
    <row r="150" spans="1:16" ht="19.5" customHeight="1">
      <c r="A150" s="1" t="s">
        <v>1592</v>
      </c>
      <c r="B150" s="5">
        <v>46001</v>
      </c>
      <c r="C150" s="1" t="s">
        <v>17</v>
      </c>
      <c r="D150" s="1" t="s">
        <v>37</v>
      </c>
      <c r="E150" s="1" t="s">
        <v>228</v>
      </c>
      <c r="F150" s="1" t="s">
        <v>393</v>
      </c>
      <c r="G150" s="1" t="s">
        <v>1229</v>
      </c>
      <c r="H150" s="6">
        <v>1</v>
      </c>
      <c r="I150" s="7">
        <v>0</v>
      </c>
      <c r="J150" s="5">
        <v>45989</v>
      </c>
      <c r="K150" s="1" t="s">
        <v>957</v>
      </c>
      <c r="L150" s="1" t="s">
        <v>30</v>
      </c>
      <c r="M150" s="8">
        <v>0</v>
      </c>
      <c r="N150" s="6"/>
      <c r="O150" s="6"/>
      <c r="P150" s="9">
        <v>-6.68</v>
      </c>
    </row>
    <row r="151" spans="1:16" ht="19.5" customHeight="1">
      <c r="A151" s="1" t="s">
        <v>1591</v>
      </c>
      <c r="B151" s="5">
        <v>46001</v>
      </c>
      <c r="C151" s="1" t="s">
        <v>17</v>
      </c>
      <c r="D151" s="1" t="s">
        <v>18</v>
      </c>
      <c r="E151" s="1" t="s">
        <v>25</v>
      </c>
      <c r="F151" s="1" t="s">
        <v>26</v>
      </c>
      <c r="G151" s="1" t="s">
        <v>1229</v>
      </c>
      <c r="H151" s="6">
        <v>1</v>
      </c>
      <c r="I151" s="7">
        <v>0</v>
      </c>
      <c r="J151" s="5">
        <v>45997</v>
      </c>
      <c r="K151" s="1" t="s">
        <v>22</v>
      </c>
      <c r="L151" s="1" t="s">
        <v>22</v>
      </c>
      <c r="M151" s="8">
        <v>0</v>
      </c>
      <c r="N151" s="6"/>
      <c r="O151" s="6"/>
      <c r="P151" s="9">
        <v>-15.53</v>
      </c>
    </row>
    <row r="152" spans="1:16" ht="19.5" customHeight="1">
      <c r="A152" s="1" t="s">
        <v>1592</v>
      </c>
      <c r="B152" s="5">
        <v>46001</v>
      </c>
      <c r="C152" s="1" t="s">
        <v>28</v>
      </c>
      <c r="D152" s="1" t="s">
        <v>45</v>
      </c>
      <c r="E152" s="1" t="s">
        <v>228</v>
      </c>
      <c r="F152" s="1" t="s">
        <v>393</v>
      </c>
      <c r="G152" s="1" t="s">
        <v>1229</v>
      </c>
      <c r="H152" s="6">
        <v>1</v>
      </c>
      <c r="I152" s="7">
        <v>0</v>
      </c>
      <c r="J152" s="5">
        <v>45989</v>
      </c>
      <c r="K152" s="1" t="s">
        <v>957</v>
      </c>
      <c r="L152" s="1" t="s">
        <v>30</v>
      </c>
      <c r="M152" s="8">
        <v>0</v>
      </c>
      <c r="N152" s="6"/>
      <c r="O152" s="6"/>
      <c r="P152" s="9">
        <v>0</v>
      </c>
    </row>
    <row r="153" spans="1:16" ht="19.5" customHeight="1">
      <c r="A153" s="1" t="s">
        <v>1592</v>
      </c>
      <c r="B153" s="5">
        <v>46001</v>
      </c>
      <c r="C153" s="1" t="s">
        <v>28</v>
      </c>
      <c r="D153" s="1" t="s">
        <v>46</v>
      </c>
      <c r="E153" s="1" t="s">
        <v>228</v>
      </c>
      <c r="F153" s="1" t="s">
        <v>393</v>
      </c>
      <c r="G153" s="1" t="s">
        <v>1229</v>
      </c>
      <c r="H153" s="6">
        <v>1</v>
      </c>
      <c r="I153" s="7">
        <v>0</v>
      </c>
      <c r="J153" s="5">
        <v>45989</v>
      </c>
      <c r="K153" s="1" t="s">
        <v>957</v>
      </c>
      <c r="L153" s="1" t="s">
        <v>30</v>
      </c>
      <c r="M153" s="8">
        <v>0</v>
      </c>
      <c r="N153" s="6"/>
      <c r="O153" s="6"/>
      <c r="P153" s="9">
        <v>-46</v>
      </c>
    </row>
    <row r="154" spans="1:16" ht="19.5" customHeight="1">
      <c r="A154" s="1" t="s">
        <v>1592</v>
      </c>
      <c r="B154" s="5">
        <v>46001</v>
      </c>
      <c r="C154" s="1" t="s">
        <v>17</v>
      </c>
      <c r="D154" s="1" t="s">
        <v>47</v>
      </c>
      <c r="E154" s="1" t="s">
        <v>228</v>
      </c>
      <c r="F154" s="1" t="s">
        <v>393</v>
      </c>
      <c r="G154" s="1" t="s">
        <v>1229</v>
      </c>
      <c r="H154" s="6">
        <v>1</v>
      </c>
      <c r="I154" s="7">
        <v>0</v>
      </c>
      <c r="J154" s="5">
        <v>45989</v>
      </c>
      <c r="K154" s="1" t="s">
        <v>957</v>
      </c>
      <c r="L154" s="1" t="s">
        <v>30</v>
      </c>
      <c r="M154" s="8">
        <v>0</v>
      </c>
      <c r="N154" s="6"/>
      <c r="O154" s="6"/>
      <c r="P154" s="9">
        <v>-15</v>
      </c>
    </row>
    <row r="155" spans="1:16" ht="19.5" customHeight="1">
      <c r="A155" s="1" t="s">
        <v>1593</v>
      </c>
      <c r="B155" s="5">
        <v>46001</v>
      </c>
      <c r="C155" s="1" t="s">
        <v>28</v>
      </c>
      <c r="D155" s="1" t="s">
        <v>29</v>
      </c>
      <c r="E155" s="1" t="s">
        <v>25</v>
      </c>
      <c r="F155" s="1" t="s">
        <v>26</v>
      </c>
      <c r="G155" s="1" t="s">
        <v>1229</v>
      </c>
      <c r="H155" s="6">
        <v>1</v>
      </c>
      <c r="I155" s="7">
        <v>1738</v>
      </c>
      <c r="J155" s="5">
        <v>45978</v>
      </c>
      <c r="K155" s="1" t="s">
        <v>957</v>
      </c>
      <c r="L155" s="1" t="s">
        <v>30</v>
      </c>
      <c r="M155" s="8">
        <v>0.43</v>
      </c>
      <c r="N155" s="6"/>
      <c r="O155" s="6">
        <v>44</v>
      </c>
      <c r="P155" s="9">
        <v>-129.72999999999999</v>
      </c>
    </row>
    <row r="156" spans="1:16" ht="19.5" customHeight="1">
      <c r="A156" s="1" t="s">
        <v>1593</v>
      </c>
      <c r="B156" s="5">
        <v>46001</v>
      </c>
      <c r="C156" s="1" t="s">
        <v>31</v>
      </c>
      <c r="D156" s="1" t="s">
        <v>32</v>
      </c>
      <c r="E156" s="1" t="s">
        <v>25</v>
      </c>
      <c r="F156" s="1" t="s">
        <v>26</v>
      </c>
      <c r="G156" s="1" t="s">
        <v>1229</v>
      </c>
      <c r="H156" s="6">
        <v>1</v>
      </c>
      <c r="I156" s="7">
        <v>1738</v>
      </c>
      <c r="J156" s="5">
        <v>45978</v>
      </c>
      <c r="K156" s="1" t="s">
        <v>957</v>
      </c>
      <c r="L156" s="1" t="s">
        <v>30</v>
      </c>
      <c r="M156" s="8">
        <v>0</v>
      </c>
      <c r="N156" s="6"/>
      <c r="O156" s="6"/>
      <c r="P156" s="9">
        <v>817.14</v>
      </c>
    </row>
    <row r="157" spans="1:16" ht="19.5" customHeight="1">
      <c r="A157" s="1" t="s">
        <v>1593</v>
      </c>
      <c r="B157" s="5">
        <v>46001</v>
      </c>
      <c r="C157" s="1" t="s">
        <v>31</v>
      </c>
      <c r="D157" s="1" t="s">
        <v>33</v>
      </c>
      <c r="E157" s="1" t="s">
        <v>25</v>
      </c>
      <c r="F157" s="1" t="s">
        <v>26</v>
      </c>
      <c r="G157" s="1" t="s">
        <v>1229</v>
      </c>
      <c r="H157" s="6">
        <v>1</v>
      </c>
      <c r="I157" s="7">
        <v>1738</v>
      </c>
      <c r="J157" s="5">
        <v>45978</v>
      </c>
      <c r="K157" s="1" t="s">
        <v>957</v>
      </c>
      <c r="L157" s="1" t="s">
        <v>30</v>
      </c>
      <c r="M157" s="8">
        <v>0</v>
      </c>
      <c r="N157" s="6"/>
      <c r="O157" s="6"/>
      <c r="P157" s="9">
        <v>8.17</v>
      </c>
    </row>
    <row r="158" spans="1:16" ht="19.5" customHeight="1">
      <c r="A158" s="1" t="s">
        <v>1593</v>
      </c>
      <c r="B158" s="5">
        <v>46001</v>
      </c>
      <c r="C158" s="1" t="s">
        <v>31</v>
      </c>
      <c r="D158" s="1" t="s">
        <v>34</v>
      </c>
      <c r="E158" s="1" t="s">
        <v>25</v>
      </c>
      <c r="F158" s="1" t="s">
        <v>26</v>
      </c>
      <c r="G158" s="1" t="s">
        <v>1229</v>
      </c>
      <c r="H158" s="6">
        <v>1</v>
      </c>
      <c r="I158" s="7">
        <v>1738</v>
      </c>
      <c r="J158" s="5">
        <v>45978</v>
      </c>
      <c r="K158" s="1" t="s">
        <v>957</v>
      </c>
      <c r="L158" s="1" t="s">
        <v>30</v>
      </c>
      <c r="M158" s="8">
        <v>0</v>
      </c>
      <c r="N158" s="6"/>
      <c r="O158" s="6"/>
      <c r="P158" s="9">
        <v>912.69</v>
      </c>
    </row>
    <row r="159" spans="1:16" ht="19.5" customHeight="1">
      <c r="A159" s="1" t="s">
        <v>1593</v>
      </c>
      <c r="B159" s="5">
        <v>46001</v>
      </c>
      <c r="C159" s="1" t="s">
        <v>35</v>
      </c>
      <c r="D159" s="1" t="s">
        <v>36</v>
      </c>
      <c r="E159" s="1" t="s">
        <v>25</v>
      </c>
      <c r="F159" s="1" t="s">
        <v>26</v>
      </c>
      <c r="G159" s="1" t="s">
        <v>1229</v>
      </c>
      <c r="H159" s="6">
        <v>1</v>
      </c>
      <c r="I159" s="7">
        <v>1738</v>
      </c>
      <c r="J159" s="5">
        <v>45978</v>
      </c>
      <c r="K159" s="1" t="s">
        <v>957</v>
      </c>
      <c r="L159" s="1" t="s">
        <v>30</v>
      </c>
      <c r="M159" s="8">
        <v>0.43</v>
      </c>
      <c r="N159" s="6"/>
      <c r="O159" s="6"/>
      <c r="P159" s="9">
        <v>-747.34</v>
      </c>
    </row>
    <row r="160" spans="1:16" ht="19.5" customHeight="1">
      <c r="A160" s="1" t="s">
        <v>1593</v>
      </c>
      <c r="B160" s="5">
        <v>46001</v>
      </c>
      <c r="C160" s="1" t="s">
        <v>17</v>
      </c>
      <c r="D160" s="1" t="s">
        <v>37</v>
      </c>
      <c r="E160" s="1" t="s">
        <v>25</v>
      </c>
      <c r="F160" s="1" t="s">
        <v>26</v>
      </c>
      <c r="G160" s="1" t="s">
        <v>1229</v>
      </c>
      <c r="H160" s="6">
        <v>1</v>
      </c>
      <c r="I160" s="7">
        <v>1738</v>
      </c>
      <c r="J160" s="5">
        <v>45978</v>
      </c>
      <c r="K160" s="1" t="s">
        <v>957</v>
      </c>
      <c r="L160" s="1" t="s">
        <v>30</v>
      </c>
      <c r="M160" s="8">
        <v>0.43</v>
      </c>
      <c r="N160" s="6"/>
      <c r="O160" s="6"/>
      <c r="P160" s="9">
        <v>-0.48</v>
      </c>
    </row>
    <row r="161" spans="1:16" ht="19.5" customHeight="1">
      <c r="A161" s="1" t="s">
        <v>1594</v>
      </c>
      <c r="B161" s="5">
        <v>46001</v>
      </c>
      <c r="C161" s="1" t="s">
        <v>28</v>
      </c>
      <c r="D161" s="1" t="s">
        <v>29</v>
      </c>
      <c r="E161" s="1" t="s">
        <v>25</v>
      </c>
      <c r="F161" s="1" t="s">
        <v>26</v>
      </c>
      <c r="G161" s="1" t="s">
        <v>1229</v>
      </c>
      <c r="H161" s="6">
        <v>1</v>
      </c>
      <c r="I161" s="7">
        <v>0</v>
      </c>
      <c r="J161" s="5">
        <v>45998</v>
      </c>
      <c r="K161" s="1" t="s">
        <v>957</v>
      </c>
      <c r="L161" s="1" t="s">
        <v>30</v>
      </c>
      <c r="M161" s="8">
        <v>0</v>
      </c>
      <c r="N161" s="6"/>
      <c r="O161" s="6">
        <v>37</v>
      </c>
      <c r="P161" s="9">
        <v>-46</v>
      </c>
    </row>
    <row r="162" spans="1:16" ht="19.5" customHeight="1">
      <c r="A162" s="1" t="s">
        <v>1594</v>
      </c>
      <c r="B162" s="5">
        <v>46001</v>
      </c>
      <c r="C162" s="1" t="s">
        <v>17</v>
      </c>
      <c r="D162" s="1" t="s">
        <v>37</v>
      </c>
      <c r="E162" s="1" t="s">
        <v>25</v>
      </c>
      <c r="F162" s="1" t="s">
        <v>26</v>
      </c>
      <c r="G162" s="1" t="s">
        <v>1229</v>
      </c>
      <c r="H162" s="6">
        <v>1</v>
      </c>
      <c r="I162" s="7">
        <v>0</v>
      </c>
      <c r="J162" s="5">
        <v>45998</v>
      </c>
      <c r="K162" s="1" t="s">
        <v>957</v>
      </c>
      <c r="L162" s="1" t="s">
        <v>30</v>
      </c>
      <c r="M162" s="8">
        <v>0</v>
      </c>
      <c r="N162" s="6"/>
      <c r="O162" s="6"/>
      <c r="P162" s="9">
        <v>-7.15</v>
      </c>
    </row>
    <row r="163" spans="1:16" ht="19.5" customHeight="1">
      <c r="A163" s="1" t="s">
        <v>1594</v>
      </c>
      <c r="B163" s="5">
        <v>46001</v>
      </c>
      <c r="C163" s="1" t="s">
        <v>28</v>
      </c>
      <c r="D163" s="1" t="s">
        <v>45</v>
      </c>
      <c r="E163" s="1" t="s">
        <v>25</v>
      </c>
      <c r="F163" s="1" t="s">
        <v>26</v>
      </c>
      <c r="G163" s="1" t="s">
        <v>1229</v>
      </c>
      <c r="H163" s="6">
        <v>1</v>
      </c>
      <c r="I163" s="7">
        <v>0</v>
      </c>
      <c r="J163" s="5">
        <v>45998</v>
      </c>
      <c r="K163" s="1" t="s">
        <v>957</v>
      </c>
      <c r="L163" s="1" t="s">
        <v>30</v>
      </c>
      <c r="M163" s="8">
        <v>0</v>
      </c>
      <c r="N163" s="6"/>
      <c r="O163" s="6"/>
      <c r="P163" s="9">
        <v>0</v>
      </c>
    </row>
    <row r="164" spans="1:16" ht="19.5" customHeight="1">
      <c r="A164" s="1" t="s">
        <v>1594</v>
      </c>
      <c r="B164" s="5">
        <v>46001</v>
      </c>
      <c r="C164" s="1" t="s">
        <v>28</v>
      </c>
      <c r="D164" s="1" t="s">
        <v>46</v>
      </c>
      <c r="E164" s="1" t="s">
        <v>25</v>
      </c>
      <c r="F164" s="1" t="s">
        <v>26</v>
      </c>
      <c r="G164" s="1" t="s">
        <v>1229</v>
      </c>
      <c r="H164" s="6">
        <v>1</v>
      </c>
      <c r="I164" s="7">
        <v>0</v>
      </c>
      <c r="J164" s="5">
        <v>45998</v>
      </c>
      <c r="K164" s="1" t="s">
        <v>957</v>
      </c>
      <c r="L164" s="1" t="s">
        <v>30</v>
      </c>
      <c r="M164" s="8">
        <v>0</v>
      </c>
      <c r="N164" s="6"/>
      <c r="O164" s="6"/>
      <c r="P164" s="9">
        <v>-46</v>
      </c>
    </row>
    <row r="165" spans="1:16" ht="19.5" customHeight="1">
      <c r="A165" s="1" t="s">
        <v>1594</v>
      </c>
      <c r="B165" s="5">
        <v>46001</v>
      </c>
      <c r="C165" s="1" t="s">
        <v>17</v>
      </c>
      <c r="D165" s="1" t="s">
        <v>47</v>
      </c>
      <c r="E165" s="1" t="s">
        <v>25</v>
      </c>
      <c r="F165" s="1" t="s">
        <v>26</v>
      </c>
      <c r="G165" s="1" t="s">
        <v>1229</v>
      </c>
      <c r="H165" s="6">
        <v>1</v>
      </c>
      <c r="I165" s="7">
        <v>0</v>
      </c>
      <c r="J165" s="5">
        <v>45998</v>
      </c>
      <c r="K165" s="1" t="s">
        <v>957</v>
      </c>
      <c r="L165" s="1" t="s">
        <v>30</v>
      </c>
      <c r="M165" s="8">
        <v>0</v>
      </c>
      <c r="N165" s="6"/>
      <c r="O165" s="6"/>
      <c r="P165" s="9">
        <v>-15</v>
      </c>
    </row>
    <row r="166" spans="1:16" ht="19.5" customHeight="1">
      <c r="A166" s="1" t="s">
        <v>1595</v>
      </c>
      <c r="B166" s="5">
        <v>46001</v>
      </c>
      <c r="C166" s="1" t="s">
        <v>28</v>
      </c>
      <c r="D166" s="1" t="s">
        <v>29</v>
      </c>
      <c r="E166" s="1" t="s">
        <v>25</v>
      </c>
      <c r="F166" s="1" t="s">
        <v>26</v>
      </c>
      <c r="G166" s="1" t="s">
        <v>1229</v>
      </c>
      <c r="H166" s="6">
        <v>1</v>
      </c>
      <c r="I166" s="7">
        <v>0</v>
      </c>
      <c r="J166" s="5">
        <v>45983</v>
      </c>
      <c r="K166" s="1" t="s">
        <v>957</v>
      </c>
      <c r="L166" s="1" t="s">
        <v>30</v>
      </c>
      <c r="M166" s="8">
        <v>0</v>
      </c>
      <c r="N166" s="6"/>
      <c r="O166" s="6">
        <v>42</v>
      </c>
      <c r="P166" s="9">
        <v>-46</v>
      </c>
    </row>
    <row r="167" spans="1:16" ht="19.5" customHeight="1">
      <c r="A167" s="1" t="s">
        <v>1595</v>
      </c>
      <c r="B167" s="5">
        <v>46001</v>
      </c>
      <c r="C167" s="1" t="s">
        <v>17</v>
      </c>
      <c r="D167" s="1" t="s">
        <v>37</v>
      </c>
      <c r="E167" s="1" t="s">
        <v>25</v>
      </c>
      <c r="F167" s="1" t="s">
        <v>26</v>
      </c>
      <c r="G167" s="1" t="s">
        <v>1229</v>
      </c>
      <c r="H167" s="6">
        <v>1</v>
      </c>
      <c r="I167" s="7">
        <v>0</v>
      </c>
      <c r="J167" s="5">
        <v>45983</v>
      </c>
      <c r="K167" s="1" t="s">
        <v>957</v>
      </c>
      <c r="L167" s="1" t="s">
        <v>30</v>
      </c>
      <c r="M167" s="8">
        <v>0</v>
      </c>
      <c r="N167" s="6"/>
      <c r="O167" s="6"/>
      <c r="P167" s="9">
        <v>-10.51</v>
      </c>
    </row>
    <row r="168" spans="1:16" ht="19.5" customHeight="1">
      <c r="A168" s="1" t="s">
        <v>1595</v>
      </c>
      <c r="B168" s="5">
        <v>46001</v>
      </c>
      <c r="C168" s="1" t="s">
        <v>28</v>
      </c>
      <c r="D168" s="1" t="s">
        <v>45</v>
      </c>
      <c r="E168" s="1" t="s">
        <v>25</v>
      </c>
      <c r="F168" s="1" t="s">
        <v>26</v>
      </c>
      <c r="G168" s="1" t="s">
        <v>1229</v>
      </c>
      <c r="H168" s="6">
        <v>1</v>
      </c>
      <c r="I168" s="7">
        <v>0</v>
      </c>
      <c r="J168" s="5">
        <v>45983</v>
      </c>
      <c r="K168" s="1" t="s">
        <v>957</v>
      </c>
      <c r="L168" s="1" t="s">
        <v>30</v>
      </c>
      <c r="M168" s="8">
        <v>0</v>
      </c>
      <c r="N168" s="6"/>
      <c r="O168" s="6"/>
      <c r="P168" s="9">
        <v>0</v>
      </c>
    </row>
    <row r="169" spans="1:16" ht="19.5" customHeight="1">
      <c r="A169" s="1" t="s">
        <v>1595</v>
      </c>
      <c r="B169" s="5">
        <v>46001</v>
      </c>
      <c r="C169" s="1" t="s">
        <v>28</v>
      </c>
      <c r="D169" s="1" t="s">
        <v>46</v>
      </c>
      <c r="E169" s="1" t="s">
        <v>25</v>
      </c>
      <c r="F169" s="1" t="s">
        <v>26</v>
      </c>
      <c r="G169" s="1" t="s">
        <v>1229</v>
      </c>
      <c r="H169" s="6">
        <v>1</v>
      </c>
      <c r="I169" s="7">
        <v>0</v>
      </c>
      <c r="J169" s="5">
        <v>45983</v>
      </c>
      <c r="K169" s="1" t="s">
        <v>957</v>
      </c>
      <c r="L169" s="1" t="s">
        <v>30</v>
      </c>
      <c r="M169" s="8">
        <v>0</v>
      </c>
      <c r="N169" s="6"/>
      <c r="O169" s="6"/>
      <c r="P169" s="9">
        <v>-46</v>
      </c>
    </row>
    <row r="170" spans="1:16" ht="19.5" customHeight="1">
      <c r="A170" s="1" t="s">
        <v>1595</v>
      </c>
      <c r="B170" s="5">
        <v>46001</v>
      </c>
      <c r="C170" s="1" t="s">
        <v>17</v>
      </c>
      <c r="D170" s="1" t="s">
        <v>47</v>
      </c>
      <c r="E170" s="1" t="s">
        <v>25</v>
      </c>
      <c r="F170" s="1" t="s">
        <v>26</v>
      </c>
      <c r="G170" s="1" t="s">
        <v>1229</v>
      </c>
      <c r="H170" s="6">
        <v>1</v>
      </c>
      <c r="I170" s="7">
        <v>0</v>
      </c>
      <c r="J170" s="5">
        <v>45983</v>
      </c>
      <c r="K170" s="1" t="s">
        <v>957</v>
      </c>
      <c r="L170" s="1" t="s">
        <v>30</v>
      </c>
      <c r="M170" s="8">
        <v>0</v>
      </c>
      <c r="N170" s="6"/>
      <c r="O170" s="6"/>
      <c r="P170" s="9">
        <v>-15</v>
      </c>
    </row>
    <row r="171" spans="1:16" ht="19.5" customHeight="1">
      <c r="A171" s="1" t="s">
        <v>1596</v>
      </c>
      <c r="B171" s="5">
        <v>46001</v>
      </c>
      <c r="C171" s="1" t="s">
        <v>17</v>
      </c>
      <c r="D171" s="1" t="s">
        <v>18</v>
      </c>
      <c r="E171" s="1" t="s">
        <v>25</v>
      </c>
      <c r="F171" s="1" t="s">
        <v>26</v>
      </c>
      <c r="G171" s="1" t="s">
        <v>1229</v>
      </c>
      <c r="H171" s="6">
        <v>1</v>
      </c>
      <c r="I171" s="7">
        <v>0</v>
      </c>
      <c r="J171" s="5">
        <v>46001</v>
      </c>
      <c r="K171" s="1" t="s">
        <v>22</v>
      </c>
      <c r="L171" s="1" t="s">
        <v>22</v>
      </c>
      <c r="M171" s="8">
        <v>0</v>
      </c>
      <c r="N171" s="6"/>
      <c r="O171" s="6"/>
      <c r="P171" s="9">
        <v>-14.96</v>
      </c>
    </row>
    <row r="172" spans="1:16" ht="19.5" customHeight="1">
      <c r="A172" s="1" t="s">
        <v>1597</v>
      </c>
      <c r="B172" s="5">
        <v>46001</v>
      </c>
      <c r="C172" s="1" t="s">
        <v>28</v>
      </c>
      <c r="D172" s="1" t="s">
        <v>29</v>
      </c>
      <c r="E172" s="1" t="s">
        <v>223</v>
      </c>
      <c r="F172" s="1" t="s">
        <v>395</v>
      </c>
      <c r="G172" s="1" t="s">
        <v>1229</v>
      </c>
      <c r="H172" s="6">
        <v>1</v>
      </c>
      <c r="I172" s="7">
        <v>1687</v>
      </c>
      <c r="J172" s="5">
        <v>45999</v>
      </c>
      <c r="K172" s="1" t="s">
        <v>957</v>
      </c>
      <c r="L172" s="1" t="s">
        <v>30</v>
      </c>
      <c r="M172" s="8">
        <v>0.43</v>
      </c>
      <c r="N172" s="6"/>
      <c r="O172" s="6">
        <v>39</v>
      </c>
      <c r="P172" s="9">
        <v>-108.57</v>
      </c>
    </row>
    <row r="173" spans="1:16" ht="19.5" customHeight="1">
      <c r="A173" s="1" t="s">
        <v>1597</v>
      </c>
      <c r="B173" s="5">
        <v>46001</v>
      </c>
      <c r="C173" s="1" t="s">
        <v>31</v>
      </c>
      <c r="D173" s="1" t="s">
        <v>32</v>
      </c>
      <c r="E173" s="1" t="s">
        <v>223</v>
      </c>
      <c r="F173" s="1" t="s">
        <v>395</v>
      </c>
      <c r="G173" s="1" t="s">
        <v>1229</v>
      </c>
      <c r="H173" s="6">
        <v>1</v>
      </c>
      <c r="I173" s="7">
        <v>1687</v>
      </c>
      <c r="J173" s="5">
        <v>45999</v>
      </c>
      <c r="K173" s="1" t="s">
        <v>957</v>
      </c>
      <c r="L173" s="1" t="s">
        <v>30</v>
      </c>
      <c r="M173" s="8">
        <v>0</v>
      </c>
      <c r="N173" s="6"/>
      <c r="O173" s="6"/>
      <c r="P173" s="9">
        <v>842.86</v>
      </c>
    </row>
    <row r="174" spans="1:16" ht="19.5" customHeight="1">
      <c r="A174" s="1" t="s">
        <v>1597</v>
      </c>
      <c r="B174" s="5">
        <v>46001</v>
      </c>
      <c r="C174" s="1" t="s">
        <v>31</v>
      </c>
      <c r="D174" s="1" t="s">
        <v>33</v>
      </c>
      <c r="E174" s="1" t="s">
        <v>223</v>
      </c>
      <c r="F174" s="1" t="s">
        <v>395</v>
      </c>
      <c r="G174" s="1" t="s">
        <v>1229</v>
      </c>
      <c r="H174" s="6">
        <v>1</v>
      </c>
      <c r="I174" s="7">
        <v>1687</v>
      </c>
      <c r="J174" s="5">
        <v>45999</v>
      </c>
      <c r="K174" s="1" t="s">
        <v>957</v>
      </c>
      <c r="L174" s="1" t="s">
        <v>30</v>
      </c>
      <c r="M174" s="8">
        <v>0</v>
      </c>
      <c r="N174" s="6"/>
      <c r="O174" s="6"/>
      <c r="P174" s="9">
        <v>8.43</v>
      </c>
    </row>
    <row r="175" spans="1:16" ht="19.5" customHeight="1">
      <c r="A175" s="1" t="s">
        <v>1597</v>
      </c>
      <c r="B175" s="5">
        <v>46001</v>
      </c>
      <c r="C175" s="1" t="s">
        <v>31</v>
      </c>
      <c r="D175" s="1" t="s">
        <v>34</v>
      </c>
      <c r="E175" s="1" t="s">
        <v>223</v>
      </c>
      <c r="F175" s="1" t="s">
        <v>395</v>
      </c>
      <c r="G175" s="1" t="s">
        <v>1229</v>
      </c>
      <c r="H175" s="6">
        <v>1</v>
      </c>
      <c r="I175" s="7">
        <v>1687</v>
      </c>
      <c r="J175" s="5">
        <v>45999</v>
      </c>
      <c r="K175" s="1" t="s">
        <v>957</v>
      </c>
      <c r="L175" s="1" t="s">
        <v>30</v>
      </c>
      <c r="M175" s="8">
        <v>0</v>
      </c>
      <c r="N175" s="6"/>
      <c r="O175" s="6"/>
      <c r="P175" s="9">
        <v>835.71</v>
      </c>
    </row>
    <row r="176" spans="1:16" ht="19.5" customHeight="1">
      <c r="A176" s="1" t="s">
        <v>1597</v>
      </c>
      <c r="B176" s="5">
        <v>46001</v>
      </c>
      <c r="C176" s="1" t="s">
        <v>35</v>
      </c>
      <c r="D176" s="1" t="s">
        <v>36</v>
      </c>
      <c r="E176" s="1" t="s">
        <v>223</v>
      </c>
      <c r="F176" s="1" t="s">
        <v>395</v>
      </c>
      <c r="G176" s="1" t="s">
        <v>1229</v>
      </c>
      <c r="H176" s="6">
        <v>1</v>
      </c>
      <c r="I176" s="7">
        <v>1687</v>
      </c>
      <c r="J176" s="5">
        <v>45999</v>
      </c>
      <c r="K176" s="1" t="s">
        <v>957</v>
      </c>
      <c r="L176" s="1" t="s">
        <v>30</v>
      </c>
      <c r="M176" s="8">
        <v>0.43</v>
      </c>
      <c r="N176" s="6"/>
      <c r="O176" s="6"/>
      <c r="P176" s="9">
        <v>-725.41</v>
      </c>
    </row>
    <row r="177" spans="1:16" ht="19.5" customHeight="1">
      <c r="A177" s="1" t="s">
        <v>1597</v>
      </c>
      <c r="B177" s="5">
        <v>46001</v>
      </c>
      <c r="C177" s="1" t="s">
        <v>17</v>
      </c>
      <c r="D177" s="1" t="s">
        <v>37</v>
      </c>
      <c r="E177" s="1" t="s">
        <v>223</v>
      </c>
      <c r="F177" s="1" t="s">
        <v>395</v>
      </c>
      <c r="G177" s="1" t="s">
        <v>1229</v>
      </c>
      <c r="H177" s="6">
        <v>1</v>
      </c>
      <c r="I177" s="7">
        <v>1687</v>
      </c>
      <c r="J177" s="5">
        <v>45999</v>
      </c>
      <c r="K177" s="1" t="s">
        <v>957</v>
      </c>
      <c r="L177" s="1" t="s">
        <v>30</v>
      </c>
      <c r="M177" s="8">
        <v>0.43</v>
      </c>
      <c r="N177" s="6"/>
      <c r="O177" s="6"/>
      <c r="P177" s="9">
        <v>-14.72</v>
      </c>
    </row>
    <row r="178" spans="1:16" ht="19.5" customHeight="1">
      <c r="A178" s="1" t="s">
        <v>1597</v>
      </c>
      <c r="B178" s="5">
        <v>46001</v>
      </c>
      <c r="C178" s="1" t="s">
        <v>17</v>
      </c>
      <c r="D178" s="1" t="s">
        <v>18</v>
      </c>
      <c r="E178" s="1" t="s">
        <v>223</v>
      </c>
      <c r="F178" s="1" t="s">
        <v>395</v>
      </c>
      <c r="G178" s="1" t="s">
        <v>1229</v>
      </c>
      <c r="H178" s="6">
        <v>1</v>
      </c>
      <c r="I178" s="7">
        <v>0</v>
      </c>
      <c r="J178" s="5">
        <v>45999</v>
      </c>
      <c r="K178" s="1" t="s">
        <v>22</v>
      </c>
      <c r="L178" s="1" t="s">
        <v>22</v>
      </c>
      <c r="M178" s="8">
        <v>0</v>
      </c>
      <c r="N178" s="6"/>
      <c r="O178" s="6"/>
      <c r="P178" s="9">
        <v>-16.010000000000002</v>
      </c>
    </row>
    <row r="179" spans="1:16" ht="19.5" customHeight="1">
      <c r="A179" s="1" t="s">
        <v>1598</v>
      </c>
      <c r="B179" s="5">
        <v>46001</v>
      </c>
      <c r="C179" s="1" t="s">
        <v>28</v>
      </c>
      <c r="D179" s="1" t="s">
        <v>29</v>
      </c>
      <c r="E179" s="1" t="s">
        <v>1054</v>
      </c>
      <c r="F179" s="1" t="s">
        <v>1297</v>
      </c>
      <c r="G179" s="1" t="s">
        <v>1298</v>
      </c>
      <c r="H179" s="6">
        <v>1</v>
      </c>
      <c r="I179" s="7">
        <v>1638</v>
      </c>
      <c r="J179" s="5">
        <v>45998</v>
      </c>
      <c r="K179" s="1" t="s">
        <v>957</v>
      </c>
      <c r="L179" s="1" t="s">
        <v>30</v>
      </c>
      <c r="M179" s="8">
        <v>0.43</v>
      </c>
      <c r="N179" s="6"/>
      <c r="O179" s="6">
        <v>37</v>
      </c>
      <c r="P179" s="9">
        <v>-97.16</v>
      </c>
    </row>
    <row r="180" spans="1:16" ht="19.5" customHeight="1">
      <c r="A180" s="1" t="s">
        <v>1598</v>
      </c>
      <c r="B180" s="5">
        <v>46001</v>
      </c>
      <c r="C180" s="1" t="s">
        <v>31</v>
      </c>
      <c r="D180" s="1" t="s">
        <v>32</v>
      </c>
      <c r="E180" s="1" t="s">
        <v>1054</v>
      </c>
      <c r="F180" s="1" t="s">
        <v>1297</v>
      </c>
      <c r="G180" s="1" t="s">
        <v>1298</v>
      </c>
      <c r="H180" s="6">
        <v>1</v>
      </c>
      <c r="I180" s="7">
        <v>1638</v>
      </c>
      <c r="J180" s="5">
        <v>45998</v>
      </c>
      <c r="K180" s="1" t="s">
        <v>957</v>
      </c>
      <c r="L180" s="1" t="s">
        <v>30</v>
      </c>
      <c r="M180" s="8">
        <v>0</v>
      </c>
      <c r="N180" s="6"/>
      <c r="O180" s="6"/>
      <c r="P180" s="9">
        <v>759.24</v>
      </c>
    </row>
    <row r="181" spans="1:16" ht="19.5" customHeight="1">
      <c r="A181" s="1" t="s">
        <v>1598</v>
      </c>
      <c r="B181" s="5">
        <v>46001</v>
      </c>
      <c r="C181" s="1" t="s">
        <v>31</v>
      </c>
      <c r="D181" s="1" t="s">
        <v>33</v>
      </c>
      <c r="E181" s="1" t="s">
        <v>1054</v>
      </c>
      <c r="F181" s="1" t="s">
        <v>1297</v>
      </c>
      <c r="G181" s="1" t="s">
        <v>1298</v>
      </c>
      <c r="H181" s="6">
        <v>1</v>
      </c>
      <c r="I181" s="7">
        <v>1638</v>
      </c>
      <c r="J181" s="5">
        <v>45998</v>
      </c>
      <c r="K181" s="1" t="s">
        <v>957</v>
      </c>
      <c r="L181" s="1" t="s">
        <v>30</v>
      </c>
      <c r="M181" s="8">
        <v>0</v>
      </c>
      <c r="N181" s="6"/>
      <c r="O181" s="6"/>
      <c r="P181" s="9">
        <v>7.59</v>
      </c>
    </row>
    <row r="182" spans="1:16" ht="19.5" customHeight="1">
      <c r="A182" s="1" t="s">
        <v>1598</v>
      </c>
      <c r="B182" s="5">
        <v>46001</v>
      </c>
      <c r="C182" s="1" t="s">
        <v>31</v>
      </c>
      <c r="D182" s="1" t="s">
        <v>34</v>
      </c>
      <c r="E182" s="1" t="s">
        <v>1054</v>
      </c>
      <c r="F182" s="1" t="s">
        <v>1297</v>
      </c>
      <c r="G182" s="1" t="s">
        <v>1298</v>
      </c>
      <c r="H182" s="6">
        <v>1</v>
      </c>
      <c r="I182" s="7">
        <v>1638</v>
      </c>
      <c r="J182" s="5">
        <v>45998</v>
      </c>
      <c r="K182" s="1" t="s">
        <v>957</v>
      </c>
      <c r="L182" s="1" t="s">
        <v>30</v>
      </c>
      <c r="M182" s="8">
        <v>0</v>
      </c>
      <c r="N182" s="6"/>
      <c r="O182" s="6"/>
      <c r="P182" s="9">
        <v>871.17</v>
      </c>
    </row>
    <row r="183" spans="1:16" ht="19.5" customHeight="1">
      <c r="A183" s="1" t="s">
        <v>1598</v>
      </c>
      <c r="B183" s="5">
        <v>46001</v>
      </c>
      <c r="C183" s="1" t="s">
        <v>35</v>
      </c>
      <c r="D183" s="1" t="s">
        <v>36</v>
      </c>
      <c r="E183" s="1" t="s">
        <v>1054</v>
      </c>
      <c r="F183" s="1" t="s">
        <v>1297</v>
      </c>
      <c r="G183" s="1" t="s">
        <v>1298</v>
      </c>
      <c r="H183" s="6">
        <v>1</v>
      </c>
      <c r="I183" s="7">
        <v>1638</v>
      </c>
      <c r="J183" s="5">
        <v>45998</v>
      </c>
      <c r="K183" s="1" t="s">
        <v>957</v>
      </c>
      <c r="L183" s="1" t="s">
        <v>30</v>
      </c>
      <c r="M183" s="8">
        <v>0.43</v>
      </c>
      <c r="N183" s="6"/>
      <c r="O183" s="6"/>
      <c r="P183" s="9">
        <v>-704.34</v>
      </c>
    </row>
    <row r="184" spans="1:16" ht="19.5" customHeight="1">
      <c r="A184" s="1" t="s">
        <v>1598</v>
      </c>
      <c r="B184" s="5">
        <v>46001</v>
      </c>
      <c r="C184" s="1" t="s">
        <v>17</v>
      </c>
      <c r="D184" s="1" t="s">
        <v>37</v>
      </c>
      <c r="E184" s="1" t="s">
        <v>1054</v>
      </c>
      <c r="F184" s="1" t="s">
        <v>1297</v>
      </c>
      <c r="G184" s="1" t="s">
        <v>1298</v>
      </c>
      <c r="H184" s="6">
        <v>1</v>
      </c>
      <c r="I184" s="7">
        <v>1638</v>
      </c>
      <c r="J184" s="5">
        <v>45998</v>
      </c>
      <c r="K184" s="1" t="s">
        <v>957</v>
      </c>
      <c r="L184" s="1" t="s">
        <v>30</v>
      </c>
      <c r="M184" s="8">
        <v>0.43</v>
      </c>
      <c r="N184" s="6"/>
      <c r="O184" s="6"/>
      <c r="P184" s="9">
        <v>-9.14</v>
      </c>
    </row>
    <row r="185" spans="1:16" ht="19.5" customHeight="1">
      <c r="A185" s="1" t="s">
        <v>1598</v>
      </c>
      <c r="B185" s="5">
        <v>46001</v>
      </c>
      <c r="C185" s="1" t="s">
        <v>17</v>
      </c>
      <c r="D185" s="1" t="s">
        <v>18</v>
      </c>
      <c r="E185" s="1" t="s">
        <v>1054</v>
      </c>
      <c r="F185" s="1" t="s">
        <v>1297</v>
      </c>
      <c r="G185" s="1" t="s">
        <v>1298</v>
      </c>
      <c r="H185" s="6">
        <v>1</v>
      </c>
      <c r="I185" s="7">
        <v>0</v>
      </c>
      <c r="J185" s="5">
        <v>45998</v>
      </c>
      <c r="K185" s="1" t="s">
        <v>22</v>
      </c>
      <c r="L185" s="1" t="s">
        <v>22</v>
      </c>
      <c r="M185" s="8">
        <v>0</v>
      </c>
      <c r="N185" s="6"/>
      <c r="O185" s="6"/>
      <c r="P185" s="9">
        <v>-14.43</v>
      </c>
    </row>
    <row r="186" spans="1:16" ht="19.5" customHeight="1">
      <c r="A186" s="1" t="s">
        <v>1599</v>
      </c>
      <c r="B186" s="5">
        <v>46001</v>
      </c>
      <c r="C186" s="1" t="s">
        <v>28</v>
      </c>
      <c r="D186" s="1" t="s">
        <v>29</v>
      </c>
      <c r="E186" s="1" t="s">
        <v>1055</v>
      </c>
      <c r="F186" s="1" t="s">
        <v>1317</v>
      </c>
      <c r="G186" s="1" t="s">
        <v>1298</v>
      </c>
      <c r="H186" s="6">
        <v>1</v>
      </c>
      <c r="I186" s="7">
        <v>1815</v>
      </c>
      <c r="J186" s="5">
        <v>45999</v>
      </c>
      <c r="K186" s="1" t="s">
        <v>957</v>
      </c>
      <c r="L186" s="1" t="s">
        <v>30</v>
      </c>
      <c r="M186" s="8">
        <v>0.43</v>
      </c>
      <c r="N186" s="6"/>
      <c r="O186" s="6">
        <v>39</v>
      </c>
      <c r="P186" s="9">
        <v>-111.64</v>
      </c>
    </row>
    <row r="187" spans="1:16" ht="19.5" customHeight="1">
      <c r="A187" s="1" t="s">
        <v>1599</v>
      </c>
      <c r="B187" s="5">
        <v>46001</v>
      </c>
      <c r="C187" s="1" t="s">
        <v>31</v>
      </c>
      <c r="D187" s="1" t="s">
        <v>32</v>
      </c>
      <c r="E187" s="1" t="s">
        <v>1055</v>
      </c>
      <c r="F187" s="1" t="s">
        <v>1317</v>
      </c>
      <c r="G187" s="1" t="s">
        <v>1298</v>
      </c>
      <c r="H187" s="6">
        <v>1</v>
      </c>
      <c r="I187" s="7">
        <v>1815</v>
      </c>
      <c r="J187" s="5">
        <v>45999</v>
      </c>
      <c r="K187" s="1" t="s">
        <v>957</v>
      </c>
      <c r="L187" s="1" t="s">
        <v>30</v>
      </c>
      <c r="M187" s="8">
        <v>0</v>
      </c>
      <c r="N187" s="6"/>
      <c r="O187" s="6"/>
      <c r="P187" s="9">
        <v>810.48</v>
      </c>
    </row>
    <row r="188" spans="1:16" ht="19.5" customHeight="1">
      <c r="A188" s="1" t="s">
        <v>1599</v>
      </c>
      <c r="B188" s="5">
        <v>46001</v>
      </c>
      <c r="C188" s="1" t="s">
        <v>31</v>
      </c>
      <c r="D188" s="1" t="s">
        <v>33</v>
      </c>
      <c r="E188" s="1" t="s">
        <v>1055</v>
      </c>
      <c r="F188" s="1" t="s">
        <v>1317</v>
      </c>
      <c r="G188" s="1" t="s">
        <v>1298</v>
      </c>
      <c r="H188" s="6">
        <v>1</v>
      </c>
      <c r="I188" s="7">
        <v>1815</v>
      </c>
      <c r="J188" s="5">
        <v>45999</v>
      </c>
      <c r="K188" s="1" t="s">
        <v>957</v>
      </c>
      <c r="L188" s="1" t="s">
        <v>30</v>
      </c>
      <c r="M188" s="8">
        <v>0</v>
      </c>
      <c r="N188" s="6"/>
      <c r="O188" s="6"/>
      <c r="P188" s="9">
        <v>8.1</v>
      </c>
    </row>
    <row r="189" spans="1:16" ht="19.5" customHeight="1">
      <c r="A189" s="1" t="s">
        <v>1599</v>
      </c>
      <c r="B189" s="5">
        <v>46001</v>
      </c>
      <c r="C189" s="1" t="s">
        <v>31</v>
      </c>
      <c r="D189" s="1" t="s">
        <v>34</v>
      </c>
      <c r="E189" s="1" t="s">
        <v>1055</v>
      </c>
      <c r="F189" s="1" t="s">
        <v>1317</v>
      </c>
      <c r="G189" s="1" t="s">
        <v>1298</v>
      </c>
      <c r="H189" s="6">
        <v>1</v>
      </c>
      <c r="I189" s="7">
        <v>1815</v>
      </c>
      <c r="J189" s="5">
        <v>45999</v>
      </c>
      <c r="K189" s="1" t="s">
        <v>957</v>
      </c>
      <c r="L189" s="1" t="s">
        <v>30</v>
      </c>
      <c r="M189" s="8">
        <v>0</v>
      </c>
      <c r="N189" s="6"/>
      <c r="O189" s="6"/>
      <c r="P189" s="9">
        <v>996.42</v>
      </c>
    </row>
    <row r="190" spans="1:16" ht="19.5" customHeight="1">
      <c r="A190" s="1" t="s">
        <v>1599</v>
      </c>
      <c r="B190" s="5">
        <v>46001</v>
      </c>
      <c r="C190" s="1" t="s">
        <v>35</v>
      </c>
      <c r="D190" s="1" t="s">
        <v>36</v>
      </c>
      <c r="E190" s="1" t="s">
        <v>1055</v>
      </c>
      <c r="F190" s="1" t="s">
        <v>1317</v>
      </c>
      <c r="G190" s="1" t="s">
        <v>1298</v>
      </c>
      <c r="H190" s="6">
        <v>1</v>
      </c>
      <c r="I190" s="7">
        <v>1815</v>
      </c>
      <c r="J190" s="5">
        <v>45999</v>
      </c>
      <c r="K190" s="1" t="s">
        <v>957</v>
      </c>
      <c r="L190" s="1" t="s">
        <v>30</v>
      </c>
      <c r="M190" s="8">
        <v>0.43</v>
      </c>
      <c r="N190" s="6"/>
      <c r="O190" s="6"/>
      <c r="P190" s="9">
        <v>-780.45</v>
      </c>
    </row>
    <row r="191" spans="1:16" ht="19.5" customHeight="1">
      <c r="A191" s="1" t="s">
        <v>1599</v>
      </c>
      <c r="B191" s="5">
        <v>46001</v>
      </c>
      <c r="C191" s="1" t="s">
        <v>17</v>
      </c>
      <c r="D191" s="1" t="s">
        <v>37</v>
      </c>
      <c r="E191" s="1" t="s">
        <v>1055</v>
      </c>
      <c r="F191" s="1" t="s">
        <v>1317</v>
      </c>
      <c r="G191" s="1" t="s">
        <v>1298</v>
      </c>
      <c r="H191" s="6">
        <v>1</v>
      </c>
      <c r="I191" s="7">
        <v>1815</v>
      </c>
      <c r="J191" s="5">
        <v>45999</v>
      </c>
      <c r="K191" s="1" t="s">
        <v>957</v>
      </c>
      <c r="L191" s="1" t="s">
        <v>30</v>
      </c>
      <c r="M191" s="8">
        <v>0.43</v>
      </c>
      <c r="N191" s="6"/>
      <c r="O191" s="6"/>
      <c r="P191" s="9">
        <v>-8.23</v>
      </c>
    </row>
    <row r="192" spans="1:16" ht="19.5" customHeight="1">
      <c r="A192" s="1" t="s">
        <v>1600</v>
      </c>
      <c r="B192" s="5">
        <v>46001</v>
      </c>
      <c r="C192" s="1" t="s">
        <v>17</v>
      </c>
      <c r="D192" s="1" t="s">
        <v>18</v>
      </c>
      <c r="E192" s="1" t="s">
        <v>25</v>
      </c>
      <c r="F192" s="1" t="s">
        <v>26</v>
      </c>
      <c r="G192" s="1" t="s">
        <v>1229</v>
      </c>
      <c r="H192" s="6">
        <v>1</v>
      </c>
      <c r="I192" s="7">
        <v>0</v>
      </c>
      <c r="J192" s="5">
        <v>46001</v>
      </c>
      <c r="K192" s="1" t="s">
        <v>22</v>
      </c>
      <c r="L192" s="1" t="s">
        <v>22</v>
      </c>
      <c r="M192" s="8">
        <v>0</v>
      </c>
      <c r="N192" s="6"/>
      <c r="O192" s="6"/>
      <c r="P192" s="9">
        <v>-16.59</v>
      </c>
    </row>
    <row r="193" spans="1:16" ht="19.5" customHeight="1">
      <c r="A193" s="1" t="s">
        <v>1601</v>
      </c>
      <c r="B193" s="5">
        <v>46001</v>
      </c>
      <c r="C193" s="1" t="s">
        <v>28</v>
      </c>
      <c r="D193" s="1" t="s">
        <v>29</v>
      </c>
      <c r="E193" s="1" t="s">
        <v>25</v>
      </c>
      <c r="F193" s="1" t="s">
        <v>26</v>
      </c>
      <c r="G193" s="1" t="s">
        <v>1229</v>
      </c>
      <c r="H193" s="6">
        <v>1</v>
      </c>
      <c r="I193" s="7">
        <v>1738</v>
      </c>
      <c r="J193" s="5">
        <v>45998</v>
      </c>
      <c r="K193" s="1" t="s">
        <v>957</v>
      </c>
      <c r="L193" s="1" t="s">
        <v>30</v>
      </c>
      <c r="M193" s="8">
        <v>0.43</v>
      </c>
      <c r="N193" s="6"/>
      <c r="O193" s="6">
        <v>37</v>
      </c>
      <c r="P193" s="9">
        <v>-99.16</v>
      </c>
    </row>
    <row r="194" spans="1:16" ht="19.5" customHeight="1">
      <c r="A194" s="1" t="s">
        <v>1601</v>
      </c>
      <c r="B194" s="5">
        <v>46001</v>
      </c>
      <c r="C194" s="1" t="s">
        <v>31</v>
      </c>
      <c r="D194" s="1" t="s">
        <v>32</v>
      </c>
      <c r="E194" s="1" t="s">
        <v>25</v>
      </c>
      <c r="F194" s="1" t="s">
        <v>26</v>
      </c>
      <c r="G194" s="1" t="s">
        <v>1229</v>
      </c>
      <c r="H194" s="6">
        <v>1</v>
      </c>
      <c r="I194" s="7">
        <v>1738</v>
      </c>
      <c r="J194" s="5">
        <v>45998</v>
      </c>
      <c r="K194" s="1" t="s">
        <v>957</v>
      </c>
      <c r="L194" s="1" t="s">
        <v>30</v>
      </c>
      <c r="M194" s="8">
        <v>0</v>
      </c>
      <c r="N194" s="6"/>
      <c r="O194" s="6"/>
      <c r="P194" s="9">
        <v>861.08</v>
      </c>
    </row>
    <row r="195" spans="1:16" ht="19.5" customHeight="1">
      <c r="A195" s="1" t="s">
        <v>1601</v>
      </c>
      <c r="B195" s="5">
        <v>46001</v>
      </c>
      <c r="C195" s="1" t="s">
        <v>31</v>
      </c>
      <c r="D195" s="1" t="s">
        <v>33</v>
      </c>
      <c r="E195" s="1" t="s">
        <v>25</v>
      </c>
      <c r="F195" s="1" t="s">
        <v>26</v>
      </c>
      <c r="G195" s="1" t="s">
        <v>1229</v>
      </c>
      <c r="H195" s="6">
        <v>1</v>
      </c>
      <c r="I195" s="7">
        <v>1738</v>
      </c>
      <c r="J195" s="5">
        <v>45998</v>
      </c>
      <c r="K195" s="1" t="s">
        <v>957</v>
      </c>
      <c r="L195" s="1" t="s">
        <v>30</v>
      </c>
      <c r="M195" s="8">
        <v>0</v>
      </c>
      <c r="N195" s="6"/>
      <c r="O195" s="6"/>
      <c r="P195" s="9">
        <v>8.61</v>
      </c>
    </row>
    <row r="196" spans="1:16" ht="19.5" customHeight="1">
      <c r="A196" s="1" t="s">
        <v>1601</v>
      </c>
      <c r="B196" s="5">
        <v>46001</v>
      </c>
      <c r="C196" s="1" t="s">
        <v>31</v>
      </c>
      <c r="D196" s="1" t="s">
        <v>34</v>
      </c>
      <c r="E196" s="1" t="s">
        <v>25</v>
      </c>
      <c r="F196" s="1" t="s">
        <v>26</v>
      </c>
      <c r="G196" s="1" t="s">
        <v>1229</v>
      </c>
      <c r="H196" s="6">
        <v>1</v>
      </c>
      <c r="I196" s="7">
        <v>1738</v>
      </c>
      <c r="J196" s="5">
        <v>45998</v>
      </c>
      <c r="K196" s="1" t="s">
        <v>957</v>
      </c>
      <c r="L196" s="1" t="s">
        <v>30</v>
      </c>
      <c r="M196" s="8">
        <v>0</v>
      </c>
      <c r="N196" s="6"/>
      <c r="O196" s="6"/>
      <c r="P196" s="9">
        <v>868.31</v>
      </c>
    </row>
    <row r="197" spans="1:16" ht="19.5" customHeight="1">
      <c r="A197" s="1" t="s">
        <v>1601</v>
      </c>
      <c r="B197" s="5">
        <v>46001</v>
      </c>
      <c r="C197" s="1" t="s">
        <v>35</v>
      </c>
      <c r="D197" s="1" t="s">
        <v>36</v>
      </c>
      <c r="E197" s="1" t="s">
        <v>25</v>
      </c>
      <c r="F197" s="1" t="s">
        <v>26</v>
      </c>
      <c r="G197" s="1" t="s">
        <v>1229</v>
      </c>
      <c r="H197" s="6">
        <v>1</v>
      </c>
      <c r="I197" s="7">
        <v>1738</v>
      </c>
      <c r="J197" s="5">
        <v>45998</v>
      </c>
      <c r="K197" s="1" t="s">
        <v>957</v>
      </c>
      <c r="L197" s="1" t="s">
        <v>30</v>
      </c>
      <c r="M197" s="8">
        <v>0.43</v>
      </c>
      <c r="N197" s="6"/>
      <c r="O197" s="6"/>
      <c r="P197" s="9">
        <v>-747.34</v>
      </c>
    </row>
    <row r="198" spans="1:16" ht="19.5" customHeight="1">
      <c r="A198" s="1" t="s">
        <v>1601</v>
      </c>
      <c r="B198" s="5">
        <v>46001</v>
      </c>
      <c r="C198" s="1" t="s">
        <v>17</v>
      </c>
      <c r="D198" s="1" t="s">
        <v>37</v>
      </c>
      <c r="E198" s="1" t="s">
        <v>25</v>
      </c>
      <c r="F198" s="1" t="s">
        <v>26</v>
      </c>
      <c r="G198" s="1" t="s">
        <v>1229</v>
      </c>
      <c r="H198" s="6">
        <v>1</v>
      </c>
      <c r="I198" s="7">
        <v>1738</v>
      </c>
      <c r="J198" s="5">
        <v>45998</v>
      </c>
      <c r="K198" s="1" t="s">
        <v>957</v>
      </c>
      <c r="L198" s="1" t="s">
        <v>30</v>
      </c>
      <c r="M198" s="8">
        <v>0.43</v>
      </c>
      <c r="N198" s="6"/>
      <c r="O198" s="6"/>
      <c r="P198" s="9">
        <v>-7.74</v>
      </c>
    </row>
    <row r="199" spans="1:16" ht="19.5" customHeight="1">
      <c r="A199" s="1" t="s">
        <v>22</v>
      </c>
      <c r="B199" s="5">
        <v>46001</v>
      </c>
      <c r="C199" s="1" t="s">
        <v>77</v>
      </c>
      <c r="D199" s="1" t="s">
        <v>78</v>
      </c>
      <c r="E199" s="1" t="s">
        <v>22</v>
      </c>
      <c r="F199" s="1" t="s">
        <v>22</v>
      </c>
      <c r="G199" s="1" t="s">
        <v>1602</v>
      </c>
      <c r="H199" s="6">
        <v>0</v>
      </c>
      <c r="I199" s="7">
        <v>0</v>
      </c>
      <c r="J199" s="5">
        <v>46001</v>
      </c>
      <c r="K199" s="1" t="s">
        <v>22</v>
      </c>
      <c r="L199" s="1" t="s">
        <v>22</v>
      </c>
      <c r="M199" s="8">
        <v>0</v>
      </c>
      <c r="N199" s="6"/>
      <c r="O199" s="6"/>
      <c r="P199" s="9">
        <v>-450</v>
      </c>
    </row>
    <row r="200" spans="1:16" ht="19.5" customHeight="1">
      <c r="A200" s="1" t="s">
        <v>1603</v>
      </c>
      <c r="B200" s="5">
        <v>46002</v>
      </c>
      <c r="C200" s="1" t="s">
        <v>17</v>
      </c>
      <c r="D200" s="1" t="s">
        <v>18</v>
      </c>
      <c r="E200" s="1" t="s">
        <v>223</v>
      </c>
      <c r="F200" s="1" t="s">
        <v>395</v>
      </c>
      <c r="G200" s="1" t="s">
        <v>1229</v>
      </c>
      <c r="H200" s="6">
        <v>1</v>
      </c>
      <c r="I200" s="7">
        <v>0</v>
      </c>
      <c r="J200" s="5">
        <v>46002</v>
      </c>
      <c r="K200" s="1" t="s">
        <v>22</v>
      </c>
      <c r="L200" s="1" t="s">
        <v>22</v>
      </c>
      <c r="M200" s="8">
        <v>0</v>
      </c>
      <c r="N200" s="6"/>
      <c r="O200" s="6"/>
      <c r="P200" s="9">
        <v>-10.050000000000001</v>
      </c>
    </row>
    <row r="201" spans="1:16" ht="19.5" customHeight="1">
      <c r="A201" s="1" t="s">
        <v>1604</v>
      </c>
      <c r="B201" s="5">
        <v>46002</v>
      </c>
      <c r="C201" s="1" t="s">
        <v>28</v>
      </c>
      <c r="D201" s="1" t="s">
        <v>29</v>
      </c>
      <c r="E201" s="1" t="s">
        <v>25</v>
      </c>
      <c r="F201" s="1" t="s">
        <v>26</v>
      </c>
      <c r="G201" s="1" t="s">
        <v>1229</v>
      </c>
      <c r="H201" s="6">
        <v>1</v>
      </c>
      <c r="I201" s="7">
        <v>0</v>
      </c>
      <c r="J201" s="5">
        <v>45996</v>
      </c>
      <c r="K201" s="1" t="s">
        <v>957</v>
      </c>
      <c r="L201" s="1" t="s">
        <v>30</v>
      </c>
      <c r="M201" s="8">
        <v>0</v>
      </c>
      <c r="N201" s="6"/>
      <c r="O201" s="6">
        <v>40</v>
      </c>
      <c r="P201" s="9">
        <v>-46</v>
      </c>
    </row>
    <row r="202" spans="1:16" ht="19.5" customHeight="1">
      <c r="A202" s="1" t="s">
        <v>1604</v>
      </c>
      <c r="B202" s="5">
        <v>46002</v>
      </c>
      <c r="C202" s="1" t="s">
        <v>17</v>
      </c>
      <c r="D202" s="1" t="s">
        <v>37</v>
      </c>
      <c r="E202" s="1" t="s">
        <v>25</v>
      </c>
      <c r="F202" s="1" t="s">
        <v>26</v>
      </c>
      <c r="G202" s="1" t="s">
        <v>1229</v>
      </c>
      <c r="H202" s="6">
        <v>1</v>
      </c>
      <c r="I202" s="7">
        <v>0</v>
      </c>
      <c r="J202" s="5">
        <v>45996</v>
      </c>
      <c r="K202" s="1" t="s">
        <v>957</v>
      </c>
      <c r="L202" s="1" t="s">
        <v>30</v>
      </c>
      <c r="M202" s="8">
        <v>0</v>
      </c>
      <c r="N202" s="6"/>
      <c r="O202" s="6"/>
      <c r="P202" s="9">
        <v>-6.77</v>
      </c>
    </row>
    <row r="203" spans="1:16" ht="19.5" customHeight="1">
      <c r="A203" s="1" t="s">
        <v>1604</v>
      </c>
      <c r="B203" s="5">
        <v>46002</v>
      </c>
      <c r="C203" s="1" t="s">
        <v>28</v>
      </c>
      <c r="D203" s="1" t="s">
        <v>45</v>
      </c>
      <c r="E203" s="1" t="s">
        <v>25</v>
      </c>
      <c r="F203" s="1" t="s">
        <v>26</v>
      </c>
      <c r="G203" s="1" t="s">
        <v>1229</v>
      </c>
      <c r="H203" s="6">
        <v>1</v>
      </c>
      <c r="I203" s="7">
        <v>0</v>
      </c>
      <c r="J203" s="5">
        <v>45996</v>
      </c>
      <c r="K203" s="1" t="s">
        <v>957</v>
      </c>
      <c r="L203" s="1" t="s">
        <v>30</v>
      </c>
      <c r="M203" s="8">
        <v>0</v>
      </c>
      <c r="N203" s="6"/>
      <c r="O203" s="6"/>
      <c r="P203" s="9">
        <v>0</v>
      </c>
    </row>
    <row r="204" spans="1:16" ht="19.5" customHeight="1">
      <c r="A204" s="1" t="s">
        <v>1604</v>
      </c>
      <c r="B204" s="5">
        <v>46002</v>
      </c>
      <c r="C204" s="1" t="s">
        <v>28</v>
      </c>
      <c r="D204" s="1" t="s">
        <v>46</v>
      </c>
      <c r="E204" s="1" t="s">
        <v>25</v>
      </c>
      <c r="F204" s="1" t="s">
        <v>26</v>
      </c>
      <c r="G204" s="1" t="s">
        <v>1229</v>
      </c>
      <c r="H204" s="6">
        <v>1</v>
      </c>
      <c r="I204" s="7">
        <v>0</v>
      </c>
      <c r="J204" s="5">
        <v>45996</v>
      </c>
      <c r="K204" s="1" t="s">
        <v>957</v>
      </c>
      <c r="L204" s="1" t="s">
        <v>30</v>
      </c>
      <c r="M204" s="8">
        <v>0</v>
      </c>
      <c r="N204" s="6"/>
      <c r="O204" s="6"/>
      <c r="P204" s="9">
        <v>-46</v>
      </c>
    </row>
    <row r="205" spans="1:16" ht="19.5" customHeight="1">
      <c r="A205" s="1" t="s">
        <v>1604</v>
      </c>
      <c r="B205" s="5">
        <v>46002</v>
      </c>
      <c r="C205" s="1" t="s">
        <v>17</v>
      </c>
      <c r="D205" s="1" t="s">
        <v>47</v>
      </c>
      <c r="E205" s="1" t="s">
        <v>25</v>
      </c>
      <c r="F205" s="1" t="s">
        <v>26</v>
      </c>
      <c r="G205" s="1" t="s">
        <v>1229</v>
      </c>
      <c r="H205" s="6">
        <v>1</v>
      </c>
      <c r="I205" s="7">
        <v>0</v>
      </c>
      <c r="J205" s="5">
        <v>45996</v>
      </c>
      <c r="K205" s="1" t="s">
        <v>957</v>
      </c>
      <c r="L205" s="1" t="s">
        <v>30</v>
      </c>
      <c r="M205" s="8">
        <v>0</v>
      </c>
      <c r="N205" s="6"/>
      <c r="O205" s="6"/>
      <c r="P205" s="9">
        <v>-15</v>
      </c>
    </row>
    <row r="206" spans="1:16" ht="19.5" customHeight="1">
      <c r="A206" s="1" t="s">
        <v>1605</v>
      </c>
      <c r="B206" s="5">
        <v>46002</v>
      </c>
      <c r="C206" s="1" t="s">
        <v>17</v>
      </c>
      <c r="D206" s="1" t="s">
        <v>18</v>
      </c>
      <c r="E206" s="1" t="s">
        <v>92</v>
      </c>
      <c r="F206" s="1" t="s">
        <v>93</v>
      </c>
      <c r="G206" s="1" t="s">
        <v>1229</v>
      </c>
      <c r="H206" s="6">
        <v>1</v>
      </c>
      <c r="I206" s="7">
        <v>0</v>
      </c>
      <c r="J206" s="5">
        <v>46002</v>
      </c>
      <c r="K206" s="1" t="s">
        <v>22</v>
      </c>
      <c r="L206" s="1" t="s">
        <v>22</v>
      </c>
      <c r="M206" s="8">
        <v>0</v>
      </c>
      <c r="N206" s="6"/>
      <c r="O206" s="6"/>
      <c r="P206" s="9">
        <v>-2.44</v>
      </c>
    </row>
    <row r="207" spans="1:16" ht="19.5" customHeight="1">
      <c r="A207" s="1" t="s">
        <v>1606</v>
      </c>
      <c r="B207" s="5">
        <v>46002</v>
      </c>
      <c r="C207" s="1" t="s">
        <v>28</v>
      </c>
      <c r="D207" s="1" t="s">
        <v>29</v>
      </c>
      <c r="E207" s="1" t="s">
        <v>226</v>
      </c>
      <c r="F207" s="1" t="s">
        <v>428</v>
      </c>
      <c r="G207" s="1" t="s">
        <v>1229</v>
      </c>
      <c r="H207" s="6">
        <v>1</v>
      </c>
      <c r="I207" s="7">
        <v>1800</v>
      </c>
      <c r="J207" s="5">
        <v>45985</v>
      </c>
      <c r="K207" s="1" t="s">
        <v>957</v>
      </c>
      <c r="L207" s="1" t="s">
        <v>30</v>
      </c>
      <c r="M207" s="8">
        <v>0.43</v>
      </c>
      <c r="N207" s="6"/>
      <c r="O207" s="6">
        <v>43</v>
      </c>
      <c r="P207" s="9">
        <v>-127.6</v>
      </c>
    </row>
    <row r="208" spans="1:16" ht="19.5" customHeight="1">
      <c r="A208" s="1" t="s">
        <v>1606</v>
      </c>
      <c r="B208" s="5">
        <v>46002</v>
      </c>
      <c r="C208" s="1" t="s">
        <v>31</v>
      </c>
      <c r="D208" s="1" t="s">
        <v>32</v>
      </c>
      <c r="E208" s="1" t="s">
        <v>226</v>
      </c>
      <c r="F208" s="1" t="s">
        <v>428</v>
      </c>
      <c r="G208" s="1" t="s">
        <v>1229</v>
      </c>
      <c r="H208" s="6">
        <v>1</v>
      </c>
      <c r="I208" s="7">
        <v>1800</v>
      </c>
      <c r="J208" s="5">
        <v>45985</v>
      </c>
      <c r="K208" s="1" t="s">
        <v>957</v>
      </c>
      <c r="L208" s="1" t="s">
        <v>30</v>
      </c>
      <c r="M208" s="8">
        <v>0</v>
      </c>
      <c r="N208" s="6"/>
      <c r="O208" s="6"/>
      <c r="P208" s="9">
        <v>1135</v>
      </c>
    </row>
    <row r="209" spans="1:16" ht="19.5" customHeight="1">
      <c r="A209" s="1" t="s">
        <v>1606</v>
      </c>
      <c r="B209" s="5">
        <v>46002</v>
      </c>
      <c r="C209" s="1" t="s">
        <v>31</v>
      </c>
      <c r="D209" s="1" t="s">
        <v>33</v>
      </c>
      <c r="E209" s="1" t="s">
        <v>226</v>
      </c>
      <c r="F209" s="1" t="s">
        <v>428</v>
      </c>
      <c r="G209" s="1" t="s">
        <v>1229</v>
      </c>
      <c r="H209" s="6">
        <v>1</v>
      </c>
      <c r="I209" s="7">
        <v>1800</v>
      </c>
      <c r="J209" s="5">
        <v>45985</v>
      </c>
      <c r="K209" s="1" t="s">
        <v>957</v>
      </c>
      <c r="L209" s="1" t="s">
        <v>30</v>
      </c>
      <c r="M209" s="8">
        <v>0</v>
      </c>
      <c r="N209" s="6"/>
      <c r="O209" s="6"/>
      <c r="P209" s="9">
        <v>11.35</v>
      </c>
    </row>
    <row r="210" spans="1:16" ht="19.5" customHeight="1">
      <c r="A210" s="1" t="s">
        <v>1606</v>
      </c>
      <c r="B210" s="5">
        <v>46002</v>
      </c>
      <c r="C210" s="1" t="s">
        <v>31</v>
      </c>
      <c r="D210" s="1" t="s">
        <v>34</v>
      </c>
      <c r="E210" s="1" t="s">
        <v>226</v>
      </c>
      <c r="F210" s="1" t="s">
        <v>428</v>
      </c>
      <c r="G210" s="1" t="s">
        <v>1229</v>
      </c>
      <c r="H210" s="6">
        <v>1</v>
      </c>
      <c r="I210" s="7">
        <v>1800</v>
      </c>
      <c r="J210" s="5">
        <v>45985</v>
      </c>
      <c r="K210" s="1" t="s">
        <v>957</v>
      </c>
      <c r="L210" s="1" t="s">
        <v>30</v>
      </c>
      <c r="M210" s="8">
        <v>0</v>
      </c>
      <c r="N210" s="6"/>
      <c r="O210" s="6"/>
      <c r="P210" s="9">
        <v>653.65</v>
      </c>
    </row>
    <row r="211" spans="1:16" ht="19.5" customHeight="1">
      <c r="A211" s="1" t="s">
        <v>1606</v>
      </c>
      <c r="B211" s="5">
        <v>46002</v>
      </c>
      <c r="C211" s="1" t="s">
        <v>35</v>
      </c>
      <c r="D211" s="1" t="s">
        <v>36</v>
      </c>
      <c r="E211" s="1" t="s">
        <v>226</v>
      </c>
      <c r="F211" s="1" t="s">
        <v>428</v>
      </c>
      <c r="G211" s="1" t="s">
        <v>1229</v>
      </c>
      <c r="H211" s="6">
        <v>1</v>
      </c>
      <c r="I211" s="7">
        <v>1800</v>
      </c>
      <c r="J211" s="5">
        <v>45985</v>
      </c>
      <c r="K211" s="1" t="s">
        <v>957</v>
      </c>
      <c r="L211" s="1" t="s">
        <v>30</v>
      </c>
      <c r="M211" s="8">
        <v>0.43</v>
      </c>
      <c r="N211" s="6"/>
      <c r="O211" s="6"/>
      <c r="P211" s="9">
        <v>-774</v>
      </c>
    </row>
    <row r="212" spans="1:16" ht="19.5" customHeight="1">
      <c r="A212" s="1" t="s">
        <v>1606</v>
      </c>
      <c r="B212" s="5">
        <v>46002</v>
      </c>
      <c r="C212" s="1" t="s">
        <v>17</v>
      </c>
      <c r="D212" s="1" t="s">
        <v>37</v>
      </c>
      <c r="E212" s="1" t="s">
        <v>226</v>
      </c>
      <c r="F212" s="1" t="s">
        <v>428</v>
      </c>
      <c r="G212" s="1" t="s">
        <v>1229</v>
      </c>
      <c r="H212" s="6">
        <v>1</v>
      </c>
      <c r="I212" s="7">
        <v>1800</v>
      </c>
      <c r="J212" s="5">
        <v>45985</v>
      </c>
      <c r="K212" s="1" t="s">
        <v>957</v>
      </c>
      <c r="L212" s="1" t="s">
        <v>30</v>
      </c>
      <c r="M212" s="8">
        <v>0.43</v>
      </c>
      <c r="N212" s="6"/>
      <c r="O212" s="6"/>
      <c r="P212" s="9">
        <v>-25</v>
      </c>
    </row>
    <row r="213" spans="1:16" ht="19.5" customHeight="1">
      <c r="A213" s="1" t="s">
        <v>1607</v>
      </c>
      <c r="B213" s="5">
        <v>46002</v>
      </c>
      <c r="C213" s="1" t="s">
        <v>28</v>
      </c>
      <c r="D213" s="1" t="s">
        <v>29</v>
      </c>
      <c r="E213" s="1" t="s">
        <v>1054</v>
      </c>
      <c r="F213" s="1" t="s">
        <v>1297</v>
      </c>
      <c r="G213" s="1" t="s">
        <v>1298</v>
      </c>
      <c r="H213" s="6">
        <v>1</v>
      </c>
      <c r="I213" s="7">
        <v>1638</v>
      </c>
      <c r="J213" s="5">
        <v>45999</v>
      </c>
      <c r="K213" s="1" t="s">
        <v>957</v>
      </c>
      <c r="L213" s="1" t="s">
        <v>30</v>
      </c>
      <c r="M213" s="8">
        <v>0.43</v>
      </c>
      <c r="N213" s="6"/>
      <c r="O213" s="6">
        <v>39</v>
      </c>
      <c r="P213" s="9">
        <v>-107.39</v>
      </c>
    </row>
    <row r="214" spans="1:16" ht="19.5" customHeight="1">
      <c r="A214" s="1" t="s">
        <v>1607</v>
      </c>
      <c r="B214" s="5">
        <v>46002</v>
      </c>
      <c r="C214" s="1" t="s">
        <v>31</v>
      </c>
      <c r="D214" s="1" t="s">
        <v>32</v>
      </c>
      <c r="E214" s="1" t="s">
        <v>1054</v>
      </c>
      <c r="F214" s="1" t="s">
        <v>1297</v>
      </c>
      <c r="G214" s="1" t="s">
        <v>1298</v>
      </c>
      <c r="H214" s="6">
        <v>1</v>
      </c>
      <c r="I214" s="7">
        <v>1638</v>
      </c>
      <c r="J214" s="5">
        <v>45999</v>
      </c>
      <c r="K214" s="1" t="s">
        <v>957</v>
      </c>
      <c r="L214" s="1" t="s">
        <v>30</v>
      </c>
      <c r="M214" s="8">
        <v>0</v>
      </c>
      <c r="N214" s="6"/>
      <c r="O214" s="6"/>
      <c r="P214" s="9">
        <v>735.49</v>
      </c>
    </row>
    <row r="215" spans="1:16" ht="19.5" customHeight="1">
      <c r="A215" s="1" t="s">
        <v>1607</v>
      </c>
      <c r="B215" s="5">
        <v>46002</v>
      </c>
      <c r="C215" s="1" t="s">
        <v>31</v>
      </c>
      <c r="D215" s="1" t="s">
        <v>33</v>
      </c>
      <c r="E215" s="1" t="s">
        <v>1054</v>
      </c>
      <c r="F215" s="1" t="s">
        <v>1297</v>
      </c>
      <c r="G215" s="1" t="s">
        <v>1298</v>
      </c>
      <c r="H215" s="6">
        <v>1</v>
      </c>
      <c r="I215" s="7">
        <v>1638</v>
      </c>
      <c r="J215" s="5">
        <v>45999</v>
      </c>
      <c r="K215" s="1" t="s">
        <v>957</v>
      </c>
      <c r="L215" s="1" t="s">
        <v>30</v>
      </c>
      <c r="M215" s="8">
        <v>0</v>
      </c>
      <c r="N215" s="6"/>
      <c r="O215" s="6"/>
      <c r="P215" s="9">
        <v>7.35</v>
      </c>
    </row>
    <row r="216" spans="1:16" ht="19.5" customHeight="1">
      <c r="A216" s="1" t="s">
        <v>1607</v>
      </c>
      <c r="B216" s="5">
        <v>46002</v>
      </c>
      <c r="C216" s="1" t="s">
        <v>31</v>
      </c>
      <c r="D216" s="1" t="s">
        <v>34</v>
      </c>
      <c r="E216" s="1" t="s">
        <v>1054</v>
      </c>
      <c r="F216" s="1" t="s">
        <v>1297</v>
      </c>
      <c r="G216" s="1" t="s">
        <v>1298</v>
      </c>
      <c r="H216" s="6">
        <v>1</v>
      </c>
      <c r="I216" s="7">
        <v>1638</v>
      </c>
      <c r="J216" s="5">
        <v>45999</v>
      </c>
      <c r="K216" s="1" t="s">
        <v>957</v>
      </c>
      <c r="L216" s="1" t="s">
        <v>30</v>
      </c>
      <c r="M216" s="8">
        <v>0</v>
      </c>
      <c r="N216" s="6"/>
      <c r="O216" s="6"/>
      <c r="P216" s="9">
        <v>895.16</v>
      </c>
    </row>
    <row r="217" spans="1:16" ht="19.5" customHeight="1">
      <c r="A217" s="1" t="s">
        <v>1607</v>
      </c>
      <c r="B217" s="5">
        <v>46002</v>
      </c>
      <c r="C217" s="1" t="s">
        <v>35</v>
      </c>
      <c r="D217" s="1" t="s">
        <v>36</v>
      </c>
      <c r="E217" s="1" t="s">
        <v>1054</v>
      </c>
      <c r="F217" s="1" t="s">
        <v>1297</v>
      </c>
      <c r="G217" s="1" t="s">
        <v>1298</v>
      </c>
      <c r="H217" s="6">
        <v>1</v>
      </c>
      <c r="I217" s="7">
        <v>1638</v>
      </c>
      <c r="J217" s="5">
        <v>45999</v>
      </c>
      <c r="K217" s="1" t="s">
        <v>957</v>
      </c>
      <c r="L217" s="1" t="s">
        <v>30</v>
      </c>
      <c r="M217" s="8">
        <v>0.43</v>
      </c>
      <c r="N217" s="6"/>
      <c r="O217" s="6"/>
      <c r="P217" s="9">
        <v>-704.34</v>
      </c>
    </row>
    <row r="218" spans="1:16" ht="19.5" customHeight="1">
      <c r="A218" s="1" t="s">
        <v>1607</v>
      </c>
      <c r="B218" s="5">
        <v>46002</v>
      </c>
      <c r="C218" s="1" t="s">
        <v>17</v>
      </c>
      <c r="D218" s="1" t="s">
        <v>37</v>
      </c>
      <c r="E218" s="1" t="s">
        <v>1054</v>
      </c>
      <c r="F218" s="1" t="s">
        <v>1297</v>
      </c>
      <c r="G218" s="1" t="s">
        <v>1298</v>
      </c>
      <c r="H218" s="6">
        <v>1</v>
      </c>
      <c r="I218" s="7">
        <v>1638</v>
      </c>
      <c r="J218" s="5">
        <v>45999</v>
      </c>
      <c r="K218" s="1" t="s">
        <v>957</v>
      </c>
      <c r="L218" s="1" t="s">
        <v>30</v>
      </c>
      <c r="M218" s="8">
        <v>0.43</v>
      </c>
      <c r="N218" s="6"/>
      <c r="O218" s="6"/>
      <c r="P218" s="9">
        <v>-15.17</v>
      </c>
    </row>
    <row r="219" spans="1:16" ht="19.5" customHeight="1">
      <c r="A219" s="1" t="s">
        <v>1607</v>
      </c>
      <c r="B219" s="5">
        <v>46002</v>
      </c>
      <c r="C219" s="1" t="s">
        <v>17</v>
      </c>
      <c r="D219" s="1" t="s">
        <v>18</v>
      </c>
      <c r="E219" s="1" t="s">
        <v>1054</v>
      </c>
      <c r="F219" s="1" t="s">
        <v>1297</v>
      </c>
      <c r="G219" s="1" t="s">
        <v>1298</v>
      </c>
      <c r="H219" s="6">
        <v>1</v>
      </c>
      <c r="I219" s="7">
        <v>0</v>
      </c>
      <c r="J219" s="5">
        <v>45999</v>
      </c>
      <c r="K219" s="1" t="s">
        <v>22</v>
      </c>
      <c r="L219" s="1" t="s">
        <v>22</v>
      </c>
      <c r="M219" s="8">
        <v>0</v>
      </c>
      <c r="N219" s="6"/>
      <c r="O219" s="6"/>
      <c r="P219" s="9">
        <v>-13.97</v>
      </c>
    </row>
    <row r="220" spans="1:16" ht="19.5" customHeight="1">
      <c r="A220" s="1" t="s">
        <v>1608</v>
      </c>
      <c r="B220" s="5">
        <v>46002</v>
      </c>
      <c r="C220" s="1" t="s">
        <v>28</v>
      </c>
      <c r="D220" s="1" t="s">
        <v>29</v>
      </c>
      <c r="E220" s="1" t="s">
        <v>25</v>
      </c>
      <c r="F220" s="1" t="s">
        <v>26</v>
      </c>
      <c r="G220" s="1" t="s">
        <v>1229</v>
      </c>
      <c r="H220" s="6">
        <v>1</v>
      </c>
      <c r="I220" s="7">
        <v>0</v>
      </c>
      <c r="J220" s="5">
        <v>45993</v>
      </c>
      <c r="K220" s="1" t="s">
        <v>957</v>
      </c>
      <c r="L220" s="1" t="s">
        <v>30</v>
      </c>
      <c r="M220" s="8">
        <v>0</v>
      </c>
      <c r="N220" s="6"/>
      <c r="O220" s="6">
        <v>41</v>
      </c>
      <c r="P220" s="9">
        <v>-46</v>
      </c>
    </row>
    <row r="221" spans="1:16" ht="19.5" customHeight="1">
      <c r="A221" s="1" t="s">
        <v>1608</v>
      </c>
      <c r="B221" s="5">
        <v>46002</v>
      </c>
      <c r="C221" s="1" t="s">
        <v>17</v>
      </c>
      <c r="D221" s="1" t="s">
        <v>37</v>
      </c>
      <c r="E221" s="1" t="s">
        <v>25</v>
      </c>
      <c r="F221" s="1" t="s">
        <v>26</v>
      </c>
      <c r="G221" s="1" t="s">
        <v>1229</v>
      </c>
      <c r="H221" s="6">
        <v>1</v>
      </c>
      <c r="I221" s="7">
        <v>0</v>
      </c>
      <c r="J221" s="5">
        <v>45993</v>
      </c>
      <c r="K221" s="1" t="s">
        <v>957</v>
      </c>
      <c r="L221" s="1" t="s">
        <v>30</v>
      </c>
      <c r="M221" s="8">
        <v>0</v>
      </c>
      <c r="N221" s="6"/>
      <c r="O221" s="6"/>
      <c r="P221" s="9">
        <v>-7.85</v>
      </c>
    </row>
    <row r="222" spans="1:16" ht="19.5" customHeight="1">
      <c r="A222" s="1" t="s">
        <v>1608</v>
      </c>
      <c r="B222" s="5">
        <v>46002</v>
      </c>
      <c r="C222" s="1" t="s">
        <v>28</v>
      </c>
      <c r="D222" s="1" t="s">
        <v>45</v>
      </c>
      <c r="E222" s="1" t="s">
        <v>25</v>
      </c>
      <c r="F222" s="1" t="s">
        <v>26</v>
      </c>
      <c r="G222" s="1" t="s">
        <v>1229</v>
      </c>
      <c r="H222" s="6">
        <v>1</v>
      </c>
      <c r="I222" s="7">
        <v>0</v>
      </c>
      <c r="J222" s="5">
        <v>45993</v>
      </c>
      <c r="K222" s="1" t="s">
        <v>957</v>
      </c>
      <c r="L222" s="1" t="s">
        <v>30</v>
      </c>
      <c r="M222" s="8">
        <v>0</v>
      </c>
      <c r="N222" s="6"/>
      <c r="O222" s="6"/>
      <c r="P222" s="9">
        <v>0</v>
      </c>
    </row>
    <row r="223" spans="1:16" ht="19.5" customHeight="1">
      <c r="A223" s="1" t="s">
        <v>1608</v>
      </c>
      <c r="B223" s="5">
        <v>46002</v>
      </c>
      <c r="C223" s="1" t="s">
        <v>28</v>
      </c>
      <c r="D223" s="1" t="s">
        <v>46</v>
      </c>
      <c r="E223" s="1" t="s">
        <v>25</v>
      </c>
      <c r="F223" s="1" t="s">
        <v>26</v>
      </c>
      <c r="G223" s="1" t="s">
        <v>1229</v>
      </c>
      <c r="H223" s="6">
        <v>1</v>
      </c>
      <c r="I223" s="7">
        <v>0</v>
      </c>
      <c r="J223" s="5">
        <v>45993</v>
      </c>
      <c r="K223" s="1" t="s">
        <v>957</v>
      </c>
      <c r="L223" s="1" t="s">
        <v>30</v>
      </c>
      <c r="M223" s="8">
        <v>0</v>
      </c>
      <c r="N223" s="6"/>
      <c r="O223" s="6"/>
      <c r="P223" s="9">
        <v>-46</v>
      </c>
    </row>
    <row r="224" spans="1:16" ht="19.5" customHeight="1">
      <c r="A224" s="1" t="s">
        <v>1608</v>
      </c>
      <c r="B224" s="5">
        <v>46002</v>
      </c>
      <c r="C224" s="1" t="s">
        <v>17</v>
      </c>
      <c r="D224" s="1" t="s">
        <v>47</v>
      </c>
      <c r="E224" s="1" t="s">
        <v>25</v>
      </c>
      <c r="F224" s="1" t="s">
        <v>26</v>
      </c>
      <c r="G224" s="1" t="s">
        <v>1229</v>
      </c>
      <c r="H224" s="6">
        <v>1</v>
      </c>
      <c r="I224" s="7">
        <v>0</v>
      </c>
      <c r="J224" s="5">
        <v>45993</v>
      </c>
      <c r="K224" s="1" t="s">
        <v>957</v>
      </c>
      <c r="L224" s="1" t="s">
        <v>30</v>
      </c>
      <c r="M224" s="8">
        <v>0</v>
      </c>
      <c r="N224" s="6"/>
      <c r="O224" s="6"/>
      <c r="P224" s="9">
        <v>-15</v>
      </c>
    </row>
    <row r="225" spans="1:16" ht="19.5" customHeight="1">
      <c r="A225" s="1" t="s">
        <v>1609</v>
      </c>
      <c r="B225" s="5">
        <v>46002</v>
      </c>
      <c r="C225" s="1" t="s">
        <v>28</v>
      </c>
      <c r="D225" s="1" t="s">
        <v>29</v>
      </c>
      <c r="E225" s="1" t="s">
        <v>25</v>
      </c>
      <c r="F225" s="1" t="s">
        <v>26</v>
      </c>
      <c r="G225" s="1" t="s">
        <v>1229</v>
      </c>
      <c r="H225" s="6">
        <v>1</v>
      </c>
      <c r="I225" s="7">
        <v>1738</v>
      </c>
      <c r="J225" s="5">
        <v>45998</v>
      </c>
      <c r="K225" s="1" t="s">
        <v>957</v>
      </c>
      <c r="L225" s="1" t="s">
        <v>30</v>
      </c>
      <c r="M225" s="8">
        <v>0.43</v>
      </c>
      <c r="N225" s="6"/>
      <c r="O225" s="6">
        <v>37</v>
      </c>
      <c r="P225" s="9">
        <v>-99.16</v>
      </c>
    </row>
    <row r="226" spans="1:16" ht="19.5" customHeight="1">
      <c r="A226" s="1" t="s">
        <v>1609</v>
      </c>
      <c r="B226" s="5">
        <v>46002</v>
      </c>
      <c r="C226" s="1" t="s">
        <v>31</v>
      </c>
      <c r="D226" s="1" t="s">
        <v>32</v>
      </c>
      <c r="E226" s="1" t="s">
        <v>25</v>
      </c>
      <c r="F226" s="1" t="s">
        <v>26</v>
      </c>
      <c r="G226" s="1" t="s">
        <v>1229</v>
      </c>
      <c r="H226" s="6">
        <v>1</v>
      </c>
      <c r="I226" s="7">
        <v>1738</v>
      </c>
      <c r="J226" s="5">
        <v>45998</v>
      </c>
      <c r="K226" s="1" t="s">
        <v>957</v>
      </c>
      <c r="L226" s="1" t="s">
        <v>30</v>
      </c>
      <c r="M226" s="8">
        <v>0</v>
      </c>
      <c r="N226" s="6"/>
      <c r="O226" s="6"/>
      <c r="P226" s="9">
        <v>861.9</v>
      </c>
    </row>
    <row r="227" spans="1:16" ht="19.5" customHeight="1">
      <c r="A227" s="1" t="s">
        <v>1609</v>
      </c>
      <c r="B227" s="5">
        <v>46002</v>
      </c>
      <c r="C227" s="1" t="s">
        <v>31</v>
      </c>
      <c r="D227" s="1" t="s">
        <v>33</v>
      </c>
      <c r="E227" s="1" t="s">
        <v>25</v>
      </c>
      <c r="F227" s="1" t="s">
        <v>26</v>
      </c>
      <c r="G227" s="1" t="s">
        <v>1229</v>
      </c>
      <c r="H227" s="6">
        <v>1</v>
      </c>
      <c r="I227" s="7">
        <v>1738</v>
      </c>
      <c r="J227" s="5">
        <v>45998</v>
      </c>
      <c r="K227" s="1" t="s">
        <v>957</v>
      </c>
      <c r="L227" s="1" t="s">
        <v>30</v>
      </c>
      <c r="M227" s="8">
        <v>0</v>
      </c>
      <c r="N227" s="6"/>
      <c r="O227" s="6"/>
      <c r="P227" s="9">
        <v>8.6199999999999992</v>
      </c>
    </row>
    <row r="228" spans="1:16" ht="19.5" customHeight="1">
      <c r="A228" s="1" t="s">
        <v>1609</v>
      </c>
      <c r="B228" s="5">
        <v>46002</v>
      </c>
      <c r="C228" s="1" t="s">
        <v>31</v>
      </c>
      <c r="D228" s="1" t="s">
        <v>34</v>
      </c>
      <c r="E228" s="1" t="s">
        <v>25</v>
      </c>
      <c r="F228" s="1" t="s">
        <v>26</v>
      </c>
      <c r="G228" s="1" t="s">
        <v>1229</v>
      </c>
      <c r="H228" s="6">
        <v>1</v>
      </c>
      <c r="I228" s="7">
        <v>1738</v>
      </c>
      <c r="J228" s="5">
        <v>45998</v>
      </c>
      <c r="K228" s="1" t="s">
        <v>957</v>
      </c>
      <c r="L228" s="1" t="s">
        <v>30</v>
      </c>
      <c r="M228" s="8">
        <v>0</v>
      </c>
      <c r="N228" s="6"/>
      <c r="O228" s="6"/>
      <c r="P228" s="9">
        <v>867.48</v>
      </c>
    </row>
    <row r="229" spans="1:16" ht="19.5" customHeight="1">
      <c r="A229" s="1" t="s">
        <v>1609</v>
      </c>
      <c r="B229" s="5">
        <v>46002</v>
      </c>
      <c r="C229" s="1" t="s">
        <v>35</v>
      </c>
      <c r="D229" s="1" t="s">
        <v>36</v>
      </c>
      <c r="E229" s="1" t="s">
        <v>25</v>
      </c>
      <c r="F229" s="1" t="s">
        <v>26</v>
      </c>
      <c r="G229" s="1" t="s">
        <v>1229</v>
      </c>
      <c r="H229" s="6">
        <v>1</v>
      </c>
      <c r="I229" s="7">
        <v>1738</v>
      </c>
      <c r="J229" s="5">
        <v>45998</v>
      </c>
      <c r="K229" s="1" t="s">
        <v>957</v>
      </c>
      <c r="L229" s="1" t="s">
        <v>30</v>
      </c>
      <c r="M229" s="8">
        <v>0.43</v>
      </c>
      <c r="N229" s="6"/>
      <c r="O229" s="6"/>
      <c r="P229" s="9">
        <v>-747.34</v>
      </c>
    </row>
    <row r="230" spans="1:16" ht="19.5" customHeight="1">
      <c r="A230" s="1" t="s">
        <v>1610</v>
      </c>
      <c r="B230" s="5">
        <v>46002</v>
      </c>
      <c r="C230" s="1" t="s">
        <v>17</v>
      </c>
      <c r="D230" s="1" t="s">
        <v>18</v>
      </c>
      <c r="E230" s="1" t="s">
        <v>19</v>
      </c>
      <c r="F230" s="1" t="s">
        <v>20</v>
      </c>
      <c r="G230" s="1" t="s">
        <v>1229</v>
      </c>
      <c r="H230" s="6">
        <v>1</v>
      </c>
      <c r="I230" s="7">
        <v>0</v>
      </c>
      <c r="J230" s="5">
        <v>46002</v>
      </c>
      <c r="K230" s="1" t="s">
        <v>22</v>
      </c>
      <c r="L230" s="1" t="s">
        <v>22</v>
      </c>
      <c r="M230" s="8">
        <v>0</v>
      </c>
      <c r="N230" s="6"/>
      <c r="O230" s="6"/>
      <c r="P230" s="9">
        <v>-10.46</v>
      </c>
    </row>
    <row r="231" spans="1:16" ht="19.5" customHeight="1">
      <c r="A231" s="1" t="s">
        <v>1611</v>
      </c>
      <c r="B231" s="5">
        <v>46002</v>
      </c>
      <c r="C231" s="1" t="s">
        <v>28</v>
      </c>
      <c r="D231" s="1" t="s">
        <v>29</v>
      </c>
      <c r="E231" s="1" t="s">
        <v>25</v>
      </c>
      <c r="F231" s="1" t="s">
        <v>26</v>
      </c>
      <c r="G231" s="1" t="s">
        <v>1229</v>
      </c>
      <c r="H231" s="6">
        <v>1</v>
      </c>
      <c r="I231" s="7">
        <v>1050</v>
      </c>
      <c r="J231" s="5">
        <v>45995</v>
      </c>
      <c r="K231" s="1" t="s">
        <v>957</v>
      </c>
      <c r="L231" s="1" t="s">
        <v>30</v>
      </c>
      <c r="M231" s="8">
        <v>0.43</v>
      </c>
      <c r="N231" s="6"/>
      <c r="O231" s="6">
        <v>42</v>
      </c>
      <c r="P231" s="9">
        <v>-102.15</v>
      </c>
    </row>
    <row r="232" spans="1:16" ht="19.5" customHeight="1">
      <c r="A232" s="1" t="s">
        <v>1611</v>
      </c>
      <c r="B232" s="5">
        <v>46002</v>
      </c>
      <c r="C232" s="1" t="s">
        <v>31</v>
      </c>
      <c r="D232" s="1" t="s">
        <v>32</v>
      </c>
      <c r="E232" s="1" t="s">
        <v>25</v>
      </c>
      <c r="F232" s="1" t="s">
        <v>26</v>
      </c>
      <c r="G232" s="1" t="s">
        <v>1229</v>
      </c>
      <c r="H232" s="6">
        <v>1</v>
      </c>
      <c r="I232" s="7">
        <v>1050</v>
      </c>
      <c r="J232" s="5">
        <v>45995</v>
      </c>
      <c r="K232" s="1" t="s">
        <v>957</v>
      </c>
      <c r="L232" s="1" t="s">
        <v>30</v>
      </c>
      <c r="M232" s="8">
        <v>0</v>
      </c>
      <c r="N232" s="6"/>
      <c r="O232" s="6"/>
      <c r="P232" s="9">
        <v>460.95</v>
      </c>
    </row>
    <row r="233" spans="1:16" ht="19.5" customHeight="1">
      <c r="A233" s="1" t="s">
        <v>1611</v>
      </c>
      <c r="B233" s="5">
        <v>46002</v>
      </c>
      <c r="C233" s="1" t="s">
        <v>31</v>
      </c>
      <c r="D233" s="1" t="s">
        <v>33</v>
      </c>
      <c r="E233" s="1" t="s">
        <v>25</v>
      </c>
      <c r="F233" s="1" t="s">
        <v>26</v>
      </c>
      <c r="G233" s="1" t="s">
        <v>1229</v>
      </c>
      <c r="H233" s="6">
        <v>1</v>
      </c>
      <c r="I233" s="7">
        <v>1050</v>
      </c>
      <c r="J233" s="5">
        <v>45995</v>
      </c>
      <c r="K233" s="1" t="s">
        <v>957</v>
      </c>
      <c r="L233" s="1" t="s">
        <v>30</v>
      </c>
      <c r="M233" s="8">
        <v>0</v>
      </c>
      <c r="N233" s="6"/>
      <c r="O233" s="6"/>
      <c r="P233" s="9">
        <v>4.6100000000000003</v>
      </c>
    </row>
    <row r="234" spans="1:16" ht="19.5" customHeight="1">
      <c r="A234" s="1" t="s">
        <v>1611</v>
      </c>
      <c r="B234" s="5">
        <v>46002</v>
      </c>
      <c r="C234" s="1" t="s">
        <v>31</v>
      </c>
      <c r="D234" s="1" t="s">
        <v>34</v>
      </c>
      <c r="E234" s="1" t="s">
        <v>25</v>
      </c>
      <c r="F234" s="1" t="s">
        <v>26</v>
      </c>
      <c r="G234" s="1" t="s">
        <v>1229</v>
      </c>
      <c r="H234" s="6">
        <v>1</v>
      </c>
      <c r="I234" s="7">
        <v>1050</v>
      </c>
      <c r="J234" s="5">
        <v>45995</v>
      </c>
      <c r="K234" s="1" t="s">
        <v>957</v>
      </c>
      <c r="L234" s="1" t="s">
        <v>30</v>
      </c>
      <c r="M234" s="8">
        <v>0</v>
      </c>
      <c r="N234" s="6"/>
      <c r="O234" s="6"/>
      <c r="P234" s="9">
        <v>584.44000000000005</v>
      </c>
    </row>
    <row r="235" spans="1:16" ht="19.5" customHeight="1">
      <c r="A235" s="1" t="s">
        <v>1611</v>
      </c>
      <c r="B235" s="5">
        <v>46002</v>
      </c>
      <c r="C235" s="1" t="s">
        <v>35</v>
      </c>
      <c r="D235" s="1" t="s">
        <v>36</v>
      </c>
      <c r="E235" s="1" t="s">
        <v>25</v>
      </c>
      <c r="F235" s="1" t="s">
        <v>26</v>
      </c>
      <c r="G235" s="1" t="s">
        <v>1229</v>
      </c>
      <c r="H235" s="6">
        <v>1</v>
      </c>
      <c r="I235" s="7">
        <v>1050</v>
      </c>
      <c r="J235" s="5">
        <v>45995</v>
      </c>
      <c r="K235" s="1" t="s">
        <v>957</v>
      </c>
      <c r="L235" s="1" t="s">
        <v>30</v>
      </c>
      <c r="M235" s="8">
        <v>0.43</v>
      </c>
      <c r="N235" s="6"/>
      <c r="O235" s="6"/>
      <c r="P235" s="9">
        <v>-451.5</v>
      </c>
    </row>
    <row r="236" spans="1:16" ht="19.5" customHeight="1">
      <c r="A236" s="1" t="s">
        <v>1611</v>
      </c>
      <c r="B236" s="5">
        <v>46002</v>
      </c>
      <c r="C236" s="1" t="s">
        <v>17</v>
      </c>
      <c r="D236" s="1" t="s">
        <v>37</v>
      </c>
      <c r="E236" s="1" t="s">
        <v>25</v>
      </c>
      <c r="F236" s="1" t="s">
        <v>26</v>
      </c>
      <c r="G236" s="1" t="s">
        <v>1229</v>
      </c>
      <c r="H236" s="6">
        <v>1</v>
      </c>
      <c r="I236" s="7">
        <v>1050</v>
      </c>
      <c r="J236" s="5">
        <v>45995</v>
      </c>
      <c r="K236" s="1" t="s">
        <v>957</v>
      </c>
      <c r="L236" s="1" t="s">
        <v>30</v>
      </c>
      <c r="M236" s="8">
        <v>0.43</v>
      </c>
      <c r="N236" s="6"/>
      <c r="O236" s="6"/>
      <c r="P236" s="9">
        <v>-8.17</v>
      </c>
    </row>
    <row r="237" spans="1:16" ht="19.5" customHeight="1">
      <c r="A237" s="1" t="s">
        <v>1612</v>
      </c>
      <c r="B237" s="5">
        <v>46002</v>
      </c>
      <c r="C237" s="1" t="s">
        <v>28</v>
      </c>
      <c r="D237" s="1" t="s">
        <v>29</v>
      </c>
      <c r="E237" s="1" t="s">
        <v>25</v>
      </c>
      <c r="F237" s="1" t="s">
        <v>26</v>
      </c>
      <c r="G237" s="1" t="s">
        <v>1229</v>
      </c>
      <c r="H237" s="6">
        <v>1</v>
      </c>
      <c r="I237" s="7">
        <v>1738</v>
      </c>
      <c r="J237" s="5">
        <v>45999</v>
      </c>
      <c r="K237" s="1" t="s">
        <v>957</v>
      </c>
      <c r="L237" s="1" t="s">
        <v>30</v>
      </c>
      <c r="M237" s="8">
        <v>0.43</v>
      </c>
      <c r="N237" s="6"/>
      <c r="O237" s="6">
        <v>39</v>
      </c>
      <c r="P237" s="9">
        <v>-109.79</v>
      </c>
    </row>
    <row r="238" spans="1:16" ht="19.5" customHeight="1">
      <c r="A238" s="1" t="s">
        <v>1612</v>
      </c>
      <c r="B238" s="5">
        <v>46002</v>
      </c>
      <c r="C238" s="1" t="s">
        <v>31</v>
      </c>
      <c r="D238" s="1" t="s">
        <v>32</v>
      </c>
      <c r="E238" s="1" t="s">
        <v>25</v>
      </c>
      <c r="F238" s="1" t="s">
        <v>26</v>
      </c>
      <c r="G238" s="1" t="s">
        <v>1229</v>
      </c>
      <c r="H238" s="6">
        <v>1</v>
      </c>
      <c r="I238" s="7">
        <v>1738</v>
      </c>
      <c r="J238" s="5">
        <v>45999</v>
      </c>
      <c r="K238" s="1" t="s">
        <v>957</v>
      </c>
      <c r="L238" s="1" t="s">
        <v>30</v>
      </c>
      <c r="M238" s="8">
        <v>0</v>
      </c>
      <c r="N238" s="6"/>
      <c r="O238" s="6"/>
      <c r="P238" s="9">
        <v>985.71</v>
      </c>
    </row>
    <row r="239" spans="1:16" ht="19.5" customHeight="1">
      <c r="A239" s="1" t="s">
        <v>1612</v>
      </c>
      <c r="B239" s="5">
        <v>46002</v>
      </c>
      <c r="C239" s="1" t="s">
        <v>31</v>
      </c>
      <c r="D239" s="1" t="s">
        <v>33</v>
      </c>
      <c r="E239" s="1" t="s">
        <v>25</v>
      </c>
      <c r="F239" s="1" t="s">
        <v>26</v>
      </c>
      <c r="G239" s="1" t="s">
        <v>1229</v>
      </c>
      <c r="H239" s="6">
        <v>1</v>
      </c>
      <c r="I239" s="7">
        <v>1738</v>
      </c>
      <c r="J239" s="5">
        <v>45999</v>
      </c>
      <c r="K239" s="1" t="s">
        <v>957</v>
      </c>
      <c r="L239" s="1" t="s">
        <v>30</v>
      </c>
      <c r="M239" s="8">
        <v>0</v>
      </c>
      <c r="N239" s="6"/>
      <c r="O239" s="6"/>
      <c r="P239" s="9">
        <v>9.86</v>
      </c>
    </row>
    <row r="240" spans="1:16" ht="19.5" customHeight="1">
      <c r="A240" s="1" t="s">
        <v>1612</v>
      </c>
      <c r="B240" s="5">
        <v>46002</v>
      </c>
      <c r="C240" s="1" t="s">
        <v>31</v>
      </c>
      <c r="D240" s="1" t="s">
        <v>34</v>
      </c>
      <c r="E240" s="1" t="s">
        <v>25</v>
      </c>
      <c r="F240" s="1" t="s">
        <v>26</v>
      </c>
      <c r="G240" s="1" t="s">
        <v>1229</v>
      </c>
      <c r="H240" s="6">
        <v>1</v>
      </c>
      <c r="I240" s="7">
        <v>1738</v>
      </c>
      <c r="J240" s="5">
        <v>45999</v>
      </c>
      <c r="K240" s="1" t="s">
        <v>957</v>
      </c>
      <c r="L240" s="1" t="s">
        <v>30</v>
      </c>
      <c r="M240" s="8">
        <v>0</v>
      </c>
      <c r="N240" s="6"/>
      <c r="O240" s="6"/>
      <c r="P240" s="9">
        <v>742.43</v>
      </c>
    </row>
    <row r="241" spans="1:16" ht="19.5" customHeight="1">
      <c r="A241" s="1" t="s">
        <v>1612</v>
      </c>
      <c r="B241" s="5">
        <v>46002</v>
      </c>
      <c r="C241" s="1" t="s">
        <v>35</v>
      </c>
      <c r="D241" s="1" t="s">
        <v>36</v>
      </c>
      <c r="E241" s="1" t="s">
        <v>25</v>
      </c>
      <c r="F241" s="1" t="s">
        <v>26</v>
      </c>
      <c r="G241" s="1" t="s">
        <v>1229</v>
      </c>
      <c r="H241" s="6">
        <v>1</v>
      </c>
      <c r="I241" s="7">
        <v>1738</v>
      </c>
      <c r="J241" s="5">
        <v>45999</v>
      </c>
      <c r="K241" s="1" t="s">
        <v>957</v>
      </c>
      <c r="L241" s="1" t="s">
        <v>30</v>
      </c>
      <c r="M241" s="8">
        <v>0.43</v>
      </c>
      <c r="N241" s="6"/>
      <c r="O241" s="6"/>
      <c r="P241" s="9">
        <v>-747.34</v>
      </c>
    </row>
    <row r="242" spans="1:16" ht="19.5" customHeight="1">
      <c r="A242" s="1" t="s">
        <v>1612</v>
      </c>
      <c r="B242" s="5">
        <v>46002</v>
      </c>
      <c r="C242" s="1" t="s">
        <v>17</v>
      </c>
      <c r="D242" s="1" t="s">
        <v>37</v>
      </c>
      <c r="E242" s="1" t="s">
        <v>25</v>
      </c>
      <c r="F242" s="1" t="s">
        <v>26</v>
      </c>
      <c r="G242" s="1" t="s">
        <v>1229</v>
      </c>
      <c r="H242" s="6">
        <v>1</v>
      </c>
      <c r="I242" s="7">
        <v>1738</v>
      </c>
      <c r="J242" s="5">
        <v>45999</v>
      </c>
      <c r="K242" s="1" t="s">
        <v>957</v>
      </c>
      <c r="L242" s="1" t="s">
        <v>30</v>
      </c>
      <c r="M242" s="8">
        <v>0.43</v>
      </c>
      <c r="N242" s="6"/>
      <c r="O242" s="6"/>
      <c r="P242" s="9">
        <v>-7.49</v>
      </c>
    </row>
    <row r="243" spans="1:16" ht="19.5" customHeight="1">
      <c r="A243" s="1" t="s">
        <v>1611</v>
      </c>
      <c r="B243" s="5">
        <v>46002</v>
      </c>
      <c r="C243" s="1" t="s">
        <v>17</v>
      </c>
      <c r="D243" s="1" t="s">
        <v>18</v>
      </c>
      <c r="E243" s="1" t="s">
        <v>25</v>
      </c>
      <c r="F243" s="1" t="s">
        <v>26</v>
      </c>
      <c r="G243" s="1" t="s">
        <v>1229</v>
      </c>
      <c r="H243" s="6">
        <v>1</v>
      </c>
      <c r="I243" s="7">
        <v>0</v>
      </c>
      <c r="J243" s="5">
        <v>45995</v>
      </c>
      <c r="K243" s="1" t="s">
        <v>22</v>
      </c>
      <c r="L243" s="1" t="s">
        <v>22</v>
      </c>
      <c r="M243" s="8">
        <v>0</v>
      </c>
      <c r="N243" s="6"/>
      <c r="O243" s="6"/>
      <c r="P243" s="9">
        <v>-8.76</v>
      </c>
    </row>
    <row r="244" spans="1:16" ht="19.5" customHeight="1">
      <c r="A244" s="1" t="s">
        <v>1613</v>
      </c>
      <c r="B244" s="5">
        <v>46002</v>
      </c>
      <c r="C244" s="1" t="s">
        <v>17</v>
      </c>
      <c r="D244" s="1" t="s">
        <v>18</v>
      </c>
      <c r="E244" s="1" t="s">
        <v>243</v>
      </c>
      <c r="F244" s="1" t="s">
        <v>603</v>
      </c>
      <c r="G244" s="1" t="s">
        <v>1133</v>
      </c>
      <c r="H244" s="6">
        <v>1</v>
      </c>
      <c r="I244" s="7">
        <v>0</v>
      </c>
      <c r="J244" s="5">
        <v>46002</v>
      </c>
      <c r="K244" s="1" t="s">
        <v>22</v>
      </c>
      <c r="L244" s="1" t="s">
        <v>22</v>
      </c>
      <c r="M244" s="8">
        <v>0</v>
      </c>
      <c r="N244" s="6"/>
      <c r="O244" s="6"/>
      <c r="P244" s="9">
        <v>-39.340000000000003</v>
      </c>
    </row>
    <row r="245" spans="1:16" ht="19.5" customHeight="1">
      <c r="A245" s="1" t="s">
        <v>1614</v>
      </c>
      <c r="B245" s="5">
        <v>46002</v>
      </c>
      <c r="C245" s="1" t="s">
        <v>17</v>
      </c>
      <c r="D245" s="1" t="s">
        <v>18</v>
      </c>
      <c r="E245" s="1" t="s">
        <v>25</v>
      </c>
      <c r="F245" s="1" t="s">
        <v>26</v>
      </c>
      <c r="G245" s="1" t="s">
        <v>1229</v>
      </c>
      <c r="H245" s="6">
        <v>1</v>
      </c>
      <c r="I245" s="7">
        <v>0</v>
      </c>
      <c r="J245" s="5">
        <v>46002</v>
      </c>
      <c r="K245" s="1" t="s">
        <v>22</v>
      </c>
      <c r="L245" s="1" t="s">
        <v>22</v>
      </c>
      <c r="M245" s="8">
        <v>0</v>
      </c>
      <c r="N245" s="6"/>
      <c r="O245" s="6"/>
      <c r="P245" s="9">
        <v>-11.43</v>
      </c>
    </row>
    <row r="246" spans="1:16" ht="19.5" customHeight="1">
      <c r="A246" s="1" t="s">
        <v>1615</v>
      </c>
      <c r="B246" s="5">
        <v>46002</v>
      </c>
      <c r="C246" s="1" t="s">
        <v>28</v>
      </c>
      <c r="D246" s="1" t="s">
        <v>29</v>
      </c>
      <c r="E246" s="1" t="s">
        <v>223</v>
      </c>
      <c r="F246" s="1" t="s">
        <v>395</v>
      </c>
      <c r="G246" s="1" t="s">
        <v>1229</v>
      </c>
      <c r="H246" s="6">
        <v>1</v>
      </c>
      <c r="I246" s="7">
        <v>0</v>
      </c>
      <c r="J246" s="5">
        <v>45994</v>
      </c>
      <c r="K246" s="1" t="s">
        <v>957</v>
      </c>
      <c r="L246" s="1" t="s">
        <v>30</v>
      </c>
      <c r="M246" s="8">
        <v>0</v>
      </c>
      <c r="N246" s="6"/>
      <c r="O246" s="6">
        <v>40</v>
      </c>
      <c r="P246" s="9">
        <v>-46</v>
      </c>
    </row>
    <row r="247" spans="1:16" ht="19.5" customHeight="1">
      <c r="A247" s="1" t="s">
        <v>1615</v>
      </c>
      <c r="B247" s="5">
        <v>46002</v>
      </c>
      <c r="C247" s="1" t="s">
        <v>17</v>
      </c>
      <c r="D247" s="1" t="s">
        <v>37</v>
      </c>
      <c r="E247" s="1" t="s">
        <v>223</v>
      </c>
      <c r="F247" s="1" t="s">
        <v>395</v>
      </c>
      <c r="G247" s="1" t="s">
        <v>1229</v>
      </c>
      <c r="H247" s="6">
        <v>1</v>
      </c>
      <c r="I247" s="7">
        <v>0</v>
      </c>
      <c r="J247" s="5">
        <v>45994</v>
      </c>
      <c r="K247" s="1" t="s">
        <v>957</v>
      </c>
      <c r="L247" s="1" t="s">
        <v>30</v>
      </c>
      <c r="M247" s="8">
        <v>0</v>
      </c>
      <c r="N247" s="6"/>
      <c r="O247" s="6"/>
      <c r="P247" s="9">
        <v>-13.28</v>
      </c>
    </row>
    <row r="248" spans="1:16" ht="19.5" customHeight="1">
      <c r="A248" s="1" t="s">
        <v>1615</v>
      </c>
      <c r="B248" s="5">
        <v>46002</v>
      </c>
      <c r="C248" s="1" t="s">
        <v>28</v>
      </c>
      <c r="D248" s="1" t="s">
        <v>45</v>
      </c>
      <c r="E248" s="1" t="s">
        <v>223</v>
      </c>
      <c r="F248" s="1" t="s">
        <v>395</v>
      </c>
      <c r="G248" s="1" t="s">
        <v>1229</v>
      </c>
      <c r="H248" s="6">
        <v>1</v>
      </c>
      <c r="I248" s="7">
        <v>0</v>
      </c>
      <c r="J248" s="5">
        <v>45994</v>
      </c>
      <c r="K248" s="1" t="s">
        <v>957</v>
      </c>
      <c r="L248" s="1" t="s">
        <v>30</v>
      </c>
      <c r="M248" s="8">
        <v>0</v>
      </c>
      <c r="N248" s="6"/>
      <c r="O248" s="6"/>
      <c r="P248" s="9">
        <v>0</v>
      </c>
    </row>
    <row r="249" spans="1:16" ht="19.5" customHeight="1">
      <c r="A249" s="1" t="s">
        <v>1615</v>
      </c>
      <c r="B249" s="5">
        <v>46002</v>
      </c>
      <c r="C249" s="1" t="s">
        <v>28</v>
      </c>
      <c r="D249" s="1" t="s">
        <v>46</v>
      </c>
      <c r="E249" s="1" t="s">
        <v>223</v>
      </c>
      <c r="F249" s="1" t="s">
        <v>395</v>
      </c>
      <c r="G249" s="1" t="s">
        <v>1229</v>
      </c>
      <c r="H249" s="6">
        <v>1</v>
      </c>
      <c r="I249" s="7">
        <v>0</v>
      </c>
      <c r="J249" s="5">
        <v>45994</v>
      </c>
      <c r="K249" s="1" t="s">
        <v>957</v>
      </c>
      <c r="L249" s="1" t="s">
        <v>30</v>
      </c>
      <c r="M249" s="8">
        <v>0</v>
      </c>
      <c r="N249" s="6"/>
      <c r="O249" s="6"/>
      <c r="P249" s="9">
        <v>-46</v>
      </c>
    </row>
    <row r="250" spans="1:16" ht="19.5" customHeight="1">
      <c r="A250" s="1" t="s">
        <v>1616</v>
      </c>
      <c r="B250" s="5">
        <v>46002</v>
      </c>
      <c r="C250" s="1" t="s">
        <v>17</v>
      </c>
      <c r="D250" s="1" t="s">
        <v>18</v>
      </c>
      <c r="E250" s="1" t="s">
        <v>92</v>
      </c>
      <c r="F250" s="1" t="s">
        <v>93</v>
      </c>
      <c r="G250" s="1" t="s">
        <v>1229</v>
      </c>
      <c r="H250" s="6">
        <v>1</v>
      </c>
      <c r="I250" s="7">
        <v>0</v>
      </c>
      <c r="J250" s="5">
        <v>46002</v>
      </c>
      <c r="K250" s="1" t="s">
        <v>22</v>
      </c>
      <c r="L250" s="1" t="s">
        <v>22</v>
      </c>
      <c r="M250" s="8">
        <v>0</v>
      </c>
      <c r="N250" s="6"/>
      <c r="O250" s="6"/>
      <c r="P250" s="9">
        <v>-10.130000000000001</v>
      </c>
    </row>
    <row r="251" spans="1:16" ht="19.5" customHeight="1">
      <c r="A251" s="1" t="s">
        <v>1617</v>
      </c>
      <c r="B251" s="5">
        <v>46002</v>
      </c>
      <c r="C251" s="1" t="s">
        <v>17</v>
      </c>
      <c r="D251" s="1" t="s">
        <v>18</v>
      </c>
      <c r="E251" s="1" t="s">
        <v>25</v>
      </c>
      <c r="F251" s="1" t="s">
        <v>26</v>
      </c>
      <c r="G251" s="1" t="s">
        <v>1229</v>
      </c>
      <c r="H251" s="6">
        <v>1</v>
      </c>
      <c r="I251" s="7">
        <v>0</v>
      </c>
      <c r="J251" s="5">
        <v>46002</v>
      </c>
      <c r="K251" s="1" t="s">
        <v>22</v>
      </c>
      <c r="L251" s="1" t="s">
        <v>22</v>
      </c>
      <c r="M251" s="8">
        <v>0</v>
      </c>
      <c r="N251" s="6"/>
      <c r="O251" s="6"/>
      <c r="P251" s="9">
        <v>-9.4499999999999993</v>
      </c>
    </row>
    <row r="252" spans="1:16" ht="19.5" customHeight="1">
      <c r="A252" s="1" t="s">
        <v>1525</v>
      </c>
      <c r="B252" s="5">
        <v>46002</v>
      </c>
      <c r="C252" s="1" t="s">
        <v>126</v>
      </c>
      <c r="D252" s="1" t="s">
        <v>127</v>
      </c>
      <c r="E252" s="1" t="s">
        <v>223</v>
      </c>
      <c r="F252" s="1" t="s">
        <v>395</v>
      </c>
      <c r="G252" s="1" t="s">
        <v>1229</v>
      </c>
      <c r="H252" s="6">
        <v>1</v>
      </c>
      <c r="I252" s="7">
        <v>-1307</v>
      </c>
      <c r="J252" s="5">
        <v>45994</v>
      </c>
      <c r="K252" s="1" t="s">
        <v>957</v>
      </c>
      <c r="L252" s="1" t="s">
        <v>30</v>
      </c>
      <c r="M252" s="8">
        <v>0</v>
      </c>
      <c r="N252" s="6"/>
      <c r="O252" s="6"/>
      <c r="P252" s="9">
        <v>-519.04999999999995</v>
      </c>
    </row>
    <row r="253" spans="1:16" ht="19.5" customHeight="1">
      <c r="A253" s="1" t="s">
        <v>1525</v>
      </c>
      <c r="B253" s="5">
        <v>46002</v>
      </c>
      <c r="C253" s="1" t="s">
        <v>126</v>
      </c>
      <c r="D253" s="1" t="s">
        <v>33</v>
      </c>
      <c r="E253" s="1" t="s">
        <v>223</v>
      </c>
      <c r="F253" s="1" t="s">
        <v>395</v>
      </c>
      <c r="G253" s="1" t="s">
        <v>1229</v>
      </c>
      <c r="H253" s="6">
        <v>1</v>
      </c>
      <c r="I253" s="7">
        <v>-1307</v>
      </c>
      <c r="J253" s="5">
        <v>45994</v>
      </c>
      <c r="K253" s="1" t="s">
        <v>957</v>
      </c>
      <c r="L253" s="1" t="s">
        <v>30</v>
      </c>
      <c r="M253" s="8">
        <v>0</v>
      </c>
      <c r="N253" s="6"/>
      <c r="O253" s="6"/>
      <c r="P253" s="9">
        <v>-5.19</v>
      </c>
    </row>
    <row r="254" spans="1:16" ht="19.5" customHeight="1">
      <c r="A254" s="1" t="s">
        <v>1525</v>
      </c>
      <c r="B254" s="5">
        <v>46002</v>
      </c>
      <c r="C254" s="1" t="s">
        <v>126</v>
      </c>
      <c r="D254" s="1" t="s">
        <v>34</v>
      </c>
      <c r="E254" s="1" t="s">
        <v>223</v>
      </c>
      <c r="F254" s="1" t="s">
        <v>395</v>
      </c>
      <c r="G254" s="1" t="s">
        <v>1229</v>
      </c>
      <c r="H254" s="6">
        <v>1</v>
      </c>
      <c r="I254" s="7">
        <v>-1307</v>
      </c>
      <c r="J254" s="5">
        <v>45994</v>
      </c>
      <c r="K254" s="1" t="s">
        <v>957</v>
      </c>
      <c r="L254" s="1" t="s">
        <v>30</v>
      </c>
      <c r="M254" s="8">
        <v>0</v>
      </c>
      <c r="N254" s="6"/>
      <c r="O254" s="6"/>
      <c r="P254" s="9">
        <v>-782.76</v>
      </c>
    </row>
    <row r="255" spans="1:16" ht="19.5" customHeight="1">
      <c r="A255" s="1" t="s">
        <v>1525</v>
      </c>
      <c r="B255" s="5">
        <v>46002</v>
      </c>
      <c r="C255" s="1" t="s">
        <v>35</v>
      </c>
      <c r="D255" s="1" t="s">
        <v>128</v>
      </c>
      <c r="E255" s="1" t="s">
        <v>223</v>
      </c>
      <c r="F255" s="1" t="s">
        <v>395</v>
      </c>
      <c r="G255" s="1" t="s">
        <v>1229</v>
      </c>
      <c r="H255" s="6">
        <v>1</v>
      </c>
      <c r="I255" s="7">
        <v>-1307</v>
      </c>
      <c r="J255" s="5">
        <v>45994</v>
      </c>
      <c r="K255" s="1" t="s">
        <v>957</v>
      </c>
      <c r="L255" s="1" t="s">
        <v>30</v>
      </c>
      <c r="M255" s="8">
        <v>0.43</v>
      </c>
      <c r="N255" s="6"/>
      <c r="O255" s="6"/>
      <c r="P255" s="9">
        <v>562.01</v>
      </c>
    </row>
    <row r="256" spans="1:16" ht="19.5" customHeight="1">
      <c r="A256" s="1" t="s">
        <v>1471</v>
      </c>
      <c r="B256" s="5">
        <v>46002</v>
      </c>
      <c r="C256" s="1" t="s">
        <v>17</v>
      </c>
      <c r="D256" s="1" t="s">
        <v>18</v>
      </c>
      <c r="E256" s="1" t="s">
        <v>223</v>
      </c>
      <c r="F256" s="1" t="s">
        <v>395</v>
      </c>
      <c r="G256" s="1" t="s">
        <v>1229</v>
      </c>
      <c r="H256" s="6">
        <v>1</v>
      </c>
      <c r="I256" s="7">
        <v>0</v>
      </c>
      <c r="J256" s="5">
        <v>45994</v>
      </c>
      <c r="K256" s="1" t="s">
        <v>22</v>
      </c>
      <c r="L256" s="1" t="s">
        <v>22</v>
      </c>
      <c r="M256" s="8">
        <v>0</v>
      </c>
      <c r="N256" s="6"/>
      <c r="O256" s="6"/>
      <c r="P256" s="9">
        <v>9.86</v>
      </c>
    </row>
    <row r="257" spans="1:16" ht="19.5" customHeight="1">
      <c r="A257" s="1" t="s">
        <v>22</v>
      </c>
      <c r="B257" s="5">
        <v>46002</v>
      </c>
      <c r="C257" s="1" t="s">
        <v>77</v>
      </c>
      <c r="D257" s="1" t="s">
        <v>78</v>
      </c>
      <c r="E257" s="1" t="s">
        <v>22</v>
      </c>
      <c r="F257" s="1" t="s">
        <v>22</v>
      </c>
      <c r="G257" s="1" t="s">
        <v>1618</v>
      </c>
      <c r="H257" s="6">
        <v>0</v>
      </c>
      <c r="I257" s="7">
        <v>0</v>
      </c>
      <c r="J257" s="5">
        <v>46002</v>
      </c>
      <c r="K257" s="1" t="s">
        <v>22</v>
      </c>
      <c r="L257" s="1" t="s">
        <v>22</v>
      </c>
      <c r="M257" s="8">
        <v>0</v>
      </c>
      <c r="N257" s="6"/>
      <c r="O257" s="6"/>
      <c r="P257" s="9">
        <v>-450</v>
      </c>
    </row>
    <row r="258" spans="1:16" ht="19.5" customHeight="1">
      <c r="A258" s="1" t="s">
        <v>1619</v>
      </c>
      <c r="B258" s="5">
        <v>46002</v>
      </c>
      <c r="C258" s="1" t="s">
        <v>17</v>
      </c>
      <c r="D258" s="1" t="s">
        <v>18</v>
      </c>
      <c r="E258" s="1" t="s">
        <v>222</v>
      </c>
      <c r="F258" s="1" t="s">
        <v>412</v>
      </c>
      <c r="G258" s="1" t="s">
        <v>1229</v>
      </c>
      <c r="H258" s="6">
        <v>1</v>
      </c>
      <c r="I258" s="7">
        <v>0</v>
      </c>
      <c r="J258" s="5">
        <v>46002</v>
      </c>
      <c r="K258" s="1" t="s">
        <v>22</v>
      </c>
      <c r="L258" s="1" t="s">
        <v>22</v>
      </c>
      <c r="M258" s="8">
        <v>0</v>
      </c>
      <c r="N258" s="6"/>
      <c r="O258" s="6"/>
      <c r="P258" s="9">
        <v>-10.27</v>
      </c>
    </row>
    <row r="259" spans="1:16" ht="19.5" customHeight="1">
      <c r="A259" s="1" t="s">
        <v>83</v>
      </c>
      <c r="B259" s="5">
        <v>46002</v>
      </c>
      <c r="C259" s="1" t="s">
        <v>77</v>
      </c>
      <c r="D259" s="1" t="s">
        <v>84</v>
      </c>
      <c r="E259" s="1" t="s">
        <v>22</v>
      </c>
      <c r="F259" s="1" t="s">
        <v>22</v>
      </c>
      <c r="G259" s="1" t="s">
        <v>22</v>
      </c>
      <c r="H259" s="6">
        <v>0</v>
      </c>
      <c r="I259" s="7">
        <v>0</v>
      </c>
      <c r="J259" s="5">
        <v>46002</v>
      </c>
      <c r="K259" s="1" t="s">
        <v>22</v>
      </c>
      <c r="L259" s="1" t="s">
        <v>22</v>
      </c>
      <c r="M259" s="8">
        <v>0</v>
      </c>
      <c r="N259" s="6"/>
      <c r="O259" s="6"/>
      <c r="P259" s="9">
        <v>-1515.41</v>
      </c>
    </row>
    <row r="260" spans="1:16" ht="19.5" customHeight="1">
      <c r="A260" s="1" t="s">
        <v>1620</v>
      </c>
      <c r="B260" s="5">
        <v>46003</v>
      </c>
      <c r="C260" s="1" t="s">
        <v>261</v>
      </c>
      <c r="D260" s="1" t="s">
        <v>326</v>
      </c>
      <c r="E260" s="1" t="s">
        <v>22</v>
      </c>
      <c r="F260" s="1" t="s">
        <v>22</v>
      </c>
      <c r="G260" s="1" t="s">
        <v>22</v>
      </c>
      <c r="H260" s="6">
        <v>0</v>
      </c>
      <c r="I260" s="7">
        <v>0</v>
      </c>
      <c r="J260" s="5">
        <v>45989</v>
      </c>
      <c r="K260" s="1" t="s">
        <v>22</v>
      </c>
      <c r="L260" s="1" t="s">
        <v>22</v>
      </c>
      <c r="M260" s="8">
        <v>0</v>
      </c>
      <c r="N260" s="6"/>
      <c r="O260" s="6"/>
      <c r="P260" s="9">
        <v>-2390.8000000000002</v>
      </c>
    </row>
    <row r="261" spans="1:16" ht="19.5" customHeight="1">
      <c r="A261" s="1" t="s">
        <v>1621</v>
      </c>
      <c r="B261" s="5">
        <v>46003</v>
      </c>
      <c r="C261" s="1" t="s">
        <v>17</v>
      </c>
      <c r="D261" s="1" t="s">
        <v>18</v>
      </c>
      <c r="E261" s="1" t="s">
        <v>25</v>
      </c>
      <c r="F261" s="1" t="s">
        <v>26</v>
      </c>
      <c r="G261" s="1" t="s">
        <v>1229</v>
      </c>
      <c r="H261" s="6">
        <v>1</v>
      </c>
      <c r="I261" s="7">
        <v>0</v>
      </c>
      <c r="J261" s="5">
        <v>46003</v>
      </c>
      <c r="K261" s="1" t="s">
        <v>22</v>
      </c>
      <c r="L261" s="1" t="s">
        <v>22</v>
      </c>
      <c r="M261" s="8">
        <v>0</v>
      </c>
      <c r="N261" s="6"/>
      <c r="O261" s="6"/>
      <c r="P261" s="9">
        <v>-3.89</v>
      </c>
    </row>
    <row r="262" spans="1:16" ht="19.5" customHeight="1">
      <c r="A262" s="1" t="s">
        <v>1622</v>
      </c>
      <c r="B262" s="5">
        <v>46003</v>
      </c>
      <c r="C262" s="1" t="s">
        <v>17</v>
      </c>
      <c r="D262" s="1" t="s">
        <v>18</v>
      </c>
      <c r="E262" s="1" t="s">
        <v>236</v>
      </c>
      <c r="F262" s="1" t="s">
        <v>1064</v>
      </c>
      <c r="G262" s="1" t="s">
        <v>1133</v>
      </c>
      <c r="H262" s="6">
        <v>1</v>
      </c>
      <c r="I262" s="7">
        <v>0</v>
      </c>
      <c r="J262" s="5">
        <v>46003</v>
      </c>
      <c r="K262" s="1" t="s">
        <v>22</v>
      </c>
      <c r="L262" s="1" t="s">
        <v>22</v>
      </c>
      <c r="M262" s="8">
        <v>0</v>
      </c>
      <c r="N262" s="6"/>
      <c r="O262" s="6"/>
      <c r="P262" s="9">
        <v>-10.15</v>
      </c>
    </row>
    <row r="263" spans="1:16" ht="19.5" customHeight="1">
      <c r="A263" s="1" t="s">
        <v>1623</v>
      </c>
      <c r="B263" s="5">
        <v>46003</v>
      </c>
      <c r="C263" s="1" t="s">
        <v>28</v>
      </c>
      <c r="D263" s="1" t="s">
        <v>29</v>
      </c>
      <c r="E263" s="1" t="s">
        <v>25</v>
      </c>
      <c r="F263" s="1" t="s">
        <v>26</v>
      </c>
      <c r="G263" s="1" t="s">
        <v>1229</v>
      </c>
      <c r="H263" s="6">
        <v>1</v>
      </c>
      <c r="I263" s="7">
        <v>0</v>
      </c>
      <c r="J263" s="5">
        <v>45999</v>
      </c>
      <c r="K263" s="1" t="s">
        <v>957</v>
      </c>
      <c r="L263" s="1" t="s">
        <v>30</v>
      </c>
      <c r="M263" s="8">
        <v>0</v>
      </c>
      <c r="N263" s="6"/>
      <c r="O263" s="6">
        <v>39</v>
      </c>
      <c r="P263" s="9">
        <v>-46</v>
      </c>
    </row>
    <row r="264" spans="1:16" ht="19.5" customHeight="1">
      <c r="A264" s="1" t="s">
        <v>1623</v>
      </c>
      <c r="B264" s="5">
        <v>46003</v>
      </c>
      <c r="C264" s="1" t="s">
        <v>17</v>
      </c>
      <c r="D264" s="1" t="s">
        <v>37</v>
      </c>
      <c r="E264" s="1" t="s">
        <v>25</v>
      </c>
      <c r="F264" s="1" t="s">
        <v>26</v>
      </c>
      <c r="G264" s="1" t="s">
        <v>1229</v>
      </c>
      <c r="H264" s="6">
        <v>1</v>
      </c>
      <c r="I264" s="7">
        <v>0</v>
      </c>
      <c r="J264" s="5">
        <v>45999</v>
      </c>
      <c r="K264" s="1" t="s">
        <v>957</v>
      </c>
      <c r="L264" s="1" t="s">
        <v>30</v>
      </c>
      <c r="M264" s="8">
        <v>0</v>
      </c>
      <c r="N264" s="6"/>
      <c r="O264" s="6"/>
      <c r="P264" s="9">
        <v>-4.72</v>
      </c>
    </row>
    <row r="265" spans="1:16" ht="19.5" customHeight="1">
      <c r="A265" s="1" t="s">
        <v>1623</v>
      </c>
      <c r="B265" s="5">
        <v>46003</v>
      </c>
      <c r="C265" s="1" t="s">
        <v>28</v>
      </c>
      <c r="D265" s="1" t="s">
        <v>45</v>
      </c>
      <c r="E265" s="1" t="s">
        <v>25</v>
      </c>
      <c r="F265" s="1" t="s">
        <v>26</v>
      </c>
      <c r="G265" s="1" t="s">
        <v>1229</v>
      </c>
      <c r="H265" s="6">
        <v>1</v>
      </c>
      <c r="I265" s="7">
        <v>0</v>
      </c>
      <c r="J265" s="5">
        <v>45999</v>
      </c>
      <c r="K265" s="1" t="s">
        <v>957</v>
      </c>
      <c r="L265" s="1" t="s">
        <v>30</v>
      </c>
      <c r="M265" s="8">
        <v>0</v>
      </c>
      <c r="N265" s="6"/>
      <c r="O265" s="6"/>
      <c r="P265" s="9">
        <v>0</v>
      </c>
    </row>
    <row r="266" spans="1:16" ht="19.5" customHeight="1">
      <c r="A266" s="1" t="s">
        <v>1623</v>
      </c>
      <c r="B266" s="5">
        <v>46003</v>
      </c>
      <c r="C266" s="1" t="s">
        <v>28</v>
      </c>
      <c r="D266" s="1" t="s">
        <v>46</v>
      </c>
      <c r="E266" s="1" t="s">
        <v>25</v>
      </c>
      <c r="F266" s="1" t="s">
        <v>26</v>
      </c>
      <c r="G266" s="1" t="s">
        <v>1229</v>
      </c>
      <c r="H266" s="6">
        <v>1</v>
      </c>
      <c r="I266" s="7">
        <v>0</v>
      </c>
      <c r="J266" s="5">
        <v>45999</v>
      </c>
      <c r="K266" s="1" t="s">
        <v>957</v>
      </c>
      <c r="L266" s="1" t="s">
        <v>30</v>
      </c>
      <c r="M266" s="8">
        <v>0</v>
      </c>
      <c r="N266" s="6"/>
      <c r="O266" s="6"/>
      <c r="P266" s="9">
        <v>-46</v>
      </c>
    </row>
    <row r="267" spans="1:16" ht="19.5" customHeight="1">
      <c r="A267" s="1" t="s">
        <v>1623</v>
      </c>
      <c r="B267" s="5">
        <v>46003</v>
      </c>
      <c r="C267" s="1" t="s">
        <v>17</v>
      </c>
      <c r="D267" s="1" t="s">
        <v>47</v>
      </c>
      <c r="E267" s="1" t="s">
        <v>25</v>
      </c>
      <c r="F267" s="1" t="s">
        <v>26</v>
      </c>
      <c r="G267" s="1" t="s">
        <v>1229</v>
      </c>
      <c r="H267" s="6">
        <v>1</v>
      </c>
      <c r="I267" s="7">
        <v>0</v>
      </c>
      <c r="J267" s="5">
        <v>45999</v>
      </c>
      <c r="K267" s="1" t="s">
        <v>957</v>
      </c>
      <c r="L267" s="1" t="s">
        <v>30</v>
      </c>
      <c r="M267" s="8">
        <v>0</v>
      </c>
      <c r="N267" s="6"/>
      <c r="O267" s="6"/>
      <c r="P267" s="9">
        <v>-15</v>
      </c>
    </row>
    <row r="268" spans="1:16" ht="19.5" customHeight="1">
      <c r="A268" s="1" t="s">
        <v>1624</v>
      </c>
      <c r="B268" s="5">
        <v>46003</v>
      </c>
      <c r="C268" s="1" t="s">
        <v>28</v>
      </c>
      <c r="D268" s="1" t="s">
        <v>29</v>
      </c>
      <c r="E268" s="1" t="s">
        <v>223</v>
      </c>
      <c r="F268" s="1" t="s">
        <v>395</v>
      </c>
      <c r="G268" s="1" t="s">
        <v>1229</v>
      </c>
      <c r="H268" s="6">
        <v>1</v>
      </c>
      <c r="I268" s="7">
        <v>1051</v>
      </c>
      <c r="J268" s="5">
        <v>46002</v>
      </c>
      <c r="K268" s="1" t="s">
        <v>957</v>
      </c>
      <c r="L268" s="1" t="s">
        <v>30</v>
      </c>
      <c r="M268" s="8">
        <v>0.43</v>
      </c>
      <c r="N268" s="6"/>
      <c r="O268" s="6">
        <v>40</v>
      </c>
      <c r="P268" s="9">
        <v>-97.42</v>
      </c>
    </row>
    <row r="269" spans="1:16" ht="19.5" customHeight="1">
      <c r="A269" s="1" t="s">
        <v>1624</v>
      </c>
      <c r="B269" s="5">
        <v>46003</v>
      </c>
      <c r="C269" s="1" t="s">
        <v>31</v>
      </c>
      <c r="D269" s="1" t="s">
        <v>32</v>
      </c>
      <c r="E269" s="1" t="s">
        <v>223</v>
      </c>
      <c r="F269" s="1" t="s">
        <v>395</v>
      </c>
      <c r="G269" s="1" t="s">
        <v>1229</v>
      </c>
      <c r="H269" s="6">
        <v>1</v>
      </c>
      <c r="I269" s="7">
        <v>1051</v>
      </c>
      <c r="J269" s="5">
        <v>46002</v>
      </c>
      <c r="K269" s="1" t="s">
        <v>957</v>
      </c>
      <c r="L269" s="1" t="s">
        <v>30</v>
      </c>
      <c r="M269" s="8">
        <v>0</v>
      </c>
      <c r="N269" s="6"/>
      <c r="O269" s="6"/>
      <c r="P269" s="9">
        <v>529.02</v>
      </c>
    </row>
    <row r="270" spans="1:16" ht="19.5" customHeight="1">
      <c r="A270" s="1" t="s">
        <v>1624</v>
      </c>
      <c r="B270" s="5">
        <v>46003</v>
      </c>
      <c r="C270" s="1" t="s">
        <v>31</v>
      </c>
      <c r="D270" s="1" t="s">
        <v>33</v>
      </c>
      <c r="E270" s="1" t="s">
        <v>223</v>
      </c>
      <c r="F270" s="1" t="s">
        <v>395</v>
      </c>
      <c r="G270" s="1" t="s">
        <v>1229</v>
      </c>
      <c r="H270" s="6">
        <v>1</v>
      </c>
      <c r="I270" s="7">
        <v>1051</v>
      </c>
      <c r="J270" s="5">
        <v>46002</v>
      </c>
      <c r="K270" s="1" t="s">
        <v>957</v>
      </c>
      <c r="L270" s="1" t="s">
        <v>30</v>
      </c>
      <c r="M270" s="8">
        <v>0</v>
      </c>
      <c r="N270" s="6"/>
      <c r="O270" s="6"/>
      <c r="P270" s="9">
        <v>5.29</v>
      </c>
    </row>
    <row r="271" spans="1:16" ht="19.5" customHeight="1">
      <c r="A271" s="1" t="s">
        <v>1624</v>
      </c>
      <c r="B271" s="5">
        <v>46003</v>
      </c>
      <c r="C271" s="1" t="s">
        <v>31</v>
      </c>
      <c r="D271" s="1" t="s">
        <v>34</v>
      </c>
      <c r="E271" s="1" t="s">
        <v>223</v>
      </c>
      <c r="F271" s="1" t="s">
        <v>395</v>
      </c>
      <c r="G271" s="1" t="s">
        <v>1229</v>
      </c>
      <c r="H271" s="6">
        <v>1</v>
      </c>
      <c r="I271" s="7">
        <v>1051</v>
      </c>
      <c r="J271" s="5">
        <v>46002</v>
      </c>
      <c r="K271" s="1" t="s">
        <v>957</v>
      </c>
      <c r="L271" s="1" t="s">
        <v>30</v>
      </c>
      <c r="M271" s="8">
        <v>0</v>
      </c>
      <c r="N271" s="6"/>
      <c r="O271" s="6"/>
      <c r="P271" s="9">
        <v>516.69000000000005</v>
      </c>
    </row>
    <row r="272" spans="1:16" ht="19.5" customHeight="1">
      <c r="A272" s="1" t="s">
        <v>1624</v>
      </c>
      <c r="B272" s="5">
        <v>46003</v>
      </c>
      <c r="C272" s="1" t="s">
        <v>35</v>
      </c>
      <c r="D272" s="1" t="s">
        <v>36</v>
      </c>
      <c r="E272" s="1" t="s">
        <v>223</v>
      </c>
      <c r="F272" s="1" t="s">
        <v>395</v>
      </c>
      <c r="G272" s="1" t="s">
        <v>1229</v>
      </c>
      <c r="H272" s="6">
        <v>1</v>
      </c>
      <c r="I272" s="7">
        <v>1051</v>
      </c>
      <c r="J272" s="5">
        <v>46002</v>
      </c>
      <c r="K272" s="1" t="s">
        <v>957</v>
      </c>
      <c r="L272" s="1" t="s">
        <v>30</v>
      </c>
      <c r="M272" s="8">
        <v>0.43</v>
      </c>
      <c r="N272" s="6"/>
      <c r="O272" s="6"/>
      <c r="P272" s="9">
        <v>-451.93</v>
      </c>
    </row>
    <row r="273" spans="1:16" ht="19.5" customHeight="1">
      <c r="A273" s="1" t="s">
        <v>1624</v>
      </c>
      <c r="B273" s="5">
        <v>46003</v>
      </c>
      <c r="C273" s="1" t="s">
        <v>17</v>
      </c>
      <c r="D273" s="1" t="s">
        <v>37</v>
      </c>
      <c r="E273" s="1" t="s">
        <v>223</v>
      </c>
      <c r="F273" s="1" t="s">
        <v>395</v>
      </c>
      <c r="G273" s="1" t="s">
        <v>1229</v>
      </c>
      <c r="H273" s="6">
        <v>1</v>
      </c>
      <c r="I273" s="7">
        <v>1051</v>
      </c>
      <c r="J273" s="5">
        <v>46002</v>
      </c>
      <c r="K273" s="1" t="s">
        <v>957</v>
      </c>
      <c r="L273" s="1" t="s">
        <v>30</v>
      </c>
      <c r="M273" s="8">
        <v>0.43</v>
      </c>
      <c r="N273" s="6"/>
      <c r="O273" s="6"/>
      <c r="P273" s="9">
        <v>-5.04</v>
      </c>
    </row>
    <row r="274" spans="1:16" ht="19.5" customHeight="1">
      <c r="A274" s="1" t="s">
        <v>1611</v>
      </c>
      <c r="B274" s="5">
        <v>46003</v>
      </c>
      <c r="C274" s="1" t="s">
        <v>126</v>
      </c>
      <c r="D274" s="1" t="s">
        <v>127</v>
      </c>
      <c r="E274" s="1" t="s">
        <v>25</v>
      </c>
      <c r="F274" s="1" t="s">
        <v>26</v>
      </c>
      <c r="G274" s="1" t="s">
        <v>1229</v>
      </c>
      <c r="H274" s="6">
        <v>1</v>
      </c>
      <c r="I274" s="7">
        <v>-1050</v>
      </c>
      <c r="J274" s="5">
        <v>45995</v>
      </c>
      <c r="K274" s="1" t="s">
        <v>957</v>
      </c>
      <c r="L274" s="1" t="s">
        <v>30</v>
      </c>
      <c r="M274" s="8">
        <v>0</v>
      </c>
      <c r="N274" s="6"/>
      <c r="O274" s="6"/>
      <c r="P274" s="9">
        <v>-460.95</v>
      </c>
    </row>
    <row r="275" spans="1:16" ht="19.5" customHeight="1">
      <c r="A275" s="1" t="s">
        <v>1611</v>
      </c>
      <c r="B275" s="5">
        <v>46003</v>
      </c>
      <c r="C275" s="1" t="s">
        <v>126</v>
      </c>
      <c r="D275" s="1" t="s">
        <v>33</v>
      </c>
      <c r="E275" s="1" t="s">
        <v>25</v>
      </c>
      <c r="F275" s="1" t="s">
        <v>26</v>
      </c>
      <c r="G275" s="1" t="s">
        <v>1229</v>
      </c>
      <c r="H275" s="6">
        <v>1</v>
      </c>
      <c r="I275" s="7">
        <v>-1050</v>
      </c>
      <c r="J275" s="5">
        <v>45995</v>
      </c>
      <c r="K275" s="1" t="s">
        <v>957</v>
      </c>
      <c r="L275" s="1" t="s">
        <v>30</v>
      </c>
      <c r="M275" s="8">
        <v>0</v>
      </c>
      <c r="N275" s="6"/>
      <c r="O275" s="6"/>
      <c r="P275" s="9">
        <v>-4.6100000000000003</v>
      </c>
    </row>
    <row r="276" spans="1:16" ht="19.5" customHeight="1">
      <c r="A276" s="1" t="s">
        <v>1611</v>
      </c>
      <c r="B276" s="5">
        <v>46003</v>
      </c>
      <c r="C276" s="1" t="s">
        <v>126</v>
      </c>
      <c r="D276" s="1" t="s">
        <v>34</v>
      </c>
      <c r="E276" s="1" t="s">
        <v>25</v>
      </c>
      <c r="F276" s="1" t="s">
        <v>26</v>
      </c>
      <c r="G276" s="1" t="s">
        <v>1229</v>
      </c>
      <c r="H276" s="6">
        <v>1</v>
      </c>
      <c r="I276" s="7">
        <v>-1050</v>
      </c>
      <c r="J276" s="5">
        <v>45995</v>
      </c>
      <c r="K276" s="1" t="s">
        <v>957</v>
      </c>
      <c r="L276" s="1" t="s">
        <v>30</v>
      </c>
      <c r="M276" s="8">
        <v>0</v>
      </c>
      <c r="N276" s="6"/>
      <c r="O276" s="6"/>
      <c r="P276" s="9">
        <v>-584.44000000000005</v>
      </c>
    </row>
    <row r="277" spans="1:16" ht="19.5" customHeight="1">
      <c r="A277" s="1" t="s">
        <v>1611</v>
      </c>
      <c r="B277" s="5">
        <v>46003</v>
      </c>
      <c r="C277" s="1" t="s">
        <v>35</v>
      </c>
      <c r="D277" s="1" t="s">
        <v>128</v>
      </c>
      <c r="E277" s="1" t="s">
        <v>25</v>
      </c>
      <c r="F277" s="1" t="s">
        <v>26</v>
      </c>
      <c r="G277" s="1" t="s">
        <v>1229</v>
      </c>
      <c r="H277" s="6">
        <v>1</v>
      </c>
      <c r="I277" s="7">
        <v>-1050</v>
      </c>
      <c r="J277" s="5">
        <v>45995</v>
      </c>
      <c r="K277" s="1" t="s">
        <v>957</v>
      </c>
      <c r="L277" s="1" t="s">
        <v>30</v>
      </c>
      <c r="M277" s="8">
        <v>0.43</v>
      </c>
      <c r="N277" s="6"/>
      <c r="O277" s="6"/>
      <c r="P277" s="9">
        <v>451.5</v>
      </c>
    </row>
    <row r="278" spans="1:16" ht="19.5" customHeight="1">
      <c r="A278" s="1" t="s">
        <v>1611</v>
      </c>
      <c r="B278" s="5">
        <v>46003</v>
      </c>
      <c r="C278" s="1" t="s">
        <v>17</v>
      </c>
      <c r="D278" s="1" t="s">
        <v>18</v>
      </c>
      <c r="E278" s="1" t="s">
        <v>25</v>
      </c>
      <c r="F278" s="1" t="s">
        <v>26</v>
      </c>
      <c r="G278" s="1" t="s">
        <v>1229</v>
      </c>
      <c r="H278" s="6">
        <v>1</v>
      </c>
      <c r="I278" s="7">
        <v>0</v>
      </c>
      <c r="J278" s="5">
        <v>45995</v>
      </c>
      <c r="K278" s="1" t="s">
        <v>22</v>
      </c>
      <c r="L278" s="1" t="s">
        <v>22</v>
      </c>
      <c r="M278" s="8">
        <v>0</v>
      </c>
      <c r="N278" s="6"/>
      <c r="O278" s="6"/>
      <c r="P278" s="9">
        <v>8.76</v>
      </c>
    </row>
    <row r="279" spans="1:16" ht="19.5" customHeight="1">
      <c r="A279" s="1" t="s">
        <v>1625</v>
      </c>
      <c r="B279" s="5">
        <v>46003</v>
      </c>
      <c r="C279" s="1" t="s">
        <v>28</v>
      </c>
      <c r="D279" s="1" t="s">
        <v>29</v>
      </c>
      <c r="E279" s="1" t="s">
        <v>223</v>
      </c>
      <c r="F279" s="1" t="s">
        <v>395</v>
      </c>
      <c r="G279" s="1" t="s">
        <v>1229</v>
      </c>
      <c r="H279" s="6">
        <v>1</v>
      </c>
      <c r="I279" s="7">
        <v>1687</v>
      </c>
      <c r="J279" s="5">
        <v>46001</v>
      </c>
      <c r="K279" s="1" t="s">
        <v>957</v>
      </c>
      <c r="L279" s="1" t="s">
        <v>30</v>
      </c>
      <c r="M279" s="8">
        <v>0.43</v>
      </c>
      <c r="N279" s="6"/>
      <c r="O279" s="6">
        <v>41</v>
      </c>
      <c r="P279" s="9">
        <v>-117.58</v>
      </c>
    </row>
    <row r="280" spans="1:16" ht="19.5" customHeight="1">
      <c r="A280" s="1" t="s">
        <v>1625</v>
      </c>
      <c r="B280" s="5">
        <v>46003</v>
      </c>
      <c r="C280" s="1" t="s">
        <v>31</v>
      </c>
      <c r="D280" s="1" t="s">
        <v>32</v>
      </c>
      <c r="E280" s="1" t="s">
        <v>223</v>
      </c>
      <c r="F280" s="1" t="s">
        <v>395</v>
      </c>
      <c r="G280" s="1" t="s">
        <v>1229</v>
      </c>
      <c r="H280" s="6">
        <v>1</v>
      </c>
      <c r="I280" s="7">
        <v>1687</v>
      </c>
      <c r="J280" s="5">
        <v>46001</v>
      </c>
      <c r="K280" s="1" t="s">
        <v>957</v>
      </c>
      <c r="L280" s="1" t="s">
        <v>30</v>
      </c>
      <c r="M280" s="8">
        <v>0</v>
      </c>
      <c r="N280" s="6"/>
      <c r="O280" s="6"/>
      <c r="P280" s="9">
        <v>812.38</v>
      </c>
    </row>
    <row r="281" spans="1:16" ht="19.5" customHeight="1">
      <c r="A281" s="1" t="s">
        <v>1625</v>
      </c>
      <c r="B281" s="5">
        <v>46003</v>
      </c>
      <c r="C281" s="1" t="s">
        <v>31</v>
      </c>
      <c r="D281" s="1" t="s">
        <v>33</v>
      </c>
      <c r="E281" s="1" t="s">
        <v>223</v>
      </c>
      <c r="F281" s="1" t="s">
        <v>395</v>
      </c>
      <c r="G281" s="1" t="s">
        <v>1229</v>
      </c>
      <c r="H281" s="6">
        <v>1</v>
      </c>
      <c r="I281" s="7">
        <v>1687</v>
      </c>
      <c r="J281" s="5">
        <v>46001</v>
      </c>
      <c r="K281" s="1" t="s">
        <v>957</v>
      </c>
      <c r="L281" s="1" t="s">
        <v>30</v>
      </c>
      <c r="M281" s="8">
        <v>0</v>
      </c>
      <c r="N281" s="6"/>
      <c r="O281" s="6"/>
      <c r="P281" s="9">
        <v>8.1199999999999992</v>
      </c>
    </row>
    <row r="282" spans="1:16" ht="19.5" customHeight="1">
      <c r="A282" s="1" t="s">
        <v>1625</v>
      </c>
      <c r="B282" s="5">
        <v>46003</v>
      </c>
      <c r="C282" s="1" t="s">
        <v>31</v>
      </c>
      <c r="D282" s="1" t="s">
        <v>34</v>
      </c>
      <c r="E282" s="1" t="s">
        <v>223</v>
      </c>
      <c r="F282" s="1" t="s">
        <v>395</v>
      </c>
      <c r="G282" s="1" t="s">
        <v>1229</v>
      </c>
      <c r="H282" s="6">
        <v>1</v>
      </c>
      <c r="I282" s="7">
        <v>1687</v>
      </c>
      <c r="J282" s="5">
        <v>46001</v>
      </c>
      <c r="K282" s="1" t="s">
        <v>957</v>
      </c>
      <c r="L282" s="1" t="s">
        <v>30</v>
      </c>
      <c r="M282" s="8">
        <v>0</v>
      </c>
      <c r="N282" s="6"/>
      <c r="O282" s="6"/>
      <c r="P282" s="9">
        <v>866.5</v>
      </c>
    </row>
    <row r="283" spans="1:16" ht="19.5" customHeight="1">
      <c r="A283" s="1" t="s">
        <v>1625</v>
      </c>
      <c r="B283" s="5">
        <v>46003</v>
      </c>
      <c r="C283" s="1" t="s">
        <v>35</v>
      </c>
      <c r="D283" s="1" t="s">
        <v>36</v>
      </c>
      <c r="E283" s="1" t="s">
        <v>223</v>
      </c>
      <c r="F283" s="1" t="s">
        <v>395</v>
      </c>
      <c r="G283" s="1" t="s">
        <v>1229</v>
      </c>
      <c r="H283" s="6">
        <v>1</v>
      </c>
      <c r="I283" s="7">
        <v>1687</v>
      </c>
      <c r="J283" s="5">
        <v>46001</v>
      </c>
      <c r="K283" s="1" t="s">
        <v>957</v>
      </c>
      <c r="L283" s="1" t="s">
        <v>30</v>
      </c>
      <c r="M283" s="8">
        <v>0.43</v>
      </c>
      <c r="N283" s="6"/>
      <c r="O283" s="6"/>
      <c r="P283" s="9">
        <v>-725.41</v>
      </c>
    </row>
    <row r="284" spans="1:16" ht="19.5" customHeight="1">
      <c r="A284" s="1" t="s">
        <v>1625</v>
      </c>
      <c r="B284" s="5">
        <v>46003</v>
      </c>
      <c r="C284" s="1" t="s">
        <v>17</v>
      </c>
      <c r="D284" s="1" t="s">
        <v>37</v>
      </c>
      <c r="E284" s="1" t="s">
        <v>223</v>
      </c>
      <c r="F284" s="1" t="s">
        <v>395</v>
      </c>
      <c r="G284" s="1" t="s">
        <v>1229</v>
      </c>
      <c r="H284" s="6">
        <v>1</v>
      </c>
      <c r="I284" s="7">
        <v>1687</v>
      </c>
      <c r="J284" s="5">
        <v>46001</v>
      </c>
      <c r="K284" s="1" t="s">
        <v>957</v>
      </c>
      <c r="L284" s="1" t="s">
        <v>30</v>
      </c>
      <c r="M284" s="8">
        <v>0.43</v>
      </c>
      <c r="N284" s="6"/>
      <c r="O284" s="6"/>
      <c r="P284" s="9">
        <v>-11.44</v>
      </c>
    </row>
    <row r="285" spans="1:16" ht="19.5" customHeight="1">
      <c r="A285" s="1" t="s">
        <v>1626</v>
      </c>
      <c r="B285" s="5">
        <v>46003</v>
      </c>
      <c r="C285" s="1" t="s">
        <v>28</v>
      </c>
      <c r="D285" s="1" t="s">
        <v>29</v>
      </c>
      <c r="E285" s="1" t="s">
        <v>1055</v>
      </c>
      <c r="F285" s="1" t="s">
        <v>1317</v>
      </c>
      <c r="G285" s="1" t="s">
        <v>1298</v>
      </c>
      <c r="H285" s="6">
        <v>1</v>
      </c>
      <c r="I285" s="7">
        <v>0</v>
      </c>
      <c r="J285" s="5">
        <v>45999</v>
      </c>
      <c r="K285" s="1" t="s">
        <v>957</v>
      </c>
      <c r="L285" s="1" t="s">
        <v>30</v>
      </c>
      <c r="M285" s="8">
        <v>0</v>
      </c>
      <c r="N285" s="6"/>
      <c r="O285" s="6">
        <v>39</v>
      </c>
      <c r="P285" s="9">
        <v>-46</v>
      </c>
    </row>
    <row r="286" spans="1:16" ht="19.5" customHeight="1">
      <c r="A286" s="1" t="s">
        <v>1626</v>
      </c>
      <c r="B286" s="5">
        <v>46003</v>
      </c>
      <c r="C286" s="1" t="s">
        <v>17</v>
      </c>
      <c r="D286" s="1" t="s">
        <v>37</v>
      </c>
      <c r="E286" s="1" t="s">
        <v>1055</v>
      </c>
      <c r="F286" s="1" t="s">
        <v>1317</v>
      </c>
      <c r="G286" s="1" t="s">
        <v>1298</v>
      </c>
      <c r="H286" s="6">
        <v>1</v>
      </c>
      <c r="I286" s="7">
        <v>0</v>
      </c>
      <c r="J286" s="5">
        <v>45999</v>
      </c>
      <c r="K286" s="1" t="s">
        <v>957</v>
      </c>
      <c r="L286" s="1" t="s">
        <v>30</v>
      </c>
      <c r="M286" s="8">
        <v>0</v>
      </c>
      <c r="N286" s="6"/>
      <c r="O286" s="6"/>
      <c r="P286" s="9">
        <v>-16.809999999999999</v>
      </c>
    </row>
    <row r="287" spans="1:16" ht="19.5" customHeight="1">
      <c r="A287" s="1" t="s">
        <v>1626</v>
      </c>
      <c r="B287" s="5">
        <v>46003</v>
      </c>
      <c r="C287" s="1" t="s">
        <v>28</v>
      </c>
      <c r="D287" s="1" t="s">
        <v>45</v>
      </c>
      <c r="E287" s="1" t="s">
        <v>1055</v>
      </c>
      <c r="F287" s="1" t="s">
        <v>1317</v>
      </c>
      <c r="G287" s="1" t="s">
        <v>1298</v>
      </c>
      <c r="H287" s="6">
        <v>1</v>
      </c>
      <c r="I287" s="7">
        <v>0</v>
      </c>
      <c r="J287" s="5">
        <v>45999</v>
      </c>
      <c r="K287" s="1" t="s">
        <v>957</v>
      </c>
      <c r="L287" s="1" t="s">
        <v>30</v>
      </c>
      <c r="M287" s="8">
        <v>0</v>
      </c>
      <c r="N287" s="6"/>
      <c r="O287" s="6"/>
      <c r="P287" s="9">
        <v>0</v>
      </c>
    </row>
    <row r="288" spans="1:16" ht="19.5" customHeight="1">
      <c r="A288" s="1" t="s">
        <v>1626</v>
      </c>
      <c r="B288" s="5">
        <v>46003</v>
      </c>
      <c r="C288" s="1" t="s">
        <v>28</v>
      </c>
      <c r="D288" s="1" t="s">
        <v>46</v>
      </c>
      <c r="E288" s="1" t="s">
        <v>1055</v>
      </c>
      <c r="F288" s="1" t="s">
        <v>1317</v>
      </c>
      <c r="G288" s="1" t="s">
        <v>1298</v>
      </c>
      <c r="H288" s="6">
        <v>1</v>
      </c>
      <c r="I288" s="7">
        <v>0</v>
      </c>
      <c r="J288" s="5">
        <v>45999</v>
      </c>
      <c r="K288" s="1" t="s">
        <v>957</v>
      </c>
      <c r="L288" s="1" t="s">
        <v>30</v>
      </c>
      <c r="M288" s="8">
        <v>0</v>
      </c>
      <c r="N288" s="6"/>
      <c r="O288" s="6"/>
      <c r="P288" s="9">
        <v>-46</v>
      </c>
    </row>
    <row r="289" spans="1:16" ht="19.5" customHeight="1">
      <c r="A289" s="1" t="s">
        <v>1626</v>
      </c>
      <c r="B289" s="5">
        <v>46003</v>
      </c>
      <c r="C289" s="1" t="s">
        <v>17</v>
      </c>
      <c r="D289" s="1" t="s">
        <v>47</v>
      </c>
      <c r="E289" s="1" t="s">
        <v>1055</v>
      </c>
      <c r="F289" s="1" t="s">
        <v>1317</v>
      </c>
      <c r="G289" s="1" t="s">
        <v>1298</v>
      </c>
      <c r="H289" s="6">
        <v>1</v>
      </c>
      <c r="I289" s="7">
        <v>0</v>
      </c>
      <c r="J289" s="5">
        <v>45999</v>
      </c>
      <c r="K289" s="1" t="s">
        <v>957</v>
      </c>
      <c r="L289" s="1" t="s">
        <v>30</v>
      </c>
      <c r="M289" s="8">
        <v>0</v>
      </c>
      <c r="N289" s="6"/>
      <c r="O289" s="6"/>
      <c r="P289" s="9">
        <v>-15</v>
      </c>
    </row>
    <row r="290" spans="1:16" ht="19.5" customHeight="1">
      <c r="A290" s="1" t="s">
        <v>1625</v>
      </c>
      <c r="B290" s="5">
        <v>46003</v>
      </c>
      <c r="C290" s="1" t="s">
        <v>17</v>
      </c>
      <c r="D290" s="1" t="s">
        <v>18</v>
      </c>
      <c r="E290" s="1" t="s">
        <v>223</v>
      </c>
      <c r="F290" s="1" t="s">
        <v>395</v>
      </c>
      <c r="G290" s="1" t="s">
        <v>1229</v>
      </c>
      <c r="H290" s="6">
        <v>1</v>
      </c>
      <c r="I290" s="7">
        <v>0</v>
      </c>
      <c r="J290" s="5">
        <v>46001</v>
      </c>
      <c r="K290" s="1" t="s">
        <v>22</v>
      </c>
      <c r="L290" s="1" t="s">
        <v>22</v>
      </c>
      <c r="M290" s="8">
        <v>0</v>
      </c>
      <c r="N290" s="6"/>
      <c r="O290" s="6"/>
      <c r="P290" s="9">
        <v>-15.44</v>
      </c>
    </row>
    <row r="291" spans="1:16" ht="19.5" customHeight="1">
      <c r="A291" s="1" t="s">
        <v>1627</v>
      </c>
      <c r="B291" s="5">
        <v>46003</v>
      </c>
      <c r="C291" s="1" t="s">
        <v>28</v>
      </c>
      <c r="D291" s="1" t="s">
        <v>29</v>
      </c>
      <c r="E291" s="1" t="s">
        <v>236</v>
      </c>
      <c r="F291" s="1" t="s">
        <v>1064</v>
      </c>
      <c r="G291" s="1" t="s">
        <v>1133</v>
      </c>
      <c r="H291" s="6">
        <v>1</v>
      </c>
      <c r="I291" s="7">
        <v>3112</v>
      </c>
      <c r="J291" s="5">
        <v>45997</v>
      </c>
      <c r="K291" s="1" t="s">
        <v>957</v>
      </c>
      <c r="L291" s="1" t="s">
        <v>30</v>
      </c>
      <c r="M291" s="8">
        <v>0.43</v>
      </c>
      <c r="N291" s="6"/>
      <c r="O291" s="6">
        <v>38</v>
      </c>
      <c r="P291" s="9">
        <v>-149.1</v>
      </c>
    </row>
    <row r="292" spans="1:16" ht="19.5" customHeight="1">
      <c r="A292" s="1" t="s">
        <v>1627</v>
      </c>
      <c r="B292" s="5">
        <v>46003</v>
      </c>
      <c r="C292" s="1" t="s">
        <v>31</v>
      </c>
      <c r="D292" s="1" t="s">
        <v>32</v>
      </c>
      <c r="E292" s="1" t="s">
        <v>236</v>
      </c>
      <c r="F292" s="1" t="s">
        <v>1064</v>
      </c>
      <c r="G292" s="1" t="s">
        <v>1133</v>
      </c>
      <c r="H292" s="6">
        <v>1</v>
      </c>
      <c r="I292" s="7">
        <v>3112</v>
      </c>
      <c r="J292" s="5">
        <v>45997</v>
      </c>
      <c r="K292" s="1" t="s">
        <v>957</v>
      </c>
      <c r="L292" s="1" t="s">
        <v>30</v>
      </c>
      <c r="M292" s="8">
        <v>0</v>
      </c>
      <c r="N292" s="6"/>
      <c r="O292" s="6"/>
      <c r="P292" s="9">
        <v>1735.55</v>
      </c>
    </row>
    <row r="293" spans="1:16" ht="19.5" customHeight="1">
      <c r="A293" s="1" t="s">
        <v>1627</v>
      </c>
      <c r="B293" s="5">
        <v>46003</v>
      </c>
      <c r="C293" s="1" t="s">
        <v>31</v>
      </c>
      <c r="D293" s="1" t="s">
        <v>33</v>
      </c>
      <c r="E293" s="1" t="s">
        <v>236</v>
      </c>
      <c r="F293" s="1" t="s">
        <v>1064</v>
      </c>
      <c r="G293" s="1" t="s">
        <v>1133</v>
      </c>
      <c r="H293" s="6">
        <v>1</v>
      </c>
      <c r="I293" s="7">
        <v>3112</v>
      </c>
      <c r="J293" s="5">
        <v>45997</v>
      </c>
      <c r="K293" s="1" t="s">
        <v>957</v>
      </c>
      <c r="L293" s="1" t="s">
        <v>30</v>
      </c>
      <c r="M293" s="8">
        <v>0</v>
      </c>
      <c r="N293" s="6"/>
      <c r="O293" s="6"/>
      <c r="P293" s="9">
        <v>17.36</v>
      </c>
    </row>
    <row r="294" spans="1:16" ht="19.5" customHeight="1">
      <c r="A294" s="1" t="s">
        <v>1627</v>
      </c>
      <c r="B294" s="5">
        <v>46003</v>
      </c>
      <c r="C294" s="1" t="s">
        <v>31</v>
      </c>
      <c r="D294" s="1" t="s">
        <v>34</v>
      </c>
      <c r="E294" s="1" t="s">
        <v>236</v>
      </c>
      <c r="F294" s="1" t="s">
        <v>1064</v>
      </c>
      <c r="G294" s="1" t="s">
        <v>1133</v>
      </c>
      <c r="H294" s="6">
        <v>1</v>
      </c>
      <c r="I294" s="7">
        <v>3112</v>
      </c>
      <c r="J294" s="5">
        <v>45997</v>
      </c>
      <c r="K294" s="1" t="s">
        <v>957</v>
      </c>
      <c r="L294" s="1" t="s">
        <v>30</v>
      </c>
      <c r="M294" s="8">
        <v>0</v>
      </c>
      <c r="N294" s="6"/>
      <c r="O294" s="6"/>
      <c r="P294" s="9">
        <v>1359.09</v>
      </c>
    </row>
    <row r="295" spans="1:16" ht="19.5" customHeight="1">
      <c r="A295" s="1" t="s">
        <v>1627</v>
      </c>
      <c r="B295" s="5">
        <v>46003</v>
      </c>
      <c r="C295" s="1" t="s">
        <v>35</v>
      </c>
      <c r="D295" s="1" t="s">
        <v>36</v>
      </c>
      <c r="E295" s="1" t="s">
        <v>236</v>
      </c>
      <c r="F295" s="1" t="s">
        <v>1064</v>
      </c>
      <c r="G295" s="1" t="s">
        <v>1133</v>
      </c>
      <c r="H295" s="6">
        <v>1</v>
      </c>
      <c r="I295" s="7">
        <v>3112</v>
      </c>
      <c r="J295" s="5">
        <v>45997</v>
      </c>
      <c r="K295" s="1" t="s">
        <v>957</v>
      </c>
      <c r="L295" s="1" t="s">
        <v>30</v>
      </c>
      <c r="M295" s="8">
        <v>0.43</v>
      </c>
      <c r="N295" s="6"/>
      <c r="O295" s="6"/>
      <c r="P295" s="9">
        <v>-1338.16</v>
      </c>
    </row>
    <row r="296" spans="1:16" ht="19.5" customHeight="1">
      <c r="A296" s="1" t="s">
        <v>1627</v>
      </c>
      <c r="B296" s="5">
        <v>46003</v>
      </c>
      <c r="C296" s="1" t="s">
        <v>17</v>
      </c>
      <c r="D296" s="1" t="s">
        <v>37</v>
      </c>
      <c r="E296" s="1" t="s">
        <v>236</v>
      </c>
      <c r="F296" s="1" t="s">
        <v>1064</v>
      </c>
      <c r="G296" s="1" t="s">
        <v>1133</v>
      </c>
      <c r="H296" s="6">
        <v>1</v>
      </c>
      <c r="I296" s="7">
        <v>3112</v>
      </c>
      <c r="J296" s="5">
        <v>45997</v>
      </c>
      <c r="K296" s="1" t="s">
        <v>957</v>
      </c>
      <c r="L296" s="1" t="s">
        <v>30</v>
      </c>
      <c r="M296" s="8">
        <v>0.43</v>
      </c>
      <c r="N296" s="6"/>
      <c r="O296" s="6"/>
      <c r="P296" s="9">
        <v>-11.73</v>
      </c>
    </row>
    <row r="297" spans="1:16" ht="19.5" customHeight="1">
      <c r="A297" s="1" t="s">
        <v>1628</v>
      </c>
      <c r="B297" s="5">
        <v>46003</v>
      </c>
      <c r="C297" s="1" t="s">
        <v>17</v>
      </c>
      <c r="D297" s="1" t="s">
        <v>18</v>
      </c>
      <c r="E297" s="1" t="s">
        <v>25</v>
      </c>
      <c r="F297" s="1" t="s">
        <v>26</v>
      </c>
      <c r="G297" s="1" t="s">
        <v>1229</v>
      </c>
      <c r="H297" s="6">
        <v>1</v>
      </c>
      <c r="I297" s="7">
        <v>0</v>
      </c>
      <c r="J297" s="5">
        <v>46003</v>
      </c>
      <c r="K297" s="1" t="s">
        <v>22</v>
      </c>
      <c r="L297" s="1" t="s">
        <v>22</v>
      </c>
      <c r="M297" s="8">
        <v>0</v>
      </c>
      <c r="N297" s="6"/>
      <c r="O297" s="6"/>
      <c r="P297" s="9">
        <v>-11.6</v>
      </c>
    </row>
    <row r="298" spans="1:16" ht="19.5" customHeight="1">
      <c r="A298" s="1" t="s">
        <v>1629</v>
      </c>
      <c r="B298" s="5">
        <v>46003</v>
      </c>
      <c r="C298" s="1" t="s">
        <v>28</v>
      </c>
      <c r="D298" s="1" t="s">
        <v>29</v>
      </c>
      <c r="E298" s="1" t="s">
        <v>223</v>
      </c>
      <c r="F298" s="1" t="s">
        <v>395</v>
      </c>
      <c r="G298" s="1" t="s">
        <v>1229</v>
      </c>
      <c r="H298" s="6">
        <v>1</v>
      </c>
      <c r="I298" s="7">
        <v>1687</v>
      </c>
      <c r="J298" s="5">
        <v>46000</v>
      </c>
      <c r="K298" s="1" t="s">
        <v>957</v>
      </c>
      <c r="L298" s="1" t="s">
        <v>30</v>
      </c>
      <c r="M298" s="8">
        <v>0.43</v>
      </c>
      <c r="N298" s="6"/>
      <c r="O298" s="6">
        <v>41</v>
      </c>
      <c r="P298" s="9">
        <v>-116.39</v>
      </c>
    </row>
    <row r="299" spans="1:16" ht="19.5" customHeight="1">
      <c r="A299" s="1" t="s">
        <v>1629</v>
      </c>
      <c r="B299" s="5">
        <v>46003</v>
      </c>
      <c r="C299" s="1" t="s">
        <v>31</v>
      </c>
      <c r="D299" s="1" t="s">
        <v>32</v>
      </c>
      <c r="E299" s="1" t="s">
        <v>223</v>
      </c>
      <c r="F299" s="1" t="s">
        <v>395</v>
      </c>
      <c r="G299" s="1" t="s">
        <v>1229</v>
      </c>
      <c r="H299" s="6">
        <v>1</v>
      </c>
      <c r="I299" s="7">
        <v>1687</v>
      </c>
      <c r="J299" s="5">
        <v>46000</v>
      </c>
      <c r="K299" s="1" t="s">
        <v>957</v>
      </c>
      <c r="L299" s="1" t="s">
        <v>30</v>
      </c>
      <c r="M299" s="8">
        <v>0</v>
      </c>
      <c r="N299" s="6"/>
      <c r="O299" s="6"/>
      <c r="P299" s="9">
        <v>812.38</v>
      </c>
    </row>
    <row r="300" spans="1:16" ht="19.5" customHeight="1">
      <c r="A300" s="1" t="s">
        <v>1629</v>
      </c>
      <c r="B300" s="5">
        <v>46003</v>
      </c>
      <c r="C300" s="1" t="s">
        <v>31</v>
      </c>
      <c r="D300" s="1" t="s">
        <v>33</v>
      </c>
      <c r="E300" s="1" t="s">
        <v>223</v>
      </c>
      <c r="F300" s="1" t="s">
        <v>395</v>
      </c>
      <c r="G300" s="1" t="s">
        <v>1229</v>
      </c>
      <c r="H300" s="6">
        <v>1</v>
      </c>
      <c r="I300" s="7">
        <v>1687</v>
      </c>
      <c r="J300" s="5">
        <v>46000</v>
      </c>
      <c r="K300" s="1" t="s">
        <v>957</v>
      </c>
      <c r="L300" s="1" t="s">
        <v>30</v>
      </c>
      <c r="M300" s="8">
        <v>0</v>
      </c>
      <c r="N300" s="6"/>
      <c r="O300" s="6"/>
      <c r="P300" s="9">
        <v>8.1199999999999992</v>
      </c>
    </row>
    <row r="301" spans="1:16" ht="19.5" customHeight="1">
      <c r="A301" s="1" t="s">
        <v>1629</v>
      </c>
      <c r="B301" s="5">
        <v>46003</v>
      </c>
      <c r="C301" s="1" t="s">
        <v>31</v>
      </c>
      <c r="D301" s="1" t="s">
        <v>34</v>
      </c>
      <c r="E301" s="1" t="s">
        <v>223</v>
      </c>
      <c r="F301" s="1" t="s">
        <v>395</v>
      </c>
      <c r="G301" s="1" t="s">
        <v>1229</v>
      </c>
      <c r="H301" s="6">
        <v>1</v>
      </c>
      <c r="I301" s="7">
        <v>1687</v>
      </c>
      <c r="J301" s="5">
        <v>46000</v>
      </c>
      <c r="K301" s="1" t="s">
        <v>957</v>
      </c>
      <c r="L301" s="1" t="s">
        <v>30</v>
      </c>
      <c r="M301" s="8">
        <v>0</v>
      </c>
      <c r="N301" s="6"/>
      <c r="O301" s="6"/>
      <c r="P301" s="9">
        <v>866.5</v>
      </c>
    </row>
    <row r="302" spans="1:16" ht="19.5" customHeight="1">
      <c r="A302" s="1" t="s">
        <v>1629</v>
      </c>
      <c r="B302" s="5">
        <v>46003</v>
      </c>
      <c r="C302" s="1" t="s">
        <v>35</v>
      </c>
      <c r="D302" s="1" t="s">
        <v>36</v>
      </c>
      <c r="E302" s="1" t="s">
        <v>223</v>
      </c>
      <c r="F302" s="1" t="s">
        <v>395</v>
      </c>
      <c r="G302" s="1" t="s">
        <v>1229</v>
      </c>
      <c r="H302" s="6">
        <v>1</v>
      </c>
      <c r="I302" s="7">
        <v>1687</v>
      </c>
      <c r="J302" s="5">
        <v>46000</v>
      </c>
      <c r="K302" s="1" t="s">
        <v>957</v>
      </c>
      <c r="L302" s="1" t="s">
        <v>30</v>
      </c>
      <c r="M302" s="8">
        <v>0.43</v>
      </c>
      <c r="N302" s="6"/>
      <c r="O302" s="6"/>
      <c r="P302" s="9">
        <v>-725.41</v>
      </c>
    </row>
    <row r="303" spans="1:16" ht="19.5" customHeight="1">
      <c r="A303" s="1" t="s">
        <v>1629</v>
      </c>
      <c r="B303" s="5">
        <v>46003</v>
      </c>
      <c r="C303" s="1" t="s">
        <v>17</v>
      </c>
      <c r="D303" s="1" t="s">
        <v>37</v>
      </c>
      <c r="E303" s="1" t="s">
        <v>223</v>
      </c>
      <c r="F303" s="1" t="s">
        <v>395</v>
      </c>
      <c r="G303" s="1" t="s">
        <v>1229</v>
      </c>
      <c r="H303" s="6">
        <v>1</v>
      </c>
      <c r="I303" s="7">
        <v>1687</v>
      </c>
      <c r="J303" s="5">
        <v>46000</v>
      </c>
      <c r="K303" s="1" t="s">
        <v>957</v>
      </c>
      <c r="L303" s="1" t="s">
        <v>30</v>
      </c>
      <c r="M303" s="8">
        <v>0.43</v>
      </c>
      <c r="N303" s="6"/>
      <c r="O303" s="6"/>
      <c r="P303" s="9">
        <v>-10.08</v>
      </c>
    </row>
    <row r="304" spans="1:16" ht="19.5" customHeight="1">
      <c r="A304" s="1" t="s">
        <v>1630</v>
      </c>
      <c r="B304" s="5">
        <v>46003</v>
      </c>
      <c r="C304" s="1" t="s">
        <v>28</v>
      </c>
      <c r="D304" s="1" t="s">
        <v>29</v>
      </c>
      <c r="E304" s="1" t="s">
        <v>236</v>
      </c>
      <c r="F304" s="1" t="s">
        <v>1064</v>
      </c>
      <c r="G304" s="1" t="s">
        <v>1133</v>
      </c>
      <c r="H304" s="6">
        <v>1</v>
      </c>
      <c r="I304" s="7">
        <v>0</v>
      </c>
      <c r="J304" s="5">
        <v>45987</v>
      </c>
      <c r="K304" s="1" t="s">
        <v>957</v>
      </c>
      <c r="L304" s="1" t="s">
        <v>30</v>
      </c>
      <c r="M304" s="8">
        <v>0</v>
      </c>
      <c r="N304" s="6"/>
      <c r="O304" s="6">
        <v>44</v>
      </c>
      <c r="P304" s="9">
        <v>-56</v>
      </c>
    </row>
    <row r="305" spans="1:16" ht="19.5" customHeight="1">
      <c r="A305" s="1" t="s">
        <v>1630</v>
      </c>
      <c r="B305" s="5">
        <v>46003</v>
      </c>
      <c r="C305" s="1" t="s">
        <v>17</v>
      </c>
      <c r="D305" s="1" t="s">
        <v>37</v>
      </c>
      <c r="E305" s="1" t="s">
        <v>236</v>
      </c>
      <c r="F305" s="1" t="s">
        <v>1064</v>
      </c>
      <c r="G305" s="1" t="s">
        <v>1133</v>
      </c>
      <c r="H305" s="6">
        <v>1</v>
      </c>
      <c r="I305" s="7">
        <v>0</v>
      </c>
      <c r="J305" s="5">
        <v>45987</v>
      </c>
      <c r="K305" s="1" t="s">
        <v>957</v>
      </c>
      <c r="L305" s="1" t="s">
        <v>30</v>
      </c>
      <c r="M305" s="8">
        <v>0</v>
      </c>
      <c r="N305" s="6"/>
      <c r="O305" s="6"/>
      <c r="P305" s="9">
        <v>-13.13</v>
      </c>
    </row>
    <row r="306" spans="1:16" ht="19.5" customHeight="1">
      <c r="A306" s="1" t="s">
        <v>1597</v>
      </c>
      <c r="B306" s="5">
        <v>46003</v>
      </c>
      <c r="C306" s="1" t="s">
        <v>126</v>
      </c>
      <c r="D306" s="1" t="s">
        <v>127</v>
      </c>
      <c r="E306" s="1" t="s">
        <v>223</v>
      </c>
      <c r="F306" s="1" t="s">
        <v>395</v>
      </c>
      <c r="G306" s="1" t="s">
        <v>1229</v>
      </c>
      <c r="H306" s="6">
        <v>1</v>
      </c>
      <c r="I306" s="7">
        <v>-1687</v>
      </c>
      <c r="J306" s="5">
        <v>45999</v>
      </c>
      <c r="K306" s="1" t="s">
        <v>957</v>
      </c>
      <c r="L306" s="1" t="s">
        <v>30</v>
      </c>
      <c r="M306" s="8">
        <v>0</v>
      </c>
      <c r="N306" s="6"/>
      <c r="O306" s="6"/>
      <c r="P306" s="9">
        <v>-842.86</v>
      </c>
    </row>
    <row r="307" spans="1:16" ht="19.5" customHeight="1">
      <c r="A307" s="1" t="s">
        <v>1597</v>
      </c>
      <c r="B307" s="5">
        <v>46003</v>
      </c>
      <c r="C307" s="1" t="s">
        <v>126</v>
      </c>
      <c r="D307" s="1" t="s">
        <v>33</v>
      </c>
      <c r="E307" s="1" t="s">
        <v>223</v>
      </c>
      <c r="F307" s="1" t="s">
        <v>395</v>
      </c>
      <c r="G307" s="1" t="s">
        <v>1229</v>
      </c>
      <c r="H307" s="6">
        <v>1</v>
      </c>
      <c r="I307" s="7">
        <v>-1687</v>
      </c>
      <c r="J307" s="5">
        <v>45999</v>
      </c>
      <c r="K307" s="1" t="s">
        <v>957</v>
      </c>
      <c r="L307" s="1" t="s">
        <v>30</v>
      </c>
      <c r="M307" s="8">
        <v>0</v>
      </c>
      <c r="N307" s="6"/>
      <c r="O307" s="6"/>
      <c r="P307" s="9">
        <v>-8.43</v>
      </c>
    </row>
    <row r="308" spans="1:16" ht="19.5" customHeight="1">
      <c r="A308" s="1" t="s">
        <v>1597</v>
      </c>
      <c r="B308" s="5">
        <v>46003</v>
      </c>
      <c r="C308" s="1" t="s">
        <v>126</v>
      </c>
      <c r="D308" s="1" t="s">
        <v>34</v>
      </c>
      <c r="E308" s="1" t="s">
        <v>223</v>
      </c>
      <c r="F308" s="1" t="s">
        <v>395</v>
      </c>
      <c r="G308" s="1" t="s">
        <v>1229</v>
      </c>
      <c r="H308" s="6">
        <v>1</v>
      </c>
      <c r="I308" s="7">
        <v>-1687</v>
      </c>
      <c r="J308" s="5">
        <v>45999</v>
      </c>
      <c r="K308" s="1" t="s">
        <v>957</v>
      </c>
      <c r="L308" s="1" t="s">
        <v>30</v>
      </c>
      <c r="M308" s="8">
        <v>0</v>
      </c>
      <c r="N308" s="6"/>
      <c r="O308" s="6"/>
      <c r="P308" s="9">
        <v>-835.71</v>
      </c>
    </row>
    <row r="309" spans="1:16" ht="19.5" customHeight="1">
      <c r="A309" s="1" t="s">
        <v>1597</v>
      </c>
      <c r="B309" s="5">
        <v>46003</v>
      </c>
      <c r="C309" s="1" t="s">
        <v>35</v>
      </c>
      <c r="D309" s="1" t="s">
        <v>128</v>
      </c>
      <c r="E309" s="1" t="s">
        <v>223</v>
      </c>
      <c r="F309" s="1" t="s">
        <v>395</v>
      </c>
      <c r="G309" s="1" t="s">
        <v>1229</v>
      </c>
      <c r="H309" s="6">
        <v>1</v>
      </c>
      <c r="I309" s="7">
        <v>-1687</v>
      </c>
      <c r="J309" s="5">
        <v>45999</v>
      </c>
      <c r="K309" s="1" t="s">
        <v>957</v>
      </c>
      <c r="L309" s="1" t="s">
        <v>30</v>
      </c>
      <c r="M309" s="8">
        <v>0.43</v>
      </c>
      <c r="N309" s="6"/>
      <c r="O309" s="6"/>
      <c r="P309" s="9">
        <v>725.41</v>
      </c>
    </row>
    <row r="310" spans="1:16" ht="19.5" customHeight="1">
      <c r="A310" s="1" t="s">
        <v>1630</v>
      </c>
      <c r="B310" s="5">
        <v>46003</v>
      </c>
      <c r="C310" s="1" t="s">
        <v>28</v>
      </c>
      <c r="D310" s="1" t="s">
        <v>45</v>
      </c>
      <c r="E310" s="1" t="s">
        <v>236</v>
      </c>
      <c r="F310" s="1" t="s">
        <v>1064</v>
      </c>
      <c r="G310" s="1" t="s">
        <v>1133</v>
      </c>
      <c r="H310" s="6">
        <v>1</v>
      </c>
      <c r="I310" s="7">
        <v>0</v>
      </c>
      <c r="J310" s="5">
        <v>45987</v>
      </c>
      <c r="K310" s="1" t="s">
        <v>957</v>
      </c>
      <c r="L310" s="1" t="s">
        <v>30</v>
      </c>
      <c r="M310" s="8">
        <v>0</v>
      </c>
      <c r="N310" s="6"/>
      <c r="O310" s="6"/>
      <c r="P310" s="9">
        <v>0</v>
      </c>
    </row>
    <row r="311" spans="1:16" ht="19.5" customHeight="1">
      <c r="A311" s="1" t="s">
        <v>1630</v>
      </c>
      <c r="B311" s="5">
        <v>46003</v>
      </c>
      <c r="C311" s="1" t="s">
        <v>28</v>
      </c>
      <c r="D311" s="1" t="s">
        <v>46</v>
      </c>
      <c r="E311" s="1" t="s">
        <v>236</v>
      </c>
      <c r="F311" s="1" t="s">
        <v>1064</v>
      </c>
      <c r="G311" s="1" t="s">
        <v>1133</v>
      </c>
      <c r="H311" s="6">
        <v>1</v>
      </c>
      <c r="I311" s="7">
        <v>0</v>
      </c>
      <c r="J311" s="5">
        <v>45987</v>
      </c>
      <c r="K311" s="1" t="s">
        <v>957</v>
      </c>
      <c r="L311" s="1" t="s">
        <v>30</v>
      </c>
      <c r="M311" s="8">
        <v>0</v>
      </c>
      <c r="N311" s="6"/>
      <c r="O311" s="6"/>
      <c r="P311" s="9">
        <v>-56</v>
      </c>
    </row>
    <row r="312" spans="1:16" ht="19.5" customHeight="1">
      <c r="A312" s="1" t="s">
        <v>1630</v>
      </c>
      <c r="B312" s="5">
        <v>46003</v>
      </c>
      <c r="C312" s="1" t="s">
        <v>17</v>
      </c>
      <c r="D312" s="1" t="s">
        <v>47</v>
      </c>
      <c r="E312" s="1" t="s">
        <v>236</v>
      </c>
      <c r="F312" s="1" t="s">
        <v>1064</v>
      </c>
      <c r="G312" s="1" t="s">
        <v>1133</v>
      </c>
      <c r="H312" s="6">
        <v>1</v>
      </c>
      <c r="I312" s="7">
        <v>0</v>
      </c>
      <c r="J312" s="5">
        <v>45987</v>
      </c>
      <c r="K312" s="1" t="s">
        <v>957</v>
      </c>
      <c r="L312" s="1" t="s">
        <v>30</v>
      </c>
      <c r="M312" s="8">
        <v>0</v>
      </c>
      <c r="N312" s="6"/>
      <c r="O312" s="6"/>
      <c r="P312" s="9">
        <v>-15</v>
      </c>
    </row>
    <row r="313" spans="1:16" ht="19.5" customHeight="1">
      <c r="A313" s="1" t="s">
        <v>1629</v>
      </c>
      <c r="B313" s="5">
        <v>46003</v>
      </c>
      <c r="C313" s="1" t="s">
        <v>17</v>
      </c>
      <c r="D313" s="1" t="s">
        <v>18</v>
      </c>
      <c r="E313" s="1" t="s">
        <v>223</v>
      </c>
      <c r="F313" s="1" t="s">
        <v>395</v>
      </c>
      <c r="G313" s="1" t="s">
        <v>1229</v>
      </c>
      <c r="H313" s="6">
        <v>1</v>
      </c>
      <c r="I313" s="7">
        <v>0</v>
      </c>
      <c r="J313" s="5">
        <v>46000</v>
      </c>
      <c r="K313" s="1" t="s">
        <v>22</v>
      </c>
      <c r="L313" s="1" t="s">
        <v>22</v>
      </c>
      <c r="M313" s="8">
        <v>0</v>
      </c>
      <c r="N313" s="6"/>
      <c r="O313" s="6"/>
      <c r="P313" s="9">
        <v>-15.44</v>
      </c>
    </row>
    <row r="314" spans="1:16" ht="19.5" customHeight="1">
      <c r="A314" s="1" t="s">
        <v>1597</v>
      </c>
      <c r="B314" s="5">
        <v>46003</v>
      </c>
      <c r="C314" s="1" t="s">
        <v>17</v>
      </c>
      <c r="D314" s="1" t="s">
        <v>18</v>
      </c>
      <c r="E314" s="1" t="s">
        <v>223</v>
      </c>
      <c r="F314" s="1" t="s">
        <v>395</v>
      </c>
      <c r="G314" s="1" t="s">
        <v>1229</v>
      </c>
      <c r="H314" s="6">
        <v>1</v>
      </c>
      <c r="I314" s="7">
        <v>0</v>
      </c>
      <c r="J314" s="5">
        <v>45999</v>
      </c>
      <c r="K314" s="1" t="s">
        <v>22</v>
      </c>
      <c r="L314" s="1" t="s">
        <v>22</v>
      </c>
      <c r="M314" s="8">
        <v>0</v>
      </c>
      <c r="N314" s="6"/>
      <c r="O314" s="6"/>
      <c r="P314" s="9">
        <v>16.010000000000002</v>
      </c>
    </row>
    <row r="315" spans="1:16" ht="19.5" customHeight="1">
      <c r="A315" s="1" t="s">
        <v>1631</v>
      </c>
      <c r="B315" s="5">
        <v>46003</v>
      </c>
      <c r="C315" s="1" t="s">
        <v>17</v>
      </c>
      <c r="D315" s="1" t="s">
        <v>18</v>
      </c>
      <c r="E315" s="1" t="s">
        <v>25</v>
      </c>
      <c r="F315" s="1" t="s">
        <v>26</v>
      </c>
      <c r="G315" s="1" t="s">
        <v>1229</v>
      </c>
      <c r="H315" s="6">
        <v>1</v>
      </c>
      <c r="I315" s="7">
        <v>0</v>
      </c>
      <c r="J315" s="5">
        <v>46003</v>
      </c>
      <c r="K315" s="1" t="s">
        <v>22</v>
      </c>
      <c r="L315" s="1" t="s">
        <v>22</v>
      </c>
      <c r="M315" s="8">
        <v>0</v>
      </c>
      <c r="N315" s="6"/>
      <c r="O315" s="6"/>
      <c r="P315" s="9">
        <v>-5.09</v>
      </c>
    </row>
    <row r="316" spans="1:16" ht="19.5" customHeight="1">
      <c r="A316" s="1" t="s">
        <v>1632</v>
      </c>
      <c r="B316" s="5">
        <v>46003</v>
      </c>
      <c r="C316" s="1" t="s">
        <v>17</v>
      </c>
      <c r="D316" s="1" t="s">
        <v>18</v>
      </c>
      <c r="E316" s="1" t="s">
        <v>223</v>
      </c>
      <c r="F316" s="1" t="s">
        <v>395</v>
      </c>
      <c r="G316" s="1" t="s">
        <v>1229</v>
      </c>
      <c r="H316" s="6">
        <v>1</v>
      </c>
      <c r="I316" s="7">
        <v>0</v>
      </c>
      <c r="J316" s="5">
        <v>46002</v>
      </c>
      <c r="K316" s="1" t="s">
        <v>22</v>
      </c>
      <c r="L316" s="1" t="s">
        <v>22</v>
      </c>
      <c r="M316" s="8">
        <v>0</v>
      </c>
      <c r="N316" s="6"/>
      <c r="O316" s="6"/>
      <c r="P316" s="9">
        <v>-10.95</v>
      </c>
    </row>
    <row r="317" spans="1:16" ht="19.5" customHeight="1">
      <c r="A317" s="1" t="s">
        <v>1632</v>
      </c>
      <c r="B317" s="5">
        <v>46003</v>
      </c>
      <c r="C317" s="1" t="s">
        <v>28</v>
      </c>
      <c r="D317" s="1" t="s">
        <v>29</v>
      </c>
      <c r="E317" s="1" t="s">
        <v>223</v>
      </c>
      <c r="F317" s="1" t="s">
        <v>395</v>
      </c>
      <c r="G317" s="1" t="s">
        <v>1229</v>
      </c>
      <c r="H317" s="6">
        <v>1</v>
      </c>
      <c r="I317" s="7">
        <v>1360</v>
      </c>
      <c r="J317" s="5">
        <v>46002</v>
      </c>
      <c r="K317" s="1" t="s">
        <v>957</v>
      </c>
      <c r="L317" s="1" t="s">
        <v>30</v>
      </c>
      <c r="M317" s="8">
        <v>0.43</v>
      </c>
      <c r="N317" s="6"/>
      <c r="O317" s="6">
        <v>40</v>
      </c>
      <c r="P317" s="9">
        <v>-105.3</v>
      </c>
    </row>
    <row r="318" spans="1:16" ht="19.5" customHeight="1">
      <c r="A318" s="1" t="s">
        <v>1632</v>
      </c>
      <c r="B318" s="5">
        <v>46003</v>
      </c>
      <c r="C318" s="1" t="s">
        <v>31</v>
      </c>
      <c r="D318" s="1" t="s">
        <v>32</v>
      </c>
      <c r="E318" s="1" t="s">
        <v>223</v>
      </c>
      <c r="F318" s="1" t="s">
        <v>395</v>
      </c>
      <c r="G318" s="1" t="s">
        <v>1229</v>
      </c>
      <c r="H318" s="6">
        <v>1</v>
      </c>
      <c r="I318" s="7">
        <v>1360</v>
      </c>
      <c r="J318" s="5">
        <v>46002</v>
      </c>
      <c r="K318" s="1" t="s">
        <v>957</v>
      </c>
      <c r="L318" s="1" t="s">
        <v>30</v>
      </c>
      <c r="M318" s="8">
        <v>0</v>
      </c>
      <c r="N318" s="6"/>
      <c r="O318" s="6"/>
      <c r="P318" s="9">
        <v>576.29999999999995</v>
      </c>
    </row>
    <row r="319" spans="1:16" ht="19.5" customHeight="1">
      <c r="A319" s="1" t="s">
        <v>1632</v>
      </c>
      <c r="B319" s="5">
        <v>46003</v>
      </c>
      <c r="C319" s="1" t="s">
        <v>31</v>
      </c>
      <c r="D319" s="1" t="s">
        <v>33</v>
      </c>
      <c r="E319" s="1" t="s">
        <v>223</v>
      </c>
      <c r="F319" s="1" t="s">
        <v>395</v>
      </c>
      <c r="G319" s="1" t="s">
        <v>1229</v>
      </c>
      <c r="H319" s="6">
        <v>1</v>
      </c>
      <c r="I319" s="7">
        <v>1360</v>
      </c>
      <c r="J319" s="5">
        <v>46002</v>
      </c>
      <c r="K319" s="1" t="s">
        <v>957</v>
      </c>
      <c r="L319" s="1" t="s">
        <v>30</v>
      </c>
      <c r="M319" s="8">
        <v>0</v>
      </c>
      <c r="N319" s="6"/>
      <c r="O319" s="6"/>
      <c r="P319" s="9">
        <v>5.76</v>
      </c>
    </row>
    <row r="320" spans="1:16" ht="19.5" customHeight="1">
      <c r="A320" s="1" t="s">
        <v>1632</v>
      </c>
      <c r="B320" s="5">
        <v>46003</v>
      </c>
      <c r="C320" s="1" t="s">
        <v>31</v>
      </c>
      <c r="D320" s="1" t="s">
        <v>34</v>
      </c>
      <c r="E320" s="1" t="s">
        <v>223</v>
      </c>
      <c r="F320" s="1" t="s">
        <v>395</v>
      </c>
      <c r="G320" s="1" t="s">
        <v>1229</v>
      </c>
      <c r="H320" s="6">
        <v>1</v>
      </c>
      <c r="I320" s="7">
        <v>1360</v>
      </c>
      <c r="J320" s="5">
        <v>46002</v>
      </c>
      <c r="K320" s="1" t="s">
        <v>957</v>
      </c>
      <c r="L320" s="1" t="s">
        <v>30</v>
      </c>
      <c r="M320" s="8">
        <v>0</v>
      </c>
      <c r="N320" s="6"/>
      <c r="O320" s="6"/>
      <c r="P320" s="9">
        <v>777.94</v>
      </c>
    </row>
    <row r="321" spans="1:16" ht="19.5" customHeight="1">
      <c r="A321" s="1" t="s">
        <v>1632</v>
      </c>
      <c r="B321" s="5">
        <v>46003</v>
      </c>
      <c r="C321" s="1" t="s">
        <v>35</v>
      </c>
      <c r="D321" s="1" t="s">
        <v>36</v>
      </c>
      <c r="E321" s="1" t="s">
        <v>223</v>
      </c>
      <c r="F321" s="1" t="s">
        <v>395</v>
      </c>
      <c r="G321" s="1" t="s">
        <v>1229</v>
      </c>
      <c r="H321" s="6">
        <v>1</v>
      </c>
      <c r="I321" s="7">
        <v>1360</v>
      </c>
      <c r="J321" s="5">
        <v>46002</v>
      </c>
      <c r="K321" s="1" t="s">
        <v>957</v>
      </c>
      <c r="L321" s="1" t="s">
        <v>30</v>
      </c>
      <c r="M321" s="8">
        <v>0.43</v>
      </c>
      <c r="N321" s="6"/>
      <c r="O321" s="6"/>
      <c r="P321" s="9">
        <v>-584.79999999999995</v>
      </c>
    </row>
    <row r="322" spans="1:16" ht="19.5" customHeight="1">
      <c r="A322" s="1" t="s">
        <v>1632</v>
      </c>
      <c r="B322" s="5">
        <v>46003</v>
      </c>
      <c r="C322" s="1" t="s">
        <v>17</v>
      </c>
      <c r="D322" s="1" t="s">
        <v>37</v>
      </c>
      <c r="E322" s="1" t="s">
        <v>223</v>
      </c>
      <c r="F322" s="1" t="s">
        <v>395</v>
      </c>
      <c r="G322" s="1" t="s">
        <v>1229</v>
      </c>
      <c r="H322" s="6">
        <v>1</v>
      </c>
      <c r="I322" s="7">
        <v>1360</v>
      </c>
      <c r="J322" s="5">
        <v>46002</v>
      </c>
      <c r="K322" s="1" t="s">
        <v>957</v>
      </c>
      <c r="L322" s="1" t="s">
        <v>30</v>
      </c>
      <c r="M322" s="8">
        <v>0.43</v>
      </c>
      <c r="N322" s="6"/>
      <c r="O322" s="6"/>
      <c r="P322" s="9">
        <v>-6.46</v>
      </c>
    </row>
    <row r="323" spans="1:16" ht="19.5" customHeight="1">
      <c r="A323" s="1" t="s">
        <v>1633</v>
      </c>
      <c r="B323" s="5">
        <v>46003</v>
      </c>
      <c r="C323" s="1" t="s">
        <v>28</v>
      </c>
      <c r="D323" s="1" t="s">
        <v>29</v>
      </c>
      <c r="E323" s="1" t="s">
        <v>25</v>
      </c>
      <c r="F323" s="1" t="s">
        <v>26</v>
      </c>
      <c r="G323" s="1" t="s">
        <v>1229</v>
      </c>
      <c r="H323" s="6">
        <v>1</v>
      </c>
      <c r="I323" s="7">
        <v>1738</v>
      </c>
      <c r="J323" s="5">
        <v>46001</v>
      </c>
      <c r="K323" s="1" t="s">
        <v>957</v>
      </c>
      <c r="L323" s="1" t="s">
        <v>30</v>
      </c>
      <c r="M323" s="8">
        <v>0.43</v>
      </c>
      <c r="N323" s="6"/>
      <c r="O323" s="6">
        <v>41</v>
      </c>
      <c r="P323" s="9">
        <v>-118.96</v>
      </c>
    </row>
    <row r="324" spans="1:16" ht="19.5" customHeight="1">
      <c r="A324" s="1" t="s">
        <v>1633</v>
      </c>
      <c r="B324" s="5">
        <v>46003</v>
      </c>
      <c r="C324" s="1" t="s">
        <v>31</v>
      </c>
      <c r="D324" s="1" t="s">
        <v>32</v>
      </c>
      <c r="E324" s="1" t="s">
        <v>25</v>
      </c>
      <c r="F324" s="1" t="s">
        <v>26</v>
      </c>
      <c r="G324" s="1" t="s">
        <v>1229</v>
      </c>
      <c r="H324" s="6">
        <v>1</v>
      </c>
      <c r="I324" s="7">
        <v>1738</v>
      </c>
      <c r="J324" s="5">
        <v>46001</v>
      </c>
      <c r="K324" s="1" t="s">
        <v>957</v>
      </c>
      <c r="L324" s="1" t="s">
        <v>30</v>
      </c>
      <c r="M324" s="8">
        <v>0</v>
      </c>
      <c r="N324" s="6"/>
      <c r="O324" s="6"/>
      <c r="P324" s="9">
        <v>873.33</v>
      </c>
    </row>
    <row r="325" spans="1:16" ht="19.5" customHeight="1">
      <c r="A325" s="1" t="s">
        <v>1633</v>
      </c>
      <c r="B325" s="5">
        <v>46003</v>
      </c>
      <c r="C325" s="1" t="s">
        <v>31</v>
      </c>
      <c r="D325" s="1" t="s">
        <v>33</v>
      </c>
      <c r="E325" s="1" t="s">
        <v>25</v>
      </c>
      <c r="F325" s="1" t="s">
        <v>26</v>
      </c>
      <c r="G325" s="1" t="s">
        <v>1229</v>
      </c>
      <c r="H325" s="6">
        <v>1</v>
      </c>
      <c r="I325" s="7">
        <v>1738</v>
      </c>
      <c r="J325" s="5">
        <v>46001</v>
      </c>
      <c r="K325" s="1" t="s">
        <v>957</v>
      </c>
      <c r="L325" s="1" t="s">
        <v>30</v>
      </c>
      <c r="M325" s="8">
        <v>0</v>
      </c>
      <c r="N325" s="6"/>
      <c r="O325" s="6"/>
      <c r="P325" s="9">
        <v>8.73</v>
      </c>
    </row>
    <row r="326" spans="1:16" ht="19.5" customHeight="1">
      <c r="A326" s="1" t="s">
        <v>1633</v>
      </c>
      <c r="B326" s="5">
        <v>46003</v>
      </c>
      <c r="C326" s="1" t="s">
        <v>31</v>
      </c>
      <c r="D326" s="1" t="s">
        <v>34</v>
      </c>
      <c r="E326" s="1" t="s">
        <v>25</v>
      </c>
      <c r="F326" s="1" t="s">
        <v>26</v>
      </c>
      <c r="G326" s="1" t="s">
        <v>1229</v>
      </c>
      <c r="H326" s="6">
        <v>1</v>
      </c>
      <c r="I326" s="7">
        <v>1738</v>
      </c>
      <c r="J326" s="5">
        <v>46001</v>
      </c>
      <c r="K326" s="1" t="s">
        <v>957</v>
      </c>
      <c r="L326" s="1" t="s">
        <v>30</v>
      </c>
      <c r="M326" s="8">
        <v>0</v>
      </c>
      <c r="N326" s="6"/>
      <c r="O326" s="6"/>
      <c r="P326" s="9">
        <v>855.94</v>
      </c>
    </row>
    <row r="327" spans="1:16" ht="19.5" customHeight="1">
      <c r="A327" s="1" t="s">
        <v>1633</v>
      </c>
      <c r="B327" s="5">
        <v>46003</v>
      </c>
      <c r="C327" s="1" t="s">
        <v>35</v>
      </c>
      <c r="D327" s="1" t="s">
        <v>36</v>
      </c>
      <c r="E327" s="1" t="s">
        <v>25</v>
      </c>
      <c r="F327" s="1" t="s">
        <v>26</v>
      </c>
      <c r="G327" s="1" t="s">
        <v>1229</v>
      </c>
      <c r="H327" s="6">
        <v>1</v>
      </c>
      <c r="I327" s="7">
        <v>1738</v>
      </c>
      <c r="J327" s="5">
        <v>46001</v>
      </c>
      <c r="K327" s="1" t="s">
        <v>957</v>
      </c>
      <c r="L327" s="1" t="s">
        <v>30</v>
      </c>
      <c r="M327" s="8">
        <v>0.43</v>
      </c>
      <c r="N327" s="6"/>
      <c r="O327" s="6"/>
      <c r="P327" s="9">
        <v>-747.34</v>
      </c>
    </row>
    <row r="328" spans="1:16" ht="19.5" customHeight="1">
      <c r="A328" s="1" t="s">
        <v>1633</v>
      </c>
      <c r="B328" s="5">
        <v>46003</v>
      </c>
      <c r="C328" s="1" t="s">
        <v>17</v>
      </c>
      <c r="D328" s="1" t="s">
        <v>37</v>
      </c>
      <c r="E328" s="1" t="s">
        <v>25</v>
      </c>
      <c r="F328" s="1" t="s">
        <v>26</v>
      </c>
      <c r="G328" s="1" t="s">
        <v>1229</v>
      </c>
      <c r="H328" s="6">
        <v>1</v>
      </c>
      <c r="I328" s="7">
        <v>1738</v>
      </c>
      <c r="J328" s="5">
        <v>46001</v>
      </c>
      <c r="K328" s="1" t="s">
        <v>957</v>
      </c>
      <c r="L328" s="1" t="s">
        <v>30</v>
      </c>
      <c r="M328" s="8">
        <v>0.43</v>
      </c>
      <c r="N328" s="6"/>
      <c r="O328" s="6"/>
      <c r="P328" s="9">
        <v>-18.13</v>
      </c>
    </row>
    <row r="329" spans="1:16" ht="19.5" customHeight="1">
      <c r="A329" s="1" t="s">
        <v>1634</v>
      </c>
      <c r="B329" s="5">
        <v>46003</v>
      </c>
      <c r="C329" s="1" t="s">
        <v>17</v>
      </c>
      <c r="D329" s="1" t="s">
        <v>18</v>
      </c>
      <c r="E329" s="1" t="s">
        <v>223</v>
      </c>
      <c r="F329" s="1" t="s">
        <v>395</v>
      </c>
      <c r="G329" s="1" t="s">
        <v>1229</v>
      </c>
      <c r="H329" s="6">
        <v>1</v>
      </c>
      <c r="I329" s="7">
        <v>0</v>
      </c>
      <c r="J329" s="5">
        <v>45997</v>
      </c>
      <c r="K329" s="1" t="s">
        <v>22</v>
      </c>
      <c r="L329" s="1" t="s">
        <v>22</v>
      </c>
      <c r="M329" s="8">
        <v>0</v>
      </c>
      <c r="N329" s="6"/>
      <c r="O329" s="6"/>
      <c r="P329" s="9">
        <v>-16</v>
      </c>
    </row>
    <row r="330" spans="1:16" ht="19.5" customHeight="1">
      <c r="A330" s="1" t="s">
        <v>1635</v>
      </c>
      <c r="B330" s="5">
        <v>46003</v>
      </c>
      <c r="C330" s="1" t="s">
        <v>28</v>
      </c>
      <c r="D330" s="1" t="s">
        <v>29</v>
      </c>
      <c r="E330" s="1" t="s">
        <v>223</v>
      </c>
      <c r="F330" s="1" t="s">
        <v>395</v>
      </c>
      <c r="G330" s="1" t="s">
        <v>1229</v>
      </c>
      <c r="H330" s="6">
        <v>1</v>
      </c>
      <c r="I330" s="7">
        <v>1051</v>
      </c>
      <c r="J330" s="5">
        <v>46002</v>
      </c>
      <c r="K330" s="1" t="s">
        <v>957</v>
      </c>
      <c r="L330" s="1" t="s">
        <v>30</v>
      </c>
      <c r="M330" s="8">
        <v>0.43</v>
      </c>
      <c r="N330" s="6"/>
      <c r="O330" s="6">
        <v>40</v>
      </c>
      <c r="P330" s="9">
        <v>-97.42</v>
      </c>
    </row>
    <row r="331" spans="1:16" ht="19.5" customHeight="1">
      <c r="A331" s="1" t="s">
        <v>1635</v>
      </c>
      <c r="B331" s="5">
        <v>46003</v>
      </c>
      <c r="C331" s="1" t="s">
        <v>31</v>
      </c>
      <c r="D331" s="1" t="s">
        <v>32</v>
      </c>
      <c r="E331" s="1" t="s">
        <v>223</v>
      </c>
      <c r="F331" s="1" t="s">
        <v>395</v>
      </c>
      <c r="G331" s="1" t="s">
        <v>1229</v>
      </c>
      <c r="H331" s="6">
        <v>1</v>
      </c>
      <c r="I331" s="7">
        <v>1051</v>
      </c>
      <c r="J331" s="5">
        <v>46002</v>
      </c>
      <c r="K331" s="1" t="s">
        <v>957</v>
      </c>
      <c r="L331" s="1" t="s">
        <v>30</v>
      </c>
      <c r="M331" s="8">
        <v>0</v>
      </c>
      <c r="N331" s="6"/>
      <c r="O331" s="6"/>
      <c r="P331" s="9">
        <v>529.52</v>
      </c>
    </row>
    <row r="332" spans="1:16" ht="19.5" customHeight="1">
      <c r="A332" s="1" t="s">
        <v>1635</v>
      </c>
      <c r="B332" s="5">
        <v>46003</v>
      </c>
      <c r="C332" s="1" t="s">
        <v>31</v>
      </c>
      <c r="D332" s="1" t="s">
        <v>33</v>
      </c>
      <c r="E332" s="1" t="s">
        <v>223</v>
      </c>
      <c r="F332" s="1" t="s">
        <v>395</v>
      </c>
      <c r="G332" s="1" t="s">
        <v>1229</v>
      </c>
      <c r="H332" s="6">
        <v>1</v>
      </c>
      <c r="I332" s="7">
        <v>1051</v>
      </c>
      <c r="J332" s="5">
        <v>46002</v>
      </c>
      <c r="K332" s="1" t="s">
        <v>957</v>
      </c>
      <c r="L332" s="1" t="s">
        <v>30</v>
      </c>
      <c r="M332" s="8">
        <v>0</v>
      </c>
      <c r="N332" s="6"/>
      <c r="O332" s="6"/>
      <c r="P332" s="9">
        <v>5.3</v>
      </c>
    </row>
    <row r="333" spans="1:16" ht="19.5" customHeight="1">
      <c r="A333" s="1" t="s">
        <v>1635</v>
      </c>
      <c r="B333" s="5">
        <v>46003</v>
      </c>
      <c r="C333" s="1" t="s">
        <v>31</v>
      </c>
      <c r="D333" s="1" t="s">
        <v>34</v>
      </c>
      <c r="E333" s="1" t="s">
        <v>223</v>
      </c>
      <c r="F333" s="1" t="s">
        <v>395</v>
      </c>
      <c r="G333" s="1" t="s">
        <v>1229</v>
      </c>
      <c r="H333" s="6">
        <v>1</v>
      </c>
      <c r="I333" s="7">
        <v>1051</v>
      </c>
      <c r="J333" s="5">
        <v>46002</v>
      </c>
      <c r="K333" s="1" t="s">
        <v>957</v>
      </c>
      <c r="L333" s="1" t="s">
        <v>30</v>
      </c>
      <c r="M333" s="8">
        <v>0</v>
      </c>
      <c r="N333" s="6"/>
      <c r="O333" s="6"/>
      <c r="P333" s="9">
        <v>516.17999999999995</v>
      </c>
    </row>
    <row r="334" spans="1:16" ht="19.5" customHeight="1">
      <c r="A334" s="1" t="s">
        <v>1635</v>
      </c>
      <c r="B334" s="5">
        <v>46003</v>
      </c>
      <c r="C334" s="1" t="s">
        <v>35</v>
      </c>
      <c r="D334" s="1" t="s">
        <v>36</v>
      </c>
      <c r="E334" s="1" t="s">
        <v>223</v>
      </c>
      <c r="F334" s="1" t="s">
        <v>395</v>
      </c>
      <c r="G334" s="1" t="s">
        <v>1229</v>
      </c>
      <c r="H334" s="6">
        <v>1</v>
      </c>
      <c r="I334" s="7">
        <v>1051</v>
      </c>
      <c r="J334" s="5">
        <v>46002</v>
      </c>
      <c r="K334" s="1" t="s">
        <v>957</v>
      </c>
      <c r="L334" s="1" t="s">
        <v>30</v>
      </c>
      <c r="M334" s="8">
        <v>0.43</v>
      </c>
      <c r="N334" s="6"/>
      <c r="O334" s="6"/>
      <c r="P334" s="9">
        <v>-451.93</v>
      </c>
    </row>
    <row r="335" spans="1:16" ht="19.5" customHeight="1">
      <c r="A335" s="1" t="s">
        <v>1635</v>
      </c>
      <c r="B335" s="5">
        <v>46003</v>
      </c>
      <c r="C335" s="1" t="s">
        <v>17</v>
      </c>
      <c r="D335" s="1" t="s">
        <v>37</v>
      </c>
      <c r="E335" s="1" t="s">
        <v>223</v>
      </c>
      <c r="F335" s="1" t="s">
        <v>395</v>
      </c>
      <c r="G335" s="1" t="s">
        <v>1229</v>
      </c>
      <c r="H335" s="6">
        <v>1</v>
      </c>
      <c r="I335" s="7">
        <v>1051</v>
      </c>
      <c r="J335" s="5">
        <v>46002</v>
      </c>
      <c r="K335" s="1" t="s">
        <v>957</v>
      </c>
      <c r="L335" s="1" t="s">
        <v>30</v>
      </c>
      <c r="M335" s="8">
        <v>0.43</v>
      </c>
      <c r="N335" s="6"/>
      <c r="O335" s="6"/>
      <c r="P335" s="9">
        <v>-6.22</v>
      </c>
    </row>
    <row r="336" spans="1:16" ht="19.5" customHeight="1">
      <c r="A336" s="1" t="s">
        <v>1635</v>
      </c>
      <c r="B336" s="5">
        <v>46003</v>
      </c>
      <c r="C336" s="1" t="s">
        <v>17</v>
      </c>
      <c r="D336" s="1" t="s">
        <v>18</v>
      </c>
      <c r="E336" s="1" t="s">
        <v>223</v>
      </c>
      <c r="F336" s="1" t="s">
        <v>395</v>
      </c>
      <c r="G336" s="1" t="s">
        <v>1229</v>
      </c>
      <c r="H336" s="6">
        <v>1</v>
      </c>
      <c r="I336" s="7">
        <v>0</v>
      </c>
      <c r="J336" s="5">
        <v>46002</v>
      </c>
      <c r="K336" s="1" t="s">
        <v>22</v>
      </c>
      <c r="L336" s="1" t="s">
        <v>22</v>
      </c>
      <c r="M336" s="8">
        <v>0</v>
      </c>
      <c r="N336" s="6"/>
      <c r="O336" s="6"/>
      <c r="P336" s="9">
        <v>-10.06</v>
      </c>
    </row>
    <row r="337" spans="1:16" ht="19.5" customHeight="1">
      <c r="A337" s="1" t="s">
        <v>22</v>
      </c>
      <c r="B337" s="5">
        <v>46003</v>
      </c>
      <c r="C337" s="1" t="s">
        <v>77</v>
      </c>
      <c r="D337" s="1" t="s">
        <v>78</v>
      </c>
      <c r="E337" s="1" t="s">
        <v>22</v>
      </c>
      <c r="F337" s="1" t="s">
        <v>22</v>
      </c>
      <c r="G337" s="1" t="s">
        <v>1636</v>
      </c>
      <c r="H337" s="6">
        <v>0</v>
      </c>
      <c r="I337" s="7">
        <v>0</v>
      </c>
      <c r="J337" s="5">
        <v>46003</v>
      </c>
      <c r="K337" s="1" t="s">
        <v>22</v>
      </c>
      <c r="L337" s="1" t="s">
        <v>22</v>
      </c>
      <c r="M337" s="8">
        <v>0</v>
      </c>
      <c r="N337" s="6"/>
      <c r="O337" s="6"/>
      <c r="P337" s="9">
        <v>-450</v>
      </c>
    </row>
    <row r="338" spans="1:16" ht="19.5" customHeight="1">
      <c r="A338" s="1" t="s">
        <v>1637</v>
      </c>
      <c r="B338" s="5">
        <v>46003</v>
      </c>
      <c r="C338" s="1" t="s">
        <v>77</v>
      </c>
      <c r="D338" s="1" t="s">
        <v>82</v>
      </c>
      <c r="E338" s="1" t="s">
        <v>22</v>
      </c>
      <c r="F338" s="1" t="s">
        <v>22</v>
      </c>
      <c r="G338" s="1" t="s">
        <v>22</v>
      </c>
      <c r="H338" s="6">
        <v>0</v>
      </c>
      <c r="I338" s="7">
        <v>0</v>
      </c>
      <c r="J338" s="5">
        <v>46003</v>
      </c>
      <c r="K338" s="1" t="s">
        <v>22</v>
      </c>
      <c r="L338" s="1" t="s">
        <v>22</v>
      </c>
      <c r="M338" s="8">
        <v>0</v>
      </c>
      <c r="N338" s="6"/>
      <c r="O338" s="6"/>
      <c r="P338" s="9">
        <v>-293.42</v>
      </c>
    </row>
    <row r="339" spans="1:16" ht="19.5" customHeight="1">
      <c r="A339" s="1" t="s">
        <v>1376</v>
      </c>
      <c r="B339" s="5">
        <v>46003</v>
      </c>
      <c r="C339" s="1" t="s">
        <v>77</v>
      </c>
      <c r="D339" s="1" t="s">
        <v>82</v>
      </c>
      <c r="E339" s="1" t="s">
        <v>22</v>
      </c>
      <c r="F339" s="1" t="s">
        <v>22</v>
      </c>
      <c r="G339" s="1" t="s">
        <v>22</v>
      </c>
      <c r="H339" s="6">
        <v>0</v>
      </c>
      <c r="I339" s="7">
        <v>0</v>
      </c>
      <c r="J339" s="5">
        <v>46003</v>
      </c>
      <c r="K339" s="1" t="s">
        <v>22</v>
      </c>
      <c r="L339" s="1" t="s">
        <v>22</v>
      </c>
      <c r="M339" s="8">
        <v>0</v>
      </c>
      <c r="N339" s="6"/>
      <c r="O339" s="6"/>
      <c r="P339" s="9">
        <v>-426.6</v>
      </c>
    </row>
    <row r="340" spans="1:16" ht="19.5" customHeight="1">
      <c r="A340" s="1" t="s">
        <v>1075</v>
      </c>
      <c r="B340" s="5">
        <v>46003</v>
      </c>
      <c r="C340" s="1" t="s">
        <v>77</v>
      </c>
      <c r="D340" s="1" t="s">
        <v>82</v>
      </c>
      <c r="E340" s="1" t="s">
        <v>22</v>
      </c>
      <c r="F340" s="1" t="s">
        <v>22</v>
      </c>
      <c r="G340" s="1" t="s">
        <v>22</v>
      </c>
      <c r="H340" s="6">
        <v>0</v>
      </c>
      <c r="I340" s="7">
        <v>0</v>
      </c>
      <c r="J340" s="5">
        <v>46003</v>
      </c>
      <c r="K340" s="1" t="s">
        <v>22</v>
      </c>
      <c r="L340" s="1" t="s">
        <v>22</v>
      </c>
      <c r="M340" s="8">
        <v>0</v>
      </c>
      <c r="N340" s="6"/>
      <c r="O340" s="6"/>
      <c r="P340" s="9">
        <v>-430.29</v>
      </c>
    </row>
    <row r="341" spans="1:16" ht="19.5" customHeight="1">
      <c r="A341" s="1" t="s">
        <v>83</v>
      </c>
      <c r="B341" s="5">
        <v>46003</v>
      </c>
      <c r="C341" s="1" t="s">
        <v>77</v>
      </c>
      <c r="D341" s="1" t="s">
        <v>84</v>
      </c>
      <c r="E341" s="1" t="s">
        <v>22</v>
      </c>
      <c r="F341" s="1" t="s">
        <v>22</v>
      </c>
      <c r="G341" s="1" t="s">
        <v>22</v>
      </c>
      <c r="H341" s="6">
        <v>0</v>
      </c>
      <c r="I341" s="7">
        <v>0</v>
      </c>
      <c r="J341" s="5">
        <v>46003</v>
      </c>
      <c r="K341" s="1" t="s">
        <v>22</v>
      </c>
      <c r="L341" s="1" t="s">
        <v>22</v>
      </c>
      <c r="M341" s="8">
        <v>0</v>
      </c>
      <c r="N341" s="6"/>
      <c r="O341" s="6"/>
      <c r="P341" s="9">
        <v>-1339.93</v>
      </c>
    </row>
    <row r="342" spans="1:16" ht="19.5" customHeight="1">
      <c r="A342" s="1" t="s">
        <v>1638</v>
      </c>
      <c r="B342" s="5">
        <v>46004</v>
      </c>
      <c r="C342" s="1" t="s">
        <v>28</v>
      </c>
      <c r="D342" s="1" t="s">
        <v>29</v>
      </c>
      <c r="E342" s="1" t="s">
        <v>223</v>
      </c>
      <c r="F342" s="1" t="s">
        <v>395</v>
      </c>
      <c r="G342" s="1" t="s">
        <v>1229</v>
      </c>
      <c r="H342" s="6">
        <v>1</v>
      </c>
      <c r="I342" s="7">
        <v>1360</v>
      </c>
      <c r="J342" s="5">
        <v>46002</v>
      </c>
      <c r="K342" s="1" t="s">
        <v>957</v>
      </c>
      <c r="L342" s="1" t="s">
        <v>30</v>
      </c>
      <c r="M342" s="8">
        <v>0.43</v>
      </c>
      <c r="N342" s="6"/>
      <c r="O342" s="6">
        <v>40</v>
      </c>
      <c r="P342" s="9">
        <v>-104.14</v>
      </c>
    </row>
    <row r="343" spans="1:16" ht="19.5" customHeight="1">
      <c r="A343" s="1" t="s">
        <v>1638</v>
      </c>
      <c r="B343" s="5">
        <v>46004</v>
      </c>
      <c r="C343" s="1" t="s">
        <v>31</v>
      </c>
      <c r="D343" s="1" t="s">
        <v>32</v>
      </c>
      <c r="E343" s="1" t="s">
        <v>223</v>
      </c>
      <c r="F343" s="1" t="s">
        <v>395</v>
      </c>
      <c r="G343" s="1" t="s">
        <v>1229</v>
      </c>
      <c r="H343" s="6">
        <v>1</v>
      </c>
      <c r="I343" s="7">
        <v>1360</v>
      </c>
      <c r="J343" s="5">
        <v>46002</v>
      </c>
      <c r="K343" s="1" t="s">
        <v>957</v>
      </c>
      <c r="L343" s="1" t="s">
        <v>30</v>
      </c>
      <c r="M343" s="8">
        <v>0</v>
      </c>
      <c r="N343" s="6"/>
      <c r="O343" s="6"/>
      <c r="P343" s="9">
        <v>689.82</v>
      </c>
    </row>
    <row r="344" spans="1:16" ht="19.5" customHeight="1">
      <c r="A344" s="1" t="s">
        <v>1638</v>
      </c>
      <c r="B344" s="5">
        <v>46004</v>
      </c>
      <c r="C344" s="1" t="s">
        <v>31</v>
      </c>
      <c r="D344" s="1" t="s">
        <v>33</v>
      </c>
      <c r="E344" s="1" t="s">
        <v>223</v>
      </c>
      <c r="F344" s="1" t="s">
        <v>395</v>
      </c>
      <c r="G344" s="1" t="s">
        <v>1229</v>
      </c>
      <c r="H344" s="6">
        <v>1</v>
      </c>
      <c r="I344" s="7">
        <v>1360</v>
      </c>
      <c r="J344" s="5">
        <v>46002</v>
      </c>
      <c r="K344" s="1" t="s">
        <v>957</v>
      </c>
      <c r="L344" s="1" t="s">
        <v>30</v>
      </c>
      <c r="M344" s="8">
        <v>0</v>
      </c>
      <c r="N344" s="6"/>
      <c r="O344" s="6"/>
      <c r="P344" s="9">
        <v>0</v>
      </c>
    </row>
    <row r="345" spans="1:16" ht="19.5" customHeight="1">
      <c r="A345" s="1" t="s">
        <v>1638</v>
      </c>
      <c r="B345" s="5">
        <v>46004</v>
      </c>
      <c r="C345" s="1" t="s">
        <v>31</v>
      </c>
      <c r="D345" s="1" t="s">
        <v>34</v>
      </c>
      <c r="E345" s="1" t="s">
        <v>223</v>
      </c>
      <c r="F345" s="1" t="s">
        <v>395</v>
      </c>
      <c r="G345" s="1" t="s">
        <v>1229</v>
      </c>
      <c r="H345" s="6">
        <v>1</v>
      </c>
      <c r="I345" s="7">
        <v>1360</v>
      </c>
      <c r="J345" s="5">
        <v>46002</v>
      </c>
      <c r="K345" s="1" t="s">
        <v>957</v>
      </c>
      <c r="L345" s="1" t="s">
        <v>30</v>
      </c>
      <c r="M345" s="8">
        <v>0</v>
      </c>
      <c r="N345" s="6"/>
      <c r="O345" s="6"/>
      <c r="P345" s="9">
        <v>670.18</v>
      </c>
    </row>
    <row r="346" spans="1:16" ht="19.5" customHeight="1">
      <c r="A346" s="1" t="s">
        <v>1638</v>
      </c>
      <c r="B346" s="5">
        <v>46004</v>
      </c>
      <c r="C346" s="1" t="s">
        <v>35</v>
      </c>
      <c r="D346" s="1" t="s">
        <v>36</v>
      </c>
      <c r="E346" s="1" t="s">
        <v>223</v>
      </c>
      <c r="F346" s="1" t="s">
        <v>395</v>
      </c>
      <c r="G346" s="1" t="s">
        <v>1229</v>
      </c>
      <c r="H346" s="6">
        <v>1</v>
      </c>
      <c r="I346" s="7">
        <v>1360</v>
      </c>
      <c r="J346" s="5">
        <v>46002</v>
      </c>
      <c r="K346" s="1" t="s">
        <v>957</v>
      </c>
      <c r="L346" s="1" t="s">
        <v>30</v>
      </c>
      <c r="M346" s="8">
        <v>0.43</v>
      </c>
      <c r="N346" s="6"/>
      <c r="O346" s="6"/>
      <c r="P346" s="9">
        <v>-584.79999999999995</v>
      </c>
    </row>
    <row r="347" spans="1:16" ht="19.5" customHeight="1">
      <c r="A347" s="1" t="s">
        <v>1638</v>
      </c>
      <c r="B347" s="5">
        <v>46004</v>
      </c>
      <c r="C347" s="1" t="s">
        <v>17</v>
      </c>
      <c r="D347" s="1" t="s">
        <v>37</v>
      </c>
      <c r="E347" s="1" t="s">
        <v>223</v>
      </c>
      <c r="F347" s="1" t="s">
        <v>395</v>
      </c>
      <c r="G347" s="1" t="s">
        <v>1229</v>
      </c>
      <c r="H347" s="6">
        <v>1</v>
      </c>
      <c r="I347" s="7">
        <v>1360</v>
      </c>
      <c r="J347" s="5">
        <v>46002</v>
      </c>
      <c r="K347" s="1" t="s">
        <v>957</v>
      </c>
      <c r="L347" s="1" t="s">
        <v>30</v>
      </c>
      <c r="M347" s="8">
        <v>0.43</v>
      </c>
      <c r="N347" s="6"/>
      <c r="O347" s="6"/>
      <c r="P347" s="9">
        <v>-6.07</v>
      </c>
    </row>
    <row r="348" spans="1:16" ht="19.5" customHeight="1">
      <c r="A348" s="1" t="s">
        <v>1638</v>
      </c>
      <c r="B348" s="5">
        <v>46004</v>
      </c>
      <c r="C348" s="1" t="s">
        <v>17</v>
      </c>
      <c r="D348" s="1" t="s">
        <v>18</v>
      </c>
      <c r="E348" s="1" t="s">
        <v>223</v>
      </c>
      <c r="F348" s="1" t="s">
        <v>395</v>
      </c>
      <c r="G348" s="1" t="s">
        <v>1229</v>
      </c>
      <c r="H348" s="6">
        <v>1</v>
      </c>
      <c r="I348" s="7">
        <v>0</v>
      </c>
      <c r="J348" s="5">
        <v>46002</v>
      </c>
      <c r="K348" s="1" t="s">
        <v>22</v>
      </c>
      <c r="L348" s="1" t="s">
        <v>22</v>
      </c>
      <c r="M348" s="8">
        <v>0</v>
      </c>
      <c r="N348" s="6"/>
      <c r="O348" s="6"/>
      <c r="P348" s="9">
        <v>-2.97</v>
      </c>
    </row>
    <row r="349" spans="1:16" ht="19.5" customHeight="1">
      <c r="A349" s="1" t="s">
        <v>1639</v>
      </c>
      <c r="B349" s="5">
        <v>46004</v>
      </c>
      <c r="C349" s="1" t="s">
        <v>28</v>
      </c>
      <c r="D349" s="1" t="s">
        <v>29</v>
      </c>
      <c r="E349" s="1" t="s">
        <v>25</v>
      </c>
      <c r="F349" s="1" t="s">
        <v>26</v>
      </c>
      <c r="G349" s="1" t="s">
        <v>1229</v>
      </c>
      <c r="H349" s="6">
        <v>1</v>
      </c>
      <c r="I349" s="7">
        <v>1184</v>
      </c>
      <c r="J349" s="5">
        <v>45994</v>
      </c>
      <c r="K349" s="1" t="s">
        <v>957</v>
      </c>
      <c r="L349" s="1" t="s">
        <v>30</v>
      </c>
      <c r="M349" s="8">
        <v>0.43</v>
      </c>
      <c r="N349" s="6"/>
      <c r="O349" s="6">
        <v>40</v>
      </c>
      <c r="P349" s="9">
        <v>-99.65</v>
      </c>
    </row>
    <row r="350" spans="1:16" ht="19.5" customHeight="1">
      <c r="A350" s="1" t="s">
        <v>1639</v>
      </c>
      <c r="B350" s="5">
        <v>46004</v>
      </c>
      <c r="C350" s="1" t="s">
        <v>31</v>
      </c>
      <c r="D350" s="1" t="s">
        <v>32</v>
      </c>
      <c r="E350" s="1" t="s">
        <v>25</v>
      </c>
      <c r="F350" s="1" t="s">
        <v>26</v>
      </c>
      <c r="G350" s="1" t="s">
        <v>1229</v>
      </c>
      <c r="H350" s="6">
        <v>1</v>
      </c>
      <c r="I350" s="7">
        <v>1184</v>
      </c>
      <c r="J350" s="5">
        <v>45994</v>
      </c>
      <c r="K350" s="1" t="s">
        <v>957</v>
      </c>
      <c r="L350" s="1" t="s">
        <v>30</v>
      </c>
      <c r="M350" s="8">
        <v>0</v>
      </c>
      <c r="N350" s="6"/>
      <c r="O350" s="6"/>
      <c r="P350" s="9">
        <v>458.1</v>
      </c>
    </row>
    <row r="351" spans="1:16" ht="19.5" customHeight="1">
      <c r="A351" s="1" t="s">
        <v>1639</v>
      </c>
      <c r="B351" s="5">
        <v>46004</v>
      </c>
      <c r="C351" s="1" t="s">
        <v>31</v>
      </c>
      <c r="D351" s="1" t="s">
        <v>33</v>
      </c>
      <c r="E351" s="1" t="s">
        <v>25</v>
      </c>
      <c r="F351" s="1" t="s">
        <v>26</v>
      </c>
      <c r="G351" s="1" t="s">
        <v>1229</v>
      </c>
      <c r="H351" s="6">
        <v>1</v>
      </c>
      <c r="I351" s="7">
        <v>1184</v>
      </c>
      <c r="J351" s="5">
        <v>45994</v>
      </c>
      <c r="K351" s="1" t="s">
        <v>957</v>
      </c>
      <c r="L351" s="1" t="s">
        <v>30</v>
      </c>
      <c r="M351" s="8">
        <v>0</v>
      </c>
      <c r="N351" s="6"/>
      <c r="O351" s="6"/>
      <c r="P351" s="9">
        <v>0</v>
      </c>
    </row>
    <row r="352" spans="1:16" ht="19.5" customHeight="1">
      <c r="A352" s="1" t="s">
        <v>1639</v>
      </c>
      <c r="B352" s="5">
        <v>46004</v>
      </c>
      <c r="C352" s="1" t="s">
        <v>31</v>
      </c>
      <c r="D352" s="1" t="s">
        <v>34</v>
      </c>
      <c r="E352" s="1" t="s">
        <v>25</v>
      </c>
      <c r="F352" s="1" t="s">
        <v>26</v>
      </c>
      <c r="G352" s="1" t="s">
        <v>1229</v>
      </c>
      <c r="H352" s="6">
        <v>1</v>
      </c>
      <c r="I352" s="7">
        <v>1184</v>
      </c>
      <c r="J352" s="5">
        <v>45994</v>
      </c>
      <c r="K352" s="1" t="s">
        <v>957</v>
      </c>
      <c r="L352" s="1" t="s">
        <v>30</v>
      </c>
      <c r="M352" s="8">
        <v>0</v>
      </c>
      <c r="N352" s="6"/>
      <c r="O352" s="6"/>
      <c r="P352" s="9">
        <v>725.9</v>
      </c>
    </row>
    <row r="353" spans="1:16" ht="19.5" customHeight="1">
      <c r="A353" s="1" t="s">
        <v>1639</v>
      </c>
      <c r="B353" s="5">
        <v>46004</v>
      </c>
      <c r="C353" s="1" t="s">
        <v>35</v>
      </c>
      <c r="D353" s="1" t="s">
        <v>36</v>
      </c>
      <c r="E353" s="1" t="s">
        <v>25</v>
      </c>
      <c r="F353" s="1" t="s">
        <v>26</v>
      </c>
      <c r="G353" s="1" t="s">
        <v>1229</v>
      </c>
      <c r="H353" s="6">
        <v>1</v>
      </c>
      <c r="I353" s="7">
        <v>1184</v>
      </c>
      <c r="J353" s="5">
        <v>45994</v>
      </c>
      <c r="K353" s="1" t="s">
        <v>957</v>
      </c>
      <c r="L353" s="1" t="s">
        <v>30</v>
      </c>
      <c r="M353" s="8">
        <v>0.43</v>
      </c>
      <c r="N353" s="6"/>
      <c r="O353" s="6"/>
      <c r="P353" s="9">
        <v>-509.12</v>
      </c>
    </row>
    <row r="354" spans="1:16" ht="19.5" customHeight="1">
      <c r="A354" s="1" t="s">
        <v>1639</v>
      </c>
      <c r="B354" s="5">
        <v>46004</v>
      </c>
      <c r="C354" s="1" t="s">
        <v>17</v>
      </c>
      <c r="D354" s="1" t="s">
        <v>37</v>
      </c>
      <c r="E354" s="1" t="s">
        <v>25</v>
      </c>
      <c r="F354" s="1" t="s">
        <v>26</v>
      </c>
      <c r="G354" s="1" t="s">
        <v>1229</v>
      </c>
      <c r="H354" s="6">
        <v>1</v>
      </c>
      <c r="I354" s="7">
        <v>1184</v>
      </c>
      <c r="J354" s="5">
        <v>45994</v>
      </c>
      <c r="K354" s="1" t="s">
        <v>957</v>
      </c>
      <c r="L354" s="1" t="s">
        <v>30</v>
      </c>
      <c r="M354" s="8">
        <v>0.43</v>
      </c>
      <c r="N354" s="6"/>
      <c r="O354" s="6"/>
      <c r="P354" s="9">
        <v>-5.41</v>
      </c>
    </row>
    <row r="355" spans="1:16" ht="19.5" customHeight="1">
      <c r="A355" s="1" t="s">
        <v>1640</v>
      </c>
      <c r="B355" s="5">
        <v>46004</v>
      </c>
      <c r="C355" s="1" t="s">
        <v>28</v>
      </c>
      <c r="D355" s="1" t="s">
        <v>29</v>
      </c>
      <c r="E355" s="1" t="s">
        <v>223</v>
      </c>
      <c r="F355" s="1" t="s">
        <v>395</v>
      </c>
      <c r="G355" s="1" t="s">
        <v>1229</v>
      </c>
      <c r="H355" s="6">
        <v>1</v>
      </c>
      <c r="I355" s="7">
        <v>1280</v>
      </c>
      <c r="J355" s="5">
        <v>45995</v>
      </c>
      <c r="K355" s="1" t="s">
        <v>957</v>
      </c>
      <c r="L355" s="1" t="s">
        <v>30</v>
      </c>
      <c r="M355" s="8">
        <v>0.43</v>
      </c>
      <c r="N355" s="6"/>
      <c r="O355" s="6">
        <v>42</v>
      </c>
      <c r="P355" s="9">
        <v>-108.7</v>
      </c>
    </row>
    <row r="356" spans="1:16" ht="19.5" customHeight="1">
      <c r="A356" s="1" t="s">
        <v>1640</v>
      </c>
      <c r="B356" s="5">
        <v>46004</v>
      </c>
      <c r="C356" s="1" t="s">
        <v>31</v>
      </c>
      <c r="D356" s="1" t="s">
        <v>32</v>
      </c>
      <c r="E356" s="1" t="s">
        <v>223</v>
      </c>
      <c r="F356" s="1" t="s">
        <v>395</v>
      </c>
      <c r="G356" s="1" t="s">
        <v>1229</v>
      </c>
      <c r="H356" s="6">
        <v>1</v>
      </c>
      <c r="I356" s="7">
        <v>1280</v>
      </c>
      <c r="J356" s="5">
        <v>45995</v>
      </c>
      <c r="K356" s="1" t="s">
        <v>957</v>
      </c>
      <c r="L356" s="1" t="s">
        <v>30</v>
      </c>
      <c r="M356" s="8">
        <v>0</v>
      </c>
      <c r="N356" s="6"/>
      <c r="O356" s="6"/>
      <c r="P356" s="9">
        <v>530.48</v>
      </c>
    </row>
    <row r="357" spans="1:16" ht="19.5" customHeight="1">
      <c r="A357" s="1" t="s">
        <v>1640</v>
      </c>
      <c r="B357" s="5">
        <v>46004</v>
      </c>
      <c r="C357" s="1" t="s">
        <v>31</v>
      </c>
      <c r="D357" s="1" t="s">
        <v>33</v>
      </c>
      <c r="E357" s="1" t="s">
        <v>223</v>
      </c>
      <c r="F357" s="1" t="s">
        <v>395</v>
      </c>
      <c r="G357" s="1" t="s">
        <v>1229</v>
      </c>
      <c r="H357" s="6">
        <v>1</v>
      </c>
      <c r="I357" s="7">
        <v>1280</v>
      </c>
      <c r="J357" s="5">
        <v>45995</v>
      </c>
      <c r="K357" s="1" t="s">
        <v>957</v>
      </c>
      <c r="L357" s="1" t="s">
        <v>30</v>
      </c>
      <c r="M357" s="8">
        <v>0</v>
      </c>
      <c r="N357" s="6"/>
      <c r="O357" s="6"/>
      <c r="P357" s="9">
        <v>5.3</v>
      </c>
    </row>
    <row r="358" spans="1:16" ht="19.5" customHeight="1">
      <c r="A358" s="1" t="s">
        <v>1640</v>
      </c>
      <c r="B358" s="5">
        <v>46004</v>
      </c>
      <c r="C358" s="1" t="s">
        <v>31</v>
      </c>
      <c r="D358" s="1" t="s">
        <v>34</v>
      </c>
      <c r="E358" s="1" t="s">
        <v>223</v>
      </c>
      <c r="F358" s="1" t="s">
        <v>395</v>
      </c>
      <c r="G358" s="1" t="s">
        <v>1229</v>
      </c>
      <c r="H358" s="6">
        <v>1</v>
      </c>
      <c r="I358" s="7">
        <v>1280</v>
      </c>
      <c r="J358" s="5">
        <v>45995</v>
      </c>
      <c r="K358" s="1" t="s">
        <v>957</v>
      </c>
      <c r="L358" s="1" t="s">
        <v>30</v>
      </c>
      <c r="M358" s="8">
        <v>0</v>
      </c>
      <c r="N358" s="6"/>
      <c r="O358" s="6"/>
      <c r="P358" s="9">
        <v>744.22</v>
      </c>
    </row>
    <row r="359" spans="1:16" ht="19.5" customHeight="1">
      <c r="A359" s="1" t="s">
        <v>1640</v>
      </c>
      <c r="B359" s="5">
        <v>46004</v>
      </c>
      <c r="C359" s="1" t="s">
        <v>35</v>
      </c>
      <c r="D359" s="1" t="s">
        <v>36</v>
      </c>
      <c r="E359" s="1" t="s">
        <v>223</v>
      </c>
      <c r="F359" s="1" t="s">
        <v>395</v>
      </c>
      <c r="G359" s="1" t="s">
        <v>1229</v>
      </c>
      <c r="H359" s="6">
        <v>1</v>
      </c>
      <c r="I359" s="7">
        <v>1280</v>
      </c>
      <c r="J359" s="5">
        <v>45995</v>
      </c>
      <c r="K359" s="1" t="s">
        <v>957</v>
      </c>
      <c r="L359" s="1" t="s">
        <v>30</v>
      </c>
      <c r="M359" s="8">
        <v>0.43</v>
      </c>
      <c r="N359" s="6"/>
      <c r="O359" s="6"/>
      <c r="P359" s="9">
        <v>-550.4</v>
      </c>
    </row>
    <row r="360" spans="1:16" ht="19.5" customHeight="1">
      <c r="A360" s="1" t="s">
        <v>1640</v>
      </c>
      <c r="B360" s="5">
        <v>46004</v>
      </c>
      <c r="C360" s="1" t="s">
        <v>17</v>
      </c>
      <c r="D360" s="1" t="s">
        <v>37</v>
      </c>
      <c r="E360" s="1" t="s">
        <v>223</v>
      </c>
      <c r="F360" s="1" t="s">
        <v>395</v>
      </c>
      <c r="G360" s="1" t="s">
        <v>1229</v>
      </c>
      <c r="H360" s="6">
        <v>1</v>
      </c>
      <c r="I360" s="7">
        <v>1280</v>
      </c>
      <c r="J360" s="5">
        <v>45995</v>
      </c>
      <c r="K360" s="1" t="s">
        <v>957</v>
      </c>
      <c r="L360" s="1" t="s">
        <v>30</v>
      </c>
      <c r="M360" s="8">
        <v>0.43</v>
      </c>
      <c r="N360" s="6"/>
      <c r="O360" s="6"/>
      <c r="P360" s="9">
        <v>-6.75</v>
      </c>
    </row>
    <row r="361" spans="1:16" ht="19.5" customHeight="1">
      <c r="A361" s="1" t="s">
        <v>1641</v>
      </c>
      <c r="B361" s="5">
        <v>46004</v>
      </c>
      <c r="C361" s="1" t="s">
        <v>17</v>
      </c>
      <c r="D361" s="1" t="s">
        <v>18</v>
      </c>
      <c r="E361" s="1" t="s">
        <v>223</v>
      </c>
      <c r="F361" s="1" t="s">
        <v>395</v>
      </c>
      <c r="G361" s="1" t="s">
        <v>1229</v>
      </c>
      <c r="H361" s="6">
        <v>1</v>
      </c>
      <c r="I361" s="7">
        <v>0</v>
      </c>
      <c r="J361" s="5">
        <v>46004</v>
      </c>
      <c r="K361" s="1" t="s">
        <v>22</v>
      </c>
      <c r="L361" s="1" t="s">
        <v>22</v>
      </c>
      <c r="M361" s="8">
        <v>0</v>
      </c>
      <c r="N361" s="6"/>
      <c r="O361" s="6"/>
      <c r="P361" s="9">
        <v>-4.3099999999999996</v>
      </c>
    </row>
    <row r="362" spans="1:16" ht="19.5" customHeight="1">
      <c r="A362" s="1" t="s">
        <v>1642</v>
      </c>
      <c r="B362" s="5">
        <v>46004</v>
      </c>
      <c r="C362" s="1" t="s">
        <v>17</v>
      </c>
      <c r="D362" s="1" t="s">
        <v>18</v>
      </c>
      <c r="E362" s="1" t="s">
        <v>25</v>
      </c>
      <c r="F362" s="1" t="s">
        <v>26</v>
      </c>
      <c r="G362" s="1" t="s">
        <v>1229</v>
      </c>
      <c r="H362" s="6">
        <v>1</v>
      </c>
      <c r="I362" s="7">
        <v>0</v>
      </c>
      <c r="J362" s="5">
        <v>46004</v>
      </c>
      <c r="K362" s="1" t="s">
        <v>22</v>
      </c>
      <c r="L362" s="1" t="s">
        <v>22</v>
      </c>
      <c r="M362" s="8">
        <v>0</v>
      </c>
      <c r="N362" s="6"/>
      <c r="O362" s="6"/>
      <c r="P362" s="9">
        <v>-11.45</v>
      </c>
    </row>
    <row r="363" spans="1:16" ht="19.5" customHeight="1">
      <c r="A363" s="1" t="s">
        <v>1643</v>
      </c>
      <c r="B363" s="5">
        <v>46004</v>
      </c>
      <c r="C363" s="1" t="s">
        <v>28</v>
      </c>
      <c r="D363" s="1" t="s">
        <v>29</v>
      </c>
      <c r="E363" s="1" t="s">
        <v>25</v>
      </c>
      <c r="F363" s="1" t="s">
        <v>26</v>
      </c>
      <c r="G363" s="1" t="s">
        <v>1229</v>
      </c>
      <c r="H363" s="6">
        <v>1</v>
      </c>
      <c r="I363" s="7">
        <v>1050</v>
      </c>
      <c r="J363" s="5">
        <v>45995</v>
      </c>
      <c r="K363" s="1" t="s">
        <v>957</v>
      </c>
      <c r="L363" s="1" t="s">
        <v>30</v>
      </c>
      <c r="M363" s="8">
        <v>0.43</v>
      </c>
      <c r="N363" s="6"/>
      <c r="O363" s="6">
        <v>42</v>
      </c>
      <c r="P363" s="9">
        <v>-102.15</v>
      </c>
    </row>
    <row r="364" spans="1:16" ht="19.5" customHeight="1">
      <c r="A364" s="1" t="s">
        <v>1643</v>
      </c>
      <c r="B364" s="5">
        <v>46004</v>
      </c>
      <c r="C364" s="1" t="s">
        <v>31</v>
      </c>
      <c r="D364" s="1" t="s">
        <v>32</v>
      </c>
      <c r="E364" s="1" t="s">
        <v>25</v>
      </c>
      <c r="F364" s="1" t="s">
        <v>26</v>
      </c>
      <c r="G364" s="1" t="s">
        <v>1229</v>
      </c>
      <c r="H364" s="6">
        <v>1</v>
      </c>
      <c r="I364" s="7">
        <v>1050</v>
      </c>
      <c r="J364" s="5">
        <v>45995</v>
      </c>
      <c r="K364" s="1" t="s">
        <v>957</v>
      </c>
      <c r="L364" s="1" t="s">
        <v>30</v>
      </c>
      <c r="M364" s="8">
        <v>0</v>
      </c>
      <c r="N364" s="6"/>
      <c r="O364" s="6"/>
      <c r="P364" s="9">
        <v>507.14</v>
      </c>
    </row>
    <row r="365" spans="1:16" ht="19.5" customHeight="1">
      <c r="A365" s="1" t="s">
        <v>1643</v>
      </c>
      <c r="B365" s="5">
        <v>46004</v>
      </c>
      <c r="C365" s="1" t="s">
        <v>31</v>
      </c>
      <c r="D365" s="1" t="s">
        <v>33</v>
      </c>
      <c r="E365" s="1" t="s">
        <v>25</v>
      </c>
      <c r="F365" s="1" t="s">
        <v>26</v>
      </c>
      <c r="G365" s="1" t="s">
        <v>1229</v>
      </c>
      <c r="H365" s="6">
        <v>1</v>
      </c>
      <c r="I365" s="7">
        <v>1050</v>
      </c>
      <c r="J365" s="5">
        <v>45995</v>
      </c>
      <c r="K365" s="1" t="s">
        <v>957</v>
      </c>
      <c r="L365" s="1" t="s">
        <v>30</v>
      </c>
      <c r="M365" s="8">
        <v>0</v>
      </c>
      <c r="N365" s="6"/>
      <c r="O365" s="6"/>
      <c r="P365" s="9">
        <v>0</v>
      </c>
    </row>
    <row r="366" spans="1:16" ht="19.5" customHeight="1">
      <c r="A366" s="1" t="s">
        <v>1643</v>
      </c>
      <c r="B366" s="5">
        <v>46004</v>
      </c>
      <c r="C366" s="1" t="s">
        <v>31</v>
      </c>
      <c r="D366" s="1" t="s">
        <v>34</v>
      </c>
      <c r="E366" s="1" t="s">
        <v>25</v>
      </c>
      <c r="F366" s="1" t="s">
        <v>26</v>
      </c>
      <c r="G366" s="1" t="s">
        <v>1229</v>
      </c>
      <c r="H366" s="6">
        <v>1</v>
      </c>
      <c r="I366" s="7">
        <v>1050</v>
      </c>
      <c r="J366" s="5">
        <v>45995</v>
      </c>
      <c r="K366" s="1" t="s">
        <v>957</v>
      </c>
      <c r="L366" s="1" t="s">
        <v>30</v>
      </c>
      <c r="M366" s="8">
        <v>0</v>
      </c>
      <c r="N366" s="6"/>
      <c r="O366" s="6"/>
      <c r="P366" s="9">
        <v>542.86</v>
      </c>
    </row>
    <row r="367" spans="1:16" ht="19.5" customHeight="1">
      <c r="A367" s="1" t="s">
        <v>1643</v>
      </c>
      <c r="B367" s="5">
        <v>46004</v>
      </c>
      <c r="C367" s="1" t="s">
        <v>35</v>
      </c>
      <c r="D367" s="1" t="s">
        <v>36</v>
      </c>
      <c r="E367" s="1" t="s">
        <v>25</v>
      </c>
      <c r="F367" s="1" t="s">
        <v>26</v>
      </c>
      <c r="G367" s="1" t="s">
        <v>1229</v>
      </c>
      <c r="H367" s="6">
        <v>1</v>
      </c>
      <c r="I367" s="7">
        <v>1050</v>
      </c>
      <c r="J367" s="5">
        <v>45995</v>
      </c>
      <c r="K367" s="1" t="s">
        <v>957</v>
      </c>
      <c r="L367" s="1" t="s">
        <v>30</v>
      </c>
      <c r="M367" s="8">
        <v>0.43</v>
      </c>
      <c r="N367" s="6"/>
      <c r="O367" s="6"/>
      <c r="P367" s="9">
        <v>-451.5</v>
      </c>
    </row>
    <row r="368" spans="1:16" ht="19.5" customHeight="1">
      <c r="A368" s="1" t="s">
        <v>1644</v>
      </c>
      <c r="B368" s="5">
        <v>46004</v>
      </c>
      <c r="C368" s="1" t="s">
        <v>28</v>
      </c>
      <c r="D368" s="1" t="s">
        <v>29</v>
      </c>
      <c r="E368" s="1" t="s">
        <v>222</v>
      </c>
      <c r="F368" s="1" t="s">
        <v>412</v>
      </c>
      <c r="G368" s="1" t="s">
        <v>1229</v>
      </c>
      <c r="H368" s="6">
        <v>1</v>
      </c>
      <c r="I368" s="7">
        <v>1111</v>
      </c>
      <c r="J368" s="5">
        <v>46002</v>
      </c>
      <c r="K368" s="1" t="s">
        <v>957</v>
      </c>
      <c r="L368" s="1" t="s">
        <v>30</v>
      </c>
      <c r="M368" s="8">
        <v>0.43</v>
      </c>
      <c r="N368" s="6"/>
      <c r="O368" s="6">
        <v>40</v>
      </c>
      <c r="P368" s="9">
        <v>-98.95</v>
      </c>
    </row>
    <row r="369" spans="1:16" ht="19.5" customHeight="1">
      <c r="A369" s="1" t="s">
        <v>1644</v>
      </c>
      <c r="B369" s="5">
        <v>46004</v>
      </c>
      <c r="C369" s="1" t="s">
        <v>31</v>
      </c>
      <c r="D369" s="1" t="s">
        <v>32</v>
      </c>
      <c r="E369" s="1" t="s">
        <v>222</v>
      </c>
      <c r="F369" s="1" t="s">
        <v>412</v>
      </c>
      <c r="G369" s="1" t="s">
        <v>1229</v>
      </c>
      <c r="H369" s="6">
        <v>1</v>
      </c>
      <c r="I369" s="7">
        <v>1111</v>
      </c>
      <c r="J369" s="5">
        <v>46002</v>
      </c>
      <c r="K369" s="1" t="s">
        <v>957</v>
      </c>
      <c r="L369" s="1" t="s">
        <v>30</v>
      </c>
      <c r="M369" s="8">
        <v>0</v>
      </c>
      <c r="N369" s="6"/>
      <c r="O369" s="6"/>
      <c r="P369" s="9">
        <v>540.28</v>
      </c>
    </row>
    <row r="370" spans="1:16" ht="19.5" customHeight="1">
      <c r="A370" s="1" t="s">
        <v>1644</v>
      </c>
      <c r="B370" s="5">
        <v>46004</v>
      </c>
      <c r="C370" s="1" t="s">
        <v>31</v>
      </c>
      <c r="D370" s="1" t="s">
        <v>33</v>
      </c>
      <c r="E370" s="1" t="s">
        <v>222</v>
      </c>
      <c r="F370" s="1" t="s">
        <v>412</v>
      </c>
      <c r="G370" s="1" t="s">
        <v>1229</v>
      </c>
      <c r="H370" s="6">
        <v>1</v>
      </c>
      <c r="I370" s="7">
        <v>1111</v>
      </c>
      <c r="J370" s="5">
        <v>46002</v>
      </c>
      <c r="K370" s="1" t="s">
        <v>957</v>
      </c>
      <c r="L370" s="1" t="s">
        <v>30</v>
      </c>
      <c r="M370" s="8">
        <v>0</v>
      </c>
      <c r="N370" s="6"/>
      <c r="O370" s="6"/>
      <c r="P370" s="9">
        <v>5.4</v>
      </c>
    </row>
    <row r="371" spans="1:16" ht="19.5" customHeight="1">
      <c r="A371" s="1" t="s">
        <v>1644</v>
      </c>
      <c r="B371" s="5">
        <v>46004</v>
      </c>
      <c r="C371" s="1" t="s">
        <v>31</v>
      </c>
      <c r="D371" s="1" t="s">
        <v>34</v>
      </c>
      <c r="E371" s="1" t="s">
        <v>222</v>
      </c>
      <c r="F371" s="1" t="s">
        <v>412</v>
      </c>
      <c r="G371" s="1" t="s">
        <v>1229</v>
      </c>
      <c r="H371" s="6">
        <v>1</v>
      </c>
      <c r="I371" s="7">
        <v>1111</v>
      </c>
      <c r="J371" s="5">
        <v>46002</v>
      </c>
      <c r="K371" s="1" t="s">
        <v>957</v>
      </c>
      <c r="L371" s="1" t="s">
        <v>30</v>
      </c>
      <c r="M371" s="8">
        <v>0</v>
      </c>
      <c r="N371" s="6"/>
      <c r="O371" s="6"/>
      <c r="P371" s="9">
        <v>565.32000000000005</v>
      </c>
    </row>
    <row r="372" spans="1:16" ht="19.5" customHeight="1">
      <c r="A372" s="1" t="s">
        <v>1644</v>
      </c>
      <c r="B372" s="5">
        <v>46004</v>
      </c>
      <c r="C372" s="1" t="s">
        <v>35</v>
      </c>
      <c r="D372" s="1" t="s">
        <v>36</v>
      </c>
      <c r="E372" s="1" t="s">
        <v>222</v>
      </c>
      <c r="F372" s="1" t="s">
        <v>412</v>
      </c>
      <c r="G372" s="1" t="s">
        <v>1229</v>
      </c>
      <c r="H372" s="6">
        <v>1</v>
      </c>
      <c r="I372" s="7">
        <v>1111</v>
      </c>
      <c r="J372" s="5">
        <v>46002</v>
      </c>
      <c r="K372" s="1" t="s">
        <v>957</v>
      </c>
      <c r="L372" s="1" t="s">
        <v>30</v>
      </c>
      <c r="M372" s="8">
        <v>0.43</v>
      </c>
      <c r="N372" s="6"/>
      <c r="O372" s="6"/>
      <c r="P372" s="9">
        <v>-477.73</v>
      </c>
    </row>
    <row r="373" spans="1:16" ht="19.5" customHeight="1">
      <c r="A373" s="1" t="s">
        <v>1644</v>
      </c>
      <c r="B373" s="5">
        <v>46004</v>
      </c>
      <c r="C373" s="1" t="s">
        <v>17</v>
      </c>
      <c r="D373" s="1" t="s">
        <v>37</v>
      </c>
      <c r="E373" s="1" t="s">
        <v>222</v>
      </c>
      <c r="F373" s="1" t="s">
        <v>412</v>
      </c>
      <c r="G373" s="1" t="s">
        <v>1229</v>
      </c>
      <c r="H373" s="6">
        <v>1</v>
      </c>
      <c r="I373" s="7">
        <v>1111</v>
      </c>
      <c r="J373" s="5">
        <v>46002</v>
      </c>
      <c r="K373" s="1" t="s">
        <v>957</v>
      </c>
      <c r="L373" s="1" t="s">
        <v>30</v>
      </c>
      <c r="M373" s="8">
        <v>0.43</v>
      </c>
      <c r="N373" s="6"/>
      <c r="O373" s="6"/>
      <c r="P373" s="9">
        <v>-5.6</v>
      </c>
    </row>
    <row r="374" spans="1:16" ht="19.5" customHeight="1">
      <c r="A374" s="1" t="s">
        <v>1645</v>
      </c>
      <c r="B374" s="5">
        <v>46004</v>
      </c>
      <c r="C374" s="1" t="s">
        <v>28</v>
      </c>
      <c r="D374" s="1" t="s">
        <v>29</v>
      </c>
      <c r="E374" s="1" t="s">
        <v>226</v>
      </c>
      <c r="F374" s="1" t="s">
        <v>428</v>
      </c>
      <c r="G374" s="1" t="s">
        <v>1229</v>
      </c>
      <c r="H374" s="6">
        <v>1</v>
      </c>
      <c r="I374" s="7">
        <v>0</v>
      </c>
      <c r="J374" s="5">
        <v>45988</v>
      </c>
      <c r="K374" s="1" t="s">
        <v>957</v>
      </c>
      <c r="L374" s="1" t="s">
        <v>30</v>
      </c>
      <c r="M374" s="8">
        <v>0</v>
      </c>
      <c r="N374" s="6"/>
      <c r="O374" s="6">
        <v>42</v>
      </c>
      <c r="P374" s="9">
        <v>-46</v>
      </c>
    </row>
    <row r="375" spans="1:16" ht="19.5" customHeight="1">
      <c r="A375" s="1" t="s">
        <v>1645</v>
      </c>
      <c r="B375" s="5">
        <v>46004</v>
      </c>
      <c r="C375" s="1" t="s">
        <v>17</v>
      </c>
      <c r="D375" s="1" t="s">
        <v>37</v>
      </c>
      <c r="E375" s="1" t="s">
        <v>226</v>
      </c>
      <c r="F375" s="1" t="s">
        <v>428</v>
      </c>
      <c r="G375" s="1" t="s">
        <v>1229</v>
      </c>
      <c r="H375" s="6">
        <v>1</v>
      </c>
      <c r="I375" s="7">
        <v>0</v>
      </c>
      <c r="J375" s="5">
        <v>45988</v>
      </c>
      <c r="K375" s="1" t="s">
        <v>957</v>
      </c>
      <c r="L375" s="1" t="s">
        <v>30</v>
      </c>
      <c r="M375" s="8">
        <v>0</v>
      </c>
      <c r="N375" s="6"/>
      <c r="O375" s="6"/>
      <c r="P375" s="9">
        <v>-9.84</v>
      </c>
    </row>
    <row r="376" spans="1:16" ht="19.5" customHeight="1">
      <c r="A376" s="1" t="s">
        <v>1645</v>
      </c>
      <c r="B376" s="5">
        <v>46004</v>
      </c>
      <c r="C376" s="1" t="s">
        <v>28</v>
      </c>
      <c r="D376" s="1" t="s">
        <v>45</v>
      </c>
      <c r="E376" s="1" t="s">
        <v>226</v>
      </c>
      <c r="F376" s="1" t="s">
        <v>428</v>
      </c>
      <c r="G376" s="1" t="s">
        <v>1229</v>
      </c>
      <c r="H376" s="6">
        <v>1</v>
      </c>
      <c r="I376" s="7">
        <v>0</v>
      </c>
      <c r="J376" s="5">
        <v>45988</v>
      </c>
      <c r="K376" s="1" t="s">
        <v>957</v>
      </c>
      <c r="L376" s="1" t="s">
        <v>30</v>
      </c>
      <c r="M376" s="8">
        <v>0</v>
      </c>
      <c r="N376" s="6"/>
      <c r="O376" s="6"/>
      <c r="P376" s="9">
        <v>0</v>
      </c>
    </row>
    <row r="377" spans="1:16" ht="19.5" customHeight="1">
      <c r="A377" s="1" t="s">
        <v>1645</v>
      </c>
      <c r="B377" s="5">
        <v>46004</v>
      </c>
      <c r="C377" s="1" t="s">
        <v>28</v>
      </c>
      <c r="D377" s="1" t="s">
        <v>46</v>
      </c>
      <c r="E377" s="1" t="s">
        <v>226</v>
      </c>
      <c r="F377" s="1" t="s">
        <v>428</v>
      </c>
      <c r="G377" s="1" t="s">
        <v>1229</v>
      </c>
      <c r="H377" s="6">
        <v>1</v>
      </c>
      <c r="I377" s="7">
        <v>0</v>
      </c>
      <c r="J377" s="5">
        <v>45988</v>
      </c>
      <c r="K377" s="1" t="s">
        <v>957</v>
      </c>
      <c r="L377" s="1" t="s">
        <v>30</v>
      </c>
      <c r="M377" s="8">
        <v>0</v>
      </c>
      <c r="N377" s="6"/>
      <c r="O377" s="6"/>
      <c r="P377" s="9">
        <v>-46</v>
      </c>
    </row>
    <row r="378" spans="1:16" ht="19.5" customHeight="1">
      <c r="A378" s="1" t="s">
        <v>1645</v>
      </c>
      <c r="B378" s="5">
        <v>46004</v>
      </c>
      <c r="C378" s="1" t="s">
        <v>17</v>
      </c>
      <c r="D378" s="1" t="s">
        <v>47</v>
      </c>
      <c r="E378" s="1" t="s">
        <v>226</v>
      </c>
      <c r="F378" s="1" t="s">
        <v>428</v>
      </c>
      <c r="G378" s="1" t="s">
        <v>1229</v>
      </c>
      <c r="H378" s="6">
        <v>1</v>
      </c>
      <c r="I378" s="7">
        <v>0</v>
      </c>
      <c r="J378" s="5">
        <v>45988</v>
      </c>
      <c r="K378" s="1" t="s">
        <v>957</v>
      </c>
      <c r="L378" s="1" t="s">
        <v>30</v>
      </c>
      <c r="M378" s="8">
        <v>0</v>
      </c>
      <c r="N378" s="6"/>
      <c r="O378" s="6"/>
      <c r="P378" s="9">
        <v>-15</v>
      </c>
    </row>
    <row r="379" spans="1:16" ht="19.5" customHeight="1">
      <c r="A379" s="1" t="s">
        <v>1646</v>
      </c>
      <c r="B379" s="5">
        <v>46004</v>
      </c>
      <c r="C379" s="1" t="s">
        <v>28</v>
      </c>
      <c r="D379" s="1" t="s">
        <v>29</v>
      </c>
      <c r="E379" s="1" t="s">
        <v>223</v>
      </c>
      <c r="F379" s="1" t="s">
        <v>395</v>
      </c>
      <c r="G379" s="1" t="s">
        <v>1229</v>
      </c>
      <c r="H379" s="6">
        <v>1</v>
      </c>
      <c r="I379" s="7">
        <v>1687</v>
      </c>
      <c r="J379" s="5">
        <v>45999</v>
      </c>
      <c r="K379" s="1" t="s">
        <v>957</v>
      </c>
      <c r="L379" s="1" t="s">
        <v>30</v>
      </c>
      <c r="M379" s="8">
        <v>0.43</v>
      </c>
      <c r="N379" s="6"/>
      <c r="O379" s="6">
        <v>39</v>
      </c>
      <c r="P379" s="9">
        <v>-108.57</v>
      </c>
    </row>
    <row r="380" spans="1:16" ht="19.5" customHeight="1">
      <c r="A380" s="1" t="s">
        <v>1646</v>
      </c>
      <c r="B380" s="5">
        <v>46004</v>
      </c>
      <c r="C380" s="1" t="s">
        <v>31</v>
      </c>
      <c r="D380" s="1" t="s">
        <v>32</v>
      </c>
      <c r="E380" s="1" t="s">
        <v>223</v>
      </c>
      <c r="F380" s="1" t="s">
        <v>395</v>
      </c>
      <c r="G380" s="1" t="s">
        <v>1229</v>
      </c>
      <c r="H380" s="6">
        <v>1</v>
      </c>
      <c r="I380" s="7">
        <v>1687</v>
      </c>
      <c r="J380" s="5">
        <v>45999</v>
      </c>
      <c r="K380" s="1" t="s">
        <v>957</v>
      </c>
      <c r="L380" s="1" t="s">
        <v>30</v>
      </c>
      <c r="M380" s="8">
        <v>0</v>
      </c>
      <c r="N380" s="6"/>
      <c r="O380" s="6"/>
      <c r="P380" s="9">
        <v>923.81</v>
      </c>
    </row>
    <row r="381" spans="1:16" ht="19.5" customHeight="1">
      <c r="A381" s="1" t="s">
        <v>1646</v>
      </c>
      <c r="B381" s="5">
        <v>46004</v>
      </c>
      <c r="C381" s="1" t="s">
        <v>31</v>
      </c>
      <c r="D381" s="1" t="s">
        <v>33</v>
      </c>
      <c r="E381" s="1" t="s">
        <v>223</v>
      </c>
      <c r="F381" s="1" t="s">
        <v>395</v>
      </c>
      <c r="G381" s="1" t="s">
        <v>1229</v>
      </c>
      <c r="H381" s="6">
        <v>1</v>
      </c>
      <c r="I381" s="7">
        <v>1687</v>
      </c>
      <c r="J381" s="5">
        <v>45999</v>
      </c>
      <c r="K381" s="1" t="s">
        <v>957</v>
      </c>
      <c r="L381" s="1" t="s">
        <v>30</v>
      </c>
      <c r="M381" s="8">
        <v>0</v>
      </c>
      <c r="N381" s="6"/>
      <c r="O381" s="6"/>
      <c r="P381" s="9">
        <v>0</v>
      </c>
    </row>
    <row r="382" spans="1:16" ht="19.5" customHeight="1">
      <c r="A382" s="1" t="s">
        <v>1646</v>
      </c>
      <c r="B382" s="5">
        <v>46004</v>
      </c>
      <c r="C382" s="1" t="s">
        <v>31</v>
      </c>
      <c r="D382" s="1" t="s">
        <v>34</v>
      </c>
      <c r="E382" s="1" t="s">
        <v>223</v>
      </c>
      <c r="F382" s="1" t="s">
        <v>395</v>
      </c>
      <c r="G382" s="1" t="s">
        <v>1229</v>
      </c>
      <c r="H382" s="6">
        <v>1</v>
      </c>
      <c r="I382" s="7">
        <v>1687</v>
      </c>
      <c r="J382" s="5">
        <v>45999</v>
      </c>
      <c r="K382" s="1" t="s">
        <v>957</v>
      </c>
      <c r="L382" s="1" t="s">
        <v>30</v>
      </c>
      <c r="M382" s="8">
        <v>0</v>
      </c>
      <c r="N382" s="6"/>
      <c r="O382" s="6"/>
      <c r="P382" s="9">
        <v>763.19</v>
      </c>
    </row>
    <row r="383" spans="1:16" ht="19.5" customHeight="1">
      <c r="A383" s="1" t="s">
        <v>1646</v>
      </c>
      <c r="B383" s="5">
        <v>46004</v>
      </c>
      <c r="C383" s="1" t="s">
        <v>35</v>
      </c>
      <c r="D383" s="1" t="s">
        <v>36</v>
      </c>
      <c r="E383" s="1" t="s">
        <v>223</v>
      </c>
      <c r="F383" s="1" t="s">
        <v>395</v>
      </c>
      <c r="G383" s="1" t="s">
        <v>1229</v>
      </c>
      <c r="H383" s="6">
        <v>1</v>
      </c>
      <c r="I383" s="7">
        <v>1687</v>
      </c>
      <c r="J383" s="5">
        <v>45999</v>
      </c>
      <c r="K383" s="1" t="s">
        <v>957</v>
      </c>
      <c r="L383" s="1" t="s">
        <v>30</v>
      </c>
      <c r="M383" s="8">
        <v>0.43</v>
      </c>
      <c r="N383" s="6"/>
      <c r="O383" s="6"/>
      <c r="P383" s="9">
        <v>-725.41</v>
      </c>
    </row>
    <row r="384" spans="1:16" ht="19.5" customHeight="1">
      <c r="A384" s="1" t="s">
        <v>1646</v>
      </c>
      <c r="B384" s="5">
        <v>46004</v>
      </c>
      <c r="C384" s="1" t="s">
        <v>17</v>
      </c>
      <c r="D384" s="1" t="s">
        <v>37</v>
      </c>
      <c r="E384" s="1" t="s">
        <v>223</v>
      </c>
      <c r="F384" s="1" t="s">
        <v>395</v>
      </c>
      <c r="G384" s="1" t="s">
        <v>1229</v>
      </c>
      <c r="H384" s="6">
        <v>1</v>
      </c>
      <c r="I384" s="7">
        <v>1687</v>
      </c>
      <c r="J384" s="5">
        <v>45999</v>
      </c>
      <c r="K384" s="1" t="s">
        <v>957</v>
      </c>
      <c r="L384" s="1" t="s">
        <v>30</v>
      </c>
      <c r="M384" s="8">
        <v>0.43</v>
      </c>
      <c r="N384" s="6"/>
      <c r="O384" s="6"/>
      <c r="P384" s="9">
        <v>-13.23</v>
      </c>
    </row>
    <row r="385" spans="1:16" ht="19.5" customHeight="1">
      <c r="A385" s="1" t="s">
        <v>1647</v>
      </c>
      <c r="B385" s="5">
        <v>46004</v>
      </c>
      <c r="C385" s="1" t="s">
        <v>28</v>
      </c>
      <c r="D385" s="1" t="s">
        <v>29</v>
      </c>
      <c r="E385" s="1" t="s">
        <v>19</v>
      </c>
      <c r="F385" s="1" t="s">
        <v>20</v>
      </c>
      <c r="G385" s="1" t="s">
        <v>1229</v>
      </c>
      <c r="H385" s="6">
        <v>1</v>
      </c>
      <c r="I385" s="7">
        <v>1233</v>
      </c>
      <c r="J385" s="5">
        <v>46002</v>
      </c>
      <c r="K385" s="1" t="s">
        <v>957</v>
      </c>
      <c r="L385" s="1" t="s">
        <v>30</v>
      </c>
      <c r="M385" s="8">
        <v>0.43</v>
      </c>
      <c r="N385" s="6"/>
      <c r="O385" s="6">
        <v>40</v>
      </c>
      <c r="P385" s="9">
        <v>-102.06</v>
      </c>
    </row>
    <row r="386" spans="1:16" ht="19.5" customHeight="1">
      <c r="A386" s="1" t="s">
        <v>1647</v>
      </c>
      <c r="B386" s="5">
        <v>46004</v>
      </c>
      <c r="C386" s="1" t="s">
        <v>31</v>
      </c>
      <c r="D386" s="1" t="s">
        <v>32</v>
      </c>
      <c r="E386" s="1" t="s">
        <v>19</v>
      </c>
      <c r="F386" s="1" t="s">
        <v>20</v>
      </c>
      <c r="G386" s="1" t="s">
        <v>1229</v>
      </c>
      <c r="H386" s="6">
        <v>1</v>
      </c>
      <c r="I386" s="7">
        <v>1233</v>
      </c>
      <c r="J386" s="5">
        <v>46002</v>
      </c>
      <c r="K386" s="1" t="s">
        <v>957</v>
      </c>
      <c r="L386" s="1" t="s">
        <v>30</v>
      </c>
      <c r="M386" s="8">
        <v>0</v>
      </c>
      <c r="N386" s="6"/>
      <c r="O386" s="6"/>
      <c r="P386" s="9">
        <v>550.48</v>
      </c>
    </row>
    <row r="387" spans="1:16" ht="19.5" customHeight="1">
      <c r="A387" s="1" t="s">
        <v>1647</v>
      </c>
      <c r="B387" s="5">
        <v>46004</v>
      </c>
      <c r="C387" s="1" t="s">
        <v>31</v>
      </c>
      <c r="D387" s="1" t="s">
        <v>33</v>
      </c>
      <c r="E387" s="1" t="s">
        <v>19</v>
      </c>
      <c r="F387" s="1" t="s">
        <v>20</v>
      </c>
      <c r="G387" s="1" t="s">
        <v>1229</v>
      </c>
      <c r="H387" s="6">
        <v>1</v>
      </c>
      <c r="I387" s="7">
        <v>1233</v>
      </c>
      <c r="J387" s="5">
        <v>46002</v>
      </c>
      <c r="K387" s="1" t="s">
        <v>957</v>
      </c>
      <c r="L387" s="1" t="s">
        <v>30</v>
      </c>
      <c r="M387" s="8">
        <v>0</v>
      </c>
      <c r="N387" s="6"/>
      <c r="O387" s="6"/>
      <c r="P387" s="9">
        <v>5.5</v>
      </c>
    </row>
    <row r="388" spans="1:16" ht="19.5" customHeight="1">
      <c r="A388" s="1" t="s">
        <v>1647</v>
      </c>
      <c r="B388" s="5">
        <v>46004</v>
      </c>
      <c r="C388" s="1" t="s">
        <v>31</v>
      </c>
      <c r="D388" s="1" t="s">
        <v>34</v>
      </c>
      <c r="E388" s="1" t="s">
        <v>19</v>
      </c>
      <c r="F388" s="1" t="s">
        <v>20</v>
      </c>
      <c r="G388" s="1" t="s">
        <v>1229</v>
      </c>
      <c r="H388" s="6">
        <v>1</v>
      </c>
      <c r="I388" s="7">
        <v>1233</v>
      </c>
      <c r="J388" s="5">
        <v>46002</v>
      </c>
      <c r="K388" s="1" t="s">
        <v>957</v>
      </c>
      <c r="L388" s="1" t="s">
        <v>30</v>
      </c>
      <c r="M388" s="8">
        <v>0</v>
      </c>
      <c r="N388" s="6"/>
      <c r="O388" s="6"/>
      <c r="P388" s="9">
        <v>677.02</v>
      </c>
    </row>
    <row r="389" spans="1:16" ht="19.5" customHeight="1">
      <c r="A389" s="1" t="s">
        <v>1647</v>
      </c>
      <c r="B389" s="5">
        <v>46004</v>
      </c>
      <c r="C389" s="1" t="s">
        <v>35</v>
      </c>
      <c r="D389" s="1" t="s">
        <v>36</v>
      </c>
      <c r="E389" s="1" t="s">
        <v>19</v>
      </c>
      <c r="F389" s="1" t="s">
        <v>20</v>
      </c>
      <c r="G389" s="1" t="s">
        <v>1229</v>
      </c>
      <c r="H389" s="6">
        <v>1</v>
      </c>
      <c r="I389" s="7">
        <v>1233</v>
      </c>
      <c r="J389" s="5">
        <v>46002</v>
      </c>
      <c r="K389" s="1" t="s">
        <v>957</v>
      </c>
      <c r="L389" s="1" t="s">
        <v>30</v>
      </c>
      <c r="M389" s="8">
        <v>0.43</v>
      </c>
      <c r="N389" s="6"/>
      <c r="O389" s="6"/>
      <c r="P389" s="9">
        <v>-530.19000000000005</v>
      </c>
    </row>
    <row r="390" spans="1:16" ht="19.5" customHeight="1">
      <c r="A390" s="1" t="s">
        <v>1647</v>
      </c>
      <c r="B390" s="5">
        <v>46004</v>
      </c>
      <c r="C390" s="1" t="s">
        <v>17</v>
      </c>
      <c r="D390" s="1" t="s">
        <v>37</v>
      </c>
      <c r="E390" s="1" t="s">
        <v>19</v>
      </c>
      <c r="F390" s="1" t="s">
        <v>20</v>
      </c>
      <c r="G390" s="1" t="s">
        <v>1229</v>
      </c>
      <c r="H390" s="6">
        <v>1</v>
      </c>
      <c r="I390" s="7">
        <v>1233</v>
      </c>
      <c r="J390" s="5">
        <v>46002</v>
      </c>
      <c r="K390" s="1" t="s">
        <v>957</v>
      </c>
      <c r="L390" s="1" t="s">
        <v>30</v>
      </c>
      <c r="M390" s="8">
        <v>0.43</v>
      </c>
      <c r="N390" s="6"/>
      <c r="O390" s="6"/>
      <c r="P390" s="9">
        <v>-6.1</v>
      </c>
    </row>
    <row r="391" spans="1:16" ht="19.5" customHeight="1">
      <c r="A391" s="1" t="s">
        <v>22</v>
      </c>
      <c r="B391" s="5">
        <v>46004</v>
      </c>
      <c r="C391" s="1" t="s">
        <v>77</v>
      </c>
      <c r="D391" s="1" t="s">
        <v>78</v>
      </c>
      <c r="E391" s="1" t="s">
        <v>22</v>
      </c>
      <c r="F391" s="1" t="s">
        <v>22</v>
      </c>
      <c r="G391" s="1" t="s">
        <v>1648</v>
      </c>
      <c r="H391" s="6">
        <v>0</v>
      </c>
      <c r="I391" s="7">
        <v>0</v>
      </c>
      <c r="J391" s="5">
        <v>46004</v>
      </c>
      <c r="K391" s="1" t="s">
        <v>22</v>
      </c>
      <c r="L391" s="1" t="s">
        <v>22</v>
      </c>
      <c r="M391" s="8">
        <v>0</v>
      </c>
      <c r="N391" s="6"/>
      <c r="O391" s="6"/>
      <c r="P391" s="9">
        <v>-450</v>
      </c>
    </row>
    <row r="392" spans="1:16" ht="19.5" customHeight="1">
      <c r="A392" s="1" t="s">
        <v>1649</v>
      </c>
      <c r="B392" s="5">
        <v>46004</v>
      </c>
      <c r="C392" s="1" t="s">
        <v>17</v>
      </c>
      <c r="D392" s="1" t="s">
        <v>18</v>
      </c>
      <c r="E392" s="1" t="s">
        <v>1054</v>
      </c>
      <c r="F392" s="1" t="s">
        <v>1297</v>
      </c>
      <c r="G392" s="1" t="s">
        <v>1298</v>
      </c>
      <c r="H392" s="6">
        <v>1</v>
      </c>
      <c r="I392" s="7">
        <v>0</v>
      </c>
      <c r="J392" s="5">
        <v>46004</v>
      </c>
      <c r="K392" s="1" t="s">
        <v>22</v>
      </c>
      <c r="L392" s="1" t="s">
        <v>22</v>
      </c>
      <c r="M392" s="8">
        <v>0</v>
      </c>
      <c r="N392" s="6"/>
      <c r="O392" s="6"/>
      <c r="P392" s="9">
        <v>-15.24</v>
      </c>
    </row>
    <row r="393" spans="1:16" ht="19.5" customHeight="1">
      <c r="A393" s="1" t="s">
        <v>1637</v>
      </c>
      <c r="B393" s="5">
        <v>46004</v>
      </c>
      <c r="C393" s="1" t="s">
        <v>77</v>
      </c>
      <c r="D393" s="1" t="s">
        <v>82</v>
      </c>
      <c r="E393" s="1" t="s">
        <v>22</v>
      </c>
      <c r="F393" s="1" t="s">
        <v>22</v>
      </c>
      <c r="G393" s="1" t="s">
        <v>22</v>
      </c>
      <c r="H393" s="6">
        <v>0</v>
      </c>
      <c r="I393" s="7">
        <v>0</v>
      </c>
      <c r="J393" s="5">
        <v>46004</v>
      </c>
      <c r="K393" s="1" t="s">
        <v>22</v>
      </c>
      <c r="L393" s="1" t="s">
        <v>22</v>
      </c>
      <c r="M393" s="8">
        <v>0</v>
      </c>
      <c r="N393" s="6"/>
      <c r="O393" s="6"/>
      <c r="P393" s="9">
        <v>-274.04000000000002</v>
      </c>
    </row>
    <row r="394" spans="1:16" ht="19.5" customHeight="1">
      <c r="A394" s="1" t="s">
        <v>1376</v>
      </c>
      <c r="B394" s="5">
        <v>46004</v>
      </c>
      <c r="C394" s="1" t="s">
        <v>77</v>
      </c>
      <c r="D394" s="1" t="s">
        <v>82</v>
      </c>
      <c r="E394" s="1" t="s">
        <v>22</v>
      </c>
      <c r="F394" s="1" t="s">
        <v>22</v>
      </c>
      <c r="G394" s="1" t="s">
        <v>22</v>
      </c>
      <c r="H394" s="6">
        <v>0</v>
      </c>
      <c r="I394" s="7">
        <v>0</v>
      </c>
      <c r="J394" s="5">
        <v>46004</v>
      </c>
      <c r="K394" s="1" t="s">
        <v>22</v>
      </c>
      <c r="L394" s="1" t="s">
        <v>22</v>
      </c>
      <c r="M394" s="8">
        <v>0</v>
      </c>
      <c r="N394" s="6"/>
      <c r="O394" s="6"/>
      <c r="P394" s="9">
        <v>-427.73</v>
      </c>
    </row>
    <row r="395" spans="1:16" ht="19.5" customHeight="1">
      <c r="A395" s="1" t="s">
        <v>1075</v>
      </c>
      <c r="B395" s="5">
        <v>46004</v>
      </c>
      <c r="C395" s="1" t="s">
        <v>77</v>
      </c>
      <c r="D395" s="1" t="s">
        <v>82</v>
      </c>
      <c r="E395" s="1" t="s">
        <v>22</v>
      </c>
      <c r="F395" s="1" t="s">
        <v>22</v>
      </c>
      <c r="G395" s="1" t="s">
        <v>22</v>
      </c>
      <c r="H395" s="6">
        <v>0</v>
      </c>
      <c r="I395" s="7">
        <v>0</v>
      </c>
      <c r="J395" s="5">
        <v>46004</v>
      </c>
      <c r="K395" s="1" t="s">
        <v>22</v>
      </c>
      <c r="L395" s="1" t="s">
        <v>22</v>
      </c>
      <c r="M395" s="8">
        <v>0</v>
      </c>
      <c r="N395" s="6"/>
      <c r="O395" s="6"/>
      <c r="P395" s="9">
        <v>-416.17</v>
      </c>
    </row>
    <row r="396" spans="1:16" ht="19.5" customHeight="1">
      <c r="A396" s="1" t="s">
        <v>83</v>
      </c>
      <c r="B396" s="5">
        <v>46004</v>
      </c>
      <c r="C396" s="1" t="s">
        <v>77</v>
      </c>
      <c r="D396" s="1" t="s">
        <v>84</v>
      </c>
      <c r="E396" s="1" t="s">
        <v>22</v>
      </c>
      <c r="F396" s="1" t="s">
        <v>22</v>
      </c>
      <c r="G396" s="1" t="s">
        <v>22</v>
      </c>
      <c r="H396" s="6">
        <v>0</v>
      </c>
      <c r="I396" s="7">
        <v>0</v>
      </c>
      <c r="J396" s="5">
        <v>46004</v>
      </c>
      <c r="K396" s="1" t="s">
        <v>22</v>
      </c>
      <c r="L396" s="1" t="s">
        <v>22</v>
      </c>
      <c r="M396" s="8">
        <v>0</v>
      </c>
      <c r="N396" s="6"/>
      <c r="O396" s="6"/>
      <c r="P396" s="9">
        <v>-496.8</v>
      </c>
    </row>
    <row r="397" spans="1:16" ht="19.5" customHeight="1">
      <c r="A397" s="1" t="s">
        <v>1650</v>
      </c>
      <c r="B397" s="5">
        <v>46005</v>
      </c>
      <c r="C397" s="1" t="s">
        <v>28</v>
      </c>
      <c r="D397" s="1" t="s">
        <v>29</v>
      </c>
      <c r="E397" s="1" t="s">
        <v>54</v>
      </c>
      <c r="F397" s="1" t="s">
        <v>55</v>
      </c>
      <c r="G397" s="1" t="s">
        <v>1229</v>
      </c>
      <c r="H397" s="6">
        <v>1</v>
      </c>
      <c r="I397" s="7">
        <v>1536</v>
      </c>
      <c r="J397" s="5">
        <v>46002</v>
      </c>
      <c r="K397" s="1" t="s">
        <v>957</v>
      </c>
      <c r="L397" s="1" t="s">
        <v>30</v>
      </c>
      <c r="M397" s="8">
        <v>0.43</v>
      </c>
      <c r="N397" s="6"/>
      <c r="O397" s="6">
        <v>40</v>
      </c>
      <c r="P397" s="9">
        <v>-109.79</v>
      </c>
    </row>
    <row r="398" spans="1:16" ht="19.5" customHeight="1">
      <c r="A398" s="1" t="s">
        <v>1650</v>
      </c>
      <c r="B398" s="5">
        <v>46005</v>
      </c>
      <c r="C398" s="1" t="s">
        <v>31</v>
      </c>
      <c r="D398" s="1" t="s">
        <v>32</v>
      </c>
      <c r="E398" s="1" t="s">
        <v>54</v>
      </c>
      <c r="F398" s="1" t="s">
        <v>55</v>
      </c>
      <c r="G398" s="1" t="s">
        <v>1229</v>
      </c>
      <c r="H398" s="6">
        <v>1</v>
      </c>
      <c r="I398" s="7">
        <v>1536</v>
      </c>
      <c r="J398" s="5">
        <v>46002</v>
      </c>
      <c r="K398" s="1" t="s">
        <v>957</v>
      </c>
      <c r="L398" s="1" t="s">
        <v>30</v>
      </c>
      <c r="M398" s="8">
        <v>0</v>
      </c>
      <c r="N398" s="6"/>
      <c r="O398" s="6"/>
      <c r="P398" s="9">
        <v>657.14</v>
      </c>
    </row>
    <row r="399" spans="1:16" ht="19.5" customHeight="1">
      <c r="A399" s="1" t="s">
        <v>1650</v>
      </c>
      <c r="B399" s="5">
        <v>46005</v>
      </c>
      <c r="C399" s="1" t="s">
        <v>31</v>
      </c>
      <c r="D399" s="1" t="s">
        <v>33</v>
      </c>
      <c r="E399" s="1" t="s">
        <v>54</v>
      </c>
      <c r="F399" s="1" t="s">
        <v>55</v>
      </c>
      <c r="G399" s="1" t="s">
        <v>1229</v>
      </c>
      <c r="H399" s="6">
        <v>1</v>
      </c>
      <c r="I399" s="7">
        <v>1536</v>
      </c>
      <c r="J399" s="5">
        <v>46002</v>
      </c>
      <c r="K399" s="1" t="s">
        <v>957</v>
      </c>
      <c r="L399" s="1" t="s">
        <v>30</v>
      </c>
      <c r="M399" s="8">
        <v>0</v>
      </c>
      <c r="N399" s="6"/>
      <c r="O399" s="6"/>
      <c r="P399" s="9">
        <v>6.57</v>
      </c>
    </row>
    <row r="400" spans="1:16" ht="19.5" customHeight="1">
      <c r="A400" s="1" t="s">
        <v>1650</v>
      </c>
      <c r="B400" s="5">
        <v>46005</v>
      </c>
      <c r="C400" s="1" t="s">
        <v>31</v>
      </c>
      <c r="D400" s="1" t="s">
        <v>34</v>
      </c>
      <c r="E400" s="1" t="s">
        <v>54</v>
      </c>
      <c r="F400" s="1" t="s">
        <v>55</v>
      </c>
      <c r="G400" s="1" t="s">
        <v>1229</v>
      </c>
      <c r="H400" s="6">
        <v>1</v>
      </c>
      <c r="I400" s="7">
        <v>1536</v>
      </c>
      <c r="J400" s="5">
        <v>46002</v>
      </c>
      <c r="K400" s="1" t="s">
        <v>957</v>
      </c>
      <c r="L400" s="1" t="s">
        <v>30</v>
      </c>
      <c r="M400" s="8">
        <v>0</v>
      </c>
      <c r="N400" s="6"/>
      <c r="O400" s="6"/>
      <c r="P400" s="9">
        <v>872.29</v>
      </c>
    </row>
    <row r="401" spans="1:16" ht="19.5" customHeight="1">
      <c r="A401" s="1" t="s">
        <v>1650</v>
      </c>
      <c r="B401" s="5">
        <v>46005</v>
      </c>
      <c r="C401" s="1" t="s">
        <v>35</v>
      </c>
      <c r="D401" s="1" t="s">
        <v>36</v>
      </c>
      <c r="E401" s="1" t="s">
        <v>54</v>
      </c>
      <c r="F401" s="1" t="s">
        <v>55</v>
      </c>
      <c r="G401" s="1" t="s">
        <v>1229</v>
      </c>
      <c r="H401" s="6">
        <v>1</v>
      </c>
      <c r="I401" s="7">
        <v>1536</v>
      </c>
      <c r="J401" s="5">
        <v>46002</v>
      </c>
      <c r="K401" s="1" t="s">
        <v>957</v>
      </c>
      <c r="L401" s="1" t="s">
        <v>30</v>
      </c>
      <c r="M401" s="8">
        <v>0.43</v>
      </c>
      <c r="N401" s="6"/>
      <c r="O401" s="6"/>
      <c r="P401" s="9">
        <v>-660.48</v>
      </c>
    </row>
    <row r="402" spans="1:16" ht="19.5" customHeight="1">
      <c r="A402" s="1" t="s">
        <v>1650</v>
      </c>
      <c r="B402" s="5">
        <v>46005</v>
      </c>
      <c r="C402" s="1" t="s">
        <v>17</v>
      </c>
      <c r="D402" s="1" t="s">
        <v>37</v>
      </c>
      <c r="E402" s="1" t="s">
        <v>54</v>
      </c>
      <c r="F402" s="1" t="s">
        <v>55</v>
      </c>
      <c r="G402" s="1" t="s">
        <v>1229</v>
      </c>
      <c r="H402" s="6">
        <v>1</v>
      </c>
      <c r="I402" s="7">
        <v>1536</v>
      </c>
      <c r="J402" s="5">
        <v>46002</v>
      </c>
      <c r="K402" s="1" t="s">
        <v>957</v>
      </c>
      <c r="L402" s="1" t="s">
        <v>30</v>
      </c>
      <c r="M402" s="8">
        <v>0.43</v>
      </c>
      <c r="N402" s="6"/>
      <c r="O402" s="6"/>
      <c r="P402" s="9">
        <v>-15.4</v>
      </c>
    </row>
    <row r="403" spans="1:16" ht="19.5" customHeight="1">
      <c r="A403" s="1" t="s">
        <v>1650</v>
      </c>
      <c r="B403" s="5">
        <v>46005</v>
      </c>
      <c r="C403" s="1" t="s">
        <v>17</v>
      </c>
      <c r="D403" s="1" t="s">
        <v>18</v>
      </c>
      <c r="E403" s="1" t="s">
        <v>54</v>
      </c>
      <c r="F403" s="1" t="s">
        <v>55</v>
      </c>
      <c r="G403" s="1" t="s">
        <v>1229</v>
      </c>
      <c r="H403" s="6">
        <v>1</v>
      </c>
      <c r="I403" s="7">
        <v>0</v>
      </c>
      <c r="J403" s="5">
        <v>46002</v>
      </c>
      <c r="K403" s="1" t="s">
        <v>22</v>
      </c>
      <c r="L403" s="1" t="s">
        <v>22</v>
      </c>
      <c r="M403" s="8">
        <v>0</v>
      </c>
      <c r="N403" s="6"/>
      <c r="O403" s="6"/>
      <c r="P403" s="9">
        <v>-12.49</v>
      </c>
    </row>
    <row r="404" spans="1:16" ht="19.5" customHeight="1">
      <c r="A404" s="1" t="s">
        <v>1651</v>
      </c>
      <c r="B404" s="5">
        <v>46005</v>
      </c>
      <c r="C404" s="1" t="s">
        <v>17</v>
      </c>
      <c r="D404" s="1" t="s">
        <v>18</v>
      </c>
      <c r="E404" s="1" t="s">
        <v>228</v>
      </c>
      <c r="F404" s="1" t="s">
        <v>393</v>
      </c>
      <c r="G404" s="1" t="s">
        <v>1229</v>
      </c>
      <c r="H404" s="6">
        <v>1</v>
      </c>
      <c r="I404" s="7">
        <v>0</v>
      </c>
      <c r="J404" s="5">
        <v>46005</v>
      </c>
      <c r="K404" s="1" t="s">
        <v>22</v>
      </c>
      <c r="L404" s="1" t="s">
        <v>22</v>
      </c>
      <c r="M404" s="8">
        <v>0</v>
      </c>
      <c r="N404" s="6"/>
      <c r="O404" s="6"/>
      <c r="P404" s="9">
        <v>-1.66</v>
      </c>
    </row>
    <row r="405" spans="1:16" ht="19.5" customHeight="1">
      <c r="A405" s="1" t="s">
        <v>1652</v>
      </c>
      <c r="B405" s="5">
        <v>46005</v>
      </c>
      <c r="C405" s="1" t="s">
        <v>28</v>
      </c>
      <c r="D405" s="1" t="s">
        <v>29</v>
      </c>
      <c r="E405" s="1" t="s">
        <v>92</v>
      </c>
      <c r="F405" s="1" t="s">
        <v>93</v>
      </c>
      <c r="G405" s="1" t="s">
        <v>1229</v>
      </c>
      <c r="H405" s="6">
        <v>1</v>
      </c>
      <c r="I405" s="7">
        <v>1101</v>
      </c>
      <c r="J405" s="5">
        <v>46002</v>
      </c>
      <c r="K405" s="1" t="s">
        <v>957</v>
      </c>
      <c r="L405" s="1" t="s">
        <v>30</v>
      </c>
      <c r="M405" s="8">
        <v>0.43</v>
      </c>
      <c r="N405" s="6"/>
      <c r="O405" s="6">
        <v>40</v>
      </c>
      <c r="P405" s="9">
        <v>-98.7</v>
      </c>
    </row>
    <row r="406" spans="1:16" ht="19.5" customHeight="1">
      <c r="A406" s="1" t="s">
        <v>1652</v>
      </c>
      <c r="B406" s="5">
        <v>46005</v>
      </c>
      <c r="C406" s="1" t="s">
        <v>31</v>
      </c>
      <c r="D406" s="1" t="s">
        <v>32</v>
      </c>
      <c r="E406" s="1" t="s">
        <v>92</v>
      </c>
      <c r="F406" s="1" t="s">
        <v>93</v>
      </c>
      <c r="G406" s="1" t="s">
        <v>1229</v>
      </c>
      <c r="H406" s="6">
        <v>1</v>
      </c>
      <c r="I406" s="7">
        <v>1101</v>
      </c>
      <c r="J406" s="5">
        <v>46002</v>
      </c>
      <c r="K406" s="1" t="s">
        <v>957</v>
      </c>
      <c r="L406" s="1" t="s">
        <v>30</v>
      </c>
      <c r="M406" s="8">
        <v>0</v>
      </c>
      <c r="N406" s="6"/>
      <c r="O406" s="6"/>
      <c r="P406" s="9">
        <v>533.02</v>
      </c>
    </row>
    <row r="407" spans="1:16" ht="19.5" customHeight="1">
      <c r="A407" s="1" t="s">
        <v>1652</v>
      </c>
      <c r="B407" s="5">
        <v>46005</v>
      </c>
      <c r="C407" s="1" t="s">
        <v>31</v>
      </c>
      <c r="D407" s="1" t="s">
        <v>33</v>
      </c>
      <c r="E407" s="1" t="s">
        <v>92</v>
      </c>
      <c r="F407" s="1" t="s">
        <v>93</v>
      </c>
      <c r="G407" s="1" t="s">
        <v>1229</v>
      </c>
      <c r="H407" s="6">
        <v>1</v>
      </c>
      <c r="I407" s="7">
        <v>1101</v>
      </c>
      <c r="J407" s="5">
        <v>46002</v>
      </c>
      <c r="K407" s="1" t="s">
        <v>957</v>
      </c>
      <c r="L407" s="1" t="s">
        <v>30</v>
      </c>
      <c r="M407" s="8">
        <v>0</v>
      </c>
      <c r="N407" s="6"/>
      <c r="O407" s="6"/>
      <c r="P407" s="9">
        <v>5.33</v>
      </c>
    </row>
    <row r="408" spans="1:16" ht="19.5" customHeight="1">
      <c r="A408" s="1" t="s">
        <v>1652</v>
      </c>
      <c r="B408" s="5">
        <v>46005</v>
      </c>
      <c r="C408" s="1" t="s">
        <v>31</v>
      </c>
      <c r="D408" s="1" t="s">
        <v>34</v>
      </c>
      <c r="E408" s="1" t="s">
        <v>92</v>
      </c>
      <c r="F408" s="1" t="s">
        <v>93</v>
      </c>
      <c r="G408" s="1" t="s">
        <v>1229</v>
      </c>
      <c r="H408" s="6">
        <v>1</v>
      </c>
      <c r="I408" s="7">
        <v>1101</v>
      </c>
      <c r="J408" s="5">
        <v>46002</v>
      </c>
      <c r="K408" s="1" t="s">
        <v>957</v>
      </c>
      <c r="L408" s="1" t="s">
        <v>30</v>
      </c>
      <c r="M408" s="8">
        <v>0</v>
      </c>
      <c r="N408" s="6"/>
      <c r="O408" s="6"/>
      <c r="P408" s="9">
        <v>562.65</v>
      </c>
    </row>
    <row r="409" spans="1:16" ht="19.5" customHeight="1">
      <c r="A409" s="1" t="s">
        <v>1652</v>
      </c>
      <c r="B409" s="5">
        <v>46005</v>
      </c>
      <c r="C409" s="1" t="s">
        <v>35</v>
      </c>
      <c r="D409" s="1" t="s">
        <v>36</v>
      </c>
      <c r="E409" s="1" t="s">
        <v>92</v>
      </c>
      <c r="F409" s="1" t="s">
        <v>93</v>
      </c>
      <c r="G409" s="1" t="s">
        <v>1229</v>
      </c>
      <c r="H409" s="6">
        <v>1</v>
      </c>
      <c r="I409" s="7">
        <v>1101</v>
      </c>
      <c r="J409" s="5">
        <v>46002</v>
      </c>
      <c r="K409" s="1" t="s">
        <v>957</v>
      </c>
      <c r="L409" s="1" t="s">
        <v>30</v>
      </c>
      <c r="M409" s="8">
        <v>0.43</v>
      </c>
      <c r="N409" s="6"/>
      <c r="O409" s="6"/>
      <c r="P409" s="9">
        <v>-473.43</v>
      </c>
    </row>
    <row r="410" spans="1:16" ht="19.5" customHeight="1">
      <c r="A410" s="1" t="s">
        <v>1652</v>
      </c>
      <c r="B410" s="5">
        <v>46005</v>
      </c>
      <c r="C410" s="1" t="s">
        <v>17</v>
      </c>
      <c r="D410" s="1" t="s">
        <v>37</v>
      </c>
      <c r="E410" s="1" t="s">
        <v>92</v>
      </c>
      <c r="F410" s="1" t="s">
        <v>93</v>
      </c>
      <c r="G410" s="1" t="s">
        <v>1229</v>
      </c>
      <c r="H410" s="6">
        <v>1</v>
      </c>
      <c r="I410" s="7">
        <v>1101</v>
      </c>
      <c r="J410" s="5">
        <v>46002</v>
      </c>
      <c r="K410" s="1" t="s">
        <v>957</v>
      </c>
      <c r="L410" s="1" t="s">
        <v>30</v>
      </c>
      <c r="M410" s="8">
        <v>0.43</v>
      </c>
      <c r="N410" s="6"/>
      <c r="O410" s="6"/>
      <c r="P410" s="9">
        <v>-5.56</v>
      </c>
    </row>
    <row r="411" spans="1:16" ht="19.5" customHeight="1">
      <c r="A411" s="1" t="s">
        <v>1653</v>
      </c>
      <c r="B411" s="5">
        <v>46005</v>
      </c>
      <c r="C411" s="1" t="s">
        <v>28</v>
      </c>
      <c r="D411" s="1" t="s">
        <v>29</v>
      </c>
      <c r="E411" s="1" t="s">
        <v>25</v>
      </c>
      <c r="F411" s="1" t="s">
        <v>26</v>
      </c>
      <c r="G411" s="1" t="s">
        <v>1229</v>
      </c>
      <c r="H411" s="6">
        <v>1</v>
      </c>
      <c r="I411" s="7">
        <v>1738</v>
      </c>
      <c r="J411" s="5">
        <v>45997</v>
      </c>
      <c r="K411" s="1" t="s">
        <v>957</v>
      </c>
      <c r="L411" s="1" t="s">
        <v>30</v>
      </c>
      <c r="M411" s="8">
        <v>0.43</v>
      </c>
      <c r="N411" s="6"/>
      <c r="O411" s="6">
        <v>38</v>
      </c>
      <c r="P411" s="9">
        <v>-104.48</v>
      </c>
    </row>
    <row r="412" spans="1:16" ht="19.5" customHeight="1">
      <c r="A412" s="1" t="s">
        <v>1653</v>
      </c>
      <c r="B412" s="5">
        <v>46005</v>
      </c>
      <c r="C412" s="1" t="s">
        <v>31</v>
      </c>
      <c r="D412" s="1" t="s">
        <v>32</v>
      </c>
      <c r="E412" s="1" t="s">
        <v>25</v>
      </c>
      <c r="F412" s="1" t="s">
        <v>26</v>
      </c>
      <c r="G412" s="1" t="s">
        <v>1229</v>
      </c>
      <c r="H412" s="6">
        <v>1</v>
      </c>
      <c r="I412" s="7">
        <v>1738</v>
      </c>
      <c r="J412" s="5">
        <v>45997</v>
      </c>
      <c r="K412" s="1" t="s">
        <v>957</v>
      </c>
      <c r="L412" s="1" t="s">
        <v>30</v>
      </c>
      <c r="M412" s="8">
        <v>0</v>
      </c>
      <c r="N412" s="6"/>
      <c r="O412" s="6"/>
      <c r="P412" s="9">
        <v>855.38</v>
      </c>
    </row>
    <row r="413" spans="1:16" ht="19.5" customHeight="1">
      <c r="A413" s="1" t="s">
        <v>1653</v>
      </c>
      <c r="B413" s="5">
        <v>46005</v>
      </c>
      <c r="C413" s="1" t="s">
        <v>31</v>
      </c>
      <c r="D413" s="1" t="s">
        <v>33</v>
      </c>
      <c r="E413" s="1" t="s">
        <v>25</v>
      </c>
      <c r="F413" s="1" t="s">
        <v>26</v>
      </c>
      <c r="G413" s="1" t="s">
        <v>1229</v>
      </c>
      <c r="H413" s="6">
        <v>1</v>
      </c>
      <c r="I413" s="7">
        <v>1738</v>
      </c>
      <c r="J413" s="5">
        <v>45997</v>
      </c>
      <c r="K413" s="1" t="s">
        <v>957</v>
      </c>
      <c r="L413" s="1" t="s">
        <v>30</v>
      </c>
      <c r="M413" s="8">
        <v>0</v>
      </c>
      <c r="N413" s="6"/>
      <c r="O413" s="6"/>
      <c r="P413" s="9">
        <v>8.5500000000000007</v>
      </c>
    </row>
    <row r="414" spans="1:16" ht="19.5" customHeight="1">
      <c r="A414" s="1" t="s">
        <v>1653</v>
      </c>
      <c r="B414" s="5">
        <v>46005</v>
      </c>
      <c r="C414" s="1" t="s">
        <v>31</v>
      </c>
      <c r="D414" s="1" t="s">
        <v>34</v>
      </c>
      <c r="E414" s="1" t="s">
        <v>25</v>
      </c>
      <c r="F414" s="1" t="s">
        <v>26</v>
      </c>
      <c r="G414" s="1" t="s">
        <v>1229</v>
      </c>
      <c r="H414" s="6">
        <v>1</v>
      </c>
      <c r="I414" s="7">
        <v>1738</v>
      </c>
      <c r="J414" s="5">
        <v>45997</v>
      </c>
      <c r="K414" s="1" t="s">
        <v>957</v>
      </c>
      <c r="L414" s="1" t="s">
        <v>30</v>
      </c>
      <c r="M414" s="8">
        <v>0</v>
      </c>
      <c r="N414" s="6"/>
      <c r="O414" s="6"/>
      <c r="P414" s="9">
        <v>874.07</v>
      </c>
    </row>
    <row r="415" spans="1:16" ht="19.5" customHeight="1">
      <c r="A415" s="1" t="s">
        <v>1653</v>
      </c>
      <c r="B415" s="5">
        <v>46005</v>
      </c>
      <c r="C415" s="1" t="s">
        <v>35</v>
      </c>
      <c r="D415" s="1" t="s">
        <v>36</v>
      </c>
      <c r="E415" s="1" t="s">
        <v>25</v>
      </c>
      <c r="F415" s="1" t="s">
        <v>26</v>
      </c>
      <c r="G415" s="1" t="s">
        <v>1229</v>
      </c>
      <c r="H415" s="6">
        <v>1</v>
      </c>
      <c r="I415" s="7">
        <v>1738</v>
      </c>
      <c r="J415" s="5">
        <v>45997</v>
      </c>
      <c r="K415" s="1" t="s">
        <v>957</v>
      </c>
      <c r="L415" s="1" t="s">
        <v>30</v>
      </c>
      <c r="M415" s="8">
        <v>0.43</v>
      </c>
      <c r="N415" s="6"/>
      <c r="O415" s="6"/>
      <c r="P415" s="9">
        <v>-747.34</v>
      </c>
    </row>
    <row r="416" spans="1:16" ht="19.5" customHeight="1">
      <c r="A416" s="1" t="s">
        <v>1653</v>
      </c>
      <c r="B416" s="5">
        <v>46005</v>
      </c>
      <c r="C416" s="1" t="s">
        <v>17</v>
      </c>
      <c r="D416" s="1" t="s">
        <v>37</v>
      </c>
      <c r="E416" s="1" t="s">
        <v>25</v>
      </c>
      <c r="F416" s="1" t="s">
        <v>26</v>
      </c>
      <c r="G416" s="1" t="s">
        <v>1229</v>
      </c>
      <c r="H416" s="6">
        <v>1</v>
      </c>
      <c r="I416" s="7">
        <v>1738</v>
      </c>
      <c r="J416" s="5">
        <v>45997</v>
      </c>
      <c r="K416" s="1" t="s">
        <v>957</v>
      </c>
      <c r="L416" s="1" t="s">
        <v>30</v>
      </c>
      <c r="M416" s="8">
        <v>0.43</v>
      </c>
      <c r="N416" s="6"/>
      <c r="O416" s="6"/>
      <c r="P416" s="9">
        <v>-8.1</v>
      </c>
    </row>
    <row r="417" spans="1:16" ht="19.5" customHeight="1">
      <c r="A417" s="1" t="s">
        <v>1634</v>
      </c>
      <c r="B417" s="5">
        <v>46005</v>
      </c>
      <c r="C417" s="1" t="s">
        <v>28</v>
      </c>
      <c r="D417" s="1" t="s">
        <v>29</v>
      </c>
      <c r="E417" s="1" t="s">
        <v>223</v>
      </c>
      <c r="F417" s="1" t="s">
        <v>395</v>
      </c>
      <c r="G417" s="1" t="s">
        <v>1229</v>
      </c>
      <c r="H417" s="6">
        <v>1</v>
      </c>
      <c r="I417" s="7">
        <v>1687</v>
      </c>
      <c r="J417" s="5">
        <v>45997</v>
      </c>
      <c r="K417" s="1" t="s">
        <v>957</v>
      </c>
      <c r="L417" s="1" t="s">
        <v>30</v>
      </c>
      <c r="M417" s="8">
        <v>0.43</v>
      </c>
      <c r="N417" s="6"/>
      <c r="O417" s="6">
        <v>38</v>
      </c>
      <c r="P417" s="9">
        <v>-103.35</v>
      </c>
    </row>
    <row r="418" spans="1:16" ht="19.5" customHeight="1">
      <c r="A418" s="1" t="s">
        <v>1634</v>
      </c>
      <c r="B418" s="5">
        <v>46005</v>
      </c>
      <c r="C418" s="1" t="s">
        <v>31</v>
      </c>
      <c r="D418" s="1" t="s">
        <v>32</v>
      </c>
      <c r="E418" s="1" t="s">
        <v>223</v>
      </c>
      <c r="F418" s="1" t="s">
        <v>395</v>
      </c>
      <c r="G418" s="1" t="s">
        <v>1229</v>
      </c>
      <c r="H418" s="6">
        <v>1</v>
      </c>
      <c r="I418" s="7">
        <v>1687</v>
      </c>
      <c r="J418" s="5">
        <v>45997</v>
      </c>
      <c r="K418" s="1" t="s">
        <v>957</v>
      </c>
      <c r="L418" s="1" t="s">
        <v>30</v>
      </c>
      <c r="M418" s="8">
        <v>0</v>
      </c>
      <c r="N418" s="6"/>
      <c r="O418" s="6"/>
      <c r="P418" s="9">
        <v>842.06</v>
      </c>
    </row>
    <row r="419" spans="1:16" ht="19.5" customHeight="1">
      <c r="A419" s="1" t="s">
        <v>1634</v>
      </c>
      <c r="B419" s="5">
        <v>46005</v>
      </c>
      <c r="C419" s="1" t="s">
        <v>31</v>
      </c>
      <c r="D419" s="1" t="s">
        <v>33</v>
      </c>
      <c r="E419" s="1" t="s">
        <v>223</v>
      </c>
      <c r="F419" s="1" t="s">
        <v>395</v>
      </c>
      <c r="G419" s="1" t="s">
        <v>1229</v>
      </c>
      <c r="H419" s="6">
        <v>1</v>
      </c>
      <c r="I419" s="7">
        <v>1687</v>
      </c>
      <c r="J419" s="5">
        <v>45997</v>
      </c>
      <c r="K419" s="1" t="s">
        <v>957</v>
      </c>
      <c r="L419" s="1" t="s">
        <v>30</v>
      </c>
      <c r="M419" s="8">
        <v>0</v>
      </c>
      <c r="N419" s="6"/>
      <c r="O419" s="6"/>
      <c r="P419" s="9">
        <v>8.42</v>
      </c>
    </row>
    <row r="420" spans="1:16" ht="19.5" customHeight="1">
      <c r="A420" s="1" t="s">
        <v>1634</v>
      </c>
      <c r="B420" s="5">
        <v>46005</v>
      </c>
      <c r="C420" s="1" t="s">
        <v>31</v>
      </c>
      <c r="D420" s="1" t="s">
        <v>34</v>
      </c>
      <c r="E420" s="1" t="s">
        <v>223</v>
      </c>
      <c r="F420" s="1" t="s">
        <v>395</v>
      </c>
      <c r="G420" s="1" t="s">
        <v>1229</v>
      </c>
      <c r="H420" s="6">
        <v>1</v>
      </c>
      <c r="I420" s="7">
        <v>1687</v>
      </c>
      <c r="J420" s="5">
        <v>45997</v>
      </c>
      <c r="K420" s="1" t="s">
        <v>957</v>
      </c>
      <c r="L420" s="1" t="s">
        <v>30</v>
      </c>
      <c r="M420" s="8">
        <v>0</v>
      </c>
      <c r="N420" s="6"/>
      <c r="O420" s="6"/>
      <c r="P420" s="9">
        <v>836.52</v>
      </c>
    </row>
    <row r="421" spans="1:16" ht="19.5" customHeight="1">
      <c r="A421" s="1" t="s">
        <v>1634</v>
      </c>
      <c r="B421" s="5">
        <v>46005</v>
      </c>
      <c r="C421" s="1" t="s">
        <v>35</v>
      </c>
      <c r="D421" s="1" t="s">
        <v>36</v>
      </c>
      <c r="E421" s="1" t="s">
        <v>223</v>
      </c>
      <c r="F421" s="1" t="s">
        <v>395</v>
      </c>
      <c r="G421" s="1" t="s">
        <v>1229</v>
      </c>
      <c r="H421" s="6">
        <v>1</v>
      </c>
      <c r="I421" s="7">
        <v>1687</v>
      </c>
      <c r="J421" s="5">
        <v>45997</v>
      </c>
      <c r="K421" s="1" t="s">
        <v>957</v>
      </c>
      <c r="L421" s="1" t="s">
        <v>30</v>
      </c>
      <c r="M421" s="8">
        <v>0.43</v>
      </c>
      <c r="N421" s="6"/>
      <c r="O421" s="6"/>
      <c r="P421" s="9">
        <v>-725.41</v>
      </c>
    </row>
    <row r="422" spans="1:16" ht="19.5" customHeight="1">
      <c r="A422" s="1" t="s">
        <v>1634</v>
      </c>
      <c r="B422" s="5">
        <v>46005</v>
      </c>
      <c r="C422" s="1" t="s">
        <v>17</v>
      </c>
      <c r="D422" s="1" t="s">
        <v>37</v>
      </c>
      <c r="E422" s="1" t="s">
        <v>223</v>
      </c>
      <c r="F422" s="1" t="s">
        <v>395</v>
      </c>
      <c r="G422" s="1" t="s">
        <v>1229</v>
      </c>
      <c r="H422" s="6">
        <v>1</v>
      </c>
      <c r="I422" s="7">
        <v>1687</v>
      </c>
      <c r="J422" s="5">
        <v>45997</v>
      </c>
      <c r="K422" s="1" t="s">
        <v>957</v>
      </c>
      <c r="L422" s="1" t="s">
        <v>30</v>
      </c>
      <c r="M422" s="8">
        <v>0.43</v>
      </c>
      <c r="N422" s="6"/>
      <c r="O422" s="6"/>
      <c r="P422" s="9">
        <v>-11.74</v>
      </c>
    </row>
    <row r="423" spans="1:16" ht="19.5" customHeight="1">
      <c r="A423" s="1" t="s">
        <v>1654</v>
      </c>
      <c r="B423" s="5">
        <v>46005</v>
      </c>
      <c r="C423" s="1" t="s">
        <v>28</v>
      </c>
      <c r="D423" s="1" t="s">
        <v>29</v>
      </c>
      <c r="E423" s="1" t="s">
        <v>25</v>
      </c>
      <c r="F423" s="1" t="s">
        <v>26</v>
      </c>
      <c r="G423" s="1" t="s">
        <v>1229</v>
      </c>
      <c r="H423" s="6">
        <v>1</v>
      </c>
      <c r="I423" s="7">
        <v>1124</v>
      </c>
      <c r="J423" s="5">
        <v>46003</v>
      </c>
      <c r="K423" s="1" t="s">
        <v>957</v>
      </c>
      <c r="L423" s="1" t="s">
        <v>30</v>
      </c>
      <c r="M423" s="8">
        <v>0.43</v>
      </c>
      <c r="N423" s="6"/>
      <c r="O423" s="6">
        <v>40</v>
      </c>
      <c r="P423" s="9">
        <v>-99.28</v>
      </c>
    </row>
    <row r="424" spans="1:16" ht="19.5" customHeight="1">
      <c r="A424" s="1" t="s">
        <v>1654</v>
      </c>
      <c r="B424" s="5">
        <v>46005</v>
      </c>
      <c r="C424" s="1" t="s">
        <v>31</v>
      </c>
      <c r="D424" s="1" t="s">
        <v>32</v>
      </c>
      <c r="E424" s="1" t="s">
        <v>25</v>
      </c>
      <c r="F424" s="1" t="s">
        <v>26</v>
      </c>
      <c r="G424" s="1" t="s">
        <v>1229</v>
      </c>
      <c r="H424" s="6">
        <v>1</v>
      </c>
      <c r="I424" s="7">
        <v>1124</v>
      </c>
      <c r="J424" s="5">
        <v>46003</v>
      </c>
      <c r="K424" s="1" t="s">
        <v>957</v>
      </c>
      <c r="L424" s="1" t="s">
        <v>30</v>
      </c>
      <c r="M424" s="8">
        <v>0</v>
      </c>
      <c r="N424" s="6"/>
      <c r="O424" s="6"/>
      <c r="P424" s="9">
        <v>706.95</v>
      </c>
    </row>
    <row r="425" spans="1:16" ht="19.5" customHeight="1">
      <c r="A425" s="1" t="s">
        <v>1654</v>
      </c>
      <c r="B425" s="5">
        <v>46005</v>
      </c>
      <c r="C425" s="1" t="s">
        <v>31</v>
      </c>
      <c r="D425" s="1" t="s">
        <v>33</v>
      </c>
      <c r="E425" s="1" t="s">
        <v>25</v>
      </c>
      <c r="F425" s="1" t="s">
        <v>26</v>
      </c>
      <c r="G425" s="1" t="s">
        <v>1229</v>
      </c>
      <c r="H425" s="6">
        <v>1</v>
      </c>
      <c r="I425" s="7">
        <v>1124</v>
      </c>
      <c r="J425" s="5">
        <v>46003</v>
      </c>
      <c r="K425" s="1" t="s">
        <v>957</v>
      </c>
      <c r="L425" s="1" t="s">
        <v>30</v>
      </c>
      <c r="M425" s="8">
        <v>0</v>
      </c>
      <c r="N425" s="6"/>
      <c r="O425" s="6"/>
      <c r="P425" s="9">
        <v>0</v>
      </c>
    </row>
    <row r="426" spans="1:16" ht="19.5" customHeight="1">
      <c r="A426" s="1" t="s">
        <v>1654</v>
      </c>
      <c r="B426" s="5">
        <v>46005</v>
      </c>
      <c r="C426" s="1" t="s">
        <v>31</v>
      </c>
      <c r="D426" s="1" t="s">
        <v>34</v>
      </c>
      <c r="E426" s="1" t="s">
        <v>25</v>
      </c>
      <c r="F426" s="1" t="s">
        <v>26</v>
      </c>
      <c r="G426" s="1" t="s">
        <v>1229</v>
      </c>
      <c r="H426" s="6">
        <v>1</v>
      </c>
      <c r="I426" s="7">
        <v>1124</v>
      </c>
      <c r="J426" s="5">
        <v>46003</v>
      </c>
      <c r="K426" s="1" t="s">
        <v>957</v>
      </c>
      <c r="L426" s="1" t="s">
        <v>30</v>
      </c>
      <c r="M426" s="8">
        <v>0</v>
      </c>
      <c r="N426" s="6"/>
      <c r="O426" s="6"/>
      <c r="P426" s="9">
        <v>417.05</v>
      </c>
    </row>
    <row r="427" spans="1:16" ht="19.5" customHeight="1">
      <c r="A427" s="1" t="s">
        <v>1654</v>
      </c>
      <c r="B427" s="5">
        <v>46005</v>
      </c>
      <c r="C427" s="1" t="s">
        <v>35</v>
      </c>
      <c r="D427" s="1" t="s">
        <v>36</v>
      </c>
      <c r="E427" s="1" t="s">
        <v>25</v>
      </c>
      <c r="F427" s="1" t="s">
        <v>26</v>
      </c>
      <c r="G427" s="1" t="s">
        <v>1229</v>
      </c>
      <c r="H427" s="6">
        <v>1</v>
      </c>
      <c r="I427" s="7">
        <v>1124</v>
      </c>
      <c r="J427" s="5">
        <v>46003</v>
      </c>
      <c r="K427" s="1" t="s">
        <v>957</v>
      </c>
      <c r="L427" s="1" t="s">
        <v>30</v>
      </c>
      <c r="M427" s="8">
        <v>0.43</v>
      </c>
      <c r="N427" s="6"/>
      <c r="O427" s="6"/>
      <c r="P427" s="9">
        <v>-483.32</v>
      </c>
    </row>
    <row r="428" spans="1:16" ht="19.5" customHeight="1">
      <c r="A428" s="1" t="s">
        <v>1654</v>
      </c>
      <c r="B428" s="5">
        <v>46005</v>
      </c>
      <c r="C428" s="1" t="s">
        <v>17</v>
      </c>
      <c r="D428" s="1" t="s">
        <v>37</v>
      </c>
      <c r="E428" s="1" t="s">
        <v>25</v>
      </c>
      <c r="F428" s="1" t="s">
        <v>26</v>
      </c>
      <c r="G428" s="1" t="s">
        <v>1229</v>
      </c>
      <c r="H428" s="6">
        <v>1</v>
      </c>
      <c r="I428" s="7">
        <v>1124</v>
      </c>
      <c r="J428" s="5">
        <v>46003</v>
      </c>
      <c r="K428" s="1" t="s">
        <v>957</v>
      </c>
      <c r="L428" s="1" t="s">
        <v>30</v>
      </c>
      <c r="M428" s="8">
        <v>0.43</v>
      </c>
      <c r="N428" s="6"/>
      <c r="O428" s="6"/>
      <c r="P428" s="9">
        <v>-5.74</v>
      </c>
    </row>
    <row r="429" spans="1:16" ht="19.5" customHeight="1">
      <c r="A429" s="1" t="s">
        <v>1655</v>
      </c>
      <c r="B429" s="5">
        <v>46005</v>
      </c>
      <c r="C429" s="1" t="s">
        <v>28</v>
      </c>
      <c r="D429" s="1" t="s">
        <v>29</v>
      </c>
      <c r="E429" s="1" t="s">
        <v>228</v>
      </c>
      <c r="F429" s="1" t="s">
        <v>393</v>
      </c>
      <c r="G429" s="1" t="s">
        <v>1229</v>
      </c>
      <c r="H429" s="6">
        <v>1</v>
      </c>
      <c r="I429" s="7">
        <v>0</v>
      </c>
      <c r="J429" s="5">
        <v>45997</v>
      </c>
      <c r="K429" s="1" t="s">
        <v>957</v>
      </c>
      <c r="L429" s="1" t="s">
        <v>30</v>
      </c>
      <c r="M429" s="8">
        <v>0</v>
      </c>
      <c r="N429" s="6"/>
      <c r="O429" s="6">
        <v>38</v>
      </c>
      <c r="P429" s="9">
        <v>-46</v>
      </c>
    </row>
    <row r="430" spans="1:16" ht="19.5" customHeight="1">
      <c r="A430" s="1" t="s">
        <v>1655</v>
      </c>
      <c r="B430" s="5">
        <v>46005</v>
      </c>
      <c r="C430" s="1" t="s">
        <v>17</v>
      </c>
      <c r="D430" s="1" t="s">
        <v>37</v>
      </c>
      <c r="E430" s="1" t="s">
        <v>228</v>
      </c>
      <c r="F430" s="1" t="s">
        <v>393</v>
      </c>
      <c r="G430" s="1" t="s">
        <v>1229</v>
      </c>
      <c r="H430" s="6">
        <v>1</v>
      </c>
      <c r="I430" s="7">
        <v>0</v>
      </c>
      <c r="J430" s="5">
        <v>45997</v>
      </c>
      <c r="K430" s="1" t="s">
        <v>957</v>
      </c>
      <c r="L430" s="1" t="s">
        <v>30</v>
      </c>
      <c r="M430" s="8">
        <v>0</v>
      </c>
      <c r="N430" s="6"/>
      <c r="O430" s="6"/>
      <c r="P430" s="9">
        <v>-9.93</v>
      </c>
    </row>
    <row r="431" spans="1:16" ht="19.5" customHeight="1">
      <c r="A431" s="1" t="s">
        <v>1655</v>
      </c>
      <c r="B431" s="5">
        <v>46005</v>
      </c>
      <c r="C431" s="1" t="s">
        <v>28</v>
      </c>
      <c r="D431" s="1" t="s">
        <v>45</v>
      </c>
      <c r="E431" s="1" t="s">
        <v>228</v>
      </c>
      <c r="F431" s="1" t="s">
        <v>393</v>
      </c>
      <c r="G431" s="1" t="s">
        <v>1229</v>
      </c>
      <c r="H431" s="6">
        <v>1</v>
      </c>
      <c r="I431" s="7">
        <v>0</v>
      </c>
      <c r="J431" s="5">
        <v>45997</v>
      </c>
      <c r="K431" s="1" t="s">
        <v>957</v>
      </c>
      <c r="L431" s="1" t="s">
        <v>30</v>
      </c>
      <c r="M431" s="8">
        <v>0</v>
      </c>
      <c r="N431" s="6"/>
      <c r="O431" s="6"/>
      <c r="P431" s="9">
        <v>0</v>
      </c>
    </row>
    <row r="432" spans="1:16" ht="19.5" customHeight="1">
      <c r="A432" s="1" t="s">
        <v>1655</v>
      </c>
      <c r="B432" s="5">
        <v>46005</v>
      </c>
      <c r="C432" s="1" t="s">
        <v>28</v>
      </c>
      <c r="D432" s="1" t="s">
        <v>46</v>
      </c>
      <c r="E432" s="1" t="s">
        <v>228</v>
      </c>
      <c r="F432" s="1" t="s">
        <v>393</v>
      </c>
      <c r="G432" s="1" t="s">
        <v>1229</v>
      </c>
      <c r="H432" s="6">
        <v>1</v>
      </c>
      <c r="I432" s="7">
        <v>0</v>
      </c>
      <c r="J432" s="5">
        <v>45997</v>
      </c>
      <c r="K432" s="1" t="s">
        <v>957</v>
      </c>
      <c r="L432" s="1" t="s">
        <v>30</v>
      </c>
      <c r="M432" s="8">
        <v>0</v>
      </c>
      <c r="N432" s="6"/>
      <c r="O432" s="6"/>
      <c r="P432" s="9">
        <v>-46</v>
      </c>
    </row>
    <row r="433" spans="1:16" ht="19.5" customHeight="1">
      <c r="A433" s="1" t="s">
        <v>1655</v>
      </c>
      <c r="B433" s="5">
        <v>46005</v>
      </c>
      <c r="C433" s="1" t="s">
        <v>17</v>
      </c>
      <c r="D433" s="1" t="s">
        <v>47</v>
      </c>
      <c r="E433" s="1" t="s">
        <v>228</v>
      </c>
      <c r="F433" s="1" t="s">
        <v>393</v>
      </c>
      <c r="G433" s="1" t="s">
        <v>1229</v>
      </c>
      <c r="H433" s="6">
        <v>1</v>
      </c>
      <c r="I433" s="7">
        <v>0</v>
      </c>
      <c r="J433" s="5">
        <v>45997</v>
      </c>
      <c r="K433" s="1" t="s">
        <v>957</v>
      </c>
      <c r="L433" s="1" t="s">
        <v>30</v>
      </c>
      <c r="M433" s="8">
        <v>0</v>
      </c>
      <c r="N433" s="6"/>
      <c r="O433" s="6"/>
      <c r="P433" s="9">
        <v>-15</v>
      </c>
    </row>
    <row r="434" spans="1:16" ht="19.5" customHeight="1">
      <c r="A434" s="1" t="s">
        <v>1656</v>
      </c>
      <c r="B434" s="5">
        <v>46005</v>
      </c>
      <c r="C434" s="1" t="s">
        <v>28</v>
      </c>
      <c r="D434" s="1" t="s">
        <v>29</v>
      </c>
      <c r="E434" s="1" t="s">
        <v>25</v>
      </c>
      <c r="F434" s="1" t="s">
        <v>26</v>
      </c>
      <c r="G434" s="1" t="s">
        <v>1229</v>
      </c>
      <c r="H434" s="6">
        <v>1</v>
      </c>
      <c r="I434" s="7">
        <v>1124</v>
      </c>
      <c r="J434" s="5">
        <v>46004</v>
      </c>
      <c r="K434" s="1" t="s">
        <v>957</v>
      </c>
      <c r="L434" s="1" t="s">
        <v>30</v>
      </c>
      <c r="M434" s="8">
        <v>0.43</v>
      </c>
      <c r="N434" s="6"/>
      <c r="O434" s="6">
        <v>41</v>
      </c>
      <c r="P434" s="9">
        <v>-102.38</v>
      </c>
    </row>
    <row r="435" spans="1:16" ht="19.5" customHeight="1">
      <c r="A435" s="1" t="s">
        <v>1656</v>
      </c>
      <c r="B435" s="5">
        <v>46005</v>
      </c>
      <c r="C435" s="1" t="s">
        <v>31</v>
      </c>
      <c r="D435" s="1" t="s">
        <v>32</v>
      </c>
      <c r="E435" s="1" t="s">
        <v>25</v>
      </c>
      <c r="F435" s="1" t="s">
        <v>26</v>
      </c>
      <c r="G435" s="1" t="s">
        <v>1229</v>
      </c>
      <c r="H435" s="6">
        <v>1</v>
      </c>
      <c r="I435" s="7">
        <v>1124</v>
      </c>
      <c r="J435" s="5">
        <v>46004</v>
      </c>
      <c r="K435" s="1" t="s">
        <v>957</v>
      </c>
      <c r="L435" s="1" t="s">
        <v>30</v>
      </c>
      <c r="M435" s="8">
        <v>0</v>
      </c>
      <c r="N435" s="6"/>
      <c r="O435" s="6"/>
      <c r="P435" s="9">
        <v>602.83000000000004</v>
      </c>
    </row>
    <row r="436" spans="1:16" ht="19.5" customHeight="1">
      <c r="A436" s="1" t="s">
        <v>1656</v>
      </c>
      <c r="B436" s="5">
        <v>46005</v>
      </c>
      <c r="C436" s="1" t="s">
        <v>31</v>
      </c>
      <c r="D436" s="1" t="s">
        <v>33</v>
      </c>
      <c r="E436" s="1" t="s">
        <v>25</v>
      </c>
      <c r="F436" s="1" t="s">
        <v>26</v>
      </c>
      <c r="G436" s="1" t="s">
        <v>1229</v>
      </c>
      <c r="H436" s="6">
        <v>1</v>
      </c>
      <c r="I436" s="7">
        <v>1124</v>
      </c>
      <c r="J436" s="5">
        <v>46004</v>
      </c>
      <c r="K436" s="1" t="s">
        <v>957</v>
      </c>
      <c r="L436" s="1" t="s">
        <v>30</v>
      </c>
      <c r="M436" s="8">
        <v>0</v>
      </c>
      <c r="N436" s="6"/>
      <c r="O436" s="6"/>
      <c r="P436" s="9">
        <v>6.03</v>
      </c>
    </row>
    <row r="437" spans="1:16" ht="19.5" customHeight="1">
      <c r="A437" s="1" t="s">
        <v>1656</v>
      </c>
      <c r="B437" s="5">
        <v>46005</v>
      </c>
      <c r="C437" s="1" t="s">
        <v>31</v>
      </c>
      <c r="D437" s="1" t="s">
        <v>34</v>
      </c>
      <c r="E437" s="1" t="s">
        <v>25</v>
      </c>
      <c r="F437" s="1" t="s">
        <v>26</v>
      </c>
      <c r="G437" s="1" t="s">
        <v>1229</v>
      </c>
      <c r="H437" s="6">
        <v>1</v>
      </c>
      <c r="I437" s="7">
        <v>1124</v>
      </c>
      <c r="J437" s="5">
        <v>46004</v>
      </c>
      <c r="K437" s="1" t="s">
        <v>957</v>
      </c>
      <c r="L437" s="1" t="s">
        <v>30</v>
      </c>
      <c r="M437" s="8">
        <v>0</v>
      </c>
      <c r="N437" s="6"/>
      <c r="O437" s="6"/>
      <c r="P437" s="9">
        <v>515.14</v>
      </c>
    </row>
    <row r="438" spans="1:16" ht="19.5" customHeight="1">
      <c r="A438" s="1" t="s">
        <v>1656</v>
      </c>
      <c r="B438" s="5">
        <v>46005</v>
      </c>
      <c r="C438" s="1" t="s">
        <v>35</v>
      </c>
      <c r="D438" s="1" t="s">
        <v>36</v>
      </c>
      <c r="E438" s="1" t="s">
        <v>25</v>
      </c>
      <c r="F438" s="1" t="s">
        <v>26</v>
      </c>
      <c r="G438" s="1" t="s">
        <v>1229</v>
      </c>
      <c r="H438" s="6">
        <v>1</v>
      </c>
      <c r="I438" s="7">
        <v>1124</v>
      </c>
      <c r="J438" s="5">
        <v>46004</v>
      </c>
      <c r="K438" s="1" t="s">
        <v>957</v>
      </c>
      <c r="L438" s="1" t="s">
        <v>30</v>
      </c>
      <c r="M438" s="8">
        <v>0.43</v>
      </c>
      <c r="N438" s="6"/>
      <c r="O438" s="6"/>
      <c r="P438" s="9">
        <v>-483.32</v>
      </c>
    </row>
    <row r="439" spans="1:16" ht="19.5" customHeight="1">
      <c r="A439" s="1" t="s">
        <v>1656</v>
      </c>
      <c r="B439" s="5">
        <v>46005</v>
      </c>
      <c r="C439" s="1" t="s">
        <v>17</v>
      </c>
      <c r="D439" s="1" t="s">
        <v>37</v>
      </c>
      <c r="E439" s="1" t="s">
        <v>25</v>
      </c>
      <c r="F439" s="1" t="s">
        <v>26</v>
      </c>
      <c r="G439" s="1" t="s">
        <v>1229</v>
      </c>
      <c r="H439" s="6">
        <v>1</v>
      </c>
      <c r="I439" s="7">
        <v>1124</v>
      </c>
      <c r="J439" s="5">
        <v>46004</v>
      </c>
      <c r="K439" s="1" t="s">
        <v>957</v>
      </c>
      <c r="L439" s="1" t="s">
        <v>30</v>
      </c>
      <c r="M439" s="8">
        <v>0.43</v>
      </c>
      <c r="N439" s="6"/>
      <c r="O439" s="6"/>
      <c r="P439" s="9">
        <v>-6.5</v>
      </c>
    </row>
    <row r="440" spans="1:16" ht="19.5" customHeight="1">
      <c r="A440" s="1" t="s">
        <v>1657</v>
      </c>
      <c r="B440" s="5">
        <v>46005</v>
      </c>
      <c r="C440" s="1" t="s">
        <v>28</v>
      </c>
      <c r="D440" s="1" t="s">
        <v>29</v>
      </c>
      <c r="E440" s="1" t="s">
        <v>25</v>
      </c>
      <c r="F440" s="1" t="s">
        <v>26</v>
      </c>
      <c r="G440" s="1" t="s">
        <v>1229</v>
      </c>
      <c r="H440" s="6">
        <v>1</v>
      </c>
      <c r="I440" s="7">
        <v>1124</v>
      </c>
      <c r="J440" s="5">
        <v>46002</v>
      </c>
      <c r="K440" s="1" t="s">
        <v>957</v>
      </c>
      <c r="L440" s="1" t="s">
        <v>30</v>
      </c>
      <c r="M440" s="8">
        <v>0.43</v>
      </c>
      <c r="N440" s="6"/>
      <c r="O440" s="6">
        <v>40</v>
      </c>
      <c r="P440" s="9">
        <v>-99.28</v>
      </c>
    </row>
    <row r="441" spans="1:16" ht="19.5" customHeight="1">
      <c r="A441" s="1" t="s">
        <v>1657</v>
      </c>
      <c r="B441" s="5">
        <v>46005</v>
      </c>
      <c r="C441" s="1" t="s">
        <v>31</v>
      </c>
      <c r="D441" s="1" t="s">
        <v>32</v>
      </c>
      <c r="E441" s="1" t="s">
        <v>25</v>
      </c>
      <c r="F441" s="1" t="s">
        <v>26</v>
      </c>
      <c r="G441" s="1" t="s">
        <v>1229</v>
      </c>
      <c r="H441" s="6">
        <v>1</v>
      </c>
      <c r="I441" s="7">
        <v>1124</v>
      </c>
      <c r="J441" s="5">
        <v>46002</v>
      </c>
      <c r="K441" s="1" t="s">
        <v>957</v>
      </c>
      <c r="L441" s="1" t="s">
        <v>30</v>
      </c>
      <c r="M441" s="8">
        <v>0</v>
      </c>
      <c r="N441" s="6"/>
      <c r="O441" s="6"/>
      <c r="P441" s="9">
        <v>601.33000000000004</v>
      </c>
    </row>
    <row r="442" spans="1:16" ht="19.5" customHeight="1">
      <c r="A442" s="1" t="s">
        <v>1657</v>
      </c>
      <c r="B442" s="5">
        <v>46005</v>
      </c>
      <c r="C442" s="1" t="s">
        <v>31</v>
      </c>
      <c r="D442" s="1" t="s">
        <v>33</v>
      </c>
      <c r="E442" s="1" t="s">
        <v>25</v>
      </c>
      <c r="F442" s="1" t="s">
        <v>26</v>
      </c>
      <c r="G442" s="1" t="s">
        <v>1229</v>
      </c>
      <c r="H442" s="6">
        <v>1</v>
      </c>
      <c r="I442" s="7">
        <v>1124</v>
      </c>
      <c r="J442" s="5">
        <v>46002</v>
      </c>
      <c r="K442" s="1" t="s">
        <v>957</v>
      </c>
      <c r="L442" s="1" t="s">
        <v>30</v>
      </c>
      <c r="M442" s="8">
        <v>0</v>
      </c>
      <c r="N442" s="6"/>
      <c r="O442" s="6"/>
      <c r="P442" s="9">
        <v>6.01</v>
      </c>
    </row>
    <row r="443" spans="1:16" ht="19.5" customHeight="1">
      <c r="A443" s="1" t="s">
        <v>1657</v>
      </c>
      <c r="B443" s="5">
        <v>46005</v>
      </c>
      <c r="C443" s="1" t="s">
        <v>31</v>
      </c>
      <c r="D443" s="1" t="s">
        <v>34</v>
      </c>
      <c r="E443" s="1" t="s">
        <v>25</v>
      </c>
      <c r="F443" s="1" t="s">
        <v>26</v>
      </c>
      <c r="G443" s="1" t="s">
        <v>1229</v>
      </c>
      <c r="H443" s="6">
        <v>1</v>
      </c>
      <c r="I443" s="7">
        <v>1124</v>
      </c>
      <c r="J443" s="5">
        <v>46002</v>
      </c>
      <c r="K443" s="1" t="s">
        <v>957</v>
      </c>
      <c r="L443" s="1" t="s">
        <v>30</v>
      </c>
      <c r="M443" s="8">
        <v>0</v>
      </c>
      <c r="N443" s="6"/>
      <c r="O443" s="6"/>
      <c r="P443" s="9">
        <v>516.66</v>
      </c>
    </row>
    <row r="444" spans="1:16" ht="19.5" customHeight="1">
      <c r="A444" s="1" t="s">
        <v>1657</v>
      </c>
      <c r="B444" s="5">
        <v>46005</v>
      </c>
      <c r="C444" s="1" t="s">
        <v>35</v>
      </c>
      <c r="D444" s="1" t="s">
        <v>36</v>
      </c>
      <c r="E444" s="1" t="s">
        <v>25</v>
      </c>
      <c r="F444" s="1" t="s">
        <v>26</v>
      </c>
      <c r="G444" s="1" t="s">
        <v>1229</v>
      </c>
      <c r="H444" s="6">
        <v>1</v>
      </c>
      <c r="I444" s="7">
        <v>1124</v>
      </c>
      <c r="J444" s="5">
        <v>46002</v>
      </c>
      <c r="K444" s="1" t="s">
        <v>957</v>
      </c>
      <c r="L444" s="1" t="s">
        <v>30</v>
      </c>
      <c r="M444" s="8">
        <v>0.43</v>
      </c>
      <c r="N444" s="6"/>
      <c r="O444" s="6"/>
      <c r="P444" s="9">
        <v>-483.32</v>
      </c>
    </row>
    <row r="445" spans="1:16" ht="19.5" customHeight="1">
      <c r="A445" s="1" t="s">
        <v>1657</v>
      </c>
      <c r="B445" s="5">
        <v>46005</v>
      </c>
      <c r="C445" s="1" t="s">
        <v>17</v>
      </c>
      <c r="D445" s="1" t="s">
        <v>37</v>
      </c>
      <c r="E445" s="1" t="s">
        <v>25</v>
      </c>
      <c r="F445" s="1" t="s">
        <v>26</v>
      </c>
      <c r="G445" s="1" t="s">
        <v>1229</v>
      </c>
      <c r="H445" s="6">
        <v>1</v>
      </c>
      <c r="I445" s="7">
        <v>1124</v>
      </c>
      <c r="J445" s="5">
        <v>46002</v>
      </c>
      <c r="K445" s="1" t="s">
        <v>957</v>
      </c>
      <c r="L445" s="1" t="s">
        <v>30</v>
      </c>
      <c r="M445" s="8">
        <v>0.43</v>
      </c>
      <c r="N445" s="6"/>
      <c r="O445" s="6"/>
      <c r="P445" s="9">
        <v>-5.0999999999999996</v>
      </c>
    </row>
    <row r="446" spans="1:16" ht="19.5" customHeight="1">
      <c r="A446" s="1" t="s">
        <v>1658</v>
      </c>
      <c r="B446" s="5">
        <v>46005</v>
      </c>
      <c r="C446" s="1" t="s">
        <v>28</v>
      </c>
      <c r="D446" s="1" t="s">
        <v>29</v>
      </c>
      <c r="E446" s="1" t="s">
        <v>88</v>
      </c>
      <c r="F446" s="1" t="s">
        <v>89</v>
      </c>
      <c r="G446" s="1" t="s">
        <v>1231</v>
      </c>
      <c r="H446" s="6">
        <v>1</v>
      </c>
      <c r="I446" s="7">
        <v>1269</v>
      </c>
      <c r="J446" s="5">
        <v>46003</v>
      </c>
      <c r="K446" s="1" t="s">
        <v>957</v>
      </c>
      <c r="L446" s="1" t="s">
        <v>30</v>
      </c>
      <c r="M446" s="8">
        <v>0.43</v>
      </c>
      <c r="N446" s="6"/>
      <c r="O446" s="6">
        <v>40</v>
      </c>
      <c r="P446" s="9">
        <v>-102.98</v>
      </c>
    </row>
    <row r="447" spans="1:16" ht="19.5" customHeight="1">
      <c r="A447" s="1" t="s">
        <v>1658</v>
      </c>
      <c r="B447" s="5">
        <v>46005</v>
      </c>
      <c r="C447" s="1" t="s">
        <v>31</v>
      </c>
      <c r="D447" s="1" t="s">
        <v>32</v>
      </c>
      <c r="E447" s="1" t="s">
        <v>88</v>
      </c>
      <c r="F447" s="1" t="s">
        <v>89</v>
      </c>
      <c r="G447" s="1" t="s">
        <v>1231</v>
      </c>
      <c r="H447" s="6">
        <v>1</v>
      </c>
      <c r="I447" s="7">
        <v>1269</v>
      </c>
      <c r="J447" s="5">
        <v>46003</v>
      </c>
      <c r="K447" s="1" t="s">
        <v>957</v>
      </c>
      <c r="L447" s="1" t="s">
        <v>30</v>
      </c>
      <c r="M447" s="8">
        <v>0</v>
      </c>
      <c r="N447" s="6"/>
      <c r="O447" s="6"/>
      <c r="P447" s="9">
        <v>607.99</v>
      </c>
    </row>
    <row r="448" spans="1:16" ht="19.5" customHeight="1">
      <c r="A448" s="1" t="s">
        <v>1658</v>
      </c>
      <c r="B448" s="5">
        <v>46005</v>
      </c>
      <c r="C448" s="1" t="s">
        <v>31</v>
      </c>
      <c r="D448" s="1" t="s">
        <v>33</v>
      </c>
      <c r="E448" s="1" t="s">
        <v>88</v>
      </c>
      <c r="F448" s="1" t="s">
        <v>89</v>
      </c>
      <c r="G448" s="1" t="s">
        <v>1231</v>
      </c>
      <c r="H448" s="6">
        <v>1</v>
      </c>
      <c r="I448" s="7">
        <v>1269</v>
      </c>
      <c r="J448" s="5">
        <v>46003</v>
      </c>
      <c r="K448" s="1" t="s">
        <v>957</v>
      </c>
      <c r="L448" s="1" t="s">
        <v>30</v>
      </c>
      <c r="M448" s="8">
        <v>0</v>
      </c>
      <c r="N448" s="6"/>
      <c r="O448" s="6"/>
      <c r="P448" s="9">
        <v>6.08</v>
      </c>
    </row>
    <row r="449" spans="1:16" ht="19.5" customHeight="1">
      <c r="A449" s="1" t="s">
        <v>1658</v>
      </c>
      <c r="B449" s="5">
        <v>46005</v>
      </c>
      <c r="C449" s="1" t="s">
        <v>31</v>
      </c>
      <c r="D449" s="1" t="s">
        <v>34</v>
      </c>
      <c r="E449" s="1" t="s">
        <v>88</v>
      </c>
      <c r="F449" s="1" t="s">
        <v>89</v>
      </c>
      <c r="G449" s="1" t="s">
        <v>1231</v>
      </c>
      <c r="H449" s="6">
        <v>1</v>
      </c>
      <c r="I449" s="7">
        <v>1269</v>
      </c>
      <c r="J449" s="5">
        <v>46003</v>
      </c>
      <c r="K449" s="1" t="s">
        <v>957</v>
      </c>
      <c r="L449" s="1" t="s">
        <v>30</v>
      </c>
      <c r="M449" s="8">
        <v>0</v>
      </c>
      <c r="N449" s="6"/>
      <c r="O449" s="6"/>
      <c r="P449" s="9">
        <v>654.92999999999995</v>
      </c>
    </row>
    <row r="450" spans="1:16" ht="19.5" customHeight="1">
      <c r="A450" s="1" t="s">
        <v>1658</v>
      </c>
      <c r="B450" s="5">
        <v>46005</v>
      </c>
      <c r="C450" s="1" t="s">
        <v>35</v>
      </c>
      <c r="D450" s="1" t="s">
        <v>36</v>
      </c>
      <c r="E450" s="1" t="s">
        <v>88</v>
      </c>
      <c r="F450" s="1" t="s">
        <v>89</v>
      </c>
      <c r="G450" s="1" t="s">
        <v>1231</v>
      </c>
      <c r="H450" s="6">
        <v>1</v>
      </c>
      <c r="I450" s="7">
        <v>1269</v>
      </c>
      <c r="J450" s="5">
        <v>46003</v>
      </c>
      <c r="K450" s="1" t="s">
        <v>957</v>
      </c>
      <c r="L450" s="1" t="s">
        <v>30</v>
      </c>
      <c r="M450" s="8">
        <v>0.43</v>
      </c>
      <c r="N450" s="6"/>
      <c r="O450" s="6"/>
      <c r="P450" s="9">
        <v>-545.66999999999996</v>
      </c>
    </row>
    <row r="451" spans="1:16" ht="19.5" customHeight="1">
      <c r="A451" s="1" t="s">
        <v>1658</v>
      </c>
      <c r="B451" s="5">
        <v>46005</v>
      </c>
      <c r="C451" s="1" t="s">
        <v>17</v>
      </c>
      <c r="D451" s="1" t="s">
        <v>37</v>
      </c>
      <c r="E451" s="1" t="s">
        <v>88</v>
      </c>
      <c r="F451" s="1" t="s">
        <v>89</v>
      </c>
      <c r="G451" s="1" t="s">
        <v>1231</v>
      </c>
      <c r="H451" s="6">
        <v>1</v>
      </c>
      <c r="I451" s="7">
        <v>1269</v>
      </c>
      <c r="J451" s="5">
        <v>46003</v>
      </c>
      <c r="K451" s="1" t="s">
        <v>957</v>
      </c>
      <c r="L451" s="1" t="s">
        <v>30</v>
      </c>
      <c r="M451" s="8">
        <v>0.43</v>
      </c>
      <c r="N451" s="6"/>
      <c r="O451" s="6"/>
      <c r="P451" s="9">
        <v>-8.9600000000000009</v>
      </c>
    </row>
    <row r="452" spans="1:16" ht="19.5" customHeight="1">
      <c r="A452" s="1" t="s">
        <v>1659</v>
      </c>
      <c r="B452" s="5">
        <v>46005</v>
      </c>
      <c r="C452" s="1" t="s">
        <v>28</v>
      </c>
      <c r="D452" s="1" t="s">
        <v>29</v>
      </c>
      <c r="E452" s="1" t="s">
        <v>236</v>
      </c>
      <c r="F452" s="1" t="s">
        <v>1064</v>
      </c>
      <c r="G452" s="1" t="s">
        <v>1133</v>
      </c>
      <c r="H452" s="6">
        <v>1</v>
      </c>
      <c r="I452" s="7">
        <v>3080</v>
      </c>
      <c r="J452" s="5">
        <v>46003</v>
      </c>
      <c r="K452" s="1" t="s">
        <v>957</v>
      </c>
      <c r="L452" s="1" t="s">
        <v>30</v>
      </c>
      <c r="M452" s="8">
        <v>0.43</v>
      </c>
      <c r="N452" s="6"/>
      <c r="O452" s="6">
        <v>40</v>
      </c>
      <c r="P452" s="9">
        <v>-164.52</v>
      </c>
    </row>
    <row r="453" spans="1:16" ht="19.5" customHeight="1">
      <c r="A453" s="1" t="s">
        <v>1659</v>
      </c>
      <c r="B453" s="5">
        <v>46005</v>
      </c>
      <c r="C453" s="1" t="s">
        <v>31</v>
      </c>
      <c r="D453" s="1" t="s">
        <v>32</v>
      </c>
      <c r="E453" s="1" t="s">
        <v>236</v>
      </c>
      <c r="F453" s="1" t="s">
        <v>1064</v>
      </c>
      <c r="G453" s="1" t="s">
        <v>1133</v>
      </c>
      <c r="H453" s="6">
        <v>1</v>
      </c>
      <c r="I453" s="7">
        <v>3080</v>
      </c>
      <c r="J453" s="5">
        <v>46003</v>
      </c>
      <c r="K453" s="1" t="s">
        <v>957</v>
      </c>
      <c r="L453" s="1" t="s">
        <v>30</v>
      </c>
      <c r="M453" s="8">
        <v>0</v>
      </c>
      <c r="N453" s="6"/>
      <c r="O453" s="6"/>
      <c r="P453" s="9">
        <v>1845.12</v>
      </c>
    </row>
    <row r="454" spans="1:16" ht="19.5" customHeight="1">
      <c r="A454" s="1" t="s">
        <v>1659</v>
      </c>
      <c r="B454" s="5">
        <v>46005</v>
      </c>
      <c r="C454" s="1" t="s">
        <v>31</v>
      </c>
      <c r="D454" s="1" t="s">
        <v>33</v>
      </c>
      <c r="E454" s="1" t="s">
        <v>236</v>
      </c>
      <c r="F454" s="1" t="s">
        <v>1064</v>
      </c>
      <c r="G454" s="1" t="s">
        <v>1133</v>
      </c>
      <c r="H454" s="6">
        <v>1</v>
      </c>
      <c r="I454" s="7">
        <v>3080</v>
      </c>
      <c r="J454" s="5">
        <v>46003</v>
      </c>
      <c r="K454" s="1" t="s">
        <v>957</v>
      </c>
      <c r="L454" s="1" t="s">
        <v>30</v>
      </c>
      <c r="M454" s="8">
        <v>0</v>
      </c>
      <c r="N454" s="6"/>
      <c r="O454" s="6"/>
      <c r="P454" s="9">
        <v>0</v>
      </c>
    </row>
    <row r="455" spans="1:16" ht="19.5" customHeight="1">
      <c r="A455" s="1" t="s">
        <v>1659</v>
      </c>
      <c r="B455" s="5">
        <v>46005</v>
      </c>
      <c r="C455" s="1" t="s">
        <v>31</v>
      </c>
      <c r="D455" s="1" t="s">
        <v>34</v>
      </c>
      <c r="E455" s="1" t="s">
        <v>236</v>
      </c>
      <c r="F455" s="1" t="s">
        <v>1064</v>
      </c>
      <c r="G455" s="1" t="s">
        <v>1133</v>
      </c>
      <c r="H455" s="6">
        <v>1</v>
      </c>
      <c r="I455" s="7">
        <v>3080</v>
      </c>
      <c r="J455" s="5">
        <v>46003</v>
      </c>
      <c r="K455" s="1" t="s">
        <v>957</v>
      </c>
      <c r="L455" s="1" t="s">
        <v>30</v>
      </c>
      <c r="M455" s="8">
        <v>0</v>
      </c>
      <c r="N455" s="6"/>
      <c r="O455" s="6"/>
      <c r="P455" s="9">
        <v>1234.8800000000001</v>
      </c>
    </row>
    <row r="456" spans="1:16" ht="19.5" customHeight="1">
      <c r="A456" s="1" t="s">
        <v>1659</v>
      </c>
      <c r="B456" s="5">
        <v>46005</v>
      </c>
      <c r="C456" s="1" t="s">
        <v>35</v>
      </c>
      <c r="D456" s="1" t="s">
        <v>36</v>
      </c>
      <c r="E456" s="1" t="s">
        <v>236</v>
      </c>
      <c r="F456" s="1" t="s">
        <v>1064</v>
      </c>
      <c r="G456" s="1" t="s">
        <v>1133</v>
      </c>
      <c r="H456" s="6">
        <v>1</v>
      </c>
      <c r="I456" s="7">
        <v>3080</v>
      </c>
      <c r="J456" s="5">
        <v>46003</v>
      </c>
      <c r="K456" s="1" t="s">
        <v>957</v>
      </c>
      <c r="L456" s="1" t="s">
        <v>30</v>
      </c>
      <c r="M456" s="8">
        <v>0.43</v>
      </c>
      <c r="N456" s="6"/>
      <c r="O456" s="6"/>
      <c r="P456" s="9">
        <v>-1324.4</v>
      </c>
    </row>
    <row r="457" spans="1:16" ht="19.5" customHeight="1">
      <c r="A457" s="1" t="s">
        <v>1658</v>
      </c>
      <c r="B457" s="5">
        <v>46005</v>
      </c>
      <c r="C457" s="1" t="s">
        <v>17</v>
      </c>
      <c r="D457" s="1" t="s">
        <v>18</v>
      </c>
      <c r="E457" s="1" t="s">
        <v>88</v>
      </c>
      <c r="F457" s="1" t="s">
        <v>89</v>
      </c>
      <c r="G457" s="1" t="s">
        <v>1231</v>
      </c>
      <c r="H457" s="6">
        <v>1</v>
      </c>
      <c r="I457" s="7">
        <v>0</v>
      </c>
      <c r="J457" s="5">
        <v>46003</v>
      </c>
      <c r="K457" s="1" t="s">
        <v>22</v>
      </c>
      <c r="L457" s="1" t="s">
        <v>22</v>
      </c>
      <c r="M457" s="8">
        <v>0</v>
      </c>
      <c r="N457" s="6"/>
      <c r="O457" s="6"/>
      <c r="P457" s="9">
        <v>-11.55</v>
      </c>
    </row>
    <row r="458" spans="1:16" ht="19.5" customHeight="1">
      <c r="A458" s="1" t="s">
        <v>1660</v>
      </c>
      <c r="B458" s="5">
        <v>46005</v>
      </c>
      <c r="C458" s="1" t="s">
        <v>28</v>
      </c>
      <c r="D458" s="1" t="s">
        <v>29</v>
      </c>
      <c r="E458" s="1" t="s">
        <v>25</v>
      </c>
      <c r="F458" s="1" t="s">
        <v>26</v>
      </c>
      <c r="G458" s="1" t="s">
        <v>1229</v>
      </c>
      <c r="H458" s="6">
        <v>1</v>
      </c>
      <c r="I458" s="7">
        <v>0</v>
      </c>
      <c r="J458" s="5">
        <v>45998</v>
      </c>
      <c r="K458" s="1" t="s">
        <v>957</v>
      </c>
      <c r="L458" s="1" t="s">
        <v>30</v>
      </c>
      <c r="M458" s="8">
        <v>0</v>
      </c>
      <c r="N458" s="6"/>
      <c r="O458" s="6">
        <v>37</v>
      </c>
      <c r="P458" s="9">
        <v>-46</v>
      </c>
    </row>
    <row r="459" spans="1:16" ht="19.5" customHeight="1">
      <c r="A459" s="1" t="s">
        <v>1660</v>
      </c>
      <c r="B459" s="5">
        <v>46005</v>
      </c>
      <c r="C459" s="1" t="s">
        <v>17</v>
      </c>
      <c r="D459" s="1" t="s">
        <v>37</v>
      </c>
      <c r="E459" s="1" t="s">
        <v>25</v>
      </c>
      <c r="F459" s="1" t="s">
        <v>26</v>
      </c>
      <c r="G459" s="1" t="s">
        <v>1229</v>
      </c>
      <c r="H459" s="6">
        <v>1</v>
      </c>
      <c r="I459" s="7">
        <v>0</v>
      </c>
      <c r="J459" s="5">
        <v>45998</v>
      </c>
      <c r="K459" s="1" t="s">
        <v>957</v>
      </c>
      <c r="L459" s="1" t="s">
        <v>30</v>
      </c>
      <c r="M459" s="8">
        <v>0</v>
      </c>
      <c r="N459" s="6"/>
      <c r="O459" s="6"/>
      <c r="P459" s="9">
        <v>-9.06</v>
      </c>
    </row>
    <row r="460" spans="1:16" ht="19.5" customHeight="1">
      <c r="A460" s="1" t="s">
        <v>1660</v>
      </c>
      <c r="B460" s="5">
        <v>46005</v>
      </c>
      <c r="C460" s="1" t="s">
        <v>28</v>
      </c>
      <c r="D460" s="1" t="s">
        <v>45</v>
      </c>
      <c r="E460" s="1" t="s">
        <v>25</v>
      </c>
      <c r="F460" s="1" t="s">
        <v>26</v>
      </c>
      <c r="G460" s="1" t="s">
        <v>1229</v>
      </c>
      <c r="H460" s="6">
        <v>1</v>
      </c>
      <c r="I460" s="7">
        <v>0</v>
      </c>
      <c r="J460" s="5">
        <v>45998</v>
      </c>
      <c r="K460" s="1" t="s">
        <v>957</v>
      </c>
      <c r="L460" s="1" t="s">
        <v>30</v>
      </c>
      <c r="M460" s="8">
        <v>0</v>
      </c>
      <c r="N460" s="6"/>
      <c r="O460" s="6"/>
      <c r="P460" s="9">
        <v>0</v>
      </c>
    </row>
    <row r="461" spans="1:16" ht="19.5" customHeight="1">
      <c r="A461" s="1" t="s">
        <v>1660</v>
      </c>
      <c r="B461" s="5">
        <v>46005</v>
      </c>
      <c r="C461" s="1" t="s">
        <v>28</v>
      </c>
      <c r="D461" s="1" t="s">
        <v>46</v>
      </c>
      <c r="E461" s="1" t="s">
        <v>25</v>
      </c>
      <c r="F461" s="1" t="s">
        <v>26</v>
      </c>
      <c r="G461" s="1" t="s">
        <v>1229</v>
      </c>
      <c r="H461" s="6">
        <v>1</v>
      </c>
      <c r="I461" s="7">
        <v>0</v>
      </c>
      <c r="J461" s="5">
        <v>45998</v>
      </c>
      <c r="K461" s="1" t="s">
        <v>957</v>
      </c>
      <c r="L461" s="1" t="s">
        <v>30</v>
      </c>
      <c r="M461" s="8">
        <v>0</v>
      </c>
      <c r="N461" s="6"/>
      <c r="O461" s="6"/>
      <c r="P461" s="9">
        <v>-46</v>
      </c>
    </row>
    <row r="462" spans="1:16" ht="19.5" customHeight="1">
      <c r="A462" s="1" t="s">
        <v>1660</v>
      </c>
      <c r="B462" s="5">
        <v>46005</v>
      </c>
      <c r="C462" s="1" t="s">
        <v>17</v>
      </c>
      <c r="D462" s="1" t="s">
        <v>47</v>
      </c>
      <c r="E462" s="1" t="s">
        <v>25</v>
      </c>
      <c r="F462" s="1" t="s">
        <v>26</v>
      </c>
      <c r="G462" s="1" t="s">
        <v>1229</v>
      </c>
      <c r="H462" s="6">
        <v>1</v>
      </c>
      <c r="I462" s="7">
        <v>0</v>
      </c>
      <c r="J462" s="5">
        <v>45998</v>
      </c>
      <c r="K462" s="1" t="s">
        <v>957</v>
      </c>
      <c r="L462" s="1" t="s">
        <v>30</v>
      </c>
      <c r="M462" s="8">
        <v>0</v>
      </c>
      <c r="N462" s="6"/>
      <c r="O462" s="6"/>
      <c r="P462" s="9">
        <v>-15</v>
      </c>
    </row>
    <row r="463" spans="1:16" ht="19.5" customHeight="1">
      <c r="A463" s="1" t="s">
        <v>1661</v>
      </c>
      <c r="B463" s="5">
        <v>46005</v>
      </c>
      <c r="C463" s="1" t="s">
        <v>28</v>
      </c>
      <c r="D463" s="1" t="s">
        <v>29</v>
      </c>
      <c r="E463" s="1" t="s">
        <v>25</v>
      </c>
      <c r="F463" s="1" t="s">
        <v>26</v>
      </c>
      <c r="G463" s="1" t="s">
        <v>1229</v>
      </c>
      <c r="H463" s="6">
        <v>1</v>
      </c>
      <c r="I463" s="7">
        <v>1124</v>
      </c>
      <c r="J463" s="5">
        <v>46002</v>
      </c>
      <c r="K463" s="1" t="s">
        <v>957</v>
      </c>
      <c r="L463" s="1" t="s">
        <v>30</v>
      </c>
      <c r="M463" s="8">
        <v>0.43</v>
      </c>
      <c r="N463" s="6"/>
      <c r="O463" s="6">
        <v>40</v>
      </c>
      <c r="P463" s="9">
        <v>-99.28</v>
      </c>
    </row>
    <row r="464" spans="1:16" ht="19.5" customHeight="1">
      <c r="A464" s="1" t="s">
        <v>1661</v>
      </c>
      <c r="B464" s="5">
        <v>46005</v>
      </c>
      <c r="C464" s="1" t="s">
        <v>31</v>
      </c>
      <c r="D464" s="1" t="s">
        <v>32</v>
      </c>
      <c r="E464" s="1" t="s">
        <v>25</v>
      </c>
      <c r="F464" s="1" t="s">
        <v>26</v>
      </c>
      <c r="G464" s="1" t="s">
        <v>1229</v>
      </c>
      <c r="H464" s="6">
        <v>1</v>
      </c>
      <c r="I464" s="7">
        <v>1124</v>
      </c>
      <c r="J464" s="5">
        <v>46002</v>
      </c>
      <c r="K464" s="1" t="s">
        <v>957</v>
      </c>
      <c r="L464" s="1" t="s">
        <v>30</v>
      </c>
      <c r="M464" s="8">
        <v>0</v>
      </c>
      <c r="N464" s="6"/>
      <c r="O464" s="6"/>
      <c r="P464" s="9">
        <v>497.63</v>
      </c>
    </row>
    <row r="465" spans="1:16" ht="19.5" customHeight="1">
      <c r="A465" s="1" t="s">
        <v>1661</v>
      </c>
      <c r="B465" s="5">
        <v>46005</v>
      </c>
      <c r="C465" s="1" t="s">
        <v>31</v>
      </c>
      <c r="D465" s="1" t="s">
        <v>33</v>
      </c>
      <c r="E465" s="1" t="s">
        <v>25</v>
      </c>
      <c r="F465" s="1" t="s">
        <v>26</v>
      </c>
      <c r="G465" s="1" t="s">
        <v>1229</v>
      </c>
      <c r="H465" s="6">
        <v>1</v>
      </c>
      <c r="I465" s="7">
        <v>1124</v>
      </c>
      <c r="J465" s="5">
        <v>46002</v>
      </c>
      <c r="K465" s="1" t="s">
        <v>957</v>
      </c>
      <c r="L465" s="1" t="s">
        <v>30</v>
      </c>
      <c r="M465" s="8">
        <v>0</v>
      </c>
      <c r="N465" s="6"/>
      <c r="O465" s="6"/>
      <c r="P465" s="9">
        <v>4.9800000000000004</v>
      </c>
    </row>
    <row r="466" spans="1:16" ht="19.5" customHeight="1">
      <c r="A466" s="1" t="s">
        <v>1661</v>
      </c>
      <c r="B466" s="5">
        <v>46005</v>
      </c>
      <c r="C466" s="1" t="s">
        <v>31</v>
      </c>
      <c r="D466" s="1" t="s">
        <v>34</v>
      </c>
      <c r="E466" s="1" t="s">
        <v>25</v>
      </c>
      <c r="F466" s="1" t="s">
        <v>26</v>
      </c>
      <c r="G466" s="1" t="s">
        <v>1229</v>
      </c>
      <c r="H466" s="6">
        <v>1</v>
      </c>
      <c r="I466" s="7">
        <v>1124</v>
      </c>
      <c r="J466" s="5">
        <v>46002</v>
      </c>
      <c r="K466" s="1" t="s">
        <v>957</v>
      </c>
      <c r="L466" s="1" t="s">
        <v>30</v>
      </c>
      <c r="M466" s="8">
        <v>0</v>
      </c>
      <c r="N466" s="6"/>
      <c r="O466" s="6"/>
      <c r="P466" s="9">
        <v>621.39</v>
      </c>
    </row>
    <row r="467" spans="1:16" ht="19.5" customHeight="1">
      <c r="A467" s="1" t="s">
        <v>1661</v>
      </c>
      <c r="B467" s="5">
        <v>46005</v>
      </c>
      <c r="C467" s="1" t="s">
        <v>35</v>
      </c>
      <c r="D467" s="1" t="s">
        <v>36</v>
      </c>
      <c r="E467" s="1" t="s">
        <v>25</v>
      </c>
      <c r="F467" s="1" t="s">
        <v>26</v>
      </c>
      <c r="G467" s="1" t="s">
        <v>1229</v>
      </c>
      <c r="H467" s="6">
        <v>1</v>
      </c>
      <c r="I467" s="7">
        <v>1124</v>
      </c>
      <c r="J467" s="5">
        <v>46002</v>
      </c>
      <c r="K467" s="1" t="s">
        <v>957</v>
      </c>
      <c r="L467" s="1" t="s">
        <v>30</v>
      </c>
      <c r="M467" s="8">
        <v>0.43</v>
      </c>
      <c r="N467" s="6"/>
      <c r="O467" s="6"/>
      <c r="P467" s="9">
        <v>-483.32</v>
      </c>
    </row>
    <row r="468" spans="1:16" ht="19.5" customHeight="1">
      <c r="A468" s="1" t="s">
        <v>1661</v>
      </c>
      <c r="B468" s="5">
        <v>46005</v>
      </c>
      <c r="C468" s="1" t="s">
        <v>17</v>
      </c>
      <c r="D468" s="1" t="s">
        <v>37</v>
      </c>
      <c r="E468" s="1" t="s">
        <v>25</v>
      </c>
      <c r="F468" s="1" t="s">
        <v>26</v>
      </c>
      <c r="G468" s="1" t="s">
        <v>1229</v>
      </c>
      <c r="H468" s="6">
        <v>1</v>
      </c>
      <c r="I468" s="7">
        <v>1124</v>
      </c>
      <c r="J468" s="5">
        <v>46002</v>
      </c>
      <c r="K468" s="1" t="s">
        <v>957</v>
      </c>
      <c r="L468" s="1" t="s">
        <v>30</v>
      </c>
      <c r="M468" s="8">
        <v>0.43</v>
      </c>
      <c r="N468" s="6"/>
      <c r="O468" s="6"/>
      <c r="P468" s="9">
        <v>-6.1</v>
      </c>
    </row>
    <row r="469" spans="1:16" ht="19.5" customHeight="1">
      <c r="A469" s="1" t="s">
        <v>22</v>
      </c>
      <c r="B469" s="5">
        <v>46005</v>
      </c>
      <c r="C469" s="1" t="s">
        <v>77</v>
      </c>
      <c r="D469" s="1" t="s">
        <v>78</v>
      </c>
      <c r="E469" s="1" t="s">
        <v>22</v>
      </c>
      <c r="F469" s="1" t="s">
        <v>22</v>
      </c>
      <c r="G469" s="1" t="s">
        <v>1662</v>
      </c>
      <c r="H469" s="6">
        <v>0</v>
      </c>
      <c r="I469" s="7">
        <v>0</v>
      </c>
      <c r="J469" s="5">
        <v>46005</v>
      </c>
      <c r="K469" s="1" t="s">
        <v>22</v>
      </c>
      <c r="L469" s="1" t="s">
        <v>22</v>
      </c>
      <c r="M469" s="8">
        <v>0</v>
      </c>
      <c r="N469" s="6"/>
      <c r="O469" s="6"/>
      <c r="P469" s="9">
        <v>-450</v>
      </c>
    </row>
    <row r="470" spans="1:16" ht="19.5" customHeight="1">
      <c r="A470" s="1" t="s">
        <v>1663</v>
      </c>
      <c r="B470" s="5">
        <v>46005</v>
      </c>
      <c r="C470" s="1" t="s">
        <v>17</v>
      </c>
      <c r="D470" s="1" t="s">
        <v>18</v>
      </c>
      <c r="E470" s="1" t="s">
        <v>223</v>
      </c>
      <c r="F470" s="1" t="s">
        <v>395</v>
      </c>
      <c r="G470" s="1" t="s">
        <v>1229</v>
      </c>
      <c r="H470" s="6">
        <v>1</v>
      </c>
      <c r="I470" s="7">
        <v>0</v>
      </c>
      <c r="J470" s="5">
        <v>46005</v>
      </c>
      <c r="K470" s="1" t="s">
        <v>22</v>
      </c>
      <c r="L470" s="1" t="s">
        <v>22</v>
      </c>
      <c r="M470" s="8">
        <v>0</v>
      </c>
      <c r="N470" s="6"/>
      <c r="O470" s="6"/>
      <c r="P470" s="9">
        <v>-9.0500000000000007</v>
      </c>
    </row>
    <row r="471" spans="1:16" ht="19.5" customHeight="1">
      <c r="A471" s="1" t="s">
        <v>1664</v>
      </c>
      <c r="B471" s="5">
        <v>46005</v>
      </c>
      <c r="C471" s="1" t="s">
        <v>17</v>
      </c>
      <c r="D471" s="1" t="s">
        <v>18</v>
      </c>
      <c r="E471" s="1" t="s">
        <v>223</v>
      </c>
      <c r="F471" s="1" t="s">
        <v>395</v>
      </c>
      <c r="G471" s="1" t="s">
        <v>1229</v>
      </c>
      <c r="H471" s="6">
        <v>1</v>
      </c>
      <c r="I471" s="7">
        <v>0</v>
      </c>
      <c r="J471" s="5">
        <v>46005</v>
      </c>
      <c r="K471" s="1" t="s">
        <v>22</v>
      </c>
      <c r="L471" s="1" t="s">
        <v>22</v>
      </c>
      <c r="M471" s="8">
        <v>0</v>
      </c>
      <c r="N471" s="6"/>
      <c r="O471" s="6"/>
      <c r="P471" s="9">
        <v>-9</v>
      </c>
    </row>
    <row r="472" spans="1:16" ht="19.5" customHeight="1">
      <c r="A472" s="1" t="s">
        <v>1637</v>
      </c>
      <c r="B472" s="5">
        <v>46005</v>
      </c>
      <c r="C472" s="1" t="s">
        <v>77</v>
      </c>
      <c r="D472" s="1" t="s">
        <v>82</v>
      </c>
      <c r="E472" s="1" t="s">
        <v>22</v>
      </c>
      <c r="F472" s="1" t="s">
        <v>22</v>
      </c>
      <c r="G472" s="1" t="s">
        <v>22</v>
      </c>
      <c r="H472" s="6">
        <v>0</v>
      </c>
      <c r="I472" s="7">
        <v>0</v>
      </c>
      <c r="J472" s="5">
        <v>46005</v>
      </c>
      <c r="K472" s="1" t="s">
        <v>22</v>
      </c>
      <c r="L472" s="1" t="s">
        <v>22</v>
      </c>
      <c r="M472" s="8">
        <v>0</v>
      </c>
      <c r="N472" s="6"/>
      <c r="O472" s="6"/>
      <c r="P472" s="9">
        <v>-210.39</v>
      </c>
    </row>
    <row r="473" spans="1:16" ht="19.5" customHeight="1">
      <c r="A473" s="1" t="s">
        <v>1376</v>
      </c>
      <c r="B473" s="5">
        <v>46005</v>
      </c>
      <c r="C473" s="1" t="s">
        <v>77</v>
      </c>
      <c r="D473" s="1" t="s">
        <v>82</v>
      </c>
      <c r="E473" s="1" t="s">
        <v>22</v>
      </c>
      <c r="F473" s="1" t="s">
        <v>22</v>
      </c>
      <c r="G473" s="1" t="s">
        <v>22</v>
      </c>
      <c r="H473" s="6">
        <v>0</v>
      </c>
      <c r="I473" s="7">
        <v>0</v>
      </c>
      <c r="J473" s="5">
        <v>46005</v>
      </c>
      <c r="K473" s="1" t="s">
        <v>22</v>
      </c>
      <c r="L473" s="1" t="s">
        <v>22</v>
      </c>
      <c r="M473" s="8">
        <v>0</v>
      </c>
      <c r="N473" s="6"/>
      <c r="O473" s="6"/>
      <c r="P473" s="9">
        <v>-436.37</v>
      </c>
    </row>
    <row r="474" spans="1:16" ht="19.5" customHeight="1">
      <c r="A474" s="1" t="s">
        <v>1075</v>
      </c>
      <c r="B474" s="5">
        <v>46005</v>
      </c>
      <c r="C474" s="1" t="s">
        <v>77</v>
      </c>
      <c r="D474" s="1" t="s">
        <v>82</v>
      </c>
      <c r="E474" s="1" t="s">
        <v>22</v>
      </c>
      <c r="F474" s="1" t="s">
        <v>22</v>
      </c>
      <c r="G474" s="1" t="s">
        <v>22</v>
      </c>
      <c r="H474" s="6">
        <v>0</v>
      </c>
      <c r="I474" s="7">
        <v>0</v>
      </c>
      <c r="J474" s="5">
        <v>46005</v>
      </c>
      <c r="K474" s="1" t="s">
        <v>22</v>
      </c>
      <c r="L474" s="1" t="s">
        <v>22</v>
      </c>
      <c r="M474" s="8">
        <v>0</v>
      </c>
      <c r="N474" s="6"/>
      <c r="O474" s="6"/>
      <c r="P474" s="9">
        <v>-429.63</v>
      </c>
    </row>
    <row r="475" spans="1:16" ht="19.5" customHeight="1">
      <c r="A475" s="1" t="s">
        <v>83</v>
      </c>
      <c r="B475" s="5">
        <v>46005</v>
      </c>
      <c r="C475" s="1" t="s">
        <v>77</v>
      </c>
      <c r="D475" s="1" t="s">
        <v>84</v>
      </c>
      <c r="E475" s="1" t="s">
        <v>22</v>
      </c>
      <c r="F475" s="1" t="s">
        <v>22</v>
      </c>
      <c r="G475" s="1" t="s">
        <v>22</v>
      </c>
      <c r="H475" s="6">
        <v>0</v>
      </c>
      <c r="I475" s="7">
        <v>0</v>
      </c>
      <c r="J475" s="5">
        <v>46005</v>
      </c>
      <c r="K475" s="1" t="s">
        <v>22</v>
      </c>
      <c r="L475" s="1" t="s">
        <v>22</v>
      </c>
      <c r="M475" s="8">
        <v>0</v>
      </c>
      <c r="N475" s="6"/>
      <c r="O475" s="6"/>
      <c r="P475" s="9">
        <v>-833.48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6470-DD47-431E-AECC-CC5000DFAE16}">
  <dimension ref="A1:P573"/>
  <sheetViews>
    <sheetView zoomScale="80" zoomScaleNormal="80" workbookViewId="0">
      <selection activeCell="D8" sqref="D8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1433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1434</v>
      </c>
      <c r="B3" s="5">
        <v>45992</v>
      </c>
      <c r="C3" s="1" t="s">
        <v>17</v>
      </c>
      <c r="D3" s="1" t="s">
        <v>18</v>
      </c>
      <c r="E3" s="1" t="s">
        <v>25</v>
      </c>
      <c r="F3" s="1" t="s">
        <v>26</v>
      </c>
      <c r="G3" s="1" t="s">
        <v>1229</v>
      </c>
      <c r="H3" s="6">
        <v>1</v>
      </c>
      <c r="I3" s="7">
        <v>0</v>
      </c>
      <c r="J3" s="5">
        <v>45992</v>
      </c>
      <c r="K3" s="1" t="s">
        <v>22</v>
      </c>
      <c r="L3" s="1" t="s">
        <v>22</v>
      </c>
      <c r="M3" s="8">
        <v>0</v>
      </c>
      <c r="N3" s="6"/>
      <c r="O3" s="6"/>
      <c r="P3" s="9">
        <v>-8.32</v>
      </c>
    </row>
    <row r="4" spans="1:16" ht="19.5" customHeight="1">
      <c r="A4" s="1" t="s">
        <v>1435</v>
      </c>
      <c r="B4" s="5">
        <v>45992</v>
      </c>
      <c r="C4" s="1" t="s">
        <v>28</v>
      </c>
      <c r="D4" s="1" t="s">
        <v>29</v>
      </c>
      <c r="E4" s="1" t="s">
        <v>1054</v>
      </c>
      <c r="F4" s="1" t="s">
        <v>1297</v>
      </c>
      <c r="G4" s="1" t="s">
        <v>1298</v>
      </c>
      <c r="H4" s="6">
        <v>1</v>
      </c>
      <c r="I4" s="7">
        <v>0</v>
      </c>
      <c r="J4" s="5">
        <v>45986</v>
      </c>
      <c r="K4" s="1" t="s">
        <v>957</v>
      </c>
      <c r="L4" s="1" t="s">
        <v>30</v>
      </c>
      <c r="M4" s="8">
        <v>0</v>
      </c>
      <c r="N4" s="6"/>
      <c r="O4" s="6">
        <v>44</v>
      </c>
      <c r="P4" s="9">
        <v>-46</v>
      </c>
    </row>
    <row r="5" spans="1:16" ht="19.5" customHeight="1">
      <c r="A5" s="1" t="s">
        <v>1435</v>
      </c>
      <c r="B5" s="5">
        <v>45992</v>
      </c>
      <c r="C5" s="1" t="s">
        <v>17</v>
      </c>
      <c r="D5" s="1" t="s">
        <v>37</v>
      </c>
      <c r="E5" s="1" t="s">
        <v>1054</v>
      </c>
      <c r="F5" s="1" t="s">
        <v>1297</v>
      </c>
      <c r="G5" s="1" t="s">
        <v>1298</v>
      </c>
      <c r="H5" s="6">
        <v>1</v>
      </c>
      <c r="I5" s="7">
        <v>0</v>
      </c>
      <c r="J5" s="5">
        <v>45986</v>
      </c>
      <c r="K5" s="1" t="s">
        <v>957</v>
      </c>
      <c r="L5" s="1" t="s">
        <v>30</v>
      </c>
      <c r="M5" s="8">
        <v>0</v>
      </c>
      <c r="N5" s="6"/>
      <c r="O5" s="6"/>
      <c r="P5" s="9">
        <v>-8.9700000000000006</v>
      </c>
    </row>
    <row r="6" spans="1:16" ht="19.5" customHeight="1">
      <c r="A6" s="1" t="s">
        <v>1435</v>
      </c>
      <c r="B6" s="5">
        <v>45992</v>
      </c>
      <c r="C6" s="1" t="s">
        <v>28</v>
      </c>
      <c r="D6" s="1" t="s">
        <v>45</v>
      </c>
      <c r="E6" s="1" t="s">
        <v>1054</v>
      </c>
      <c r="F6" s="1" t="s">
        <v>1297</v>
      </c>
      <c r="G6" s="1" t="s">
        <v>1298</v>
      </c>
      <c r="H6" s="6">
        <v>1</v>
      </c>
      <c r="I6" s="7">
        <v>0</v>
      </c>
      <c r="J6" s="5">
        <v>45986</v>
      </c>
      <c r="K6" s="1" t="s">
        <v>957</v>
      </c>
      <c r="L6" s="1" t="s">
        <v>30</v>
      </c>
      <c r="M6" s="8">
        <v>0</v>
      </c>
      <c r="N6" s="6"/>
      <c r="O6" s="6"/>
      <c r="P6" s="9">
        <v>0</v>
      </c>
    </row>
    <row r="7" spans="1:16" ht="19.5" customHeight="1">
      <c r="A7" s="1" t="s">
        <v>1435</v>
      </c>
      <c r="B7" s="5">
        <v>45992</v>
      </c>
      <c r="C7" s="1" t="s">
        <v>28</v>
      </c>
      <c r="D7" s="1" t="s">
        <v>46</v>
      </c>
      <c r="E7" s="1" t="s">
        <v>1054</v>
      </c>
      <c r="F7" s="1" t="s">
        <v>1297</v>
      </c>
      <c r="G7" s="1" t="s">
        <v>1298</v>
      </c>
      <c r="H7" s="6">
        <v>1</v>
      </c>
      <c r="I7" s="7">
        <v>0</v>
      </c>
      <c r="J7" s="5">
        <v>45986</v>
      </c>
      <c r="K7" s="1" t="s">
        <v>957</v>
      </c>
      <c r="L7" s="1" t="s">
        <v>30</v>
      </c>
      <c r="M7" s="8">
        <v>0</v>
      </c>
      <c r="N7" s="6"/>
      <c r="O7" s="6"/>
      <c r="P7" s="9">
        <v>-46</v>
      </c>
    </row>
    <row r="8" spans="1:16" ht="19.5" customHeight="1">
      <c r="A8" s="1" t="s">
        <v>1435</v>
      </c>
      <c r="B8" s="5">
        <v>45992</v>
      </c>
      <c r="C8" s="1" t="s">
        <v>17</v>
      </c>
      <c r="D8" s="1" t="s">
        <v>47</v>
      </c>
      <c r="E8" s="1" t="s">
        <v>1054</v>
      </c>
      <c r="F8" s="1" t="s">
        <v>1297</v>
      </c>
      <c r="G8" s="1" t="s">
        <v>1298</v>
      </c>
      <c r="H8" s="6">
        <v>1</v>
      </c>
      <c r="I8" s="7">
        <v>0</v>
      </c>
      <c r="J8" s="5">
        <v>45986</v>
      </c>
      <c r="K8" s="1" t="s">
        <v>957</v>
      </c>
      <c r="L8" s="1" t="s">
        <v>30</v>
      </c>
      <c r="M8" s="8">
        <v>0</v>
      </c>
      <c r="N8" s="6"/>
      <c r="O8" s="6"/>
      <c r="P8" s="9">
        <v>-15</v>
      </c>
    </row>
    <row r="9" spans="1:16" ht="19.5" customHeight="1">
      <c r="A9" s="1" t="s">
        <v>1436</v>
      </c>
      <c r="B9" s="5">
        <v>45992</v>
      </c>
      <c r="C9" s="1" t="s">
        <v>28</v>
      </c>
      <c r="D9" s="1" t="s">
        <v>29</v>
      </c>
      <c r="E9" s="1" t="s">
        <v>223</v>
      </c>
      <c r="F9" s="1" t="s">
        <v>395</v>
      </c>
      <c r="G9" s="1" t="s">
        <v>1229</v>
      </c>
      <c r="H9" s="6">
        <v>1</v>
      </c>
      <c r="I9" s="7">
        <v>0</v>
      </c>
      <c r="J9" s="5">
        <v>45985</v>
      </c>
      <c r="K9" s="1" t="s">
        <v>957</v>
      </c>
      <c r="L9" s="1" t="s">
        <v>30</v>
      </c>
      <c r="M9" s="8">
        <v>0</v>
      </c>
      <c r="N9" s="6"/>
      <c r="O9" s="6">
        <v>43</v>
      </c>
      <c r="P9" s="9">
        <v>-46</v>
      </c>
    </row>
    <row r="10" spans="1:16" ht="19.5" customHeight="1">
      <c r="A10" s="1" t="s">
        <v>1436</v>
      </c>
      <c r="B10" s="5">
        <v>45992</v>
      </c>
      <c r="C10" s="1" t="s">
        <v>17</v>
      </c>
      <c r="D10" s="1" t="s">
        <v>37</v>
      </c>
      <c r="E10" s="1" t="s">
        <v>223</v>
      </c>
      <c r="F10" s="1" t="s">
        <v>395</v>
      </c>
      <c r="G10" s="1" t="s">
        <v>1229</v>
      </c>
      <c r="H10" s="6">
        <v>1</v>
      </c>
      <c r="I10" s="7">
        <v>0</v>
      </c>
      <c r="J10" s="5">
        <v>45985</v>
      </c>
      <c r="K10" s="1" t="s">
        <v>957</v>
      </c>
      <c r="L10" s="1" t="s">
        <v>30</v>
      </c>
      <c r="M10" s="8">
        <v>0</v>
      </c>
      <c r="N10" s="6"/>
      <c r="O10" s="6"/>
      <c r="P10" s="9">
        <v>-8.06</v>
      </c>
    </row>
    <row r="11" spans="1:16" ht="19.5" customHeight="1">
      <c r="A11" s="1" t="s">
        <v>1436</v>
      </c>
      <c r="B11" s="5">
        <v>45992</v>
      </c>
      <c r="C11" s="1" t="s">
        <v>28</v>
      </c>
      <c r="D11" s="1" t="s">
        <v>45</v>
      </c>
      <c r="E11" s="1" t="s">
        <v>223</v>
      </c>
      <c r="F11" s="1" t="s">
        <v>395</v>
      </c>
      <c r="G11" s="1" t="s">
        <v>1229</v>
      </c>
      <c r="H11" s="6">
        <v>1</v>
      </c>
      <c r="I11" s="7">
        <v>0</v>
      </c>
      <c r="J11" s="5">
        <v>45985</v>
      </c>
      <c r="K11" s="1" t="s">
        <v>957</v>
      </c>
      <c r="L11" s="1" t="s">
        <v>30</v>
      </c>
      <c r="M11" s="8">
        <v>0</v>
      </c>
      <c r="N11" s="6"/>
      <c r="O11" s="6"/>
      <c r="P11" s="9">
        <v>0</v>
      </c>
    </row>
    <row r="12" spans="1:16" ht="19.5" customHeight="1">
      <c r="A12" s="1" t="s">
        <v>1436</v>
      </c>
      <c r="B12" s="5">
        <v>45992</v>
      </c>
      <c r="C12" s="1" t="s">
        <v>28</v>
      </c>
      <c r="D12" s="1" t="s">
        <v>46</v>
      </c>
      <c r="E12" s="1" t="s">
        <v>223</v>
      </c>
      <c r="F12" s="1" t="s">
        <v>395</v>
      </c>
      <c r="G12" s="1" t="s">
        <v>1229</v>
      </c>
      <c r="H12" s="6">
        <v>1</v>
      </c>
      <c r="I12" s="7">
        <v>0</v>
      </c>
      <c r="J12" s="5">
        <v>45985</v>
      </c>
      <c r="K12" s="1" t="s">
        <v>957</v>
      </c>
      <c r="L12" s="1" t="s">
        <v>30</v>
      </c>
      <c r="M12" s="8">
        <v>0</v>
      </c>
      <c r="N12" s="6"/>
      <c r="O12" s="6"/>
      <c r="P12" s="9">
        <v>-46</v>
      </c>
    </row>
    <row r="13" spans="1:16" ht="19.5" customHeight="1">
      <c r="A13" s="1" t="s">
        <v>1436</v>
      </c>
      <c r="B13" s="5">
        <v>45992</v>
      </c>
      <c r="C13" s="1" t="s">
        <v>17</v>
      </c>
      <c r="D13" s="1" t="s">
        <v>47</v>
      </c>
      <c r="E13" s="1" t="s">
        <v>223</v>
      </c>
      <c r="F13" s="1" t="s">
        <v>395</v>
      </c>
      <c r="G13" s="1" t="s">
        <v>1229</v>
      </c>
      <c r="H13" s="6">
        <v>1</v>
      </c>
      <c r="I13" s="7">
        <v>0</v>
      </c>
      <c r="J13" s="5">
        <v>45985</v>
      </c>
      <c r="K13" s="1" t="s">
        <v>957</v>
      </c>
      <c r="L13" s="1" t="s">
        <v>30</v>
      </c>
      <c r="M13" s="8">
        <v>0</v>
      </c>
      <c r="N13" s="6"/>
      <c r="O13" s="6"/>
      <c r="P13" s="9">
        <v>-15</v>
      </c>
    </row>
    <row r="14" spans="1:16" ht="19.5" customHeight="1">
      <c r="A14" s="1" t="s">
        <v>1437</v>
      </c>
      <c r="B14" s="5">
        <v>45992</v>
      </c>
      <c r="C14" s="1" t="s">
        <v>28</v>
      </c>
      <c r="D14" s="1" t="s">
        <v>29</v>
      </c>
      <c r="E14" s="1" t="s">
        <v>25</v>
      </c>
      <c r="F14" s="1" t="s">
        <v>26</v>
      </c>
      <c r="G14" s="1" t="s">
        <v>1229</v>
      </c>
      <c r="H14" s="6">
        <v>1</v>
      </c>
      <c r="I14" s="7">
        <v>1148</v>
      </c>
      <c r="J14" s="5">
        <v>45989</v>
      </c>
      <c r="K14" s="1" t="s">
        <v>957</v>
      </c>
      <c r="L14" s="1" t="s">
        <v>30</v>
      </c>
      <c r="M14" s="8">
        <v>0.43</v>
      </c>
      <c r="N14" s="6"/>
      <c r="O14" s="6">
        <v>44</v>
      </c>
      <c r="P14" s="9">
        <v>-111.14</v>
      </c>
    </row>
    <row r="15" spans="1:16" ht="19.5" customHeight="1">
      <c r="A15" s="1" t="s">
        <v>1437</v>
      </c>
      <c r="B15" s="5">
        <v>45992</v>
      </c>
      <c r="C15" s="1" t="s">
        <v>31</v>
      </c>
      <c r="D15" s="1" t="s">
        <v>32</v>
      </c>
      <c r="E15" s="1" t="s">
        <v>25</v>
      </c>
      <c r="F15" s="1" t="s">
        <v>26</v>
      </c>
      <c r="G15" s="1" t="s">
        <v>1229</v>
      </c>
      <c r="H15" s="6">
        <v>1</v>
      </c>
      <c r="I15" s="7">
        <v>1148</v>
      </c>
      <c r="J15" s="5">
        <v>45989</v>
      </c>
      <c r="K15" s="1" t="s">
        <v>957</v>
      </c>
      <c r="L15" s="1" t="s">
        <v>30</v>
      </c>
      <c r="M15" s="8">
        <v>0</v>
      </c>
      <c r="N15" s="6"/>
      <c r="O15" s="6"/>
      <c r="P15" s="9">
        <v>480.95</v>
      </c>
    </row>
    <row r="16" spans="1:16" ht="19.5" customHeight="1">
      <c r="A16" s="1" t="s">
        <v>1437</v>
      </c>
      <c r="B16" s="5">
        <v>45992</v>
      </c>
      <c r="C16" s="1" t="s">
        <v>31</v>
      </c>
      <c r="D16" s="1" t="s">
        <v>33</v>
      </c>
      <c r="E16" s="1" t="s">
        <v>25</v>
      </c>
      <c r="F16" s="1" t="s">
        <v>26</v>
      </c>
      <c r="G16" s="1" t="s">
        <v>1229</v>
      </c>
      <c r="H16" s="6">
        <v>1</v>
      </c>
      <c r="I16" s="7">
        <v>1148</v>
      </c>
      <c r="J16" s="5">
        <v>45989</v>
      </c>
      <c r="K16" s="1" t="s">
        <v>957</v>
      </c>
      <c r="L16" s="1" t="s">
        <v>30</v>
      </c>
      <c r="M16" s="8">
        <v>0</v>
      </c>
      <c r="N16" s="6"/>
      <c r="O16" s="6"/>
      <c r="P16" s="9">
        <v>4.8099999999999996</v>
      </c>
    </row>
    <row r="17" spans="1:16" ht="19.5" customHeight="1">
      <c r="A17" s="1" t="s">
        <v>1437</v>
      </c>
      <c r="B17" s="5">
        <v>45992</v>
      </c>
      <c r="C17" s="1" t="s">
        <v>31</v>
      </c>
      <c r="D17" s="1" t="s">
        <v>34</v>
      </c>
      <c r="E17" s="1" t="s">
        <v>25</v>
      </c>
      <c r="F17" s="1" t="s">
        <v>26</v>
      </c>
      <c r="G17" s="1" t="s">
        <v>1229</v>
      </c>
      <c r="H17" s="6">
        <v>1</v>
      </c>
      <c r="I17" s="7">
        <v>1148</v>
      </c>
      <c r="J17" s="5">
        <v>45989</v>
      </c>
      <c r="K17" s="1" t="s">
        <v>957</v>
      </c>
      <c r="L17" s="1" t="s">
        <v>30</v>
      </c>
      <c r="M17" s="8">
        <v>0</v>
      </c>
      <c r="N17" s="6"/>
      <c r="O17" s="6"/>
      <c r="P17" s="9">
        <v>662.24</v>
      </c>
    </row>
    <row r="18" spans="1:16" ht="19.5" customHeight="1">
      <c r="A18" s="1" t="s">
        <v>1437</v>
      </c>
      <c r="B18" s="5">
        <v>45992</v>
      </c>
      <c r="C18" s="1" t="s">
        <v>35</v>
      </c>
      <c r="D18" s="1" t="s">
        <v>36</v>
      </c>
      <c r="E18" s="1" t="s">
        <v>25</v>
      </c>
      <c r="F18" s="1" t="s">
        <v>26</v>
      </c>
      <c r="G18" s="1" t="s">
        <v>1229</v>
      </c>
      <c r="H18" s="6">
        <v>1</v>
      </c>
      <c r="I18" s="7">
        <v>1148</v>
      </c>
      <c r="J18" s="5">
        <v>45989</v>
      </c>
      <c r="K18" s="1" t="s">
        <v>957</v>
      </c>
      <c r="L18" s="1" t="s">
        <v>30</v>
      </c>
      <c r="M18" s="8">
        <v>0.43</v>
      </c>
      <c r="N18" s="6"/>
      <c r="O18" s="6"/>
      <c r="P18" s="9">
        <v>-493.64</v>
      </c>
    </row>
    <row r="19" spans="1:16" ht="19.5" customHeight="1">
      <c r="A19" s="1" t="s">
        <v>1437</v>
      </c>
      <c r="B19" s="5">
        <v>45992</v>
      </c>
      <c r="C19" s="1" t="s">
        <v>17</v>
      </c>
      <c r="D19" s="1" t="s">
        <v>37</v>
      </c>
      <c r="E19" s="1" t="s">
        <v>25</v>
      </c>
      <c r="F19" s="1" t="s">
        <v>26</v>
      </c>
      <c r="G19" s="1" t="s">
        <v>1229</v>
      </c>
      <c r="H19" s="6">
        <v>1</v>
      </c>
      <c r="I19" s="7">
        <v>1148</v>
      </c>
      <c r="J19" s="5">
        <v>45989</v>
      </c>
      <c r="K19" s="1" t="s">
        <v>957</v>
      </c>
      <c r="L19" s="1" t="s">
        <v>30</v>
      </c>
      <c r="M19" s="8">
        <v>0.43</v>
      </c>
      <c r="N19" s="6"/>
      <c r="O19" s="6"/>
      <c r="P19" s="9">
        <v>-6.22</v>
      </c>
    </row>
    <row r="20" spans="1:16" ht="19.5" customHeight="1">
      <c r="A20" s="1" t="s">
        <v>1438</v>
      </c>
      <c r="B20" s="5">
        <v>45992</v>
      </c>
      <c r="C20" s="1" t="s">
        <v>17</v>
      </c>
      <c r="D20" s="1" t="s">
        <v>18</v>
      </c>
      <c r="E20" s="1" t="s">
        <v>223</v>
      </c>
      <c r="F20" s="1" t="s">
        <v>395</v>
      </c>
      <c r="G20" s="1" t="s">
        <v>1229</v>
      </c>
      <c r="H20" s="6">
        <v>1</v>
      </c>
      <c r="I20" s="7">
        <v>0</v>
      </c>
      <c r="J20" s="5">
        <v>45992</v>
      </c>
      <c r="K20" s="1" t="s">
        <v>22</v>
      </c>
      <c r="L20" s="1" t="s">
        <v>22</v>
      </c>
      <c r="M20" s="8">
        <v>0</v>
      </c>
      <c r="N20" s="6"/>
      <c r="O20" s="6"/>
      <c r="P20" s="9">
        <v>-3.17</v>
      </c>
    </row>
    <row r="21" spans="1:16" ht="19.5" customHeight="1">
      <c r="A21" s="1" t="s">
        <v>1439</v>
      </c>
      <c r="B21" s="5">
        <v>45992</v>
      </c>
      <c r="C21" s="1" t="s">
        <v>28</v>
      </c>
      <c r="D21" s="1" t="s">
        <v>29</v>
      </c>
      <c r="E21" s="1" t="s">
        <v>54</v>
      </c>
      <c r="F21" s="1" t="s">
        <v>55</v>
      </c>
      <c r="G21" s="1" t="s">
        <v>1229</v>
      </c>
      <c r="H21" s="6">
        <v>1</v>
      </c>
      <c r="I21" s="7">
        <v>1568</v>
      </c>
      <c r="J21" s="5">
        <v>45989</v>
      </c>
      <c r="K21" s="1" t="s">
        <v>957</v>
      </c>
      <c r="L21" s="1" t="s">
        <v>30</v>
      </c>
      <c r="M21" s="8">
        <v>0.43</v>
      </c>
      <c r="N21" s="6"/>
      <c r="O21" s="6">
        <v>44</v>
      </c>
      <c r="P21" s="9">
        <v>-124.37</v>
      </c>
    </row>
    <row r="22" spans="1:16" ht="19.5" customHeight="1">
      <c r="A22" s="1" t="s">
        <v>1439</v>
      </c>
      <c r="B22" s="5">
        <v>45992</v>
      </c>
      <c r="C22" s="1" t="s">
        <v>31</v>
      </c>
      <c r="D22" s="1" t="s">
        <v>32</v>
      </c>
      <c r="E22" s="1" t="s">
        <v>54</v>
      </c>
      <c r="F22" s="1" t="s">
        <v>55</v>
      </c>
      <c r="G22" s="1" t="s">
        <v>1229</v>
      </c>
      <c r="H22" s="6">
        <v>1</v>
      </c>
      <c r="I22" s="7">
        <v>1568</v>
      </c>
      <c r="J22" s="5">
        <v>45989</v>
      </c>
      <c r="K22" s="1" t="s">
        <v>957</v>
      </c>
      <c r="L22" s="1" t="s">
        <v>30</v>
      </c>
      <c r="M22" s="8">
        <v>0</v>
      </c>
      <c r="N22" s="6"/>
      <c r="O22" s="6"/>
      <c r="P22" s="9">
        <v>768.57</v>
      </c>
    </row>
    <row r="23" spans="1:16" ht="19.5" customHeight="1">
      <c r="A23" s="1" t="s">
        <v>1439</v>
      </c>
      <c r="B23" s="5">
        <v>45992</v>
      </c>
      <c r="C23" s="1" t="s">
        <v>31</v>
      </c>
      <c r="D23" s="1" t="s">
        <v>33</v>
      </c>
      <c r="E23" s="1" t="s">
        <v>54</v>
      </c>
      <c r="F23" s="1" t="s">
        <v>55</v>
      </c>
      <c r="G23" s="1" t="s">
        <v>1229</v>
      </c>
      <c r="H23" s="6">
        <v>1</v>
      </c>
      <c r="I23" s="7">
        <v>1568</v>
      </c>
      <c r="J23" s="5">
        <v>45989</v>
      </c>
      <c r="K23" s="1" t="s">
        <v>957</v>
      </c>
      <c r="L23" s="1" t="s">
        <v>30</v>
      </c>
      <c r="M23" s="8">
        <v>0</v>
      </c>
      <c r="N23" s="6"/>
      <c r="O23" s="6"/>
      <c r="P23" s="9">
        <v>7.69</v>
      </c>
    </row>
    <row r="24" spans="1:16" ht="19.5" customHeight="1">
      <c r="A24" s="1" t="s">
        <v>1439</v>
      </c>
      <c r="B24" s="5">
        <v>45992</v>
      </c>
      <c r="C24" s="1" t="s">
        <v>31</v>
      </c>
      <c r="D24" s="1" t="s">
        <v>34</v>
      </c>
      <c r="E24" s="1" t="s">
        <v>54</v>
      </c>
      <c r="F24" s="1" t="s">
        <v>55</v>
      </c>
      <c r="G24" s="1" t="s">
        <v>1229</v>
      </c>
      <c r="H24" s="6">
        <v>1</v>
      </c>
      <c r="I24" s="7">
        <v>1568</v>
      </c>
      <c r="J24" s="5">
        <v>45989</v>
      </c>
      <c r="K24" s="1" t="s">
        <v>957</v>
      </c>
      <c r="L24" s="1" t="s">
        <v>30</v>
      </c>
      <c r="M24" s="8">
        <v>0</v>
      </c>
      <c r="N24" s="6"/>
      <c r="O24" s="6"/>
      <c r="P24" s="9">
        <v>791.74</v>
      </c>
    </row>
    <row r="25" spans="1:16" ht="19.5" customHeight="1">
      <c r="A25" s="1" t="s">
        <v>1439</v>
      </c>
      <c r="B25" s="5">
        <v>45992</v>
      </c>
      <c r="C25" s="1" t="s">
        <v>35</v>
      </c>
      <c r="D25" s="1" t="s">
        <v>36</v>
      </c>
      <c r="E25" s="1" t="s">
        <v>54</v>
      </c>
      <c r="F25" s="1" t="s">
        <v>55</v>
      </c>
      <c r="G25" s="1" t="s">
        <v>1229</v>
      </c>
      <c r="H25" s="6">
        <v>1</v>
      </c>
      <c r="I25" s="7">
        <v>1568</v>
      </c>
      <c r="J25" s="5">
        <v>45989</v>
      </c>
      <c r="K25" s="1" t="s">
        <v>957</v>
      </c>
      <c r="L25" s="1" t="s">
        <v>30</v>
      </c>
      <c r="M25" s="8">
        <v>0.43</v>
      </c>
      <c r="N25" s="6"/>
      <c r="O25" s="6"/>
      <c r="P25" s="9">
        <v>-674.24</v>
      </c>
    </row>
    <row r="26" spans="1:16" ht="19.5" customHeight="1">
      <c r="A26" s="1" t="s">
        <v>1439</v>
      </c>
      <c r="B26" s="5">
        <v>45992</v>
      </c>
      <c r="C26" s="1" t="s">
        <v>17</v>
      </c>
      <c r="D26" s="1" t="s">
        <v>37</v>
      </c>
      <c r="E26" s="1" t="s">
        <v>54</v>
      </c>
      <c r="F26" s="1" t="s">
        <v>55</v>
      </c>
      <c r="G26" s="1" t="s">
        <v>1229</v>
      </c>
      <c r="H26" s="6">
        <v>1</v>
      </c>
      <c r="I26" s="7">
        <v>1568</v>
      </c>
      <c r="J26" s="5">
        <v>45989</v>
      </c>
      <c r="K26" s="1" t="s">
        <v>957</v>
      </c>
      <c r="L26" s="1" t="s">
        <v>30</v>
      </c>
      <c r="M26" s="8">
        <v>0.43</v>
      </c>
      <c r="N26" s="6"/>
      <c r="O26" s="6"/>
      <c r="P26" s="9">
        <v>-7.47</v>
      </c>
    </row>
    <row r="27" spans="1:16" ht="19.5" customHeight="1">
      <c r="A27" s="1" t="s">
        <v>1439</v>
      </c>
      <c r="B27" s="5">
        <v>45992</v>
      </c>
      <c r="C27" s="1" t="s">
        <v>17</v>
      </c>
      <c r="D27" s="1" t="s">
        <v>18</v>
      </c>
      <c r="E27" s="1" t="s">
        <v>54</v>
      </c>
      <c r="F27" s="1" t="s">
        <v>55</v>
      </c>
      <c r="G27" s="1" t="s">
        <v>1229</v>
      </c>
      <c r="H27" s="6">
        <v>1</v>
      </c>
      <c r="I27" s="7">
        <v>0</v>
      </c>
      <c r="J27" s="5">
        <v>45989</v>
      </c>
      <c r="K27" s="1" t="s">
        <v>22</v>
      </c>
      <c r="L27" s="1" t="s">
        <v>22</v>
      </c>
      <c r="M27" s="8">
        <v>0</v>
      </c>
      <c r="N27" s="6"/>
      <c r="O27" s="6"/>
      <c r="P27" s="9">
        <v>-14.6</v>
      </c>
    </row>
    <row r="28" spans="1:16" ht="19.5" customHeight="1">
      <c r="A28" s="1" t="s">
        <v>1308</v>
      </c>
      <c r="B28" s="5">
        <v>45992</v>
      </c>
      <c r="C28" s="1" t="s">
        <v>28</v>
      </c>
      <c r="D28" s="1" t="s">
        <v>60</v>
      </c>
      <c r="E28" s="1" t="s">
        <v>1054</v>
      </c>
      <c r="F28" s="1" t="s">
        <v>1297</v>
      </c>
      <c r="G28" s="1" t="s">
        <v>1298</v>
      </c>
      <c r="H28" s="6">
        <v>1</v>
      </c>
      <c r="I28" s="7">
        <v>0</v>
      </c>
      <c r="J28" s="5">
        <v>45981</v>
      </c>
      <c r="K28" s="1" t="s">
        <v>957</v>
      </c>
      <c r="L28" s="1" t="s">
        <v>30</v>
      </c>
      <c r="M28" s="8">
        <v>0</v>
      </c>
      <c r="N28" s="6"/>
      <c r="O28" s="6"/>
      <c r="P28" s="9">
        <v>0</v>
      </c>
    </row>
    <row r="29" spans="1:16" ht="19.5" customHeight="1">
      <c r="A29" s="1" t="s">
        <v>1308</v>
      </c>
      <c r="B29" s="5">
        <v>45992</v>
      </c>
      <c r="C29" s="1" t="s">
        <v>28</v>
      </c>
      <c r="D29" s="1" t="s">
        <v>46</v>
      </c>
      <c r="E29" s="1" t="s">
        <v>1054</v>
      </c>
      <c r="F29" s="1" t="s">
        <v>1297</v>
      </c>
      <c r="G29" s="1" t="s">
        <v>1298</v>
      </c>
      <c r="H29" s="6">
        <v>1</v>
      </c>
      <c r="I29" s="7">
        <v>0</v>
      </c>
      <c r="J29" s="5">
        <v>45981</v>
      </c>
      <c r="K29" s="1" t="s">
        <v>957</v>
      </c>
      <c r="L29" s="1" t="s">
        <v>30</v>
      </c>
      <c r="M29" s="8">
        <v>0</v>
      </c>
      <c r="N29" s="6"/>
      <c r="O29" s="6"/>
      <c r="P29" s="9">
        <v>-80</v>
      </c>
    </row>
    <row r="30" spans="1:16" ht="19.5" customHeight="1">
      <c r="A30" s="1" t="s">
        <v>1308</v>
      </c>
      <c r="B30" s="5">
        <v>45992</v>
      </c>
      <c r="C30" s="1" t="s">
        <v>17</v>
      </c>
      <c r="D30" s="1" t="s">
        <v>47</v>
      </c>
      <c r="E30" s="1" t="s">
        <v>1054</v>
      </c>
      <c r="F30" s="1" t="s">
        <v>1297</v>
      </c>
      <c r="G30" s="1" t="s">
        <v>1298</v>
      </c>
      <c r="H30" s="6">
        <v>1</v>
      </c>
      <c r="I30" s="7">
        <v>0</v>
      </c>
      <c r="J30" s="5">
        <v>45981</v>
      </c>
      <c r="K30" s="1" t="s">
        <v>957</v>
      </c>
      <c r="L30" s="1" t="s">
        <v>30</v>
      </c>
      <c r="M30" s="8">
        <v>0</v>
      </c>
      <c r="N30" s="6"/>
      <c r="O30" s="6"/>
      <c r="P30" s="9">
        <v>-15</v>
      </c>
    </row>
    <row r="31" spans="1:16" ht="19.5" customHeight="1">
      <c r="A31" s="1" t="s">
        <v>1440</v>
      </c>
      <c r="B31" s="5">
        <v>45992</v>
      </c>
      <c r="C31" s="1" t="s">
        <v>28</v>
      </c>
      <c r="D31" s="1" t="s">
        <v>29</v>
      </c>
      <c r="E31" s="1" t="s">
        <v>25</v>
      </c>
      <c r="F31" s="1" t="s">
        <v>26</v>
      </c>
      <c r="G31" s="1" t="s">
        <v>1229</v>
      </c>
      <c r="H31" s="6">
        <v>1</v>
      </c>
      <c r="I31" s="7">
        <v>1738</v>
      </c>
      <c r="J31" s="5">
        <v>45982</v>
      </c>
      <c r="K31" s="1" t="s">
        <v>957</v>
      </c>
      <c r="L31" s="1" t="s">
        <v>30</v>
      </c>
      <c r="M31" s="8">
        <v>0.43</v>
      </c>
      <c r="N31" s="6"/>
      <c r="O31" s="6">
        <v>43</v>
      </c>
      <c r="P31" s="9">
        <v>-125.74</v>
      </c>
    </row>
    <row r="32" spans="1:16" ht="19.5" customHeight="1">
      <c r="A32" s="1" t="s">
        <v>1440</v>
      </c>
      <c r="B32" s="5">
        <v>45992</v>
      </c>
      <c r="C32" s="1" t="s">
        <v>31</v>
      </c>
      <c r="D32" s="1" t="s">
        <v>32</v>
      </c>
      <c r="E32" s="1" t="s">
        <v>25</v>
      </c>
      <c r="F32" s="1" t="s">
        <v>26</v>
      </c>
      <c r="G32" s="1" t="s">
        <v>1229</v>
      </c>
      <c r="H32" s="6">
        <v>1</v>
      </c>
      <c r="I32" s="7">
        <v>1738</v>
      </c>
      <c r="J32" s="5">
        <v>45982</v>
      </c>
      <c r="K32" s="1" t="s">
        <v>957</v>
      </c>
      <c r="L32" s="1" t="s">
        <v>30</v>
      </c>
      <c r="M32" s="8">
        <v>0</v>
      </c>
      <c r="N32" s="6"/>
      <c r="O32" s="6"/>
      <c r="P32" s="9">
        <v>876.19</v>
      </c>
    </row>
    <row r="33" spans="1:16" ht="19.5" customHeight="1">
      <c r="A33" s="1" t="s">
        <v>1440</v>
      </c>
      <c r="B33" s="5">
        <v>45992</v>
      </c>
      <c r="C33" s="1" t="s">
        <v>31</v>
      </c>
      <c r="D33" s="1" t="s">
        <v>33</v>
      </c>
      <c r="E33" s="1" t="s">
        <v>25</v>
      </c>
      <c r="F33" s="1" t="s">
        <v>26</v>
      </c>
      <c r="G33" s="1" t="s">
        <v>1229</v>
      </c>
      <c r="H33" s="6">
        <v>1</v>
      </c>
      <c r="I33" s="7">
        <v>1738</v>
      </c>
      <c r="J33" s="5">
        <v>45982</v>
      </c>
      <c r="K33" s="1" t="s">
        <v>957</v>
      </c>
      <c r="L33" s="1" t="s">
        <v>30</v>
      </c>
      <c r="M33" s="8">
        <v>0</v>
      </c>
      <c r="N33" s="6"/>
      <c r="O33" s="6"/>
      <c r="P33" s="9">
        <v>8.76</v>
      </c>
    </row>
    <row r="34" spans="1:16" ht="19.5" customHeight="1">
      <c r="A34" s="1" t="s">
        <v>1440</v>
      </c>
      <c r="B34" s="5">
        <v>45992</v>
      </c>
      <c r="C34" s="1" t="s">
        <v>31</v>
      </c>
      <c r="D34" s="1" t="s">
        <v>34</v>
      </c>
      <c r="E34" s="1" t="s">
        <v>25</v>
      </c>
      <c r="F34" s="1" t="s">
        <v>26</v>
      </c>
      <c r="G34" s="1" t="s">
        <v>1229</v>
      </c>
      <c r="H34" s="6">
        <v>1</v>
      </c>
      <c r="I34" s="7">
        <v>1738</v>
      </c>
      <c r="J34" s="5">
        <v>45982</v>
      </c>
      <c r="K34" s="1" t="s">
        <v>957</v>
      </c>
      <c r="L34" s="1" t="s">
        <v>30</v>
      </c>
      <c r="M34" s="8">
        <v>0</v>
      </c>
      <c r="N34" s="6"/>
      <c r="O34" s="6"/>
      <c r="P34" s="9">
        <v>853.05</v>
      </c>
    </row>
    <row r="35" spans="1:16" ht="19.5" customHeight="1">
      <c r="A35" s="1" t="s">
        <v>1440</v>
      </c>
      <c r="B35" s="5">
        <v>45992</v>
      </c>
      <c r="C35" s="1" t="s">
        <v>35</v>
      </c>
      <c r="D35" s="1" t="s">
        <v>36</v>
      </c>
      <c r="E35" s="1" t="s">
        <v>25</v>
      </c>
      <c r="F35" s="1" t="s">
        <v>26</v>
      </c>
      <c r="G35" s="1" t="s">
        <v>1229</v>
      </c>
      <c r="H35" s="6">
        <v>1</v>
      </c>
      <c r="I35" s="7">
        <v>1738</v>
      </c>
      <c r="J35" s="5">
        <v>45982</v>
      </c>
      <c r="K35" s="1" t="s">
        <v>957</v>
      </c>
      <c r="L35" s="1" t="s">
        <v>30</v>
      </c>
      <c r="M35" s="8">
        <v>0.43</v>
      </c>
      <c r="N35" s="6"/>
      <c r="O35" s="6"/>
      <c r="P35" s="9">
        <v>-747.34</v>
      </c>
    </row>
    <row r="36" spans="1:16" ht="19.5" customHeight="1">
      <c r="A36" s="1" t="s">
        <v>1440</v>
      </c>
      <c r="B36" s="5">
        <v>45992</v>
      </c>
      <c r="C36" s="1" t="s">
        <v>17</v>
      </c>
      <c r="D36" s="1" t="s">
        <v>37</v>
      </c>
      <c r="E36" s="1" t="s">
        <v>25</v>
      </c>
      <c r="F36" s="1" t="s">
        <v>26</v>
      </c>
      <c r="G36" s="1" t="s">
        <v>1229</v>
      </c>
      <c r="H36" s="6">
        <v>1</v>
      </c>
      <c r="I36" s="7">
        <v>1738</v>
      </c>
      <c r="J36" s="5">
        <v>45982</v>
      </c>
      <c r="K36" s="1" t="s">
        <v>957</v>
      </c>
      <c r="L36" s="1" t="s">
        <v>30</v>
      </c>
      <c r="M36" s="8">
        <v>0.43</v>
      </c>
      <c r="N36" s="6"/>
      <c r="O36" s="6"/>
      <c r="P36" s="9">
        <v>-10.95</v>
      </c>
    </row>
    <row r="37" spans="1:16" ht="19.5" customHeight="1">
      <c r="A37" s="1" t="s">
        <v>1440</v>
      </c>
      <c r="B37" s="5">
        <v>45992</v>
      </c>
      <c r="C37" s="1" t="s">
        <v>17</v>
      </c>
      <c r="D37" s="1" t="s">
        <v>18</v>
      </c>
      <c r="E37" s="1" t="s">
        <v>25</v>
      </c>
      <c r="F37" s="1" t="s">
        <v>26</v>
      </c>
      <c r="G37" s="1" t="s">
        <v>1229</v>
      </c>
      <c r="H37" s="6">
        <v>1</v>
      </c>
      <c r="I37" s="7">
        <v>0</v>
      </c>
      <c r="J37" s="5">
        <v>45982</v>
      </c>
      <c r="K37" s="1" t="s">
        <v>22</v>
      </c>
      <c r="L37" s="1" t="s">
        <v>22</v>
      </c>
      <c r="M37" s="8">
        <v>0</v>
      </c>
      <c r="N37" s="6"/>
      <c r="O37" s="6"/>
      <c r="P37" s="9">
        <v>-16.649999999999999</v>
      </c>
    </row>
    <row r="38" spans="1:16" ht="19.5" customHeight="1">
      <c r="A38" s="1" t="s">
        <v>1441</v>
      </c>
      <c r="B38" s="5">
        <v>45992</v>
      </c>
      <c r="C38" s="1" t="s">
        <v>17</v>
      </c>
      <c r="D38" s="1" t="s">
        <v>18</v>
      </c>
      <c r="E38" s="1" t="s">
        <v>223</v>
      </c>
      <c r="F38" s="1" t="s">
        <v>395</v>
      </c>
      <c r="G38" s="1" t="s">
        <v>1229</v>
      </c>
      <c r="H38" s="6">
        <v>1</v>
      </c>
      <c r="I38" s="7">
        <v>0</v>
      </c>
      <c r="J38" s="5">
        <v>45992</v>
      </c>
      <c r="K38" s="1" t="s">
        <v>22</v>
      </c>
      <c r="L38" s="1" t="s">
        <v>22</v>
      </c>
      <c r="M38" s="8">
        <v>0</v>
      </c>
      <c r="N38" s="6"/>
      <c r="O38" s="6"/>
      <c r="P38" s="9">
        <v>-11.71</v>
      </c>
    </row>
    <row r="39" spans="1:16" ht="19.5" customHeight="1">
      <c r="A39" s="1" t="s">
        <v>1442</v>
      </c>
      <c r="B39" s="5">
        <v>45992</v>
      </c>
      <c r="C39" s="1" t="s">
        <v>28</v>
      </c>
      <c r="D39" s="1" t="s">
        <v>29</v>
      </c>
      <c r="E39" s="1" t="s">
        <v>25</v>
      </c>
      <c r="F39" s="1" t="s">
        <v>26</v>
      </c>
      <c r="G39" s="1" t="s">
        <v>1229</v>
      </c>
      <c r="H39" s="6">
        <v>1</v>
      </c>
      <c r="I39" s="7">
        <v>1738</v>
      </c>
      <c r="J39" s="5">
        <v>45991</v>
      </c>
      <c r="K39" s="1" t="s">
        <v>957</v>
      </c>
      <c r="L39" s="1" t="s">
        <v>30</v>
      </c>
      <c r="M39" s="8">
        <v>0.43</v>
      </c>
      <c r="N39" s="6"/>
      <c r="O39" s="6">
        <v>48</v>
      </c>
      <c r="P39" s="9">
        <v>-143.02000000000001</v>
      </c>
    </row>
    <row r="40" spans="1:16" ht="19.5" customHeight="1">
      <c r="A40" s="1" t="s">
        <v>1442</v>
      </c>
      <c r="B40" s="5">
        <v>45992</v>
      </c>
      <c r="C40" s="1" t="s">
        <v>31</v>
      </c>
      <c r="D40" s="1" t="s">
        <v>32</v>
      </c>
      <c r="E40" s="1" t="s">
        <v>25</v>
      </c>
      <c r="F40" s="1" t="s">
        <v>26</v>
      </c>
      <c r="G40" s="1" t="s">
        <v>1229</v>
      </c>
      <c r="H40" s="6">
        <v>1</v>
      </c>
      <c r="I40" s="7">
        <v>1738</v>
      </c>
      <c r="J40" s="5">
        <v>45991</v>
      </c>
      <c r="K40" s="1" t="s">
        <v>957</v>
      </c>
      <c r="L40" s="1" t="s">
        <v>30</v>
      </c>
      <c r="M40" s="8">
        <v>0</v>
      </c>
      <c r="N40" s="6"/>
      <c r="O40" s="6"/>
      <c r="P40" s="9">
        <v>607.62</v>
      </c>
    </row>
    <row r="41" spans="1:16" ht="19.5" customHeight="1">
      <c r="A41" s="1" t="s">
        <v>1442</v>
      </c>
      <c r="B41" s="5">
        <v>45992</v>
      </c>
      <c r="C41" s="1" t="s">
        <v>31</v>
      </c>
      <c r="D41" s="1" t="s">
        <v>33</v>
      </c>
      <c r="E41" s="1" t="s">
        <v>25</v>
      </c>
      <c r="F41" s="1" t="s">
        <v>26</v>
      </c>
      <c r="G41" s="1" t="s">
        <v>1229</v>
      </c>
      <c r="H41" s="6">
        <v>1</v>
      </c>
      <c r="I41" s="7">
        <v>1738</v>
      </c>
      <c r="J41" s="5">
        <v>45991</v>
      </c>
      <c r="K41" s="1" t="s">
        <v>957</v>
      </c>
      <c r="L41" s="1" t="s">
        <v>30</v>
      </c>
      <c r="M41" s="8">
        <v>0</v>
      </c>
      <c r="N41" s="6"/>
      <c r="O41" s="6"/>
      <c r="P41" s="9">
        <v>6.08</v>
      </c>
    </row>
    <row r="42" spans="1:16" ht="19.5" customHeight="1">
      <c r="A42" s="1" t="s">
        <v>1442</v>
      </c>
      <c r="B42" s="5">
        <v>45992</v>
      </c>
      <c r="C42" s="1" t="s">
        <v>31</v>
      </c>
      <c r="D42" s="1" t="s">
        <v>34</v>
      </c>
      <c r="E42" s="1" t="s">
        <v>25</v>
      </c>
      <c r="F42" s="1" t="s">
        <v>26</v>
      </c>
      <c r="G42" s="1" t="s">
        <v>1229</v>
      </c>
      <c r="H42" s="6">
        <v>1</v>
      </c>
      <c r="I42" s="7">
        <v>1738</v>
      </c>
      <c r="J42" s="5">
        <v>45991</v>
      </c>
      <c r="K42" s="1" t="s">
        <v>957</v>
      </c>
      <c r="L42" s="1" t="s">
        <v>30</v>
      </c>
      <c r="M42" s="8">
        <v>0</v>
      </c>
      <c r="N42" s="6"/>
      <c r="O42" s="6"/>
      <c r="P42" s="9">
        <v>1124.3</v>
      </c>
    </row>
    <row r="43" spans="1:16" ht="19.5" customHeight="1">
      <c r="A43" s="1" t="s">
        <v>1442</v>
      </c>
      <c r="B43" s="5">
        <v>45992</v>
      </c>
      <c r="C43" s="1" t="s">
        <v>35</v>
      </c>
      <c r="D43" s="1" t="s">
        <v>36</v>
      </c>
      <c r="E43" s="1" t="s">
        <v>25</v>
      </c>
      <c r="F43" s="1" t="s">
        <v>26</v>
      </c>
      <c r="G43" s="1" t="s">
        <v>1229</v>
      </c>
      <c r="H43" s="6">
        <v>1</v>
      </c>
      <c r="I43" s="7">
        <v>1738</v>
      </c>
      <c r="J43" s="5">
        <v>45991</v>
      </c>
      <c r="K43" s="1" t="s">
        <v>957</v>
      </c>
      <c r="L43" s="1" t="s">
        <v>30</v>
      </c>
      <c r="M43" s="8">
        <v>0.43</v>
      </c>
      <c r="N43" s="6"/>
      <c r="O43" s="6"/>
      <c r="P43" s="9">
        <v>-747.34</v>
      </c>
    </row>
    <row r="44" spans="1:16" ht="19.5" customHeight="1">
      <c r="A44" s="1" t="s">
        <v>1442</v>
      </c>
      <c r="B44" s="5">
        <v>45992</v>
      </c>
      <c r="C44" s="1" t="s">
        <v>17</v>
      </c>
      <c r="D44" s="1" t="s">
        <v>37</v>
      </c>
      <c r="E44" s="1" t="s">
        <v>25</v>
      </c>
      <c r="F44" s="1" t="s">
        <v>26</v>
      </c>
      <c r="G44" s="1" t="s">
        <v>1229</v>
      </c>
      <c r="H44" s="6">
        <v>1</v>
      </c>
      <c r="I44" s="7">
        <v>1738</v>
      </c>
      <c r="J44" s="5">
        <v>45991</v>
      </c>
      <c r="K44" s="1" t="s">
        <v>957</v>
      </c>
      <c r="L44" s="1" t="s">
        <v>30</v>
      </c>
      <c r="M44" s="8">
        <v>0.43</v>
      </c>
      <c r="N44" s="6"/>
      <c r="O44" s="6"/>
      <c r="P44" s="9">
        <v>-8.8000000000000007</v>
      </c>
    </row>
    <row r="45" spans="1:16" ht="19.5" customHeight="1">
      <c r="A45" s="1" t="s">
        <v>1442</v>
      </c>
      <c r="B45" s="5">
        <v>45992</v>
      </c>
      <c r="C45" s="1" t="s">
        <v>17</v>
      </c>
      <c r="D45" s="1" t="s">
        <v>18</v>
      </c>
      <c r="E45" s="1" t="s">
        <v>25</v>
      </c>
      <c r="F45" s="1" t="s">
        <v>26</v>
      </c>
      <c r="G45" s="1" t="s">
        <v>1229</v>
      </c>
      <c r="H45" s="6">
        <v>1</v>
      </c>
      <c r="I45" s="7">
        <v>0</v>
      </c>
      <c r="J45" s="5">
        <v>45991</v>
      </c>
      <c r="K45" s="1" t="s">
        <v>22</v>
      </c>
      <c r="L45" s="1" t="s">
        <v>22</v>
      </c>
      <c r="M45" s="8">
        <v>0</v>
      </c>
      <c r="N45" s="6"/>
      <c r="O45" s="6"/>
      <c r="P45" s="9">
        <v>-11.54</v>
      </c>
    </row>
    <row r="46" spans="1:16" ht="19.5" customHeight="1">
      <c r="A46" s="1" t="s">
        <v>1443</v>
      </c>
      <c r="B46" s="5">
        <v>45992</v>
      </c>
      <c r="C46" s="1" t="s">
        <v>74</v>
      </c>
      <c r="D46" s="1" t="s">
        <v>75</v>
      </c>
      <c r="E46" s="1" t="s">
        <v>243</v>
      </c>
      <c r="F46" s="1" t="s">
        <v>603</v>
      </c>
      <c r="G46" s="1" t="s">
        <v>1133</v>
      </c>
      <c r="H46" s="6">
        <v>1</v>
      </c>
      <c r="I46" s="7">
        <v>0</v>
      </c>
      <c r="J46" s="5">
        <v>45983</v>
      </c>
      <c r="K46" s="1" t="s">
        <v>957</v>
      </c>
      <c r="L46" s="1" t="s">
        <v>30</v>
      </c>
      <c r="M46" s="8">
        <v>0</v>
      </c>
      <c r="N46" s="6"/>
      <c r="O46" s="6"/>
      <c r="P46" s="9">
        <v>-5</v>
      </c>
    </row>
    <row r="47" spans="1:16" ht="19.5" customHeight="1">
      <c r="A47" s="1" t="s">
        <v>1443</v>
      </c>
      <c r="B47" s="5">
        <v>45992</v>
      </c>
      <c r="C47" s="1" t="s">
        <v>17</v>
      </c>
      <c r="D47" s="1" t="s">
        <v>76</v>
      </c>
      <c r="E47" s="1" t="s">
        <v>243</v>
      </c>
      <c r="F47" s="1" t="s">
        <v>603</v>
      </c>
      <c r="G47" s="1" t="s">
        <v>1133</v>
      </c>
      <c r="H47" s="6">
        <v>1</v>
      </c>
      <c r="I47" s="7">
        <v>0</v>
      </c>
      <c r="J47" s="5">
        <v>45983</v>
      </c>
      <c r="K47" s="1" t="s">
        <v>957</v>
      </c>
      <c r="L47" s="1" t="s">
        <v>30</v>
      </c>
      <c r="M47" s="8">
        <v>0</v>
      </c>
      <c r="N47" s="6"/>
      <c r="O47" s="6"/>
      <c r="P47" s="9">
        <v>-10</v>
      </c>
    </row>
    <row r="48" spans="1:16" ht="19.5" customHeight="1">
      <c r="A48" s="1" t="s">
        <v>1444</v>
      </c>
      <c r="B48" s="5">
        <v>45992</v>
      </c>
      <c r="C48" s="1" t="s">
        <v>28</v>
      </c>
      <c r="D48" s="1" t="s">
        <v>29</v>
      </c>
      <c r="E48" s="1" t="s">
        <v>25</v>
      </c>
      <c r="F48" s="1" t="s">
        <v>26</v>
      </c>
      <c r="G48" s="1" t="s">
        <v>1229</v>
      </c>
      <c r="H48" s="6">
        <v>1</v>
      </c>
      <c r="I48" s="7">
        <v>1148</v>
      </c>
      <c r="J48" s="5">
        <v>45989</v>
      </c>
      <c r="K48" s="1" t="s">
        <v>957</v>
      </c>
      <c r="L48" s="1" t="s">
        <v>30</v>
      </c>
      <c r="M48" s="8">
        <v>0.43</v>
      </c>
      <c r="N48" s="6"/>
      <c r="O48" s="6">
        <v>44</v>
      </c>
      <c r="P48" s="9">
        <v>-111.14</v>
      </c>
    </row>
    <row r="49" spans="1:16" ht="19.5" customHeight="1">
      <c r="A49" s="1" t="s">
        <v>1444</v>
      </c>
      <c r="B49" s="5">
        <v>45992</v>
      </c>
      <c r="C49" s="1" t="s">
        <v>31</v>
      </c>
      <c r="D49" s="1" t="s">
        <v>32</v>
      </c>
      <c r="E49" s="1" t="s">
        <v>25</v>
      </c>
      <c r="F49" s="1" t="s">
        <v>26</v>
      </c>
      <c r="G49" s="1" t="s">
        <v>1229</v>
      </c>
      <c r="H49" s="6">
        <v>1</v>
      </c>
      <c r="I49" s="7">
        <v>1148</v>
      </c>
      <c r="J49" s="5">
        <v>45989</v>
      </c>
      <c r="K49" s="1" t="s">
        <v>957</v>
      </c>
      <c r="L49" s="1" t="s">
        <v>30</v>
      </c>
      <c r="M49" s="8">
        <v>0</v>
      </c>
      <c r="N49" s="6"/>
      <c r="O49" s="6"/>
      <c r="P49" s="9">
        <v>480.95</v>
      </c>
    </row>
    <row r="50" spans="1:16" ht="19.5" customHeight="1">
      <c r="A50" s="1" t="s">
        <v>1444</v>
      </c>
      <c r="B50" s="5">
        <v>45992</v>
      </c>
      <c r="C50" s="1" t="s">
        <v>31</v>
      </c>
      <c r="D50" s="1" t="s">
        <v>33</v>
      </c>
      <c r="E50" s="1" t="s">
        <v>25</v>
      </c>
      <c r="F50" s="1" t="s">
        <v>26</v>
      </c>
      <c r="G50" s="1" t="s">
        <v>1229</v>
      </c>
      <c r="H50" s="6">
        <v>1</v>
      </c>
      <c r="I50" s="7">
        <v>1148</v>
      </c>
      <c r="J50" s="5">
        <v>45989</v>
      </c>
      <c r="K50" s="1" t="s">
        <v>957</v>
      </c>
      <c r="L50" s="1" t="s">
        <v>30</v>
      </c>
      <c r="M50" s="8">
        <v>0</v>
      </c>
      <c r="N50" s="6"/>
      <c r="O50" s="6"/>
      <c r="P50" s="9">
        <v>4.8099999999999996</v>
      </c>
    </row>
    <row r="51" spans="1:16" ht="19.5" customHeight="1">
      <c r="A51" s="1" t="s">
        <v>1444</v>
      </c>
      <c r="B51" s="5">
        <v>45992</v>
      </c>
      <c r="C51" s="1" t="s">
        <v>31</v>
      </c>
      <c r="D51" s="1" t="s">
        <v>34</v>
      </c>
      <c r="E51" s="1" t="s">
        <v>25</v>
      </c>
      <c r="F51" s="1" t="s">
        <v>26</v>
      </c>
      <c r="G51" s="1" t="s">
        <v>1229</v>
      </c>
      <c r="H51" s="6">
        <v>1</v>
      </c>
      <c r="I51" s="7">
        <v>1148</v>
      </c>
      <c r="J51" s="5">
        <v>45989</v>
      </c>
      <c r="K51" s="1" t="s">
        <v>957</v>
      </c>
      <c r="L51" s="1" t="s">
        <v>30</v>
      </c>
      <c r="M51" s="8">
        <v>0</v>
      </c>
      <c r="N51" s="6"/>
      <c r="O51" s="6"/>
      <c r="P51" s="9">
        <v>662.24</v>
      </c>
    </row>
    <row r="52" spans="1:16" ht="19.5" customHeight="1">
      <c r="A52" s="1" t="s">
        <v>1444</v>
      </c>
      <c r="B52" s="5">
        <v>45992</v>
      </c>
      <c r="C52" s="1" t="s">
        <v>35</v>
      </c>
      <c r="D52" s="1" t="s">
        <v>36</v>
      </c>
      <c r="E52" s="1" t="s">
        <v>25</v>
      </c>
      <c r="F52" s="1" t="s">
        <v>26</v>
      </c>
      <c r="G52" s="1" t="s">
        <v>1229</v>
      </c>
      <c r="H52" s="6">
        <v>1</v>
      </c>
      <c r="I52" s="7">
        <v>1148</v>
      </c>
      <c r="J52" s="5">
        <v>45989</v>
      </c>
      <c r="K52" s="1" t="s">
        <v>957</v>
      </c>
      <c r="L52" s="1" t="s">
        <v>30</v>
      </c>
      <c r="M52" s="8">
        <v>0.43</v>
      </c>
      <c r="N52" s="6"/>
      <c r="O52" s="6"/>
      <c r="P52" s="9">
        <v>-493.64</v>
      </c>
    </row>
    <row r="53" spans="1:16" ht="19.5" customHeight="1">
      <c r="A53" s="1" t="s">
        <v>1445</v>
      </c>
      <c r="B53" s="5">
        <v>45992</v>
      </c>
      <c r="C53" s="1" t="s">
        <v>28</v>
      </c>
      <c r="D53" s="1" t="s">
        <v>29</v>
      </c>
      <c r="E53" s="1" t="s">
        <v>25</v>
      </c>
      <c r="F53" s="1" t="s">
        <v>26</v>
      </c>
      <c r="G53" s="1" t="s">
        <v>1229</v>
      </c>
      <c r="H53" s="6">
        <v>1</v>
      </c>
      <c r="I53" s="7">
        <v>1738</v>
      </c>
      <c r="J53" s="5">
        <v>45991</v>
      </c>
      <c r="K53" s="1" t="s">
        <v>957</v>
      </c>
      <c r="L53" s="1" t="s">
        <v>30</v>
      </c>
      <c r="M53" s="8">
        <v>0.43</v>
      </c>
      <c r="N53" s="6"/>
      <c r="O53" s="6">
        <v>48</v>
      </c>
      <c r="P53" s="9">
        <v>-143.02000000000001</v>
      </c>
    </row>
    <row r="54" spans="1:16" ht="19.5" customHeight="1">
      <c r="A54" s="1" t="s">
        <v>1445</v>
      </c>
      <c r="B54" s="5">
        <v>45992</v>
      </c>
      <c r="C54" s="1" t="s">
        <v>31</v>
      </c>
      <c r="D54" s="1" t="s">
        <v>32</v>
      </c>
      <c r="E54" s="1" t="s">
        <v>25</v>
      </c>
      <c r="F54" s="1" t="s">
        <v>26</v>
      </c>
      <c r="G54" s="1" t="s">
        <v>1229</v>
      </c>
      <c r="H54" s="6">
        <v>1</v>
      </c>
      <c r="I54" s="7">
        <v>1738</v>
      </c>
      <c r="J54" s="5">
        <v>45991</v>
      </c>
      <c r="K54" s="1" t="s">
        <v>957</v>
      </c>
      <c r="L54" s="1" t="s">
        <v>30</v>
      </c>
      <c r="M54" s="8">
        <v>0</v>
      </c>
      <c r="N54" s="6"/>
      <c r="O54" s="6"/>
      <c r="P54" s="9">
        <v>683.81</v>
      </c>
    </row>
    <row r="55" spans="1:16" ht="19.5" customHeight="1">
      <c r="A55" s="1" t="s">
        <v>1445</v>
      </c>
      <c r="B55" s="5">
        <v>45992</v>
      </c>
      <c r="C55" s="1" t="s">
        <v>31</v>
      </c>
      <c r="D55" s="1" t="s">
        <v>33</v>
      </c>
      <c r="E55" s="1" t="s">
        <v>25</v>
      </c>
      <c r="F55" s="1" t="s">
        <v>26</v>
      </c>
      <c r="G55" s="1" t="s">
        <v>1229</v>
      </c>
      <c r="H55" s="6">
        <v>1</v>
      </c>
      <c r="I55" s="7">
        <v>1738</v>
      </c>
      <c r="J55" s="5">
        <v>45991</v>
      </c>
      <c r="K55" s="1" t="s">
        <v>957</v>
      </c>
      <c r="L55" s="1" t="s">
        <v>30</v>
      </c>
      <c r="M55" s="8">
        <v>0</v>
      </c>
      <c r="N55" s="6"/>
      <c r="O55" s="6"/>
      <c r="P55" s="9">
        <v>6.84</v>
      </c>
    </row>
    <row r="56" spans="1:16" ht="19.5" customHeight="1">
      <c r="A56" s="1" t="s">
        <v>1445</v>
      </c>
      <c r="B56" s="5">
        <v>45992</v>
      </c>
      <c r="C56" s="1" t="s">
        <v>31</v>
      </c>
      <c r="D56" s="1" t="s">
        <v>34</v>
      </c>
      <c r="E56" s="1" t="s">
        <v>25</v>
      </c>
      <c r="F56" s="1" t="s">
        <v>26</v>
      </c>
      <c r="G56" s="1" t="s">
        <v>1229</v>
      </c>
      <c r="H56" s="6">
        <v>1</v>
      </c>
      <c r="I56" s="7">
        <v>1738</v>
      </c>
      <c r="J56" s="5">
        <v>45991</v>
      </c>
      <c r="K56" s="1" t="s">
        <v>957</v>
      </c>
      <c r="L56" s="1" t="s">
        <v>30</v>
      </c>
      <c r="M56" s="8">
        <v>0</v>
      </c>
      <c r="N56" s="6"/>
      <c r="O56" s="6"/>
      <c r="P56" s="9">
        <v>1047.3499999999999</v>
      </c>
    </row>
    <row r="57" spans="1:16" ht="19.5" customHeight="1">
      <c r="A57" s="1" t="s">
        <v>1445</v>
      </c>
      <c r="B57" s="5">
        <v>45992</v>
      </c>
      <c r="C57" s="1" t="s">
        <v>35</v>
      </c>
      <c r="D57" s="1" t="s">
        <v>36</v>
      </c>
      <c r="E57" s="1" t="s">
        <v>25</v>
      </c>
      <c r="F57" s="1" t="s">
        <v>26</v>
      </c>
      <c r="G57" s="1" t="s">
        <v>1229</v>
      </c>
      <c r="H57" s="6">
        <v>1</v>
      </c>
      <c r="I57" s="7">
        <v>1738</v>
      </c>
      <c r="J57" s="5">
        <v>45991</v>
      </c>
      <c r="K57" s="1" t="s">
        <v>957</v>
      </c>
      <c r="L57" s="1" t="s">
        <v>30</v>
      </c>
      <c r="M57" s="8">
        <v>0.43</v>
      </c>
      <c r="N57" s="6"/>
      <c r="O57" s="6"/>
      <c r="P57" s="9">
        <v>-747.34</v>
      </c>
    </row>
    <row r="58" spans="1:16" ht="19.5" customHeight="1">
      <c r="A58" s="1" t="s">
        <v>1445</v>
      </c>
      <c r="B58" s="5">
        <v>45992</v>
      </c>
      <c r="C58" s="1" t="s">
        <v>17</v>
      </c>
      <c r="D58" s="1" t="s">
        <v>37</v>
      </c>
      <c r="E58" s="1" t="s">
        <v>25</v>
      </c>
      <c r="F58" s="1" t="s">
        <v>26</v>
      </c>
      <c r="G58" s="1" t="s">
        <v>1229</v>
      </c>
      <c r="H58" s="6">
        <v>1</v>
      </c>
      <c r="I58" s="7">
        <v>1738</v>
      </c>
      <c r="J58" s="5">
        <v>45991</v>
      </c>
      <c r="K58" s="1" t="s">
        <v>957</v>
      </c>
      <c r="L58" s="1" t="s">
        <v>30</v>
      </c>
      <c r="M58" s="8">
        <v>0.43</v>
      </c>
      <c r="N58" s="6"/>
      <c r="O58" s="6"/>
      <c r="P58" s="9">
        <v>-11.97</v>
      </c>
    </row>
    <row r="59" spans="1:16" ht="19.5" customHeight="1">
      <c r="A59" s="1" t="s">
        <v>1446</v>
      </c>
      <c r="B59" s="5">
        <v>45992</v>
      </c>
      <c r="C59" s="1" t="s">
        <v>28</v>
      </c>
      <c r="D59" s="1" t="s">
        <v>29</v>
      </c>
      <c r="E59" s="1" t="s">
        <v>223</v>
      </c>
      <c r="F59" s="1" t="s">
        <v>395</v>
      </c>
      <c r="G59" s="1" t="s">
        <v>1229</v>
      </c>
      <c r="H59" s="6">
        <v>1</v>
      </c>
      <c r="I59" s="7">
        <v>1376</v>
      </c>
      <c r="J59" s="5">
        <v>45985</v>
      </c>
      <c r="K59" s="1" t="s">
        <v>957</v>
      </c>
      <c r="L59" s="1" t="s">
        <v>30</v>
      </c>
      <c r="M59" s="8">
        <v>0.43</v>
      </c>
      <c r="N59" s="6"/>
      <c r="O59" s="6">
        <v>43</v>
      </c>
      <c r="P59" s="9">
        <v>-114.88</v>
      </c>
    </row>
    <row r="60" spans="1:16" ht="19.5" customHeight="1">
      <c r="A60" s="1" t="s">
        <v>1446</v>
      </c>
      <c r="B60" s="5">
        <v>45992</v>
      </c>
      <c r="C60" s="1" t="s">
        <v>31</v>
      </c>
      <c r="D60" s="1" t="s">
        <v>32</v>
      </c>
      <c r="E60" s="1" t="s">
        <v>223</v>
      </c>
      <c r="F60" s="1" t="s">
        <v>395</v>
      </c>
      <c r="G60" s="1" t="s">
        <v>1229</v>
      </c>
      <c r="H60" s="6">
        <v>1</v>
      </c>
      <c r="I60" s="7">
        <v>1376</v>
      </c>
      <c r="J60" s="5">
        <v>45985</v>
      </c>
      <c r="K60" s="1" t="s">
        <v>957</v>
      </c>
      <c r="L60" s="1" t="s">
        <v>30</v>
      </c>
      <c r="M60" s="8">
        <v>0</v>
      </c>
      <c r="N60" s="6"/>
      <c r="O60" s="6"/>
      <c r="P60" s="9">
        <v>562.86</v>
      </c>
    </row>
    <row r="61" spans="1:16" ht="19.5" customHeight="1">
      <c r="A61" s="1" t="s">
        <v>1446</v>
      </c>
      <c r="B61" s="5">
        <v>45992</v>
      </c>
      <c r="C61" s="1" t="s">
        <v>31</v>
      </c>
      <c r="D61" s="1" t="s">
        <v>33</v>
      </c>
      <c r="E61" s="1" t="s">
        <v>223</v>
      </c>
      <c r="F61" s="1" t="s">
        <v>395</v>
      </c>
      <c r="G61" s="1" t="s">
        <v>1229</v>
      </c>
      <c r="H61" s="6">
        <v>1</v>
      </c>
      <c r="I61" s="7">
        <v>1376</v>
      </c>
      <c r="J61" s="5">
        <v>45985</v>
      </c>
      <c r="K61" s="1" t="s">
        <v>957</v>
      </c>
      <c r="L61" s="1" t="s">
        <v>30</v>
      </c>
      <c r="M61" s="8">
        <v>0</v>
      </c>
      <c r="N61" s="6"/>
      <c r="O61" s="6"/>
      <c r="P61" s="9">
        <v>5.63</v>
      </c>
    </row>
    <row r="62" spans="1:16" ht="19.5" customHeight="1">
      <c r="A62" s="1" t="s">
        <v>1446</v>
      </c>
      <c r="B62" s="5">
        <v>45992</v>
      </c>
      <c r="C62" s="1" t="s">
        <v>31</v>
      </c>
      <c r="D62" s="1" t="s">
        <v>34</v>
      </c>
      <c r="E62" s="1" t="s">
        <v>223</v>
      </c>
      <c r="F62" s="1" t="s">
        <v>395</v>
      </c>
      <c r="G62" s="1" t="s">
        <v>1229</v>
      </c>
      <c r="H62" s="6">
        <v>1</v>
      </c>
      <c r="I62" s="7">
        <v>1376</v>
      </c>
      <c r="J62" s="5">
        <v>45985</v>
      </c>
      <c r="K62" s="1" t="s">
        <v>957</v>
      </c>
      <c r="L62" s="1" t="s">
        <v>30</v>
      </c>
      <c r="M62" s="8">
        <v>0</v>
      </c>
      <c r="N62" s="6"/>
      <c r="O62" s="6"/>
      <c r="P62" s="9">
        <v>807.51</v>
      </c>
    </row>
    <row r="63" spans="1:16" ht="19.5" customHeight="1">
      <c r="A63" s="1" t="s">
        <v>1446</v>
      </c>
      <c r="B63" s="5">
        <v>45992</v>
      </c>
      <c r="C63" s="1" t="s">
        <v>35</v>
      </c>
      <c r="D63" s="1" t="s">
        <v>36</v>
      </c>
      <c r="E63" s="1" t="s">
        <v>223</v>
      </c>
      <c r="F63" s="1" t="s">
        <v>395</v>
      </c>
      <c r="G63" s="1" t="s">
        <v>1229</v>
      </c>
      <c r="H63" s="6">
        <v>1</v>
      </c>
      <c r="I63" s="7">
        <v>1376</v>
      </c>
      <c r="J63" s="5">
        <v>45985</v>
      </c>
      <c r="K63" s="1" t="s">
        <v>957</v>
      </c>
      <c r="L63" s="1" t="s">
        <v>30</v>
      </c>
      <c r="M63" s="8">
        <v>0.43</v>
      </c>
      <c r="N63" s="6"/>
      <c r="O63" s="6"/>
      <c r="P63" s="9">
        <v>-591.67999999999995</v>
      </c>
    </row>
    <row r="64" spans="1:16" ht="19.5" customHeight="1">
      <c r="A64" s="1" t="s">
        <v>1447</v>
      </c>
      <c r="B64" s="5">
        <v>45992</v>
      </c>
      <c r="C64" s="1" t="s">
        <v>28</v>
      </c>
      <c r="D64" s="1" t="s">
        <v>29</v>
      </c>
      <c r="E64" s="1" t="s">
        <v>240</v>
      </c>
      <c r="F64" s="1" t="s">
        <v>802</v>
      </c>
      <c r="G64" s="1" t="s">
        <v>1133</v>
      </c>
      <c r="H64" s="6">
        <v>1</v>
      </c>
      <c r="I64" s="7">
        <v>0</v>
      </c>
      <c r="J64" s="5">
        <v>45985</v>
      </c>
      <c r="K64" s="1" t="s">
        <v>957</v>
      </c>
      <c r="L64" s="1" t="s">
        <v>30</v>
      </c>
      <c r="M64" s="8">
        <v>0</v>
      </c>
      <c r="N64" s="6"/>
      <c r="O64" s="6">
        <v>43</v>
      </c>
      <c r="P64" s="9">
        <v>-56</v>
      </c>
    </row>
    <row r="65" spans="1:16" ht="19.5" customHeight="1">
      <c r="A65" s="1" t="s">
        <v>1447</v>
      </c>
      <c r="B65" s="5">
        <v>45992</v>
      </c>
      <c r="C65" s="1" t="s">
        <v>28</v>
      </c>
      <c r="D65" s="1" t="s">
        <v>45</v>
      </c>
      <c r="E65" s="1" t="s">
        <v>240</v>
      </c>
      <c r="F65" s="1" t="s">
        <v>802</v>
      </c>
      <c r="G65" s="1" t="s">
        <v>1133</v>
      </c>
      <c r="H65" s="6">
        <v>1</v>
      </c>
      <c r="I65" s="7">
        <v>0</v>
      </c>
      <c r="J65" s="5">
        <v>45985</v>
      </c>
      <c r="K65" s="1" t="s">
        <v>957</v>
      </c>
      <c r="L65" s="1" t="s">
        <v>30</v>
      </c>
      <c r="M65" s="8">
        <v>0</v>
      </c>
      <c r="N65" s="6"/>
      <c r="O65" s="6"/>
      <c r="P65" s="9">
        <v>0</v>
      </c>
    </row>
    <row r="66" spans="1:16" ht="19.5" customHeight="1">
      <c r="A66" s="1" t="s">
        <v>1447</v>
      </c>
      <c r="B66" s="5">
        <v>45992</v>
      </c>
      <c r="C66" s="1" t="s">
        <v>28</v>
      </c>
      <c r="D66" s="1" t="s">
        <v>46</v>
      </c>
      <c r="E66" s="1" t="s">
        <v>240</v>
      </c>
      <c r="F66" s="1" t="s">
        <v>802</v>
      </c>
      <c r="G66" s="1" t="s">
        <v>1133</v>
      </c>
      <c r="H66" s="6">
        <v>1</v>
      </c>
      <c r="I66" s="7">
        <v>0</v>
      </c>
      <c r="J66" s="5">
        <v>45985</v>
      </c>
      <c r="K66" s="1" t="s">
        <v>957</v>
      </c>
      <c r="L66" s="1" t="s">
        <v>30</v>
      </c>
      <c r="M66" s="8">
        <v>0</v>
      </c>
      <c r="N66" s="6"/>
      <c r="O66" s="6"/>
      <c r="P66" s="9">
        <v>-56</v>
      </c>
    </row>
    <row r="67" spans="1:16" ht="19.5" customHeight="1">
      <c r="A67" s="1" t="s">
        <v>1448</v>
      </c>
      <c r="B67" s="5">
        <v>45992</v>
      </c>
      <c r="C67" s="1" t="s">
        <v>28</v>
      </c>
      <c r="D67" s="1" t="s">
        <v>29</v>
      </c>
      <c r="E67" s="1" t="s">
        <v>25</v>
      </c>
      <c r="F67" s="1" t="s">
        <v>26</v>
      </c>
      <c r="G67" s="1" t="s">
        <v>1229</v>
      </c>
      <c r="H67" s="6">
        <v>1</v>
      </c>
      <c r="I67" s="7">
        <v>1117</v>
      </c>
      <c r="J67" s="5">
        <v>45981</v>
      </c>
      <c r="K67" s="1" t="s">
        <v>957</v>
      </c>
      <c r="L67" s="1" t="s">
        <v>30</v>
      </c>
      <c r="M67" s="8">
        <v>0.43</v>
      </c>
      <c r="N67" s="6"/>
      <c r="O67" s="6">
        <v>44</v>
      </c>
      <c r="P67" s="9">
        <v>-110.17</v>
      </c>
    </row>
    <row r="68" spans="1:16" ht="19.5" customHeight="1">
      <c r="A68" s="1" t="s">
        <v>1448</v>
      </c>
      <c r="B68" s="5">
        <v>45992</v>
      </c>
      <c r="C68" s="1" t="s">
        <v>31</v>
      </c>
      <c r="D68" s="1" t="s">
        <v>32</v>
      </c>
      <c r="E68" s="1" t="s">
        <v>25</v>
      </c>
      <c r="F68" s="1" t="s">
        <v>26</v>
      </c>
      <c r="G68" s="1" t="s">
        <v>1229</v>
      </c>
      <c r="H68" s="6">
        <v>1</v>
      </c>
      <c r="I68" s="7">
        <v>1117</v>
      </c>
      <c r="J68" s="5">
        <v>45981</v>
      </c>
      <c r="K68" s="1" t="s">
        <v>957</v>
      </c>
      <c r="L68" s="1" t="s">
        <v>30</v>
      </c>
      <c r="M68" s="8">
        <v>0</v>
      </c>
      <c r="N68" s="6"/>
      <c r="O68" s="6"/>
      <c r="P68" s="9">
        <v>468.25</v>
      </c>
    </row>
    <row r="69" spans="1:16" ht="19.5" customHeight="1">
      <c r="A69" s="1" t="s">
        <v>1448</v>
      </c>
      <c r="B69" s="5">
        <v>45992</v>
      </c>
      <c r="C69" s="1" t="s">
        <v>31</v>
      </c>
      <c r="D69" s="1" t="s">
        <v>33</v>
      </c>
      <c r="E69" s="1" t="s">
        <v>25</v>
      </c>
      <c r="F69" s="1" t="s">
        <v>26</v>
      </c>
      <c r="G69" s="1" t="s">
        <v>1229</v>
      </c>
      <c r="H69" s="6">
        <v>1</v>
      </c>
      <c r="I69" s="7">
        <v>1117</v>
      </c>
      <c r="J69" s="5">
        <v>45981</v>
      </c>
      <c r="K69" s="1" t="s">
        <v>957</v>
      </c>
      <c r="L69" s="1" t="s">
        <v>30</v>
      </c>
      <c r="M69" s="8">
        <v>0</v>
      </c>
      <c r="N69" s="6"/>
      <c r="O69" s="6"/>
      <c r="P69" s="9">
        <v>0</v>
      </c>
    </row>
    <row r="70" spans="1:16" ht="19.5" customHeight="1">
      <c r="A70" s="1" t="s">
        <v>1448</v>
      </c>
      <c r="B70" s="5">
        <v>45992</v>
      </c>
      <c r="C70" s="1" t="s">
        <v>31</v>
      </c>
      <c r="D70" s="1" t="s">
        <v>34</v>
      </c>
      <c r="E70" s="1" t="s">
        <v>25</v>
      </c>
      <c r="F70" s="1" t="s">
        <v>26</v>
      </c>
      <c r="G70" s="1" t="s">
        <v>1229</v>
      </c>
      <c r="H70" s="6">
        <v>1</v>
      </c>
      <c r="I70" s="7">
        <v>1117</v>
      </c>
      <c r="J70" s="5">
        <v>45981</v>
      </c>
      <c r="K70" s="1" t="s">
        <v>957</v>
      </c>
      <c r="L70" s="1" t="s">
        <v>30</v>
      </c>
      <c r="M70" s="8">
        <v>0</v>
      </c>
      <c r="N70" s="6"/>
      <c r="O70" s="6"/>
      <c r="P70" s="9">
        <v>648.75</v>
      </c>
    </row>
    <row r="71" spans="1:16" ht="19.5" customHeight="1">
      <c r="A71" s="1" t="s">
        <v>1448</v>
      </c>
      <c r="B71" s="5">
        <v>45992</v>
      </c>
      <c r="C71" s="1" t="s">
        <v>35</v>
      </c>
      <c r="D71" s="1" t="s">
        <v>36</v>
      </c>
      <c r="E71" s="1" t="s">
        <v>25</v>
      </c>
      <c r="F71" s="1" t="s">
        <v>26</v>
      </c>
      <c r="G71" s="1" t="s">
        <v>1229</v>
      </c>
      <c r="H71" s="6">
        <v>1</v>
      </c>
      <c r="I71" s="7">
        <v>1117</v>
      </c>
      <c r="J71" s="5">
        <v>45981</v>
      </c>
      <c r="K71" s="1" t="s">
        <v>957</v>
      </c>
      <c r="L71" s="1" t="s">
        <v>30</v>
      </c>
      <c r="M71" s="8">
        <v>0.43</v>
      </c>
      <c r="N71" s="6"/>
      <c r="O71" s="6"/>
      <c r="P71" s="9">
        <v>-480.31</v>
      </c>
    </row>
    <row r="72" spans="1:16" ht="19.5" customHeight="1">
      <c r="A72" s="1" t="s">
        <v>1448</v>
      </c>
      <c r="B72" s="5">
        <v>45992</v>
      </c>
      <c r="C72" s="1" t="s">
        <v>17</v>
      </c>
      <c r="D72" s="1" t="s">
        <v>37</v>
      </c>
      <c r="E72" s="1" t="s">
        <v>25</v>
      </c>
      <c r="F72" s="1" t="s">
        <v>26</v>
      </c>
      <c r="G72" s="1" t="s">
        <v>1229</v>
      </c>
      <c r="H72" s="6">
        <v>1</v>
      </c>
      <c r="I72" s="7">
        <v>1117</v>
      </c>
      <c r="J72" s="5">
        <v>45981</v>
      </c>
      <c r="K72" s="1" t="s">
        <v>957</v>
      </c>
      <c r="L72" s="1" t="s">
        <v>30</v>
      </c>
      <c r="M72" s="8">
        <v>0.43</v>
      </c>
      <c r="N72" s="6"/>
      <c r="O72" s="6"/>
      <c r="P72" s="9">
        <v>-6.36</v>
      </c>
    </row>
    <row r="73" spans="1:16" ht="19.5" customHeight="1">
      <c r="A73" s="1" t="s">
        <v>1449</v>
      </c>
      <c r="B73" s="5">
        <v>45992</v>
      </c>
      <c r="C73" s="1" t="s">
        <v>28</v>
      </c>
      <c r="D73" s="1" t="s">
        <v>29</v>
      </c>
      <c r="E73" s="1" t="s">
        <v>1055</v>
      </c>
      <c r="F73" s="1" t="s">
        <v>1317</v>
      </c>
      <c r="G73" s="1" t="s">
        <v>1298</v>
      </c>
      <c r="H73" s="6">
        <v>1</v>
      </c>
      <c r="I73" s="7">
        <v>2100</v>
      </c>
      <c r="J73" s="5">
        <v>45991</v>
      </c>
      <c r="K73" s="1" t="s">
        <v>957</v>
      </c>
      <c r="L73" s="1" t="s">
        <v>30</v>
      </c>
      <c r="M73" s="8">
        <v>0.43</v>
      </c>
      <c r="N73" s="6"/>
      <c r="O73" s="6">
        <v>48</v>
      </c>
      <c r="P73" s="9">
        <v>-156.22999999999999</v>
      </c>
    </row>
    <row r="74" spans="1:16" ht="19.5" customHeight="1">
      <c r="A74" s="1" t="s">
        <v>1449</v>
      </c>
      <c r="B74" s="5">
        <v>45992</v>
      </c>
      <c r="C74" s="1" t="s">
        <v>31</v>
      </c>
      <c r="D74" s="1" t="s">
        <v>32</v>
      </c>
      <c r="E74" s="1" t="s">
        <v>1055</v>
      </c>
      <c r="F74" s="1" t="s">
        <v>1317</v>
      </c>
      <c r="G74" s="1" t="s">
        <v>1298</v>
      </c>
      <c r="H74" s="6">
        <v>1</v>
      </c>
      <c r="I74" s="7">
        <v>2100</v>
      </c>
      <c r="J74" s="5">
        <v>45991</v>
      </c>
      <c r="K74" s="1" t="s">
        <v>957</v>
      </c>
      <c r="L74" s="1" t="s">
        <v>30</v>
      </c>
      <c r="M74" s="8">
        <v>0</v>
      </c>
      <c r="N74" s="6"/>
      <c r="O74" s="6"/>
      <c r="P74" s="9">
        <v>864.45</v>
      </c>
    </row>
    <row r="75" spans="1:16" ht="19.5" customHeight="1">
      <c r="A75" s="1" t="s">
        <v>1449</v>
      </c>
      <c r="B75" s="5">
        <v>45992</v>
      </c>
      <c r="C75" s="1" t="s">
        <v>31</v>
      </c>
      <c r="D75" s="1" t="s">
        <v>33</v>
      </c>
      <c r="E75" s="1" t="s">
        <v>1055</v>
      </c>
      <c r="F75" s="1" t="s">
        <v>1317</v>
      </c>
      <c r="G75" s="1" t="s">
        <v>1298</v>
      </c>
      <c r="H75" s="6">
        <v>1</v>
      </c>
      <c r="I75" s="7">
        <v>2100</v>
      </c>
      <c r="J75" s="5">
        <v>45991</v>
      </c>
      <c r="K75" s="1" t="s">
        <v>957</v>
      </c>
      <c r="L75" s="1" t="s">
        <v>30</v>
      </c>
      <c r="M75" s="8">
        <v>0</v>
      </c>
      <c r="N75" s="6"/>
      <c r="O75" s="6"/>
      <c r="P75" s="9">
        <v>8.64</v>
      </c>
    </row>
    <row r="76" spans="1:16" ht="19.5" customHeight="1">
      <c r="A76" s="1" t="s">
        <v>1449</v>
      </c>
      <c r="B76" s="5">
        <v>45992</v>
      </c>
      <c r="C76" s="1" t="s">
        <v>31</v>
      </c>
      <c r="D76" s="1" t="s">
        <v>34</v>
      </c>
      <c r="E76" s="1" t="s">
        <v>1055</v>
      </c>
      <c r="F76" s="1" t="s">
        <v>1317</v>
      </c>
      <c r="G76" s="1" t="s">
        <v>1298</v>
      </c>
      <c r="H76" s="6">
        <v>1</v>
      </c>
      <c r="I76" s="7">
        <v>2100</v>
      </c>
      <c r="J76" s="5">
        <v>45991</v>
      </c>
      <c r="K76" s="1" t="s">
        <v>957</v>
      </c>
      <c r="L76" s="1" t="s">
        <v>30</v>
      </c>
      <c r="M76" s="8">
        <v>0</v>
      </c>
      <c r="N76" s="6"/>
      <c r="O76" s="6"/>
      <c r="P76" s="9">
        <v>1226.9100000000001</v>
      </c>
    </row>
    <row r="77" spans="1:16" ht="19.5" customHeight="1">
      <c r="A77" s="1" t="s">
        <v>1449</v>
      </c>
      <c r="B77" s="5">
        <v>45992</v>
      </c>
      <c r="C77" s="1" t="s">
        <v>35</v>
      </c>
      <c r="D77" s="1" t="s">
        <v>36</v>
      </c>
      <c r="E77" s="1" t="s">
        <v>1055</v>
      </c>
      <c r="F77" s="1" t="s">
        <v>1317</v>
      </c>
      <c r="G77" s="1" t="s">
        <v>1298</v>
      </c>
      <c r="H77" s="6">
        <v>1</v>
      </c>
      <c r="I77" s="7">
        <v>2100</v>
      </c>
      <c r="J77" s="5">
        <v>45991</v>
      </c>
      <c r="K77" s="1" t="s">
        <v>957</v>
      </c>
      <c r="L77" s="1" t="s">
        <v>30</v>
      </c>
      <c r="M77" s="8">
        <v>0.43</v>
      </c>
      <c r="N77" s="6"/>
      <c r="O77" s="6"/>
      <c r="P77" s="9">
        <v>-903</v>
      </c>
    </row>
    <row r="78" spans="1:16" ht="19.5" customHeight="1">
      <c r="A78" s="1" t="s">
        <v>1449</v>
      </c>
      <c r="B78" s="5">
        <v>45992</v>
      </c>
      <c r="C78" s="1" t="s">
        <v>17</v>
      </c>
      <c r="D78" s="1" t="s">
        <v>37</v>
      </c>
      <c r="E78" s="1" t="s">
        <v>1055</v>
      </c>
      <c r="F78" s="1" t="s">
        <v>1317</v>
      </c>
      <c r="G78" s="1" t="s">
        <v>1298</v>
      </c>
      <c r="H78" s="6">
        <v>1</v>
      </c>
      <c r="I78" s="7">
        <v>2100</v>
      </c>
      <c r="J78" s="5">
        <v>45991</v>
      </c>
      <c r="K78" s="1" t="s">
        <v>957</v>
      </c>
      <c r="L78" s="1" t="s">
        <v>30</v>
      </c>
      <c r="M78" s="8">
        <v>0.43</v>
      </c>
      <c r="N78" s="6"/>
      <c r="O78" s="6"/>
      <c r="P78" s="9">
        <v>-11.54</v>
      </c>
    </row>
    <row r="79" spans="1:16" ht="19.5" customHeight="1">
      <c r="A79" s="1" t="s">
        <v>1449</v>
      </c>
      <c r="B79" s="5">
        <v>45992</v>
      </c>
      <c r="C79" s="1" t="s">
        <v>17</v>
      </c>
      <c r="D79" s="1" t="s">
        <v>18</v>
      </c>
      <c r="E79" s="1" t="s">
        <v>1055</v>
      </c>
      <c r="F79" s="1" t="s">
        <v>1317</v>
      </c>
      <c r="G79" s="1" t="s">
        <v>1298</v>
      </c>
      <c r="H79" s="6">
        <v>1</v>
      </c>
      <c r="I79" s="7">
        <v>0</v>
      </c>
      <c r="J79" s="5">
        <v>45991</v>
      </c>
      <c r="K79" s="1" t="s">
        <v>22</v>
      </c>
      <c r="L79" s="1" t="s">
        <v>22</v>
      </c>
      <c r="M79" s="8">
        <v>0</v>
      </c>
      <c r="N79" s="6"/>
      <c r="O79" s="6"/>
      <c r="P79" s="9">
        <v>-16.420000000000002</v>
      </c>
    </row>
    <row r="80" spans="1:16" ht="19.5" customHeight="1">
      <c r="A80" s="1" t="s">
        <v>22</v>
      </c>
      <c r="B80" s="5">
        <v>45992</v>
      </c>
      <c r="C80" s="1" t="s">
        <v>77</v>
      </c>
      <c r="D80" s="1" t="s">
        <v>78</v>
      </c>
      <c r="E80" s="1" t="s">
        <v>22</v>
      </c>
      <c r="F80" s="1" t="s">
        <v>22</v>
      </c>
      <c r="G80" s="1" t="s">
        <v>1450</v>
      </c>
      <c r="H80" s="6">
        <v>0</v>
      </c>
      <c r="I80" s="7">
        <v>0</v>
      </c>
      <c r="J80" s="5">
        <v>45992</v>
      </c>
      <c r="K80" s="1" t="s">
        <v>22</v>
      </c>
      <c r="L80" s="1" t="s">
        <v>22</v>
      </c>
      <c r="M80" s="8">
        <v>0</v>
      </c>
      <c r="N80" s="6"/>
      <c r="O80" s="6"/>
      <c r="P80" s="9">
        <v>-450</v>
      </c>
    </row>
    <row r="81" spans="1:16" ht="19.5" customHeight="1">
      <c r="A81" s="1" t="s">
        <v>1376</v>
      </c>
      <c r="B81" s="5">
        <v>45992</v>
      </c>
      <c r="C81" s="1" t="s">
        <v>77</v>
      </c>
      <c r="D81" s="1" t="s">
        <v>82</v>
      </c>
      <c r="E81" s="1" t="s">
        <v>22</v>
      </c>
      <c r="F81" s="1" t="s">
        <v>22</v>
      </c>
      <c r="G81" s="1" t="s">
        <v>22</v>
      </c>
      <c r="H81" s="6">
        <v>0</v>
      </c>
      <c r="I81" s="7">
        <v>0</v>
      </c>
      <c r="J81" s="5">
        <v>45992</v>
      </c>
      <c r="K81" s="1" t="s">
        <v>22</v>
      </c>
      <c r="L81" s="1" t="s">
        <v>22</v>
      </c>
      <c r="M81" s="8">
        <v>0</v>
      </c>
      <c r="N81" s="6"/>
      <c r="O81" s="6"/>
      <c r="P81" s="9">
        <v>-969.89</v>
      </c>
    </row>
    <row r="82" spans="1:16" ht="19.5" customHeight="1">
      <c r="A82" s="1" t="s">
        <v>1270</v>
      </c>
      <c r="B82" s="5">
        <v>45992</v>
      </c>
      <c r="C82" s="1" t="s">
        <v>77</v>
      </c>
      <c r="D82" s="1" t="s">
        <v>82</v>
      </c>
      <c r="E82" s="1" t="s">
        <v>22</v>
      </c>
      <c r="F82" s="1" t="s">
        <v>22</v>
      </c>
      <c r="G82" s="1" t="s">
        <v>22</v>
      </c>
      <c r="H82" s="6">
        <v>0</v>
      </c>
      <c r="I82" s="7">
        <v>0</v>
      </c>
      <c r="J82" s="5">
        <v>45992</v>
      </c>
      <c r="K82" s="1" t="s">
        <v>22</v>
      </c>
      <c r="L82" s="1" t="s">
        <v>22</v>
      </c>
      <c r="M82" s="8">
        <v>0</v>
      </c>
      <c r="N82" s="6"/>
      <c r="O82" s="6"/>
      <c r="P82" s="9">
        <v>-461.44</v>
      </c>
    </row>
    <row r="83" spans="1:16" ht="19.5" customHeight="1">
      <c r="A83" s="1" t="s">
        <v>1075</v>
      </c>
      <c r="B83" s="5">
        <v>45992</v>
      </c>
      <c r="C83" s="1" t="s">
        <v>77</v>
      </c>
      <c r="D83" s="1" t="s">
        <v>82</v>
      </c>
      <c r="E83" s="1" t="s">
        <v>22</v>
      </c>
      <c r="F83" s="1" t="s">
        <v>22</v>
      </c>
      <c r="G83" s="1" t="s">
        <v>22</v>
      </c>
      <c r="H83" s="6">
        <v>0</v>
      </c>
      <c r="I83" s="7">
        <v>0</v>
      </c>
      <c r="J83" s="5">
        <v>45992</v>
      </c>
      <c r="K83" s="1" t="s">
        <v>22</v>
      </c>
      <c r="L83" s="1" t="s">
        <v>22</v>
      </c>
      <c r="M83" s="8">
        <v>0</v>
      </c>
      <c r="N83" s="6"/>
      <c r="O83" s="6"/>
      <c r="P83" s="9">
        <v>-692.46</v>
      </c>
    </row>
    <row r="84" spans="1:16" ht="19.5" customHeight="1">
      <c r="A84" s="1" t="s">
        <v>83</v>
      </c>
      <c r="B84" s="5">
        <v>45992</v>
      </c>
      <c r="C84" s="1" t="s">
        <v>77</v>
      </c>
      <c r="D84" s="1" t="s">
        <v>84</v>
      </c>
      <c r="E84" s="1" t="s">
        <v>22</v>
      </c>
      <c r="F84" s="1" t="s">
        <v>22</v>
      </c>
      <c r="G84" s="1" t="s">
        <v>22</v>
      </c>
      <c r="H84" s="6">
        <v>0</v>
      </c>
      <c r="I84" s="7">
        <v>0</v>
      </c>
      <c r="J84" s="5">
        <v>45992</v>
      </c>
      <c r="K84" s="1" t="s">
        <v>22</v>
      </c>
      <c r="L84" s="1" t="s">
        <v>22</v>
      </c>
      <c r="M84" s="8">
        <v>0</v>
      </c>
      <c r="N84" s="6"/>
      <c r="O84" s="6"/>
      <c r="P84" s="9">
        <v>-815.4</v>
      </c>
    </row>
    <row r="85" spans="1:16" ht="19.5" customHeight="1">
      <c r="A85" s="1" t="s">
        <v>1451</v>
      </c>
      <c r="B85" s="5">
        <v>45993</v>
      </c>
      <c r="C85" s="1" t="s">
        <v>28</v>
      </c>
      <c r="D85" s="1" t="s">
        <v>29</v>
      </c>
      <c r="E85" s="1" t="s">
        <v>223</v>
      </c>
      <c r="F85" s="1" t="s">
        <v>395</v>
      </c>
      <c r="G85" s="1" t="s">
        <v>1229</v>
      </c>
      <c r="H85" s="6">
        <v>1</v>
      </c>
      <c r="I85" s="7">
        <v>0</v>
      </c>
      <c r="J85" s="5">
        <v>45980</v>
      </c>
      <c r="K85" s="1" t="s">
        <v>957</v>
      </c>
      <c r="L85" s="1" t="s">
        <v>30</v>
      </c>
      <c r="M85" s="8">
        <v>0</v>
      </c>
      <c r="N85" s="6"/>
      <c r="O85" s="6">
        <v>45</v>
      </c>
      <c r="P85" s="9">
        <v>-46</v>
      </c>
    </row>
    <row r="86" spans="1:16" ht="19.5" customHeight="1">
      <c r="A86" s="1" t="s">
        <v>1451</v>
      </c>
      <c r="B86" s="5">
        <v>45993</v>
      </c>
      <c r="C86" s="1" t="s">
        <v>17</v>
      </c>
      <c r="D86" s="1" t="s">
        <v>37</v>
      </c>
      <c r="E86" s="1" t="s">
        <v>223</v>
      </c>
      <c r="F86" s="1" t="s">
        <v>395</v>
      </c>
      <c r="G86" s="1" t="s">
        <v>1229</v>
      </c>
      <c r="H86" s="6">
        <v>1</v>
      </c>
      <c r="I86" s="7">
        <v>0</v>
      </c>
      <c r="J86" s="5">
        <v>45980</v>
      </c>
      <c r="K86" s="1" t="s">
        <v>957</v>
      </c>
      <c r="L86" s="1" t="s">
        <v>30</v>
      </c>
      <c r="M86" s="8">
        <v>0</v>
      </c>
      <c r="N86" s="6"/>
      <c r="O86" s="6"/>
      <c r="P86" s="9">
        <v>-8.4600000000000009</v>
      </c>
    </row>
    <row r="87" spans="1:16" ht="19.5" customHeight="1">
      <c r="A87" s="1" t="s">
        <v>1451</v>
      </c>
      <c r="B87" s="5">
        <v>45993</v>
      </c>
      <c r="C87" s="1" t="s">
        <v>28</v>
      </c>
      <c r="D87" s="1" t="s">
        <v>45</v>
      </c>
      <c r="E87" s="1" t="s">
        <v>223</v>
      </c>
      <c r="F87" s="1" t="s">
        <v>395</v>
      </c>
      <c r="G87" s="1" t="s">
        <v>1229</v>
      </c>
      <c r="H87" s="6">
        <v>1</v>
      </c>
      <c r="I87" s="7">
        <v>0</v>
      </c>
      <c r="J87" s="5">
        <v>45980</v>
      </c>
      <c r="K87" s="1" t="s">
        <v>957</v>
      </c>
      <c r="L87" s="1" t="s">
        <v>30</v>
      </c>
      <c r="M87" s="8">
        <v>0</v>
      </c>
      <c r="N87" s="6"/>
      <c r="O87" s="6"/>
      <c r="P87" s="9">
        <v>0</v>
      </c>
    </row>
    <row r="88" spans="1:16" ht="19.5" customHeight="1">
      <c r="A88" s="1" t="s">
        <v>1451</v>
      </c>
      <c r="B88" s="5">
        <v>45993</v>
      </c>
      <c r="C88" s="1" t="s">
        <v>28</v>
      </c>
      <c r="D88" s="1" t="s">
        <v>46</v>
      </c>
      <c r="E88" s="1" t="s">
        <v>223</v>
      </c>
      <c r="F88" s="1" t="s">
        <v>395</v>
      </c>
      <c r="G88" s="1" t="s">
        <v>1229</v>
      </c>
      <c r="H88" s="6">
        <v>1</v>
      </c>
      <c r="I88" s="7">
        <v>0</v>
      </c>
      <c r="J88" s="5">
        <v>45980</v>
      </c>
      <c r="K88" s="1" t="s">
        <v>957</v>
      </c>
      <c r="L88" s="1" t="s">
        <v>30</v>
      </c>
      <c r="M88" s="8">
        <v>0</v>
      </c>
      <c r="N88" s="6"/>
      <c r="O88" s="6"/>
      <c r="P88" s="9">
        <v>-46</v>
      </c>
    </row>
    <row r="89" spans="1:16" ht="19.5" customHeight="1">
      <c r="A89" s="1" t="s">
        <v>1451</v>
      </c>
      <c r="B89" s="5">
        <v>45993</v>
      </c>
      <c r="C89" s="1" t="s">
        <v>17</v>
      </c>
      <c r="D89" s="1" t="s">
        <v>47</v>
      </c>
      <c r="E89" s="1" t="s">
        <v>223</v>
      </c>
      <c r="F89" s="1" t="s">
        <v>395</v>
      </c>
      <c r="G89" s="1" t="s">
        <v>1229</v>
      </c>
      <c r="H89" s="6">
        <v>1</v>
      </c>
      <c r="I89" s="7">
        <v>0</v>
      </c>
      <c r="J89" s="5">
        <v>45980</v>
      </c>
      <c r="K89" s="1" t="s">
        <v>957</v>
      </c>
      <c r="L89" s="1" t="s">
        <v>30</v>
      </c>
      <c r="M89" s="8">
        <v>0</v>
      </c>
      <c r="N89" s="6"/>
      <c r="O89" s="6"/>
      <c r="P89" s="9">
        <v>-15</v>
      </c>
    </row>
    <row r="90" spans="1:16" ht="19.5" customHeight="1">
      <c r="A90" s="1" t="s">
        <v>1452</v>
      </c>
      <c r="B90" s="5">
        <v>45993</v>
      </c>
      <c r="C90" s="1" t="s">
        <v>28</v>
      </c>
      <c r="D90" s="1" t="s">
        <v>29</v>
      </c>
      <c r="E90" s="1" t="s">
        <v>25</v>
      </c>
      <c r="F90" s="1" t="s">
        <v>26</v>
      </c>
      <c r="G90" s="1" t="s">
        <v>1229</v>
      </c>
      <c r="H90" s="6">
        <v>1</v>
      </c>
      <c r="I90" s="7">
        <v>0</v>
      </c>
      <c r="J90" s="5">
        <v>45984</v>
      </c>
      <c r="K90" s="1" t="s">
        <v>957</v>
      </c>
      <c r="L90" s="1" t="s">
        <v>30</v>
      </c>
      <c r="M90" s="8">
        <v>0</v>
      </c>
      <c r="N90" s="6"/>
      <c r="O90" s="6">
        <v>42</v>
      </c>
      <c r="P90" s="9">
        <v>-46</v>
      </c>
    </row>
    <row r="91" spans="1:16" ht="19.5" customHeight="1">
      <c r="A91" s="1" t="s">
        <v>1452</v>
      </c>
      <c r="B91" s="5">
        <v>45993</v>
      </c>
      <c r="C91" s="1" t="s">
        <v>17</v>
      </c>
      <c r="D91" s="1" t="s">
        <v>37</v>
      </c>
      <c r="E91" s="1" t="s">
        <v>25</v>
      </c>
      <c r="F91" s="1" t="s">
        <v>26</v>
      </c>
      <c r="G91" s="1" t="s">
        <v>1229</v>
      </c>
      <c r="H91" s="6">
        <v>1</v>
      </c>
      <c r="I91" s="7">
        <v>0</v>
      </c>
      <c r="J91" s="5">
        <v>45984</v>
      </c>
      <c r="K91" s="1" t="s">
        <v>957</v>
      </c>
      <c r="L91" s="1" t="s">
        <v>30</v>
      </c>
      <c r="M91" s="8">
        <v>0</v>
      </c>
      <c r="N91" s="6"/>
      <c r="O91" s="6"/>
      <c r="P91" s="9">
        <v>-12.48</v>
      </c>
    </row>
    <row r="92" spans="1:16" ht="19.5" customHeight="1">
      <c r="A92" s="1" t="s">
        <v>1452</v>
      </c>
      <c r="B92" s="5">
        <v>45993</v>
      </c>
      <c r="C92" s="1" t="s">
        <v>28</v>
      </c>
      <c r="D92" s="1" t="s">
        <v>45</v>
      </c>
      <c r="E92" s="1" t="s">
        <v>25</v>
      </c>
      <c r="F92" s="1" t="s">
        <v>26</v>
      </c>
      <c r="G92" s="1" t="s">
        <v>1229</v>
      </c>
      <c r="H92" s="6">
        <v>1</v>
      </c>
      <c r="I92" s="7">
        <v>0</v>
      </c>
      <c r="J92" s="5">
        <v>45984</v>
      </c>
      <c r="K92" s="1" t="s">
        <v>957</v>
      </c>
      <c r="L92" s="1" t="s">
        <v>30</v>
      </c>
      <c r="M92" s="8">
        <v>0</v>
      </c>
      <c r="N92" s="6"/>
      <c r="O92" s="6"/>
      <c r="P92" s="9">
        <v>0</v>
      </c>
    </row>
    <row r="93" spans="1:16" ht="19.5" customHeight="1">
      <c r="A93" s="1" t="s">
        <v>1452</v>
      </c>
      <c r="B93" s="5">
        <v>45993</v>
      </c>
      <c r="C93" s="1" t="s">
        <v>28</v>
      </c>
      <c r="D93" s="1" t="s">
        <v>46</v>
      </c>
      <c r="E93" s="1" t="s">
        <v>25</v>
      </c>
      <c r="F93" s="1" t="s">
        <v>26</v>
      </c>
      <c r="G93" s="1" t="s">
        <v>1229</v>
      </c>
      <c r="H93" s="6">
        <v>1</v>
      </c>
      <c r="I93" s="7">
        <v>0</v>
      </c>
      <c r="J93" s="5">
        <v>45984</v>
      </c>
      <c r="K93" s="1" t="s">
        <v>957</v>
      </c>
      <c r="L93" s="1" t="s">
        <v>30</v>
      </c>
      <c r="M93" s="8">
        <v>0</v>
      </c>
      <c r="N93" s="6"/>
      <c r="O93" s="6"/>
      <c r="P93" s="9">
        <v>-46</v>
      </c>
    </row>
    <row r="94" spans="1:16" ht="19.5" customHeight="1">
      <c r="A94" s="1" t="s">
        <v>1452</v>
      </c>
      <c r="B94" s="5">
        <v>45993</v>
      </c>
      <c r="C94" s="1" t="s">
        <v>17</v>
      </c>
      <c r="D94" s="1" t="s">
        <v>47</v>
      </c>
      <c r="E94" s="1" t="s">
        <v>25</v>
      </c>
      <c r="F94" s="1" t="s">
        <v>26</v>
      </c>
      <c r="G94" s="1" t="s">
        <v>1229</v>
      </c>
      <c r="H94" s="6">
        <v>1</v>
      </c>
      <c r="I94" s="7">
        <v>0</v>
      </c>
      <c r="J94" s="5">
        <v>45984</v>
      </c>
      <c r="K94" s="1" t="s">
        <v>957</v>
      </c>
      <c r="L94" s="1" t="s">
        <v>30</v>
      </c>
      <c r="M94" s="8">
        <v>0</v>
      </c>
      <c r="N94" s="6"/>
      <c r="O94" s="6"/>
      <c r="P94" s="9">
        <v>-15</v>
      </c>
    </row>
    <row r="95" spans="1:16" ht="19.5" customHeight="1">
      <c r="A95" s="1" t="s">
        <v>1453</v>
      </c>
      <c r="B95" s="5">
        <v>45993</v>
      </c>
      <c r="C95" s="1" t="s">
        <v>28</v>
      </c>
      <c r="D95" s="1" t="s">
        <v>29</v>
      </c>
      <c r="E95" s="1" t="s">
        <v>223</v>
      </c>
      <c r="F95" s="1" t="s">
        <v>395</v>
      </c>
      <c r="G95" s="1" t="s">
        <v>1229</v>
      </c>
      <c r="H95" s="6">
        <v>1</v>
      </c>
      <c r="I95" s="7">
        <v>0</v>
      </c>
      <c r="J95" s="5">
        <v>45983</v>
      </c>
      <c r="K95" s="1" t="s">
        <v>957</v>
      </c>
      <c r="L95" s="1" t="s">
        <v>30</v>
      </c>
      <c r="M95" s="8">
        <v>0</v>
      </c>
      <c r="N95" s="6"/>
      <c r="O95" s="6">
        <v>42</v>
      </c>
      <c r="P95" s="9">
        <v>-46</v>
      </c>
    </row>
    <row r="96" spans="1:16" ht="19.5" customHeight="1">
      <c r="A96" s="1" t="s">
        <v>1453</v>
      </c>
      <c r="B96" s="5">
        <v>45993</v>
      </c>
      <c r="C96" s="1" t="s">
        <v>17</v>
      </c>
      <c r="D96" s="1" t="s">
        <v>37</v>
      </c>
      <c r="E96" s="1" t="s">
        <v>223</v>
      </c>
      <c r="F96" s="1" t="s">
        <v>395</v>
      </c>
      <c r="G96" s="1" t="s">
        <v>1229</v>
      </c>
      <c r="H96" s="6">
        <v>1</v>
      </c>
      <c r="I96" s="7">
        <v>0</v>
      </c>
      <c r="J96" s="5">
        <v>45983</v>
      </c>
      <c r="K96" s="1" t="s">
        <v>957</v>
      </c>
      <c r="L96" s="1" t="s">
        <v>30</v>
      </c>
      <c r="M96" s="8">
        <v>0</v>
      </c>
      <c r="N96" s="6"/>
      <c r="O96" s="6"/>
      <c r="P96" s="9">
        <v>-9.67</v>
      </c>
    </row>
    <row r="97" spans="1:16" ht="19.5" customHeight="1">
      <c r="A97" s="1" t="s">
        <v>1453</v>
      </c>
      <c r="B97" s="5">
        <v>45993</v>
      </c>
      <c r="C97" s="1" t="s">
        <v>28</v>
      </c>
      <c r="D97" s="1" t="s">
        <v>45</v>
      </c>
      <c r="E97" s="1" t="s">
        <v>223</v>
      </c>
      <c r="F97" s="1" t="s">
        <v>395</v>
      </c>
      <c r="G97" s="1" t="s">
        <v>1229</v>
      </c>
      <c r="H97" s="6">
        <v>1</v>
      </c>
      <c r="I97" s="7">
        <v>0</v>
      </c>
      <c r="J97" s="5">
        <v>45983</v>
      </c>
      <c r="K97" s="1" t="s">
        <v>957</v>
      </c>
      <c r="L97" s="1" t="s">
        <v>30</v>
      </c>
      <c r="M97" s="8">
        <v>0</v>
      </c>
      <c r="N97" s="6"/>
      <c r="O97" s="6"/>
      <c r="P97" s="9">
        <v>0</v>
      </c>
    </row>
    <row r="98" spans="1:16" ht="19.5" customHeight="1">
      <c r="A98" s="1" t="s">
        <v>1453</v>
      </c>
      <c r="B98" s="5">
        <v>45993</v>
      </c>
      <c r="C98" s="1" t="s">
        <v>28</v>
      </c>
      <c r="D98" s="1" t="s">
        <v>46</v>
      </c>
      <c r="E98" s="1" t="s">
        <v>223</v>
      </c>
      <c r="F98" s="1" t="s">
        <v>395</v>
      </c>
      <c r="G98" s="1" t="s">
        <v>1229</v>
      </c>
      <c r="H98" s="6">
        <v>1</v>
      </c>
      <c r="I98" s="7">
        <v>0</v>
      </c>
      <c r="J98" s="5">
        <v>45983</v>
      </c>
      <c r="K98" s="1" t="s">
        <v>957</v>
      </c>
      <c r="L98" s="1" t="s">
        <v>30</v>
      </c>
      <c r="M98" s="8">
        <v>0</v>
      </c>
      <c r="N98" s="6"/>
      <c r="O98" s="6"/>
      <c r="P98" s="9">
        <v>-46</v>
      </c>
    </row>
    <row r="99" spans="1:16" ht="19.5" customHeight="1">
      <c r="A99" s="1" t="s">
        <v>1453</v>
      </c>
      <c r="B99" s="5">
        <v>45993</v>
      </c>
      <c r="C99" s="1" t="s">
        <v>17</v>
      </c>
      <c r="D99" s="1" t="s">
        <v>47</v>
      </c>
      <c r="E99" s="1" t="s">
        <v>223</v>
      </c>
      <c r="F99" s="1" t="s">
        <v>395</v>
      </c>
      <c r="G99" s="1" t="s">
        <v>1229</v>
      </c>
      <c r="H99" s="6">
        <v>1</v>
      </c>
      <c r="I99" s="7">
        <v>0</v>
      </c>
      <c r="J99" s="5">
        <v>45983</v>
      </c>
      <c r="K99" s="1" t="s">
        <v>957</v>
      </c>
      <c r="L99" s="1" t="s">
        <v>30</v>
      </c>
      <c r="M99" s="8">
        <v>0</v>
      </c>
      <c r="N99" s="6"/>
      <c r="O99" s="6"/>
      <c r="P99" s="9">
        <v>-15</v>
      </c>
    </row>
    <row r="100" spans="1:16" ht="19.5" customHeight="1">
      <c r="A100" s="1" t="s">
        <v>1454</v>
      </c>
      <c r="B100" s="5">
        <v>45993</v>
      </c>
      <c r="C100" s="1" t="s">
        <v>28</v>
      </c>
      <c r="D100" s="1" t="s">
        <v>29</v>
      </c>
      <c r="E100" s="1" t="s">
        <v>25</v>
      </c>
      <c r="F100" s="1" t="s">
        <v>26</v>
      </c>
      <c r="G100" s="1" t="s">
        <v>1229</v>
      </c>
      <c r="H100" s="6">
        <v>1</v>
      </c>
      <c r="I100" s="7">
        <v>1738</v>
      </c>
      <c r="J100" s="5">
        <v>45978</v>
      </c>
      <c r="K100" s="1" t="s">
        <v>957</v>
      </c>
      <c r="L100" s="1" t="s">
        <v>30</v>
      </c>
      <c r="M100" s="8">
        <v>0.43</v>
      </c>
      <c r="N100" s="6"/>
      <c r="O100" s="6">
        <v>44</v>
      </c>
      <c r="P100" s="9">
        <v>-129.72999999999999</v>
      </c>
    </row>
    <row r="101" spans="1:16" ht="19.5" customHeight="1">
      <c r="A101" s="1" t="s">
        <v>1454</v>
      </c>
      <c r="B101" s="5">
        <v>45993</v>
      </c>
      <c r="C101" s="1" t="s">
        <v>31</v>
      </c>
      <c r="D101" s="1" t="s">
        <v>32</v>
      </c>
      <c r="E101" s="1" t="s">
        <v>25</v>
      </c>
      <c r="F101" s="1" t="s">
        <v>26</v>
      </c>
      <c r="G101" s="1" t="s">
        <v>1229</v>
      </c>
      <c r="H101" s="6">
        <v>1</v>
      </c>
      <c r="I101" s="7">
        <v>1738</v>
      </c>
      <c r="J101" s="5">
        <v>45978</v>
      </c>
      <c r="K101" s="1" t="s">
        <v>957</v>
      </c>
      <c r="L101" s="1" t="s">
        <v>30</v>
      </c>
      <c r="M101" s="8">
        <v>0</v>
      </c>
      <c r="N101" s="6"/>
      <c r="O101" s="6"/>
      <c r="P101" s="9">
        <v>765.71</v>
      </c>
    </row>
    <row r="102" spans="1:16" ht="19.5" customHeight="1">
      <c r="A102" s="1" t="s">
        <v>1454</v>
      </c>
      <c r="B102" s="5">
        <v>45993</v>
      </c>
      <c r="C102" s="1" t="s">
        <v>31</v>
      </c>
      <c r="D102" s="1" t="s">
        <v>33</v>
      </c>
      <c r="E102" s="1" t="s">
        <v>25</v>
      </c>
      <c r="F102" s="1" t="s">
        <v>26</v>
      </c>
      <c r="G102" s="1" t="s">
        <v>1229</v>
      </c>
      <c r="H102" s="6">
        <v>1</v>
      </c>
      <c r="I102" s="7">
        <v>1738</v>
      </c>
      <c r="J102" s="5">
        <v>45978</v>
      </c>
      <c r="K102" s="1" t="s">
        <v>957</v>
      </c>
      <c r="L102" s="1" t="s">
        <v>30</v>
      </c>
      <c r="M102" s="8">
        <v>0</v>
      </c>
      <c r="N102" s="6"/>
      <c r="O102" s="6"/>
      <c r="P102" s="9">
        <v>7.66</v>
      </c>
    </row>
    <row r="103" spans="1:16" ht="19.5" customHeight="1">
      <c r="A103" s="1" t="s">
        <v>1454</v>
      </c>
      <c r="B103" s="5">
        <v>45993</v>
      </c>
      <c r="C103" s="1" t="s">
        <v>31</v>
      </c>
      <c r="D103" s="1" t="s">
        <v>34</v>
      </c>
      <c r="E103" s="1" t="s">
        <v>25</v>
      </c>
      <c r="F103" s="1" t="s">
        <v>26</v>
      </c>
      <c r="G103" s="1" t="s">
        <v>1229</v>
      </c>
      <c r="H103" s="6">
        <v>1</v>
      </c>
      <c r="I103" s="7">
        <v>1738</v>
      </c>
      <c r="J103" s="5">
        <v>45978</v>
      </c>
      <c r="K103" s="1" t="s">
        <v>957</v>
      </c>
      <c r="L103" s="1" t="s">
        <v>30</v>
      </c>
      <c r="M103" s="8">
        <v>0</v>
      </c>
      <c r="N103" s="6"/>
      <c r="O103" s="6"/>
      <c r="P103" s="9">
        <v>964.63</v>
      </c>
    </row>
    <row r="104" spans="1:16" ht="19.5" customHeight="1">
      <c r="A104" s="1" t="s">
        <v>1454</v>
      </c>
      <c r="B104" s="5">
        <v>45993</v>
      </c>
      <c r="C104" s="1" t="s">
        <v>35</v>
      </c>
      <c r="D104" s="1" t="s">
        <v>36</v>
      </c>
      <c r="E104" s="1" t="s">
        <v>25</v>
      </c>
      <c r="F104" s="1" t="s">
        <v>26</v>
      </c>
      <c r="G104" s="1" t="s">
        <v>1229</v>
      </c>
      <c r="H104" s="6">
        <v>1</v>
      </c>
      <c r="I104" s="7">
        <v>1738</v>
      </c>
      <c r="J104" s="5">
        <v>45978</v>
      </c>
      <c r="K104" s="1" t="s">
        <v>957</v>
      </c>
      <c r="L104" s="1" t="s">
        <v>30</v>
      </c>
      <c r="M104" s="8">
        <v>0.43</v>
      </c>
      <c r="N104" s="6"/>
      <c r="O104" s="6"/>
      <c r="P104" s="9">
        <v>-747.34</v>
      </c>
    </row>
    <row r="105" spans="1:16" ht="19.5" customHeight="1">
      <c r="A105" s="1" t="s">
        <v>1454</v>
      </c>
      <c r="B105" s="5">
        <v>45993</v>
      </c>
      <c r="C105" s="1" t="s">
        <v>17</v>
      </c>
      <c r="D105" s="1" t="s">
        <v>37</v>
      </c>
      <c r="E105" s="1" t="s">
        <v>25</v>
      </c>
      <c r="F105" s="1" t="s">
        <v>26</v>
      </c>
      <c r="G105" s="1" t="s">
        <v>1229</v>
      </c>
      <c r="H105" s="6">
        <v>1</v>
      </c>
      <c r="I105" s="7">
        <v>1738</v>
      </c>
      <c r="J105" s="5">
        <v>45978</v>
      </c>
      <c r="K105" s="1" t="s">
        <v>957</v>
      </c>
      <c r="L105" s="1" t="s">
        <v>30</v>
      </c>
      <c r="M105" s="8">
        <v>0.43</v>
      </c>
      <c r="N105" s="6"/>
      <c r="O105" s="6"/>
      <c r="P105" s="9">
        <v>-10.34</v>
      </c>
    </row>
    <row r="106" spans="1:16" ht="19.5" customHeight="1">
      <c r="A106" s="1" t="s">
        <v>1455</v>
      </c>
      <c r="B106" s="5">
        <v>45993</v>
      </c>
      <c r="C106" s="1" t="s">
        <v>28</v>
      </c>
      <c r="D106" s="1" t="s">
        <v>29</v>
      </c>
      <c r="E106" s="1" t="s">
        <v>223</v>
      </c>
      <c r="F106" s="1" t="s">
        <v>395</v>
      </c>
      <c r="G106" s="1" t="s">
        <v>1229</v>
      </c>
      <c r="H106" s="6">
        <v>1</v>
      </c>
      <c r="I106" s="7">
        <v>1374</v>
      </c>
      <c r="J106" s="5">
        <v>45989</v>
      </c>
      <c r="K106" s="1" t="s">
        <v>957</v>
      </c>
      <c r="L106" s="1" t="s">
        <v>30</v>
      </c>
      <c r="M106" s="8">
        <v>0.43</v>
      </c>
      <c r="N106" s="6"/>
      <c r="O106" s="6">
        <v>44</v>
      </c>
      <c r="P106" s="9">
        <v>-118.26</v>
      </c>
    </row>
    <row r="107" spans="1:16" ht="19.5" customHeight="1">
      <c r="A107" s="1" t="s">
        <v>1455</v>
      </c>
      <c r="B107" s="5">
        <v>45993</v>
      </c>
      <c r="C107" s="1" t="s">
        <v>31</v>
      </c>
      <c r="D107" s="1" t="s">
        <v>32</v>
      </c>
      <c r="E107" s="1" t="s">
        <v>223</v>
      </c>
      <c r="F107" s="1" t="s">
        <v>395</v>
      </c>
      <c r="G107" s="1" t="s">
        <v>1229</v>
      </c>
      <c r="H107" s="6">
        <v>1</v>
      </c>
      <c r="I107" s="7">
        <v>1374</v>
      </c>
      <c r="J107" s="5">
        <v>45989</v>
      </c>
      <c r="K107" s="1" t="s">
        <v>957</v>
      </c>
      <c r="L107" s="1" t="s">
        <v>30</v>
      </c>
      <c r="M107" s="8">
        <v>0</v>
      </c>
      <c r="N107" s="6"/>
      <c r="O107" s="6"/>
      <c r="P107" s="9">
        <v>504.76</v>
      </c>
    </row>
    <row r="108" spans="1:16" ht="19.5" customHeight="1">
      <c r="A108" s="1" t="s">
        <v>1455</v>
      </c>
      <c r="B108" s="5">
        <v>45993</v>
      </c>
      <c r="C108" s="1" t="s">
        <v>31</v>
      </c>
      <c r="D108" s="1" t="s">
        <v>33</v>
      </c>
      <c r="E108" s="1" t="s">
        <v>223</v>
      </c>
      <c r="F108" s="1" t="s">
        <v>395</v>
      </c>
      <c r="G108" s="1" t="s">
        <v>1229</v>
      </c>
      <c r="H108" s="6">
        <v>1</v>
      </c>
      <c r="I108" s="7">
        <v>1374</v>
      </c>
      <c r="J108" s="5">
        <v>45989</v>
      </c>
      <c r="K108" s="1" t="s">
        <v>957</v>
      </c>
      <c r="L108" s="1" t="s">
        <v>30</v>
      </c>
      <c r="M108" s="8">
        <v>0</v>
      </c>
      <c r="N108" s="6"/>
      <c r="O108" s="6"/>
      <c r="P108" s="9">
        <v>5.05</v>
      </c>
    </row>
    <row r="109" spans="1:16" ht="19.5" customHeight="1">
      <c r="A109" s="1" t="s">
        <v>1455</v>
      </c>
      <c r="B109" s="5">
        <v>45993</v>
      </c>
      <c r="C109" s="1" t="s">
        <v>31</v>
      </c>
      <c r="D109" s="1" t="s">
        <v>34</v>
      </c>
      <c r="E109" s="1" t="s">
        <v>223</v>
      </c>
      <c r="F109" s="1" t="s">
        <v>395</v>
      </c>
      <c r="G109" s="1" t="s">
        <v>1229</v>
      </c>
      <c r="H109" s="6">
        <v>1</v>
      </c>
      <c r="I109" s="7">
        <v>1374</v>
      </c>
      <c r="J109" s="5">
        <v>45989</v>
      </c>
      <c r="K109" s="1" t="s">
        <v>957</v>
      </c>
      <c r="L109" s="1" t="s">
        <v>30</v>
      </c>
      <c r="M109" s="8">
        <v>0</v>
      </c>
      <c r="N109" s="6"/>
      <c r="O109" s="6"/>
      <c r="P109" s="9">
        <v>864.19</v>
      </c>
    </row>
    <row r="110" spans="1:16" ht="19.5" customHeight="1">
      <c r="A110" s="1" t="s">
        <v>1455</v>
      </c>
      <c r="B110" s="5">
        <v>45993</v>
      </c>
      <c r="C110" s="1" t="s">
        <v>35</v>
      </c>
      <c r="D110" s="1" t="s">
        <v>36</v>
      </c>
      <c r="E110" s="1" t="s">
        <v>223</v>
      </c>
      <c r="F110" s="1" t="s">
        <v>395</v>
      </c>
      <c r="G110" s="1" t="s">
        <v>1229</v>
      </c>
      <c r="H110" s="6">
        <v>1</v>
      </c>
      <c r="I110" s="7">
        <v>1374</v>
      </c>
      <c r="J110" s="5">
        <v>45989</v>
      </c>
      <c r="K110" s="1" t="s">
        <v>957</v>
      </c>
      <c r="L110" s="1" t="s">
        <v>30</v>
      </c>
      <c r="M110" s="8">
        <v>0.43</v>
      </c>
      <c r="N110" s="6"/>
      <c r="O110" s="6"/>
      <c r="P110" s="9">
        <v>-590.82000000000005</v>
      </c>
    </row>
    <row r="111" spans="1:16" ht="19.5" customHeight="1">
      <c r="A111" s="1" t="s">
        <v>1455</v>
      </c>
      <c r="B111" s="5">
        <v>45993</v>
      </c>
      <c r="C111" s="1" t="s">
        <v>17</v>
      </c>
      <c r="D111" s="1" t="s">
        <v>37</v>
      </c>
      <c r="E111" s="1" t="s">
        <v>223</v>
      </c>
      <c r="F111" s="1" t="s">
        <v>395</v>
      </c>
      <c r="G111" s="1" t="s">
        <v>1229</v>
      </c>
      <c r="H111" s="6">
        <v>1</v>
      </c>
      <c r="I111" s="7">
        <v>1374</v>
      </c>
      <c r="J111" s="5">
        <v>45989</v>
      </c>
      <c r="K111" s="1" t="s">
        <v>957</v>
      </c>
      <c r="L111" s="1" t="s">
        <v>30</v>
      </c>
      <c r="M111" s="8">
        <v>0.43</v>
      </c>
      <c r="N111" s="6"/>
      <c r="O111" s="6"/>
      <c r="P111" s="9">
        <v>-5.18</v>
      </c>
    </row>
    <row r="112" spans="1:16" ht="19.5" customHeight="1">
      <c r="A112" s="1" t="s">
        <v>1456</v>
      </c>
      <c r="B112" s="5">
        <v>45993</v>
      </c>
      <c r="C112" s="1" t="s">
        <v>17</v>
      </c>
      <c r="D112" s="1" t="s">
        <v>18</v>
      </c>
      <c r="E112" s="1" t="s">
        <v>25</v>
      </c>
      <c r="F112" s="1" t="s">
        <v>26</v>
      </c>
      <c r="G112" s="1" t="s">
        <v>1229</v>
      </c>
      <c r="H112" s="6">
        <v>1</v>
      </c>
      <c r="I112" s="7">
        <v>0</v>
      </c>
      <c r="J112" s="5">
        <v>45993</v>
      </c>
      <c r="K112" s="1" t="s">
        <v>22</v>
      </c>
      <c r="L112" s="1" t="s">
        <v>22</v>
      </c>
      <c r="M112" s="8">
        <v>0</v>
      </c>
      <c r="N112" s="6"/>
      <c r="O112" s="6"/>
      <c r="P112" s="9">
        <v>-11.44</v>
      </c>
    </row>
    <row r="113" spans="1:16" ht="19.5" customHeight="1">
      <c r="A113" s="1" t="s">
        <v>1457</v>
      </c>
      <c r="B113" s="5">
        <v>45993</v>
      </c>
      <c r="C113" s="1" t="s">
        <v>28</v>
      </c>
      <c r="D113" s="1" t="s">
        <v>29</v>
      </c>
      <c r="E113" s="1" t="s">
        <v>223</v>
      </c>
      <c r="F113" s="1" t="s">
        <v>395</v>
      </c>
      <c r="G113" s="1" t="s">
        <v>1229</v>
      </c>
      <c r="H113" s="6">
        <v>1</v>
      </c>
      <c r="I113" s="7">
        <v>1374</v>
      </c>
      <c r="J113" s="5">
        <v>45990</v>
      </c>
      <c r="K113" s="1" t="s">
        <v>957</v>
      </c>
      <c r="L113" s="1" t="s">
        <v>30</v>
      </c>
      <c r="M113" s="8">
        <v>0.43</v>
      </c>
      <c r="N113" s="6"/>
      <c r="O113" s="6">
        <v>47</v>
      </c>
      <c r="P113" s="9">
        <v>-127.44</v>
      </c>
    </row>
    <row r="114" spans="1:16" ht="19.5" customHeight="1">
      <c r="A114" s="1" t="s">
        <v>1457</v>
      </c>
      <c r="B114" s="5">
        <v>45993</v>
      </c>
      <c r="C114" s="1" t="s">
        <v>31</v>
      </c>
      <c r="D114" s="1" t="s">
        <v>32</v>
      </c>
      <c r="E114" s="1" t="s">
        <v>223</v>
      </c>
      <c r="F114" s="1" t="s">
        <v>395</v>
      </c>
      <c r="G114" s="1" t="s">
        <v>1229</v>
      </c>
      <c r="H114" s="6">
        <v>1</v>
      </c>
      <c r="I114" s="7">
        <v>1374</v>
      </c>
      <c r="J114" s="5">
        <v>45990</v>
      </c>
      <c r="K114" s="1" t="s">
        <v>957</v>
      </c>
      <c r="L114" s="1" t="s">
        <v>30</v>
      </c>
      <c r="M114" s="8">
        <v>0</v>
      </c>
      <c r="N114" s="6"/>
      <c r="O114" s="6"/>
      <c r="P114" s="9">
        <v>586.66999999999996</v>
      </c>
    </row>
    <row r="115" spans="1:16" ht="19.5" customHeight="1">
      <c r="A115" s="1" t="s">
        <v>1457</v>
      </c>
      <c r="B115" s="5">
        <v>45993</v>
      </c>
      <c r="C115" s="1" t="s">
        <v>31</v>
      </c>
      <c r="D115" s="1" t="s">
        <v>33</v>
      </c>
      <c r="E115" s="1" t="s">
        <v>223</v>
      </c>
      <c r="F115" s="1" t="s">
        <v>395</v>
      </c>
      <c r="G115" s="1" t="s">
        <v>1229</v>
      </c>
      <c r="H115" s="6">
        <v>1</v>
      </c>
      <c r="I115" s="7">
        <v>1374</v>
      </c>
      <c r="J115" s="5">
        <v>45990</v>
      </c>
      <c r="K115" s="1" t="s">
        <v>957</v>
      </c>
      <c r="L115" s="1" t="s">
        <v>30</v>
      </c>
      <c r="M115" s="8">
        <v>0</v>
      </c>
      <c r="N115" s="6"/>
      <c r="O115" s="6"/>
      <c r="P115" s="9">
        <v>5.87</v>
      </c>
    </row>
    <row r="116" spans="1:16" ht="19.5" customHeight="1">
      <c r="A116" s="1" t="s">
        <v>1457</v>
      </c>
      <c r="B116" s="5">
        <v>45993</v>
      </c>
      <c r="C116" s="1" t="s">
        <v>31</v>
      </c>
      <c r="D116" s="1" t="s">
        <v>34</v>
      </c>
      <c r="E116" s="1" t="s">
        <v>223</v>
      </c>
      <c r="F116" s="1" t="s">
        <v>395</v>
      </c>
      <c r="G116" s="1" t="s">
        <v>1229</v>
      </c>
      <c r="H116" s="6">
        <v>1</v>
      </c>
      <c r="I116" s="7">
        <v>1374</v>
      </c>
      <c r="J116" s="5">
        <v>45990</v>
      </c>
      <c r="K116" s="1" t="s">
        <v>957</v>
      </c>
      <c r="L116" s="1" t="s">
        <v>30</v>
      </c>
      <c r="M116" s="8">
        <v>0</v>
      </c>
      <c r="N116" s="6"/>
      <c r="O116" s="6"/>
      <c r="P116" s="9">
        <v>781.46</v>
      </c>
    </row>
    <row r="117" spans="1:16" ht="19.5" customHeight="1">
      <c r="A117" s="1" t="s">
        <v>1457</v>
      </c>
      <c r="B117" s="5">
        <v>45993</v>
      </c>
      <c r="C117" s="1" t="s">
        <v>35</v>
      </c>
      <c r="D117" s="1" t="s">
        <v>36</v>
      </c>
      <c r="E117" s="1" t="s">
        <v>223</v>
      </c>
      <c r="F117" s="1" t="s">
        <v>395</v>
      </c>
      <c r="G117" s="1" t="s">
        <v>1229</v>
      </c>
      <c r="H117" s="6">
        <v>1</v>
      </c>
      <c r="I117" s="7">
        <v>1374</v>
      </c>
      <c r="J117" s="5">
        <v>45990</v>
      </c>
      <c r="K117" s="1" t="s">
        <v>957</v>
      </c>
      <c r="L117" s="1" t="s">
        <v>30</v>
      </c>
      <c r="M117" s="8">
        <v>0.43</v>
      </c>
      <c r="N117" s="6"/>
      <c r="O117" s="6"/>
      <c r="P117" s="9">
        <v>-590.82000000000005</v>
      </c>
    </row>
    <row r="118" spans="1:16" ht="19.5" customHeight="1">
      <c r="A118" s="1" t="s">
        <v>1457</v>
      </c>
      <c r="B118" s="5">
        <v>45993</v>
      </c>
      <c r="C118" s="1" t="s">
        <v>17</v>
      </c>
      <c r="D118" s="1" t="s">
        <v>37</v>
      </c>
      <c r="E118" s="1" t="s">
        <v>223</v>
      </c>
      <c r="F118" s="1" t="s">
        <v>395</v>
      </c>
      <c r="G118" s="1" t="s">
        <v>1229</v>
      </c>
      <c r="H118" s="6">
        <v>1</v>
      </c>
      <c r="I118" s="7">
        <v>1374</v>
      </c>
      <c r="J118" s="5">
        <v>45990</v>
      </c>
      <c r="K118" s="1" t="s">
        <v>957</v>
      </c>
      <c r="L118" s="1" t="s">
        <v>30</v>
      </c>
      <c r="M118" s="8">
        <v>0.43</v>
      </c>
      <c r="N118" s="6"/>
      <c r="O118" s="6"/>
      <c r="P118" s="9">
        <v>-6.07</v>
      </c>
    </row>
    <row r="119" spans="1:16" ht="19.5" customHeight="1">
      <c r="A119" s="1" t="s">
        <v>1457</v>
      </c>
      <c r="B119" s="5">
        <v>45993</v>
      </c>
      <c r="C119" s="1" t="s">
        <v>17</v>
      </c>
      <c r="D119" s="1" t="s">
        <v>18</v>
      </c>
      <c r="E119" s="1" t="s">
        <v>223</v>
      </c>
      <c r="F119" s="1" t="s">
        <v>395</v>
      </c>
      <c r="G119" s="1" t="s">
        <v>1229</v>
      </c>
      <c r="H119" s="6">
        <v>1</v>
      </c>
      <c r="I119" s="7">
        <v>0</v>
      </c>
      <c r="J119" s="5">
        <v>45990</v>
      </c>
      <c r="K119" s="1" t="s">
        <v>22</v>
      </c>
      <c r="L119" s="1" t="s">
        <v>22</v>
      </c>
      <c r="M119" s="8">
        <v>0</v>
      </c>
      <c r="N119" s="6"/>
      <c r="O119" s="6"/>
      <c r="P119" s="9">
        <v>-11.15</v>
      </c>
    </row>
    <row r="120" spans="1:16" ht="19.5" customHeight="1">
      <c r="A120" s="1" t="s">
        <v>1458</v>
      </c>
      <c r="B120" s="5">
        <v>45993</v>
      </c>
      <c r="C120" s="1" t="s">
        <v>28</v>
      </c>
      <c r="D120" s="1" t="s">
        <v>29</v>
      </c>
      <c r="E120" s="1" t="s">
        <v>1054</v>
      </c>
      <c r="F120" s="1" t="s">
        <v>1297</v>
      </c>
      <c r="G120" s="1" t="s">
        <v>1298</v>
      </c>
      <c r="H120" s="6">
        <v>1</v>
      </c>
      <c r="I120" s="7">
        <v>0</v>
      </c>
      <c r="J120" s="5">
        <v>45985</v>
      </c>
      <c r="K120" s="1" t="s">
        <v>957</v>
      </c>
      <c r="L120" s="1" t="s">
        <v>30</v>
      </c>
      <c r="M120" s="8">
        <v>0</v>
      </c>
      <c r="N120" s="6"/>
      <c r="O120" s="6">
        <v>43</v>
      </c>
      <c r="P120" s="9">
        <v>-46</v>
      </c>
    </row>
    <row r="121" spans="1:16" ht="19.5" customHeight="1">
      <c r="A121" s="1" t="s">
        <v>1458</v>
      </c>
      <c r="B121" s="5">
        <v>45993</v>
      </c>
      <c r="C121" s="1" t="s">
        <v>17</v>
      </c>
      <c r="D121" s="1" t="s">
        <v>37</v>
      </c>
      <c r="E121" s="1" t="s">
        <v>1054</v>
      </c>
      <c r="F121" s="1" t="s">
        <v>1297</v>
      </c>
      <c r="G121" s="1" t="s">
        <v>1298</v>
      </c>
      <c r="H121" s="6">
        <v>1</v>
      </c>
      <c r="I121" s="7">
        <v>0</v>
      </c>
      <c r="J121" s="5">
        <v>45985</v>
      </c>
      <c r="K121" s="1" t="s">
        <v>957</v>
      </c>
      <c r="L121" s="1" t="s">
        <v>30</v>
      </c>
      <c r="M121" s="8">
        <v>0</v>
      </c>
      <c r="N121" s="6"/>
      <c r="O121" s="6"/>
      <c r="P121" s="9">
        <v>-10.48</v>
      </c>
    </row>
    <row r="122" spans="1:16" ht="19.5" customHeight="1">
      <c r="A122" s="1" t="s">
        <v>1458</v>
      </c>
      <c r="B122" s="5">
        <v>45993</v>
      </c>
      <c r="C122" s="1" t="s">
        <v>28</v>
      </c>
      <c r="D122" s="1" t="s">
        <v>45</v>
      </c>
      <c r="E122" s="1" t="s">
        <v>1054</v>
      </c>
      <c r="F122" s="1" t="s">
        <v>1297</v>
      </c>
      <c r="G122" s="1" t="s">
        <v>1298</v>
      </c>
      <c r="H122" s="6">
        <v>1</v>
      </c>
      <c r="I122" s="7">
        <v>0</v>
      </c>
      <c r="J122" s="5">
        <v>45985</v>
      </c>
      <c r="K122" s="1" t="s">
        <v>957</v>
      </c>
      <c r="L122" s="1" t="s">
        <v>30</v>
      </c>
      <c r="M122" s="8">
        <v>0</v>
      </c>
      <c r="N122" s="6"/>
      <c r="O122" s="6"/>
      <c r="P122" s="9">
        <v>0</v>
      </c>
    </row>
    <row r="123" spans="1:16" ht="19.5" customHeight="1">
      <c r="A123" s="1" t="s">
        <v>1458</v>
      </c>
      <c r="B123" s="5">
        <v>45993</v>
      </c>
      <c r="C123" s="1" t="s">
        <v>28</v>
      </c>
      <c r="D123" s="1" t="s">
        <v>46</v>
      </c>
      <c r="E123" s="1" t="s">
        <v>1054</v>
      </c>
      <c r="F123" s="1" t="s">
        <v>1297</v>
      </c>
      <c r="G123" s="1" t="s">
        <v>1298</v>
      </c>
      <c r="H123" s="6">
        <v>1</v>
      </c>
      <c r="I123" s="7">
        <v>0</v>
      </c>
      <c r="J123" s="5">
        <v>45985</v>
      </c>
      <c r="K123" s="1" t="s">
        <v>957</v>
      </c>
      <c r="L123" s="1" t="s">
        <v>30</v>
      </c>
      <c r="M123" s="8">
        <v>0</v>
      </c>
      <c r="N123" s="6"/>
      <c r="O123" s="6"/>
      <c r="P123" s="9">
        <v>-46</v>
      </c>
    </row>
    <row r="124" spans="1:16" ht="19.5" customHeight="1">
      <c r="A124" s="1" t="s">
        <v>1458</v>
      </c>
      <c r="B124" s="5">
        <v>45993</v>
      </c>
      <c r="C124" s="1" t="s">
        <v>17</v>
      </c>
      <c r="D124" s="1" t="s">
        <v>47</v>
      </c>
      <c r="E124" s="1" t="s">
        <v>1054</v>
      </c>
      <c r="F124" s="1" t="s">
        <v>1297</v>
      </c>
      <c r="G124" s="1" t="s">
        <v>1298</v>
      </c>
      <c r="H124" s="6">
        <v>1</v>
      </c>
      <c r="I124" s="7">
        <v>0</v>
      </c>
      <c r="J124" s="5">
        <v>45985</v>
      </c>
      <c r="K124" s="1" t="s">
        <v>957</v>
      </c>
      <c r="L124" s="1" t="s">
        <v>30</v>
      </c>
      <c r="M124" s="8">
        <v>0</v>
      </c>
      <c r="N124" s="6"/>
      <c r="O124" s="6"/>
      <c r="P124" s="9">
        <v>-15</v>
      </c>
    </row>
    <row r="125" spans="1:16" ht="19.5" customHeight="1">
      <c r="A125" s="1" t="s">
        <v>1459</v>
      </c>
      <c r="B125" s="5">
        <v>45993</v>
      </c>
      <c r="C125" s="1" t="s">
        <v>28</v>
      </c>
      <c r="D125" s="1" t="s">
        <v>29</v>
      </c>
      <c r="E125" s="1" t="s">
        <v>1055</v>
      </c>
      <c r="F125" s="1" t="s">
        <v>1317</v>
      </c>
      <c r="G125" s="1" t="s">
        <v>1298</v>
      </c>
      <c r="H125" s="6">
        <v>1</v>
      </c>
      <c r="I125" s="7">
        <v>2100</v>
      </c>
      <c r="J125" s="5">
        <v>45989</v>
      </c>
      <c r="K125" s="1" t="s">
        <v>957</v>
      </c>
      <c r="L125" s="1" t="s">
        <v>30</v>
      </c>
      <c r="M125" s="8">
        <v>0.43</v>
      </c>
      <c r="N125" s="6"/>
      <c r="O125" s="6">
        <v>44</v>
      </c>
      <c r="P125" s="9">
        <v>-141.13</v>
      </c>
    </row>
    <row r="126" spans="1:16" ht="19.5" customHeight="1">
      <c r="A126" s="1" t="s">
        <v>1459</v>
      </c>
      <c r="B126" s="5">
        <v>45993</v>
      </c>
      <c r="C126" s="1" t="s">
        <v>31</v>
      </c>
      <c r="D126" s="1" t="s">
        <v>32</v>
      </c>
      <c r="E126" s="1" t="s">
        <v>1055</v>
      </c>
      <c r="F126" s="1" t="s">
        <v>1317</v>
      </c>
      <c r="G126" s="1" t="s">
        <v>1298</v>
      </c>
      <c r="H126" s="6">
        <v>1</v>
      </c>
      <c r="I126" s="7">
        <v>2100</v>
      </c>
      <c r="J126" s="5">
        <v>45989</v>
      </c>
      <c r="K126" s="1" t="s">
        <v>957</v>
      </c>
      <c r="L126" s="1" t="s">
        <v>30</v>
      </c>
      <c r="M126" s="8">
        <v>0</v>
      </c>
      <c r="N126" s="6"/>
      <c r="O126" s="6"/>
      <c r="P126" s="9">
        <v>868.7</v>
      </c>
    </row>
    <row r="127" spans="1:16" ht="19.5" customHeight="1">
      <c r="A127" s="1" t="s">
        <v>1459</v>
      </c>
      <c r="B127" s="5">
        <v>45993</v>
      </c>
      <c r="C127" s="1" t="s">
        <v>31</v>
      </c>
      <c r="D127" s="1" t="s">
        <v>33</v>
      </c>
      <c r="E127" s="1" t="s">
        <v>1055</v>
      </c>
      <c r="F127" s="1" t="s">
        <v>1317</v>
      </c>
      <c r="G127" s="1" t="s">
        <v>1298</v>
      </c>
      <c r="H127" s="6">
        <v>1</v>
      </c>
      <c r="I127" s="7">
        <v>2100</v>
      </c>
      <c r="J127" s="5">
        <v>45989</v>
      </c>
      <c r="K127" s="1" t="s">
        <v>957</v>
      </c>
      <c r="L127" s="1" t="s">
        <v>30</v>
      </c>
      <c r="M127" s="8">
        <v>0</v>
      </c>
      <c r="N127" s="6"/>
      <c r="O127" s="6"/>
      <c r="P127" s="9">
        <v>8.69</v>
      </c>
    </row>
    <row r="128" spans="1:16" ht="19.5" customHeight="1">
      <c r="A128" s="1" t="s">
        <v>1459</v>
      </c>
      <c r="B128" s="5">
        <v>45993</v>
      </c>
      <c r="C128" s="1" t="s">
        <v>31</v>
      </c>
      <c r="D128" s="1" t="s">
        <v>34</v>
      </c>
      <c r="E128" s="1" t="s">
        <v>1055</v>
      </c>
      <c r="F128" s="1" t="s">
        <v>1317</v>
      </c>
      <c r="G128" s="1" t="s">
        <v>1298</v>
      </c>
      <c r="H128" s="6">
        <v>1</v>
      </c>
      <c r="I128" s="7">
        <v>2100</v>
      </c>
      <c r="J128" s="5">
        <v>45989</v>
      </c>
      <c r="K128" s="1" t="s">
        <v>957</v>
      </c>
      <c r="L128" s="1" t="s">
        <v>30</v>
      </c>
      <c r="M128" s="8">
        <v>0</v>
      </c>
      <c r="N128" s="6"/>
      <c r="O128" s="6"/>
      <c r="P128" s="9">
        <v>1222.6099999999999</v>
      </c>
    </row>
    <row r="129" spans="1:16" ht="19.5" customHeight="1">
      <c r="A129" s="1" t="s">
        <v>1459</v>
      </c>
      <c r="B129" s="5">
        <v>45993</v>
      </c>
      <c r="C129" s="1" t="s">
        <v>35</v>
      </c>
      <c r="D129" s="1" t="s">
        <v>36</v>
      </c>
      <c r="E129" s="1" t="s">
        <v>1055</v>
      </c>
      <c r="F129" s="1" t="s">
        <v>1317</v>
      </c>
      <c r="G129" s="1" t="s">
        <v>1298</v>
      </c>
      <c r="H129" s="6">
        <v>1</v>
      </c>
      <c r="I129" s="7">
        <v>2100</v>
      </c>
      <c r="J129" s="5">
        <v>45989</v>
      </c>
      <c r="K129" s="1" t="s">
        <v>957</v>
      </c>
      <c r="L129" s="1" t="s">
        <v>30</v>
      </c>
      <c r="M129" s="8">
        <v>0.43</v>
      </c>
      <c r="N129" s="6"/>
      <c r="O129" s="6"/>
      <c r="P129" s="9">
        <v>-903</v>
      </c>
    </row>
    <row r="130" spans="1:16" ht="19.5" customHeight="1">
      <c r="A130" s="1" t="s">
        <v>1459</v>
      </c>
      <c r="B130" s="5">
        <v>45993</v>
      </c>
      <c r="C130" s="1" t="s">
        <v>17</v>
      </c>
      <c r="D130" s="1" t="s">
        <v>37</v>
      </c>
      <c r="E130" s="1" t="s">
        <v>1055</v>
      </c>
      <c r="F130" s="1" t="s">
        <v>1317</v>
      </c>
      <c r="G130" s="1" t="s">
        <v>1298</v>
      </c>
      <c r="H130" s="6">
        <v>1</v>
      </c>
      <c r="I130" s="7">
        <v>2100</v>
      </c>
      <c r="J130" s="5">
        <v>45989</v>
      </c>
      <c r="K130" s="1" t="s">
        <v>957</v>
      </c>
      <c r="L130" s="1" t="s">
        <v>30</v>
      </c>
      <c r="M130" s="8">
        <v>0.43</v>
      </c>
      <c r="N130" s="6"/>
      <c r="O130" s="6"/>
      <c r="P130" s="9">
        <v>-13.99</v>
      </c>
    </row>
    <row r="131" spans="1:16" ht="19.5" customHeight="1">
      <c r="A131" s="1" t="s">
        <v>1459</v>
      </c>
      <c r="B131" s="5">
        <v>45993</v>
      </c>
      <c r="C131" s="1" t="s">
        <v>17</v>
      </c>
      <c r="D131" s="1" t="s">
        <v>18</v>
      </c>
      <c r="E131" s="1" t="s">
        <v>1055</v>
      </c>
      <c r="F131" s="1" t="s">
        <v>1317</v>
      </c>
      <c r="G131" s="1" t="s">
        <v>1298</v>
      </c>
      <c r="H131" s="6">
        <v>1</v>
      </c>
      <c r="I131" s="7">
        <v>0</v>
      </c>
      <c r="J131" s="5">
        <v>45989</v>
      </c>
      <c r="K131" s="1" t="s">
        <v>22</v>
      </c>
      <c r="L131" s="1" t="s">
        <v>22</v>
      </c>
      <c r="M131" s="8">
        <v>0</v>
      </c>
      <c r="N131" s="6"/>
      <c r="O131" s="6"/>
      <c r="P131" s="9">
        <v>-16.510000000000002</v>
      </c>
    </row>
    <row r="132" spans="1:16" ht="19.5" customHeight="1">
      <c r="A132" s="1" t="s">
        <v>1460</v>
      </c>
      <c r="B132" s="5">
        <v>45993</v>
      </c>
      <c r="C132" s="1" t="s">
        <v>28</v>
      </c>
      <c r="D132" s="1" t="s">
        <v>29</v>
      </c>
      <c r="E132" s="1" t="s">
        <v>25</v>
      </c>
      <c r="F132" s="1" t="s">
        <v>26</v>
      </c>
      <c r="G132" s="1" t="s">
        <v>1229</v>
      </c>
      <c r="H132" s="6">
        <v>1</v>
      </c>
      <c r="I132" s="7">
        <v>1061</v>
      </c>
      <c r="J132" s="5">
        <v>45992</v>
      </c>
      <c r="K132" s="1" t="s">
        <v>957</v>
      </c>
      <c r="L132" s="1" t="s">
        <v>30</v>
      </c>
      <c r="M132" s="8">
        <v>0.43</v>
      </c>
      <c r="N132" s="6"/>
      <c r="O132" s="6">
        <v>45</v>
      </c>
      <c r="P132" s="9">
        <v>-111.37</v>
      </c>
    </row>
    <row r="133" spans="1:16" ht="19.5" customHeight="1">
      <c r="A133" s="1" t="s">
        <v>1460</v>
      </c>
      <c r="B133" s="5">
        <v>45993</v>
      </c>
      <c r="C133" s="1" t="s">
        <v>31</v>
      </c>
      <c r="D133" s="1" t="s">
        <v>32</v>
      </c>
      <c r="E133" s="1" t="s">
        <v>25</v>
      </c>
      <c r="F133" s="1" t="s">
        <v>26</v>
      </c>
      <c r="G133" s="1" t="s">
        <v>1229</v>
      </c>
      <c r="H133" s="6">
        <v>1</v>
      </c>
      <c r="I133" s="7">
        <v>1061</v>
      </c>
      <c r="J133" s="5">
        <v>45992</v>
      </c>
      <c r="K133" s="1" t="s">
        <v>957</v>
      </c>
      <c r="L133" s="1" t="s">
        <v>30</v>
      </c>
      <c r="M133" s="8">
        <v>0</v>
      </c>
      <c r="N133" s="6"/>
      <c r="O133" s="6"/>
      <c r="P133" s="9">
        <v>437.68</v>
      </c>
    </row>
    <row r="134" spans="1:16" ht="19.5" customHeight="1">
      <c r="A134" s="1" t="s">
        <v>1460</v>
      </c>
      <c r="B134" s="5">
        <v>45993</v>
      </c>
      <c r="C134" s="1" t="s">
        <v>31</v>
      </c>
      <c r="D134" s="1" t="s">
        <v>33</v>
      </c>
      <c r="E134" s="1" t="s">
        <v>25</v>
      </c>
      <c r="F134" s="1" t="s">
        <v>26</v>
      </c>
      <c r="G134" s="1" t="s">
        <v>1229</v>
      </c>
      <c r="H134" s="6">
        <v>1</v>
      </c>
      <c r="I134" s="7">
        <v>1061</v>
      </c>
      <c r="J134" s="5">
        <v>45992</v>
      </c>
      <c r="K134" s="1" t="s">
        <v>957</v>
      </c>
      <c r="L134" s="1" t="s">
        <v>30</v>
      </c>
      <c r="M134" s="8">
        <v>0</v>
      </c>
      <c r="N134" s="6"/>
      <c r="O134" s="6"/>
      <c r="P134" s="9">
        <v>4.38</v>
      </c>
    </row>
    <row r="135" spans="1:16" ht="19.5" customHeight="1">
      <c r="A135" s="1" t="s">
        <v>1460</v>
      </c>
      <c r="B135" s="5">
        <v>45993</v>
      </c>
      <c r="C135" s="1" t="s">
        <v>31</v>
      </c>
      <c r="D135" s="1" t="s">
        <v>34</v>
      </c>
      <c r="E135" s="1" t="s">
        <v>25</v>
      </c>
      <c r="F135" s="1" t="s">
        <v>26</v>
      </c>
      <c r="G135" s="1" t="s">
        <v>1229</v>
      </c>
      <c r="H135" s="6">
        <v>1</v>
      </c>
      <c r="I135" s="7">
        <v>1061</v>
      </c>
      <c r="J135" s="5">
        <v>45992</v>
      </c>
      <c r="K135" s="1" t="s">
        <v>957</v>
      </c>
      <c r="L135" s="1" t="s">
        <v>30</v>
      </c>
      <c r="M135" s="8">
        <v>0</v>
      </c>
      <c r="N135" s="6"/>
      <c r="O135" s="6"/>
      <c r="P135" s="9">
        <v>618.94000000000005</v>
      </c>
    </row>
    <row r="136" spans="1:16" ht="19.5" customHeight="1">
      <c r="A136" s="1" t="s">
        <v>1460</v>
      </c>
      <c r="B136" s="5">
        <v>45993</v>
      </c>
      <c r="C136" s="1" t="s">
        <v>35</v>
      </c>
      <c r="D136" s="1" t="s">
        <v>36</v>
      </c>
      <c r="E136" s="1" t="s">
        <v>25</v>
      </c>
      <c r="F136" s="1" t="s">
        <v>26</v>
      </c>
      <c r="G136" s="1" t="s">
        <v>1229</v>
      </c>
      <c r="H136" s="6">
        <v>1</v>
      </c>
      <c r="I136" s="7">
        <v>1061</v>
      </c>
      <c r="J136" s="5">
        <v>45992</v>
      </c>
      <c r="K136" s="1" t="s">
        <v>957</v>
      </c>
      <c r="L136" s="1" t="s">
        <v>30</v>
      </c>
      <c r="M136" s="8">
        <v>0.43</v>
      </c>
      <c r="N136" s="6"/>
      <c r="O136" s="6"/>
      <c r="P136" s="9">
        <v>-456.23</v>
      </c>
    </row>
    <row r="137" spans="1:16" ht="19.5" customHeight="1">
      <c r="A137" s="1" t="s">
        <v>1460</v>
      </c>
      <c r="B137" s="5">
        <v>45993</v>
      </c>
      <c r="C137" s="1" t="s">
        <v>17</v>
      </c>
      <c r="D137" s="1" t="s">
        <v>37</v>
      </c>
      <c r="E137" s="1" t="s">
        <v>25</v>
      </c>
      <c r="F137" s="1" t="s">
        <v>26</v>
      </c>
      <c r="G137" s="1" t="s">
        <v>1229</v>
      </c>
      <c r="H137" s="6">
        <v>1</v>
      </c>
      <c r="I137" s="7">
        <v>1061</v>
      </c>
      <c r="J137" s="5">
        <v>45992</v>
      </c>
      <c r="K137" s="1" t="s">
        <v>957</v>
      </c>
      <c r="L137" s="1" t="s">
        <v>30</v>
      </c>
      <c r="M137" s="8">
        <v>0.43</v>
      </c>
      <c r="N137" s="6"/>
      <c r="O137" s="6"/>
      <c r="P137" s="9">
        <v>-9.83</v>
      </c>
    </row>
    <row r="138" spans="1:16" ht="19.5" customHeight="1">
      <c r="A138" s="1" t="s">
        <v>1460</v>
      </c>
      <c r="B138" s="5">
        <v>45993</v>
      </c>
      <c r="C138" s="1" t="s">
        <v>17</v>
      </c>
      <c r="D138" s="1" t="s">
        <v>18</v>
      </c>
      <c r="E138" s="1" t="s">
        <v>25</v>
      </c>
      <c r="F138" s="1" t="s">
        <v>26</v>
      </c>
      <c r="G138" s="1" t="s">
        <v>1229</v>
      </c>
      <c r="H138" s="6">
        <v>1</v>
      </c>
      <c r="I138" s="7">
        <v>0</v>
      </c>
      <c r="J138" s="5">
        <v>45992</v>
      </c>
      <c r="K138" s="1" t="s">
        <v>22</v>
      </c>
      <c r="L138" s="1" t="s">
        <v>22</v>
      </c>
      <c r="M138" s="8">
        <v>0</v>
      </c>
      <c r="N138" s="6"/>
      <c r="O138" s="6"/>
      <c r="P138" s="9">
        <v>-8.32</v>
      </c>
    </row>
    <row r="139" spans="1:16" ht="19.5" customHeight="1">
      <c r="A139" s="1" t="s">
        <v>1418</v>
      </c>
      <c r="B139" s="5">
        <v>45993</v>
      </c>
      <c r="C139" s="1" t="s">
        <v>17</v>
      </c>
      <c r="D139" s="1" t="s">
        <v>18</v>
      </c>
      <c r="E139" s="1" t="s">
        <v>223</v>
      </c>
      <c r="F139" s="1" t="s">
        <v>395</v>
      </c>
      <c r="G139" s="1" t="s">
        <v>1229</v>
      </c>
      <c r="H139" s="6">
        <v>1</v>
      </c>
      <c r="I139" s="7">
        <v>0</v>
      </c>
      <c r="J139" s="5">
        <v>45991</v>
      </c>
      <c r="K139" s="1" t="s">
        <v>22</v>
      </c>
      <c r="L139" s="1" t="s">
        <v>22</v>
      </c>
      <c r="M139" s="8">
        <v>0</v>
      </c>
      <c r="N139" s="6"/>
      <c r="O139" s="6"/>
      <c r="P139" s="9">
        <v>13.49</v>
      </c>
    </row>
    <row r="140" spans="1:16" ht="19.5" customHeight="1">
      <c r="A140" s="1" t="s">
        <v>1418</v>
      </c>
      <c r="B140" s="5">
        <v>45993</v>
      </c>
      <c r="C140" s="1" t="s">
        <v>17</v>
      </c>
      <c r="D140" s="1" t="s">
        <v>18</v>
      </c>
      <c r="E140" s="1" t="s">
        <v>25</v>
      </c>
      <c r="F140" s="1" t="s">
        <v>26</v>
      </c>
      <c r="G140" s="1" t="s">
        <v>1229</v>
      </c>
      <c r="H140" s="6">
        <v>1</v>
      </c>
      <c r="I140" s="7">
        <v>0</v>
      </c>
      <c r="J140" s="5">
        <v>45991</v>
      </c>
      <c r="K140" s="1" t="s">
        <v>22</v>
      </c>
      <c r="L140" s="1" t="s">
        <v>22</v>
      </c>
      <c r="M140" s="8">
        <v>0</v>
      </c>
      <c r="N140" s="6"/>
      <c r="O140" s="6"/>
      <c r="P140" s="9">
        <v>13.74</v>
      </c>
    </row>
    <row r="141" spans="1:16" ht="19.5" customHeight="1">
      <c r="A141" s="1" t="s">
        <v>1461</v>
      </c>
      <c r="B141" s="5">
        <v>45993</v>
      </c>
      <c r="C141" s="1" t="s">
        <v>28</v>
      </c>
      <c r="D141" s="1" t="s">
        <v>29</v>
      </c>
      <c r="E141" s="1" t="s">
        <v>54</v>
      </c>
      <c r="F141" s="1" t="s">
        <v>55</v>
      </c>
      <c r="G141" s="1" t="s">
        <v>1229</v>
      </c>
      <c r="H141" s="6">
        <v>1</v>
      </c>
      <c r="I141" s="7">
        <v>1568</v>
      </c>
      <c r="J141" s="5">
        <v>45990</v>
      </c>
      <c r="K141" s="1" t="s">
        <v>957</v>
      </c>
      <c r="L141" s="1" t="s">
        <v>30</v>
      </c>
      <c r="M141" s="8">
        <v>0.43</v>
      </c>
      <c r="N141" s="6"/>
      <c r="O141" s="6">
        <v>47</v>
      </c>
      <c r="P141" s="9">
        <v>-134.32</v>
      </c>
    </row>
    <row r="142" spans="1:16" ht="19.5" customHeight="1">
      <c r="A142" s="1" t="s">
        <v>1461</v>
      </c>
      <c r="B142" s="5">
        <v>45993</v>
      </c>
      <c r="C142" s="1" t="s">
        <v>31</v>
      </c>
      <c r="D142" s="1" t="s">
        <v>32</v>
      </c>
      <c r="E142" s="1" t="s">
        <v>54</v>
      </c>
      <c r="F142" s="1" t="s">
        <v>55</v>
      </c>
      <c r="G142" s="1" t="s">
        <v>1229</v>
      </c>
      <c r="H142" s="6">
        <v>1</v>
      </c>
      <c r="I142" s="7">
        <v>1568</v>
      </c>
      <c r="J142" s="5">
        <v>45990</v>
      </c>
      <c r="K142" s="1" t="s">
        <v>957</v>
      </c>
      <c r="L142" s="1" t="s">
        <v>30</v>
      </c>
      <c r="M142" s="8">
        <v>0</v>
      </c>
      <c r="N142" s="6"/>
      <c r="O142" s="6"/>
      <c r="P142" s="9">
        <v>683.81</v>
      </c>
    </row>
    <row r="143" spans="1:16" ht="19.5" customHeight="1">
      <c r="A143" s="1" t="s">
        <v>1461</v>
      </c>
      <c r="B143" s="5">
        <v>45993</v>
      </c>
      <c r="C143" s="1" t="s">
        <v>31</v>
      </c>
      <c r="D143" s="1" t="s">
        <v>33</v>
      </c>
      <c r="E143" s="1" t="s">
        <v>54</v>
      </c>
      <c r="F143" s="1" t="s">
        <v>55</v>
      </c>
      <c r="G143" s="1" t="s">
        <v>1229</v>
      </c>
      <c r="H143" s="6">
        <v>1</v>
      </c>
      <c r="I143" s="7">
        <v>1568</v>
      </c>
      <c r="J143" s="5">
        <v>45990</v>
      </c>
      <c r="K143" s="1" t="s">
        <v>957</v>
      </c>
      <c r="L143" s="1" t="s">
        <v>30</v>
      </c>
      <c r="M143" s="8">
        <v>0</v>
      </c>
      <c r="N143" s="6"/>
      <c r="O143" s="6"/>
      <c r="P143" s="9">
        <v>6.84</v>
      </c>
    </row>
    <row r="144" spans="1:16" ht="19.5" customHeight="1">
      <c r="A144" s="1" t="s">
        <v>1461</v>
      </c>
      <c r="B144" s="5">
        <v>45993</v>
      </c>
      <c r="C144" s="1" t="s">
        <v>31</v>
      </c>
      <c r="D144" s="1" t="s">
        <v>34</v>
      </c>
      <c r="E144" s="1" t="s">
        <v>54</v>
      </c>
      <c r="F144" s="1" t="s">
        <v>55</v>
      </c>
      <c r="G144" s="1" t="s">
        <v>1229</v>
      </c>
      <c r="H144" s="6">
        <v>1</v>
      </c>
      <c r="I144" s="7">
        <v>1568</v>
      </c>
      <c r="J144" s="5">
        <v>45990</v>
      </c>
      <c r="K144" s="1" t="s">
        <v>957</v>
      </c>
      <c r="L144" s="1" t="s">
        <v>30</v>
      </c>
      <c r="M144" s="8">
        <v>0</v>
      </c>
      <c r="N144" s="6"/>
      <c r="O144" s="6"/>
      <c r="P144" s="9">
        <v>877.35</v>
      </c>
    </row>
    <row r="145" spans="1:16" ht="19.5" customHeight="1">
      <c r="A145" s="1" t="s">
        <v>1461</v>
      </c>
      <c r="B145" s="5">
        <v>45993</v>
      </c>
      <c r="C145" s="1" t="s">
        <v>35</v>
      </c>
      <c r="D145" s="1" t="s">
        <v>36</v>
      </c>
      <c r="E145" s="1" t="s">
        <v>54</v>
      </c>
      <c r="F145" s="1" t="s">
        <v>55</v>
      </c>
      <c r="G145" s="1" t="s">
        <v>1229</v>
      </c>
      <c r="H145" s="6">
        <v>1</v>
      </c>
      <c r="I145" s="7">
        <v>1568</v>
      </c>
      <c r="J145" s="5">
        <v>45990</v>
      </c>
      <c r="K145" s="1" t="s">
        <v>957</v>
      </c>
      <c r="L145" s="1" t="s">
        <v>30</v>
      </c>
      <c r="M145" s="8">
        <v>0.43</v>
      </c>
      <c r="N145" s="6"/>
      <c r="O145" s="6"/>
      <c r="P145" s="9">
        <v>-674.24</v>
      </c>
    </row>
    <row r="146" spans="1:16" ht="19.5" customHeight="1">
      <c r="A146" s="1" t="s">
        <v>1461</v>
      </c>
      <c r="B146" s="5">
        <v>45993</v>
      </c>
      <c r="C146" s="1" t="s">
        <v>17</v>
      </c>
      <c r="D146" s="1" t="s">
        <v>37</v>
      </c>
      <c r="E146" s="1" t="s">
        <v>54</v>
      </c>
      <c r="F146" s="1" t="s">
        <v>55</v>
      </c>
      <c r="G146" s="1" t="s">
        <v>1229</v>
      </c>
      <c r="H146" s="6">
        <v>1</v>
      </c>
      <c r="I146" s="7">
        <v>1568</v>
      </c>
      <c r="J146" s="5">
        <v>45990</v>
      </c>
      <c r="K146" s="1" t="s">
        <v>957</v>
      </c>
      <c r="L146" s="1" t="s">
        <v>30</v>
      </c>
      <c r="M146" s="8">
        <v>0.43</v>
      </c>
      <c r="N146" s="6"/>
      <c r="O146" s="6"/>
      <c r="P146" s="9">
        <v>-11.36</v>
      </c>
    </row>
    <row r="147" spans="1:16" ht="19.5" customHeight="1">
      <c r="A147" s="1" t="s">
        <v>1462</v>
      </c>
      <c r="B147" s="5">
        <v>45993</v>
      </c>
      <c r="C147" s="1" t="s">
        <v>28</v>
      </c>
      <c r="D147" s="1" t="s">
        <v>29</v>
      </c>
      <c r="E147" s="1" t="s">
        <v>25</v>
      </c>
      <c r="F147" s="1" t="s">
        <v>26</v>
      </c>
      <c r="G147" s="1" t="s">
        <v>1229</v>
      </c>
      <c r="H147" s="6">
        <v>1</v>
      </c>
      <c r="I147" s="7">
        <v>1150</v>
      </c>
      <c r="J147" s="5">
        <v>45987</v>
      </c>
      <c r="K147" s="1" t="s">
        <v>957</v>
      </c>
      <c r="L147" s="1" t="s">
        <v>30</v>
      </c>
      <c r="M147" s="8">
        <v>0.43</v>
      </c>
      <c r="N147" s="6"/>
      <c r="O147" s="6">
        <v>44</v>
      </c>
      <c r="P147" s="9">
        <v>-111.21</v>
      </c>
    </row>
    <row r="148" spans="1:16" ht="19.5" customHeight="1">
      <c r="A148" s="1" t="s">
        <v>1462</v>
      </c>
      <c r="B148" s="5">
        <v>45993</v>
      </c>
      <c r="C148" s="1" t="s">
        <v>31</v>
      </c>
      <c r="D148" s="1" t="s">
        <v>32</v>
      </c>
      <c r="E148" s="1" t="s">
        <v>25</v>
      </c>
      <c r="F148" s="1" t="s">
        <v>26</v>
      </c>
      <c r="G148" s="1" t="s">
        <v>1229</v>
      </c>
      <c r="H148" s="6">
        <v>1</v>
      </c>
      <c r="I148" s="7">
        <v>1150</v>
      </c>
      <c r="J148" s="5">
        <v>45987</v>
      </c>
      <c r="K148" s="1" t="s">
        <v>957</v>
      </c>
      <c r="L148" s="1" t="s">
        <v>30</v>
      </c>
      <c r="M148" s="8">
        <v>0</v>
      </c>
      <c r="N148" s="6"/>
      <c r="O148" s="6"/>
      <c r="P148" s="9">
        <v>607.62</v>
      </c>
    </row>
    <row r="149" spans="1:16" ht="19.5" customHeight="1">
      <c r="A149" s="1" t="s">
        <v>1462</v>
      </c>
      <c r="B149" s="5">
        <v>45993</v>
      </c>
      <c r="C149" s="1" t="s">
        <v>31</v>
      </c>
      <c r="D149" s="1" t="s">
        <v>33</v>
      </c>
      <c r="E149" s="1" t="s">
        <v>25</v>
      </c>
      <c r="F149" s="1" t="s">
        <v>26</v>
      </c>
      <c r="G149" s="1" t="s">
        <v>1229</v>
      </c>
      <c r="H149" s="6">
        <v>1</v>
      </c>
      <c r="I149" s="7">
        <v>1150</v>
      </c>
      <c r="J149" s="5">
        <v>45987</v>
      </c>
      <c r="K149" s="1" t="s">
        <v>957</v>
      </c>
      <c r="L149" s="1" t="s">
        <v>30</v>
      </c>
      <c r="M149" s="8">
        <v>0</v>
      </c>
      <c r="N149" s="6"/>
      <c r="O149" s="6"/>
      <c r="P149" s="9">
        <v>0</v>
      </c>
    </row>
    <row r="150" spans="1:16" ht="19.5" customHeight="1">
      <c r="A150" s="1" t="s">
        <v>1462</v>
      </c>
      <c r="B150" s="5">
        <v>45993</v>
      </c>
      <c r="C150" s="1" t="s">
        <v>31</v>
      </c>
      <c r="D150" s="1" t="s">
        <v>34</v>
      </c>
      <c r="E150" s="1" t="s">
        <v>25</v>
      </c>
      <c r="F150" s="1" t="s">
        <v>26</v>
      </c>
      <c r="G150" s="1" t="s">
        <v>1229</v>
      </c>
      <c r="H150" s="6">
        <v>1</v>
      </c>
      <c r="I150" s="7">
        <v>1150</v>
      </c>
      <c r="J150" s="5">
        <v>45987</v>
      </c>
      <c r="K150" s="1" t="s">
        <v>957</v>
      </c>
      <c r="L150" s="1" t="s">
        <v>30</v>
      </c>
      <c r="M150" s="8">
        <v>0</v>
      </c>
      <c r="N150" s="6"/>
      <c r="O150" s="6"/>
      <c r="P150" s="9">
        <v>542.38</v>
      </c>
    </row>
    <row r="151" spans="1:16" ht="19.5" customHeight="1">
      <c r="A151" s="1" t="s">
        <v>1462</v>
      </c>
      <c r="B151" s="5">
        <v>45993</v>
      </c>
      <c r="C151" s="1" t="s">
        <v>35</v>
      </c>
      <c r="D151" s="1" t="s">
        <v>36</v>
      </c>
      <c r="E151" s="1" t="s">
        <v>25</v>
      </c>
      <c r="F151" s="1" t="s">
        <v>26</v>
      </c>
      <c r="G151" s="1" t="s">
        <v>1229</v>
      </c>
      <c r="H151" s="6">
        <v>1</v>
      </c>
      <c r="I151" s="7">
        <v>1150</v>
      </c>
      <c r="J151" s="5">
        <v>45987</v>
      </c>
      <c r="K151" s="1" t="s">
        <v>957</v>
      </c>
      <c r="L151" s="1" t="s">
        <v>30</v>
      </c>
      <c r="M151" s="8">
        <v>0.43</v>
      </c>
      <c r="N151" s="6"/>
      <c r="O151" s="6"/>
      <c r="P151" s="9">
        <v>-494.5</v>
      </c>
    </row>
    <row r="152" spans="1:16" ht="19.5" customHeight="1">
      <c r="A152" s="1" t="s">
        <v>1462</v>
      </c>
      <c r="B152" s="5">
        <v>45993</v>
      </c>
      <c r="C152" s="1" t="s">
        <v>17</v>
      </c>
      <c r="D152" s="1" t="s">
        <v>37</v>
      </c>
      <c r="E152" s="1" t="s">
        <v>25</v>
      </c>
      <c r="F152" s="1" t="s">
        <v>26</v>
      </c>
      <c r="G152" s="1" t="s">
        <v>1229</v>
      </c>
      <c r="H152" s="6">
        <v>1</v>
      </c>
      <c r="I152" s="7">
        <v>1150</v>
      </c>
      <c r="J152" s="5">
        <v>45987</v>
      </c>
      <c r="K152" s="1" t="s">
        <v>957</v>
      </c>
      <c r="L152" s="1" t="s">
        <v>30</v>
      </c>
      <c r="M152" s="8">
        <v>0.43</v>
      </c>
      <c r="N152" s="6"/>
      <c r="O152" s="6"/>
      <c r="P152" s="9">
        <v>-5.31</v>
      </c>
    </row>
    <row r="153" spans="1:16" ht="19.5" customHeight="1">
      <c r="A153" s="1" t="s">
        <v>1463</v>
      </c>
      <c r="B153" s="5">
        <v>45993</v>
      </c>
      <c r="C153" s="1" t="s">
        <v>28</v>
      </c>
      <c r="D153" s="1" t="s">
        <v>29</v>
      </c>
      <c r="E153" s="1" t="s">
        <v>223</v>
      </c>
      <c r="F153" s="1" t="s">
        <v>395</v>
      </c>
      <c r="G153" s="1" t="s">
        <v>1229</v>
      </c>
      <c r="H153" s="6">
        <v>1</v>
      </c>
      <c r="I153" s="7">
        <v>1687</v>
      </c>
      <c r="J153" s="5">
        <v>45992</v>
      </c>
      <c r="K153" s="1" t="s">
        <v>957</v>
      </c>
      <c r="L153" s="1" t="s">
        <v>30</v>
      </c>
      <c r="M153" s="8">
        <v>0.43</v>
      </c>
      <c r="N153" s="6"/>
      <c r="O153" s="6">
        <v>45</v>
      </c>
      <c r="P153" s="9">
        <v>-132.03</v>
      </c>
    </row>
    <row r="154" spans="1:16" ht="19.5" customHeight="1">
      <c r="A154" s="1" t="s">
        <v>1463</v>
      </c>
      <c r="B154" s="5">
        <v>45993</v>
      </c>
      <c r="C154" s="1" t="s">
        <v>31</v>
      </c>
      <c r="D154" s="1" t="s">
        <v>32</v>
      </c>
      <c r="E154" s="1" t="s">
        <v>223</v>
      </c>
      <c r="F154" s="1" t="s">
        <v>395</v>
      </c>
      <c r="G154" s="1" t="s">
        <v>1229</v>
      </c>
      <c r="H154" s="6">
        <v>1</v>
      </c>
      <c r="I154" s="7">
        <v>1687</v>
      </c>
      <c r="J154" s="5">
        <v>45992</v>
      </c>
      <c r="K154" s="1" t="s">
        <v>957</v>
      </c>
      <c r="L154" s="1" t="s">
        <v>30</v>
      </c>
      <c r="M154" s="8">
        <v>0</v>
      </c>
      <c r="N154" s="6"/>
      <c r="O154" s="6"/>
      <c r="P154" s="9">
        <v>670.79</v>
      </c>
    </row>
    <row r="155" spans="1:16" ht="19.5" customHeight="1">
      <c r="A155" s="1" t="s">
        <v>1463</v>
      </c>
      <c r="B155" s="5">
        <v>45993</v>
      </c>
      <c r="C155" s="1" t="s">
        <v>31</v>
      </c>
      <c r="D155" s="1" t="s">
        <v>33</v>
      </c>
      <c r="E155" s="1" t="s">
        <v>223</v>
      </c>
      <c r="F155" s="1" t="s">
        <v>395</v>
      </c>
      <c r="G155" s="1" t="s">
        <v>1229</v>
      </c>
      <c r="H155" s="6">
        <v>1</v>
      </c>
      <c r="I155" s="7">
        <v>1687</v>
      </c>
      <c r="J155" s="5">
        <v>45992</v>
      </c>
      <c r="K155" s="1" t="s">
        <v>957</v>
      </c>
      <c r="L155" s="1" t="s">
        <v>30</v>
      </c>
      <c r="M155" s="8">
        <v>0</v>
      </c>
      <c r="N155" s="6"/>
      <c r="O155" s="6"/>
      <c r="P155" s="9">
        <v>6.71</v>
      </c>
    </row>
    <row r="156" spans="1:16" ht="19.5" customHeight="1">
      <c r="A156" s="1" t="s">
        <v>1463</v>
      </c>
      <c r="B156" s="5">
        <v>45993</v>
      </c>
      <c r="C156" s="1" t="s">
        <v>31</v>
      </c>
      <c r="D156" s="1" t="s">
        <v>34</v>
      </c>
      <c r="E156" s="1" t="s">
        <v>223</v>
      </c>
      <c r="F156" s="1" t="s">
        <v>395</v>
      </c>
      <c r="G156" s="1" t="s">
        <v>1229</v>
      </c>
      <c r="H156" s="6">
        <v>1</v>
      </c>
      <c r="I156" s="7">
        <v>1687</v>
      </c>
      <c r="J156" s="5">
        <v>45992</v>
      </c>
      <c r="K156" s="1" t="s">
        <v>957</v>
      </c>
      <c r="L156" s="1" t="s">
        <v>30</v>
      </c>
      <c r="M156" s="8">
        <v>0</v>
      </c>
      <c r="N156" s="6"/>
      <c r="O156" s="6"/>
      <c r="P156" s="9">
        <v>1009.5</v>
      </c>
    </row>
    <row r="157" spans="1:16" ht="19.5" customHeight="1">
      <c r="A157" s="1" t="s">
        <v>1463</v>
      </c>
      <c r="B157" s="5">
        <v>45993</v>
      </c>
      <c r="C157" s="1" t="s">
        <v>35</v>
      </c>
      <c r="D157" s="1" t="s">
        <v>36</v>
      </c>
      <c r="E157" s="1" t="s">
        <v>223</v>
      </c>
      <c r="F157" s="1" t="s">
        <v>395</v>
      </c>
      <c r="G157" s="1" t="s">
        <v>1229</v>
      </c>
      <c r="H157" s="6">
        <v>1</v>
      </c>
      <c r="I157" s="7">
        <v>1687</v>
      </c>
      <c r="J157" s="5">
        <v>45992</v>
      </c>
      <c r="K157" s="1" t="s">
        <v>957</v>
      </c>
      <c r="L157" s="1" t="s">
        <v>30</v>
      </c>
      <c r="M157" s="8">
        <v>0.43</v>
      </c>
      <c r="N157" s="6"/>
      <c r="O157" s="6"/>
      <c r="P157" s="9">
        <v>-725.41</v>
      </c>
    </row>
    <row r="158" spans="1:16" ht="19.5" customHeight="1">
      <c r="A158" s="1" t="s">
        <v>1463</v>
      </c>
      <c r="B158" s="5">
        <v>45993</v>
      </c>
      <c r="C158" s="1" t="s">
        <v>17</v>
      </c>
      <c r="D158" s="1" t="s">
        <v>37</v>
      </c>
      <c r="E158" s="1" t="s">
        <v>223</v>
      </c>
      <c r="F158" s="1" t="s">
        <v>395</v>
      </c>
      <c r="G158" s="1" t="s">
        <v>1229</v>
      </c>
      <c r="H158" s="6">
        <v>1</v>
      </c>
      <c r="I158" s="7">
        <v>1687</v>
      </c>
      <c r="J158" s="5">
        <v>45992</v>
      </c>
      <c r="K158" s="1" t="s">
        <v>957</v>
      </c>
      <c r="L158" s="1" t="s">
        <v>30</v>
      </c>
      <c r="M158" s="8">
        <v>0.43</v>
      </c>
      <c r="N158" s="6"/>
      <c r="O158" s="6"/>
      <c r="P158" s="9">
        <v>-9.24</v>
      </c>
    </row>
    <row r="159" spans="1:16" ht="19.5" customHeight="1">
      <c r="A159" s="1" t="s">
        <v>1464</v>
      </c>
      <c r="B159" s="5">
        <v>45993</v>
      </c>
      <c r="C159" s="1" t="s">
        <v>28</v>
      </c>
      <c r="D159" s="1" t="s">
        <v>29</v>
      </c>
      <c r="E159" s="1" t="s">
        <v>98</v>
      </c>
      <c r="F159" s="1" t="s">
        <v>99</v>
      </c>
      <c r="G159" s="1" t="s">
        <v>1133</v>
      </c>
      <c r="H159" s="6">
        <v>1</v>
      </c>
      <c r="I159" s="7">
        <v>6500</v>
      </c>
      <c r="J159" s="5">
        <v>45989</v>
      </c>
      <c r="K159" s="1" t="s">
        <v>957</v>
      </c>
      <c r="L159" s="1" t="s">
        <v>30</v>
      </c>
      <c r="M159" s="8">
        <v>0.43</v>
      </c>
      <c r="N159" s="6"/>
      <c r="O159" s="6">
        <v>44</v>
      </c>
      <c r="P159" s="9">
        <v>-296.02999999999997</v>
      </c>
    </row>
    <row r="160" spans="1:16" ht="19.5" customHeight="1">
      <c r="A160" s="1" t="s">
        <v>1464</v>
      </c>
      <c r="B160" s="5">
        <v>45993</v>
      </c>
      <c r="C160" s="1" t="s">
        <v>31</v>
      </c>
      <c r="D160" s="1" t="s">
        <v>32</v>
      </c>
      <c r="E160" s="1" t="s">
        <v>98</v>
      </c>
      <c r="F160" s="1" t="s">
        <v>99</v>
      </c>
      <c r="G160" s="1" t="s">
        <v>1133</v>
      </c>
      <c r="H160" s="6">
        <v>1</v>
      </c>
      <c r="I160" s="7">
        <v>6500</v>
      </c>
      <c r="J160" s="5">
        <v>45989</v>
      </c>
      <c r="K160" s="1" t="s">
        <v>957</v>
      </c>
      <c r="L160" s="1" t="s">
        <v>30</v>
      </c>
      <c r="M160" s="8">
        <v>0</v>
      </c>
      <c r="N160" s="6"/>
      <c r="O160" s="6"/>
      <c r="P160" s="9">
        <v>3041.9</v>
      </c>
    </row>
    <row r="161" spans="1:16" ht="19.5" customHeight="1">
      <c r="A161" s="1" t="s">
        <v>1464</v>
      </c>
      <c r="B161" s="5">
        <v>45993</v>
      </c>
      <c r="C161" s="1" t="s">
        <v>31</v>
      </c>
      <c r="D161" s="1" t="s">
        <v>33</v>
      </c>
      <c r="E161" s="1" t="s">
        <v>98</v>
      </c>
      <c r="F161" s="1" t="s">
        <v>99</v>
      </c>
      <c r="G161" s="1" t="s">
        <v>1133</v>
      </c>
      <c r="H161" s="6">
        <v>1</v>
      </c>
      <c r="I161" s="7">
        <v>6500</v>
      </c>
      <c r="J161" s="5">
        <v>45989</v>
      </c>
      <c r="K161" s="1" t="s">
        <v>957</v>
      </c>
      <c r="L161" s="1" t="s">
        <v>30</v>
      </c>
      <c r="M161" s="8">
        <v>0</v>
      </c>
      <c r="N161" s="6"/>
      <c r="O161" s="6"/>
      <c r="P161" s="9">
        <v>30.42</v>
      </c>
    </row>
    <row r="162" spans="1:16" ht="19.5" customHeight="1">
      <c r="A162" s="1" t="s">
        <v>1464</v>
      </c>
      <c r="B162" s="5">
        <v>45993</v>
      </c>
      <c r="C162" s="1" t="s">
        <v>31</v>
      </c>
      <c r="D162" s="1" t="s">
        <v>34</v>
      </c>
      <c r="E162" s="1" t="s">
        <v>98</v>
      </c>
      <c r="F162" s="1" t="s">
        <v>99</v>
      </c>
      <c r="G162" s="1" t="s">
        <v>1133</v>
      </c>
      <c r="H162" s="6">
        <v>1</v>
      </c>
      <c r="I162" s="7">
        <v>6500</v>
      </c>
      <c r="J162" s="5">
        <v>45989</v>
      </c>
      <c r="K162" s="1" t="s">
        <v>957</v>
      </c>
      <c r="L162" s="1" t="s">
        <v>30</v>
      </c>
      <c r="M162" s="8">
        <v>0</v>
      </c>
      <c r="N162" s="6"/>
      <c r="O162" s="6"/>
      <c r="P162" s="9">
        <v>3427.68</v>
      </c>
    </row>
    <row r="163" spans="1:16" ht="19.5" customHeight="1">
      <c r="A163" s="1" t="s">
        <v>1464</v>
      </c>
      <c r="B163" s="5">
        <v>45993</v>
      </c>
      <c r="C163" s="1" t="s">
        <v>35</v>
      </c>
      <c r="D163" s="1" t="s">
        <v>36</v>
      </c>
      <c r="E163" s="1" t="s">
        <v>98</v>
      </c>
      <c r="F163" s="1" t="s">
        <v>99</v>
      </c>
      <c r="G163" s="1" t="s">
        <v>1133</v>
      </c>
      <c r="H163" s="6">
        <v>1</v>
      </c>
      <c r="I163" s="7">
        <v>6500</v>
      </c>
      <c r="J163" s="5">
        <v>45989</v>
      </c>
      <c r="K163" s="1" t="s">
        <v>957</v>
      </c>
      <c r="L163" s="1" t="s">
        <v>30</v>
      </c>
      <c r="M163" s="8">
        <v>0.43</v>
      </c>
      <c r="N163" s="6"/>
      <c r="O163" s="6"/>
      <c r="P163" s="9">
        <v>-2795</v>
      </c>
    </row>
    <row r="164" spans="1:16" ht="19.5" customHeight="1">
      <c r="A164" s="1" t="s">
        <v>1464</v>
      </c>
      <c r="B164" s="5">
        <v>45993</v>
      </c>
      <c r="C164" s="1" t="s">
        <v>17</v>
      </c>
      <c r="D164" s="1" t="s">
        <v>37</v>
      </c>
      <c r="E164" s="1" t="s">
        <v>98</v>
      </c>
      <c r="F164" s="1" t="s">
        <v>99</v>
      </c>
      <c r="G164" s="1" t="s">
        <v>1133</v>
      </c>
      <c r="H164" s="6">
        <v>1</v>
      </c>
      <c r="I164" s="7">
        <v>6500</v>
      </c>
      <c r="J164" s="5">
        <v>45989</v>
      </c>
      <c r="K164" s="1" t="s">
        <v>957</v>
      </c>
      <c r="L164" s="1" t="s">
        <v>30</v>
      </c>
      <c r="M164" s="8">
        <v>0.43</v>
      </c>
      <c r="N164" s="6"/>
      <c r="O164" s="6"/>
      <c r="P164" s="9">
        <v>-13.19</v>
      </c>
    </row>
    <row r="165" spans="1:16" ht="19.5" customHeight="1">
      <c r="A165" s="1" t="s">
        <v>1462</v>
      </c>
      <c r="B165" s="5">
        <v>45993</v>
      </c>
      <c r="C165" s="1" t="s">
        <v>17</v>
      </c>
      <c r="D165" s="1" t="s">
        <v>18</v>
      </c>
      <c r="E165" s="1" t="s">
        <v>25</v>
      </c>
      <c r="F165" s="1" t="s">
        <v>26</v>
      </c>
      <c r="G165" s="1" t="s">
        <v>1229</v>
      </c>
      <c r="H165" s="6">
        <v>1</v>
      </c>
      <c r="I165" s="7">
        <v>0</v>
      </c>
      <c r="J165" s="5">
        <v>45987</v>
      </c>
      <c r="K165" s="1" t="s">
        <v>22</v>
      </c>
      <c r="L165" s="1" t="s">
        <v>22</v>
      </c>
      <c r="M165" s="8">
        <v>0</v>
      </c>
      <c r="N165" s="6"/>
      <c r="O165" s="6"/>
      <c r="P165" s="9">
        <v>-5.0999999999999996</v>
      </c>
    </row>
    <row r="166" spans="1:16" ht="19.5" customHeight="1">
      <c r="A166" s="1" t="s">
        <v>1463</v>
      </c>
      <c r="B166" s="5">
        <v>45993</v>
      </c>
      <c r="C166" s="1" t="s">
        <v>17</v>
      </c>
      <c r="D166" s="1" t="s">
        <v>18</v>
      </c>
      <c r="E166" s="1" t="s">
        <v>223</v>
      </c>
      <c r="F166" s="1" t="s">
        <v>395</v>
      </c>
      <c r="G166" s="1" t="s">
        <v>1229</v>
      </c>
      <c r="H166" s="6">
        <v>1</v>
      </c>
      <c r="I166" s="7">
        <v>0</v>
      </c>
      <c r="J166" s="5">
        <v>45992</v>
      </c>
      <c r="K166" s="1" t="s">
        <v>22</v>
      </c>
      <c r="L166" s="1" t="s">
        <v>22</v>
      </c>
      <c r="M166" s="8">
        <v>0</v>
      </c>
      <c r="N166" s="6"/>
      <c r="O166" s="6"/>
      <c r="P166" s="9">
        <v>-12.75</v>
      </c>
    </row>
    <row r="167" spans="1:16" ht="19.5" customHeight="1">
      <c r="A167" s="1" t="s">
        <v>1464</v>
      </c>
      <c r="B167" s="5">
        <v>45993</v>
      </c>
      <c r="C167" s="1" t="s">
        <v>17</v>
      </c>
      <c r="D167" s="1" t="s">
        <v>18</v>
      </c>
      <c r="E167" s="1" t="s">
        <v>98</v>
      </c>
      <c r="F167" s="1" t="s">
        <v>99</v>
      </c>
      <c r="G167" s="1" t="s">
        <v>1133</v>
      </c>
      <c r="H167" s="6">
        <v>1</v>
      </c>
      <c r="I167" s="7">
        <v>0</v>
      </c>
      <c r="J167" s="5">
        <v>45989</v>
      </c>
      <c r="K167" s="1" t="s">
        <v>22</v>
      </c>
      <c r="L167" s="1" t="s">
        <v>22</v>
      </c>
      <c r="M167" s="8">
        <v>0</v>
      </c>
      <c r="N167" s="6"/>
      <c r="O167" s="6"/>
      <c r="P167" s="9">
        <v>-57.8</v>
      </c>
    </row>
    <row r="168" spans="1:16" ht="19.5" customHeight="1">
      <c r="A168" s="1" t="s">
        <v>1465</v>
      </c>
      <c r="B168" s="5">
        <v>45993</v>
      </c>
      <c r="C168" s="1" t="s">
        <v>28</v>
      </c>
      <c r="D168" s="1" t="s">
        <v>29</v>
      </c>
      <c r="E168" s="1" t="s">
        <v>92</v>
      </c>
      <c r="F168" s="1" t="s">
        <v>93</v>
      </c>
      <c r="G168" s="1" t="s">
        <v>1229</v>
      </c>
      <c r="H168" s="6">
        <v>1</v>
      </c>
      <c r="I168" s="7">
        <v>1172</v>
      </c>
      <c r="J168" s="5">
        <v>45983</v>
      </c>
      <c r="K168" s="1" t="s">
        <v>957</v>
      </c>
      <c r="L168" s="1" t="s">
        <v>30</v>
      </c>
      <c r="M168" s="8">
        <v>0.43</v>
      </c>
      <c r="N168" s="6"/>
      <c r="O168" s="6">
        <v>42</v>
      </c>
      <c r="P168" s="9">
        <v>-105.62</v>
      </c>
    </row>
    <row r="169" spans="1:16" ht="19.5" customHeight="1">
      <c r="A169" s="1" t="s">
        <v>1465</v>
      </c>
      <c r="B169" s="5">
        <v>45993</v>
      </c>
      <c r="C169" s="1" t="s">
        <v>31</v>
      </c>
      <c r="D169" s="1" t="s">
        <v>32</v>
      </c>
      <c r="E169" s="1" t="s">
        <v>92</v>
      </c>
      <c r="F169" s="1" t="s">
        <v>93</v>
      </c>
      <c r="G169" s="1" t="s">
        <v>1229</v>
      </c>
      <c r="H169" s="6">
        <v>1</v>
      </c>
      <c r="I169" s="7">
        <v>1172</v>
      </c>
      <c r="J169" s="5">
        <v>45983</v>
      </c>
      <c r="K169" s="1" t="s">
        <v>957</v>
      </c>
      <c r="L169" s="1" t="s">
        <v>30</v>
      </c>
      <c r="M169" s="8">
        <v>0</v>
      </c>
      <c r="N169" s="6"/>
      <c r="O169" s="6"/>
      <c r="P169" s="9">
        <v>599.42999999999995</v>
      </c>
    </row>
    <row r="170" spans="1:16" ht="19.5" customHeight="1">
      <c r="A170" s="1" t="s">
        <v>1465</v>
      </c>
      <c r="B170" s="5">
        <v>45993</v>
      </c>
      <c r="C170" s="1" t="s">
        <v>31</v>
      </c>
      <c r="D170" s="1" t="s">
        <v>33</v>
      </c>
      <c r="E170" s="1" t="s">
        <v>92</v>
      </c>
      <c r="F170" s="1" t="s">
        <v>93</v>
      </c>
      <c r="G170" s="1" t="s">
        <v>1229</v>
      </c>
      <c r="H170" s="6">
        <v>1</v>
      </c>
      <c r="I170" s="7">
        <v>1172</v>
      </c>
      <c r="J170" s="5">
        <v>45983</v>
      </c>
      <c r="K170" s="1" t="s">
        <v>957</v>
      </c>
      <c r="L170" s="1" t="s">
        <v>30</v>
      </c>
      <c r="M170" s="8">
        <v>0</v>
      </c>
      <c r="N170" s="6"/>
      <c r="O170" s="6"/>
      <c r="P170" s="9">
        <v>5.99</v>
      </c>
    </row>
    <row r="171" spans="1:16" ht="19.5" customHeight="1">
      <c r="A171" s="1" t="s">
        <v>1465</v>
      </c>
      <c r="B171" s="5">
        <v>45993</v>
      </c>
      <c r="C171" s="1" t="s">
        <v>31</v>
      </c>
      <c r="D171" s="1" t="s">
        <v>34</v>
      </c>
      <c r="E171" s="1" t="s">
        <v>92</v>
      </c>
      <c r="F171" s="1" t="s">
        <v>93</v>
      </c>
      <c r="G171" s="1" t="s">
        <v>1229</v>
      </c>
      <c r="H171" s="6">
        <v>1</v>
      </c>
      <c r="I171" s="7">
        <v>1172</v>
      </c>
      <c r="J171" s="5">
        <v>45983</v>
      </c>
      <c r="K171" s="1" t="s">
        <v>957</v>
      </c>
      <c r="L171" s="1" t="s">
        <v>30</v>
      </c>
      <c r="M171" s="8">
        <v>0</v>
      </c>
      <c r="N171" s="6"/>
      <c r="O171" s="6"/>
      <c r="P171" s="9">
        <v>566.58000000000004</v>
      </c>
    </row>
    <row r="172" spans="1:16" ht="19.5" customHeight="1">
      <c r="A172" s="1" t="s">
        <v>1465</v>
      </c>
      <c r="B172" s="5">
        <v>45993</v>
      </c>
      <c r="C172" s="1" t="s">
        <v>35</v>
      </c>
      <c r="D172" s="1" t="s">
        <v>36</v>
      </c>
      <c r="E172" s="1" t="s">
        <v>92</v>
      </c>
      <c r="F172" s="1" t="s">
        <v>93</v>
      </c>
      <c r="G172" s="1" t="s">
        <v>1229</v>
      </c>
      <c r="H172" s="6">
        <v>1</v>
      </c>
      <c r="I172" s="7">
        <v>1172</v>
      </c>
      <c r="J172" s="5">
        <v>45983</v>
      </c>
      <c r="K172" s="1" t="s">
        <v>957</v>
      </c>
      <c r="L172" s="1" t="s">
        <v>30</v>
      </c>
      <c r="M172" s="8">
        <v>0.43</v>
      </c>
      <c r="N172" s="6"/>
      <c r="O172" s="6"/>
      <c r="P172" s="9">
        <v>-503.96</v>
      </c>
    </row>
    <row r="173" spans="1:16" ht="19.5" customHeight="1">
      <c r="A173" s="1" t="s">
        <v>1465</v>
      </c>
      <c r="B173" s="5">
        <v>45993</v>
      </c>
      <c r="C173" s="1" t="s">
        <v>17</v>
      </c>
      <c r="D173" s="1" t="s">
        <v>37</v>
      </c>
      <c r="E173" s="1" t="s">
        <v>92</v>
      </c>
      <c r="F173" s="1" t="s">
        <v>93</v>
      </c>
      <c r="G173" s="1" t="s">
        <v>1229</v>
      </c>
      <c r="H173" s="6">
        <v>1</v>
      </c>
      <c r="I173" s="7">
        <v>1172</v>
      </c>
      <c r="J173" s="5">
        <v>45983</v>
      </c>
      <c r="K173" s="1" t="s">
        <v>957</v>
      </c>
      <c r="L173" s="1" t="s">
        <v>30</v>
      </c>
      <c r="M173" s="8">
        <v>0.43</v>
      </c>
      <c r="N173" s="6"/>
      <c r="O173" s="6"/>
      <c r="P173" s="9">
        <v>-0.82</v>
      </c>
    </row>
    <row r="174" spans="1:16" ht="19.5" customHeight="1">
      <c r="A174" s="1" t="s">
        <v>22</v>
      </c>
      <c r="B174" s="5">
        <v>45993</v>
      </c>
      <c r="C174" s="1" t="s">
        <v>77</v>
      </c>
      <c r="D174" s="1" t="s">
        <v>78</v>
      </c>
      <c r="E174" s="1" t="s">
        <v>22</v>
      </c>
      <c r="F174" s="1" t="s">
        <v>22</v>
      </c>
      <c r="G174" s="1" t="s">
        <v>1466</v>
      </c>
      <c r="H174" s="6">
        <v>0</v>
      </c>
      <c r="I174" s="7">
        <v>0</v>
      </c>
      <c r="J174" s="5">
        <v>45993</v>
      </c>
      <c r="K174" s="1" t="s">
        <v>22</v>
      </c>
      <c r="L174" s="1" t="s">
        <v>22</v>
      </c>
      <c r="M174" s="8">
        <v>0</v>
      </c>
      <c r="N174" s="6"/>
      <c r="O174" s="6"/>
      <c r="P174" s="9">
        <v>-450</v>
      </c>
    </row>
    <row r="175" spans="1:16" ht="19.5" customHeight="1">
      <c r="A175" s="1" t="s">
        <v>1465</v>
      </c>
      <c r="B175" s="5">
        <v>45993</v>
      </c>
      <c r="C175" s="1" t="s">
        <v>17</v>
      </c>
      <c r="D175" s="1" t="s">
        <v>18</v>
      </c>
      <c r="E175" s="1" t="s">
        <v>92</v>
      </c>
      <c r="F175" s="1" t="s">
        <v>93</v>
      </c>
      <c r="G175" s="1" t="s">
        <v>1229</v>
      </c>
      <c r="H175" s="6">
        <v>1</v>
      </c>
      <c r="I175" s="7">
        <v>0</v>
      </c>
      <c r="J175" s="5">
        <v>45983</v>
      </c>
      <c r="K175" s="1" t="s">
        <v>22</v>
      </c>
      <c r="L175" s="1" t="s">
        <v>22</v>
      </c>
      <c r="M175" s="8">
        <v>0</v>
      </c>
      <c r="N175" s="6"/>
      <c r="O175" s="6"/>
      <c r="P175" s="9">
        <v>-11.39</v>
      </c>
    </row>
    <row r="176" spans="1:16" ht="19.5" customHeight="1">
      <c r="A176" s="1" t="s">
        <v>1467</v>
      </c>
      <c r="B176" s="5">
        <v>45993</v>
      </c>
      <c r="C176" s="1" t="s">
        <v>28</v>
      </c>
      <c r="D176" s="1" t="s">
        <v>29</v>
      </c>
      <c r="E176" s="1" t="s">
        <v>25</v>
      </c>
      <c r="F176" s="1" t="s">
        <v>26</v>
      </c>
      <c r="G176" s="1" t="s">
        <v>1229</v>
      </c>
      <c r="H176" s="6">
        <v>1</v>
      </c>
      <c r="I176" s="7">
        <v>1061</v>
      </c>
      <c r="J176" s="5">
        <v>45992</v>
      </c>
      <c r="K176" s="1" t="s">
        <v>957</v>
      </c>
      <c r="L176" s="1" t="s">
        <v>30</v>
      </c>
      <c r="M176" s="8">
        <v>0.43</v>
      </c>
      <c r="N176" s="6"/>
      <c r="O176" s="6">
        <v>45</v>
      </c>
      <c r="P176" s="9">
        <v>-111.37</v>
      </c>
    </row>
    <row r="177" spans="1:16" ht="19.5" customHeight="1">
      <c r="A177" s="1" t="s">
        <v>1467</v>
      </c>
      <c r="B177" s="5">
        <v>45993</v>
      </c>
      <c r="C177" s="1" t="s">
        <v>31</v>
      </c>
      <c r="D177" s="1" t="s">
        <v>32</v>
      </c>
      <c r="E177" s="1" t="s">
        <v>25</v>
      </c>
      <c r="F177" s="1" t="s">
        <v>26</v>
      </c>
      <c r="G177" s="1" t="s">
        <v>1229</v>
      </c>
      <c r="H177" s="6">
        <v>1</v>
      </c>
      <c r="I177" s="7">
        <v>1061</v>
      </c>
      <c r="J177" s="5">
        <v>45992</v>
      </c>
      <c r="K177" s="1" t="s">
        <v>957</v>
      </c>
      <c r="L177" s="1" t="s">
        <v>30</v>
      </c>
      <c r="M177" s="8">
        <v>0</v>
      </c>
      <c r="N177" s="6"/>
      <c r="O177" s="6"/>
      <c r="P177" s="9">
        <v>438.1</v>
      </c>
    </row>
    <row r="178" spans="1:16" ht="19.5" customHeight="1">
      <c r="A178" s="1" t="s">
        <v>1467</v>
      </c>
      <c r="B178" s="5">
        <v>45993</v>
      </c>
      <c r="C178" s="1" t="s">
        <v>31</v>
      </c>
      <c r="D178" s="1" t="s">
        <v>33</v>
      </c>
      <c r="E178" s="1" t="s">
        <v>25</v>
      </c>
      <c r="F178" s="1" t="s">
        <v>26</v>
      </c>
      <c r="G178" s="1" t="s">
        <v>1229</v>
      </c>
      <c r="H178" s="6">
        <v>1</v>
      </c>
      <c r="I178" s="7">
        <v>1061</v>
      </c>
      <c r="J178" s="5">
        <v>45992</v>
      </c>
      <c r="K178" s="1" t="s">
        <v>957</v>
      </c>
      <c r="L178" s="1" t="s">
        <v>30</v>
      </c>
      <c r="M178" s="8">
        <v>0</v>
      </c>
      <c r="N178" s="6"/>
      <c r="O178" s="6"/>
      <c r="P178" s="9">
        <v>4.38</v>
      </c>
    </row>
    <row r="179" spans="1:16" ht="19.5" customHeight="1">
      <c r="A179" s="1" t="s">
        <v>1467</v>
      </c>
      <c r="B179" s="5">
        <v>45993</v>
      </c>
      <c r="C179" s="1" t="s">
        <v>31</v>
      </c>
      <c r="D179" s="1" t="s">
        <v>34</v>
      </c>
      <c r="E179" s="1" t="s">
        <v>25</v>
      </c>
      <c r="F179" s="1" t="s">
        <v>26</v>
      </c>
      <c r="G179" s="1" t="s">
        <v>1229</v>
      </c>
      <c r="H179" s="6">
        <v>1</v>
      </c>
      <c r="I179" s="7">
        <v>1061</v>
      </c>
      <c r="J179" s="5">
        <v>45992</v>
      </c>
      <c r="K179" s="1" t="s">
        <v>957</v>
      </c>
      <c r="L179" s="1" t="s">
        <v>30</v>
      </c>
      <c r="M179" s="8">
        <v>0</v>
      </c>
      <c r="N179" s="6"/>
      <c r="O179" s="6"/>
      <c r="P179" s="9">
        <v>618.52</v>
      </c>
    </row>
    <row r="180" spans="1:16" ht="19.5" customHeight="1">
      <c r="A180" s="1" t="s">
        <v>1467</v>
      </c>
      <c r="B180" s="5">
        <v>45993</v>
      </c>
      <c r="C180" s="1" t="s">
        <v>35</v>
      </c>
      <c r="D180" s="1" t="s">
        <v>36</v>
      </c>
      <c r="E180" s="1" t="s">
        <v>25</v>
      </c>
      <c r="F180" s="1" t="s">
        <v>26</v>
      </c>
      <c r="G180" s="1" t="s">
        <v>1229</v>
      </c>
      <c r="H180" s="6">
        <v>1</v>
      </c>
      <c r="I180" s="7">
        <v>1061</v>
      </c>
      <c r="J180" s="5">
        <v>45992</v>
      </c>
      <c r="K180" s="1" t="s">
        <v>957</v>
      </c>
      <c r="L180" s="1" t="s">
        <v>30</v>
      </c>
      <c r="M180" s="8">
        <v>0.43</v>
      </c>
      <c r="N180" s="6"/>
      <c r="O180" s="6"/>
      <c r="P180" s="9">
        <v>-456.23</v>
      </c>
    </row>
    <row r="181" spans="1:16" ht="19.5" customHeight="1">
      <c r="A181" s="1" t="s">
        <v>1467</v>
      </c>
      <c r="B181" s="5">
        <v>45993</v>
      </c>
      <c r="C181" s="1" t="s">
        <v>17</v>
      </c>
      <c r="D181" s="1" t="s">
        <v>37</v>
      </c>
      <c r="E181" s="1" t="s">
        <v>25</v>
      </c>
      <c r="F181" s="1" t="s">
        <v>26</v>
      </c>
      <c r="G181" s="1" t="s">
        <v>1229</v>
      </c>
      <c r="H181" s="6">
        <v>1</v>
      </c>
      <c r="I181" s="7">
        <v>1061</v>
      </c>
      <c r="J181" s="5">
        <v>45992</v>
      </c>
      <c r="K181" s="1" t="s">
        <v>957</v>
      </c>
      <c r="L181" s="1" t="s">
        <v>30</v>
      </c>
      <c r="M181" s="8">
        <v>0.43</v>
      </c>
      <c r="N181" s="6"/>
      <c r="O181" s="6"/>
      <c r="P181" s="9">
        <v>-5.41</v>
      </c>
    </row>
    <row r="182" spans="1:16" ht="19.5" customHeight="1">
      <c r="A182" s="1" t="s">
        <v>1468</v>
      </c>
      <c r="B182" s="5">
        <v>45993</v>
      </c>
      <c r="C182" s="1" t="s">
        <v>28</v>
      </c>
      <c r="D182" s="1" t="s">
        <v>29</v>
      </c>
      <c r="E182" s="1" t="s">
        <v>223</v>
      </c>
      <c r="F182" s="1" t="s">
        <v>395</v>
      </c>
      <c r="G182" s="1" t="s">
        <v>1229</v>
      </c>
      <c r="H182" s="6">
        <v>1</v>
      </c>
      <c r="I182" s="7">
        <v>1374</v>
      </c>
      <c r="J182" s="5">
        <v>45991</v>
      </c>
      <c r="K182" s="1" t="s">
        <v>957</v>
      </c>
      <c r="L182" s="1" t="s">
        <v>30</v>
      </c>
      <c r="M182" s="8">
        <v>0.43</v>
      </c>
      <c r="N182" s="6"/>
      <c r="O182" s="6">
        <v>48</v>
      </c>
      <c r="P182" s="9">
        <v>-129.72999999999999</v>
      </c>
    </row>
    <row r="183" spans="1:16" ht="19.5" customHeight="1">
      <c r="A183" s="1" t="s">
        <v>1468</v>
      </c>
      <c r="B183" s="5">
        <v>45993</v>
      </c>
      <c r="C183" s="1" t="s">
        <v>31</v>
      </c>
      <c r="D183" s="1" t="s">
        <v>32</v>
      </c>
      <c r="E183" s="1" t="s">
        <v>223</v>
      </c>
      <c r="F183" s="1" t="s">
        <v>395</v>
      </c>
      <c r="G183" s="1" t="s">
        <v>1229</v>
      </c>
      <c r="H183" s="6">
        <v>1</v>
      </c>
      <c r="I183" s="7">
        <v>1374</v>
      </c>
      <c r="J183" s="5">
        <v>45991</v>
      </c>
      <c r="K183" s="1" t="s">
        <v>957</v>
      </c>
      <c r="L183" s="1" t="s">
        <v>30</v>
      </c>
      <c r="M183" s="8">
        <v>0</v>
      </c>
      <c r="N183" s="6"/>
      <c r="O183" s="6"/>
      <c r="P183" s="9">
        <v>519.01</v>
      </c>
    </row>
    <row r="184" spans="1:16" ht="19.5" customHeight="1">
      <c r="A184" s="1" t="s">
        <v>1468</v>
      </c>
      <c r="B184" s="5">
        <v>45993</v>
      </c>
      <c r="C184" s="1" t="s">
        <v>31</v>
      </c>
      <c r="D184" s="1" t="s">
        <v>33</v>
      </c>
      <c r="E184" s="1" t="s">
        <v>223</v>
      </c>
      <c r="F184" s="1" t="s">
        <v>395</v>
      </c>
      <c r="G184" s="1" t="s">
        <v>1229</v>
      </c>
      <c r="H184" s="6">
        <v>1</v>
      </c>
      <c r="I184" s="7">
        <v>1374</v>
      </c>
      <c r="J184" s="5">
        <v>45991</v>
      </c>
      <c r="K184" s="1" t="s">
        <v>957</v>
      </c>
      <c r="L184" s="1" t="s">
        <v>30</v>
      </c>
      <c r="M184" s="8">
        <v>0</v>
      </c>
      <c r="N184" s="6"/>
      <c r="O184" s="6"/>
      <c r="P184" s="9">
        <v>5.19</v>
      </c>
    </row>
    <row r="185" spans="1:16" ht="19.5" customHeight="1">
      <c r="A185" s="1" t="s">
        <v>1468</v>
      </c>
      <c r="B185" s="5">
        <v>45993</v>
      </c>
      <c r="C185" s="1" t="s">
        <v>31</v>
      </c>
      <c r="D185" s="1" t="s">
        <v>34</v>
      </c>
      <c r="E185" s="1" t="s">
        <v>223</v>
      </c>
      <c r="F185" s="1" t="s">
        <v>395</v>
      </c>
      <c r="G185" s="1" t="s">
        <v>1229</v>
      </c>
      <c r="H185" s="6">
        <v>1</v>
      </c>
      <c r="I185" s="7">
        <v>1374</v>
      </c>
      <c r="J185" s="5">
        <v>45991</v>
      </c>
      <c r="K185" s="1" t="s">
        <v>957</v>
      </c>
      <c r="L185" s="1" t="s">
        <v>30</v>
      </c>
      <c r="M185" s="8">
        <v>0</v>
      </c>
      <c r="N185" s="6"/>
      <c r="O185" s="6"/>
      <c r="P185" s="9">
        <v>849.8</v>
      </c>
    </row>
    <row r="186" spans="1:16" ht="19.5" customHeight="1">
      <c r="A186" s="1" t="s">
        <v>1468</v>
      </c>
      <c r="B186" s="5">
        <v>45993</v>
      </c>
      <c r="C186" s="1" t="s">
        <v>35</v>
      </c>
      <c r="D186" s="1" t="s">
        <v>36</v>
      </c>
      <c r="E186" s="1" t="s">
        <v>223</v>
      </c>
      <c r="F186" s="1" t="s">
        <v>395</v>
      </c>
      <c r="G186" s="1" t="s">
        <v>1229</v>
      </c>
      <c r="H186" s="6">
        <v>1</v>
      </c>
      <c r="I186" s="7">
        <v>1374</v>
      </c>
      <c r="J186" s="5">
        <v>45991</v>
      </c>
      <c r="K186" s="1" t="s">
        <v>957</v>
      </c>
      <c r="L186" s="1" t="s">
        <v>30</v>
      </c>
      <c r="M186" s="8">
        <v>0.43</v>
      </c>
      <c r="N186" s="6"/>
      <c r="O186" s="6"/>
      <c r="P186" s="9">
        <v>-590.82000000000005</v>
      </c>
    </row>
    <row r="187" spans="1:16" ht="19.5" customHeight="1">
      <c r="A187" s="1" t="s">
        <v>1468</v>
      </c>
      <c r="B187" s="5">
        <v>45993</v>
      </c>
      <c r="C187" s="1" t="s">
        <v>17</v>
      </c>
      <c r="D187" s="1" t="s">
        <v>37</v>
      </c>
      <c r="E187" s="1" t="s">
        <v>223</v>
      </c>
      <c r="F187" s="1" t="s">
        <v>395</v>
      </c>
      <c r="G187" s="1" t="s">
        <v>1229</v>
      </c>
      <c r="H187" s="6">
        <v>1</v>
      </c>
      <c r="I187" s="7">
        <v>1374</v>
      </c>
      <c r="J187" s="5">
        <v>45991</v>
      </c>
      <c r="K187" s="1" t="s">
        <v>957</v>
      </c>
      <c r="L187" s="1" t="s">
        <v>30</v>
      </c>
      <c r="M187" s="8">
        <v>0.43</v>
      </c>
      <c r="N187" s="6"/>
      <c r="O187" s="6"/>
      <c r="P187" s="9">
        <v>-9.1</v>
      </c>
    </row>
    <row r="188" spans="1:16" ht="19.5" customHeight="1">
      <c r="A188" s="1" t="s">
        <v>1468</v>
      </c>
      <c r="B188" s="5">
        <v>45993</v>
      </c>
      <c r="C188" s="1" t="s">
        <v>17</v>
      </c>
      <c r="D188" s="1" t="s">
        <v>18</v>
      </c>
      <c r="E188" s="1" t="s">
        <v>223</v>
      </c>
      <c r="F188" s="1" t="s">
        <v>395</v>
      </c>
      <c r="G188" s="1" t="s">
        <v>1229</v>
      </c>
      <c r="H188" s="6">
        <v>1</v>
      </c>
      <c r="I188" s="7">
        <v>0</v>
      </c>
      <c r="J188" s="5">
        <v>45991</v>
      </c>
      <c r="K188" s="1" t="s">
        <v>22</v>
      </c>
      <c r="L188" s="1" t="s">
        <v>22</v>
      </c>
      <c r="M188" s="8">
        <v>0</v>
      </c>
      <c r="N188" s="6"/>
      <c r="O188" s="6"/>
      <c r="P188" s="9">
        <v>-9.86</v>
      </c>
    </row>
    <row r="189" spans="1:16" ht="19.5" customHeight="1">
      <c r="A189" s="1" t="s">
        <v>1203</v>
      </c>
      <c r="B189" s="5">
        <v>45993</v>
      </c>
      <c r="C189" s="1" t="s">
        <v>126</v>
      </c>
      <c r="D189" s="1" t="s">
        <v>127</v>
      </c>
      <c r="E189" s="1" t="s">
        <v>240</v>
      </c>
      <c r="F189" s="1" t="s">
        <v>802</v>
      </c>
      <c r="G189" s="1" t="s">
        <v>1133</v>
      </c>
      <c r="H189" s="6">
        <v>1</v>
      </c>
      <c r="I189" s="7">
        <v>-5500</v>
      </c>
      <c r="J189" s="5">
        <v>45974</v>
      </c>
      <c r="K189" s="1" t="s">
        <v>957</v>
      </c>
      <c r="L189" s="1" t="s">
        <v>30</v>
      </c>
      <c r="M189" s="8">
        <v>0</v>
      </c>
      <c r="N189" s="6"/>
      <c r="O189" s="6"/>
      <c r="P189" s="9">
        <v>-2604.56</v>
      </c>
    </row>
    <row r="190" spans="1:16" ht="19.5" customHeight="1">
      <c r="A190" s="1" t="s">
        <v>1203</v>
      </c>
      <c r="B190" s="5">
        <v>45993</v>
      </c>
      <c r="C190" s="1" t="s">
        <v>126</v>
      </c>
      <c r="D190" s="1" t="s">
        <v>33</v>
      </c>
      <c r="E190" s="1" t="s">
        <v>240</v>
      </c>
      <c r="F190" s="1" t="s">
        <v>802</v>
      </c>
      <c r="G190" s="1" t="s">
        <v>1133</v>
      </c>
      <c r="H190" s="6">
        <v>1</v>
      </c>
      <c r="I190" s="7">
        <v>-5500</v>
      </c>
      <c r="J190" s="5">
        <v>45974</v>
      </c>
      <c r="K190" s="1" t="s">
        <v>957</v>
      </c>
      <c r="L190" s="1" t="s">
        <v>30</v>
      </c>
      <c r="M190" s="8">
        <v>0</v>
      </c>
      <c r="N190" s="6"/>
      <c r="O190" s="6"/>
      <c r="P190" s="9">
        <v>0</v>
      </c>
    </row>
    <row r="191" spans="1:16" ht="19.5" customHeight="1">
      <c r="A191" s="1" t="s">
        <v>1203</v>
      </c>
      <c r="B191" s="5">
        <v>45993</v>
      </c>
      <c r="C191" s="1" t="s">
        <v>126</v>
      </c>
      <c r="D191" s="1" t="s">
        <v>34</v>
      </c>
      <c r="E191" s="1" t="s">
        <v>240</v>
      </c>
      <c r="F191" s="1" t="s">
        <v>802</v>
      </c>
      <c r="G191" s="1" t="s">
        <v>1133</v>
      </c>
      <c r="H191" s="6">
        <v>1</v>
      </c>
      <c r="I191" s="7">
        <v>-5500</v>
      </c>
      <c r="J191" s="5">
        <v>45974</v>
      </c>
      <c r="K191" s="1" t="s">
        <v>957</v>
      </c>
      <c r="L191" s="1" t="s">
        <v>30</v>
      </c>
      <c r="M191" s="8">
        <v>0</v>
      </c>
      <c r="N191" s="6"/>
      <c r="O191" s="6"/>
      <c r="P191" s="9">
        <v>-2895.44</v>
      </c>
    </row>
    <row r="192" spans="1:16" ht="19.5" customHeight="1">
      <c r="A192" s="1" t="s">
        <v>1203</v>
      </c>
      <c r="B192" s="5">
        <v>45993</v>
      </c>
      <c r="C192" s="1" t="s">
        <v>35</v>
      </c>
      <c r="D192" s="1" t="s">
        <v>128</v>
      </c>
      <c r="E192" s="1" t="s">
        <v>240</v>
      </c>
      <c r="F192" s="1" t="s">
        <v>802</v>
      </c>
      <c r="G192" s="1" t="s">
        <v>1133</v>
      </c>
      <c r="H192" s="6">
        <v>1</v>
      </c>
      <c r="I192" s="7">
        <v>-5500</v>
      </c>
      <c r="J192" s="5">
        <v>45974</v>
      </c>
      <c r="K192" s="1" t="s">
        <v>957</v>
      </c>
      <c r="L192" s="1" t="s">
        <v>30</v>
      </c>
      <c r="M192" s="8">
        <v>0.43</v>
      </c>
      <c r="N192" s="6"/>
      <c r="O192" s="6"/>
      <c r="P192" s="9">
        <v>2365</v>
      </c>
    </row>
    <row r="193" spans="1:16" ht="19.5" customHeight="1">
      <c r="A193" s="1" t="s">
        <v>1170</v>
      </c>
      <c r="B193" s="5">
        <v>45993</v>
      </c>
      <c r="C193" s="1" t="s">
        <v>17</v>
      </c>
      <c r="D193" s="1" t="s">
        <v>18</v>
      </c>
      <c r="E193" s="1" t="s">
        <v>240</v>
      </c>
      <c r="F193" s="1" t="s">
        <v>802</v>
      </c>
      <c r="G193" s="1" t="s">
        <v>1133</v>
      </c>
      <c r="H193" s="6">
        <v>1</v>
      </c>
      <c r="I193" s="7">
        <v>0</v>
      </c>
      <c r="J193" s="5">
        <v>45974</v>
      </c>
      <c r="K193" s="1" t="s">
        <v>22</v>
      </c>
      <c r="L193" s="1" t="s">
        <v>22</v>
      </c>
      <c r="M193" s="8">
        <v>0</v>
      </c>
      <c r="N193" s="6"/>
      <c r="O193" s="6"/>
      <c r="P193" s="9">
        <v>11.2</v>
      </c>
    </row>
    <row r="194" spans="1:16" ht="19.5" customHeight="1">
      <c r="A194" s="1" t="s">
        <v>1469</v>
      </c>
      <c r="B194" s="5">
        <v>45993</v>
      </c>
      <c r="C194" s="1" t="s">
        <v>17</v>
      </c>
      <c r="D194" s="1" t="s">
        <v>18</v>
      </c>
      <c r="E194" s="1" t="s">
        <v>223</v>
      </c>
      <c r="F194" s="1" t="s">
        <v>395</v>
      </c>
      <c r="G194" s="1" t="s">
        <v>1229</v>
      </c>
      <c r="H194" s="6">
        <v>1</v>
      </c>
      <c r="I194" s="7">
        <v>0</v>
      </c>
      <c r="J194" s="5">
        <v>45993</v>
      </c>
      <c r="K194" s="1" t="s">
        <v>22</v>
      </c>
      <c r="L194" s="1" t="s">
        <v>22</v>
      </c>
      <c r="M194" s="8">
        <v>0</v>
      </c>
      <c r="N194" s="6"/>
      <c r="O194" s="6"/>
      <c r="P194" s="9">
        <v>-7.16</v>
      </c>
    </row>
    <row r="195" spans="1:16" ht="19.5" customHeight="1">
      <c r="A195" s="1" t="s">
        <v>1470</v>
      </c>
      <c r="B195" s="5">
        <v>45993</v>
      </c>
      <c r="C195" s="1" t="s">
        <v>17</v>
      </c>
      <c r="D195" s="1" t="s">
        <v>18</v>
      </c>
      <c r="E195" s="1" t="s">
        <v>228</v>
      </c>
      <c r="F195" s="1" t="s">
        <v>393</v>
      </c>
      <c r="G195" s="1" t="s">
        <v>1229</v>
      </c>
      <c r="H195" s="6">
        <v>1</v>
      </c>
      <c r="I195" s="7">
        <v>0</v>
      </c>
      <c r="J195" s="5">
        <v>45993</v>
      </c>
      <c r="K195" s="1" t="s">
        <v>22</v>
      </c>
      <c r="L195" s="1" t="s">
        <v>22</v>
      </c>
      <c r="M195" s="8">
        <v>0</v>
      </c>
      <c r="N195" s="6"/>
      <c r="O195" s="6"/>
      <c r="P195" s="9">
        <v>-12.26</v>
      </c>
    </row>
    <row r="196" spans="1:16" ht="19.5" customHeight="1">
      <c r="A196" s="1" t="s">
        <v>1470</v>
      </c>
      <c r="B196" s="5">
        <v>45993</v>
      </c>
      <c r="C196" s="1" t="s">
        <v>17</v>
      </c>
      <c r="D196" s="1" t="s">
        <v>18</v>
      </c>
      <c r="E196" s="1" t="s">
        <v>226</v>
      </c>
      <c r="F196" s="1" t="s">
        <v>428</v>
      </c>
      <c r="G196" s="1" t="s">
        <v>1229</v>
      </c>
      <c r="H196" s="6">
        <v>1</v>
      </c>
      <c r="I196" s="7">
        <v>0</v>
      </c>
      <c r="J196" s="5">
        <v>45993</v>
      </c>
      <c r="K196" s="1" t="s">
        <v>22</v>
      </c>
      <c r="L196" s="1" t="s">
        <v>22</v>
      </c>
      <c r="M196" s="8">
        <v>0</v>
      </c>
      <c r="N196" s="6"/>
      <c r="O196" s="6"/>
      <c r="P196" s="9">
        <v>-18.36</v>
      </c>
    </row>
    <row r="197" spans="1:16" ht="19.5" customHeight="1">
      <c r="A197" s="1" t="s">
        <v>1376</v>
      </c>
      <c r="B197" s="5">
        <v>45993</v>
      </c>
      <c r="C197" s="1" t="s">
        <v>77</v>
      </c>
      <c r="D197" s="1" t="s">
        <v>82</v>
      </c>
      <c r="E197" s="1" t="s">
        <v>22</v>
      </c>
      <c r="F197" s="1" t="s">
        <v>22</v>
      </c>
      <c r="G197" s="1" t="s">
        <v>22</v>
      </c>
      <c r="H197" s="6">
        <v>0</v>
      </c>
      <c r="I197" s="7">
        <v>0</v>
      </c>
      <c r="J197" s="5">
        <v>45993</v>
      </c>
      <c r="K197" s="1" t="s">
        <v>22</v>
      </c>
      <c r="L197" s="1" t="s">
        <v>22</v>
      </c>
      <c r="M197" s="8">
        <v>0</v>
      </c>
      <c r="N197" s="6"/>
      <c r="O197" s="6"/>
      <c r="P197" s="9">
        <v>-1025.8399999999999</v>
      </c>
    </row>
    <row r="198" spans="1:16" ht="19.5" customHeight="1">
      <c r="A198" s="1" t="s">
        <v>1270</v>
      </c>
      <c r="B198" s="5">
        <v>45993</v>
      </c>
      <c r="C198" s="1" t="s">
        <v>77</v>
      </c>
      <c r="D198" s="1" t="s">
        <v>82</v>
      </c>
      <c r="E198" s="1" t="s">
        <v>22</v>
      </c>
      <c r="F198" s="1" t="s">
        <v>22</v>
      </c>
      <c r="G198" s="1" t="s">
        <v>22</v>
      </c>
      <c r="H198" s="6">
        <v>0</v>
      </c>
      <c r="I198" s="7">
        <v>0</v>
      </c>
      <c r="J198" s="5">
        <v>45993</v>
      </c>
      <c r="K198" s="1" t="s">
        <v>22</v>
      </c>
      <c r="L198" s="1" t="s">
        <v>22</v>
      </c>
      <c r="M198" s="8">
        <v>0</v>
      </c>
      <c r="N198" s="6"/>
      <c r="O198" s="6"/>
      <c r="P198" s="9">
        <v>-451.65</v>
      </c>
    </row>
    <row r="199" spans="1:16" ht="19.5" customHeight="1">
      <c r="A199" s="1" t="s">
        <v>1075</v>
      </c>
      <c r="B199" s="5">
        <v>45993</v>
      </c>
      <c r="C199" s="1" t="s">
        <v>77</v>
      </c>
      <c r="D199" s="1" t="s">
        <v>82</v>
      </c>
      <c r="E199" s="1" t="s">
        <v>22</v>
      </c>
      <c r="F199" s="1" t="s">
        <v>22</v>
      </c>
      <c r="G199" s="1" t="s">
        <v>22</v>
      </c>
      <c r="H199" s="6">
        <v>0</v>
      </c>
      <c r="I199" s="7">
        <v>0</v>
      </c>
      <c r="J199" s="5">
        <v>45993</v>
      </c>
      <c r="K199" s="1" t="s">
        <v>22</v>
      </c>
      <c r="L199" s="1" t="s">
        <v>22</v>
      </c>
      <c r="M199" s="8">
        <v>0</v>
      </c>
      <c r="N199" s="6"/>
      <c r="O199" s="6"/>
      <c r="P199" s="9">
        <v>-632.35</v>
      </c>
    </row>
    <row r="200" spans="1:16" ht="19.5" customHeight="1">
      <c r="A200" s="1" t="s">
        <v>83</v>
      </c>
      <c r="B200" s="5">
        <v>45993</v>
      </c>
      <c r="C200" s="1" t="s">
        <v>77</v>
      </c>
      <c r="D200" s="1" t="s">
        <v>84</v>
      </c>
      <c r="E200" s="1" t="s">
        <v>22</v>
      </c>
      <c r="F200" s="1" t="s">
        <v>22</v>
      </c>
      <c r="G200" s="1" t="s">
        <v>22</v>
      </c>
      <c r="H200" s="6">
        <v>0</v>
      </c>
      <c r="I200" s="7">
        <v>0</v>
      </c>
      <c r="J200" s="5">
        <v>45993</v>
      </c>
      <c r="K200" s="1" t="s">
        <v>22</v>
      </c>
      <c r="L200" s="1" t="s">
        <v>22</v>
      </c>
      <c r="M200" s="8">
        <v>0</v>
      </c>
      <c r="N200" s="6"/>
      <c r="O200" s="6"/>
      <c r="P200" s="9">
        <v>-1330.06</v>
      </c>
    </row>
    <row r="201" spans="1:16" ht="19.5" customHeight="1">
      <c r="A201" s="1" t="s">
        <v>1471</v>
      </c>
      <c r="B201" s="5">
        <v>45994</v>
      </c>
      <c r="C201" s="1" t="s">
        <v>17</v>
      </c>
      <c r="D201" s="1" t="s">
        <v>18</v>
      </c>
      <c r="E201" s="1" t="s">
        <v>223</v>
      </c>
      <c r="F201" s="1" t="s">
        <v>395</v>
      </c>
      <c r="G201" s="1" t="s">
        <v>1229</v>
      </c>
      <c r="H201" s="6">
        <v>1</v>
      </c>
      <c r="I201" s="7">
        <v>0</v>
      </c>
      <c r="J201" s="5">
        <v>45994</v>
      </c>
      <c r="K201" s="1" t="s">
        <v>22</v>
      </c>
      <c r="L201" s="1" t="s">
        <v>22</v>
      </c>
      <c r="M201" s="8">
        <v>0</v>
      </c>
      <c r="N201" s="6"/>
      <c r="O201" s="6"/>
      <c r="P201" s="9">
        <v>-9.86</v>
      </c>
    </row>
    <row r="202" spans="1:16" ht="19.5" customHeight="1">
      <c r="A202" s="1" t="s">
        <v>1472</v>
      </c>
      <c r="B202" s="5">
        <v>45994</v>
      </c>
      <c r="C202" s="1" t="s">
        <v>17</v>
      </c>
      <c r="D202" s="1" t="s">
        <v>18</v>
      </c>
      <c r="E202" s="1" t="s">
        <v>25</v>
      </c>
      <c r="F202" s="1" t="s">
        <v>26</v>
      </c>
      <c r="G202" s="1" t="s">
        <v>1229</v>
      </c>
      <c r="H202" s="6">
        <v>1</v>
      </c>
      <c r="I202" s="7">
        <v>0</v>
      </c>
      <c r="J202" s="5">
        <v>45994</v>
      </c>
      <c r="K202" s="1" t="s">
        <v>22</v>
      </c>
      <c r="L202" s="1" t="s">
        <v>22</v>
      </c>
      <c r="M202" s="8">
        <v>0</v>
      </c>
      <c r="N202" s="6"/>
      <c r="O202" s="6"/>
      <c r="P202" s="9">
        <v>-4.0999999999999996</v>
      </c>
    </row>
    <row r="203" spans="1:16" ht="19.5" customHeight="1">
      <c r="A203" s="1" t="s">
        <v>1473</v>
      </c>
      <c r="B203" s="5">
        <v>45994</v>
      </c>
      <c r="C203" s="1" t="s">
        <v>17</v>
      </c>
      <c r="D203" s="1" t="s">
        <v>18</v>
      </c>
      <c r="E203" s="1" t="s">
        <v>25</v>
      </c>
      <c r="F203" s="1" t="s">
        <v>26</v>
      </c>
      <c r="G203" s="1" t="s">
        <v>1229</v>
      </c>
      <c r="H203" s="6">
        <v>1</v>
      </c>
      <c r="I203" s="7">
        <v>0</v>
      </c>
      <c r="J203" s="5">
        <v>45994</v>
      </c>
      <c r="K203" s="1" t="s">
        <v>22</v>
      </c>
      <c r="L203" s="1" t="s">
        <v>22</v>
      </c>
      <c r="M203" s="8">
        <v>0</v>
      </c>
      <c r="N203" s="6"/>
      <c r="O203" s="6"/>
      <c r="P203" s="9">
        <v>-2.89</v>
      </c>
    </row>
    <row r="204" spans="1:16" ht="19.5" customHeight="1">
      <c r="A204" s="1" t="s">
        <v>1474</v>
      </c>
      <c r="B204" s="5">
        <v>45994</v>
      </c>
      <c r="C204" s="1" t="s">
        <v>17</v>
      </c>
      <c r="D204" s="1" t="s">
        <v>18</v>
      </c>
      <c r="E204" s="1" t="s">
        <v>223</v>
      </c>
      <c r="F204" s="1" t="s">
        <v>395</v>
      </c>
      <c r="G204" s="1" t="s">
        <v>1229</v>
      </c>
      <c r="H204" s="6">
        <v>1</v>
      </c>
      <c r="I204" s="7">
        <v>0</v>
      </c>
      <c r="J204" s="5">
        <v>45994</v>
      </c>
      <c r="K204" s="1" t="s">
        <v>22</v>
      </c>
      <c r="L204" s="1" t="s">
        <v>22</v>
      </c>
      <c r="M204" s="8">
        <v>0</v>
      </c>
      <c r="N204" s="6"/>
      <c r="O204" s="6"/>
      <c r="P204" s="9">
        <v>-9.86</v>
      </c>
    </row>
    <row r="205" spans="1:16" ht="19.5" customHeight="1">
      <c r="A205" s="1" t="s">
        <v>1475</v>
      </c>
      <c r="B205" s="5">
        <v>45994</v>
      </c>
      <c r="C205" s="1" t="s">
        <v>28</v>
      </c>
      <c r="D205" s="1" t="s">
        <v>29</v>
      </c>
      <c r="E205" s="1" t="s">
        <v>25</v>
      </c>
      <c r="F205" s="1" t="s">
        <v>26</v>
      </c>
      <c r="G205" s="1" t="s">
        <v>1229</v>
      </c>
      <c r="H205" s="6">
        <v>1</v>
      </c>
      <c r="I205" s="7">
        <v>1738</v>
      </c>
      <c r="J205" s="5">
        <v>45990</v>
      </c>
      <c r="K205" s="1" t="s">
        <v>957</v>
      </c>
      <c r="L205" s="1" t="s">
        <v>30</v>
      </c>
      <c r="M205" s="8">
        <v>0.43</v>
      </c>
      <c r="N205" s="6"/>
      <c r="O205" s="6">
        <v>47</v>
      </c>
      <c r="P205" s="9">
        <v>-140.36000000000001</v>
      </c>
    </row>
    <row r="206" spans="1:16" ht="19.5" customHeight="1">
      <c r="A206" s="1" t="s">
        <v>1475</v>
      </c>
      <c r="B206" s="5">
        <v>45994</v>
      </c>
      <c r="C206" s="1" t="s">
        <v>31</v>
      </c>
      <c r="D206" s="1" t="s">
        <v>32</v>
      </c>
      <c r="E206" s="1" t="s">
        <v>25</v>
      </c>
      <c r="F206" s="1" t="s">
        <v>26</v>
      </c>
      <c r="G206" s="1" t="s">
        <v>1229</v>
      </c>
      <c r="H206" s="6">
        <v>1</v>
      </c>
      <c r="I206" s="7">
        <v>1738</v>
      </c>
      <c r="J206" s="5">
        <v>45990</v>
      </c>
      <c r="K206" s="1" t="s">
        <v>957</v>
      </c>
      <c r="L206" s="1" t="s">
        <v>30</v>
      </c>
      <c r="M206" s="8">
        <v>0</v>
      </c>
      <c r="N206" s="6"/>
      <c r="O206" s="6"/>
      <c r="P206" s="9">
        <v>802.86</v>
      </c>
    </row>
    <row r="207" spans="1:16" ht="19.5" customHeight="1">
      <c r="A207" s="1" t="s">
        <v>1475</v>
      </c>
      <c r="B207" s="5">
        <v>45994</v>
      </c>
      <c r="C207" s="1" t="s">
        <v>31</v>
      </c>
      <c r="D207" s="1" t="s">
        <v>33</v>
      </c>
      <c r="E207" s="1" t="s">
        <v>25</v>
      </c>
      <c r="F207" s="1" t="s">
        <v>26</v>
      </c>
      <c r="G207" s="1" t="s">
        <v>1229</v>
      </c>
      <c r="H207" s="6">
        <v>1</v>
      </c>
      <c r="I207" s="7">
        <v>1738</v>
      </c>
      <c r="J207" s="5">
        <v>45990</v>
      </c>
      <c r="K207" s="1" t="s">
        <v>957</v>
      </c>
      <c r="L207" s="1" t="s">
        <v>30</v>
      </c>
      <c r="M207" s="8">
        <v>0</v>
      </c>
      <c r="N207" s="6"/>
      <c r="O207" s="6"/>
      <c r="P207" s="9">
        <v>0</v>
      </c>
    </row>
    <row r="208" spans="1:16" ht="19.5" customHeight="1">
      <c r="A208" s="1" t="s">
        <v>1475</v>
      </c>
      <c r="B208" s="5">
        <v>45994</v>
      </c>
      <c r="C208" s="1" t="s">
        <v>31</v>
      </c>
      <c r="D208" s="1" t="s">
        <v>34</v>
      </c>
      <c r="E208" s="1" t="s">
        <v>25</v>
      </c>
      <c r="F208" s="1" t="s">
        <v>26</v>
      </c>
      <c r="G208" s="1" t="s">
        <v>1229</v>
      </c>
      <c r="H208" s="6">
        <v>1</v>
      </c>
      <c r="I208" s="7">
        <v>1738</v>
      </c>
      <c r="J208" s="5">
        <v>45990</v>
      </c>
      <c r="K208" s="1" t="s">
        <v>957</v>
      </c>
      <c r="L208" s="1" t="s">
        <v>30</v>
      </c>
      <c r="M208" s="8">
        <v>0</v>
      </c>
      <c r="N208" s="6"/>
      <c r="O208" s="6"/>
      <c r="P208" s="9">
        <v>935.14</v>
      </c>
    </row>
    <row r="209" spans="1:16" ht="19.5" customHeight="1">
      <c r="A209" s="1" t="s">
        <v>1475</v>
      </c>
      <c r="B209" s="5">
        <v>45994</v>
      </c>
      <c r="C209" s="1" t="s">
        <v>35</v>
      </c>
      <c r="D209" s="1" t="s">
        <v>36</v>
      </c>
      <c r="E209" s="1" t="s">
        <v>25</v>
      </c>
      <c r="F209" s="1" t="s">
        <v>26</v>
      </c>
      <c r="G209" s="1" t="s">
        <v>1229</v>
      </c>
      <c r="H209" s="6">
        <v>1</v>
      </c>
      <c r="I209" s="7">
        <v>1738</v>
      </c>
      <c r="J209" s="5">
        <v>45990</v>
      </c>
      <c r="K209" s="1" t="s">
        <v>957</v>
      </c>
      <c r="L209" s="1" t="s">
        <v>30</v>
      </c>
      <c r="M209" s="8">
        <v>0.43</v>
      </c>
      <c r="N209" s="6"/>
      <c r="O209" s="6"/>
      <c r="P209" s="9">
        <v>-747.34</v>
      </c>
    </row>
    <row r="210" spans="1:16" ht="19.5" customHeight="1">
      <c r="A210" s="1" t="s">
        <v>1476</v>
      </c>
      <c r="B210" s="5">
        <v>45994</v>
      </c>
      <c r="C210" s="1" t="s">
        <v>17</v>
      </c>
      <c r="D210" s="1" t="s">
        <v>18</v>
      </c>
      <c r="E210" s="1" t="s">
        <v>25</v>
      </c>
      <c r="F210" s="1" t="s">
        <v>26</v>
      </c>
      <c r="G210" s="1" t="s">
        <v>1229</v>
      </c>
      <c r="H210" s="6">
        <v>1</v>
      </c>
      <c r="I210" s="7">
        <v>0</v>
      </c>
      <c r="J210" s="5">
        <v>45994</v>
      </c>
      <c r="K210" s="1" t="s">
        <v>22</v>
      </c>
      <c r="L210" s="1" t="s">
        <v>22</v>
      </c>
      <c r="M210" s="8">
        <v>0</v>
      </c>
      <c r="N210" s="6"/>
      <c r="O210" s="6"/>
      <c r="P210" s="9">
        <v>-3.64</v>
      </c>
    </row>
    <row r="211" spans="1:16" ht="19.5" customHeight="1">
      <c r="A211" s="1" t="s">
        <v>1477</v>
      </c>
      <c r="B211" s="5">
        <v>45994</v>
      </c>
      <c r="C211" s="1" t="s">
        <v>28</v>
      </c>
      <c r="D211" s="1" t="s">
        <v>29</v>
      </c>
      <c r="E211" s="1" t="s">
        <v>223</v>
      </c>
      <c r="F211" s="1" t="s">
        <v>395</v>
      </c>
      <c r="G211" s="1" t="s">
        <v>1229</v>
      </c>
      <c r="H211" s="6">
        <v>1</v>
      </c>
      <c r="I211" s="7">
        <v>1348</v>
      </c>
      <c r="J211" s="5">
        <v>45987</v>
      </c>
      <c r="K211" s="1" t="s">
        <v>957</v>
      </c>
      <c r="L211" s="1" t="s">
        <v>30</v>
      </c>
      <c r="M211" s="8">
        <v>0.43</v>
      </c>
      <c r="N211" s="6"/>
      <c r="O211" s="6">
        <v>44</v>
      </c>
      <c r="P211" s="9">
        <v>-117.44</v>
      </c>
    </row>
    <row r="212" spans="1:16" ht="19.5" customHeight="1">
      <c r="A212" s="1" t="s">
        <v>1477</v>
      </c>
      <c r="B212" s="5">
        <v>45994</v>
      </c>
      <c r="C212" s="1" t="s">
        <v>31</v>
      </c>
      <c r="D212" s="1" t="s">
        <v>32</v>
      </c>
      <c r="E212" s="1" t="s">
        <v>223</v>
      </c>
      <c r="F212" s="1" t="s">
        <v>395</v>
      </c>
      <c r="G212" s="1" t="s">
        <v>1229</v>
      </c>
      <c r="H212" s="6">
        <v>1</v>
      </c>
      <c r="I212" s="7">
        <v>1348</v>
      </c>
      <c r="J212" s="5">
        <v>45987</v>
      </c>
      <c r="K212" s="1" t="s">
        <v>957</v>
      </c>
      <c r="L212" s="1" t="s">
        <v>30</v>
      </c>
      <c r="M212" s="8">
        <v>0</v>
      </c>
      <c r="N212" s="6"/>
      <c r="O212" s="6"/>
      <c r="P212" s="9">
        <v>602.86</v>
      </c>
    </row>
    <row r="213" spans="1:16" ht="19.5" customHeight="1">
      <c r="A213" s="1" t="s">
        <v>1477</v>
      </c>
      <c r="B213" s="5">
        <v>45994</v>
      </c>
      <c r="C213" s="1" t="s">
        <v>31</v>
      </c>
      <c r="D213" s="1" t="s">
        <v>33</v>
      </c>
      <c r="E213" s="1" t="s">
        <v>223</v>
      </c>
      <c r="F213" s="1" t="s">
        <v>395</v>
      </c>
      <c r="G213" s="1" t="s">
        <v>1229</v>
      </c>
      <c r="H213" s="6">
        <v>1</v>
      </c>
      <c r="I213" s="7">
        <v>1348</v>
      </c>
      <c r="J213" s="5">
        <v>45987</v>
      </c>
      <c r="K213" s="1" t="s">
        <v>957</v>
      </c>
      <c r="L213" s="1" t="s">
        <v>30</v>
      </c>
      <c r="M213" s="8">
        <v>0</v>
      </c>
      <c r="N213" s="6"/>
      <c r="O213" s="6"/>
      <c r="P213" s="9">
        <v>6.03</v>
      </c>
    </row>
    <row r="214" spans="1:16" ht="19.5" customHeight="1">
      <c r="A214" s="1" t="s">
        <v>1477</v>
      </c>
      <c r="B214" s="5">
        <v>45994</v>
      </c>
      <c r="C214" s="1" t="s">
        <v>31</v>
      </c>
      <c r="D214" s="1" t="s">
        <v>34</v>
      </c>
      <c r="E214" s="1" t="s">
        <v>223</v>
      </c>
      <c r="F214" s="1" t="s">
        <v>395</v>
      </c>
      <c r="G214" s="1" t="s">
        <v>1229</v>
      </c>
      <c r="H214" s="6">
        <v>1</v>
      </c>
      <c r="I214" s="7">
        <v>1348</v>
      </c>
      <c r="J214" s="5">
        <v>45987</v>
      </c>
      <c r="K214" s="1" t="s">
        <v>957</v>
      </c>
      <c r="L214" s="1" t="s">
        <v>30</v>
      </c>
      <c r="M214" s="8">
        <v>0</v>
      </c>
      <c r="N214" s="6"/>
      <c r="O214" s="6"/>
      <c r="P214" s="9">
        <v>739.11</v>
      </c>
    </row>
    <row r="215" spans="1:16" ht="19.5" customHeight="1">
      <c r="A215" s="1" t="s">
        <v>1477</v>
      </c>
      <c r="B215" s="5">
        <v>45994</v>
      </c>
      <c r="C215" s="1" t="s">
        <v>35</v>
      </c>
      <c r="D215" s="1" t="s">
        <v>36</v>
      </c>
      <c r="E215" s="1" t="s">
        <v>223</v>
      </c>
      <c r="F215" s="1" t="s">
        <v>395</v>
      </c>
      <c r="G215" s="1" t="s">
        <v>1229</v>
      </c>
      <c r="H215" s="6">
        <v>1</v>
      </c>
      <c r="I215" s="7">
        <v>1348</v>
      </c>
      <c r="J215" s="5">
        <v>45987</v>
      </c>
      <c r="K215" s="1" t="s">
        <v>957</v>
      </c>
      <c r="L215" s="1" t="s">
        <v>30</v>
      </c>
      <c r="M215" s="8">
        <v>0.43</v>
      </c>
      <c r="N215" s="6"/>
      <c r="O215" s="6"/>
      <c r="P215" s="9">
        <v>-579.64</v>
      </c>
    </row>
    <row r="216" spans="1:16" ht="19.5" customHeight="1">
      <c r="A216" s="1" t="s">
        <v>1478</v>
      </c>
      <c r="B216" s="5">
        <v>45994</v>
      </c>
      <c r="C216" s="1" t="s">
        <v>17</v>
      </c>
      <c r="D216" s="1" t="s">
        <v>18</v>
      </c>
      <c r="E216" s="1" t="s">
        <v>25</v>
      </c>
      <c r="F216" s="1" t="s">
        <v>26</v>
      </c>
      <c r="G216" s="1" t="s">
        <v>1229</v>
      </c>
      <c r="H216" s="6">
        <v>1</v>
      </c>
      <c r="I216" s="7">
        <v>0</v>
      </c>
      <c r="J216" s="5">
        <v>45994</v>
      </c>
      <c r="K216" s="1" t="s">
        <v>22</v>
      </c>
      <c r="L216" s="1" t="s">
        <v>22</v>
      </c>
      <c r="M216" s="8">
        <v>0</v>
      </c>
      <c r="N216" s="6"/>
      <c r="O216" s="6"/>
      <c r="P216" s="9">
        <v>-11.87</v>
      </c>
    </row>
    <row r="217" spans="1:16" ht="19.5" customHeight="1">
      <c r="A217" s="1" t="s">
        <v>1479</v>
      </c>
      <c r="B217" s="5">
        <v>45994</v>
      </c>
      <c r="C217" s="1" t="s">
        <v>28</v>
      </c>
      <c r="D217" s="1" t="s">
        <v>29</v>
      </c>
      <c r="E217" s="1" t="s">
        <v>226</v>
      </c>
      <c r="F217" s="1" t="s">
        <v>428</v>
      </c>
      <c r="G217" s="1" t="s">
        <v>1229</v>
      </c>
      <c r="H217" s="6">
        <v>1</v>
      </c>
      <c r="I217" s="7">
        <v>1800</v>
      </c>
      <c r="J217" s="5">
        <v>45993</v>
      </c>
      <c r="K217" s="1" t="s">
        <v>957</v>
      </c>
      <c r="L217" s="1" t="s">
        <v>30</v>
      </c>
      <c r="M217" s="8">
        <v>0.43</v>
      </c>
      <c r="N217" s="6"/>
      <c r="O217" s="6">
        <v>41</v>
      </c>
      <c r="P217" s="9">
        <v>-119.44</v>
      </c>
    </row>
    <row r="218" spans="1:16" ht="19.5" customHeight="1">
      <c r="A218" s="1" t="s">
        <v>1479</v>
      </c>
      <c r="B218" s="5">
        <v>45994</v>
      </c>
      <c r="C218" s="1" t="s">
        <v>31</v>
      </c>
      <c r="D218" s="1" t="s">
        <v>32</v>
      </c>
      <c r="E218" s="1" t="s">
        <v>226</v>
      </c>
      <c r="F218" s="1" t="s">
        <v>428</v>
      </c>
      <c r="G218" s="1" t="s">
        <v>1229</v>
      </c>
      <c r="H218" s="6">
        <v>1</v>
      </c>
      <c r="I218" s="7">
        <v>1800</v>
      </c>
      <c r="J218" s="5">
        <v>45993</v>
      </c>
      <c r="K218" s="1" t="s">
        <v>957</v>
      </c>
      <c r="L218" s="1" t="s">
        <v>30</v>
      </c>
      <c r="M218" s="8">
        <v>0</v>
      </c>
      <c r="N218" s="6"/>
      <c r="O218" s="6"/>
      <c r="P218" s="9">
        <v>966.5</v>
      </c>
    </row>
    <row r="219" spans="1:16" ht="19.5" customHeight="1">
      <c r="A219" s="1" t="s">
        <v>1479</v>
      </c>
      <c r="B219" s="5">
        <v>45994</v>
      </c>
      <c r="C219" s="1" t="s">
        <v>31</v>
      </c>
      <c r="D219" s="1" t="s">
        <v>33</v>
      </c>
      <c r="E219" s="1" t="s">
        <v>226</v>
      </c>
      <c r="F219" s="1" t="s">
        <v>428</v>
      </c>
      <c r="G219" s="1" t="s">
        <v>1229</v>
      </c>
      <c r="H219" s="6">
        <v>1</v>
      </c>
      <c r="I219" s="7">
        <v>1800</v>
      </c>
      <c r="J219" s="5">
        <v>45993</v>
      </c>
      <c r="K219" s="1" t="s">
        <v>957</v>
      </c>
      <c r="L219" s="1" t="s">
        <v>30</v>
      </c>
      <c r="M219" s="8">
        <v>0</v>
      </c>
      <c r="N219" s="6"/>
      <c r="O219" s="6"/>
      <c r="P219" s="9">
        <v>9.67</v>
      </c>
    </row>
    <row r="220" spans="1:16" ht="19.5" customHeight="1">
      <c r="A220" s="1" t="s">
        <v>1479</v>
      </c>
      <c r="B220" s="5">
        <v>45994</v>
      </c>
      <c r="C220" s="1" t="s">
        <v>31</v>
      </c>
      <c r="D220" s="1" t="s">
        <v>34</v>
      </c>
      <c r="E220" s="1" t="s">
        <v>226</v>
      </c>
      <c r="F220" s="1" t="s">
        <v>428</v>
      </c>
      <c r="G220" s="1" t="s">
        <v>1229</v>
      </c>
      <c r="H220" s="6">
        <v>1</v>
      </c>
      <c r="I220" s="7">
        <v>1800</v>
      </c>
      <c r="J220" s="5">
        <v>45993</v>
      </c>
      <c r="K220" s="1" t="s">
        <v>957</v>
      </c>
      <c r="L220" s="1" t="s">
        <v>30</v>
      </c>
      <c r="M220" s="8">
        <v>0</v>
      </c>
      <c r="N220" s="6"/>
      <c r="O220" s="6"/>
      <c r="P220" s="9">
        <v>823.83</v>
      </c>
    </row>
    <row r="221" spans="1:16" ht="19.5" customHeight="1">
      <c r="A221" s="1" t="s">
        <v>1479</v>
      </c>
      <c r="B221" s="5">
        <v>45994</v>
      </c>
      <c r="C221" s="1" t="s">
        <v>35</v>
      </c>
      <c r="D221" s="1" t="s">
        <v>36</v>
      </c>
      <c r="E221" s="1" t="s">
        <v>226</v>
      </c>
      <c r="F221" s="1" t="s">
        <v>428</v>
      </c>
      <c r="G221" s="1" t="s">
        <v>1229</v>
      </c>
      <c r="H221" s="6">
        <v>1</v>
      </c>
      <c r="I221" s="7">
        <v>1800</v>
      </c>
      <c r="J221" s="5">
        <v>45993</v>
      </c>
      <c r="K221" s="1" t="s">
        <v>957</v>
      </c>
      <c r="L221" s="1" t="s">
        <v>30</v>
      </c>
      <c r="M221" s="8">
        <v>0.43</v>
      </c>
      <c r="N221" s="6"/>
      <c r="O221" s="6"/>
      <c r="P221" s="9">
        <v>-774</v>
      </c>
    </row>
    <row r="222" spans="1:16" ht="19.5" customHeight="1">
      <c r="A222" s="1" t="s">
        <v>1480</v>
      </c>
      <c r="B222" s="5">
        <v>45994</v>
      </c>
      <c r="C222" s="1" t="s">
        <v>28</v>
      </c>
      <c r="D222" s="1" t="s">
        <v>45</v>
      </c>
      <c r="E222" s="1" t="s">
        <v>25</v>
      </c>
      <c r="F222" s="1" t="s">
        <v>26</v>
      </c>
      <c r="G222" s="1" t="s">
        <v>1229</v>
      </c>
      <c r="H222" s="6">
        <v>1</v>
      </c>
      <c r="I222" s="7">
        <v>0</v>
      </c>
      <c r="J222" s="5">
        <v>45982</v>
      </c>
      <c r="K222" s="1" t="s">
        <v>957</v>
      </c>
      <c r="L222" s="1" t="s">
        <v>30</v>
      </c>
      <c r="M222" s="8">
        <v>0</v>
      </c>
      <c r="N222" s="6"/>
      <c r="O222" s="6"/>
      <c r="P222" s="9">
        <v>0</v>
      </c>
    </row>
    <row r="223" spans="1:16" ht="19.5" customHeight="1">
      <c r="A223" s="1" t="s">
        <v>1480</v>
      </c>
      <c r="B223" s="5">
        <v>45994</v>
      </c>
      <c r="C223" s="1" t="s">
        <v>28</v>
      </c>
      <c r="D223" s="1" t="s">
        <v>46</v>
      </c>
      <c r="E223" s="1" t="s">
        <v>25</v>
      </c>
      <c r="F223" s="1" t="s">
        <v>26</v>
      </c>
      <c r="G223" s="1" t="s">
        <v>1229</v>
      </c>
      <c r="H223" s="6">
        <v>1</v>
      </c>
      <c r="I223" s="7">
        <v>0</v>
      </c>
      <c r="J223" s="5">
        <v>45982</v>
      </c>
      <c r="K223" s="1" t="s">
        <v>957</v>
      </c>
      <c r="L223" s="1" t="s">
        <v>30</v>
      </c>
      <c r="M223" s="8">
        <v>0</v>
      </c>
      <c r="N223" s="6"/>
      <c r="O223" s="6"/>
      <c r="P223" s="9">
        <v>-46</v>
      </c>
    </row>
    <row r="224" spans="1:16" ht="19.5" customHeight="1">
      <c r="A224" s="1" t="s">
        <v>1480</v>
      </c>
      <c r="B224" s="5">
        <v>45994</v>
      </c>
      <c r="C224" s="1" t="s">
        <v>17</v>
      </c>
      <c r="D224" s="1" t="s">
        <v>47</v>
      </c>
      <c r="E224" s="1" t="s">
        <v>25</v>
      </c>
      <c r="F224" s="1" t="s">
        <v>26</v>
      </c>
      <c r="G224" s="1" t="s">
        <v>1229</v>
      </c>
      <c r="H224" s="6">
        <v>1</v>
      </c>
      <c r="I224" s="7">
        <v>0</v>
      </c>
      <c r="J224" s="5">
        <v>45982</v>
      </c>
      <c r="K224" s="1" t="s">
        <v>957</v>
      </c>
      <c r="L224" s="1" t="s">
        <v>30</v>
      </c>
      <c r="M224" s="8">
        <v>0</v>
      </c>
      <c r="N224" s="6"/>
      <c r="O224" s="6"/>
      <c r="P224" s="9">
        <v>-15</v>
      </c>
    </row>
    <row r="225" spans="1:16" ht="19.5" customHeight="1">
      <c r="A225" s="1" t="s">
        <v>1480</v>
      </c>
      <c r="B225" s="5">
        <v>45994</v>
      </c>
      <c r="C225" s="1" t="s">
        <v>28</v>
      </c>
      <c r="D225" s="1" t="s">
        <v>29</v>
      </c>
      <c r="E225" s="1" t="s">
        <v>25</v>
      </c>
      <c r="F225" s="1" t="s">
        <v>26</v>
      </c>
      <c r="G225" s="1" t="s">
        <v>1229</v>
      </c>
      <c r="H225" s="6">
        <v>1</v>
      </c>
      <c r="I225" s="7">
        <v>0</v>
      </c>
      <c r="J225" s="5">
        <v>45982</v>
      </c>
      <c r="K225" s="1" t="s">
        <v>957</v>
      </c>
      <c r="L225" s="1" t="s">
        <v>30</v>
      </c>
      <c r="M225" s="8">
        <v>0</v>
      </c>
      <c r="N225" s="6"/>
      <c r="O225" s="6">
        <v>43</v>
      </c>
      <c r="P225" s="9">
        <v>-46</v>
      </c>
    </row>
    <row r="226" spans="1:16" ht="19.5" customHeight="1">
      <c r="A226" s="1" t="s">
        <v>1480</v>
      </c>
      <c r="B226" s="5">
        <v>45994</v>
      </c>
      <c r="C226" s="1" t="s">
        <v>17</v>
      </c>
      <c r="D226" s="1" t="s">
        <v>37</v>
      </c>
      <c r="E226" s="1" t="s">
        <v>25</v>
      </c>
      <c r="F226" s="1" t="s">
        <v>26</v>
      </c>
      <c r="G226" s="1" t="s">
        <v>1229</v>
      </c>
      <c r="H226" s="6">
        <v>1</v>
      </c>
      <c r="I226" s="7">
        <v>0</v>
      </c>
      <c r="J226" s="5">
        <v>45982</v>
      </c>
      <c r="K226" s="1" t="s">
        <v>957</v>
      </c>
      <c r="L226" s="1" t="s">
        <v>30</v>
      </c>
      <c r="M226" s="8">
        <v>0</v>
      </c>
      <c r="N226" s="6"/>
      <c r="O226" s="6"/>
      <c r="P226" s="9">
        <v>-8.83</v>
      </c>
    </row>
    <row r="227" spans="1:16" ht="19.5" customHeight="1">
      <c r="A227" s="1" t="s">
        <v>1481</v>
      </c>
      <c r="B227" s="5">
        <v>45994</v>
      </c>
      <c r="C227" s="1" t="s">
        <v>28</v>
      </c>
      <c r="D227" s="1" t="s">
        <v>29</v>
      </c>
      <c r="E227" s="1" t="s">
        <v>223</v>
      </c>
      <c r="F227" s="1" t="s">
        <v>395</v>
      </c>
      <c r="G227" s="1" t="s">
        <v>1229</v>
      </c>
      <c r="H227" s="6">
        <v>1</v>
      </c>
      <c r="I227" s="7">
        <v>1687</v>
      </c>
      <c r="J227" s="5">
        <v>45992</v>
      </c>
      <c r="K227" s="1" t="s">
        <v>957</v>
      </c>
      <c r="L227" s="1" t="s">
        <v>30</v>
      </c>
      <c r="M227" s="8">
        <v>0.43</v>
      </c>
      <c r="N227" s="6"/>
      <c r="O227" s="6">
        <v>45</v>
      </c>
      <c r="P227" s="9">
        <v>-132.03</v>
      </c>
    </row>
    <row r="228" spans="1:16" ht="19.5" customHeight="1">
      <c r="A228" s="1" t="s">
        <v>1481</v>
      </c>
      <c r="B228" s="5">
        <v>45994</v>
      </c>
      <c r="C228" s="1" t="s">
        <v>31</v>
      </c>
      <c r="D228" s="1" t="s">
        <v>32</v>
      </c>
      <c r="E228" s="1" t="s">
        <v>223</v>
      </c>
      <c r="F228" s="1" t="s">
        <v>395</v>
      </c>
      <c r="G228" s="1" t="s">
        <v>1229</v>
      </c>
      <c r="H228" s="6">
        <v>1</v>
      </c>
      <c r="I228" s="7">
        <v>1687</v>
      </c>
      <c r="J228" s="5">
        <v>45992</v>
      </c>
      <c r="K228" s="1" t="s">
        <v>957</v>
      </c>
      <c r="L228" s="1" t="s">
        <v>30</v>
      </c>
      <c r="M228" s="8">
        <v>0</v>
      </c>
      <c r="N228" s="6"/>
      <c r="O228" s="6"/>
      <c r="P228" s="9">
        <v>616.19000000000005</v>
      </c>
    </row>
    <row r="229" spans="1:16" ht="19.5" customHeight="1">
      <c r="A229" s="1" t="s">
        <v>1481</v>
      </c>
      <c r="B229" s="5">
        <v>45994</v>
      </c>
      <c r="C229" s="1" t="s">
        <v>31</v>
      </c>
      <c r="D229" s="1" t="s">
        <v>33</v>
      </c>
      <c r="E229" s="1" t="s">
        <v>223</v>
      </c>
      <c r="F229" s="1" t="s">
        <v>395</v>
      </c>
      <c r="G229" s="1" t="s">
        <v>1229</v>
      </c>
      <c r="H229" s="6">
        <v>1</v>
      </c>
      <c r="I229" s="7">
        <v>1687</v>
      </c>
      <c r="J229" s="5">
        <v>45992</v>
      </c>
      <c r="K229" s="1" t="s">
        <v>957</v>
      </c>
      <c r="L229" s="1" t="s">
        <v>30</v>
      </c>
      <c r="M229" s="8">
        <v>0</v>
      </c>
      <c r="N229" s="6"/>
      <c r="O229" s="6"/>
      <c r="P229" s="9">
        <v>6.16</v>
      </c>
    </row>
    <row r="230" spans="1:16" ht="19.5" customHeight="1">
      <c r="A230" s="1" t="s">
        <v>1481</v>
      </c>
      <c r="B230" s="5">
        <v>45994</v>
      </c>
      <c r="C230" s="1" t="s">
        <v>31</v>
      </c>
      <c r="D230" s="1" t="s">
        <v>34</v>
      </c>
      <c r="E230" s="1" t="s">
        <v>223</v>
      </c>
      <c r="F230" s="1" t="s">
        <v>395</v>
      </c>
      <c r="G230" s="1" t="s">
        <v>1229</v>
      </c>
      <c r="H230" s="6">
        <v>1</v>
      </c>
      <c r="I230" s="7">
        <v>1687</v>
      </c>
      <c r="J230" s="5">
        <v>45992</v>
      </c>
      <c r="K230" s="1" t="s">
        <v>957</v>
      </c>
      <c r="L230" s="1" t="s">
        <v>30</v>
      </c>
      <c r="M230" s="8">
        <v>0</v>
      </c>
      <c r="N230" s="6"/>
      <c r="O230" s="6"/>
      <c r="P230" s="9">
        <v>1064.6500000000001</v>
      </c>
    </row>
    <row r="231" spans="1:16" ht="19.5" customHeight="1">
      <c r="A231" s="1" t="s">
        <v>1481</v>
      </c>
      <c r="B231" s="5">
        <v>45994</v>
      </c>
      <c r="C231" s="1" t="s">
        <v>35</v>
      </c>
      <c r="D231" s="1" t="s">
        <v>36</v>
      </c>
      <c r="E231" s="1" t="s">
        <v>223</v>
      </c>
      <c r="F231" s="1" t="s">
        <v>395</v>
      </c>
      <c r="G231" s="1" t="s">
        <v>1229</v>
      </c>
      <c r="H231" s="6">
        <v>1</v>
      </c>
      <c r="I231" s="7">
        <v>1687</v>
      </c>
      <c r="J231" s="5">
        <v>45992</v>
      </c>
      <c r="K231" s="1" t="s">
        <v>957</v>
      </c>
      <c r="L231" s="1" t="s">
        <v>30</v>
      </c>
      <c r="M231" s="8">
        <v>0.43</v>
      </c>
      <c r="N231" s="6"/>
      <c r="O231" s="6"/>
      <c r="P231" s="9">
        <v>-725.41</v>
      </c>
    </row>
    <row r="232" spans="1:16" ht="19.5" customHeight="1">
      <c r="A232" s="1" t="s">
        <v>1481</v>
      </c>
      <c r="B232" s="5">
        <v>45994</v>
      </c>
      <c r="C232" s="1" t="s">
        <v>17</v>
      </c>
      <c r="D232" s="1" t="s">
        <v>37</v>
      </c>
      <c r="E232" s="1" t="s">
        <v>223</v>
      </c>
      <c r="F232" s="1" t="s">
        <v>395</v>
      </c>
      <c r="G232" s="1" t="s">
        <v>1229</v>
      </c>
      <c r="H232" s="6">
        <v>1</v>
      </c>
      <c r="I232" s="7">
        <v>1687</v>
      </c>
      <c r="J232" s="5">
        <v>45992</v>
      </c>
      <c r="K232" s="1" t="s">
        <v>957</v>
      </c>
      <c r="L232" s="1" t="s">
        <v>30</v>
      </c>
      <c r="M232" s="8">
        <v>0.43</v>
      </c>
      <c r="N232" s="6"/>
      <c r="O232" s="6"/>
      <c r="P232" s="9">
        <v>-22.15</v>
      </c>
    </row>
    <row r="233" spans="1:16" ht="19.5" customHeight="1">
      <c r="A233" s="1" t="s">
        <v>1482</v>
      </c>
      <c r="B233" s="5">
        <v>45994</v>
      </c>
      <c r="C233" s="1" t="s">
        <v>28</v>
      </c>
      <c r="D233" s="1" t="s">
        <v>29</v>
      </c>
      <c r="E233" s="1" t="s">
        <v>54</v>
      </c>
      <c r="F233" s="1" t="s">
        <v>55</v>
      </c>
      <c r="G233" s="1" t="s">
        <v>1229</v>
      </c>
      <c r="H233" s="6">
        <v>1</v>
      </c>
      <c r="I233" s="7">
        <v>1568</v>
      </c>
      <c r="J233" s="5">
        <v>45991</v>
      </c>
      <c r="K233" s="1" t="s">
        <v>957</v>
      </c>
      <c r="L233" s="1" t="s">
        <v>30</v>
      </c>
      <c r="M233" s="8">
        <v>0.43</v>
      </c>
      <c r="N233" s="6"/>
      <c r="O233" s="6">
        <v>48</v>
      </c>
      <c r="P233" s="9">
        <v>-136.81</v>
      </c>
    </row>
    <row r="234" spans="1:16" ht="19.5" customHeight="1">
      <c r="A234" s="1" t="s">
        <v>1482</v>
      </c>
      <c r="B234" s="5">
        <v>45994</v>
      </c>
      <c r="C234" s="1" t="s">
        <v>31</v>
      </c>
      <c r="D234" s="1" t="s">
        <v>32</v>
      </c>
      <c r="E234" s="1" t="s">
        <v>54</v>
      </c>
      <c r="F234" s="1" t="s">
        <v>55</v>
      </c>
      <c r="G234" s="1" t="s">
        <v>1229</v>
      </c>
      <c r="H234" s="6">
        <v>1</v>
      </c>
      <c r="I234" s="7">
        <v>1568</v>
      </c>
      <c r="J234" s="5">
        <v>45991</v>
      </c>
      <c r="K234" s="1" t="s">
        <v>957</v>
      </c>
      <c r="L234" s="1" t="s">
        <v>30</v>
      </c>
      <c r="M234" s="8">
        <v>0</v>
      </c>
      <c r="N234" s="6"/>
      <c r="O234" s="6"/>
      <c r="P234" s="9">
        <v>809.52</v>
      </c>
    </row>
    <row r="235" spans="1:16" ht="19.5" customHeight="1">
      <c r="A235" s="1" t="s">
        <v>1482</v>
      </c>
      <c r="B235" s="5">
        <v>45994</v>
      </c>
      <c r="C235" s="1" t="s">
        <v>31</v>
      </c>
      <c r="D235" s="1" t="s">
        <v>33</v>
      </c>
      <c r="E235" s="1" t="s">
        <v>54</v>
      </c>
      <c r="F235" s="1" t="s">
        <v>55</v>
      </c>
      <c r="G235" s="1" t="s">
        <v>1229</v>
      </c>
      <c r="H235" s="6">
        <v>1</v>
      </c>
      <c r="I235" s="7">
        <v>1568</v>
      </c>
      <c r="J235" s="5">
        <v>45991</v>
      </c>
      <c r="K235" s="1" t="s">
        <v>957</v>
      </c>
      <c r="L235" s="1" t="s">
        <v>30</v>
      </c>
      <c r="M235" s="8">
        <v>0</v>
      </c>
      <c r="N235" s="6"/>
      <c r="O235" s="6"/>
      <c r="P235" s="9">
        <v>8.1</v>
      </c>
    </row>
    <row r="236" spans="1:16" ht="19.5" customHeight="1">
      <c r="A236" s="1" t="s">
        <v>1482</v>
      </c>
      <c r="B236" s="5">
        <v>45994</v>
      </c>
      <c r="C236" s="1" t="s">
        <v>31</v>
      </c>
      <c r="D236" s="1" t="s">
        <v>34</v>
      </c>
      <c r="E236" s="1" t="s">
        <v>54</v>
      </c>
      <c r="F236" s="1" t="s">
        <v>55</v>
      </c>
      <c r="G236" s="1" t="s">
        <v>1229</v>
      </c>
      <c r="H236" s="6">
        <v>1</v>
      </c>
      <c r="I236" s="7">
        <v>1568</v>
      </c>
      <c r="J236" s="5">
        <v>45991</v>
      </c>
      <c r="K236" s="1" t="s">
        <v>957</v>
      </c>
      <c r="L236" s="1" t="s">
        <v>30</v>
      </c>
      <c r="M236" s="8">
        <v>0</v>
      </c>
      <c r="N236" s="6"/>
      <c r="O236" s="6"/>
      <c r="P236" s="9">
        <v>750.38</v>
      </c>
    </row>
    <row r="237" spans="1:16" ht="19.5" customHeight="1">
      <c r="A237" s="1" t="s">
        <v>1482</v>
      </c>
      <c r="B237" s="5">
        <v>45994</v>
      </c>
      <c r="C237" s="1" t="s">
        <v>35</v>
      </c>
      <c r="D237" s="1" t="s">
        <v>36</v>
      </c>
      <c r="E237" s="1" t="s">
        <v>54</v>
      </c>
      <c r="F237" s="1" t="s">
        <v>55</v>
      </c>
      <c r="G237" s="1" t="s">
        <v>1229</v>
      </c>
      <c r="H237" s="6">
        <v>1</v>
      </c>
      <c r="I237" s="7">
        <v>1568</v>
      </c>
      <c r="J237" s="5">
        <v>45991</v>
      </c>
      <c r="K237" s="1" t="s">
        <v>957</v>
      </c>
      <c r="L237" s="1" t="s">
        <v>30</v>
      </c>
      <c r="M237" s="8">
        <v>0.43</v>
      </c>
      <c r="N237" s="6"/>
      <c r="O237" s="6"/>
      <c r="P237" s="9">
        <v>-674.24</v>
      </c>
    </row>
    <row r="238" spans="1:16" ht="19.5" customHeight="1">
      <c r="A238" s="1" t="s">
        <v>1482</v>
      </c>
      <c r="B238" s="5">
        <v>45994</v>
      </c>
      <c r="C238" s="1" t="s">
        <v>17</v>
      </c>
      <c r="D238" s="1" t="s">
        <v>37</v>
      </c>
      <c r="E238" s="1" t="s">
        <v>54</v>
      </c>
      <c r="F238" s="1" t="s">
        <v>55</v>
      </c>
      <c r="G238" s="1" t="s">
        <v>1229</v>
      </c>
      <c r="H238" s="6">
        <v>1</v>
      </c>
      <c r="I238" s="7">
        <v>1568</v>
      </c>
      <c r="J238" s="5">
        <v>45991</v>
      </c>
      <c r="K238" s="1" t="s">
        <v>957</v>
      </c>
      <c r="L238" s="1" t="s">
        <v>30</v>
      </c>
      <c r="M238" s="8">
        <v>0.43</v>
      </c>
      <c r="N238" s="6"/>
      <c r="O238" s="6"/>
      <c r="P238" s="9">
        <v>-9</v>
      </c>
    </row>
    <row r="239" spans="1:16" ht="19.5" customHeight="1">
      <c r="A239" s="1" t="s">
        <v>22</v>
      </c>
      <c r="B239" s="5">
        <v>45994</v>
      </c>
      <c r="C239" s="1" t="s">
        <v>77</v>
      </c>
      <c r="D239" s="1" t="s">
        <v>78</v>
      </c>
      <c r="E239" s="1" t="s">
        <v>22</v>
      </c>
      <c r="F239" s="1" t="s">
        <v>22</v>
      </c>
      <c r="G239" s="1" t="s">
        <v>1483</v>
      </c>
      <c r="H239" s="6">
        <v>0</v>
      </c>
      <c r="I239" s="7">
        <v>0</v>
      </c>
      <c r="J239" s="5">
        <v>45994</v>
      </c>
      <c r="K239" s="1" t="s">
        <v>22</v>
      </c>
      <c r="L239" s="1" t="s">
        <v>22</v>
      </c>
      <c r="M239" s="8">
        <v>0</v>
      </c>
      <c r="N239" s="6"/>
      <c r="O239" s="6"/>
      <c r="P239" s="9">
        <v>-450</v>
      </c>
    </row>
    <row r="240" spans="1:16" ht="19.5" customHeight="1">
      <c r="A240" s="1" t="s">
        <v>1376</v>
      </c>
      <c r="B240" s="5">
        <v>45994</v>
      </c>
      <c r="C240" s="1" t="s">
        <v>77</v>
      </c>
      <c r="D240" s="1" t="s">
        <v>82</v>
      </c>
      <c r="E240" s="1" t="s">
        <v>22</v>
      </c>
      <c r="F240" s="1" t="s">
        <v>22</v>
      </c>
      <c r="G240" s="1" t="s">
        <v>22</v>
      </c>
      <c r="H240" s="6">
        <v>0</v>
      </c>
      <c r="I240" s="7">
        <v>0</v>
      </c>
      <c r="J240" s="5">
        <v>45994</v>
      </c>
      <c r="K240" s="1" t="s">
        <v>22</v>
      </c>
      <c r="L240" s="1" t="s">
        <v>22</v>
      </c>
      <c r="M240" s="8">
        <v>0</v>
      </c>
      <c r="N240" s="6"/>
      <c r="O240" s="6"/>
      <c r="P240" s="9">
        <v>-605.16</v>
      </c>
    </row>
    <row r="241" spans="1:16" ht="19.5" customHeight="1">
      <c r="A241" s="1" t="s">
        <v>1270</v>
      </c>
      <c r="B241" s="5">
        <v>45994</v>
      </c>
      <c r="C241" s="1" t="s">
        <v>77</v>
      </c>
      <c r="D241" s="1" t="s">
        <v>82</v>
      </c>
      <c r="E241" s="1" t="s">
        <v>22</v>
      </c>
      <c r="F241" s="1" t="s">
        <v>22</v>
      </c>
      <c r="G241" s="1" t="s">
        <v>22</v>
      </c>
      <c r="H241" s="6">
        <v>0</v>
      </c>
      <c r="I241" s="7">
        <v>0</v>
      </c>
      <c r="J241" s="5">
        <v>45994</v>
      </c>
      <c r="K241" s="1" t="s">
        <v>22</v>
      </c>
      <c r="L241" s="1" t="s">
        <v>22</v>
      </c>
      <c r="M241" s="8">
        <v>0</v>
      </c>
      <c r="N241" s="6"/>
      <c r="O241" s="6"/>
      <c r="P241" s="9">
        <v>-351.6</v>
      </c>
    </row>
    <row r="242" spans="1:16" ht="19.5" customHeight="1">
      <c r="A242" s="1" t="s">
        <v>1075</v>
      </c>
      <c r="B242" s="5">
        <v>45994</v>
      </c>
      <c r="C242" s="1" t="s">
        <v>77</v>
      </c>
      <c r="D242" s="1" t="s">
        <v>82</v>
      </c>
      <c r="E242" s="1" t="s">
        <v>22</v>
      </c>
      <c r="F242" s="1" t="s">
        <v>22</v>
      </c>
      <c r="G242" s="1" t="s">
        <v>22</v>
      </c>
      <c r="H242" s="6">
        <v>0</v>
      </c>
      <c r="I242" s="7">
        <v>0</v>
      </c>
      <c r="J242" s="5">
        <v>45994</v>
      </c>
      <c r="K242" s="1" t="s">
        <v>22</v>
      </c>
      <c r="L242" s="1" t="s">
        <v>22</v>
      </c>
      <c r="M242" s="8">
        <v>0</v>
      </c>
      <c r="N242" s="6"/>
      <c r="O242" s="6"/>
      <c r="P242" s="9">
        <v>-624.57000000000005</v>
      </c>
    </row>
    <row r="243" spans="1:16" ht="19.5" customHeight="1">
      <c r="A243" s="1" t="s">
        <v>83</v>
      </c>
      <c r="B243" s="5">
        <v>45994</v>
      </c>
      <c r="C243" s="1" t="s">
        <v>77</v>
      </c>
      <c r="D243" s="1" t="s">
        <v>84</v>
      </c>
      <c r="E243" s="1" t="s">
        <v>22</v>
      </c>
      <c r="F243" s="1" t="s">
        <v>22</v>
      </c>
      <c r="G243" s="1" t="s">
        <v>22</v>
      </c>
      <c r="H243" s="6">
        <v>0</v>
      </c>
      <c r="I243" s="7">
        <v>0</v>
      </c>
      <c r="J243" s="5">
        <v>45994</v>
      </c>
      <c r="K243" s="1" t="s">
        <v>22</v>
      </c>
      <c r="L243" s="1" t="s">
        <v>22</v>
      </c>
      <c r="M243" s="8">
        <v>0</v>
      </c>
      <c r="N243" s="6"/>
      <c r="O243" s="6"/>
      <c r="P243" s="9">
        <v>-1157</v>
      </c>
    </row>
    <row r="244" spans="1:16" ht="19.5" customHeight="1">
      <c r="A244" s="1" t="s">
        <v>1484</v>
      </c>
      <c r="B244" s="5">
        <v>45995</v>
      </c>
      <c r="C244" s="1" t="s">
        <v>28</v>
      </c>
      <c r="D244" s="1" t="s">
        <v>29</v>
      </c>
      <c r="E244" s="1" t="s">
        <v>223</v>
      </c>
      <c r="F244" s="1" t="s">
        <v>395</v>
      </c>
      <c r="G244" s="1" t="s">
        <v>1229</v>
      </c>
      <c r="H244" s="6">
        <v>1</v>
      </c>
      <c r="I244" s="7">
        <v>0</v>
      </c>
      <c r="J244" s="5">
        <v>45989</v>
      </c>
      <c r="K244" s="1" t="s">
        <v>957</v>
      </c>
      <c r="L244" s="1" t="s">
        <v>30</v>
      </c>
      <c r="M244" s="8">
        <v>0</v>
      </c>
      <c r="N244" s="6"/>
      <c r="O244" s="6">
        <v>44</v>
      </c>
      <c r="P244" s="9">
        <v>-46</v>
      </c>
    </row>
    <row r="245" spans="1:16" ht="19.5" customHeight="1">
      <c r="A245" s="1" t="s">
        <v>1484</v>
      </c>
      <c r="B245" s="5">
        <v>45995</v>
      </c>
      <c r="C245" s="1" t="s">
        <v>17</v>
      </c>
      <c r="D245" s="1" t="s">
        <v>37</v>
      </c>
      <c r="E245" s="1" t="s">
        <v>223</v>
      </c>
      <c r="F245" s="1" t="s">
        <v>395</v>
      </c>
      <c r="G245" s="1" t="s">
        <v>1229</v>
      </c>
      <c r="H245" s="6">
        <v>1</v>
      </c>
      <c r="I245" s="7">
        <v>0</v>
      </c>
      <c r="J245" s="5">
        <v>45989</v>
      </c>
      <c r="K245" s="1" t="s">
        <v>957</v>
      </c>
      <c r="L245" s="1" t="s">
        <v>30</v>
      </c>
      <c r="M245" s="8">
        <v>0</v>
      </c>
      <c r="N245" s="6"/>
      <c r="O245" s="6"/>
      <c r="P245" s="9">
        <v>-6.41</v>
      </c>
    </row>
    <row r="246" spans="1:16" ht="19.5" customHeight="1">
      <c r="A246" s="1" t="s">
        <v>1484</v>
      </c>
      <c r="B246" s="5">
        <v>45995</v>
      </c>
      <c r="C246" s="1" t="s">
        <v>28</v>
      </c>
      <c r="D246" s="1" t="s">
        <v>45</v>
      </c>
      <c r="E246" s="1" t="s">
        <v>223</v>
      </c>
      <c r="F246" s="1" t="s">
        <v>395</v>
      </c>
      <c r="G246" s="1" t="s">
        <v>1229</v>
      </c>
      <c r="H246" s="6">
        <v>1</v>
      </c>
      <c r="I246" s="7">
        <v>0</v>
      </c>
      <c r="J246" s="5">
        <v>45989</v>
      </c>
      <c r="K246" s="1" t="s">
        <v>957</v>
      </c>
      <c r="L246" s="1" t="s">
        <v>30</v>
      </c>
      <c r="M246" s="8">
        <v>0</v>
      </c>
      <c r="N246" s="6"/>
      <c r="O246" s="6"/>
      <c r="P246" s="9">
        <v>0</v>
      </c>
    </row>
    <row r="247" spans="1:16" ht="19.5" customHeight="1">
      <c r="A247" s="1" t="s">
        <v>1484</v>
      </c>
      <c r="B247" s="5">
        <v>45995</v>
      </c>
      <c r="C247" s="1" t="s">
        <v>28</v>
      </c>
      <c r="D247" s="1" t="s">
        <v>46</v>
      </c>
      <c r="E247" s="1" t="s">
        <v>223</v>
      </c>
      <c r="F247" s="1" t="s">
        <v>395</v>
      </c>
      <c r="G247" s="1" t="s">
        <v>1229</v>
      </c>
      <c r="H247" s="6">
        <v>1</v>
      </c>
      <c r="I247" s="7">
        <v>0</v>
      </c>
      <c r="J247" s="5">
        <v>45989</v>
      </c>
      <c r="K247" s="1" t="s">
        <v>957</v>
      </c>
      <c r="L247" s="1" t="s">
        <v>30</v>
      </c>
      <c r="M247" s="8">
        <v>0</v>
      </c>
      <c r="N247" s="6"/>
      <c r="O247" s="6"/>
      <c r="P247" s="9">
        <v>-46</v>
      </c>
    </row>
    <row r="248" spans="1:16" ht="19.5" customHeight="1">
      <c r="A248" s="1" t="s">
        <v>1484</v>
      </c>
      <c r="B248" s="5">
        <v>45995</v>
      </c>
      <c r="C248" s="1" t="s">
        <v>17</v>
      </c>
      <c r="D248" s="1" t="s">
        <v>47</v>
      </c>
      <c r="E248" s="1" t="s">
        <v>223</v>
      </c>
      <c r="F248" s="1" t="s">
        <v>395</v>
      </c>
      <c r="G248" s="1" t="s">
        <v>1229</v>
      </c>
      <c r="H248" s="6">
        <v>1</v>
      </c>
      <c r="I248" s="7">
        <v>0</v>
      </c>
      <c r="J248" s="5">
        <v>45989</v>
      </c>
      <c r="K248" s="1" t="s">
        <v>957</v>
      </c>
      <c r="L248" s="1" t="s">
        <v>30</v>
      </c>
      <c r="M248" s="8">
        <v>0</v>
      </c>
      <c r="N248" s="6"/>
      <c r="O248" s="6"/>
      <c r="P248" s="9">
        <v>-15</v>
      </c>
    </row>
    <row r="249" spans="1:16" ht="19.5" customHeight="1">
      <c r="A249" s="1" t="s">
        <v>1485</v>
      </c>
      <c r="B249" s="5">
        <v>45995</v>
      </c>
      <c r="C249" s="1" t="s">
        <v>17</v>
      </c>
      <c r="D249" s="1" t="s">
        <v>18</v>
      </c>
      <c r="E249" s="1" t="s">
        <v>25</v>
      </c>
      <c r="F249" s="1" t="s">
        <v>26</v>
      </c>
      <c r="G249" s="1" t="s">
        <v>1229</v>
      </c>
      <c r="H249" s="6">
        <v>1</v>
      </c>
      <c r="I249" s="7">
        <v>0</v>
      </c>
      <c r="J249" s="5">
        <v>45995</v>
      </c>
      <c r="K249" s="1" t="s">
        <v>22</v>
      </c>
      <c r="L249" s="1" t="s">
        <v>22</v>
      </c>
      <c r="M249" s="8">
        <v>0</v>
      </c>
      <c r="N249" s="6"/>
      <c r="O249" s="6"/>
      <c r="P249" s="9">
        <v>-8.74</v>
      </c>
    </row>
    <row r="250" spans="1:16" ht="19.5" customHeight="1">
      <c r="A250" s="1" t="s">
        <v>1203</v>
      </c>
      <c r="B250" s="5">
        <v>45995</v>
      </c>
      <c r="C250" s="1" t="s">
        <v>28</v>
      </c>
      <c r="D250" s="1" t="s">
        <v>60</v>
      </c>
      <c r="E250" s="1" t="s">
        <v>240</v>
      </c>
      <c r="F250" s="1" t="s">
        <v>802</v>
      </c>
      <c r="G250" s="1" t="s">
        <v>1133</v>
      </c>
      <c r="H250" s="6">
        <v>1</v>
      </c>
      <c r="I250" s="7">
        <v>0</v>
      </c>
      <c r="J250" s="5">
        <v>45974</v>
      </c>
      <c r="K250" s="1" t="s">
        <v>957</v>
      </c>
      <c r="L250" s="1" t="s">
        <v>30</v>
      </c>
      <c r="M250" s="8">
        <v>0</v>
      </c>
      <c r="N250" s="6"/>
      <c r="O250" s="6"/>
      <c r="P250" s="9">
        <v>0</v>
      </c>
    </row>
    <row r="251" spans="1:16" ht="19.5" customHeight="1">
      <c r="A251" s="1" t="s">
        <v>1203</v>
      </c>
      <c r="B251" s="5">
        <v>45995</v>
      </c>
      <c r="C251" s="1" t="s">
        <v>28</v>
      </c>
      <c r="D251" s="1" t="s">
        <v>46</v>
      </c>
      <c r="E251" s="1" t="s">
        <v>240</v>
      </c>
      <c r="F251" s="1" t="s">
        <v>802</v>
      </c>
      <c r="G251" s="1" t="s">
        <v>1133</v>
      </c>
      <c r="H251" s="6">
        <v>1</v>
      </c>
      <c r="I251" s="7">
        <v>0</v>
      </c>
      <c r="J251" s="5">
        <v>45974</v>
      </c>
      <c r="K251" s="1" t="s">
        <v>957</v>
      </c>
      <c r="L251" s="1" t="s">
        <v>30</v>
      </c>
      <c r="M251" s="8">
        <v>0</v>
      </c>
      <c r="N251" s="6"/>
      <c r="O251" s="6"/>
      <c r="P251" s="9">
        <v>-56</v>
      </c>
    </row>
    <row r="252" spans="1:16" ht="19.5" customHeight="1">
      <c r="A252" s="1" t="s">
        <v>1486</v>
      </c>
      <c r="B252" s="5">
        <v>45995</v>
      </c>
      <c r="C252" s="1" t="s">
        <v>17</v>
      </c>
      <c r="D252" s="1" t="s">
        <v>18</v>
      </c>
      <c r="E252" s="1" t="s">
        <v>223</v>
      </c>
      <c r="F252" s="1" t="s">
        <v>395</v>
      </c>
      <c r="G252" s="1" t="s">
        <v>1229</v>
      </c>
      <c r="H252" s="6">
        <v>1</v>
      </c>
      <c r="I252" s="7">
        <v>0</v>
      </c>
      <c r="J252" s="5">
        <v>45995</v>
      </c>
      <c r="K252" s="1" t="s">
        <v>22</v>
      </c>
      <c r="L252" s="1" t="s">
        <v>22</v>
      </c>
      <c r="M252" s="8">
        <v>0</v>
      </c>
      <c r="N252" s="6"/>
      <c r="O252" s="6"/>
      <c r="P252" s="9">
        <v>-9.0299999999999994</v>
      </c>
    </row>
    <row r="253" spans="1:16" ht="19.5" customHeight="1">
      <c r="A253" s="1" t="s">
        <v>1487</v>
      </c>
      <c r="B253" s="5">
        <v>45995</v>
      </c>
      <c r="C253" s="1" t="s">
        <v>17</v>
      </c>
      <c r="D253" s="1" t="s">
        <v>18</v>
      </c>
      <c r="E253" s="1" t="s">
        <v>25</v>
      </c>
      <c r="F253" s="1" t="s">
        <v>26</v>
      </c>
      <c r="G253" s="1" t="s">
        <v>1229</v>
      </c>
      <c r="H253" s="6">
        <v>1</v>
      </c>
      <c r="I253" s="7">
        <v>0</v>
      </c>
      <c r="J253" s="5">
        <v>45995</v>
      </c>
      <c r="K253" s="1" t="s">
        <v>22</v>
      </c>
      <c r="L253" s="1" t="s">
        <v>22</v>
      </c>
      <c r="M253" s="8">
        <v>0</v>
      </c>
      <c r="N253" s="6"/>
      <c r="O253" s="6"/>
      <c r="P253" s="9">
        <v>0</v>
      </c>
    </row>
    <row r="254" spans="1:16" ht="19.5" customHeight="1">
      <c r="A254" s="1" t="s">
        <v>1488</v>
      </c>
      <c r="B254" s="5">
        <v>45995</v>
      </c>
      <c r="C254" s="1" t="s">
        <v>28</v>
      </c>
      <c r="D254" s="1" t="s">
        <v>29</v>
      </c>
      <c r="E254" s="1" t="s">
        <v>1055</v>
      </c>
      <c r="F254" s="1" t="s">
        <v>1317</v>
      </c>
      <c r="G254" s="1" t="s">
        <v>1298</v>
      </c>
      <c r="H254" s="6">
        <v>1</v>
      </c>
      <c r="I254" s="7">
        <v>2100</v>
      </c>
      <c r="J254" s="5">
        <v>45984</v>
      </c>
      <c r="K254" s="1" t="s">
        <v>957</v>
      </c>
      <c r="L254" s="1" t="s">
        <v>30</v>
      </c>
      <c r="M254" s="8">
        <v>0.43</v>
      </c>
      <c r="N254" s="6"/>
      <c r="O254" s="6">
        <v>42</v>
      </c>
      <c r="P254" s="9">
        <v>-132.07</v>
      </c>
    </row>
    <row r="255" spans="1:16" ht="19.5" customHeight="1">
      <c r="A255" s="1" t="s">
        <v>1488</v>
      </c>
      <c r="B255" s="5">
        <v>45995</v>
      </c>
      <c r="C255" s="1" t="s">
        <v>31</v>
      </c>
      <c r="D255" s="1" t="s">
        <v>32</v>
      </c>
      <c r="E255" s="1" t="s">
        <v>1055</v>
      </c>
      <c r="F255" s="1" t="s">
        <v>1317</v>
      </c>
      <c r="G255" s="1" t="s">
        <v>1298</v>
      </c>
      <c r="H255" s="6">
        <v>1</v>
      </c>
      <c r="I255" s="7">
        <v>2100</v>
      </c>
      <c r="J255" s="5">
        <v>45984</v>
      </c>
      <c r="K255" s="1" t="s">
        <v>957</v>
      </c>
      <c r="L255" s="1" t="s">
        <v>30</v>
      </c>
      <c r="M255" s="8">
        <v>0</v>
      </c>
      <c r="N255" s="6"/>
      <c r="O255" s="6"/>
      <c r="P255" s="9">
        <v>798.1</v>
      </c>
    </row>
    <row r="256" spans="1:16" ht="19.5" customHeight="1">
      <c r="A256" s="1" t="s">
        <v>1488</v>
      </c>
      <c r="B256" s="5">
        <v>45995</v>
      </c>
      <c r="C256" s="1" t="s">
        <v>31</v>
      </c>
      <c r="D256" s="1" t="s">
        <v>33</v>
      </c>
      <c r="E256" s="1" t="s">
        <v>1055</v>
      </c>
      <c r="F256" s="1" t="s">
        <v>1317</v>
      </c>
      <c r="G256" s="1" t="s">
        <v>1298</v>
      </c>
      <c r="H256" s="6">
        <v>1</v>
      </c>
      <c r="I256" s="7">
        <v>2100</v>
      </c>
      <c r="J256" s="5">
        <v>45984</v>
      </c>
      <c r="K256" s="1" t="s">
        <v>957</v>
      </c>
      <c r="L256" s="1" t="s">
        <v>30</v>
      </c>
      <c r="M256" s="8">
        <v>0</v>
      </c>
      <c r="N256" s="6"/>
      <c r="O256" s="6"/>
      <c r="P256" s="9">
        <v>7.98</v>
      </c>
    </row>
    <row r="257" spans="1:16" ht="19.5" customHeight="1">
      <c r="A257" s="1" t="s">
        <v>1488</v>
      </c>
      <c r="B257" s="5">
        <v>45995</v>
      </c>
      <c r="C257" s="1" t="s">
        <v>31</v>
      </c>
      <c r="D257" s="1" t="s">
        <v>34</v>
      </c>
      <c r="E257" s="1" t="s">
        <v>1055</v>
      </c>
      <c r="F257" s="1" t="s">
        <v>1317</v>
      </c>
      <c r="G257" s="1" t="s">
        <v>1298</v>
      </c>
      <c r="H257" s="6">
        <v>1</v>
      </c>
      <c r="I257" s="7">
        <v>2100</v>
      </c>
      <c r="J257" s="5">
        <v>45984</v>
      </c>
      <c r="K257" s="1" t="s">
        <v>957</v>
      </c>
      <c r="L257" s="1" t="s">
        <v>30</v>
      </c>
      <c r="M257" s="8">
        <v>0</v>
      </c>
      <c r="N257" s="6"/>
      <c r="O257" s="6"/>
      <c r="P257" s="9">
        <v>1293.92</v>
      </c>
    </row>
    <row r="258" spans="1:16" ht="19.5" customHeight="1">
      <c r="A258" s="1" t="s">
        <v>1488</v>
      </c>
      <c r="B258" s="5">
        <v>45995</v>
      </c>
      <c r="C258" s="1" t="s">
        <v>35</v>
      </c>
      <c r="D258" s="1" t="s">
        <v>36</v>
      </c>
      <c r="E258" s="1" t="s">
        <v>1055</v>
      </c>
      <c r="F258" s="1" t="s">
        <v>1317</v>
      </c>
      <c r="G258" s="1" t="s">
        <v>1298</v>
      </c>
      <c r="H258" s="6">
        <v>1</v>
      </c>
      <c r="I258" s="7">
        <v>2100</v>
      </c>
      <c r="J258" s="5">
        <v>45984</v>
      </c>
      <c r="K258" s="1" t="s">
        <v>957</v>
      </c>
      <c r="L258" s="1" t="s">
        <v>30</v>
      </c>
      <c r="M258" s="8">
        <v>0.43</v>
      </c>
      <c r="N258" s="6"/>
      <c r="O258" s="6"/>
      <c r="P258" s="9">
        <v>-903</v>
      </c>
    </row>
    <row r="259" spans="1:16" ht="19.5" customHeight="1">
      <c r="A259" s="1" t="s">
        <v>1489</v>
      </c>
      <c r="B259" s="5">
        <v>45995</v>
      </c>
      <c r="C259" s="1" t="s">
        <v>17</v>
      </c>
      <c r="D259" s="1" t="s">
        <v>18</v>
      </c>
      <c r="E259" s="1" t="s">
        <v>25</v>
      </c>
      <c r="F259" s="1" t="s">
        <v>26</v>
      </c>
      <c r="G259" s="1" t="s">
        <v>1229</v>
      </c>
      <c r="H259" s="6">
        <v>1</v>
      </c>
      <c r="I259" s="7">
        <v>0</v>
      </c>
      <c r="J259" s="5">
        <v>45995</v>
      </c>
      <c r="K259" s="1" t="s">
        <v>22</v>
      </c>
      <c r="L259" s="1" t="s">
        <v>22</v>
      </c>
      <c r="M259" s="8">
        <v>0</v>
      </c>
      <c r="N259" s="6"/>
      <c r="O259" s="6"/>
      <c r="P259" s="9">
        <v>-8.76</v>
      </c>
    </row>
    <row r="260" spans="1:16" ht="19.5" customHeight="1">
      <c r="A260" s="1" t="s">
        <v>1478</v>
      </c>
      <c r="B260" s="5">
        <v>45995</v>
      </c>
      <c r="C260" s="1" t="s">
        <v>17</v>
      </c>
      <c r="D260" s="1" t="s">
        <v>18</v>
      </c>
      <c r="E260" s="1" t="s">
        <v>25</v>
      </c>
      <c r="F260" s="1" t="s">
        <v>26</v>
      </c>
      <c r="G260" s="1" t="s">
        <v>1229</v>
      </c>
      <c r="H260" s="6">
        <v>1</v>
      </c>
      <c r="I260" s="7">
        <v>0</v>
      </c>
      <c r="J260" s="5">
        <v>45994</v>
      </c>
      <c r="K260" s="1" t="s">
        <v>22</v>
      </c>
      <c r="L260" s="1" t="s">
        <v>22</v>
      </c>
      <c r="M260" s="8">
        <v>0</v>
      </c>
      <c r="N260" s="6"/>
      <c r="O260" s="6"/>
      <c r="P260" s="9">
        <v>11.87</v>
      </c>
    </row>
    <row r="261" spans="1:16" ht="19.5" customHeight="1">
      <c r="A261" s="1" t="s">
        <v>1490</v>
      </c>
      <c r="B261" s="5">
        <v>45995</v>
      </c>
      <c r="C261" s="1" t="s">
        <v>17</v>
      </c>
      <c r="D261" s="1" t="s">
        <v>18</v>
      </c>
      <c r="E261" s="1" t="s">
        <v>223</v>
      </c>
      <c r="F261" s="1" t="s">
        <v>395</v>
      </c>
      <c r="G261" s="1" t="s">
        <v>1229</v>
      </c>
      <c r="H261" s="6">
        <v>1</v>
      </c>
      <c r="I261" s="7">
        <v>0</v>
      </c>
      <c r="J261" s="5">
        <v>45995</v>
      </c>
      <c r="K261" s="1" t="s">
        <v>22</v>
      </c>
      <c r="L261" s="1" t="s">
        <v>22</v>
      </c>
      <c r="M261" s="8">
        <v>0</v>
      </c>
      <c r="N261" s="6"/>
      <c r="O261" s="6"/>
      <c r="P261" s="9">
        <v>-10.08</v>
      </c>
    </row>
    <row r="262" spans="1:16" ht="19.5" customHeight="1">
      <c r="A262" s="1" t="s">
        <v>1491</v>
      </c>
      <c r="B262" s="5">
        <v>45995</v>
      </c>
      <c r="C262" s="1" t="s">
        <v>17</v>
      </c>
      <c r="D262" s="1" t="s">
        <v>18</v>
      </c>
      <c r="E262" s="1" t="s">
        <v>223</v>
      </c>
      <c r="F262" s="1" t="s">
        <v>395</v>
      </c>
      <c r="G262" s="1" t="s">
        <v>1229</v>
      </c>
      <c r="H262" s="6">
        <v>1</v>
      </c>
      <c r="I262" s="7">
        <v>0</v>
      </c>
      <c r="J262" s="5">
        <v>45995</v>
      </c>
      <c r="K262" s="1" t="s">
        <v>22</v>
      </c>
      <c r="L262" s="1" t="s">
        <v>22</v>
      </c>
      <c r="M262" s="8">
        <v>0</v>
      </c>
      <c r="N262" s="6"/>
      <c r="O262" s="6"/>
      <c r="P262" s="9">
        <v>-8.9700000000000006</v>
      </c>
    </row>
    <row r="263" spans="1:16" ht="19.5" customHeight="1">
      <c r="A263" s="1" t="s">
        <v>1492</v>
      </c>
      <c r="B263" s="5">
        <v>45995</v>
      </c>
      <c r="C263" s="1" t="s">
        <v>28</v>
      </c>
      <c r="D263" s="1" t="s">
        <v>29</v>
      </c>
      <c r="E263" s="1" t="s">
        <v>70</v>
      </c>
      <c r="F263" s="1" t="s">
        <v>71</v>
      </c>
      <c r="G263" s="1" t="s">
        <v>1133</v>
      </c>
      <c r="H263" s="6">
        <v>1</v>
      </c>
      <c r="I263" s="7">
        <v>0</v>
      </c>
      <c r="J263" s="5">
        <v>45988</v>
      </c>
      <c r="K263" s="1" t="s">
        <v>957</v>
      </c>
      <c r="L263" s="1" t="s">
        <v>30</v>
      </c>
      <c r="M263" s="8">
        <v>0</v>
      </c>
      <c r="N263" s="6"/>
      <c r="O263" s="6">
        <v>42</v>
      </c>
      <c r="P263" s="9">
        <v>-56</v>
      </c>
    </row>
    <row r="264" spans="1:16" ht="19.5" customHeight="1">
      <c r="A264" s="1" t="s">
        <v>1492</v>
      </c>
      <c r="B264" s="5">
        <v>45995</v>
      </c>
      <c r="C264" s="1" t="s">
        <v>17</v>
      </c>
      <c r="D264" s="1" t="s">
        <v>37</v>
      </c>
      <c r="E264" s="1" t="s">
        <v>70</v>
      </c>
      <c r="F264" s="1" t="s">
        <v>71</v>
      </c>
      <c r="G264" s="1" t="s">
        <v>1133</v>
      </c>
      <c r="H264" s="6">
        <v>1</v>
      </c>
      <c r="I264" s="7">
        <v>0</v>
      </c>
      <c r="J264" s="5">
        <v>45988</v>
      </c>
      <c r="K264" s="1" t="s">
        <v>957</v>
      </c>
      <c r="L264" s="1" t="s">
        <v>30</v>
      </c>
      <c r="M264" s="8">
        <v>0</v>
      </c>
      <c r="N264" s="6"/>
      <c r="O264" s="6"/>
      <c r="P264" s="9">
        <v>-12.69</v>
      </c>
    </row>
    <row r="265" spans="1:16" ht="19.5" customHeight="1">
      <c r="A265" s="1" t="s">
        <v>1492</v>
      </c>
      <c r="B265" s="5">
        <v>45995</v>
      </c>
      <c r="C265" s="1" t="s">
        <v>28</v>
      </c>
      <c r="D265" s="1" t="s">
        <v>45</v>
      </c>
      <c r="E265" s="1" t="s">
        <v>70</v>
      </c>
      <c r="F265" s="1" t="s">
        <v>71</v>
      </c>
      <c r="G265" s="1" t="s">
        <v>1133</v>
      </c>
      <c r="H265" s="6">
        <v>1</v>
      </c>
      <c r="I265" s="7">
        <v>0</v>
      </c>
      <c r="J265" s="5">
        <v>45988</v>
      </c>
      <c r="K265" s="1" t="s">
        <v>957</v>
      </c>
      <c r="L265" s="1" t="s">
        <v>30</v>
      </c>
      <c r="M265" s="8">
        <v>0</v>
      </c>
      <c r="N265" s="6"/>
      <c r="O265" s="6"/>
      <c r="P265" s="9">
        <v>0</v>
      </c>
    </row>
    <row r="266" spans="1:16" ht="19.5" customHeight="1">
      <c r="A266" s="1" t="s">
        <v>1492</v>
      </c>
      <c r="B266" s="5">
        <v>45995</v>
      </c>
      <c r="C266" s="1" t="s">
        <v>28</v>
      </c>
      <c r="D266" s="1" t="s">
        <v>46</v>
      </c>
      <c r="E266" s="1" t="s">
        <v>70</v>
      </c>
      <c r="F266" s="1" t="s">
        <v>71</v>
      </c>
      <c r="G266" s="1" t="s">
        <v>1133</v>
      </c>
      <c r="H266" s="6">
        <v>1</v>
      </c>
      <c r="I266" s="7">
        <v>0</v>
      </c>
      <c r="J266" s="5">
        <v>45988</v>
      </c>
      <c r="K266" s="1" t="s">
        <v>957</v>
      </c>
      <c r="L266" s="1" t="s">
        <v>30</v>
      </c>
      <c r="M266" s="8">
        <v>0</v>
      </c>
      <c r="N266" s="6"/>
      <c r="O266" s="6"/>
      <c r="P266" s="9">
        <v>-56</v>
      </c>
    </row>
    <row r="267" spans="1:16" ht="19.5" customHeight="1">
      <c r="A267" s="1" t="s">
        <v>1492</v>
      </c>
      <c r="B267" s="5">
        <v>45995</v>
      </c>
      <c r="C267" s="1" t="s">
        <v>17</v>
      </c>
      <c r="D267" s="1" t="s">
        <v>47</v>
      </c>
      <c r="E267" s="1" t="s">
        <v>70</v>
      </c>
      <c r="F267" s="1" t="s">
        <v>71</v>
      </c>
      <c r="G267" s="1" t="s">
        <v>1133</v>
      </c>
      <c r="H267" s="6">
        <v>1</v>
      </c>
      <c r="I267" s="7">
        <v>0</v>
      </c>
      <c r="J267" s="5">
        <v>45988</v>
      </c>
      <c r="K267" s="1" t="s">
        <v>957</v>
      </c>
      <c r="L267" s="1" t="s">
        <v>30</v>
      </c>
      <c r="M267" s="8">
        <v>0</v>
      </c>
      <c r="N267" s="6"/>
      <c r="O267" s="6"/>
      <c r="P267" s="9">
        <v>-15</v>
      </c>
    </row>
    <row r="268" spans="1:16" ht="19.5" customHeight="1">
      <c r="A268" s="1" t="s">
        <v>1209</v>
      </c>
      <c r="B268" s="5">
        <v>45995</v>
      </c>
      <c r="C268" s="1" t="s">
        <v>17</v>
      </c>
      <c r="D268" s="1" t="s">
        <v>18</v>
      </c>
      <c r="E268" s="1" t="s">
        <v>223</v>
      </c>
      <c r="F268" s="1" t="s">
        <v>395</v>
      </c>
      <c r="G268" s="1" t="s">
        <v>1229</v>
      </c>
      <c r="H268" s="6">
        <v>1</v>
      </c>
      <c r="I268" s="7">
        <v>0</v>
      </c>
      <c r="J268" s="5">
        <v>45977</v>
      </c>
      <c r="K268" s="1" t="s">
        <v>22</v>
      </c>
      <c r="L268" s="1" t="s">
        <v>22</v>
      </c>
      <c r="M268" s="8">
        <v>0</v>
      </c>
      <c r="N268" s="6"/>
      <c r="O268" s="6"/>
      <c r="P268" s="9">
        <v>11.31</v>
      </c>
    </row>
    <row r="269" spans="1:16" ht="19.5" customHeight="1">
      <c r="A269" s="1" t="s">
        <v>1493</v>
      </c>
      <c r="B269" s="5">
        <v>45995</v>
      </c>
      <c r="C269" s="1" t="s">
        <v>17</v>
      </c>
      <c r="D269" s="1" t="s">
        <v>18</v>
      </c>
      <c r="E269" s="1" t="s">
        <v>223</v>
      </c>
      <c r="F269" s="1" t="s">
        <v>395</v>
      </c>
      <c r="G269" s="1" t="s">
        <v>1229</v>
      </c>
      <c r="H269" s="6">
        <v>1</v>
      </c>
      <c r="I269" s="7">
        <v>0</v>
      </c>
      <c r="J269" s="5">
        <v>45995</v>
      </c>
      <c r="K269" s="1" t="s">
        <v>22</v>
      </c>
      <c r="L269" s="1" t="s">
        <v>22</v>
      </c>
      <c r="M269" s="8">
        <v>0</v>
      </c>
      <c r="N269" s="6"/>
      <c r="O269" s="6"/>
      <c r="P269" s="9">
        <v>-9.02</v>
      </c>
    </row>
    <row r="270" spans="1:16" ht="19.5" customHeight="1">
      <c r="A270" s="1" t="s">
        <v>1494</v>
      </c>
      <c r="B270" s="5">
        <v>45995</v>
      </c>
      <c r="C270" s="1" t="s">
        <v>17</v>
      </c>
      <c r="D270" s="1" t="s">
        <v>18</v>
      </c>
      <c r="E270" s="1" t="s">
        <v>25</v>
      </c>
      <c r="F270" s="1" t="s">
        <v>26</v>
      </c>
      <c r="G270" s="1" t="s">
        <v>1229</v>
      </c>
      <c r="H270" s="6">
        <v>1</v>
      </c>
      <c r="I270" s="7">
        <v>0</v>
      </c>
      <c r="J270" s="5">
        <v>45995</v>
      </c>
      <c r="K270" s="1" t="s">
        <v>22</v>
      </c>
      <c r="L270" s="1" t="s">
        <v>22</v>
      </c>
      <c r="M270" s="8">
        <v>0</v>
      </c>
      <c r="N270" s="6"/>
      <c r="O270" s="6"/>
      <c r="P270" s="9">
        <v>-14.51</v>
      </c>
    </row>
    <row r="271" spans="1:16" ht="19.5" customHeight="1">
      <c r="A271" s="1" t="s">
        <v>1495</v>
      </c>
      <c r="B271" s="5">
        <v>45995</v>
      </c>
      <c r="C271" s="1" t="s">
        <v>28</v>
      </c>
      <c r="D271" s="1" t="s">
        <v>29</v>
      </c>
      <c r="E271" s="1" t="s">
        <v>228</v>
      </c>
      <c r="F271" s="1" t="s">
        <v>393</v>
      </c>
      <c r="G271" s="1" t="s">
        <v>1229</v>
      </c>
      <c r="H271" s="6">
        <v>1</v>
      </c>
      <c r="I271" s="7">
        <v>1420</v>
      </c>
      <c r="J271" s="5">
        <v>45993</v>
      </c>
      <c r="K271" s="1" t="s">
        <v>957</v>
      </c>
      <c r="L271" s="1" t="s">
        <v>30</v>
      </c>
      <c r="M271" s="8">
        <v>0.43</v>
      </c>
      <c r="N271" s="6"/>
      <c r="O271" s="6">
        <v>41</v>
      </c>
      <c r="P271" s="9">
        <v>-109.18</v>
      </c>
    </row>
    <row r="272" spans="1:16" ht="19.5" customHeight="1">
      <c r="A272" s="1" t="s">
        <v>1495</v>
      </c>
      <c r="B272" s="5">
        <v>45995</v>
      </c>
      <c r="C272" s="1" t="s">
        <v>31</v>
      </c>
      <c r="D272" s="1" t="s">
        <v>32</v>
      </c>
      <c r="E272" s="1" t="s">
        <v>228</v>
      </c>
      <c r="F272" s="1" t="s">
        <v>393</v>
      </c>
      <c r="G272" s="1" t="s">
        <v>1229</v>
      </c>
      <c r="H272" s="6">
        <v>1</v>
      </c>
      <c r="I272" s="7">
        <v>1420</v>
      </c>
      <c r="J272" s="5">
        <v>45993</v>
      </c>
      <c r="K272" s="1" t="s">
        <v>957</v>
      </c>
      <c r="L272" s="1" t="s">
        <v>30</v>
      </c>
      <c r="M272" s="8">
        <v>0</v>
      </c>
      <c r="N272" s="6"/>
      <c r="O272" s="6"/>
      <c r="P272" s="9">
        <v>645.5</v>
      </c>
    </row>
    <row r="273" spans="1:16" ht="19.5" customHeight="1">
      <c r="A273" s="1" t="s">
        <v>1495</v>
      </c>
      <c r="B273" s="5">
        <v>45995</v>
      </c>
      <c r="C273" s="1" t="s">
        <v>31</v>
      </c>
      <c r="D273" s="1" t="s">
        <v>33</v>
      </c>
      <c r="E273" s="1" t="s">
        <v>228</v>
      </c>
      <c r="F273" s="1" t="s">
        <v>393</v>
      </c>
      <c r="G273" s="1" t="s">
        <v>1229</v>
      </c>
      <c r="H273" s="6">
        <v>1</v>
      </c>
      <c r="I273" s="7">
        <v>1420</v>
      </c>
      <c r="J273" s="5">
        <v>45993</v>
      </c>
      <c r="K273" s="1" t="s">
        <v>957</v>
      </c>
      <c r="L273" s="1" t="s">
        <v>30</v>
      </c>
      <c r="M273" s="8">
        <v>0</v>
      </c>
      <c r="N273" s="6"/>
      <c r="O273" s="6"/>
      <c r="P273" s="9">
        <v>6.46</v>
      </c>
    </row>
    <row r="274" spans="1:16" ht="19.5" customHeight="1">
      <c r="A274" s="1" t="s">
        <v>1495</v>
      </c>
      <c r="B274" s="5">
        <v>45995</v>
      </c>
      <c r="C274" s="1" t="s">
        <v>31</v>
      </c>
      <c r="D274" s="1" t="s">
        <v>34</v>
      </c>
      <c r="E274" s="1" t="s">
        <v>228</v>
      </c>
      <c r="F274" s="1" t="s">
        <v>393</v>
      </c>
      <c r="G274" s="1" t="s">
        <v>1229</v>
      </c>
      <c r="H274" s="6">
        <v>1</v>
      </c>
      <c r="I274" s="7">
        <v>1420</v>
      </c>
      <c r="J274" s="5">
        <v>45993</v>
      </c>
      <c r="K274" s="1" t="s">
        <v>957</v>
      </c>
      <c r="L274" s="1" t="s">
        <v>30</v>
      </c>
      <c r="M274" s="8">
        <v>0</v>
      </c>
      <c r="N274" s="6"/>
      <c r="O274" s="6"/>
      <c r="P274" s="9">
        <v>768.04</v>
      </c>
    </row>
    <row r="275" spans="1:16" ht="19.5" customHeight="1">
      <c r="A275" s="1" t="s">
        <v>1495</v>
      </c>
      <c r="B275" s="5">
        <v>45995</v>
      </c>
      <c r="C275" s="1" t="s">
        <v>35</v>
      </c>
      <c r="D275" s="1" t="s">
        <v>36</v>
      </c>
      <c r="E275" s="1" t="s">
        <v>228</v>
      </c>
      <c r="F275" s="1" t="s">
        <v>393</v>
      </c>
      <c r="G275" s="1" t="s">
        <v>1229</v>
      </c>
      <c r="H275" s="6">
        <v>1</v>
      </c>
      <c r="I275" s="7">
        <v>1420</v>
      </c>
      <c r="J275" s="5">
        <v>45993</v>
      </c>
      <c r="K275" s="1" t="s">
        <v>957</v>
      </c>
      <c r="L275" s="1" t="s">
        <v>30</v>
      </c>
      <c r="M275" s="8">
        <v>0.43</v>
      </c>
      <c r="N275" s="6"/>
      <c r="O275" s="6"/>
      <c r="P275" s="9">
        <v>-610.6</v>
      </c>
    </row>
    <row r="276" spans="1:16" ht="19.5" customHeight="1">
      <c r="A276" s="1" t="s">
        <v>1496</v>
      </c>
      <c r="B276" s="5">
        <v>45995</v>
      </c>
      <c r="C276" s="1" t="s">
        <v>28</v>
      </c>
      <c r="D276" s="1" t="s">
        <v>29</v>
      </c>
      <c r="E276" s="1" t="s">
        <v>223</v>
      </c>
      <c r="F276" s="1" t="s">
        <v>395</v>
      </c>
      <c r="G276" s="1" t="s">
        <v>1229</v>
      </c>
      <c r="H276" s="6">
        <v>1</v>
      </c>
      <c r="I276" s="7">
        <v>0</v>
      </c>
      <c r="J276" s="5">
        <v>45989</v>
      </c>
      <c r="K276" s="1" t="s">
        <v>957</v>
      </c>
      <c r="L276" s="1" t="s">
        <v>30</v>
      </c>
      <c r="M276" s="8">
        <v>0</v>
      </c>
      <c r="N276" s="6"/>
      <c r="O276" s="6">
        <v>44</v>
      </c>
      <c r="P276" s="9">
        <v>-46</v>
      </c>
    </row>
    <row r="277" spans="1:16" ht="19.5" customHeight="1">
      <c r="A277" s="1" t="s">
        <v>1496</v>
      </c>
      <c r="B277" s="5">
        <v>45995</v>
      </c>
      <c r="C277" s="1" t="s">
        <v>17</v>
      </c>
      <c r="D277" s="1" t="s">
        <v>37</v>
      </c>
      <c r="E277" s="1" t="s">
        <v>223</v>
      </c>
      <c r="F277" s="1" t="s">
        <v>395</v>
      </c>
      <c r="G277" s="1" t="s">
        <v>1229</v>
      </c>
      <c r="H277" s="6">
        <v>1</v>
      </c>
      <c r="I277" s="7">
        <v>0</v>
      </c>
      <c r="J277" s="5">
        <v>45989</v>
      </c>
      <c r="K277" s="1" t="s">
        <v>957</v>
      </c>
      <c r="L277" s="1" t="s">
        <v>30</v>
      </c>
      <c r="M277" s="8">
        <v>0</v>
      </c>
      <c r="N277" s="6"/>
      <c r="O277" s="6"/>
      <c r="P277" s="9">
        <v>-8.35</v>
      </c>
    </row>
    <row r="278" spans="1:16" ht="19.5" customHeight="1">
      <c r="A278" s="1" t="s">
        <v>1496</v>
      </c>
      <c r="B278" s="5">
        <v>45995</v>
      </c>
      <c r="C278" s="1" t="s">
        <v>28</v>
      </c>
      <c r="D278" s="1" t="s">
        <v>45</v>
      </c>
      <c r="E278" s="1" t="s">
        <v>223</v>
      </c>
      <c r="F278" s="1" t="s">
        <v>395</v>
      </c>
      <c r="G278" s="1" t="s">
        <v>1229</v>
      </c>
      <c r="H278" s="6">
        <v>1</v>
      </c>
      <c r="I278" s="7">
        <v>0</v>
      </c>
      <c r="J278" s="5">
        <v>45989</v>
      </c>
      <c r="K278" s="1" t="s">
        <v>957</v>
      </c>
      <c r="L278" s="1" t="s">
        <v>30</v>
      </c>
      <c r="M278" s="8">
        <v>0</v>
      </c>
      <c r="N278" s="6"/>
      <c r="O278" s="6"/>
      <c r="P278" s="9">
        <v>0</v>
      </c>
    </row>
    <row r="279" spans="1:16" ht="19.5" customHeight="1">
      <c r="A279" s="1" t="s">
        <v>1496</v>
      </c>
      <c r="B279" s="5">
        <v>45995</v>
      </c>
      <c r="C279" s="1" t="s">
        <v>28</v>
      </c>
      <c r="D279" s="1" t="s">
        <v>46</v>
      </c>
      <c r="E279" s="1" t="s">
        <v>223</v>
      </c>
      <c r="F279" s="1" t="s">
        <v>395</v>
      </c>
      <c r="G279" s="1" t="s">
        <v>1229</v>
      </c>
      <c r="H279" s="6">
        <v>1</v>
      </c>
      <c r="I279" s="7">
        <v>0</v>
      </c>
      <c r="J279" s="5">
        <v>45989</v>
      </c>
      <c r="K279" s="1" t="s">
        <v>957</v>
      </c>
      <c r="L279" s="1" t="s">
        <v>30</v>
      </c>
      <c r="M279" s="8">
        <v>0</v>
      </c>
      <c r="N279" s="6"/>
      <c r="O279" s="6"/>
      <c r="P279" s="9">
        <v>-46</v>
      </c>
    </row>
    <row r="280" spans="1:16" ht="19.5" customHeight="1">
      <c r="A280" s="1" t="s">
        <v>1496</v>
      </c>
      <c r="B280" s="5">
        <v>45995</v>
      </c>
      <c r="C280" s="1" t="s">
        <v>17</v>
      </c>
      <c r="D280" s="1" t="s">
        <v>47</v>
      </c>
      <c r="E280" s="1" t="s">
        <v>223</v>
      </c>
      <c r="F280" s="1" t="s">
        <v>395</v>
      </c>
      <c r="G280" s="1" t="s">
        <v>1229</v>
      </c>
      <c r="H280" s="6">
        <v>1</v>
      </c>
      <c r="I280" s="7">
        <v>0</v>
      </c>
      <c r="J280" s="5">
        <v>45989</v>
      </c>
      <c r="K280" s="1" t="s">
        <v>957</v>
      </c>
      <c r="L280" s="1" t="s">
        <v>30</v>
      </c>
      <c r="M280" s="8">
        <v>0</v>
      </c>
      <c r="N280" s="6"/>
      <c r="O280" s="6"/>
      <c r="P280" s="9">
        <v>-15</v>
      </c>
    </row>
    <row r="281" spans="1:16" ht="19.5" customHeight="1">
      <c r="A281" s="1" t="s">
        <v>1497</v>
      </c>
      <c r="B281" s="5">
        <v>45995</v>
      </c>
      <c r="C281" s="1" t="s">
        <v>28</v>
      </c>
      <c r="D281" s="1" t="s">
        <v>29</v>
      </c>
      <c r="E281" s="1" t="s">
        <v>54</v>
      </c>
      <c r="F281" s="1" t="s">
        <v>55</v>
      </c>
      <c r="G281" s="1" t="s">
        <v>1229</v>
      </c>
      <c r="H281" s="6">
        <v>1</v>
      </c>
      <c r="I281" s="7">
        <v>1568</v>
      </c>
      <c r="J281" s="5">
        <v>45991</v>
      </c>
      <c r="K281" s="1" t="s">
        <v>957</v>
      </c>
      <c r="L281" s="1" t="s">
        <v>30</v>
      </c>
      <c r="M281" s="8">
        <v>0.43</v>
      </c>
      <c r="N281" s="6"/>
      <c r="O281" s="6">
        <v>48</v>
      </c>
      <c r="P281" s="9">
        <v>-136.81</v>
      </c>
    </row>
    <row r="282" spans="1:16" ht="19.5" customHeight="1">
      <c r="A282" s="1" t="s">
        <v>1497</v>
      </c>
      <c r="B282" s="5">
        <v>45995</v>
      </c>
      <c r="C282" s="1" t="s">
        <v>31</v>
      </c>
      <c r="D282" s="1" t="s">
        <v>32</v>
      </c>
      <c r="E282" s="1" t="s">
        <v>54</v>
      </c>
      <c r="F282" s="1" t="s">
        <v>55</v>
      </c>
      <c r="G282" s="1" t="s">
        <v>1229</v>
      </c>
      <c r="H282" s="6">
        <v>1</v>
      </c>
      <c r="I282" s="7">
        <v>1568</v>
      </c>
      <c r="J282" s="5">
        <v>45991</v>
      </c>
      <c r="K282" s="1" t="s">
        <v>957</v>
      </c>
      <c r="L282" s="1" t="s">
        <v>30</v>
      </c>
      <c r="M282" s="8">
        <v>0</v>
      </c>
      <c r="N282" s="6"/>
      <c r="O282" s="6"/>
      <c r="P282" s="9">
        <v>887.62</v>
      </c>
    </row>
    <row r="283" spans="1:16" ht="19.5" customHeight="1">
      <c r="A283" s="1" t="s">
        <v>1497</v>
      </c>
      <c r="B283" s="5">
        <v>45995</v>
      </c>
      <c r="C283" s="1" t="s">
        <v>31</v>
      </c>
      <c r="D283" s="1" t="s">
        <v>33</v>
      </c>
      <c r="E283" s="1" t="s">
        <v>54</v>
      </c>
      <c r="F283" s="1" t="s">
        <v>55</v>
      </c>
      <c r="G283" s="1" t="s">
        <v>1229</v>
      </c>
      <c r="H283" s="6">
        <v>1</v>
      </c>
      <c r="I283" s="7">
        <v>1568</v>
      </c>
      <c r="J283" s="5">
        <v>45991</v>
      </c>
      <c r="K283" s="1" t="s">
        <v>957</v>
      </c>
      <c r="L283" s="1" t="s">
        <v>30</v>
      </c>
      <c r="M283" s="8">
        <v>0</v>
      </c>
      <c r="N283" s="6"/>
      <c r="O283" s="6"/>
      <c r="P283" s="9">
        <v>0</v>
      </c>
    </row>
    <row r="284" spans="1:16" ht="19.5" customHeight="1">
      <c r="A284" s="1" t="s">
        <v>1497</v>
      </c>
      <c r="B284" s="5">
        <v>45995</v>
      </c>
      <c r="C284" s="1" t="s">
        <v>31</v>
      </c>
      <c r="D284" s="1" t="s">
        <v>34</v>
      </c>
      <c r="E284" s="1" t="s">
        <v>54</v>
      </c>
      <c r="F284" s="1" t="s">
        <v>55</v>
      </c>
      <c r="G284" s="1" t="s">
        <v>1229</v>
      </c>
      <c r="H284" s="6">
        <v>1</v>
      </c>
      <c r="I284" s="7">
        <v>1568</v>
      </c>
      <c r="J284" s="5">
        <v>45991</v>
      </c>
      <c r="K284" s="1" t="s">
        <v>957</v>
      </c>
      <c r="L284" s="1" t="s">
        <v>30</v>
      </c>
      <c r="M284" s="8">
        <v>0</v>
      </c>
      <c r="N284" s="6"/>
      <c r="O284" s="6"/>
      <c r="P284" s="9">
        <v>680.38</v>
      </c>
    </row>
    <row r="285" spans="1:16" ht="19.5" customHeight="1">
      <c r="A285" s="1" t="s">
        <v>1497</v>
      </c>
      <c r="B285" s="5">
        <v>45995</v>
      </c>
      <c r="C285" s="1" t="s">
        <v>35</v>
      </c>
      <c r="D285" s="1" t="s">
        <v>36</v>
      </c>
      <c r="E285" s="1" t="s">
        <v>54</v>
      </c>
      <c r="F285" s="1" t="s">
        <v>55</v>
      </c>
      <c r="G285" s="1" t="s">
        <v>1229</v>
      </c>
      <c r="H285" s="6">
        <v>1</v>
      </c>
      <c r="I285" s="7">
        <v>1568</v>
      </c>
      <c r="J285" s="5">
        <v>45991</v>
      </c>
      <c r="K285" s="1" t="s">
        <v>957</v>
      </c>
      <c r="L285" s="1" t="s">
        <v>30</v>
      </c>
      <c r="M285" s="8">
        <v>0.43</v>
      </c>
      <c r="N285" s="6"/>
      <c r="O285" s="6"/>
      <c r="P285" s="9">
        <v>-674.24</v>
      </c>
    </row>
    <row r="286" spans="1:16" ht="19.5" customHeight="1">
      <c r="A286" s="1" t="s">
        <v>1497</v>
      </c>
      <c r="B286" s="5">
        <v>45995</v>
      </c>
      <c r="C286" s="1" t="s">
        <v>17</v>
      </c>
      <c r="D286" s="1" t="s">
        <v>37</v>
      </c>
      <c r="E286" s="1" t="s">
        <v>54</v>
      </c>
      <c r="F286" s="1" t="s">
        <v>55</v>
      </c>
      <c r="G286" s="1" t="s">
        <v>1229</v>
      </c>
      <c r="H286" s="6">
        <v>1</v>
      </c>
      <c r="I286" s="7">
        <v>1568</v>
      </c>
      <c r="J286" s="5">
        <v>45991</v>
      </c>
      <c r="K286" s="1" t="s">
        <v>957</v>
      </c>
      <c r="L286" s="1" t="s">
        <v>30</v>
      </c>
      <c r="M286" s="8">
        <v>0.43</v>
      </c>
      <c r="N286" s="6"/>
      <c r="O286" s="6"/>
      <c r="P286" s="9">
        <v>-8.7899999999999991</v>
      </c>
    </row>
    <row r="287" spans="1:16" ht="19.5" customHeight="1">
      <c r="A287" s="1" t="s">
        <v>1464</v>
      </c>
      <c r="B287" s="5">
        <v>45995</v>
      </c>
      <c r="C287" s="1" t="s">
        <v>126</v>
      </c>
      <c r="D287" s="1" t="s">
        <v>127</v>
      </c>
      <c r="E287" s="1" t="s">
        <v>98</v>
      </c>
      <c r="F287" s="1" t="s">
        <v>99</v>
      </c>
      <c r="G287" s="1" t="s">
        <v>1133</v>
      </c>
      <c r="H287" s="6">
        <v>1</v>
      </c>
      <c r="I287" s="7">
        <v>-6500</v>
      </c>
      <c r="J287" s="5">
        <v>45989</v>
      </c>
      <c r="K287" s="1" t="s">
        <v>957</v>
      </c>
      <c r="L287" s="1" t="s">
        <v>30</v>
      </c>
      <c r="M287" s="8">
        <v>0</v>
      </c>
      <c r="N287" s="6"/>
      <c r="O287" s="6"/>
      <c r="P287" s="9">
        <v>-3041.9</v>
      </c>
    </row>
    <row r="288" spans="1:16" ht="19.5" customHeight="1">
      <c r="A288" s="1" t="s">
        <v>1464</v>
      </c>
      <c r="B288" s="5">
        <v>45995</v>
      </c>
      <c r="C288" s="1" t="s">
        <v>126</v>
      </c>
      <c r="D288" s="1" t="s">
        <v>33</v>
      </c>
      <c r="E288" s="1" t="s">
        <v>98</v>
      </c>
      <c r="F288" s="1" t="s">
        <v>99</v>
      </c>
      <c r="G288" s="1" t="s">
        <v>1133</v>
      </c>
      <c r="H288" s="6">
        <v>1</v>
      </c>
      <c r="I288" s="7">
        <v>-6500</v>
      </c>
      <c r="J288" s="5">
        <v>45989</v>
      </c>
      <c r="K288" s="1" t="s">
        <v>957</v>
      </c>
      <c r="L288" s="1" t="s">
        <v>30</v>
      </c>
      <c r="M288" s="8">
        <v>0</v>
      </c>
      <c r="N288" s="6"/>
      <c r="O288" s="6"/>
      <c r="P288" s="9">
        <v>-30.42</v>
      </c>
    </row>
    <row r="289" spans="1:16" ht="19.5" customHeight="1">
      <c r="A289" s="1" t="s">
        <v>1464</v>
      </c>
      <c r="B289" s="5">
        <v>45995</v>
      </c>
      <c r="C289" s="1" t="s">
        <v>126</v>
      </c>
      <c r="D289" s="1" t="s">
        <v>34</v>
      </c>
      <c r="E289" s="1" t="s">
        <v>98</v>
      </c>
      <c r="F289" s="1" t="s">
        <v>99</v>
      </c>
      <c r="G289" s="1" t="s">
        <v>1133</v>
      </c>
      <c r="H289" s="6">
        <v>1</v>
      </c>
      <c r="I289" s="7">
        <v>-6500</v>
      </c>
      <c r="J289" s="5">
        <v>45989</v>
      </c>
      <c r="K289" s="1" t="s">
        <v>957</v>
      </c>
      <c r="L289" s="1" t="s">
        <v>30</v>
      </c>
      <c r="M289" s="8">
        <v>0</v>
      </c>
      <c r="N289" s="6"/>
      <c r="O289" s="6"/>
      <c r="P289" s="9">
        <v>-3427.68</v>
      </c>
    </row>
    <row r="290" spans="1:16" ht="19.5" customHeight="1">
      <c r="A290" s="1" t="s">
        <v>1464</v>
      </c>
      <c r="B290" s="5">
        <v>45995</v>
      </c>
      <c r="C290" s="1" t="s">
        <v>35</v>
      </c>
      <c r="D290" s="1" t="s">
        <v>128</v>
      </c>
      <c r="E290" s="1" t="s">
        <v>98</v>
      </c>
      <c r="F290" s="1" t="s">
        <v>99</v>
      </c>
      <c r="G290" s="1" t="s">
        <v>1133</v>
      </c>
      <c r="H290" s="6">
        <v>1</v>
      </c>
      <c r="I290" s="7">
        <v>-6500</v>
      </c>
      <c r="J290" s="5">
        <v>45989</v>
      </c>
      <c r="K290" s="1" t="s">
        <v>957</v>
      </c>
      <c r="L290" s="1" t="s">
        <v>30</v>
      </c>
      <c r="M290" s="8">
        <v>0.43</v>
      </c>
      <c r="N290" s="6"/>
      <c r="O290" s="6"/>
      <c r="P290" s="9">
        <v>2795</v>
      </c>
    </row>
    <row r="291" spans="1:16" ht="19.5" customHeight="1">
      <c r="A291" s="1" t="s">
        <v>1464</v>
      </c>
      <c r="B291" s="5">
        <v>45995</v>
      </c>
      <c r="C291" s="1" t="s">
        <v>17</v>
      </c>
      <c r="D291" s="1" t="s">
        <v>18</v>
      </c>
      <c r="E291" s="1" t="s">
        <v>98</v>
      </c>
      <c r="F291" s="1" t="s">
        <v>99</v>
      </c>
      <c r="G291" s="1" t="s">
        <v>1133</v>
      </c>
      <c r="H291" s="6">
        <v>1</v>
      </c>
      <c r="I291" s="7">
        <v>0</v>
      </c>
      <c r="J291" s="5">
        <v>45989</v>
      </c>
      <c r="K291" s="1" t="s">
        <v>22</v>
      </c>
      <c r="L291" s="1" t="s">
        <v>22</v>
      </c>
      <c r="M291" s="8">
        <v>0</v>
      </c>
      <c r="N291" s="6"/>
      <c r="O291" s="6"/>
      <c r="P291" s="9">
        <v>57.8</v>
      </c>
    </row>
    <row r="292" spans="1:16" ht="19.5" customHeight="1">
      <c r="A292" s="1" t="s">
        <v>1464</v>
      </c>
      <c r="B292" s="5">
        <v>45995</v>
      </c>
      <c r="C292" s="1" t="s">
        <v>74</v>
      </c>
      <c r="D292" s="1" t="s">
        <v>75</v>
      </c>
      <c r="E292" s="1" t="s">
        <v>98</v>
      </c>
      <c r="F292" s="1" t="s">
        <v>99</v>
      </c>
      <c r="G292" s="1" t="s">
        <v>1133</v>
      </c>
      <c r="H292" s="6">
        <v>1</v>
      </c>
      <c r="I292" s="7">
        <v>0</v>
      </c>
      <c r="J292" s="5">
        <v>45989</v>
      </c>
      <c r="K292" s="1" t="s">
        <v>957</v>
      </c>
      <c r="L292" s="1" t="s">
        <v>30</v>
      </c>
      <c r="M292" s="8">
        <v>0</v>
      </c>
      <c r="N292" s="6"/>
      <c r="O292" s="6"/>
      <c r="P292" s="9">
        <v>-5</v>
      </c>
    </row>
    <row r="293" spans="1:16" ht="19.5" customHeight="1">
      <c r="A293" s="1" t="s">
        <v>1464</v>
      </c>
      <c r="B293" s="5">
        <v>45995</v>
      </c>
      <c r="C293" s="1" t="s">
        <v>17</v>
      </c>
      <c r="D293" s="1" t="s">
        <v>76</v>
      </c>
      <c r="E293" s="1" t="s">
        <v>98</v>
      </c>
      <c r="F293" s="1" t="s">
        <v>99</v>
      </c>
      <c r="G293" s="1" t="s">
        <v>1133</v>
      </c>
      <c r="H293" s="6">
        <v>1</v>
      </c>
      <c r="I293" s="7">
        <v>0</v>
      </c>
      <c r="J293" s="5">
        <v>45989</v>
      </c>
      <c r="K293" s="1" t="s">
        <v>957</v>
      </c>
      <c r="L293" s="1" t="s">
        <v>30</v>
      </c>
      <c r="M293" s="8">
        <v>0</v>
      </c>
      <c r="N293" s="6"/>
      <c r="O293" s="6"/>
      <c r="P293" s="9">
        <v>-10</v>
      </c>
    </row>
    <row r="294" spans="1:16" ht="19.5" customHeight="1">
      <c r="A294" s="1" t="s">
        <v>1498</v>
      </c>
      <c r="B294" s="5">
        <v>45995</v>
      </c>
      <c r="C294" s="1" t="s">
        <v>17</v>
      </c>
      <c r="D294" s="1" t="s">
        <v>18</v>
      </c>
      <c r="E294" s="1" t="s">
        <v>223</v>
      </c>
      <c r="F294" s="1" t="s">
        <v>395</v>
      </c>
      <c r="G294" s="1" t="s">
        <v>1229</v>
      </c>
      <c r="H294" s="6">
        <v>1</v>
      </c>
      <c r="I294" s="7">
        <v>0</v>
      </c>
      <c r="J294" s="5">
        <v>45995</v>
      </c>
      <c r="K294" s="1" t="s">
        <v>22</v>
      </c>
      <c r="L294" s="1" t="s">
        <v>22</v>
      </c>
      <c r="M294" s="8">
        <v>0</v>
      </c>
      <c r="N294" s="6"/>
      <c r="O294" s="6"/>
      <c r="P294" s="9">
        <v>-10.82</v>
      </c>
    </row>
    <row r="295" spans="1:16" ht="19.5" customHeight="1">
      <c r="A295" s="1" t="s">
        <v>1499</v>
      </c>
      <c r="B295" s="5">
        <v>45995</v>
      </c>
      <c r="C295" s="1" t="s">
        <v>28</v>
      </c>
      <c r="D295" s="1" t="s">
        <v>29</v>
      </c>
      <c r="E295" s="1" t="s">
        <v>25</v>
      </c>
      <c r="F295" s="1" t="s">
        <v>26</v>
      </c>
      <c r="G295" s="1" t="s">
        <v>1229</v>
      </c>
      <c r="H295" s="6">
        <v>1</v>
      </c>
      <c r="I295" s="7">
        <v>1184</v>
      </c>
      <c r="J295" s="5">
        <v>45994</v>
      </c>
      <c r="K295" s="1" t="s">
        <v>957</v>
      </c>
      <c r="L295" s="1" t="s">
        <v>30</v>
      </c>
      <c r="M295" s="8">
        <v>0.43</v>
      </c>
      <c r="N295" s="6"/>
      <c r="O295" s="6">
        <v>40</v>
      </c>
      <c r="P295" s="9">
        <v>-99.65</v>
      </c>
    </row>
    <row r="296" spans="1:16" ht="19.5" customHeight="1">
      <c r="A296" s="1" t="s">
        <v>1499</v>
      </c>
      <c r="B296" s="5">
        <v>45995</v>
      </c>
      <c r="C296" s="1" t="s">
        <v>31</v>
      </c>
      <c r="D296" s="1" t="s">
        <v>32</v>
      </c>
      <c r="E296" s="1" t="s">
        <v>25</v>
      </c>
      <c r="F296" s="1" t="s">
        <v>26</v>
      </c>
      <c r="G296" s="1" t="s">
        <v>1229</v>
      </c>
      <c r="H296" s="6">
        <v>1</v>
      </c>
      <c r="I296" s="7">
        <v>1184</v>
      </c>
      <c r="J296" s="5">
        <v>45994</v>
      </c>
      <c r="K296" s="1" t="s">
        <v>957</v>
      </c>
      <c r="L296" s="1" t="s">
        <v>30</v>
      </c>
      <c r="M296" s="8">
        <v>0</v>
      </c>
      <c r="N296" s="6"/>
      <c r="O296" s="6"/>
      <c r="P296" s="9">
        <v>488.15</v>
      </c>
    </row>
    <row r="297" spans="1:16" ht="19.5" customHeight="1">
      <c r="A297" s="1" t="s">
        <v>1499</v>
      </c>
      <c r="B297" s="5">
        <v>45995</v>
      </c>
      <c r="C297" s="1" t="s">
        <v>31</v>
      </c>
      <c r="D297" s="1" t="s">
        <v>33</v>
      </c>
      <c r="E297" s="1" t="s">
        <v>25</v>
      </c>
      <c r="F297" s="1" t="s">
        <v>26</v>
      </c>
      <c r="G297" s="1" t="s">
        <v>1229</v>
      </c>
      <c r="H297" s="6">
        <v>1</v>
      </c>
      <c r="I297" s="7">
        <v>1184</v>
      </c>
      <c r="J297" s="5">
        <v>45994</v>
      </c>
      <c r="K297" s="1" t="s">
        <v>957</v>
      </c>
      <c r="L297" s="1" t="s">
        <v>30</v>
      </c>
      <c r="M297" s="8">
        <v>0</v>
      </c>
      <c r="N297" s="6"/>
      <c r="O297" s="6"/>
      <c r="P297" s="9">
        <v>0</v>
      </c>
    </row>
    <row r="298" spans="1:16" ht="19.5" customHeight="1">
      <c r="A298" s="1" t="s">
        <v>1499</v>
      </c>
      <c r="B298" s="5">
        <v>45995</v>
      </c>
      <c r="C298" s="1" t="s">
        <v>31</v>
      </c>
      <c r="D298" s="1" t="s">
        <v>34</v>
      </c>
      <c r="E298" s="1" t="s">
        <v>25</v>
      </c>
      <c r="F298" s="1" t="s">
        <v>26</v>
      </c>
      <c r="G298" s="1" t="s">
        <v>1229</v>
      </c>
      <c r="H298" s="6">
        <v>1</v>
      </c>
      <c r="I298" s="7">
        <v>1184</v>
      </c>
      <c r="J298" s="5">
        <v>45994</v>
      </c>
      <c r="K298" s="1" t="s">
        <v>957</v>
      </c>
      <c r="L298" s="1" t="s">
        <v>30</v>
      </c>
      <c r="M298" s="8">
        <v>0</v>
      </c>
      <c r="N298" s="6"/>
      <c r="O298" s="6"/>
      <c r="P298" s="9">
        <v>695.85</v>
      </c>
    </row>
    <row r="299" spans="1:16" ht="19.5" customHeight="1">
      <c r="A299" s="1" t="s">
        <v>1499</v>
      </c>
      <c r="B299" s="5">
        <v>45995</v>
      </c>
      <c r="C299" s="1" t="s">
        <v>35</v>
      </c>
      <c r="D299" s="1" t="s">
        <v>36</v>
      </c>
      <c r="E299" s="1" t="s">
        <v>25</v>
      </c>
      <c r="F299" s="1" t="s">
        <v>26</v>
      </c>
      <c r="G299" s="1" t="s">
        <v>1229</v>
      </c>
      <c r="H299" s="6">
        <v>1</v>
      </c>
      <c r="I299" s="7">
        <v>1184</v>
      </c>
      <c r="J299" s="5">
        <v>45994</v>
      </c>
      <c r="K299" s="1" t="s">
        <v>957</v>
      </c>
      <c r="L299" s="1" t="s">
        <v>30</v>
      </c>
      <c r="M299" s="8">
        <v>0.43</v>
      </c>
      <c r="N299" s="6"/>
      <c r="O299" s="6"/>
      <c r="P299" s="9">
        <v>-509.12</v>
      </c>
    </row>
    <row r="300" spans="1:16" ht="19.5" customHeight="1">
      <c r="A300" s="1" t="s">
        <v>1499</v>
      </c>
      <c r="B300" s="5">
        <v>45995</v>
      </c>
      <c r="C300" s="1" t="s">
        <v>17</v>
      </c>
      <c r="D300" s="1" t="s">
        <v>37</v>
      </c>
      <c r="E300" s="1" t="s">
        <v>25</v>
      </c>
      <c r="F300" s="1" t="s">
        <v>26</v>
      </c>
      <c r="G300" s="1" t="s">
        <v>1229</v>
      </c>
      <c r="H300" s="6">
        <v>1</v>
      </c>
      <c r="I300" s="7">
        <v>1184</v>
      </c>
      <c r="J300" s="5">
        <v>45994</v>
      </c>
      <c r="K300" s="1" t="s">
        <v>957</v>
      </c>
      <c r="L300" s="1" t="s">
        <v>30</v>
      </c>
      <c r="M300" s="8">
        <v>0.43</v>
      </c>
      <c r="N300" s="6"/>
      <c r="O300" s="6"/>
      <c r="P300" s="9">
        <v>-5.0999999999999996</v>
      </c>
    </row>
    <row r="301" spans="1:16" ht="19.5" customHeight="1">
      <c r="A301" s="1" t="s">
        <v>1500</v>
      </c>
      <c r="B301" s="5">
        <v>45995</v>
      </c>
      <c r="C301" s="1" t="s">
        <v>28</v>
      </c>
      <c r="D301" s="1" t="s">
        <v>29</v>
      </c>
      <c r="E301" s="1" t="s">
        <v>223</v>
      </c>
      <c r="F301" s="1" t="s">
        <v>395</v>
      </c>
      <c r="G301" s="1" t="s">
        <v>1229</v>
      </c>
      <c r="H301" s="6">
        <v>1</v>
      </c>
      <c r="I301" s="7">
        <v>1687</v>
      </c>
      <c r="J301" s="5">
        <v>45988</v>
      </c>
      <c r="K301" s="1" t="s">
        <v>957</v>
      </c>
      <c r="L301" s="1" t="s">
        <v>30</v>
      </c>
      <c r="M301" s="8">
        <v>0.43</v>
      </c>
      <c r="N301" s="6"/>
      <c r="O301" s="6">
        <v>42</v>
      </c>
      <c r="P301" s="9">
        <v>-120.3</v>
      </c>
    </row>
    <row r="302" spans="1:16" ht="19.5" customHeight="1">
      <c r="A302" s="1" t="s">
        <v>1500</v>
      </c>
      <c r="B302" s="5">
        <v>45995</v>
      </c>
      <c r="C302" s="1" t="s">
        <v>31</v>
      </c>
      <c r="D302" s="1" t="s">
        <v>32</v>
      </c>
      <c r="E302" s="1" t="s">
        <v>223</v>
      </c>
      <c r="F302" s="1" t="s">
        <v>395</v>
      </c>
      <c r="G302" s="1" t="s">
        <v>1229</v>
      </c>
      <c r="H302" s="6">
        <v>1</v>
      </c>
      <c r="I302" s="7">
        <v>1687</v>
      </c>
      <c r="J302" s="5">
        <v>45988</v>
      </c>
      <c r="K302" s="1" t="s">
        <v>957</v>
      </c>
      <c r="L302" s="1" t="s">
        <v>30</v>
      </c>
      <c r="M302" s="8">
        <v>0</v>
      </c>
      <c r="N302" s="6"/>
      <c r="O302" s="6"/>
      <c r="P302" s="9">
        <v>602.28</v>
      </c>
    </row>
    <row r="303" spans="1:16" ht="19.5" customHeight="1">
      <c r="A303" s="1" t="s">
        <v>1500</v>
      </c>
      <c r="B303" s="5">
        <v>45995</v>
      </c>
      <c r="C303" s="1" t="s">
        <v>31</v>
      </c>
      <c r="D303" s="1" t="s">
        <v>33</v>
      </c>
      <c r="E303" s="1" t="s">
        <v>223</v>
      </c>
      <c r="F303" s="1" t="s">
        <v>395</v>
      </c>
      <c r="G303" s="1" t="s">
        <v>1229</v>
      </c>
      <c r="H303" s="6">
        <v>1</v>
      </c>
      <c r="I303" s="7">
        <v>1687</v>
      </c>
      <c r="J303" s="5">
        <v>45988</v>
      </c>
      <c r="K303" s="1" t="s">
        <v>957</v>
      </c>
      <c r="L303" s="1" t="s">
        <v>30</v>
      </c>
      <c r="M303" s="8">
        <v>0</v>
      </c>
      <c r="N303" s="6"/>
      <c r="O303" s="6"/>
      <c r="P303" s="9">
        <v>6.02</v>
      </c>
    </row>
    <row r="304" spans="1:16" ht="19.5" customHeight="1">
      <c r="A304" s="1" t="s">
        <v>1500</v>
      </c>
      <c r="B304" s="5">
        <v>45995</v>
      </c>
      <c r="C304" s="1" t="s">
        <v>31</v>
      </c>
      <c r="D304" s="1" t="s">
        <v>34</v>
      </c>
      <c r="E304" s="1" t="s">
        <v>223</v>
      </c>
      <c r="F304" s="1" t="s">
        <v>395</v>
      </c>
      <c r="G304" s="1" t="s">
        <v>1229</v>
      </c>
      <c r="H304" s="6">
        <v>1</v>
      </c>
      <c r="I304" s="7">
        <v>1687</v>
      </c>
      <c r="J304" s="5">
        <v>45988</v>
      </c>
      <c r="K304" s="1" t="s">
        <v>957</v>
      </c>
      <c r="L304" s="1" t="s">
        <v>30</v>
      </c>
      <c r="M304" s="8">
        <v>0</v>
      </c>
      <c r="N304" s="6"/>
      <c r="O304" s="6"/>
      <c r="P304" s="9">
        <v>1078.7</v>
      </c>
    </row>
    <row r="305" spans="1:16" ht="19.5" customHeight="1">
      <c r="A305" s="1" t="s">
        <v>1500</v>
      </c>
      <c r="B305" s="5">
        <v>45995</v>
      </c>
      <c r="C305" s="1" t="s">
        <v>35</v>
      </c>
      <c r="D305" s="1" t="s">
        <v>36</v>
      </c>
      <c r="E305" s="1" t="s">
        <v>223</v>
      </c>
      <c r="F305" s="1" t="s">
        <v>395</v>
      </c>
      <c r="G305" s="1" t="s">
        <v>1229</v>
      </c>
      <c r="H305" s="6">
        <v>1</v>
      </c>
      <c r="I305" s="7">
        <v>1687</v>
      </c>
      <c r="J305" s="5">
        <v>45988</v>
      </c>
      <c r="K305" s="1" t="s">
        <v>957</v>
      </c>
      <c r="L305" s="1" t="s">
        <v>30</v>
      </c>
      <c r="M305" s="8">
        <v>0.43</v>
      </c>
      <c r="N305" s="6"/>
      <c r="O305" s="6"/>
      <c r="P305" s="9">
        <v>-725.41</v>
      </c>
    </row>
    <row r="306" spans="1:16" ht="19.5" customHeight="1">
      <c r="A306" s="1" t="s">
        <v>1500</v>
      </c>
      <c r="B306" s="5">
        <v>45995</v>
      </c>
      <c r="C306" s="1" t="s">
        <v>17</v>
      </c>
      <c r="D306" s="1" t="s">
        <v>37</v>
      </c>
      <c r="E306" s="1" t="s">
        <v>223</v>
      </c>
      <c r="F306" s="1" t="s">
        <v>395</v>
      </c>
      <c r="G306" s="1" t="s">
        <v>1229</v>
      </c>
      <c r="H306" s="6">
        <v>1</v>
      </c>
      <c r="I306" s="7">
        <v>1687</v>
      </c>
      <c r="J306" s="5">
        <v>45988</v>
      </c>
      <c r="K306" s="1" t="s">
        <v>957</v>
      </c>
      <c r="L306" s="1" t="s">
        <v>30</v>
      </c>
      <c r="M306" s="8">
        <v>0.43</v>
      </c>
      <c r="N306" s="6"/>
      <c r="O306" s="6"/>
      <c r="P306" s="9">
        <v>-19.22</v>
      </c>
    </row>
    <row r="307" spans="1:16" ht="19.5" customHeight="1">
      <c r="A307" s="1" t="s">
        <v>1501</v>
      </c>
      <c r="B307" s="5">
        <v>45995</v>
      </c>
      <c r="C307" s="1" t="s">
        <v>17</v>
      </c>
      <c r="D307" s="1" t="s">
        <v>18</v>
      </c>
      <c r="E307" s="1" t="s">
        <v>25</v>
      </c>
      <c r="F307" s="1" t="s">
        <v>26</v>
      </c>
      <c r="G307" s="1" t="s">
        <v>1229</v>
      </c>
      <c r="H307" s="6">
        <v>1</v>
      </c>
      <c r="I307" s="7">
        <v>0</v>
      </c>
      <c r="J307" s="5">
        <v>45995</v>
      </c>
      <c r="K307" s="1" t="s">
        <v>22</v>
      </c>
      <c r="L307" s="1" t="s">
        <v>22</v>
      </c>
      <c r="M307" s="8">
        <v>0</v>
      </c>
      <c r="N307" s="6"/>
      <c r="O307" s="6"/>
      <c r="P307" s="9">
        <v>-15.15</v>
      </c>
    </row>
    <row r="308" spans="1:16" ht="19.5" customHeight="1">
      <c r="A308" s="1" t="s">
        <v>1502</v>
      </c>
      <c r="B308" s="5">
        <v>45995</v>
      </c>
      <c r="C308" s="1" t="s">
        <v>28</v>
      </c>
      <c r="D308" s="1" t="s">
        <v>29</v>
      </c>
      <c r="E308" s="1" t="s">
        <v>1054</v>
      </c>
      <c r="F308" s="1" t="s">
        <v>1297</v>
      </c>
      <c r="G308" s="1" t="s">
        <v>1298</v>
      </c>
      <c r="H308" s="6">
        <v>1</v>
      </c>
      <c r="I308" s="7">
        <v>1800</v>
      </c>
      <c r="J308" s="5">
        <v>45991</v>
      </c>
      <c r="K308" s="1" t="s">
        <v>957</v>
      </c>
      <c r="L308" s="1" t="s">
        <v>30</v>
      </c>
      <c r="M308" s="8">
        <v>0.43</v>
      </c>
      <c r="N308" s="6"/>
      <c r="O308" s="6">
        <v>48</v>
      </c>
      <c r="P308" s="9">
        <v>-145.28</v>
      </c>
    </row>
    <row r="309" spans="1:16" ht="19.5" customHeight="1">
      <c r="A309" s="1" t="s">
        <v>1502</v>
      </c>
      <c r="B309" s="5">
        <v>45995</v>
      </c>
      <c r="C309" s="1" t="s">
        <v>31</v>
      </c>
      <c r="D309" s="1" t="s">
        <v>32</v>
      </c>
      <c r="E309" s="1" t="s">
        <v>1054</v>
      </c>
      <c r="F309" s="1" t="s">
        <v>1297</v>
      </c>
      <c r="G309" s="1" t="s">
        <v>1298</v>
      </c>
      <c r="H309" s="6">
        <v>1</v>
      </c>
      <c r="I309" s="7">
        <v>1800</v>
      </c>
      <c r="J309" s="5">
        <v>45991</v>
      </c>
      <c r="K309" s="1" t="s">
        <v>957</v>
      </c>
      <c r="L309" s="1" t="s">
        <v>30</v>
      </c>
      <c r="M309" s="8">
        <v>0</v>
      </c>
      <c r="N309" s="6"/>
      <c r="O309" s="6"/>
      <c r="P309" s="9">
        <v>863.81</v>
      </c>
    </row>
    <row r="310" spans="1:16" ht="19.5" customHeight="1">
      <c r="A310" s="1" t="s">
        <v>1502</v>
      </c>
      <c r="B310" s="5">
        <v>45995</v>
      </c>
      <c r="C310" s="1" t="s">
        <v>31</v>
      </c>
      <c r="D310" s="1" t="s">
        <v>33</v>
      </c>
      <c r="E310" s="1" t="s">
        <v>1054</v>
      </c>
      <c r="F310" s="1" t="s">
        <v>1297</v>
      </c>
      <c r="G310" s="1" t="s">
        <v>1298</v>
      </c>
      <c r="H310" s="6">
        <v>1</v>
      </c>
      <c r="I310" s="7">
        <v>1800</v>
      </c>
      <c r="J310" s="5">
        <v>45991</v>
      </c>
      <c r="K310" s="1" t="s">
        <v>957</v>
      </c>
      <c r="L310" s="1" t="s">
        <v>30</v>
      </c>
      <c r="M310" s="8">
        <v>0</v>
      </c>
      <c r="N310" s="6"/>
      <c r="O310" s="6"/>
      <c r="P310" s="9">
        <v>8.64</v>
      </c>
    </row>
    <row r="311" spans="1:16" ht="19.5" customHeight="1">
      <c r="A311" s="1" t="s">
        <v>1502</v>
      </c>
      <c r="B311" s="5">
        <v>45995</v>
      </c>
      <c r="C311" s="1" t="s">
        <v>31</v>
      </c>
      <c r="D311" s="1" t="s">
        <v>34</v>
      </c>
      <c r="E311" s="1" t="s">
        <v>1054</v>
      </c>
      <c r="F311" s="1" t="s">
        <v>1297</v>
      </c>
      <c r="G311" s="1" t="s">
        <v>1298</v>
      </c>
      <c r="H311" s="6">
        <v>1</v>
      </c>
      <c r="I311" s="7">
        <v>1800</v>
      </c>
      <c r="J311" s="5">
        <v>45991</v>
      </c>
      <c r="K311" s="1" t="s">
        <v>957</v>
      </c>
      <c r="L311" s="1" t="s">
        <v>30</v>
      </c>
      <c r="M311" s="8">
        <v>0</v>
      </c>
      <c r="N311" s="6"/>
      <c r="O311" s="6"/>
      <c r="P311" s="9">
        <v>927.55</v>
      </c>
    </row>
    <row r="312" spans="1:16" ht="19.5" customHeight="1">
      <c r="A312" s="1" t="s">
        <v>1502</v>
      </c>
      <c r="B312" s="5">
        <v>45995</v>
      </c>
      <c r="C312" s="1" t="s">
        <v>35</v>
      </c>
      <c r="D312" s="1" t="s">
        <v>36</v>
      </c>
      <c r="E312" s="1" t="s">
        <v>1054</v>
      </c>
      <c r="F312" s="1" t="s">
        <v>1297</v>
      </c>
      <c r="G312" s="1" t="s">
        <v>1298</v>
      </c>
      <c r="H312" s="6">
        <v>1</v>
      </c>
      <c r="I312" s="7">
        <v>1800</v>
      </c>
      <c r="J312" s="5">
        <v>45991</v>
      </c>
      <c r="K312" s="1" t="s">
        <v>957</v>
      </c>
      <c r="L312" s="1" t="s">
        <v>30</v>
      </c>
      <c r="M312" s="8">
        <v>0.43</v>
      </c>
      <c r="N312" s="6"/>
      <c r="O312" s="6"/>
      <c r="P312" s="9">
        <v>-774</v>
      </c>
    </row>
    <row r="313" spans="1:16" ht="19.5" customHeight="1">
      <c r="A313" s="1" t="s">
        <v>1502</v>
      </c>
      <c r="B313" s="5">
        <v>45995</v>
      </c>
      <c r="C313" s="1" t="s">
        <v>17</v>
      </c>
      <c r="D313" s="1" t="s">
        <v>37</v>
      </c>
      <c r="E313" s="1" t="s">
        <v>1054</v>
      </c>
      <c r="F313" s="1" t="s">
        <v>1297</v>
      </c>
      <c r="G313" s="1" t="s">
        <v>1298</v>
      </c>
      <c r="H313" s="6">
        <v>1</v>
      </c>
      <c r="I313" s="7">
        <v>1800</v>
      </c>
      <c r="J313" s="5">
        <v>45991</v>
      </c>
      <c r="K313" s="1" t="s">
        <v>957</v>
      </c>
      <c r="L313" s="1" t="s">
        <v>30</v>
      </c>
      <c r="M313" s="8">
        <v>0.43</v>
      </c>
      <c r="N313" s="6"/>
      <c r="O313" s="6"/>
      <c r="P313" s="9">
        <v>-9.3000000000000007</v>
      </c>
    </row>
    <row r="314" spans="1:16" ht="19.5" customHeight="1">
      <c r="A314" s="1" t="s">
        <v>1503</v>
      </c>
      <c r="B314" s="5">
        <v>45995</v>
      </c>
      <c r="C314" s="1" t="s">
        <v>17</v>
      </c>
      <c r="D314" s="1" t="s">
        <v>18</v>
      </c>
      <c r="E314" s="1" t="s">
        <v>223</v>
      </c>
      <c r="F314" s="1" t="s">
        <v>395</v>
      </c>
      <c r="G314" s="1" t="s">
        <v>1229</v>
      </c>
      <c r="H314" s="6">
        <v>1</v>
      </c>
      <c r="I314" s="7">
        <v>0</v>
      </c>
      <c r="J314" s="5">
        <v>45995</v>
      </c>
      <c r="K314" s="1" t="s">
        <v>22</v>
      </c>
      <c r="L314" s="1" t="s">
        <v>22</v>
      </c>
      <c r="M314" s="8">
        <v>0</v>
      </c>
      <c r="N314" s="6"/>
      <c r="O314" s="6"/>
      <c r="P314" s="9">
        <v>-9.75</v>
      </c>
    </row>
    <row r="315" spans="1:16" ht="19.5" customHeight="1">
      <c r="A315" s="1" t="s">
        <v>22</v>
      </c>
      <c r="B315" s="5">
        <v>45995</v>
      </c>
      <c r="C315" s="1" t="s">
        <v>77</v>
      </c>
      <c r="D315" s="1" t="s">
        <v>78</v>
      </c>
      <c r="E315" s="1" t="s">
        <v>22</v>
      </c>
      <c r="F315" s="1" t="s">
        <v>22</v>
      </c>
      <c r="G315" s="1" t="s">
        <v>1504</v>
      </c>
      <c r="H315" s="6">
        <v>0</v>
      </c>
      <c r="I315" s="7">
        <v>0</v>
      </c>
      <c r="J315" s="5">
        <v>45995</v>
      </c>
      <c r="K315" s="1" t="s">
        <v>22</v>
      </c>
      <c r="L315" s="1" t="s">
        <v>22</v>
      </c>
      <c r="M315" s="8">
        <v>0</v>
      </c>
      <c r="N315" s="6"/>
      <c r="O315" s="6"/>
      <c r="P315" s="9">
        <v>-450</v>
      </c>
    </row>
    <row r="316" spans="1:16" ht="19.5" customHeight="1">
      <c r="A316" s="1" t="s">
        <v>1505</v>
      </c>
      <c r="B316" s="5">
        <v>45996</v>
      </c>
      <c r="C316" s="1" t="s">
        <v>17</v>
      </c>
      <c r="D316" s="1" t="s">
        <v>18</v>
      </c>
      <c r="E316" s="1" t="s">
        <v>223</v>
      </c>
      <c r="F316" s="1" t="s">
        <v>395</v>
      </c>
      <c r="G316" s="1" t="s">
        <v>1229</v>
      </c>
      <c r="H316" s="6">
        <v>1</v>
      </c>
      <c r="I316" s="7">
        <v>0</v>
      </c>
      <c r="J316" s="5">
        <v>45996</v>
      </c>
      <c r="K316" s="1" t="s">
        <v>22</v>
      </c>
      <c r="L316" s="1" t="s">
        <v>22</v>
      </c>
      <c r="M316" s="8">
        <v>0</v>
      </c>
      <c r="N316" s="6"/>
      <c r="O316" s="6"/>
      <c r="P316" s="9">
        <v>-9.75</v>
      </c>
    </row>
    <row r="317" spans="1:16" ht="19.5" customHeight="1">
      <c r="A317" s="1" t="s">
        <v>1506</v>
      </c>
      <c r="B317" s="5">
        <v>45996</v>
      </c>
      <c r="C317" s="1" t="s">
        <v>17</v>
      </c>
      <c r="D317" s="1" t="s">
        <v>18</v>
      </c>
      <c r="E317" s="1" t="s">
        <v>223</v>
      </c>
      <c r="F317" s="1" t="s">
        <v>395</v>
      </c>
      <c r="G317" s="1" t="s">
        <v>1229</v>
      </c>
      <c r="H317" s="6">
        <v>2</v>
      </c>
      <c r="I317" s="7">
        <v>0</v>
      </c>
      <c r="J317" s="5">
        <v>45996</v>
      </c>
      <c r="K317" s="1" t="s">
        <v>22</v>
      </c>
      <c r="L317" s="1" t="s">
        <v>22</v>
      </c>
      <c r="M317" s="8">
        <v>0</v>
      </c>
      <c r="N317" s="6"/>
      <c r="O317" s="6"/>
      <c r="P317" s="9">
        <v>-21.52</v>
      </c>
    </row>
    <row r="318" spans="1:16" ht="19.5" customHeight="1">
      <c r="A318" s="1" t="s">
        <v>1507</v>
      </c>
      <c r="B318" s="5">
        <v>45996</v>
      </c>
      <c r="C318" s="1" t="s">
        <v>28</v>
      </c>
      <c r="D318" s="1" t="s">
        <v>29</v>
      </c>
      <c r="E318" s="1" t="s">
        <v>228</v>
      </c>
      <c r="F318" s="1" t="s">
        <v>393</v>
      </c>
      <c r="G318" s="1" t="s">
        <v>1229</v>
      </c>
      <c r="H318" s="6">
        <v>1</v>
      </c>
      <c r="I318" s="7">
        <v>0</v>
      </c>
      <c r="J318" s="5">
        <v>45991</v>
      </c>
      <c r="K318" s="1" t="s">
        <v>957</v>
      </c>
      <c r="L318" s="1" t="s">
        <v>30</v>
      </c>
      <c r="M318" s="8">
        <v>0</v>
      </c>
      <c r="N318" s="6"/>
      <c r="O318" s="6">
        <v>48</v>
      </c>
      <c r="P318" s="9">
        <v>-46</v>
      </c>
    </row>
    <row r="319" spans="1:16" ht="19.5" customHeight="1">
      <c r="A319" s="1" t="s">
        <v>1507</v>
      </c>
      <c r="B319" s="5">
        <v>45996</v>
      </c>
      <c r="C319" s="1" t="s">
        <v>17</v>
      </c>
      <c r="D319" s="1" t="s">
        <v>37</v>
      </c>
      <c r="E319" s="1" t="s">
        <v>228</v>
      </c>
      <c r="F319" s="1" t="s">
        <v>393</v>
      </c>
      <c r="G319" s="1" t="s">
        <v>1229</v>
      </c>
      <c r="H319" s="6">
        <v>1</v>
      </c>
      <c r="I319" s="7">
        <v>0</v>
      </c>
      <c r="J319" s="5">
        <v>45991</v>
      </c>
      <c r="K319" s="1" t="s">
        <v>957</v>
      </c>
      <c r="L319" s="1" t="s">
        <v>30</v>
      </c>
      <c r="M319" s="8">
        <v>0</v>
      </c>
      <c r="N319" s="6"/>
      <c r="O319" s="6"/>
      <c r="P319" s="9">
        <v>-6.74</v>
      </c>
    </row>
    <row r="320" spans="1:16" ht="19.5" customHeight="1">
      <c r="A320" s="1" t="s">
        <v>1507</v>
      </c>
      <c r="B320" s="5">
        <v>45996</v>
      </c>
      <c r="C320" s="1" t="s">
        <v>28</v>
      </c>
      <c r="D320" s="1" t="s">
        <v>45</v>
      </c>
      <c r="E320" s="1" t="s">
        <v>228</v>
      </c>
      <c r="F320" s="1" t="s">
        <v>393</v>
      </c>
      <c r="G320" s="1" t="s">
        <v>1229</v>
      </c>
      <c r="H320" s="6">
        <v>1</v>
      </c>
      <c r="I320" s="7">
        <v>0</v>
      </c>
      <c r="J320" s="5">
        <v>45991</v>
      </c>
      <c r="K320" s="1" t="s">
        <v>957</v>
      </c>
      <c r="L320" s="1" t="s">
        <v>30</v>
      </c>
      <c r="M320" s="8">
        <v>0</v>
      </c>
      <c r="N320" s="6"/>
      <c r="O320" s="6"/>
      <c r="P320" s="9">
        <v>0</v>
      </c>
    </row>
    <row r="321" spans="1:16" ht="19.5" customHeight="1">
      <c r="A321" s="1" t="s">
        <v>1507</v>
      </c>
      <c r="B321" s="5">
        <v>45996</v>
      </c>
      <c r="C321" s="1" t="s">
        <v>28</v>
      </c>
      <c r="D321" s="1" t="s">
        <v>46</v>
      </c>
      <c r="E321" s="1" t="s">
        <v>228</v>
      </c>
      <c r="F321" s="1" t="s">
        <v>393</v>
      </c>
      <c r="G321" s="1" t="s">
        <v>1229</v>
      </c>
      <c r="H321" s="6">
        <v>1</v>
      </c>
      <c r="I321" s="7">
        <v>0</v>
      </c>
      <c r="J321" s="5">
        <v>45991</v>
      </c>
      <c r="K321" s="1" t="s">
        <v>957</v>
      </c>
      <c r="L321" s="1" t="s">
        <v>30</v>
      </c>
      <c r="M321" s="8">
        <v>0</v>
      </c>
      <c r="N321" s="6"/>
      <c r="O321" s="6"/>
      <c r="P321" s="9">
        <v>-46</v>
      </c>
    </row>
    <row r="322" spans="1:16" ht="19.5" customHeight="1">
      <c r="A322" s="1" t="s">
        <v>1507</v>
      </c>
      <c r="B322" s="5">
        <v>45996</v>
      </c>
      <c r="C322" s="1" t="s">
        <v>17</v>
      </c>
      <c r="D322" s="1" t="s">
        <v>47</v>
      </c>
      <c r="E322" s="1" t="s">
        <v>228</v>
      </c>
      <c r="F322" s="1" t="s">
        <v>393</v>
      </c>
      <c r="G322" s="1" t="s">
        <v>1229</v>
      </c>
      <c r="H322" s="6">
        <v>1</v>
      </c>
      <c r="I322" s="7">
        <v>0</v>
      </c>
      <c r="J322" s="5">
        <v>45991</v>
      </c>
      <c r="K322" s="1" t="s">
        <v>957</v>
      </c>
      <c r="L322" s="1" t="s">
        <v>30</v>
      </c>
      <c r="M322" s="8">
        <v>0</v>
      </c>
      <c r="N322" s="6"/>
      <c r="O322" s="6"/>
      <c r="P322" s="9">
        <v>-15</v>
      </c>
    </row>
    <row r="323" spans="1:16" ht="19.5" customHeight="1">
      <c r="A323" s="1" t="s">
        <v>1508</v>
      </c>
      <c r="B323" s="5">
        <v>45996</v>
      </c>
      <c r="C323" s="1" t="s">
        <v>28</v>
      </c>
      <c r="D323" s="1" t="s">
        <v>29</v>
      </c>
      <c r="E323" s="1" t="s">
        <v>223</v>
      </c>
      <c r="F323" s="1" t="s">
        <v>395</v>
      </c>
      <c r="G323" s="1" t="s">
        <v>1229</v>
      </c>
      <c r="H323" s="6">
        <v>1</v>
      </c>
      <c r="I323" s="7">
        <v>1687</v>
      </c>
      <c r="J323" s="5">
        <v>45992</v>
      </c>
      <c r="K323" s="1" t="s">
        <v>957</v>
      </c>
      <c r="L323" s="1" t="s">
        <v>30</v>
      </c>
      <c r="M323" s="8">
        <v>0.43</v>
      </c>
      <c r="N323" s="6"/>
      <c r="O323" s="6">
        <v>45</v>
      </c>
      <c r="P323" s="9">
        <v>-132.03</v>
      </c>
    </row>
    <row r="324" spans="1:16" ht="19.5" customHeight="1">
      <c r="A324" s="1" t="s">
        <v>1508</v>
      </c>
      <c r="B324" s="5">
        <v>45996</v>
      </c>
      <c r="C324" s="1" t="s">
        <v>31</v>
      </c>
      <c r="D324" s="1" t="s">
        <v>32</v>
      </c>
      <c r="E324" s="1" t="s">
        <v>223</v>
      </c>
      <c r="F324" s="1" t="s">
        <v>395</v>
      </c>
      <c r="G324" s="1" t="s">
        <v>1229</v>
      </c>
      <c r="H324" s="6">
        <v>1</v>
      </c>
      <c r="I324" s="7">
        <v>1687</v>
      </c>
      <c r="J324" s="5">
        <v>45992</v>
      </c>
      <c r="K324" s="1" t="s">
        <v>957</v>
      </c>
      <c r="L324" s="1" t="s">
        <v>30</v>
      </c>
      <c r="M324" s="8">
        <v>0</v>
      </c>
      <c r="N324" s="6"/>
      <c r="O324" s="6"/>
      <c r="P324" s="9">
        <v>671.43</v>
      </c>
    </row>
    <row r="325" spans="1:16" ht="19.5" customHeight="1">
      <c r="A325" s="1" t="s">
        <v>1508</v>
      </c>
      <c r="B325" s="5">
        <v>45996</v>
      </c>
      <c r="C325" s="1" t="s">
        <v>31</v>
      </c>
      <c r="D325" s="1" t="s">
        <v>33</v>
      </c>
      <c r="E325" s="1" t="s">
        <v>223</v>
      </c>
      <c r="F325" s="1" t="s">
        <v>395</v>
      </c>
      <c r="G325" s="1" t="s">
        <v>1229</v>
      </c>
      <c r="H325" s="6">
        <v>1</v>
      </c>
      <c r="I325" s="7">
        <v>1687</v>
      </c>
      <c r="J325" s="5">
        <v>45992</v>
      </c>
      <c r="K325" s="1" t="s">
        <v>957</v>
      </c>
      <c r="L325" s="1" t="s">
        <v>30</v>
      </c>
      <c r="M325" s="8">
        <v>0</v>
      </c>
      <c r="N325" s="6"/>
      <c r="O325" s="6"/>
      <c r="P325" s="9">
        <v>6.71</v>
      </c>
    </row>
    <row r="326" spans="1:16" ht="19.5" customHeight="1">
      <c r="A326" s="1" t="s">
        <v>1508</v>
      </c>
      <c r="B326" s="5">
        <v>45996</v>
      </c>
      <c r="C326" s="1" t="s">
        <v>31</v>
      </c>
      <c r="D326" s="1" t="s">
        <v>34</v>
      </c>
      <c r="E326" s="1" t="s">
        <v>223</v>
      </c>
      <c r="F326" s="1" t="s">
        <v>395</v>
      </c>
      <c r="G326" s="1" t="s">
        <v>1229</v>
      </c>
      <c r="H326" s="6">
        <v>1</v>
      </c>
      <c r="I326" s="7">
        <v>1687</v>
      </c>
      <c r="J326" s="5">
        <v>45992</v>
      </c>
      <c r="K326" s="1" t="s">
        <v>957</v>
      </c>
      <c r="L326" s="1" t="s">
        <v>30</v>
      </c>
      <c r="M326" s="8">
        <v>0</v>
      </c>
      <c r="N326" s="6"/>
      <c r="O326" s="6"/>
      <c r="P326" s="9">
        <v>1008.86</v>
      </c>
    </row>
    <row r="327" spans="1:16" ht="19.5" customHeight="1">
      <c r="A327" s="1" t="s">
        <v>1508</v>
      </c>
      <c r="B327" s="5">
        <v>45996</v>
      </c>
      <c r="C327" s="1" t="s">
        <v>35</v>
      </c>
      <c r="D327" s="1" t="s">
        <v>36</v>
      </c>
      <c r="E327" s="1" t="s">
        <v>223</v>
      </c>
      <c r="F327" s="1" t="s">
        <v>395</v>
      </c>
      <c r="G327" s="1" t="s">
        <v>1229</v>
      </c>
      <c r="H327" s="6">
        <v>1</v>
      </c>
      <c r="I327" s="7">
        <v>1687</v>
      </c>
      <c r="J327" s="5">
        <v>45992</v>
      </c>
      <c r="K327" s="1" t="s">
        <v>957</v>
      </c>
      <c r="L327" s="1" t="s">
        <v>30</v>
      </c>
      <c r="M327" s="8">
        <v>0.43</v>
      </c>
      <c r="N327" s="6"/>
      <c r="O327" s="6"/>
      <c r="P327" s="9">
        <v>-725.41</v>
      </c>
    </row>
    <row r="328" spans="1:16" ht="19.5" customHeight="1">
      <c r="A328" s="1" t="s">
        <v>1508</v>
      </c>
      <c r="B328" s="5">
        <v>45996</v>
      </c>
      <c r="C328" s="1" t="s">
        <v>17</v>
      </c>
      <c r="D328" s="1" t="s">
        <v>37</v>
      </c>
      <c r="E328" s="1" t="s">
        <v>223</v>
      </c>
      <c r="F328" s="1" t="s">
        <v>395</v>
      </c>
      <c r="G328" s="1" t="s">
        <v>1229</v>
      </c>
      <c r="H328" s="6">
        <v>1</v>
      </c>
      <c r="I328" s="7">
        <v>1687</v>
      </c>
      <c r="J328" s="5">
        <v>45992</v>
      </c>
      <c r="K328" s="1" t="s">
        <v>957</v>
      </c>
      <c r="L328" s="1" t="s">
        <v>30</v>
      </c>
      <c r="M328" s="8">
        <v>0.43</v>
      </c>
      <c r="N328" s="6"/>
      <c r="O328" s="6"/>
      <c r="P328" s="9">
        <v>-25</v>
      </c>
    </row>
    <row r="329" spans="1:16" ht="19.5" customHeight="1">
      <c r="A329" s="1" t="s">
        <v>1508</v>
      </c>
      <c r="B329" s="5">
        <v>45996</v>
      </c>
      <c r="C329" s="1" t="s">
        <v>17</v>
      </c>
      <c r="D329" s="1" t="s">
        <v>18</v>
      </c>
      <c r="E329" s="1" t="s">
        <v>223</v>
      </c>
      <c r="F329" s="1" t="s">
        <v>395</v>
      </c>
      <c r="G329" s="1" t="s">
        <v>1229</v>
      </c>
      <c r="H329" s="6">
        <v>1</v>
      </c>
      <c r="I329" s="7">
        <v>0</v>
      </c>
      <c r="J329" s="5">
        <v>45992</v>
      </c>
      <c r="K329" s="1" t="s">
        <v>22</v>
      </c>
      <c r="L329" s="1" t="s">
        <v>22</v>
      </c>
      <c r="M329" s="8">
        <v>0</v>
      </c>
      <c r="N329" s="6"/>
      <c r="O329" s="6"/>
      <c r="P329" s="9">
        <v>-12.76</v>
      </c>
    </row>
    <row r="330" spans="1:16" ht="19.5" customHeight="1">
      <c r="A330" s="1" t="s">
        <v>1509</v>
      </c>
      <c r="B330" s="5">
        <v>45996</v>
      </c>
      <c r="C330" s="1" t="s">
        <v>28</v>
      </c>
      <c r="D330" s="1" t="s">
        <v>29</v>
      </c>
      <c r="E330" s="1" t="s">
        <v>1055</v>
      </c>
      <c r="F330" s="1" t="s">
        <v>1317</v>
      </c>
      <c r="G330" s="1" t="s">
        <v>1298</v>
      </c>
      <c r="H330" s="6">
        <v>1</v>
      </c>
      <c r="I330" s="7">
        <v>2100</v>
      </c>
      <c r="J330" s="5">
        <v>45985</v>
      </c>
      <c r="K330" s="1" t="s">
        <v>957</v>
      </c>
      <c r="L330" s="1" t="s">
        <v>30</v>
      </c>
      <c r="M330" s="8">
        <v>0.43</v>
      </c>
      <c r="N330" s="6"/>
      <c r="O330" s="6">
        <v>43</v>
      </c>
      <c r="P330" s="9">
        <v>-136.6</v>
      </c>
    </row>
    <row r="331" spans="1:16" ht="19.5" customHeight="1">
      <c r="A331" s="1" t="s">
        <v>1509</v>
      </c>
      <c r="B331" s="5">
        <v>45996</v>
      </c>
      <c r="C331" s="1" t="s">
        <v>31</v>
      </c>
      <c r="D331" s="1" t="s">
        <v>32</v>
      </c>
      <c r="E331" s="1" t="s">
        <v>1055</v>
      </c>
      <c r="F331" s="1" t="s">
        <v>1317</v>
      </c>
      <c r="G331" s="1" t="s">
        <v>1298</v>
      </c>
      <c r="H331" s="6">
        <v>1</v>
      </c>
      <c r="I331" s="7">
        <v>2100</v>
      </c>
      <c r="J331" s="5">
        <v>45985</v>
      </c>
      <c r="K331" s="1" t="s">
        <v>957</v>
      </c>
      <c r="L331" s="1" t="s">
        <v>30</v>
      </c>
      <c r="M331" s="8">
        <v>0</v>
      </c>
      <c r="N331" s="6"/>
      <c r="O331" s="6"/>
      <c r="P331" s="9">
        <v>848.72</v>
      </c>
    </row>
    <row r="332" spans="1:16" ht="19.5" customHeight="1">
      <c r="A332" s="1" t="s">
        <v>1509</v>
      </c>
      <c r="B332" s="5">
        <v>45996</v>
      </c>
      <c r="C332" s="1" t="s">
        <v>31</v>
      </c>
      <c r="D332" s="1" t="s">
        <v>33</v>
      </c>
      <c r="E332" s="1" t="s">
        <v>1055</v>
      </c>
      <c r="F332" s="1" t="s">
        <v>1317</v>
      </c>
      <c r="G332" s="1" t="s">
        <v>1298</v>
      </c>
      <c r="H332" s="6">
        <v>1</v>
      </c>
      <c r="I332" s="7">
        <v>2100</v>
      </c>
      <c r="J332" s="5">
        <v>45985</v>
      </c>
      <c r="K332" s="1" t="s">
        <v>957</v>
      </c>
      <c r="L332" s="1" t="s">
        <v>30</v>
      </c>
      <c r="M332" s="8">
        <v>0</v>
      </c>
      <c r="N332" s="6"/>
      <c r="O332" s="6"/>
      <c r="P332" s="9">
        <v>0</v>
      </c>
    </row>
    <row r="333" spans="1:16" ht="19.5" customHeight="1">
      <c r="A333" s="1" t="s">
        <v>1509</v>
      </c>
      <c r="B333" s="5">
        <v>45996</v>
      </c>
      <c r="C333" s="1" t="s">
        <v>31</v>
      </c>
      <c r="D333" s="1" t="s">
        <v>34</v>
      </c>
      <c r="E333" s="1" t="s">
        <v>1055</v>
      </c>
      <c r="F333" s="1" t="s">
        <v>1317</v>
      </c>
      <c r="G333" s="1" t="s">
        <v>1298</v>
      </c>
      <c r="H333" s="6">
        <v>1</v>
      </c>
      <c r="I333" s="7">
        <v>2100</v>
      </c>
      <c r="J333" s="5">
        <v>45985</v>
      </c>
      <c r="K333" s="1" t="s">
        <v>957</v>
      </c>
      <c r="L333" s="1" t="s">
        <v>30</v>
      </c>
      <c r="M333" s="8">
        <v>0</v>
      </c>
      <c r="N333" s="6"/>
      <c r="O333" s="6"/>
      <c r="P333" s="9">
        <v>1251.28</v>
      </c>
    </row>
    <row r="334" spans="1:16" ht="19.5" customHeight="1">
      <c r="A334" s="1" t="s">
        <v>1509</v>
      </c>
      <c r="B334" s="5">
        <v>45996</v>
      </c>
      <c r="C334" s="1" t="s">
        <v>35</v>
      </c>
      <c r="D334" s="1" t="s">
        <v>36</v>
      </c>
      <c r="E334" s="1" t="s">
        <v>1055</v>
      </c>
      <c r="F334" s="1" t="s">
        <v>1317</v>
      </c>
      <c r="G334" s="1" t="s">
        <v>1298</v>
      </c>
      <c r="H334" s="6">
        <v>1</v>
      </c>
      <c r="I334" s="7">
        <v>2100</v>
      </c>
      <c r="J334" s="5">
        <v>45985</v>
      </c>
      <c r="K334" s="1" t="s">
        <v>957</v>
      </c>
      <c r="L334" s="1" t="s">
        <v>30</v>
      </c>
      <c r="M334" s="8">
        <v>0.43</v>
      </c>
      <c r="N334" s="6"/>
      <c r="O334" s="6"/>
      <c r="P334" s="9">
        <v>-903</v>
      </c>
    </row>
    <row r="335" spans="1:16" ht="19.5" customHeight="1">
      <c r="A335" s="1" t="s">
        <v>1509</v>
      </c>
      <c r="B335" s="5">
        <v>45996</v>
      </c>
      <c r="C335" s="1" t="s">
        <v>17</v>
      </c>
      <c r="D335" s="1" t="s">
        <v>37</v>
      </c>
      <c r="E335" s="1" t="s">
        <v>1055</v>
      </c>
      <c r="F335" s="1" t="s">
        <v>1317</v>
      </c>
      <c r="G335" s="1" t="s">
        <v>1298</v>
      </c>
      <c r="H335" s="6">
        <v>1</v>
      </c>
      <c r="I335" s="7">
        <v>2100</v>
      </c>
      <c r="J335" s="5">
        <v>45985</v>
      </c>
      <c r="K335" s="1" t="s">
        <v>957</v>
      </c>
      <c r="L335" s="1" t="s">
        <v>30</v>
      </c>
      <c r="M335" s="8">
        <v>0.43</v>
      </c>
      <c r="N335" s="6"/>
      <c r="O335" s="6"/>
      <c r="P335" s="9">
        <v>-12.41</v>
      </c>
    </row>
    <row r="336" spans="1:16" ht="19.5" customHeight="1">
      <c r="A336" s="1" t="s">
        <v>1509</v>
      </c>
      <c r="B336" s="5">
        <v>45996</v>
      </c>
      <c r="C336" s="1" t="s">
        <v>17</v>
      </c>
      <c r="D336" s="1" t="s">
        <v>18</v>
      </c>
      <c r="E336" s="1" t="s">
        <v>1055</v>
      </c>
      <c r="F336" s="1" t="s">
        <v>1317</v>
      </c>
      <c r="G336" s="1" t="s">
        <v>1298</v>
      </c>
      <c r="H336" s="6">
        <v>1</v>
      </c>
      <c r="I336" s="7">
        <v>0</v>
      </c>
      <c r="J336" s="5">
        <v>45985</v>
      </c>
      <c r="K336" s="1" t="s">
        <v>22</v>
      </c>
      <c r="L336" s="1" t="s">
        <v>22</v>
      </c>
      <c r="M336" s="8">
        <v>0</v>
      </c>
      <c r="N336" s="6"/>
      <c r="O336" s="6"/>
      <c r="P336" s="9">
        <v>-3.65</v>
      </c>
    </row>
    <row r="337" spans="1:16" ht="19.5" customHeight="1">
      <c r="A337" s="1" t="s">
        <v>1510</v>
      </c>
      <c r="B337" s="5">
        <v>45996</v>
      </c>
      <c r="C337" s="1" t="s">
        <v>28</v>
      </c>
      <c r="D337" s="1" t="s">
        <v>29</v>
      </c>
      <c r="E337" s="1" t="s">
        <v>223</v>
      </c>
      <c r="F337" s="1" t="s">
        <v>395</v>
      </c>
      <c r="G337" s="1" t="s">
        <v>1229</v>
      </c>
      <c r="H337" s="6">
        <v>1</v>
      </c>
      <c r="I337" s="7">
        <v>0</v>
      </c>
      <c r="J337" s="5">
        <v>45985</v>
      </c>
      <c r="K337" s="1" t="s">
        <v>957</v>
      </c>
      <c r="L337" s="1" t="s">
        <v>30</v>
      </c>
      <c r="M337" s="8">
        <v>0</v>
      </c>
      <c r="N337" s="6"/>
      <c r="O337" s="6">
        <v>43</v>
      </c>
      <c r="P337" s="9">
        <v>-46</v>
      </c>
    </row>
    <row r="338" spans="1:16" ht="19.5" customHeight="1">
      <c r="A338" s="1" t="s">
        <v>1510</v>
      </c>
      <c r="B338" s="5">
        <v>45996</v>
      </c>
      <c r="C338" s="1" t="s">
        <v>17</v>
      </c>
      <c r="D338" s="1" t="s">
        <v>37</v>
      </c>
      <c r="E338" s="1" t="s">
        <v>223</v>
      </c>
      <c r="F338" s="1" t="s">
        <v>395</v>
      </c>
      <c r="G338" s="1" t="s">
        <v>1229</v>
      </c>
      <c r="H338" s="6">
        <v>1</v>
      </c>
      <c r="I338" s="7">
        <v>0</v>
      </c>
      <c r="J338" s="5">
        <v>45985</v>
      </c>
      <c r="K338" s="1" t="s">
        <v>957</v>
      </c>
      <c r="L338" s="1" t="s">
        <v>30</v>
      </c>
      <c r="M338" s="8">
        <v>0</v>
      </c>
      <c r="N338" s="6"/>
      <c r="O338" s="6"/>
      <c r="P338" s="9">
        <v>-19.13</v>
      </c>
    </row>
    <row r="339" spans="1:16" ht="19.5" customHeight="1">
      <c r="A339" s="1" t="s">
        <v>1510</v>
      </c>
      <c r="B339" s="5">
        <v>45996</v>
      </c>
      <c r="C339" s="1" t="s">
        <v>28</v>
      </c>
      <c r="D339" s="1" t="s">
        <v>45</v>
      </c>
      <c r="E339" s="1" t="s">
        <v>223</v>
      </c>
      <c r="F339" s="1" t="s">
        <v>395</v>
      </c>
      <c r="G339" s="1" t="s">
        <v>1229</v>
      </c>
      <c r="H339" s="6">
        <v>1</v>
      </c>
      <c r="I339" s="7">
        <v>0</v>
      </c>
      <c r="J339" s="5">
        <v>45985</v>
      </c>
      <c r="K339" s="1" t="s">
        <v>957</v>
      </c>
      <c r="L339" s="1" t="s">
        <v>30</v>
      </c>
      <c r="M339" s="8">
        <v>0</v>
      </c>
      <c r="N339" s="6"/>
      <c r="O339" s="6"/>
      <c r="P339" s="9">
        <v>0</v>
      </c>
    </row>
    <row r="340" spans="1:16" ht="19.5" customHeight="1">
      <c r="A340" s="1" t="s">
        <v>1510</v>
      </c>
      <c r="B340" s="5">
        <v>45996</v>
      </c>
      <c r="C340" s="1" t="s">
        <v>28</v>
      </c>
      <c r="D340" s="1" t="s">
        <v>46</v>
      </c>
      <c r="E340" s="1" t="s">
        <v>223</v>
      </c>
      <c r="F340" s="1" t="s">
        <v>395</v>
      </c>
      <c r="G340" s="1" t="s">
        <v>1229</v>
      </c>
      <c r="H340" s="6">
        <v>1</v>
      </c>
      <c r="I340" s="7">
        <v>0</v>
      </c>
      <c r="J340" s="5">
        <v>45985</v>
      </c>
      <c r="K340" s="1" t="s">
        <v>957</v>
      </c>
      <c r="L340" s="1" t="s">
        <v>30</v>
      </c>
      <c r="M340" s="8">
        <v>0</v>
      </c>
      <c r="N340" s="6"/>
      <c r="O340" s="6"/>
      <c r="P340" s="9">
        <v>-46</v>
      </c>
    </row>
    <row r="341" spans="1:16" ht="19.5" customHeight="1">
      <c r="A341" s="1" t="s">
        <v>1510</v>
      </c>
      <c r="B341" s="5">
        <v>45996</v>
      </c>
      <c r="C341" s="1" t="s">
        <v>17</v>
      </c>
      <c r="D341" s="1" t="s">
        <v>47</v>
      </c>
      <c r="E341" s="1" t="s">
        <v>223</v>
      </c>
      <c r="F341" s="1" t="s">
        <v>395</v>
      </c>
      <c r="G341" s="1" t="s">
        <v>1229</v>
      </c>
      <c r="H341" s="6">
        <v>1</v>
      </c>
      <c r="I341" s="7">
        <v>0</v>
      </c>
      <c r="J341" s="5">
        <v>45985</v>
      </c>
      <c r="K341" s="1" t="s">
        <v>957</v>
      </c>
      <c r="L341" s="1" t="s">
        <v>30</v>
      </c>
      <c r="M341" s="8">
        <v>0</v>
      </c>
      <c r="N341" s="6"/>
      <c r="O341" s="6"/>
      <c r="P341" s="9">
        <v>-15</v>
      </c>
    </row>
    <row r="342" spans="1:16" ht="19.5" customHeight="1">
      <c r="A342" s="1" t="s">
        <v>1511</v>
      </c>
      <c r="B342" s="5">
        <v>45996</v>
      </c>
      <c r="C342" s="1" t="s">
        <v>17</v>
      </c>
      <c r="D342" s="1" t="s">
        <v>1512</v>
      </c>
      <c r="E342" s="1" t="s">
        <v>1054</v>
      </c>
      <c r="F342" s="1" t="s">
        <v>1297</v>
      </c>
      <c r="G342" s="1" t="s">
        <v>1298</v>
      </c>
      <c r="H342" s="6">
        <v>1</v>
      </c>
      <c r="I342" s="7">
        <v>0</v>
      </c>
      <c r="J342" s="5">
        <v>45996</v>
      </c>
      <c r="K342" s="1" t="s">
        <v>22</v>
      </c>
      <c r="L342" s="1" t="s">
        <v>22</v>
      </c>
      <c r="M342" s="8">
        <v>0</v>
      </c>
      <c r="N342" s="6"/>
      <c r="O342" s="6"/>
      <c r="P342" s="9">
        <v>-12</v>
      </c>
    </row>
    <row r="343" spans="1:16" ht="19.5" customHeight="1">
      <c r="A343" s="1" t="s">
        <v>1347</v>
      </c>
      <c r="B343" s="5">
        <v>45996</v>
      </c>
      <c r="C343" s="1" t="s">
        <v>17</v>
      </c>
      <c r="D343" s="1" t="s">
        <v>18</v>
      </c>
      <c r="E343" s="1" t="s">
        <v>223</v>
      </c>
      <c r="F343" s="1" t="s">
        <v>395</v>
      </c>
      <c r="G343" s="1" t="s">
        <v>1229</v>
      </c>
      <c r="H343" s="6">
        <v>1</v>
      </c>
      <c r="I343" s="7">
        <v>0</v>
      </c>
      <c r="J343" s="5">
        <v>45985</v>
      </c>
      <c r="K343" s="1" t="s">
        <v>22</v>
      </c>
      <c r="L343" s="1" t="s">
        <v>22</v>
      </c>
      <c r="M343" s="8">
        <v>0</v>
      </c>
      <c r="N343" s="6"/>
      <c r="O343" s="6"/>
      <c r="P343" s="9">
        <v>3.38</v>
      </c>
    </row>
    <row r="344" spans="1:16" ht="19.5" customHeight="1">
      <c r="A344" s="1" t="s">
        <v>1513</v>
      </c>
      <c r="B344" s="5">
        <v>45996</v>
      </c>
      <c r="C344" s="1" t="s">
        <v>28</v>
      </c>
      <c r="D344" s="1" t="s">
        <v>29</v>
      </c>
      <c r="E344" s="1" t="s">
        <v>223</v>
      </c>
      <c r="F344" s="1" t="s">
        <v>395</v>
      </c>
      <c r="G344" s="1" t="s">
        <v>1229</v>
      </c>
      <c r="H344" s="6">
        <v>1</v>
      </c>
      <c r="I344" s="7">
        <v>1374</v>
      </c>
      <c r="J344" s="5">
        <v>45989</v>
      </c>
      <c r="K344" s="1" t="s">
        <v>957</v>
      </c>
      <c r="L344" s="1" t="s">
        <v>30</v>
      </c>
      <c r="M344" s="8">
        <v>0.43</v>
      </c>
      <c r="N344" s="6"/>
      <c r="O344" s="6">
        <v>44</v>
      </c>
      <c r="P344" s="9">
        <v>-118.26</v>
      </c>
    </row>
    <row r="345" spans="1:16" ht="19.5" customHeight="1">
      <c r="A345" s="1" t="s">
        <v>1513</v>
      </c>
      <c r="B345" s="5">
        <v>45996</v>
      </c>
      <c r="C345" s="1" t="s">
        <v>31</v>
      </c>
      <c r="D345" s="1" t="s">
        <v>32</v>
      </c>
      <c r="E345" s="1" t="s">
        <v>223</v>
      </c>
      <c r="F345" s="1" t="s">
        <v>395</v>
      </c>
      <c r="G345" s="1" t="s">
        <v>1229</v>
      </c>
      <c r="H345" s="6">
        <v>1</v>
      </c>
      <c r="I345" s="7">
        <v>1374</v>
      </c>
      <c r="J345" s="5">
        <v>45989</v>
      </c>
      <c r="K345" s="1" t="s">
        <v>957</v>
      </c>
      <c r="L345" s="1" t="s">
        <v>30</v>
      </c>
      <c r="M345" s="8">
        <v>0</v>
      </c>
      <c r="N345" s="6"/>
      <c r="O345" s="6"/>
      <c r="P345" s="9">
        <v>504.28</v>
      </c>
    </row>
    <row r="346" spans="1:16" ht="19.5" customHeight="1">
      <c r="A346" s="1" t="s">
        <v>1513</v>
      </c>
      <c r="B346" s="5">
        <v>45996</v>
      </c>
      <c r="C346" s="1" t="s">
        <v>31</v>
      </c>
      <c r="D346" s="1" t="s">
        <v>33</v>
      </c>
      <c r="E346" s="1" t="s">
        <v>223</v>
      </c>
      <c r="F346" s="1" t="s">
        <v>395</v>
      </c>
      <c r="G346" s="1" t="s">
        <v>1229</v>
      </c>
      <c r="H346" s="6">
        <v>1</v>
      </c>
      <c r="I346" s="7">
        <v>1374</v>
      </c>
      <c r="J346" s="5">
        <v>45989</v>
      </c>
      <c r="K346" s="1" t="s">
        <v>957</v>
      </c>
      <c r="L346" s="1" t="s">
        <v>30</v>
      </c>
      <c r="M346" s="8">
        <v>0</v>
      </c>
      <c r="N346" s="6"/>
      <c r="O346" s="6"/>
      <c r="P346" s="9">
        <v>5.04</v>
      </c>
    </row>
    <row r="347" spans="1:16" ht="19.5" customHeight="1">
      <c r="A347" s="1" t="s">
        <v>1513</v>
      </c>
      <c r="B347" s="5">
        <v>45996</v>
      </c>
      <c r="C347" s="1" t="s">
        <v>31</v>
      </c>
      <c r="D347" s="1" t="s">
        <v>34</v>
      </c>
      <c r="E347" s="1" t="s">
        <v>223</v>
      </c>
      <c r="F347" s="1" t="s">
        <v>395</v>
      </c>
      <c r="G347" s="1" t="s">
        <v>1229</v>
      </c>
      <c r="H347" s="6">
        <v>1</v>
      </c>
      <c r="I347" s="7">
        <v>1374</v>
      </c>
      <c r="J347" s="5">
        <v>45989</v>
      </c>
      <c r="K347" s="1" t="s">
        <v>957</v>
      </c>
      <c r="L347" s="1" t="s">
        <v>30</v>
      </c>
      <c r="M347" s="8">
        <v>0</v>
      </c>
      <c r="N347" s="6"/>
      <c r="O347" s="6"/>
      <c r="P347" s="9">
        <v>864.68</v>
      </c>
    </row>
    <row r="348" spans="1:16" ht="19.5" customHeight="1">
      <c r="A348" s="1" t="s">
        <v>1513</v>
      </c>
      <c r="B348" s="5">
        <v>45996</v>
      </c>
      <c r="C348" s="1" t="s">
        <v>35</v>
      </c>
      <c r="D348" s="1" t="s">
        <v>36</v>
      </c>
      <c r="E348" s="1" t="s">
        <v>223</v>
      </c>
      <c r="F348" s="1" t="s">
        <v>395</v>
      </c>
      <c r="G348" s="1" t="s">
        <v>1229</v>
      </c>
      <c r="H348" s="6">
        <v>1</v>
      </c>
      <c r="I348" s="7">
        <v>1374</v>
      </c>
      <c r="J348" s="5">
        <v>45989</v>
      </c>
      <c r="K348" s="1" t="s">
        <v>957</v>
      </c>
      <c r="L348" s="1" t="s">
        <v>30</v>
      </c>
      <c r="M348" s="8">
        <v>0.43</v>
      </c>
      <c r="N348" s="6"/>
      <c r="O348" s="6"/>
      <c r="P348" s="9">
        <v>-590.82000000000005</v>
      </c>
    </row>
    <row r="349" spans="1:16" ht="19.5" customHeight="1">
      <c r="A349" s="1" t="s">
        <v>1513</v>
      </c>
      <c r="B349" s="5">
        <v>45996</v>
      </c>
      <c r="C349" s="1" t="s">
        <v>17</v>
      </c>
      <c r="D349" s="1" t="s">
        <v>37</v>
      </c>
      <c r="E349" s="1" t="s">
        <v>223</v>
      </c>
      <c r="F349" s="1" t="s">
        <v>395</v>
      </c>
      <c r="G349" s="1" t="s">
        <v>1229</v>
      </c>
      <c r="H349" s="6">
        <v>1</v>
      </c>
      <c r="I349" s="7">
        <v>1374</v>
      </c>
      <c r="J349" s="5">
        <v>45989</v>
      </c>
      <c r="K349" s="1" t="s">
        <v>957</v>
      </c>
      <c r="L349" s="1" t="s">
        <v>30</v>
      </c>
      <c r="M349" s="8">
        <v>0.43</v>
      </c>
      <c r="N349" s="6"/>
      <c r="O349" s="6"/>
      <c r="P349" s="9">
        <v>-7.63</v>
      </c>
    </row>
    <row r="350" spans="1:16" ht="19.5" customHeight="1">
      <c r="A350" s="1" t="s">
        <v>1514</v>
      </c>
      <c r="B350" s="5">
        <v>45996</v>
      </c>
      <c r="C350" s="1" t="s">
        <v>28</v>
      </c>
      <c r="D350" s="1" t="s">
        <v>29</v>
      </c>
      <c r="E350" s="1" t="s">
        <v>25</v>
      </c>
      <c r="F350" s="1" t="s">
        <v>26</v>
      </c>
      <c r="G350" s="1" t="s">
        <v>1229</v>
      </c>
      <c r="H350" s="6">
        <v>1</v>
      </c>
      <c r="I350" s="7">
        <v>1738</v>
      </c>
      <c r="J350" s="5">
        <v>45991</v>
      </c>
      <c r="K350" s="1" t="s">
        <v>957</v>
      </c>
      <c r="L350" s="1" t="s">
        <v>30</v>
      </c>
      <c r="M350" s="8">
        <v>0.43</v>
      </c>
      <c r="N350" s="6"/>
      <c r="O350" s="6">
        <v>48</v>
      </c>
      <c r="P350" s="9">
        <v>-143.02000000000001</v>
      </c>
    </row>
    <row r="351" spans="1:16" ht="19.5" customHeight="1">
      <c r="A351" s="1" t="s">
        <v>1514</v>
      </c>
      <c r="B351" s="5">
        <v>45996</v>
      </c>
      <c r="C351" s="1" t="s">
        <v>31</v>
      </c>
      <c r="D351" s="1" t="s">
        <v>32</v>
      </c>
      <c r="E351" s="1" t="s">
        <v>25</v>
      </c>
      <c r="F351" s="1" t="s">
        <v>26</v>
      </c>
      <c r="G351" s="1" t="s">
        <v>1229</v>
      </c>
      <c r="H351" s="6">
        <v>1</v>
      </c>
      <c r="I351" s="7">
        <v>1738</v>
      </c>
      <c r="J351" s="5">
        <v>45991</v>
      </c>
      <c r="K351" s="1" t="s">
        <v>957</v>
      </c>
      <c r="L351" s="1" t="s">
        <v>30</v>
      </c>
      <c r="M351" s="8">
        <v>0</v>
      </c>
      <c r="N351" s="6"/>
      <c r="O351" s="6"/>
      <c r="P351" s="9">
        <v>607.62</v>
      </c>
    </row>
    <row r="352" spans="1:16" ht="19.5" customHeight="1">
      <c r="A352" s="1" t="s">
        <v>1514</v>
      </c>
      <c r="B352" s="5">
        <v>45996</v>
      </c>
      <c r="C352" s="1" t="s">
        <v>31</v>
      </c>
      <c r="D352" s="1" t="s">
        <v>33</v>
      </c>
      <c r="E352" s="1" t="s">
        <v>25</v>
      </c>
      <c r="F352" s="1" t="s">
        <v>26</v>
      </c>
      <c r="G352" s="1" t="s">
        <v>1229</v>
      </c>
      <c r="H352" s="6">
        <v>1</v>
      </c>
      <c r="I352" s="7">
        <v>1738</v>
      </c>
      <c r="J352" s="5">
        <v>45991</v>
      </c>
      <c r="K352" s="1" t="s">
        <v>957</v>
      </c>
      <c r="L352" s="1" t="s">
        <v>30</v>
      </c>
      <c r="M352" s="8">
        <v>0</v>
      </c>
      <c r="N352" s="6"/>
      <c r="O352" s="6"/>
      <c r="P352" s="9">
        <v>6.08</v>
      </c>
    </row>
    <row r="353" spans="1:16" ht="19.5" customHeight="1">
      <c r="A353" s="1" t="s">
        <v>1514</v>
      </c>
      <c r="B353" s="5">
        <v>45996</v>
      </c>
      <c r="C353" s="1" t="s">
        <v>31</v>
      </c>
      <c r="D353" s="1" t="s">
        <v>34</v>
      </c>
      <c r="E353" s="1" t="s">
        <v>25</v>
      </c>
      <c r="F353" s="1" t="s">
        <v>26</v>
      </c>
      <c r="G353" s="1" t="s">
        <v>1229</v>
      </c>
      <c r="H353" s="6">
        <v>1</v>
      </c>
      <c r="I353" s="7">
        <v>1738</v>
      </c>
      <c r="J353" s="5">
        <v>45991</v>
      </c>
      <c r="K353" s="1" t="s">
        <v>957</v>
      </c>
      <c r="L353" s="1" t="s">
        <v>30</v>
      </c>
      <c r="M353" s="8">
        <v>0</v>
      </c>
      <c r="N353" s="6"/>
      <c r="O353" s="6"/>
      <c r="P353" s="9">
        <v>1124.3</v>
      </c>
    </row>
    <row r="354" spans="1:16" ht="19.5" customHeight="1">
      <c r="A354" s="1" t="s">
        <v>1514</v>
      </c>
      <c r="B354" s="5">
        <v>45996</v>
      </c>
      <c r="C354" s="1" t="s">
        <v>35</v>
      </c>
      <c r="D354" s="1" t="s">
        <v>36</v>
      </c>
      <c r="E354" s="1" t="s">
        <v>25</v>
      </c>
      <c r="F354" s="1" t="s">
        <v>26</v>
      </c>
      <c r="G354" s="1" t="s">
        <v>1229</v>
      </c>
      <c r="H354" s="6">
        <v>1</v>
      </c>
      <c r="I354" s="7">
        <v>1738</v>
      </c>
      <c r="J354" s="5">
        <v>45991</v>
      </c>
      <c r="K354" s="1" t="s">
        <v>957</v>
      </c>
      <c r="L354" s="1" t="s">
        <v>30</v>
      </c>
      <c r="M354" s="8">
        <v>0.43</v>
      </c>
      <c r="N354" s="6"/>
      <c r="O354" s="6"/>
      <c r="P354" s="9">
        <v>-747.34</v>
      </c>
    </row>
    <row r="355" spans="1:16" ht="19.5" customHeight="1">
      <c r="A355" s="1" t="s">
        <v>1514</v>
      </c>
      <c r="B355" s="5">
        <v>45996</v>
      </c>
      <c r="C355" s="1" t="s">
        <v>17</v>
      </c>
      <c r="D355" s="1" t="s">
        <v>37</v>
      </c>
      <c r="E355" s="1" t="s">
        <v>25</v>
      </c>
      <c r="F355" s="1" t="s">
        <v>26</v>
      </c>
      <c r="G355" s="1" t="s">
        <v>1229</v>
      </c>
      <c r="H355" s="6">
        <v>1</v>
      </c>
      <c r="I355" s="7">
        <v>1738</v>
      </c>
      <c r="J355" s="5">
        <v>45991</v>
      </c>
      <c r="K355" s="1" t="s">
        <v>957</v>
      </c>
      <c r="L355" s="1" t="s">
        <v>30</v>
      </c>
      <c r="M355" s="8">
        <v>0.43</v>
      </c>
      <c r="N355" s="6"/>
      <c r="O355" s="6"/>
      <c r="P355" s="9">
        <v>-17.63</v>
      </c>
    </row>
    <row r="356" spans="1:16" ht="19.5" customHeight="1">
      <c r="A356" s="1" t="s">
        <v>1514</v>
      </c>
      <c r="B356" s="5">
        <v>45996</v>
      </c>
      <c r="C356" s="1" t="s">
        <v>17</v>
      </c>
      <c r="D356" s="1" t="s">
        <v>18</v>
      </c>
      <c r="E356" s="1" t="s">
        <v>25</v>
      </c>
      <c r="F356" s="1" t="s">
        <v>26</v>
      </c>
      <c r="G356" s="1" t="s">
        <v>1229</v>
      </c>
      <c r="H356" s="6">
        <v>1</v>
      </c>
      <c r="I356" s="7">
        <v>0</v>
      </c>
      <c r="J356" s="5">
        <v>45991</v>
      </c>
      <c r="K356" s="1" t="s">
        <v>22</v>
      </c>
      <c r="L356" s="1" t="s">
        <v>22</v>
      </c>
      <c r="M356" s="8">
        <v>0</v>
      </c>
      <c r="N356" s="6"/>
      <c r="O356" s="6"/>
      <c r="P356" s="9">
        <v>-11.54</v>
      </c>
    </row>
    <row r="357" spans="1:16" ht="19.5" customHeight="1">
      <c r="A357" s="1" t="s">
        <v>1515</v>
      </c>
      <c r="B357" s="5">
        <v>45996</v>
      </c>
      <c r="C357" s="1" t="s">
        <v>17</v>
      </c>
      <c r="D357" s="1" t="s">
        <v>18</v>
      </c>
      <c r="E357" s="1" t="s">
        <v>228</v>
      </c>
      <c r="F357" s="1" t="s">
        <v>393</v>
      </c>
      <c r="G357" s="1" t="s">
        <v>1229</v>
      </c>
      <c r="H357" s="6">
        <v>1</v>
      </c>
      <c r="I357" s="7">
        <v>0</v>
      </c>
      <c r="J357" s="5">
        <v>45996</v>
      </c>
      <c r="K357" s="1" t="s">
        <v>22</v>
      </c>
      <c r="L357" s="1" t="s">
        <v>22</v>
      </c>
      <c r="M357" s="8">
        <v>0</v>
      </c>
      <c r="N357" s="6"/>
      <c r="O357" s="6"/>
      <c r="P357" s="9">
        <v>-13.88</v>
      </c>
    </row>
    <row r="358" spans="1:16" ht="19.5" customHeight="1">
      <c r="A358" s="1" t="s">
        <v>1516</v>
      </c>
      <c r="B358" s="5">
        <v>45996</v>
      </c>
      <c r="C358" s="1" t="s">
        <v>28</v>
      </c>
      <c r="D358" s="1" t="s">
        <v>29</v>
      </c>
      <c r="E358" s="1" t="s">
        <v>25</v>
      </c>
      <c r="F358" s="1" t="s">
        <v>26</v>
      </c>
      <c r="G358" s="1" t="s">
        <v>1229</v>
      </c>
      <c r="H358" s="6">
        <v>1</v>
      </c>
      <c r="I358" s="7">
        <v>1738</v>
      </c>
      <c r="J358" s="5">
        <v>45994</v>
      </c>
      <c r="K358" s="1" t="s">
        <v>957</v>
      </c>
      <c r="L358" s="1" t="s">
        <v>30</v>
      </c>
      <c r="M358" s="8">
        <v>0.43</v>
      </c>
      <c r="N358" s="6"/>
      <c r="O358" s="6">
        <v>40</v>
      </c>
      <c r="P358" s="9">
        <v>-113.78</v>
      </c>
    </row>
    <row r="359" spans="1:16" ht="19.5" customHeight="1">
      <c r="A359" s="1" t="s">
        <v>1516</v>
      </c>
      <c r="B359" s="5">
        <v>45996</v>
      </c>
      <c r="C359" s="1" t="s">
        <v>31</v>
      </c>
      <c r="D359" s="1" t="s">
        <v>32</v>
      </c>
      <c r="E359" s="1" t="s">
        <v>25</v>
      </c>
      <c r="F359" s="1" t="s">
        <v>26</v>
      </c>
      <c r="G359" s="1" t="s">
        <v>1229</v>
      </c>
      <c r="H359" s="6">
        <v>1</v>
      </c>
      <c r="I359" s="7">
        <v>1738</v>
      </c>
      <c r="J359" s="5">
        <v>45994</v>
      </c>
      <c r="K359" s="1" t="s">
        <v>957</v>
      </c>
      <c r="L359" s="1" t="s">
        <v>30</v>
      </c>
      <c r="M359" s="8">
        <v>0</v>
      </c>
      <c r="N359" s="6"/>
      <c r="O359" s="6"/>
      <c r="P359" s="9">
        <v>661.27</v>
      </c>
    </row>
    <row r="360" spans="1:16" ht="19.5" customHeight="1">
      <c r="A360" s="1" t="s">
        <v>1516</v>
      </c>
      <c r="B360" s="5">
        <v>45996</v>
      </c>
      <c r="C360" s="1" t="s">
        <v>31</v>
      </c>
      <c r="D360" s="1" t="s">
        <v>33</v>
      </c>
      <c r="E360" s="1" t="s">
        <v>25</v>
      </c>
      <c r="F360" s="1" t="s">
        <v>26</v>
      </c>
      <c r="G360" s="1" t="s">
        <v>1229</v>
      </c>
      <c r="H360" s="6">
        <v>1</v>
      </c>
      <c r="I360" s="7">
        <v>1738</v>
      </c>
      <c r="J360" s="5">
        <v>45994</v>
      </c>
      <c r="K360" s="1" t="s">
        <v>957</v>
      </c>
      <c r="L360" s="1" t="s">
        <v>30</v>
      </c>
      <c r="M360" s="8">
        <v>0</v>
      </c>
      <c r="N360" s="6"/>
      <c r="O360" s="6"/>
      <c r="P360" s="9">
        <v>0</v>
      </c>
    </row>
    <row r="361" spans="1:16" ht="19.5" customHeight="1">
      <c r="A361" s="1" t="s">
        <v>1516</v>
      </c>
      <c r="B361" s="5">
        <v>45996</v>
      </c>
      <c r="C361" s="1" t="s">
        <v>31</v>
      </c>
      <c r="D361" s="1" t="s">
        <v>34</v>
      </c>
      <c r="E361" s="1" t="s">
        <v>25</v>
      </c>
      <c r="F361" s="1" t="s">
        <v>26</v>
      </c>
      <c r="G361" s="1" t="s">
        <v>1229</v>
      </c>
      <c r="H361" s="6">
        <v>1</v>
      </c>
      <c r="I361" s="7">
        <v>1738</v>
      </c>
      <c r="J361" s="5">
        <v>45994</v>
      </c>
      <c r="K361" s="1" t="s">
        <v>957</v>
      </c>
      <c r="L361" s="1" t="s">
        <v>30</v>
      </c>
      <c r="M361" s="8">
        <v>0</v>
      </c>
      <c r="N361" s="6"/>
      <c r="O361" s="6"/>
      <c r="P361" s="9">
        <v>1076.73</v>
      </c>
    </row>
    <row r="362" spans="1:16" ht="19.5" customHeight="1">
      <c r="A362" s="1" t="s">
        <v>1516</v>
      </c>
      <c r="B362" s="5">
        <v>45996</v>
      </c>
      <c r="C362" s="1" t="s">
        <v>35</v>
      </c>
      <c r="D362" s="1" t="s">
        <v>36</v>
      </c>
      <c r="E362" s="1" t="s">
        <v>25</v>
      </c>
      <c r="F362" s="1" t="s">
        <v>26</v>
      </c>
      <c r="G362" s="1" t="s">
        <v>1229</v>
      </c>
      <c r="H362" s="6">
        <v>1</v>
      </c>
      <c r="I362" s="7">
        <v>1738</v>
      </c>
      <c r="J362" s="5">
        <v>45994</v>
      </c>
      <c r="K362" s="1" t="s">
        <v>957</v>
      </c>
      <c r="L362" s="1" t="s">
        <v>30</v>
      </c>
      <c r="M362" s="8">
        <v>0.43</v>
      </c>
      <c r="N362" s="6"/>
      <c r="O362" s="6"/>
      <c r="P362" s="9">
        <v>-747.34</v>
      </c>
    </row>
    <row r="363" spans="1:16" ht="19.5" customHeight="1">
      <c r="A363" s="1" t="s">
        <v>1516</v>
      </c>
      <c r="B363" s="5">
        <v>45996</v>
      </c>
      <c r="C363" s="1" t="s">
        <v>17</v>
      </c>
      <c r="D363" s="1" t="s">
        <v>37</v>
      </c>
      <c r="E363" s="1" t="s">
        <v>25</v>
      </c>
      <c r="F363" s="1" t="s">
        <v>26</v>
      </c>
      <c r="G363" s="1" t="s">
        <v>1229</v>
      </c>
      <c r="H363" s="6">
        <v>1</v>
      </c>
      <c r="I363" s="7">
        <v>1738</v>
      </c>
      <c r="J363" s="5">
        <v>45994</v>
      </c>
      <c r="K363" s="1" t="s">
        <v>957</v>
      </c>
      <c r="L363" s="1" t="s">
        <v>30</v>
      </c>
      <c r="M363" s="8">
        <v>0.43</v>
      </c>
      <c r="N363" s="6"/>
      <c r="O363" s="6"/>
      <c r="P363" s="9">
        <v>-8.65</v>
      </c>
    </row>
    <row r="364" spans="1:16" ht="19.5" customHeight="1">
      <c r="A364" s="1" t="s">
        <v>1517</v>
      </c>
      <c r="B364" s="5">
        <v>45996</v>
      </c>
      <c r="C364" s="1" t="s">
        <v>28</v>
      </c>
      <c r="D364" s="1" t="s">
        <v>29</v>
      </c>
      <c r="E364" s="1" t="s">
        <v>223</v>
      </c>
      <c r="F364" s="1" t="s">
        <v>395</v>
      </c>
      <c r="G364" s="1" t="s">
        <v>1229</v>
      </c>
      <c r="H364" s="6">
        <v>1</v>
      </c>
      <c r="I364" s="7">
        <v>1687</v>
      </c>
      <c r="J364" s="5">
        <v>45992</v>
      </c>
      <c r="K364" s="1" t="s">
        <v>957</v>
      </c>
      <c r="L364" s="1" t="s">
        <v>30</v>
      </c>
      <c r="M364" s="8">
        <v>0.43</v>
      </c>
      <c r="N364" s="6"/>
      <c r="O364" s="6">
        <v>45</v>
      </c>
      <c r="P364" s="9">
        <v>-132.03</v>
      </c>
    </row>
    <row r="365" spans="1:16" ht="19.5" customHeight="1">
      <c r="A365" s="1" t="s">
        <v>1517</v>
      </c>
      <c r="B365" s="5">
        <v>45996</v>
      </c>
      <c r="C365" s="1" t="s">
        <v>31</v>
      </c>
      <c r="D365" s="1" t="s">
        <v>32</v>
      </c>
      <c r="E365" s="1" t="s">
        <v>223</v>
      </c>
      <c r="F365" s="1" t="s">
        <v>395</v>
      </c>
      <c r="G365" s="1" t="s">
        <v>1229</v>
      </c>
      <c r="H365" s="6">
        <v>1</v>
      </c>
      <c r="I365" s="7">
        <v>1687</v>
      </c>
      <c r="J365" s="5">
        <v>45992</v>
      </c>
      <c r="K365" s="1" t="s">
        <v>957</v>
      </c>
      <c r="L365" s="1" t="s">
        <v>30</v>
      </c>
      <c r="M365" s="8">
        <v>0</v>
      </c>
      <c r="N365" s="6"/>
      <c r="O365" s="6"/>
      <c r="P365" s="9">
        <v>736.19</v>
      </c>
    </row>
    <row r="366" spans="1:16" ht="19.5" customHeight="1">
      <c r="A366" s="1" t="s">
        <v>1517</v>
      </c>
      <c r="B366" s="5">
        <v>45996</v>
      </c>
      <c r="C366" s="1" t="s">
        <v>31</v>
      </c>
      <c r="D366" s="1" t="s">
        <v>33</v>
      </c>
      <c r="E366" s="1" t="s">
        <v>223</v>
      </c>
      <c r="F366" s="1" t="s">
        <v>395</v>
      </c>
      <c r="G366" s="1" t="s">
        <v>1229</v>
      </c>
      <c r="H366" s="6">
        <v>1</v>
      </c>
      <c r="I366" s="7">
        <v>1687</v>
      </c>
      <c r="J366" s="5">
        <v>45992</v>
      </c>
      <c r="K366" s="1" t="s">
        <v>957</v>
      </c>
      <c r="L366" s="1" t="s">
        <v>30</v>
      </c>
      <c r="M366" s="8">
        <v>0</v>
      </c>
      <c r="N366" s="6"/>
      <c r="O366" s="6"/>
      <c r="P366" s="9">
        <v>0</v>
      </c>
    </row>
    <row r="367" spans="1:16" ht="19.5" customHeight="1">
      <c r="A367" s="1" t="s">
        <v>1517</v>
      </c>
      <c r="B367" s="5">
        <v>45996</v>
      </c>
      <c r="C367" s="1" t="s">
        <v>31</v>
      </c>
      <c r="D367" s="1" t="s">
        <v>34</v>
      </c>
      <c r="E367" s="1" t="s">
        <v>223</v>
      </c>
      <c r="F367" s="1" t="s">
        <v>395</v>
      </c>
      <c r="G367" s="1" t="s">
        <v>1229</v>
      </c>
      <c r="H367" s="6">
        <v>1</v>
      </c>
      <c r="I367" s="7">
        <v>1687</v>
      </c>
      <c r="J367" s="5">
        <v>45992</v>
      </c>
      <c r="K367" s="1" t="s">
        <v>957</v>
      </c>
      <c r="L367" s="1" t="s">
        <v>30</v>
      </c>
      <c r="M367" s="8">
        <v>0</v>
      </c>
      <c r="N367" s="6"/>
      <c r="O367" s="6"/>
      <c r="P367" s="9">
        <v>950.81</v>
      </c>
    </row>
    <row r="368" spans="1:16" ht="19.5" customHeight="1">
      <c r="A368" s="1" t="s">
        <v>1517</v>
      </c>
      <c r="B368" s="5">
        <v>45996</v>
      </c>
      <c r="C368" s="1" t="s">
        <v>35</v>
      </c>
      <c r="D368" s="1" t="s">
        <v>36</v>
      </c>
      <c r="E368" s="1" t="s">
        <v>223</v>
      </c>
      <c r="F368" s="1" t="s">
        <v>395</v>
      </c>
      <c r="G368" s="1" t="s">
        <v>1229</v>
      </c>
      <c r="H368" s="6">
        <v>1</v>
      </c>
      <c r="I368" s="7">
        <v>1687</v>
      </c>
      <c r="J368" s="5">
        <v>45992</v>
      </c>
      <c r="K368" s="1" t="s">
        <v>957</v>
      </c>
      <c r="L368" s="1" t="s">
        <v>30</v>
      </c>
      <c r="M368" s="8">
        <v>0.43</v>
      </c>
      <c r="N368" s="6"/>
      <c r="O368" s="6"/>
      <c r="P368" s="9">
        <v>-725.41</v>
      </c>
    </row>
    <row r="369" spans="1:16" ht="19.5" customHeight="1">
      <c r="A369" s="1" t="s">
        <v>1517</v>
      </c>
      <c r="B369" s="5">
        <v>45996</v>
      </c>
      <c r="C369" s="1" t="s">
        <v>17</v>
      </c>
      <c r="D369" s="1" t="s">
        <v>37</v>
      </c>
      <c r="E369" s="1" t="s">
        <v>223</v>
      </c>
      <c r="F369" s="1" t="s">
        <v>395</v>
      </c>
      <c r="G369" s="1" t="s">
        <v>1229</v>
      </c>
      <c r="H369" s="6">
        <v>1</v>
      </c>
      <c r="I369" s="7">
        <v>1687</v>
      </c>
      <c r="J369" s="5">
        <v>45992</v>
      </c>
      <c r="K369" s="1" t="s">
        <v>957</v>
      </c>
      <c r="L369" s="1" t="s">
        <v>30</v>
      </c>
      <c r="M369" s="8">
        <v>0.43</v>
      </c>
      <c r="N369" s="6"/>
      <c r="O369" s="6"/>
      <c r="P369" s="9">
        <v>-14.81</v>
      </c>
    </row>
    <row r="370" spans="1:16" ht="19.5" customHeight="1">
      <c r="A370" s="1" t="s">
        <v>1518</v>
      </c>
      <c r="B370" s="5">
        <v>45996</v>
      </c>
      <c r="C370" s="1" t="s">
        <v>28</v>
      </c>
      <c r="D370" s="1" t="s">
        <v>29</v>
      </c>
      <c r="E370" s="1" t="s">
        <v>92</v>
      </c>
      <c r="F370" s="1" t="s">
        <v>93</v>
      </c>
      <c r="G370" s="1" t="s">
        <v>1229</v>
      </c>
      <c r="H370" s="6">
        <v>1</v>
      </c>
      <c r="I370" s="7">
        <v>0</v>
      </c>
      <c r="J370" s="5">
        <v>45992</v>
      </c>
      <c r="K370" s="1" t="s">
        <v>957</v>
      </c>
      <c r="L370" s="1" t="s">
        <v>30</v>
      </c>
      <c r="M370" s="8">
        <v>0</v>
      </c>
      <c r="N370" s="6"/>
      <c r="O370" s="6">
        <v>45</v>
      </c>
      <c r="P370" s="9">
        <v>-46</v>
      </c>
    </row>
    <row r="371" spans="1:16" ht="19.5" customHeight="1">
      <c r="A371" s="1" t="s">
        <v>1518</v>
      </c>
      <c r="B371" s="5">
        <v>45996</v>
      </c>
      <c r="C371" s="1" t="s">
        <v>17</v>
      </c>
      <c r="D371" s="1" t="s">
        <v>37</v>
      </c>
      <c r="E371" s="1" t="s">
        <v>92</v>
      </c>
      <c r="F371" s="1" t="s">
        <v>93</v>
      </c>
      <c r="G371" s="1" t="s">
        <v>1229</v>
      </c>
      <c r="H371" s="6">
        <v>1</v>
      </c>
      <c r="I371" s="7">
        <v>0</v>
      </c>
      <c r="J371" s="5">
        <v>45992</v>
      </c>
      <c r="K371" s="1" t="s">
        <v>957</v>
      </c>
      <c r="L371" s="1" t="s">
        <v>30</v>
      </c>
      <c r="M371" s="8">
        <v>0</v>
      </c>
      <c r="N371" s="6"/>
      <c r="O371" s="6"/>
      <c r="P371" s="9">
        <v>-6.47</v>
      </c>
    </row>
    <row r="372" spans="1:16" ht="19.5" customHeight="1">
      <c r="A372" s="1" t="s">
        <v>1519</v>
      </c>
      <c r="B372" s="5">
        <v>45996</v>
      </c>
      <c r="C372" s="1" t="s">
        <v>28</v>
      </c>
      <c r="D372" s="1" t="s">
        <v>29</v>
      </c>
      <c r="E372" s="1" t="s">
        <v>223</v>
      </c>
      <c r="F372" s="1" t="s">
        <v>395</v>
      </c>
      <c r="G372" s="1" t="s">
        <v>1229</v>
      </c>
      <c r="H372" s="6">
        <v>1</v>
      </c>
      <c r="I372" s="7">
        <v>1280</v>
      </c>
      <c r="J372" s="5">
        <v>45995</v>
      </c>
      <c r="K372" s="1" t="s">
        <v>957</v>
      </c>
      <c r="L372" s="1" t="s">
        <v>30</v>
      </c>
      <c r="M372" s="8">
        <v>0.43</v>
      </c>
      <c r="N372" s="6"/>
      <c r="O372" s="6">
        <v>42</v>
      </c>
      <c r="P372" s="9">
        <v>-108.7</v>
      </c>
    </row>
    <row r="373" spans="1:16" ht="19.5" customHeight="1">
      <c r="A373" s="1" t="s">
        <v>1519</v>
      </c>
      <c r="B373" s="5">
        <v>45996</v>
      </c>
      <c r="C373" s="1" t="s">
        <v>31</v>
      </c>
      <c r="D373" s="1" t="s">
        <v>32</v>
      </c>
      <c r="E373" s="1" t="s">
        <v>223</v>
      </c>
      <c r="F373" s="1" t="s">
        <v>395</v>
      </c>
      <c r="G373" s="1" t="s">
        <v>1229</v>
      </c>
      <c r="H373" s="6">
        <v>1</v>
      </c>
      <c r="I373" s="7">
        <v>1280</v>
      </c>
      <c r="J373" s="5">
        <v>45995</v>
      </c>
      <c r="K373" s="1" t="s">
        <v>957</v>
      </c>
      <c r="L373" s="1" t="s">
        <v>30</v>
      </c>
      <c r="M373" s="8">
        <v>0</v>
      </c>
      <c r="N373" s="6"/>
      <c r="O373" s="6"/>
      <c r="P373" s="9">
        <v>569.52</v>
      </c>
    </row>
    <row r="374" spans="1:16" ht="19.5" customHeight="1">
      <c r="A374" s="1" t="s">
        <v>1519</v>
      </c>
      <c r="B374" s="5">
        <v>45996</v>
      </c>
      <c r="C374" s="1" t="s">
        <v>31</v>
      </c>
      <c r="D374" s="1" t="s">
        <v>33</v>
      </c>
      <c r="E374" s="1" t="s">
        <v>223</v>
      </c>
      <c r="F374" s="1" t="s">
        <v>395</v>
      </c>
      <c r="G374" s="1" t="s">
        <v>1229</v>
      </c>
      <c r="H374" s="6">
        <v>1</v>
      </c>
      <c r="I374" s="7">
        <v>1280</v>
      </c>
      <c r="J374" s="5">
        <v>45995</v>
      </c>
      <c r="K374" s="1" t="s">
        <v>957</v>
      </c>
      <c r="L374" s="1" t="s">
        <v>30</v>
      </c>
      <c r="M374" s="8">
        <v>0</v>
      </c>
      <c r="N374" s="6"/>
      <c r="O374" s="6"/>
      <c r="P374" s="9">
        <v>5.7</v>
      </c>
    </row>
    <row r="375" spans="1:16" ht="19.5" customHeight="1">
      <c r="A375" s="1" t="s">
        <v>1519</v>
      </c>
      <c r="B375" s="5">
        <v>45996</v>
      </c>
      <c r="C375" s="1" t="s">
        <v>31</v>
      </c>
      <c r="D375" s="1" t="s">
        <v>34</v>
      </c>
      <c r="E375" s="1" t="s">
        <v>223</v>
      </c>
      <c r="F375" s="1" t="s">
        <v>395</v>
      </c>
      <c r="G375" s="1" t="s">
        <v>1229</v>
      </c>
      <c r="H375" s="6">
        <v>1</v>
      </c>
      <c r="I375" s="7">
        <v>1280</v>
      </c>
      <c r="J375" s="5">
        <v>45995</v>
      </c>
      <c r="K375" s="1" t="s">
        <v>957</v>
      </c>
      <c r="L375" s="1" t="s">
        <v>30</v>
      </c>
      <c r="M375" s="8">
        <v>0</v>
      </c>
      <c r="N375" s="6"/>
      <c r="O375" s="6"/>
      <c r="P375" s="9">
        <v>704.78</v>
      </c>
    </row>
    <row r="376" spans="1:16" ht="19.5" customHeight="1">
      <c r="A376" s="1" t="s">
        <v>1519</v>
      </c>
      <c r="B376" s="5">
        <v>45996</v>
      </c>
      <c r="C376" s="1" t="s">
        <v>35</v>
      </c>
      <c r="D376" s="1" t="s">
        <v>36</v>
      </c>
      <c r="E376" s="1" t="s">
        <v>223</v>
      </c>
      <c r="F376" s="1" t="s">
        <v>395</v>
      </c>
      <c r="G376" s="1" t="s">
        <v>1229</v>
      </c>
      <c r="H376" s="6">
        <v>1</v>
      </c>
      <c r="I376" s="7">
        <v>1280</v>
      </c>
      <c r="J376" s="5">
        <v>45995</v>
      </c>
      <c r="K376" s="1" t="s">
        <v>957</v>
      </c>
      <c r="L376" s="1" t="s">
        <v>30</v>
      </c>
      <c r="M376" s="8">
        <v>0.43</v>
      </c>
      <c r="N376" s="6"/>
      <c r="O376" s="6"/>
      <c r="P376" s="9">
        <v>-550.4</v>
      </c>
    </row>
    <row r="377" spans="1:16" ht="19.5" customHeight="1">
      <c r="A377" s="1" t="s">
        <v>1519</v>
      </c>
      <c r="B377" s="5">
        <v>45996</v>
      </c>
      <c r="C377" s="1" t="s">
        <v>17</v>
      </c>
      <c r="D377" s="1" t="s">
        <v>37</v>
      </c>
      <c r="E377" s="1" t="s">
        <v>223</v>
      </c>
      <c r="F377" s="1" t="s">
        <v>395</v>
      </c>
      <c r="G377" s="1" t="s">
        <v>1229</v>
      </c>
      <c r="H377" s="6">
        <v>1</v>
      </c>
      <c r="I377" s="7">
        <v>1280</v>
      </c>
      <c r="J377" s="5">
        <v>45995</v>
      </c>
      <c r="K377" s="1" t="s">
        <v>957</v>
      </c>
      <c r="L377" s="1" t="s">
        <v>30</v>
      </c>
      <c r="M377" s="8">
        <v>0.43</v>
      </c>
      <c r="N377" s="6"/>
      <c r="O377" s="6"/>
      <c r="P377" s="9">
        <v>-10.32</v>
      </c>
    </row>
    <row r="378" spans="1:16" ht="19.5" customHeight="1">
      <c r="A378" s="1" t="s">
        <v>1518</v>
      </c>
      <c r="B378" s="5">
        <v>45996</v>
      </c>
      <c r="C378" s="1" t="s">
        <v>28</v>
      </c>
      <c r="D378" s="1" t="s">
        <v>45</v>
      </c>
      <c r="E378" s="1" t="s">
        <v>92</v>
      </c>
      <c r="F378" s="1" t="s">
        <v>93</v>
      </c>
      <c r="G378" s="1" t="s">
        <v>1229</v>
      </c>
      <c r="H378" s="6">
        <v>1</v>
      </c>
      <c r="I378" s="7">
        <v>0</v>
      </c>
      <c r="J378" s="5">
        <v>45992</v>
      </c>
      <c r="K378" s="1" t="s">
        <v>957</v>
      </c>
      <c r="L378" s="1" t="s">
        <v>30</v>
      </c>
      <c r="M378" s="8">
        <v>0</v>
      </c>
      <c r="N378" s="6"/>
      <c r="O378" s="6"/>
      <c r="P378" s="9">
        <v>0</v>
      </c>
    </row>
    <row r="379" spans="1:16" ht="19.5" customHeight="1">
      <c r="A379" s="1" t="s">
        <v>1518</v>
      </c>
      <c r="B379" s="5">
        <v>45996</v>
      </c>
      <c r="C379" s="1" t="s">
        <v>28</v>
      </c>
      <c r="D379" s="1" t="s">
        <v>46</v>
      </c>
      <c r="E379" s="1" t="s">
        <v>92</v>
      </c>
      <c r="F379" s="1" t="s">
        <v>93</v>
      </c>
      <c r="G379" s="1" t="s">
        <v>1229</v>
      </c>
      <c r="H379" s="6">
        <v>1</v>
      </c>
      <c r="I379" s="7">
        <v>0</v>
      </c>
      <c r="J379" s="5">
        <v>45992</v>
      </c>
      <c r="K379" s="1" t="s">
        <v>957</v>
      </c>
      <c r="L379" s="1" t="s">
        <v>30</v>
      </c>
      <c r="M379" s="8">
        <v>0</v>
      </c>
      <c r="N379" s="6"/>
      <c r="O379" s="6"/>
      <c r="P379" s="9">
        <v>-46</v>
      </c>
    </row>
    <row r="380" spans="1:16" ht="19.5" customHeight="1">
      <c r="A380" s="1" t="s">
        <v>1518</v>
      </c>
      <c r="B380" s="5">
        <v>45996</v>
      </c>
      <c r="C380" s="1" t="s">
        <v>17</v>
      </c>
      <c r="D380" s="1" t="s">
        <v>47</v>
      </c>
      <c r="E380" s="1" t="s">
        <v>92</v>
      </c>
      <c r="F380" s="1" t="s">
        <v>93</v>
      </c>
      <c r="G380" s="1" t="s">
        <v>1229</v>
      </c>
      <c r="H380" s="6">
        <v>1</v>
      </c>
      <c r="I380" s="7">
        <v>0</v>
      </c>
      <c r="J380" s="5">
        <v>45992</v>
      </c>
      <c r="K380" s="1" t="s">
        <v>957</v>
      </c>
      <c r="L380" s="1" t="s">
        <v>30</v>
      </c>
      <c r="M380" s="8">
        <v>0</v>
      </c>
      <c r="N380" s="6"/>
      <c r="O380" s="6"/>
      <c r="P380" s="9">
        <v>-15</v>
      </c>
    </row>
    <row r="381" spans="1:16" ht="19.5" customHeight="1">
      <c r="A381" s="1" t="s">
        <v>1520</v>
      </c>
      <c r="B381" s="5">
        <v>45996</v>
      </c>
      <c r="C381" s="1" t="s">
        <v>28</v>
      </c>
      <c r="D381" s="1" t="s">
        <v>29</v>
      </c>
      <c r="E381" s="1" t="s">
        <v>51</v>
      </c>
      <c r="F381" s="1" t="s">
        <v>52</v>
      </c>
      <c r="G381" s="1" t="s">
        <v>1133</v>
      </c>
      <c r="H381" s="6">
        <v>1</v>
      </c>
      <c r="I381" s="7">
        <v>0</v>
      </c>
      <c r="J381" s="5">
        <v>45978</v>
      </c>
      <c r="K381" s="1" t="s">
        <v>957</v>
      </c>
      <c r="L381" s="1" t="s">
        <v>30</v>
      </c>
      <c r="M381" s="8">
        <v>0</v>
      </c>
      <c r="N381" s="6"/>
      <c r="O381" s="6">
        <v>44</v>
      </c>
      <c r="P381" s="9">
        <v>-56</v>
      </c>
    </row>
    <row r="382" spans="1:16" ht="19.5" customHeight="1">
      <c r="A382" s="1" t="s">
        <v>1520</v>
      </c>
      <c r="B382" s="5">
        <v>45996</v>
      </c>
      <c r="C382" s="1" t="s">
        <v>17</v>
      </c>
      <c r="D382" s="1" t="s">
        <v>37</v>
      </c>
      <c r="E382" s="1" t="s">
        <v>51</v>
      </c>
      <c r="F382" s="1" t="s">
        <v>52</v>
      </c>
      <c r="G382" s="1" t="s">
        <v>1133</v>
      </c>
      <c r="H382" s="6">
        <v>1</v>
      </c>
      <c r="I382" s="7">
        <v>0</v>
      </c>
      <c r="J382" s="5">
        <v>45978</v>
      </c>
      <c r="K382" s="1" t="s">
        <v>957</v>
      </c>
      <c r="L382" s="1" t="s">
        <v>30</v>
      </c>
      <c r="M382" s="8">
        <v>0</v>
      </c>
      <c r="N382" s="6"/>
      <c r="O382" s="6"/>
      <c r="P382" s="9">
        <v>-15.5</v>
      </c>
    </row>
    <row r="383" spans="1:16" ht="19.5" customHeight="1">
      <c r="A383" s="1" t="s">
        <v>1521</v>
      </c>
      <c r="B383" s="5">
        <v>45996</v>
      </c>
      <c r="C383" s="1" t="s">
        <v>28</v>
      </c>
      <c r="D383" s="1" t="s">
        <v>29</v>
      </c>
      <c r="E383" s="1" t="s">
        <v>70</v>
      </c>
      <c r="F383" s="1" t="s">
        <v>71</v>
      </c>
      <c r="G383" s="1" t="s">
        <v>1133</v>
      </c>
      <c r="H383" s="6">
        <v>1</v>
      </c>
      <c r="I383" s="7">
        <v>0</v>
      </c>
      <c r="J383" s="5">
        <v>45978</v>
      </c>
      <c r="K383" s="1" t="s">
        <v>957</v>
      </c>
      <c r="L383" s="1" t="s">
        <v>30</v>
      </c>
      <c r="M383" s="8">
        <v>0</v>
      </c>
      <c r="N383" s="6"/>
      <c r="O383" s="6">
        <v>44</v>
      </c>
      <c r="P383" s="9">
        <v>-56</v>
      </c>
    </row>
    <row r="384" spans="1:16" ht="19.5" customHeight="1">
      <c r="A384" s="1" t="s">
        <v>1521</v>
      </c>
      <c r="B384" s="5">
        <v>45996</v>
      </c>
      <c r="C384" s="1" t="s">
        <v>17</v>
      </c>
      <c r="D384" s="1" t="s">
        <v>37</v>
      </c>
      <c r="E384" s="1" t="s">
        <v>70</v>
      </c>
      <c r="F384" s="1" t="s">
        <v>71</v>
      </c>
      <c r="G384" s="1" t="s">
        <v>1133</v>
      </c>
      <c r="H384" s="6">
        <v>1</v>
      </c>
      <c r="I384" s="7">
        <v>0</v>
      </c>
      <c r="J384" s="5">
        <v>45978</v>
      </c>
      <c r="K384" s="1" t="s">
        <v>957</v>
      </c>
      <c r="L384" s="1" t="s">
        <v>30</v>
      </c>
      <c r="M384" s="8">
        <v>0</v>
      </c>
      <c r="N384" s="6"/>
      <c r="O384" s="6"/>
      <c r="P384" s="9">
        <v>-16.13</v>
      </c>
    </row>
    <row r="385" spans="1:16" ht="19.5" customHeight="1">
      <c r="A385" s="1" t="s">
        <v>1520</v>
      </c>
      <c r="B385" s="5">
        <v>45996</v>
      </c>
      <c r="C385" s="1" t="s">
        <v>28</v>
      </c>
      <c r="D385" s="1" t="s">
        <v>45</v>
      </c>
      <c r="E385" s="1" t="s">
        <v>51</v>
      </c>
      <c r="F385" s="1" t="s">
        <v>52</v>
      </c>
      <c r="G385" s="1" t="s">
        <v>1133</v>
      </c>
      <c r="H385" s="6">
        <v>1</v>
      </c>
      <c r="I385" s="7">
        <v>0</v>
      </c>
      <c r="J385" s="5">
        <v>45978</v>
      </c>
      <c r="K385" s="1" t="s">
        <v>957</v>
      </c>
      <c r="L385" s="1" t="s">
        <v>30</v>
      </c>
      <c r="M385" s="8">
        <v>0</v>
      </c>
      <c r="N385" s="6"/>
      <c r="O385" s="6"/>
      <c r="P385" s="9">
        <v>0</v>
      </c>
    </row>
    <row r="386" spans="1:16" ht="19.5" customHeight="1">
      <c r="A386" s="1" t="s">
        <v>1520</v>
      </c>
      <c r="B386" s="5">
        <v>45996</v>
      </c>
      <c r="C386" s="1" t="s">
        <v>28</v>
      </c>
      <c r="D386" s="1" t="s">
        <v>46</v>
      </c>
      <c r="E386" s="1" t="s">
        <v>51</v>
      </c>
      <c r="F386" s="1" t="s">
        <v>52</v>
      </c>
      <c r="G386" s="1" t="s">
        <v>1133</v>
      </c>
      <c r="H386" s="6">
        <v>1</v>
      </c>
      <c r="I386" s="7">
        <v>0</v>
      </c>
      <c r="J386" s="5">
        <v>45978</v>
      </c>
      <c r="K386" s="1" t="s">
        <v>957</v>
      </c>
      <c r="L386" s="1" t="s">
        <v>30</v>
      </c>
      <c r="M386" s="8">
        <v>0</v>
      </c>
      <c r="N386" s="6"/>
      <c r="O386" s="6"/>
      <c r="P386" s="9">
        <v>-56</v>
      </c>
    </row>
    <row r="387" spans="1:16" ht="19.5" customHeight="1">
      <c r="A387" s="1" t="s">
        <v>1520</v>
      </c>
      <c r="B387" s="5">
        <v>45996</v>
      </c>
      <c r="C387" s="1" t="s">
        <v>17</v>
      </c>
      <c r="D387" s="1" t="s">
        <v>47</v>
      </c>
      <c r="E387" s="1" t="s">
        <v>51</v>
      </c>
      <c r="F387" s="1" t="s">
        <v>52</v>
      </c>
      <c r="G387" s="1" t="s">
        <v>1133</v>
      </c>
      <c r="H387" s="6">
        <v>1</v>
      </c>
      <c r="I387" s="7">
        <v>0</v>
      </c>
      <c r="J387" s="5">
        <v>45978</v>
      </c>
      <c r="K387" s="1" t="s">
        <v>957</v>
      </c>
      <c r="L387" s="1" t="s">
        <v>30</v>
      </c>
      <c r="M387" s="8">
        <v>0</v>
      </c>
      <c r="N387" s="6"/>
      <c r="O387" s="6"/>
      <c r="P387" s="9">
        <v>-15</v>
      </c>
    </row>
    <row r="388" spans="1:16" ht="19.5" customHeight="1">
      <c r="A388" s="1" t="s">
        <v>1521</v>
      </c>
      <c r="B388" s="5">
        <v>45996</v>
      </c>
      <c r="C388" s="1" t="s">
        <v>28</v>
      </c>
      <c r="D388" s="1" t="s">
        <v>45</v>
      </c>
      <c r="E388" s="1" t="s">
        <v>70</v>
      </c>
      <c r="F388" s="1" t="s">
        <v>71</v>
      </c>
      <c r="G388" s="1" t="s">
        <v>1133</v>
      </c>
      <c r="H388" s="6">
        <v>1</v>
      </c>
      <c r="I388" s="7">
        <v>0</v>
      </c>
      <c r="J388" s="5">
        <v>45978</v>
      </c>
      <c r="K388" s="1" t="s">
        <v>957</v>
      </c>
      <c r="L388" s="1" t="s">
        <v>30</v>
      </c>
      <c r="M388" s="8">
        <v>0</v>
      </c>
      <c r="N388" s="6"/>
      <c r="O388" s="6"/>
      <c r="P388" s="9">
        <v>0</v>
      </c>
    </row>
    <row r="389" spans="1:16" ht="19.5" customHeight="1">
      <c r="A389" s="1" t="s">
        <v>1521</v>
      </c>
      <c r="B389" s="5">
        <v>45996</v>
      </c>
      <c r="C389" s="1" t="s">
        <v>28</v>
      </c>
      <c r="D389" s="1" t="s">
        <v>46</v>
      </c>
      <c r="E389" s="1" t="s">
        <v>70</v>
      </c>
      <c r="F389" s="1" t="s">
        <v>71</v>
      </c>
      <c r="G389" s="1" t="s">
        <v>1133</v>
      </c>
      <c r="H389" s="6">
        <v>1</v>
      </c>
      <c r="I389" s="7">
        <v>0</v>
      </c>
      <c r="J389" s="5">
        <v>45978</v>
      </c>
      <c r="K389" s="1" t="s">
        <v>957</v>
      </c>
      <c r="L389" s="1" t="s">
        <v>30</v>
      </c>
      <c r="M389" s="8">
        <v>0</v>
      </c>
      <c r="N389" s="6"/>
      <c r="O389" s="6"/>
      <c r="P389" s="9">
        <v>-56</v>
      </c>
    </row>
    <row r="390" spans="1:16" ht="19.5" customHeight="1">
      <c r="A390" s="1" t="s">
        <v>1521</v>
      </c>
      <c r="B390" s="5">
        <v>45996</v>
      </c>
      <c r="C390" s="1" t="s">
        <v>17</v>
      </c>
      <c r="D390" s="1" t="s">
        <v>47</v>
      </c>
      <c r="E390" s="1" t="s">
        <v>70</v>
      </c>
      <c r="F390" s="1" t="s">
        <v>71</v>
      </c>
      <c r="G390" s="1" t="s">
        <v>1133</v>
      </c>
      <c r="H390" s="6">
        <v>1</v>
      </c>
      <c r="I390" s="7">
        <v>0</v>
      </c>
      <c r="J390" s="5">
        <v>45978</v>
      </c>
      <c r="K390" s="1" t="s">
        <v>957</v>
      </c>
      <c r="L390" s="1" t="s">
        <v>30</v>
      </c>
      <c r="M390" s="8">
        <v>0</v>
      </c>
      <c r="N390" s="6"/>
      <c r="O390" s="6"/>
      <c r="P390" s="9">
        <v>-15</v>
      </c>
    </row>
    <row r="391" spans="1:16" ht="19.5" customHeight="1">
      <c r="A391" s="1" t="s">
        <v>1522</v>
      </c>
      <c r="B391" s="5">
        <v>45996</v>
      </c>
      <c r="C391" s="1" t="s">
        <v>28</v>
      </c>
      <c r="D391" s="1" t="s">
        <v>29</v>
      </c>
      <c r="E391" s="1" t="s">
        <v>25</v>
      </c>
      <c r="F391" s="1" t="s">
        <v>26</v>
      </c>
      <c r="G391" s="1" t="s">
        <v>1229</v>
      </c>
      <c r="H391" s="6">
        <v>1</v>
      </c>
      <c r="I391" s="7">
        <v>1050</v>
      </c>
      <c r="J391" s="5">
        <v>45995</v>
      </c>
      <c r="K391" s="1" t="s">
        <v>957</v>
      </c>
      <c r="L391" s="1" t="s">
        <v>30</v>
      </c>
      <c r="M391" s="8">
        <v>0.43</v>
      </c>
      <c r="N391" s="6"/>
      <c r="O391" s="6">
        <v>42</v>
      </c>
      <c r="P391" s="9">
        <v>-102.15</v>
      </c>
    </row>
    <row r="392" spans="1:16" ht="19.5" customHeight="1">
      <c r="A392" s="1" t="s">
        <v>1522</v>
      </c>
      <c r="B392" s="5">
        <v>45996</v>
      </c>
      <c r="C392" s="1" t="s">
        <v>31</v>
      </c>
      <c r="D392" s="1" t="s">
        <v>32</v>
      </c>
      <c r="E392" s="1" t="s">
        <v>25</v>
      </c>
      <c r="F392" s="1" t="s">
        <v>26</v>
      </c>
      <c r="G392" s="1" t="s">
        <v>1229</v>
      </c>
      <c r="H392" s="6">
        <v>1</v>
      </c>
      <c r="I392" s="7">
        <v>1050</v>
      </c>
      <c r="J392" s="5">
        <v>45995</v>
      </c>
      <c r="K392" s="1" t="s">
        <v>957</v>
      </c>
      <c r="L392" s="1" t="s">
        <v>30</v>
      </c>
      <c r="M392" s="8">
        <v>0</v>
      </c>
      <c r="N392" s="6"/>
      <c r="O392" s="6"/>
      <c r="P392" s="9">
        <v>460.51</v>
      </c>
    </row>
    <row r="393" spans="1:16" ht="19.5" customHeight="1">
      <c r="A393" s="1" t="s">
        <v>1522</v>
      </c>
      <c r="B393" s="5">
        <v>45996</v>
      </c>
      <c r="C393" s="1" t="s">
        <v>31</v>
      </c>
      <c r="D393" s="1" t="s">
        <v>33</v>
      </c>
      <c r="E393" s="1" t="s">
        <v>25</v>
      </c>
      <c r="F393" s="1" t="s">
        <v>26</v>
      </c>
      <c r="G393" s="1" t="s">
        <v>1229</v>
      </c>
      <c r="H393" s="6">
        <v>1</v>
      </c>
      <c r="I393" s="7">
        <v>1050</v>
      </c>
      <c r="J393" s="5">
        <v>45995</v>
      </c>
      <c r="K393" s="1" t="s">
        <v>957</v>
      </c>
      <c r="L393" s="1" t="s">
        <v>30</v>
      </c>
      <c r="M393" s="8">
        <v>0</v>
      </c>
      <c r="N393" s="6"/>
      <c r="O393" s="6"/>
      <c r="P393" s="9">
        <v>4.6100000000000003</v>
      </c>
    </row>
    <row r="394" spans="1:16" ht="19.5" customHeight="1">
      <c r="A394" s="1" t="s">
        <v>1522</v>
      </c>
      <c r="B394" s="5">
        <v>45996</v>
      </c>
      <c r="C394" s="1" t="s">
        <v>31</v>
      </c>
      <c r="D394" s="1" t="s">
        <v>34</v>
      </c>
      <c r="E394" s="1" t="s">
        <v>25</v>
      </c>
      <c r="F394" s="1" t="s">
        <v>26</v>
      </c>
      <c r="G394" s="1" t="s">
        <v>1229</v>
      </c>
      <c r="H394" s="6">
        <v>1</v>
      </c>
      <c r="I394" s="7">
        <v>1050</v>
      </c>
      <c r="J394" s="5">
        <v>45995</v>
      </c>
      <c r="K394" s="1" t="s">
        <v>957</v>
      </c>
      <c r="L394" s="1" t="s">
        <v>30</v>
      </c>
      <c r="M394" s="8">
        <v>0</v>
      </c>
      <c r="N394" s="6"/>
      <c r="O394" s="6"/>
      <c r="P394" s="9">
        <v>584.88</v>
      </c>
    </row>
    <row r="395" spans="1:16" ht="19.5" customHeight="1">
      <c r="A395" s="1" t="s">
        <v>1522</v>
      </c>
      <c r="B395" s="5">
        <v>45996</v>
      </c>
      <c r="C395" s="1" t="s">
        <v>35</v>
      </c>
      <c r="D395" s="1" t="s">
        <v>36</v>
      </c>
      <c r="E395" s="1" t="s">
        <v>25</v>
      </c>
      <c r="F395" s="1" t="s">
        <v>26</v>
      </c>
      <c r="G395" s="1" t="s">
        <v>1229</v>
      </c>
      <c r="H395" s="6">
        <v>1</v>
      </c>
      <c r="I395" s="7">
        <v>1050</v>
      </c>
      <c r="J395" s="5">
        <v>45995</v>
      </c>
      <c r="K395" s="1" t="s">
        <v>957</v>
      </c>
      <c r="L395" s="1" t="s">
        <v>30</v>
      </c>
      <c r="M395" s="8">
        <v>0.43</v>
      </c>
      <c r="N395" s="6"/>
      <c r="O395" s="6"/>
      <c r="P395" s="9">
        <v>-451.5</v>
      </c>
    </row>
    <row r="396" spans="1:16" ht="19.5" customHeight="1">
      <c r="A396" s="1" t="s">
        <v>1522</v>
      </c>
      <c r="B396" s="5">
        <v>45996</v>
      </c>
      <c r="C396" s="1" t="s">
        <v>17</v>
      </c>
      <c r="D396" s="1" t="s">
        <v>37</v>
      </c>
      <c r="E396" s="1" t="s">
        <v>25</v>
      </c>
      <c r="F396" s="1" t="s">
        <v>26</v>
      </c>
      <c r="G396" s="1" t="s">
        <v>1229</v>
      </c>
      <c r="H396" s="6">
        <v>1</v>
      </c>
      <c r="I396" s="7">
        <v>1050</v>
      </c>
      <c r="J396" s="5">
        <v>45995</v>
      </c>
      <c r="K396" s="1" t="s">
        <v>957</v>
      </c>
      <c r="L396" s="1" t="s">
        <v>30</v>
      </c>
      <c r="M396" s="8">
        <v>0.43</v>
      </c>
      <c r="N396" s="6"/>
      <c r="O396" s="6"/>
      <c r="P396" s="9">
        <v>-4.3499999999999996</v>
      </c>
    </row>
    <row r="397" spans="1:16" ht="19.5" customHeight="1">
      <c r="A397" s="1" t="s">
        <v>1522</v>
      </c>
      <c r="B397" s="5">
        <v>45996</v>
      </c>
      <c r="C397" s="1" t="s">
        <v>17</v>
      </c>
      <c r="D397" s="1" t="s">
        <v>18</v>
      </c>
      <c r="E397" s="1" t="s">
        <v>25</v>
      </c>
      <c r="F397" s="1" t="s">
        <v>26</v>
      </c>
      <c r="G397" s="1" t="s">
        <v>1229</v>
      </c>
      <c r="H397" s="6">
        <v>1</v>
      </c>
      <c r="I397" s="7">
        <v>0</v>
      </c>
      <c r="J397" s="5">
        <v>45995</v>
      </c>
      <c r="K397" s="1" t="s">
        <v>22</v>
      </c>
      <c r="L397" s="1" t="s">
        <v>22</v>
      </c>
      <c r="M397" s="8">
        <v>0</v>
      </c>
      <c r="N397" s="6"/>
      <c r="O397" s="6"/>
      <c r="P397" s="9">
        <v>-8.75</v>
      </c>
    </row>
    <row r="398" spans="1:16" ht="19.5" customHeight="1">
      <c r="A398" s="1" t="s">
        <v>1523</v>
      </c>
      <c r="B398" s="5">
        <v>45996</v>
      </c>
      <c r="C398" s="1" t="s">
        <v>28</v>
      </c>
      <c r="D398" s="1" t="s">
        <v>29</v>
      </c>
      <c r="E398" s="1" t="s">
        <v>25</v>
      </c>
      <c r="F398" s="1" t="s">
        <v>26</v>
      </c>
      <c r="G398" s="1" t="s">
        <v>1229</v>
      </c>
      <c r="H398" s="6">
        <v>1</v>
      </c>
      <c r="I398" s="7">
        <v>1738</v>
      </c>
      <c r="J398" s="5">
        <v>45995</v>
      </c>
      <c r="K398" s="1" t="s">
        <v>957</v>
      </c>
      <c r="L398" s="1" t="s">
        <v>30</v>
      </c>
      <c r="M398" s="8">
        <v>0.43</v>
      </c>
      <c r="N398" s="6"/>
      <c r="O398" s="6">
        <v>42</v>
      </c>
      <c r="P398" s="9">
        <v>-121.75</v>
      </c>
    </row>
    <row r="399" spans="1:16" ht="19.5" customHeight="1">
      <c r="A399" s="1" t="s">
        <v>1523</v>
      </c>
      <c r="B399" s="5">
        <v>45996</v>
      </c>
      <c r="C399" s="1" t="s">
        <v>31</v>
      </c>
      <c r="D399" s="1" t="s">
        <v>32</v>
      </c>
      <c r="E399" s="1" t="s">
        <v>25</v>
      </c>
      <c r="F399" s="1" t="s">
        <v>26</v>
      </c>
      <c r="G399" s="1" t="s">
        <v>1229</v>
      </c>
      <c r="H399" s="6">
        <v>1</v>
      </c>
      <c r="I399" s="7">
        <v>1738</v>
      </c>
      <c r="J399" s="5">
        <v>45995</v>
      </c>
      <c r="K399" s="1" t="s">
        <v>957</v>
      </c>
      <c r="L399" s="1" t="s">
        <v>30</v>
      </c>
      <c r="M399" s="8">
        <v>0</v>
      </c>
      <c r="N399" s="6"/>
      <c r="O399" s="6"/>
      <c r="P399" s="9">
        <v>797.34</v>
      </c>
    </row>
    <row r="400" spans="1:16" ht="19.5" customHeight="1">
      <c r="A400" s="1" t="s">
        <v>1523</v>
      </c>
      <c r="B400" s="5">
        <v>45996</v>
      </c>
      <c r="C400" s="1" t="s">
        <v>31</v>
      </c>
      <c r="D400" s="1" t="s">
        <v>33</v>
      </c>
      <c r="E400" s="1" t="s">
        <v>25</v>
      </c>
      <c r="F400" s="1" t="s">
        <v>26</v>
      </c>
      <c r="G400" s="1" t="s">
        <v>1229</v>
      </c>
      <c r="H400" s="6">
        <v>1</v>
      </c>
      <c r="I400" s="7">
        <v>1738</v>
      </c>
      <c r="J400" s="5">
        <v>45995</v>
      </c>
      <c r="K400" s="1" t="s">
        <v>957</v>
      </c>
      <c r="L400" s="1" t="s">
        <v>30</v>
      </c>
      <c r="M400" s="8">
        <v>0</v>
      </c>
      <c r="N400" s="6"/>
      <c r="O400" s="6"/>
      <c r="P400" s="9">
        <v>7.97</v>
      </c>
    </row>
    <row r="401" spans="1:16" ht="19.5" customHeight="1">
      <c r="A401" s="1" t="s">
        <v>1523</v>
      </c>
      <c r="B401" s="5">
        <v>45996</v>
      </c>
      <c r="C401" s="1" t="s">
        <v>31</v>
      </c>
      <c r="D401" s="1" t="s">
        <v>34</v>
      </c>
      <c r="E401" s="1" t="s">
        <v>25</v>
      </c>
      <c r="F401" s="1" t="s">
        <v>26</v>
      </c>
      <c r="G401" s="1" t="s">
        <v>1229</v>
      </c>
      <c r="H401" s="6">
        <v>1</v>
      </c>
      <c r="I401" s="7">
        <v>1738</v>
      </c>
      <c r="J401" s="5">
        <v>45995</v>
      </c>
      <c r="K401" s="1" t="s">
        <v>957</v>
      </c>
      <c r="L401" s="1" t="s">
        <v>30</v>
      </c>
      <c r="M401" s="8">
        <v>0</v>
      </c>
      <c r="N401" s="6"/>
      <c r="O401" s="6"/>
      <c r="P401" s="9">
        <v>932.69</v>
      </c>
    </row>
    <row r="402" spans="1:16" ht="19.5" customHeight="1">
      <c r="A402" s="1" t="s">
        <v>1523</v>
      </c>
      <c r="B402" s="5">
        <v>45996</v>
      </c>
      <c r="C402" s="1" t="s">
        <v>35</v>
      </c>
      <c r="D402" s="1" t="s">
        <v>36</v>
      </c>
      <c r="E402" s="1" t="s">
        <v>25</v>
      </c>
      <c r="F402" s="1" t="s">
        <v>26</v>
      </c>
      <c r="G402" s="1" t="s">
        <v>1229</v>
      </c>
      <c r="H402" s="6">
        <v>1</v>
      </c>
      <c r="I402" s="7">
        <v>1738</v>
      </c>
      <c r="J402" s="5">
        <v>45995</v>
      </c>
      <c r="K402" s="1" t="s">
        <v>957</v>
      </c>
      <c r="L402" s="1" t="s">
        <v>30</v>
      </c>
      <c r="M402" s="8">
        <v>0.43</v>
      </c>
      <c r="N402" s="6"/>
      <c r="O402" s="6"/>
      <c r="P402" s="9">
        <v>-747.34</v>
      </c>
    </row>
    <row r="403" spans="1:16" ht="19.5" customHeight="1">
      <c r="A403" s="1" t="s">
        <v>1523</v>
      </c>
      <c r="B403" s="5">
        <v>45996</v>
      </c>
      <c r="C403" s="1" t="s">
        <v>17</v>
      </c>
      <c r="D403" s="1" t="s">
        <v>37</v>
      </c>
      <c r="E403" s="1" t="s">
        <v>25</v>
      </c>
      <c r="F403" s="1" t="s">
        <v>26</v>
      </c>
      <c r="G403" s="1" t="s">
        <v>1229</v>
      </c>
      <c r="H403" s="6">
        <v>1</v>
      </c>
      <c r="I403" s="7">
        <v>1738</v>
      </c>
      <c r="J403" s="5">
        <v>45995</v>
      </c>
      <c r="K403" s="1" t="s">
        <v>957</v>
      </c>
      <c r="L403" s="1" t="s">
        <v>30</v>
      </c>
      <c r="M403" s="8">
        <v>0.43</v>
      </c>
      <c r="N403" s="6"/>
      <c r="O403" s="6"/>
      <c r="P403" s="9">
        <v>-12.1</v>
      </c>
    </row>
    <row r="404" spans="1:16" ht="19.5" customHeight="1">
      <c r="A404" s="1" t="s">
        <v>1524</v>
      </c>
      <c r="B404" s="5">
        <v>45996</v>
      </c>
      <c r="C404" s="1" t="s">
        <v>28</v>
      </c>
      <c r="D404" s="1" t="s">
        <v>29</v>
      </c>
      <c r="E404" s="1" t="s">
        <v>223</v>
      </c>
      <c r="F404" s="1" t="s">
        <v>395</v>
      </c>
      <c r="G404" s="1" t="s">
        <v>1229</v>
      </c>
      <c r="H404" s="6">
        <v>1</v>
      </c>
      <c r="I404" s="7">
        <v>0</v>
      </c>
      <c r="J404" s="5">
        <v>45993</v>
      </c>
      <c r="K404" s="1" t="s">
        <v>957</v>
      </c>
      <c r="L404" s="1" t="s">
        <v>30</v>
      </c>
      <c r="M404" s="8">
        <v>0</v>
      </c>
      <c r="N404" s="6"/>
      <c r="O404" s="6">
        <v>41</v>
      </c>
      <c r="P404" s="9">
        <v>-46</v>
      </c>
    </row>
    <row r="405" spans="1:16" ht="19.5" customHeight="1">
      <c r="A405" s="1" t="s">
        <v>1524</v>
      </c>
      <c r="B405" s="5">
        <v>45996</v>
      </c>
      <c r="C405" s="1" t="s">
        <v>17</v>
      </c>
      <c r="D405" s="1" t="s">
        <v>37</v>
      </c>
      <c r="E405" s="1" t="s">
        <v>223</v>
      </c>
      <c r="F405" s="1" t="s">
        <v>395</v>
      </c>
      <c r="G405" s="1" t="s">
        <v>1229</v>
      </c>
      <c r="H405" s="6">
        <v>1</v>
      </c>
      <c r="I405" s="7">
        <v>0</v>
      </c>
      <c r="J405" s="5">
        <v>45993</v>
      </c>
      <c r="K405" s="1" t="s">
        <v>957</v>
      </c>
      <c r="L405" s="1" t="s">
        <v>30</v>
      </c>
      <c r="M405" s="8">
        <v>0</v>
      </c>
      <c r="N405" s="6"/>
      <c r="O405" s="6"/>
      <c r="P405" s="9">
        <v>-9.2799999999999994</v>
      </c>
    </row>
    <row r="406" spans="1:16" ht="19.5" customHeight="1">
      <c r="A406" s="1" t="s">
        <v>1524</v>
      </c>
      <c r="B406" s="5">
        <v>45996</v>
      </c>
      <c r="C406" s="1" t="s">
        <v>28</v>
      </c>
      <c r="D406" s="1" t="s">
        <v>45</v>
      </c>
      <c r="E406" s="1" t="s">
        <v>223</v>
      </c>
      <c r="F406" s="1" t="s">
        <v>395</v>
      </c>
      <c r="G406" s="1" t="s">
        <v>1229</v>
      </c>
      <c r="H406" s="6">
        <v>1</v>
      </c>
      <c r="I406" s="7">
        <v>0</v>
      </c>
      <c r="J406" s="5">
        <v>45993</v>
      </c>
      <c r="K406" s="1" t="s">
        <v>957</v>
      </c>
      <c r="L406" s="1" t="s">
        <v>30</v>
      </c>
      <c r="M406" s="8">
        <v>0</v>
      </c>
      <c r="N406" s="6"/>
      <c r="O406" s="6"/>
      <c r="P406" s="9">
        <v>0</v>
      </c>
    </row>
    <row r="407" spans="1:16" ht="19.5" customHeight="1">
      <c r="A407" s="1" t="s">
        <v>1524</v>
      </c>
      <c r="B407" s="5">
        <v>45996</v>
      </c>
      <c r="C407" s="1" t="s">
        <v>28</v>
      </c>
      <c r="D407" s="1" t="s">
        <v>46</v>
      </c>
      <c r="E407" s="1" t="s">
        <v>223</v>
      </c>
      <c r="F407" s="1" t="s">
        <v>395</v>
      </c>
      <c r="G407" s="1" t="s">
        <v>1229</v>
      </c>
      <c r="H407" s="6">
        <v>1</v>
      </c>
      <c r="I407" s="7">
        <v>0</v>
      </c>
      <c r="J407" s="5">
        <v>45993</v>
      </c>
      <c r="K407" s="1" t="s">
        <v>957</v>
      </c>
      <c r="L407" s="1" t="s">
        <v>30</v>
      </c>
      <c r="M407" s="8">
        <v>0</v>
      </c>
      <c r="N407" s="6"/>
      <c r="O407" s="6"/>
      <c r="P407" s="9">
        <v>-46</v>
      </c>
    </row>
    <row r="408" spans="1:16" ht="19.5" customHeight="1">
      <c r="A408" s="1" t="s">
        <v>1524</v>
      </c>
      <c r="B408" s="5">
        <v>45996</v>
      </c>
      <c r="C408" s="1" t="s">
        <v>17</v>
      </c>
      <c r="D408" s="1" t="s">
        <v>47</v>
      </c>
      <c r="E408" s="1" t="s">
        <v>223</v>
      </c>
      <c r="F408" s="1" t="s">
        <v>395</v>
      </c>
      <c r="G408" s="1" t="s">
        <v>1229</v>
      </c>
      <c r="H408" s="6">
        <v>1</v>
      </c>
      <c r="I408" s="7">
        <v>0</v>
      </c>
      <c r="J408" s="5">
        <v>45993</v>
      </c>
      <c r="K408" s="1" t="s">
        <v>957</v>
      </c>
      <c r="L408" s="1" t="s">
        <v>30</v>
      </c>
      <c r="M408" s="8">
        <v>0</v>
      </c>
      <c r="N408" s="6"/>
      <c r="O408" s="6"/>
      <c r="P408" s="9">
        <v>-15</v>
      </c>
    </row>
    <row r="409" spans="1:16" ht="19.5" customHeight="1">
      <c r="A409" s="1" t="s">
        <v>1525</v>
      </c>
      <c r="B409" s="5">
        <v>45996</v>
      </c>
      <c r="C409" s="1" t="s">
        <v>28</v>
      </c>
      <c r="D409" s="1" t="s">
        <v>29</v>
      </c>
      <c r="E409" s="1" t="s">
        <v>223</v>
      </c>
      <c r="F409" s="1" t="s">
        <v>395</v>
      </c>
      <c r="G409" s="1" t="s">
        <v>1229</v>
      </c>
      <c r="H409" s="6">
        <v>1</v>
      </c>
      <c r="I409" s="7">
        <v>1307</v>
      </c>
      <c r="J409" s="5">
        <v>45994</v>
      </c>
      <c r="K409" s="1" t="s">
        <v>957</v>
      </c>
      <c r="L409" s="1" t="s">
        <v>30</v>
      </c>
      <c r="M409" s="8">
        <v>0.43</v>
      </c>
      <c r="N409" s="6"/>
      <c r="O409" s="6">
        <v>40</v>
      </c>
      <c r="P409" s="9">
        <v>-102.79</v>
      </c>
    </row>
    <row r="410" spans="1:16" ht="19.5" customHeight="1">
      <c r="A410" s="1" t="s">
        <v>1525</v>
      </c>
      <c r="B410" s="5">
        <v>45996</v>
      </c>
      <c r="C410" s="1" t="s">
        <v>31</v>
      </c>
      <c r="D410" s="1" t="s">
        <v>32</v>
      </c>
      <c r="E410" s="1" t="s">
        <v>223</v>
      </c>
      <c r="F410" s="1" t="s">
        <v>395</v>
      </c>
      <c r="G410" s="1" t="s">
        <v>1229</v>
      </c>
      <c r="H410" s="6">
        <v>1</v>
      </c>
      <c r="I410" s="7">
        <v>1307</v>
      </c>
      <c r="J410" s="5">
        <v>45994</v>
      </c>
      <c r="K410" s="1" t="s">
        <v>957</v>
      </c>
      <c r="L410" s="1" t="s">
        <v>30</v>
      </c>
      <c r="M410" s="8">
        <v>0</v>
      </c>
      <c r="N410" s="6"/>
      <c r="O410" s="6"/>
      <c r="P410" s="9">
        <v>519.04999999999995</v>
      </c>
    </row>
    <row r="411" spans="1:16" ht="19.5" customHeight="1">
      <c r="A411" s="1" t="s">
        <v>1525</v>
      </c>
      <c r="B411" s="5">
        <v>45996</v>
      </c>
      <c r="C411" s="1" t="s">
        <v>31</v>
      </c>
      <c r="D411" s="1" t="s">
        <v>33</v>
      </c>
      <c r="E411" s="1" t="s">
        <v>223</v>
      </c>
      <c r="F411" s="1" t="s">
        <v>395</v>
      </c>
      <c r="G411" s="1" t="s">
        <v>1229</v>
      </c>
      <c r="H411" s="6">
        <v>1</v>
      </c>
      <c r="I411" s="7">
        <v>1307</v>
      </c>
      <c r="J411" s="5">
        <v>45994</v>
      </c>
      <c r="K411" s="1" t="s">
        <v>957</v>
      </c>
      <c r="L411" s="1" t="s">
        <v>30</v>
      </c>
      <c r="M411" s="8">
        <v>0</v>
      </c>
      <c r="N411" s="6"/>
      <c r="O411" s="6"/>
      <c r="P411" s="9">
        <v>5.19</v>
      </c>
    </row>
    <row r="412" spans="1:16" ht="19.5" customHeight="1">
      <c r="A412" s="1" t="s">
        <v>1525</v>
      </c>
      <c r="B412" s="5">
        <v>45996</v>
      </c>
      <c r="C412" s="1" t="s">
        <v>31</v>
      </c>
      <c r="D412" s="1" t="s">
        <v>34</v>
      </c>
      <c r="E412" s="1" t="s">
        <v>223</v>
      </c>
      <c r="F412" s="1" t="s">
        <v>395</v>
      </c>
      <c r="G412" s="1" t="s">
        <v>1229</v>
      </c>
      <c r="H412" s="6">
        <v>1</v>
      </c>
      <c r="I412" s="7">
        <v>1307</v>
      </c>
      <c r="J412" s="5">
        <v>45994</v>
      </c>
      <c r="K412" s="1" t="s">
        <v>957</v>
      </c>
      <c r="L412" s="1" t="s">
        <v>30</v>
      </c>
      <c r="M412" s="8">
        <v>0</v>
      </c>
      <c r="N412" s="6"/>
      <c r="O412" s="6"/>
      <c r="P412" s="9">
        <v>782.76</v>
      </c>
    </row>
    <row r="413" spans="1:16" ht="19.5" customHeight="1">
      <c r="A413" s="1" t="s">
        <v>1525</v>
      </c>
      <c r="B413" s="5">
        <v>45996</v>
      </c>
      <c r="C413" s="1" t="s">
        <v>35</v>
      </c>
      <c r="D413" s="1" t="s">
        <v>36</v>
      </c>
      <c r="E413" s="1" t="s">
        <v>223</v>
      </c>
      <c r="F413" s="1" t="s">
        <v>395</v>
      </c>
      <c r="G413" s="1" t="s">
        <v>1229</v>
      </c>
      <c r="H413" s="6">
        <v>1</v>
      </c>
      <c r="I413" s="7">
        <v>1307</v>
      </c>
      <c r="J413" s="5">
        <v>45994</v>
      </c>
      <c r="K413" s="1" t="s">
        <v>957</v>
      </c>
      <c r="L413" s="1" t="s">
        <v>30</v>
      </c>
      <c r="M413" s="8">
        <v>0.43</v>
      </c>
      <c r="N413" s="6"/>
      <c r="O413" s="6"/>
      <c r="P413" s="9">
        <v>-562.01</v>
      </c>
    </row>
    <row r="414" spans="1:16" ht="19.5" customHeight="1">
      <c r="A414" s="1" t="s">
        <v>1525</v>
      </c>
      <c r="B414" s="5">
        <v>45996</v>
      </c>
      <c r="C414" s="1" t="s">
        <v>17</v>
      </c>
      <c r="D414" s="1" t="s">
        <v>37</v>
      </c>
      <c r="E414" s="1" t="s">
        <v>223</v>
      </c>
      <c r="F414" s="1" t="s">
        <v>395</v>
      </c>
      <c r="G414" s="1" t="s">
        <v>1229</v>
      </c>
      <c r="H414" s="6">
        <v>1</v>
      </c>
      <c r="I414" s="7">
        <v>1307</v>
      </c>
      <c r="J414" s="5">
        <v>45994</v>
      </c>
      <c r="K414" s="1" t="s">
        <v>957</v>
      </c>
      <c r="L414" s="1" t="s">
        <v>30</v>
      </c>
      <c r="M414" s="8">
        <v>0.43</v>
      </c>
      <c r="N414" s="6"/>
      <c r="O414" s="6"/>
      <c r="P414" s="9">
        <v>-9.8800000000000008</v>
      </c>
    </row>
    <row r="415" spans="1:16" ht="19.5" customHeight="1">
      <c r="A415" s="1" t="s">
        <v>22</v>
      </c>
      <c r="B415" s="5">
        <v>45996</v>
      </c>
      <c r="C415" s="1" t="s">
        <v>77</v>
      </c>
      <c r="D415" s="1" t="s">
        <v>78</v>
      </c>
      <c r="E415" s="1" t="s">
        <v>22</v>
      </c>
      <c r="F415" s="1" t="s">
        <v>22</v>
      </c>
      <c r="G415" s="1" t="s">
        <v>1526</v>
      </c>
      <c r="H415" s="6">
        <v>0</v>
      </c>
      <c r="I415" s="7">
        <v>0</v>
      </c>
      <c r="J415" s="5">
        <v>45996</v>
      </c>
      <c r="K415" s="1" t="s">
        <v>22</v>
      </c>
      <c r="L415" s="1" t="s">
        <v>22</v>
      </c>
      <c r="M415" s="8">
        <v>0</v>
      </c>
      <c r="N415" s="6"/>
      <c r="O415" s="6"/>
      <c r="P415" s="9">
        <v>-450</v>
      </c>
    </row>
    <row r="416" spans="1:16" ht="19.5" customHeight="1">
      <c r="A416" s="1" t="s">
        <v>1527</v>
      </c>
      <c r="B416" s="5">
        <v>45996</v>
      </c>
      <c r="C416" s="1" t="s">
        <v>28</v>
      </c>
      <c r="D416" s="1" t="s">
        <v>29</v>
      </c>
      <c r="E416" s="1" t="s">
        <v>25</v>
      </c>
      <c r="F416" s="1" t="s">
        <v>26</v>
      </c>
      <c r="G416" s="1" t="s">
        <v>1229</v>
      </c>
      <c r="H416" s="6">
        <v>1</v>
      </c>
      <c r="I416" s="7">
        <v>1738</v>
      </c>
      <c r="J416" s="5">
        <v>45994</v>
      </c>
      <c r="K416" s="1" t="s">
        <v>957</v>
      </c>
      <c r="L416" s="1" t="s">
        <v>30</v>
      </c>
      <c r="M416" s="8">
        <v>0.43</v>
      </c>
      <c r="N416" s="6"/>
      <c r="O416" s="6">
        <v>40</v>
      </c>
      <c r="P416" s="9">
        <v>-113.78</v>
      </c>
    </row>
    <row r="417" spans="1:16" ht="19.5" customHeight="1">
      <c r="A417" s="1" t="s">
        <v>1527</v>
      </c>
      <c r="B417" s="5">
        <v>45996</v>
      </c>
      <c r="C417" s="1" t="s">
        <v>31</v>
      </c>
      <c r="D417" s="1" t="s">
        <v>32</v>
      </c>
      <c r="E417" s="1" t="s">
        <v>25</v>
      </c>
      <c r="F417" s="1" t="s">
        <v>26</v>
      </c>
      <c r="G417" s="1" t="s">
        <v>1229</v>
      </c>
      <c r="H417" s="6">
        <v>1</v>
      </c>
      <c r="I417" s="7">
        <v>1738</v>
      </c>
      <c r="J417" s="5">
        <v>45994</v>
      </c>
      <c r="K417" s="1" t="s">
        <v>957</v>
      </c>
      <c r="L417" s="1" t="s">
        <v>30</v>
      </c>
      <c r="M417" s="8">
        <v>0</v>
      </c>
      <c r="N417" s="6"/>
      <c r="O417" s="6"/>
      <c r="P417" s="9">
        <v>621.79999999999995</v>
      </c>
    </row>
    <row r="418" spans="1:16" ht="19.5" customHeight="1">
      <c r="A418" s="1" t="s">
        <v>1527</v>
      </c>
      <c r="B418" s="5">
        <v>45996</v>
      </c>
      <c r="C418" s="1" t="s">
        <v>31</v>
      </c>
      <c r="D418" s="1" t="s">
        <v>33</v>
      </c>
      <c r="E418" s="1" t="s">
        <v>25</v>
      </c>
      <c r="F418" s="1" t="s">
        <v>26</v>
      </c>
      <c r="G418" s="1" t="s">
        <v>1229</v>
      </c>
      <c r="H418" s="6">
        <v>1</v>
      </c>
      <c r="I418" s="7">
        <v>1738</v>
      </c>
      <c r="J418" s="5">
        <v>45994</v>
      </c>
      <c r="K418" s="1" t="s">
        <v>957</v>
      </c>
      <c r="L418" s="1" t="s">
        <v>30</v>
      </c>
      <c r="M418" s="8">
        <v>0</v>
      </c>
      <c r="N418" s="6"/>
      <c r="O418" s="6"/>
      <c r="P418" s="9">
        <v>6.22</v>
      </c>
    </row>
    <row r="419" spans="1:16" ht="19.5" customHeight="1">
      <c r="A419" s="1" t="s">
        <v>1527</v>
      </c>
      <c r="B419" s="5">
        <v>45996</v>
      </c>
      <c r="C419" s="1" t="s">
        <v>31</v>
      </c>
      <c r="D419" s="1" t="s">
        <v>34</v>
      </c>
      <c r="E419" s="1" t="s">
        <v>25</v>
      </c>
      <c r="F419" s="1" t="s">
        <v>26</v>
      </c>
      <c r="G419" s="1" t="s">
        <v>1229</v>
      </c>
      <c r="H419" s="6">
        <v>1</v>
      </c>
      <c r="I419" s="7">
        <v>1738</v>
      </c>
      <c r="J419" s="5">
        <v>45994</v>
      </c>
      <c r="K419" s="1" t="s">
        <v>957</v>
      </c>
      <c r="L419" s="1" t="s">
        <v>30</v>
      </c>
      <c r="M419" s="8">
        <v>0</v>
      </c>
      <c r="N419" s="6"/>
      <c r="O419" s="6"/>
      <c r="P419" s="9">
        <v>1109.98</v>
      </c>
    </row>
    <row r="420" spans="1:16" ht="19.5" customHeight="1">
      <c r="A420" s="1" t="s">
        <v>1527</v>
      </c>
      <c r="B420" s="5">
        <v>45996</v>
      </c>
      <c r="C420" s="1" t="s">
        <v>35</v>
      </c>
      <c r="D420" s="1" t="s">
        <v>36</v>
      </c>
      <c r="E420" s="1" t="s">
        <v>25</v>
      </c>
      <c r="F420" s="1" t="s">
        <v>26</v>
      </c>
      <c r="G420" s="1" t="s">
        <v>1229</v>
      </c>
      <c r="H420" s="6">
        <v>1</v>
      </c>
      <c r="I420" s="7">
        <v>1738</v>
      </c>
      <c r="J420" s="5">
        <v>45994</v>
      </c>
      <c r="K420" s="1" t="s">
        <v>957</v>
      </c>
      <c r="L420" s="1" t="s">
        <v>30</v>
      </c>
      <c r="M420" s="8">
        <v>0.43</v>
      </c>
      <c r="N420" s="6"/>
      <c r="O420" s="6"/>
      <c r="P420" s="9">
        <v>-747.34</v>
      </c>
    </row>
    <row r="421" spans="1:16" ht="19.5" customHeight="1">
      <c r="A421" s="1" t="s">
        <v>1527</v>
      </c>
      <c r="B421" s="5">
        <v>45996</v>
      </c>
      <c r="C421" s="1" t="s">
        <v>17</v>
      </c>
      <c r="D421" s="1" t="s">
        <v>37</v>
      </c>
      <c r="E421" s="1" t="s">
        <v>25</v>
      </c>
      <c r="F421" s="1" t="s">
        <v>26</v>
      </c>
      <c r="G421" s="1" t="s">
        <v>1229</v>
      </c>
      <c r="H421" s="6">
        <v>1</v>
      </c>
      <c r="I421" s="7">
        <v>1738</v>
      </c>
      <c r="J421" s="5">
        <v>45994</v>
      </c>
      <c r="K421" s="1" t="s">
        <v>957</v>
      </c>
      <c r="L421" s="1" t="s">
        <v>30</v>
      </c>
      <c r="M421" s="8">
        <v>0.43</v>
      </c>
      <c r="N421" s="6"/>
      <c r="O421" s="6"/>
      <c r="P421" s="9">
        <v>-10.56</v>
      </c>
    </row>
    <row r="422" spans="1:16" ht="19.5" customHeight="1">
      <c r="A422" s="1" t="s">
        <v>1527</v>
      </c>
      <c r="B422" s="5">
        <v>45996</v>
      </c>
      <c r="C422" s="1" t="s">
        <v>17</v>
      </c>
      <c r="D422" s="1" t="s">
        <v>18</v>
      </c>
      <c r="E422" s="1" t="s">
        <v>25</v>
      </c>
      <c r="F422" s="1" t="s">
        <v>26</v>
      </c>
      <c r="G422" s="1" t="s">
        <v>1229</v>
      </c>
      <c r="H422" s="6">
        <v>1</v>
      </c>
      <c r="I422" s="7">
        <v>0</v>
      </c>
      <c r="J422" s="5">
        <v>45994</v>
      </c>
      <c r="K422" s="1" t="s">
        <v>22</v>
      </c>
      <c r="L422" s="1" t="s">
        <v>22</v>
      </c>
      <c r="M422" s="8">
        <v>0</v>
      </c>
      <c r="N422" s="6"/>
      <c r="O422" s="6"/>
      <c r="P422" s="9">
        <v>-11.81</v>
      </c>
    </row>
    <row r="423" spans="1:16" ht="19.5" customHeight="1">
      <c r="A423" s="1" t="s">
        <v>1528</v>
      </c>
      <c r="B423" s="5">
        <v>45997</v>
      </c>
      <c r="C423" s="1" t="s">
        <v>28</v>
      </c>
      <c r="D423" s="1" t="s">
        <v>29</v>
      </c>
      <c r="E423" s="1" t="s">
        <v>25</v>
      </c>
      <c r="F423" s="1" t="s">
        <v>26</v>
      </c>
      <c r="G423" s="1" t="s">
        <v>1229</v>
      </c>
      <c r="H423" s="6">
        <v>1</v>
      </c>
      <c r="I423" s="7">
        <v>0</v>
      </c>
      <c r="J423" s="5">
        <v>45994</v>
      </c>
      <c r="K423" s="1" t="s">
        <v>957</v>
      </c>
      <c r="L423" s="1" t="s">
        <v>30</v>
      </c>
      <c r="M423" s="8">
        <v>0</v>
      </c>
      <c r="N423" s="6"/>
      <c r="O423" s="6">
        <v>40</v>
      </c>
      <c r="P423" s="9">
        <v>-46</v>
      </c>
    </row>
    <row r="424" spans="1:16" ht="19.5" customHeight="1">
      <c r="A424" s="1" t="s">
        <v>1528</v>
      </c>
      <c r="B424" s="5">
        <v>45997</v>
      </c>
      <c r="C424" s="1" t="s">
        <v>28</v>
      </c>
      <c r="D424" s="1" t="s">
        <v>45</v>
      </c>
      <c r="E424" s="1" t="s">
        <v>25</v>
      </c>
      <c r="F424" s="1" t="s">
        <v>26</v>
      </c>
      <c r="G424" s="1" t="s">
        <v>1229</v>
      </c>
      <c r="H424" s="6">
        <v>1</v>
      </c>
      <c r="I424" s="7">
        <v>0</v>
      </c>
      <c r="J424" s="5">
        <v>45994</v>
      </c>
      <c r="K424" s="1" t="s">
        <v>957</v>
      </c>
      <c r="L424" s="1" t="s">
        <v>30</v>
      </c>
      <c r="M424" s="8">
        <v>0</v>
      </c>
      <c r="N424" s="6"/>
      <c r="O424" s="6"/>
      <c r="P424" s="9">
        <v>0</v>
      </c>
    </row>
    <row r="425" spans="1:16" ht="19.5" customHeight="1">
      <c r="A425" s="1" t="s">
        <v>1528</v>
      </c>
      <c r="B425" s="5">
        <v>45997</v>
      </c>
      <c r="C425" s="1" t="s">
        <v>28</v>
      </c>
      <c r="D425" s="1" t="s">
        <v>46</v>
      </c>
      <c r="E425" s="1" t="s">
        <v>25</v>
      </c>
      <c r="F425" s="1" t="s">
        <v>26</v>
      </c>
      <c r="G425" s="1" t="s">
        <v>1229</v>
      </c>
      <c r="H425" s="6">
        <v>1</v>
      </c>
      <c r="I425" s="7">
        <v>0</v>
      </c>
      <c r="J425" s="5">
        <v>45994</v>
      </c>
      <c r="K425" s="1" t="s">
        <v>957</v>
      </c>
      <c r="L425" s="1" t="s">
        <v>30</v>
      </c>
      <c r="M425" s="8">
        <v>0</v>
      </c>
      <c r="N425" s="6"/>
      <c r="O425" s="6"/>
      <c r="P425" s="9">
        <v>-46</v>
      </c>
    </row>
    <row r="426" spans="1:16" ht="19.5" customHeight="1">
      <c r="A426" s="1" t="s">
        <v>1529</v>
      </c>
      <c r="B426" s="5">
        <v>45997</v>
      </c>
      <c r="C426" s="1" t="s">
        <v>28</v>
      </c>
      <c r="D426" s="1" t="s">
        <v>29</v>
      </c>
      <c r="E426" s="1" t="s">
        <v>25</v>
      </c>
      <c r="F426" s="1" t="s">
        <v>26</v>
      </c>
      <c r="G426" s="1" t="s">
        <v>1229</v>
      </c>
      <c r="H426" s="6">
        <v>1</v>
      </c>
      <c r="I426" s="7">
        <v>1738</v>
      </c>
      <c r="J426" s="5">
        <v>45993</v>
      </c>
      <c r="K426" s="1" t="s">
        <v>957</v>
      </c>
      <c r="L426" s="1" t="s">
        <v>30</v>
      </c>
      <c r="M426" s="8">
        <v>0.43</v>
      </c>
      <c r="N426" s="6"/>
      <c r="O426" s="6">
        <v>41</v>
      </c>
      <c r="P426" s="9">
        <v>-117.77</v>
      </c>
    </row>
    <row r="427" spans="1:16" ht="19.5" customHeight="1">
      <c r="A427" s="1" t="s">
        <v>1529</v>
      </c>
      <c r="B427" s="5">
        <v>45997</v>
      </c>
      <c r="C427" s="1" t="s">
        <v>31</v>
      </c>
      <c r="D427" s="1" t="s">
        <v>32</v>
      </c>
      <c r="E427" s="1" t="s">
        <v>25</v>
      </c>
      <c r="F427" s="1" t="s">
        <v>26</v>
      </c>
      <c r="G427" s="1" t="s">
        <v>1229</v>
      </c>
      <c r="H427" s="6">
        <v>1</v>
      </c>
      <c r="I427" s="7">
        <v>1738</v>
      </c>
      <c r="J427" s="5">
        <v>45993</v>
      </c>
      <c r="K427" s="1" t="s">
        <v>957</v>
      </c>
      <c r="L427" s="1" t="s">
        <v>30</v>
      </c>
      <c r="M427" s="8">
        <v>0</v>
      </c>
      <c r="N427" s="6"/>
      <c r="O427" s="6"/>
      <c r="P427" s="9">
        <v>601.9</v>
      </c>
    </row>
    <row r="428" spans="1:16" ht="19.5" customHeight="1">
      <c r="A428" s="1" t="s">
        <v>1529</v>
      </c>
      <c r="B428" s="5">
        <v>45997</v>
      </c>
      <c r="C428" s="1" t="s">
        <v>31</v>
      </c>
      <c r="D428" s="1" t="s">
        <v>33</v>
      </c>
      <c r="E428" s="1" t="s">
        <v>25</v>
      </c>
      <c r="F428" s="1" t="s">
        <v>26</v>
      </c>
      <c r="G428" s="1" t="s">
        <v>1229</v>
      </c>
      <c r="H428" s="6">
        <v>1</v>
      </c>
      <c r="I428" s="7">
        <v>1738</v>
      </c>
      <c r="J428" s="5">
        <v>45993</v>
      </c>
      <c r="K428" s="1" t="s">
        <v>957</v>
      </c>
      <c r="L428" s="1" t="s">
        <v>30</v>
      </c>
      <c r="M428" s="8">
        <v>0</v>
      </c>
      <c r="N428" s="6"/>
      <c r="O428" s="6"/>
      <c r="P428" s="9">
        <v>6.02</v>
      </c>
    </row>
    <row r="429" spans="1:16" ht="19.5" customHeight="1">
      <c r="A429" s="1" t="s">
        <v>1529</v>
      </c>
      <c r="B429" s="5">
        <v>45997</v>
      </c>
      <c r="C429" s="1" t="s">
        <v>31</v>
      </c>
      <c r="D429" s="1" t="s">
        <v>34</v>
      </c>
      <c r="E429" s="1" t="s">
        <v>25</v>
      </c>
      <c r="F429" s="1" t="s">
        <v>26</v>
      </c>
      <c r="G429" s="1" t="s">
        <v>1229</v>
      </c>
      <c r="H429" s="6">
        <v>1</v>
      </c>
      <c r="I429" s="7">
        <v>1738</v>
      </c>
      <c r="J429" s="5">
        <v>45993</v>
      </c>
      <c r="K429" s="1" t="s">
        <v>957</v>
      </c>
      <c r="L429" s="1" t="s">
        <v>30</v>
      </c>
      <c r="M429" s="8">
        <v>0</v>
      </c>
      <c r="N429" s="6"/>
      <c r="O429" s="6"/>
      <c r="P429" s="9">
        <v>1130.08</v>
      </c>
    </row>
    <row r="430" spans="1:16" ht="19.5" customHeight="1">
      <c r="A430" s="1" t="s">
        <v>1529</v>
      </c>
      <c r="B430" s="5">
        <v>45997</v>
      </c>
      <c r="C430" s="1" t="s">
        <v>35</v>
      </c>
      <c r="D430" s="1" t="s">
        <v>36</v>
      </c>
      <c r="E430" s="1" t="s">
        <v>25</v>
      </c>
      <c r="F430" s="1" t="s">
        <v>26</v>
      </c>
      <c r="G430" s="1" t="s">
        <v>1229</v>
      </c>
      <c r="H430" s="6">
        <v>1</v>
      </c>
      <c r="I430" s="7">
        <v>1738</v>
      </c>
      <c r="J430" s="5">
        <v>45993</v>
      </c>
      <c r="K430" s="1" t="s">
        <v>957</v>
      </c>
      <c r="L430" s="1" t="s">
        <v>30</v>
      </c>
      <c r="M430" s="8">
        <v>0.43</v>
      </c>
      <c r="N430" s="6"/>
      <c r="O430" s="6"/>
      <c r="P430" s="9">
        <v>-747.34</v>
      </c>
    </row>
    <row r="431" spans="1:16" ht="19.5" customHeight="1">
      <c r="A431" s="1" t="s">
        <v>1529</v>
      </c>
      <c r="B431" s="5">
        <v>45997</v>
      </c>
      <c r="C431" s="1" t="s">
        <v>17</v>
      </c>
      <c r="D431" s="1" t="s">
        <v>37</v>
      </c>
      <c r="E431" s="1" t="s">
        <v>25</v>
      </c>
      <c r="F431" s="1" t="s">
        <v>26</v>
      </c>
      <c r="G431" s="1" t="s">
        <v>1229</v>
      </c>
      <c r="H431" s="6">
        <v>1</v>
      </c>
      <c r="I431" s="7">
        <v>1738</v>
      </c>
      <c r="J431" s="5">
        <v>45993</v>
      </c>
      <c r="K431" s="1" t="s">
        <v>957</v>
      </c>
      <c r="L431" s="1" t="s">
        <v>30</v>
      </c>
      <c r="M431" s="8">
        <v>0.43</v>
      </c>
      <c r="N431" s="6"/>
      <c r="O431" s="6"/>
      <c r="P431" s="9">
        <v>-10.17</v>
      </c>
    </row>
    <row r="432" spans="1:16" ht="19.5" customHeight="1">
      <c r="A432" s="1" t="s">
        <v>1530</v>
      </c>
      <c r="B432" s="5">
        <v>45997</v>
      </c>
      <c r="C432" s="1" t="s">
        <v>28</v>
      </c>
      <c r="D432" s="1" t="s">
        <v>29</v>
      </c>
      <c r="E432" s="1" t="s">
        <v>25</v>
      </c>
      <c r="F432" s="1" t="s">
        <v>26</v>
      </c>
      <c r="G432" s="1" t="s">
        <v>1229</v>
      </c>
      <c r="H432" s="6">
        <v>1</v>
      </c>
      <c r="I432" s="7">
        <v>1738</v>
      </c>
      <c r="J432" s="5">
        <v>45995</v>
      </c>
      <c r="K432" s="1" t="s">
        <v>957</v>
      </c>
      <c r="L432" s="1" t="s">
        <v>30</v>
      </c>
      <c r="M432" s="8">
        <v>0.43</v>
      </c>
      <c r="N432" s="6"/>
      <c r="O432" s="6">
        <v>42</v>
      </c>
      <c r="P432" s="9">
        <v>-121.75</v>
      </c>
    </row>
    <row r="433" spans="1:16" ht="19.5" customHeight="1">
      <c r="A433" s="1" t="s">
        <v>1530</v>
      </c>
      <c r="B433" s="5">
        <v>45997</v>
      </c>
      <c r="C433" s="1" t="s">
        <v>31</v>
      </c>
      <c r="D433" s="1" t="s">
        <v>32</v>
      </c>
      <c r="E433" s="1" t="s">
        <v>25</v>
      </c>
      <c r="F433" s="1" t="s">
        <v>26</v>
      </c>
      <c r="G433" s="1" t="s">
        <v>1229</v>
      </c>
      <c r="H433" s="6">
        <v>1</v>
      </c>
      <c r="I433" s="7">
        <v>1738</v>
      </c>
      <c r="J433" s="5">
        <v>45995</v>
      </c>
      <c r="K433" s="1" t="s">
        <v>957</v>
      </c>
      <c r="L433" s="1" t="s">
        <v>30</v>
      </c>
      <c r="M433" s="8">
        <v>0</v>
      </c>
      <c r="N433" s="6"/>
      <c r="O433" s="6"/>
      <c r="P433" s="9">
        <v>754.97</v>
      </c>
    </row>
    <row r="434" spans="1:16" ht="19.5" customHeight="1">
      <c r="A434" s="1" t="s">
        <v>1530</v>
      </c>
      <c r="B434" s="5">
        <v>45997</v>
      </c>
      <c r="C434" s="1" t="s">
        <v>31</v>
      </c>
      <c r="D434" s="1" t="s">
        <v>33</v>
      </c>
      <c r="E434" s="1" t="s">
        <v>25</v>
      </c>
      <c r="F434" s="1" t="s">
        <v>26</v>
      </c>
      <c r="G434" s="1" t="s">
        <v>1229</v>
      </c>
      <c r="H434" s="6">
        <v>1</v>
      </c>
      <c r="I434" s="7">
        <v>1738</v>
      </c>
      <c r="J434" s="5">
        <v>45995</v>
      </c>
      <c r="K434" s="1" t="s">
        <v>957</v>
      </c>
      <c r="L434" s="1" t="s">
        <v>30</v>
      </c>
      <c r="M434" s="8">
        <v>0</v>
      </c>
      <c r="N434" s="6"/>
      <c r="O434" s="6"/>
      <c r="P434" s="9">
        <v>7.55</v>
      </c>
    </row>
    <row r="435" spans="1:16" ht="19.5" customHeight="1">
      <c r="A435" s="1" t="s">
        <v>1530</v>
      </c>
      <c r="B435" s="5">
        <v>45997</v>
      </c>
      <c r="C435" s="1" t="s">
        <v>31</v>
      </c>
      <c r="D435" s="1" t="s">
        <v>34</v>
      </c>
      <c r="E435" s="1" t="s">
        <v>25</v>
      </c>
      <c r="F435" s="1" t="s">
        <v>26</v>
      </c>
      <c r="G435" s="1" t="s">
        <v>1229</v>
      </c>
      <c r="H435" s="6">
        <v>1</v>
      </c>
      <c r="I435" s="7">
        <v>1738</v>
      </c>
      <c r="J435" s="5">
        <v>45995</v>
      </c>
      <c r="K435" s="1" t="s">
        <v>957</v>
      </c>
      <c r="L435" s="1" t="s">
        <v>30</v>
      </c>
      <c r="M435" s="8">
        <v>0</v>
      </c>
      <c r="N435" s="6"/>
      <c r="O435" s="6"/>
      <c r="P435" s="9">
        <v>975.48</v>
      </c>
    </row>
    <row r="436" spans="1:16" ht="19.5" customHeight="1">
      <c r="A436" s="1" t="s">
        <v>1530</v>
      </c>
      <c r="B436" s="5">
        <v>45997</v>
      </c>
      <c r="C436" s="1" t="s">
        <v>35</v>
      </c>
      <c r="D436" s="1" t="s">
        <v>36</v>
      </c>
      <c r="E436" s="1" t="s">
        <v>25</v>
      </c>
      <c r="F436" s="1" t="s">
        <v>26</v>
      </c>
      <c r="G436" s="1" t="s">
        <v>1229</v>
      </c>
      <c r="H436" s="6">
        <v>1</v>
      </c>
      <c r="I436" s="7">
        <v>1738</v>
      </c>
      <c r="J436" s="5">
        <v>45995</v>
      </c>
      <c r="K436" s="1" t="s">
        <v>957</v>
      </c>
      <c r="L436" s="1" t="s">
        <v>30</v>
      </c>
      <c r="M436" s="8">
        <v>0.43</v>
      </c>
      <c r="N436" s="6"/>
      <c r="O436" s="6"/>
      <c r="P436" s="9">
        <v>-747.34</v>
      </c>
    </row>
    <row r="437" spans="1:16" ht="19.5" customHeight="1">
      <c r="A437" s="1" t="s">
        <v>1530</v>
      </c>
      <c r="B437" s="5">
        <v>45997</v>
      </c>
      <c r="C437" s="1" t="s">
        <v>17</v>
      </c>
      <c r="D437" s="1" t="s">
        <v>37</v>
      </c>
      <c r="E437" s="1" t="s">
        <v>25</v>
      </c>
      <c r="F437" s="1" t="s">
        <v>26</v>
      </c>
      <c r="G437" s="1" t="s">
        <v>1229</v>
      </c>
      <c r="H437" s="6">
        <v>1</v>
      </c>
      <c r="I437" s="7">
        <v>1738</v>
      </c>
      <c r="J437" s="5">
        <v>45995</v>
      </c>
      <c r="K437" s="1" t="s">
        <v>957</v>
      </c>
      <c r="L437" s="1" t="s">
        <v>30</v>
      </c>
      <c r="M437" s="8">
        <v>0.43</v>
      </c>
      <c r="N437" s="6"/>
      <c r="O437" s="6"/>
      <c r="P437" s="9">
        <v>-7.94</v>
      </c>
    </row>
    <row r="438" spans="1:16" ht="19.5" customHeight="1">
      <c r="A438" s="1" t="s">
        <v>1530</v>
      </c>
      <c r="B438" s="5">
        <v>45997</v>
      </c>
      <c r="C438" s="1" t="s">
        <v>17</v>
      </c>
      <c r="D438" s="1" t="s">
        <v>18</v>
      </c>
      <c r="E438" s="1" t="s">
        <v>25</v>
      </c>
      <c r="F438" s="1" t="s">
        <v>26</v>
      </c>
      <c r="G438" s="1" t="s">
        <v>1229</v>
      </c>
      <c r="H438" s="6">
        <v>1</v>
      </c>
      <c r="I438" s="7">
        <v>0</v>
      </c>
      <c r="J438" s="5">
        <v>45995</v>
      </c>
      <c r="K438" s="1" t="s">
        <v>22</v>
      </c>
      <c r="L438" s="1" t="s">
        <v>22</v>
      </c>
      <c r="M438" s="8">
        <v>0</v>
      </c>
      <c r="N438" s="6"/>
      <c r="O438" s="6"/>
      <c r="P438" s="9">
        <v>-14.34</v>
      </c>
    </row>
    <row r="439" spans="1:16" ht="19.5" customHeight="1">
      <c r="A439" s="1" t="s">
        <v>1531</v>
      </c>
      <c r="B439" s="5">
        <v>45997</v>
      </c>
      <c r="C439" s="1" t="s">
        <v>28</v>
      </c>
      <c r="D439" s="1" t="s">
        <v>29</v>
      </c>
      <c r="E439" s="1" t="s">
        <v>223</v>
      </c>
      <c r="F439" s="1" t="s">
        <v>395</v>
      </c>
      <c r="G439" s="1" t="s">
        <v>1229</v>
      </c>
      <c r="H439" s="6">
        <v>1</v>
      </c>
      <c r="I439" s="7">
        <v>1348</v>
      </c>
      <c r="J439" s="5">
        <v>45986</v>
      </c>
      <c r="K439" s="1" t="s">
        <v>957</v>
      </c>
      <c r="L439" s="1" t="s">
        <v>30</v>
      </c>
      <c r="M439" s="8">
        <v>0.43</v>
      </c>
      <c r="N439" s="6"/>
      <c r="O439" s="6">
        <v>44</v>
      </c>
      <c r="P439" s="9">
        <v>-117.44</v>
      </c>
    </row>
    <row r="440" spans="1:16" ht="19.5" customHeight="1">
      <c r="A440" s="1" t="s">
        <v>1531</v>
      </c>
      <c r="B440" s="5">
        <v>45997</v>
      </c>
      <c r="C440" s="1" t="s">
        <v>31</v>
      </c>
      <c r="D440" s="1" t="s">
        <v>32</v>
      </c>
      <c r="E440" s="1" t="s">
        <v>223</v>
      </c>
      <c r="F440" s="1" t="s">
        <v>395</v>
      </c>
      <c r="G440" s="1" t="s">
        <v>1229</v>
      </c>
      <c r="H440" s="6">
        <v>1</v>
      </c>
      <c r="I440" s="7">
        <v>1348</v>
      </c>
      <c r="J440" s="5">
        <v>45986</v>
      </c>
      <c r="K440" s="1" t="s">
        <v>957</v>
      </c>
      <c r="L440" s="1" t="s">
        <v>30</v>
      </c>
      <c r="M440" s="8">
        <v>0</v>
      </c>
      <c r="N440" s="6"/>
      <c r="O440" s="6"/>
      <c r="P440" s="9">
        <v>619.04999999999995</v>
      </c>
    </row>
    <row r="441" spans="1:16" ht="19.5" customHeight="1">
      <c r="A441" s="1" t="s">
        <v>1531</v>
      </c>
      <c r="B441" s="5">
        <v>45997</v>
      </c>
      <c r="C441" s="1" t="s">
        <v>31</v>
      </c>
      <c r="D441" s="1" t="s">
        <v>33</v>
      </c>
      <c r="E441" s="1" t="s">
        <v>223</v>
      </c>
      <c r="F441" s="1" t="s">
        <v>395</v>
      </c>
      <c r="G441" s="1" t="s">
        <v>1229</v>
      </c>
      <c r="H441" s="6">
        <v>1</v>
      </c>
      <c r="I441" s="7">
        <v>1348</v>
      </c>
      <c r="J441" s="5">
        <v>45986</v>
      </c>
      <c r="K441" s="1" t="s">
        <v>957</v>
      </c>
      <c r="L441" s="1" t="s">
        <v>30</v>
      </c>
      <c r="M441" s="8">
        <v>0</v>
      </c>
      <c r="N441" s="6"/>
      <c r="O441" s="6"/>
      <c r="P441" s="9">
        <v>6.19</v>
      </c>
    </row>
    <row r="442" spans="1:16" ht="19.5" customHeight="1">
      <c r="A442" s="1" t="s">
        <v>1531</v>
      </c>
      <c r="B442" s="5">
        <v>45997</v>
      </c>
      <c r="C442" s="1" t="s">
        <v>31</v>
      </c>
      <c r="D442" s="1" t="s">
        <v>34</v>
      </c>
      <c r="E442" s="1" t="s">
        <v>223</v>
      </c>
      <c r="F442" s="1" t="s">
        <v>395</v>
      </c>
      <c r="G442" s="1" t="s">
        <v>1229</v>
      </c>
      <c r="H442" s="6">
        <v>1</v>
      </c>
      <c r="I442" s="7">
        <v>1348</v>
      </c>
      <c r="J442" s="5">
        <v>45986</v>
      </c>
      <c r="K442" s="1" t="s">
        <v>957</v>
      </c>
      <c r="L442" s="1" t="s">
        <v>30</v>
      </c>
      <c r="M442" s="8">
        <v>0</v>
      </c>
      <c r="N442" s="6"/>
      <c r="O442" s="6"/>
      <c r="P442" s="9">
        <v>722.76</v>
      </c>
    </row>
    <row r="443" spans="1:16" ht="19.5" customHeight="1">
      <c r="A443" s="1" t="s">
        <v>1531</v>
      </c>
      <c r="B443" s="5">
        <v>45997</v>
      </c>
      <c r="C443" s="1" t="s">
        <v>35</v>
      </c>
      <c r="D443" s="1" t="s">
        <v>36</v>
      </c>
      <c r="E443" s="1" t="s">
        <v>223</v>
      </c>
      <c r="F443" s="1" t="s">
        <v>395</v>
      </c>
      <c r="G443" s="1" t="s">
        <v>1229</v>
      </c>
      <c r="H443" s="6">
        <v>1</v>
      </c>
      <c r="I443" s="7">
        <v>1348</v>
      </c>
      <c r="J443" s="5">
        <v>45986</v>
      </c>
      <c r="K443" s="1" t="s">
        <v>957</v>
      </c>
      <c r="L443" s="1" t="s">
        <v>30</v>
      </c>
      <c r="M443" s="8">
        <v>0.43</v>
      </c>
      <c r="N443" s="6"/>
      <c r="O443" s="6"/>
      <c r="P443" s="9">
        <v>-579.64</v>
      </c>
    </row>
    <row r="444" spans="1:16" ht="19.5" customHeight="1">
      <c r="A444" s="1" t="s">
        <v>1531</v>
      </c>
      <c r="B444" s="5">
        <v>45997</v>
      </c>
      <c r="C444" s="1" t="s">
        <v>17</v>
      </c>
      <c r="D444" s="1" t="s">
        <v>37</v>
      </c>
      <c r="E444" s="1" t="s">
        <v>223</v>
      </c>
      <c r="F444" s="1" t="s">
        <v>395</v>
      </c>
      <c r="G444" s="1" t="s">
        <v>1229</v>
      </c>
      <c r="H444" s="6">
        <v>1</v>
      </c>
      <c r="I444" s="7">
        <v>1348</v>
      </c>
      <c r="J444" s="5">
        <v>45986</v>
      </c>
      <c r="K444" s="1" t="s">
        <v>957</v>
      </c>
      <c r="L444" s="1" t="s">
        <v>30</v>
      </c>
      <c r="M444" s="8">
        <v>0.43</v>
      </c>
      <c r="N444" s="6"/>
      <c r="O444" s="6"/>
      <c r="P444" s="9">
        <v>-18.28</v>
      </c>
    </row>
    <row r="445" spans="1:16" ht="19.5" customHeight="1">
      <c r="A445" s="1" t="s">
        <v>1531</v>
      </c>
      <c r="B445" s="5">
        <v>45997</v>
      </c>
      <c r="C445" s="1" t="s">
        <v>17</v>
      </c>
      <c r="D445" s="1" t="s">
        <v>18</v>
      </c>
      <c r="E445" s="1" t="s">
        <v>223</v>
      </c>
      <c r="F445" s="1" t="s">
        <v>395</v>
      </c>
      <c r="G445" s="1" t="s">
        <v>1229</v>
      </c>
      <c r="H445" s="6">
        <v>1</v>
      </c>
      <c r="I445" s="7">
        <v>0</v>
      </c>
      <c r="J445" s="5">
        <v>45986</v>
      </c>
      <c r="K445" s="1" t="s">
        <v>22</v>
      </c>
      <c r="L445" s="1" t="s">
        <v>22</v>
      </c>
      <c r="M445" s="8">
        <v>0</v>
      </c>
      <c r="N445" s="6"/>
      <c r="O445" s="6"/>
      <c r="P445" s="9">
        <v>-11.76</v>
      </c>
    </row>
    <row r="446" spans="1:16" ht="19.5" customHeight="1">
      <c r="A446" s="1" t="s">
        <v>1532</v>
      </c>
      <c r="B446" s="5">
        <v>45997</v>
      </c>
      <c r="C446" s="1" t="s">
        <v>28</v>
      </c>
      <c r="D446" s="1" t="s">
        <v>29</v>
      </c>
      <c r="E446" s="1" t="s">
        <v>92</v>
      </c>
      <c r="F446" s="1" t="s">
        <v>93</v>
      </c>
      <c r="G446" s="1" t="s">
        <v>1229</v>
      </c>
      <c r="H446" s="6">
        <v>1</v>
      </c>
      <c r="I446" s="7">
        <v>0</v>
      </c>
      <c r="J446" s="5">
        <v>45989</v>
      </c>
      <c r="K446" s="1" t="s">
        <v>957</v>
      </c>
      <c r="L446" s="1" t="s">
        <v>30</v>
      </c>
      <c r="M446" s="8">
        <v>0</v>
      </c>
      <c r="N446" s="6"/>
      <c r="O446" s="6">
        <v>44</v>
      </c>
      <c r="P446" s="9">
        <v>-46</v>
      </c>
    </row>
    <row r="447" spans="1:16" ht="19.5" customHeight="1">
      <c r="A447" s="1" t="s">
        <v>1532</v>
      </c>
      <c r="B447" s="5">
        <v>45997</v>
      </c>
      <c r="C447" s="1" t="s">
        <v>17</v>
      </c>
      <c r="D447" s="1" t="s">
        <v>37</v>
      </c>
      <c r="E447" s="1" t="s">
        <v>92</v>
      </c>
      <c r="F447" s="1" t="s">
        <v>93</v>
      </c>
      <c r="G447" s="1" t="s">
        <v>1229</v>
      </c>
      <c r="H447" s="6">
        <v>1</v>
      </c>
      <c r="I447" s="7">
        <v>0</v>
      </c>
      <c r="J447" s="5">
        <v>45989</v>
      </c>
      <c r="K447" s="1" t="s">
        <v>957</v>
      </c>
      <c r="L447" s="1" t="s">
        <v>30</v>
      </c>
      <c r="M447" s="8">
        <v>0</v>
      </c>
      <c r="N447" s="6"/>
      <c r="O447" s="6"/>
      <c r="P447" s="9">
        <v>-7.26</v>
      </c>
    </row>
    <row r="448" spans="1:16" ht="19.5" customHeight="1">
      <c r="A448" s="1" t="s">
        <v>1533</v>
      </c>
      <c r="B448" s="5">
        <v>45997</v>
      </c>
      <c r="C448" s="1" t="s">
        <v>17</v>
      </c>
      <c r="D448" s="1" t="s">
        <v>18</v>
      </c>
      <c r="E448" s="1" t="s">
        <v>236</v>
      </c>
      <c r="F448" s="1" t="s">
        <v>1064</v>
      </c>
      <c r="G448" s="1" t="s">
        <v>1133</v>
      </c>
      <c r="H448" s="6">
        <v>1</v>
      </c>
      <c r="I448" s="7">
        <v>0</v>
      </c>
      <c r="J448" s="5">
        <v>45997</v>
      </c>
      <c r="K448" s="1" t="s">
        <v>22</v>
      </c>
      <c r="L448" s="1" t="s">
        <v>22</v>
      </c>
      <c r="M448" s="8">
        <v>0</v>
      </c>
      <c r="N448" s="6"/>
      <c r="O448" s="6"/>
      <c r="P448" s="9">
        <v>-32.979999999999997</v>
      </c>
    </row>
    <row r="449" spans="1:16" ht="19.5" customHeight="1">
      <c r="A449" s="1" t="s">
        <v>1532</v>
      </c>
      <c r="B449" s="5">
        <v>45997</v>
      </c>
      <c r="C449" s="1" t="s">
        <v>28</v>
      </c>
      <c r="D449" s="1" t="s">
        <v>45</v>
      </c>
      <c r="E449" s="1" t="s">
        <v>92</v>
      </c>
      <c r="F449" s="1" t="s">
        <v>93</v>
      </c>
      <c r="G449" s="1" t="s">
        <v>1229</v>
      </c>
      <c r="H449" s="6">
        <v>1</v>
      </c>
      <c r="I449" s="7">
        <v>0</v>
      </c>
      <c r="J449" s="5">
        <v>45989</v>
      </c>
      <c r="K449" s="1" t="s">
        <v>957</v>
      </c>
      <c r="L449" s="1" t="s">
        <v>30</v>
      </c>
      <c r="M449" s="8">
        <v>0</v>
      </c>
      <c r="N449" s="6"/>
      <c r="O449" s="6"/>
      <c r="P449" s="9">
        <v>0</v>
      </c>
    </row>
    <row r="450" spans="1:16" ht="19.5" customHeight="1">
      <c r="A450" s="1" t="s">
        <v>1532</v>
      </c>
      <c r="B450" s="5">
        <v>45997</v>
      </c>
      <c r="C450" s="1" t="s">
        <v>28</v>
      </c>
      <c r="D450" s="1" t="s">
        <v>46</v>
      </c>
      <c r="E450" s="1" t="s">
        <v>92</v>
      </c>
      <c r="F450" s="1" t="s">
        <v>93</v>
      </c>
      <c r="G450" s="1" t="s">
        <v>1229</v>
      </c>
      <c r="H450" s="6">
        <v>1</v>
      </c>
      <c r="I450" s="7">
        <v>0</v>
      </c>
      <c r="J450" s="5">
        <v>45989</v>
      </c>
      <c r="K450" s="1" t="s">
        <v>957</v>
      </c>
      <c r="L450" s="1" t="s">
        <v>30</v>
      </c>
      <c r="M450" s="8">
        <v>0</v>
      </c>
      <c r="N450" s="6"/>
      <c r="O450" s="6"/>
      <c r="P450" s="9">
        <v>-46</v>
      </c>
    </row>
    <row r="451" spans="1:16" ht="19.5" customHeight="1">
      <c r="A451" s="1" t="s">
        <v>1532</v>
      </c>
      <c r="B451" s="5">
        <v>45997</v>
      </c>
      <c r="C451" s="1" t="s">
        <v>17</v>
      </c>
      <c r="D451" s="1" t="s">
        <v>47</v>
      </c>
      <c r="E451" s="1" t="s">
        <v>92</v>
      </c>
      <c r="F451" s="1" t="s">
        <v>93</v>
      </c>
      <c r="G451" s="1" t="s">
        <v>1229</v>
      </c>
      <c r="H451" s="6">
        <v>1</v>
      </c>
      <c r="I451" s="7">
        <v>0</v>
      </c>
      <c r="J451" s="5">
        <v>45989</v>
      </c>
      <c r="K451" s="1" t="s">
        <v>957</v>
      </c>
      <c r="L451" s="1" t="s">
        <v>30</v>
      </c>
      <c r="M451" s="8">
        <v>0</v>
      </c>
      <c r="N451" s="6"/>
      <c r="O451" s="6"/>
      <c r="P451" s="9">
        <v>-15</v>
      </c>
    </row>
    <row r="452" spans="1:16" ht="19.5" customHeight="1">
      <c r="A452" s="1" t="s">
        <v>1534</v>
      </c>
      <c r="B452" s="5">
        <v>45997</v>
      </c>
      <c r="C452" s="1" t="s">
        <v>28</v>
      </c>
      <c r="D452" s="1" t="s">
        <v>29</v>
      </c>
      <c r="E452" s="1" t="s">
        <v>223</v>
      </c>
      <c r="F452" s="1" t="s">
        <v>395</v>
      </c>
      <c r="G452" s="1" t="s">
        <v>1229</v>
      </c>
      <c r="H452" s="6">
        <v>1</v>
      </c>
      <c r="I452" s="7">
        <v>1280</v>
      </c>
      <c r="J452" s="5">
        <v>45995</v>
      </c>
      <c r="K452" s="1" t="s">
        <v>957</v>
      </c>
      <c r="L452" s="1" t="s">
        <v>30</v>
      </c>
      <c r="M452" s="8">
        <v>0.43</v>
      </c>
      <c r="N452" s="6"/>
      <c r="O452" s="6">
        <v>42</v>
      </c>
      <c r="P452" s="9">
        <v>-108.7</v>
      </c>
    </row>
    <row r="453" spans="1:16" ht="19.5" customHeight="1">
      <c r="A453" s="1" t="s">
        <v>1534</v>
      </c>
      <c r="B453" s="5">
        <v>45997</v>
      </c>
      <c r="C453" s="1" t="s">
        <v>31</v>
      </c>
      <c r="D453" s="1" t="s">
        <v>32</v>
      </c>
      <c r="E453" s="1" t="s">
        <v>223</v>
      </c>
      <c r="F453" s="1" t="s">
        <v>395</v>
      </c>
      <c r="G453" s="1" t="s">
        <v>1229</v>
      </c>
      <c r="H453" s="6">
        <v>1</v>
      </c>
      <c r="I453" s="7">
        <v>1280</v>
      </c>
      <c r="J453" s="5">
        <v>45995</v>
      </c>
      <c r="K453" s="1" t="s">
        <v>957</v>
      </c>
      <c r="L453" s="1" t="s">
        <v>30</v>
      </c>
      <c r="M453" s="8">
        <v>0</v>
      </c>
      <c r="N453" s="6"/>
      <c r="O453" s="6"/>
      <c r="P453" s="9">
        <v>472.09</v>
      </c>
    </row>
    <row r="454" spans="1:16" ht="19.5" customHeight="1">
      <c r="A454" s="1" t="s">
        <v>1534</v>
      </c>
      <c r="B454" s="5">
        <v>45997</v>
      </c>
      <c r="C454" s="1" t="s">
        <v>31</v>
      </c>
      <c r="D454" s="1" t="s">
        <v>33</v>
      </c>
      <c r="E454" s="1" t="s">
        <v>223</v>
      </c>
      <c r="F454" s="1" t="s">
        <v>395</v>
      </c>
      <c r="G454" s="1" t="s">
        <v>1229</v>
      </c>
      <c r="H454" s="6">
        <v>1</v>
      </c>
      <c r="I454" s="7">
        <v>1280</v>
      </c>
      <c r="J454" s="5">
        <v>45995</v>
      </c>
      <c r="K454" s="1" t="s">
        <v>957</v>
      </c>
      <c r="L454" s="1" t="s">
        <v>30</v>
      </c>
      <c r="M454" s="8">
        <v>0</v>
      </c>
      <c r="N454" s="6"/>
      <c r="O454" s="6"/>
      <c r="P454" s="9">
        <v>4.72</v>
      </c>
    </row>
    <row r="455" spans="1:16" ht="19.5" customHeight="1">
      <c r="A455" s="1" t="s">
        <v>1534</v>
      </c>
      <c r="B455" s="5">
        <v>45997</v>
      </c>
      <c r="C455" s="1" t="s">
        <v>31</v>
      </c>
      <c r="D455" s="1" t="s">
        <v>34</v>
      </c>
      <c r="E455" s="1" t="s">
        <v>223</v>
      </c>
      <c r="F455" s="1" t="s">
        <v>395</v>
      </c>
      <c r="G455" s="1" t="s">
        <v>1229</v>
      </c>
      <c r="H455" s="6">
        <v>1</v>
      </c>
      <c r="I455" s="7">
        <v>1280</v>
      </c>
      <c r="J455" s="5">
        <v>45995</v>
      </c>
      <c r="K455" s="1" t="s">
        <v>957</v>
      </c>
      <c r="L455" s="1" t="s">
        <v>30</v>
      </c>
      <c r="M455" s="8">
        <v>0</v>
      </c>
      <c r="N455" s="6"/>
      <c r="O455" s="6"/>
      <c r="P455" s="9">
        <v>803.19</v>
      </c>
    </row>
    <row r="456" spans="1:16" ht="19.5" customHeight="1">
      <c r="A456" s="1" t="s">
        <v>1534</v>
      </c>
      <c r="B456" s="5">
        <v>45997</v>
      </c>
      <c r="C456" s="1" t="s">
        <v>35</v>
      </c>
      <c r="D456" s="1" t="s">
        <v>36</v>
      </c>
      <c r="E456" s="1" t="s">
        <v>223</v>
      </c>
      <c r="F456" s="1" t="s">
        <v>395</v>
      </c>
      <c r="G456" s="1" t="s">
        <v>1229</v>
      </c>
      <c r="H456" s="6">
        <v>1</v>
      </c>
      <c r="I456" s="7">
        <v>1280</v>
      </c>
      <c r="J456" s="5">
        <v>45995</v>
      </c>
      <c r="K456" s="1" t="s">
        <v>957</v>
      </c>
      <c r="L456" s="1" t="s">
        <v>30</v>
      </c>
      <c r="M456" s="8">
        <v>0.43</v>
      </c>
      <c r="N456" s="6"/>
      <c r="O456" s="6"/>
      <c r="P456" s="9">
        <v>-550.4</v>
      </c>
    </row>
    <row r="457" spans="1:16" ht="19.5" customHeight="1">
      <c r="A457" s="1" t="s">
        <v>1534</v>
      </c>
      <c r="B457" s="5">
        <v>45997</v>
      </c>
      <c r="C457" s="1" t="s">
        <v>17</v>
      </c>
      <c r="D457" s="1" t="s">
        <v>37</v>
      </c>
      <c r="E457" s="1" t="s">
        <v>223</v>
      </c>
      <c r="F457" s="1" t="s">
        <v>395</v>
      </c>
      <c r="G457" s="1" t="s">
        <v>1229</v>
      </c>
      <c r="H457" s="6">
        <v>1</v>
      </c>
      <c r="I457" s="7">
        <v>1280</v>
      </c>
      <c r="J457" s="5">
        <v>45995</v>
      </c>
      <c r="K457" s="1" t="s">
        <v>957</v>
      </c>
      <c r="L457" s="1" t="s">
        <v>30</v>
      </c>
      <c r="M457" s="8">
        <v>0.43</v>
      </c>
      <c r="N457" s="6"/>
      <c r="O457" s="6"/>
      <c r="P457" s="9">
        <v>-6.38</v>
      </c>
    </row>
    <row r="458" spans="1:16" ht="19.5" customHeight="1">
      <c r="A458" s="1" t="s">
        <v>1535</v>
      </c>
      <c r="B458" s="5">
        <v>45997</v>
      </c>
      <c r="C458" s="1" t="s">
        <v>28</v>
      </c>
      <c r="D458" s="1" t="s">
        <v>29</v>
      </c>
      <c r="E458" s="1" t="s">
        <v>223</v>
      </c>
      <c r="F458" s="1" t="s">
        <v>395</v>
      </c>
      <c r="G458" s="1" t="s">
        <v>1229</v>
      </c>
      <c r="H458" s="6">
        <v>1</v>
      </c>
      <c r="I458" s="7">
        <v>1374</v>
      </c>
      <c r="J458" s="5">
        <v>45993</v>
      </c>
      <c r="K458" s="1" t="s">
        <v>957</v>
      </c>
      <c r="L458" s="1" t="s">
        <v>30</v>
      </c>
      <c r="M458" s="8">
        <v>0.43</v>
      </c>
      <c r="N458" s="6"/>
      <c r="O458" s="6">
        <v>41</v>
      </c>
      <c r="P458" s="9">
        <v>-107.94</v>
      </c>
    </row>
    <row r="459" spans="1:16" ht="19.5" customHeight="1">
      <c r="A459" s="1" t="s">
        <v>1535</v>
      </c>
      <c r="B459" s="5">
        <v>45997</v>
      </c>
      <c r="C459" s="1" t="s">
        <v>31</v>
      </c>
      <c r="D459" s="1" t="s">
        <v>32</v>
      </c>
      <c r="E459" s="1" t="s">
        <v>223</v>
      </c>
      <c r="F459" s="1" t="s">
        <v>395</v>
      </c>
      <c r="G459" s="1" t="s">
        <v>1229</v>
      </c>
      <c r="H459" s="6">
        <v>1</v>
      </c>
      <c r="I459" s="7">
        <v>1374</v>
      </c>
      <c r="J459" s="5">
        <v>45993</v>
      </c>
      <c r="K459" s="1" t="s">
        <v>957</v>
      </c>
      <c r="L459" s="1" t="s">
        <v>30</v>
      </c>
      <c r="M459" s="8">
        <v>0</v>
      </c>
      <c r="N459" s="6"/>
      <c r="O459" s="6"/>
      <c r="P459" s="9">
        <v>377.06</v>
      </c>
    </row>
    <row r="460" spans="1:16" ht="19.5" customHeight="1">
      <c r="A460" s="1" t="s">
        <v>1535</v>
      </c>
      <c r="B460" s="5">
        <v>45997</v>
      </c>
      <c r="C460" s="1" t="s">
        <v>31</v>
      </c>
      <c r="D460" s="1" t="s">
        <v>33</v>
      </c>
      <c r="E460" s="1" t="s">
        <v>223</v>
      </c>
      <c r="F460" s="1" t="s">
        <v>395</v>
      </c>
      <c r="G460" s="1" t="s">
        <v>1229</v>
      </c>
      <c r="H460" s="6">
        <v>1</v>
      </c>
      <c r="I460" s="7">
        <v>1374</v>
      </c>
      <c r="J460" s="5">
        <v>45993</v>
      </c>
      <c r="K460" s="1" t="s">
        <v>957</v>
      </c>
      <c r="L460" s="1" t="s">
        <v>30</v>
      </c>
      <c r="M460" s="8">
        <v>0</v>
      </c>
      <c r="N460" s="6"/>
      <c r="O460" s="6"/>
      <c r="P460" s="9">
        <v>3.77</v>
      </c>
    </row>
    <row r="461" spans="1:16" ht="19.5" customHeight="1">
      <c r="A461" s="1" t="s">
        <v>1535</v>
      </c>
      <c r="B461" s="5">
        <v>45997</v>
      </c>
      <c r="C461" s="1" t="s">
        <v>31</v>
      </c>
      <c r="D461" s="1" t="s">
        <v>34</v>
      </c>
      <c r="E461" s="1" t="s">
        <v>223</v>
      </c>
      <c r="F461" s="1" t="s">
        <v>395</v>
      </c>
      <c r="G461" s="1" t="s">
        <v>1229</v>
      </c>
      <c r="H461" s="6">
        <v>1</v>
      </c>
      <c r="I461" s="7">
        <v>1374</v>
      </c>
      <c r="J461" s="5">
        <v>45993</v>
      </c>
      <c r="K461" s="1" t="s">
        <v>957</v>
      </c>
      <c r="L461" s="1" t="s">
        <v>30</v>
      </c>
      <c r="M461" s="8">
        <v>0</v>
      </c>
      <c r="N461" s="6"/>
      <c r="O461" s="6"/>
      <c r="P461" s="9">
        <v>993.17</v>
      </c>
    </row>
    <row r="462" spans="1:16" ht="19.5" customHeight="1">
      <c r="A462" s="1" t="s">
        <v>1535</v>
      </c>
      <c r="B462" s="5">
        <v>45997</v>
      </c>
      <c r="C462" s="1" t="s">
        <v>35</v>
      </c>
      <c r="D462" s="1" t="s">
        <v>36</v>
      </c>
      <c r="E462" s="1" t="s">
        <v>223</v>
      </c>
      <c r="F462" s="1" t="s">
        <v>395</v>
      </c>
      <c r="G462" s="1" t="s">
        <v>1229</v>
      </c>
      <c r="H462" s="6">
        <v>1</v>
      </c>
      <c r="I462" s="7">
        <v>1374</v>
      </c>
      <c r="J462" s="5">
        <v>45993</v>
      </c>
      <c r="K462" s="1" t="s">
        <v>957</v>
      </c>
      <c r="L462" s="1" t="s">
        <v>30</v>
      </c>
      <c r="M462" s="8">
        <v>0.43</v>
      </c>
      <c r="N462" s="6"/>
      <c r="O462" s="6"/>
      <c r="P462" s="9">
        <v>-590.82000000000005</v>
      </c>
    </row>
    <row r="463" spans="1:16" ht="19.5" customHeight="1">
      <c r="A463" s="1" t="s">
        <v>1535</v>
      </c>
      <c r="B463" s="5">
        <v>45997</v>
      </c>
      <c r="C463" s="1" t="s">
        <v>17</v>
      </c>
      <c r="D463" s="1" t="s">
        <v>37</v>
      </c>
      <c r="E463" s="1" t="s">
        <v>223</v>
      </c>
      <c r="F463" s="1" t="s">
        <v>395</v>
      </c>
      <c r="G463" s="1" t="s">
        <v>1229</v>
      </c>
      <c r="H463" s="6">
        <v>1</v>
      </c>
      <c r="I463" s="7">
        <v>1374</v>
      </c>
      <c r="J463" s="5">
        <v>45993</v>
      </c>
      <c r="K463" s="1" t="s">
        <v>957</v>
      </c>
      <c r="L463" s="1" t="s">
        <v>30</v>
      </c>
      <c r="M463" s="8">
        <v>0.43</v>
      </c>
      <c r="N463" s="6"/>
      <c r="O463" s="6"/>
      <c r="P463" s="9">
        <v>-7.2</v>
      </c>
    </row>
    <row r="464" spans="1:16" ht="19.5" customHeight="1">
      <c r="A464" s="1" t="s">
        <v>1536</v>
      </c>
      <c r="B464" s="5">
        <v>45997</v>
      </c>
      <c r="C464" s="1" t="s">
        <v>28</v>
      </c>
      <c r="D464" s="1" t="s">
        <v>29</v>
      </c>
      <c r="E464" s="1" t="s">
        <v>223</v>
      </c>
      <c r="F464" s="1" t="s">
        <v>395</v>
      </c>
      <c r="G464" s="1" t="s">
        <v>1229</v>
      </c>
      <c r="H464" s="6">
        <v>1</v>
      </c>
      <c r="I464" s="7">
        <v>0</v>
      </c>
      <c r="J464" s="5">
        <v>45993</v>
      </c>
      <c r="K464" s="1" t="s">
        <v>957</v>
      </c>
      <c r="L464" s="1" t="s">
        <v>30</v>
      </c>
      <c r="M464" s="8">
        <v>0</v>
      </c>
      <c r="N464" s="6"/>
      <c r="O464" s="6">
        <v>41</v>
      </c>
      <c r="P464" s="9">
        <v>-46</v>
      </c>
    </row>
    <row r="465" spans="1:16" ht="19.5" customHeight="1">
      <c r="A465" s="1" t="s">
        <v>1536</v>
      </c>
      <c r="B465" s="5">
        <v>45997</v>
      </c>
      <c r="C465" s="1" t="s">
        <v>17</v>
      </c>
      <c r="D465" s="1" t="s">
        <v>37</v>
      </c>
      <c r="E465" s="1" t="s">
        <v>223</v>
      </c>
      <c r="F465" s="1" t="s">
        <v>395</v>
      </c>
      <c r="G465" s="1" t="s">
        <v>1229</v>
      </c>
      <c r="H465" s="6">
        <v>1</v>
      </c>
      <c r="I465" s="7">
        <v>0</v>
      </c>
      <c r="J465" s="5">
        <v>45993</v>
      </c>
      <c r="K465" s="1" t="s">
        <v>957</v>
      </c>
      <c r="L465" s="1" t="s">
        <v>30</v>
      </c>
      <c r="M465" s="8">
        <v>0</v>
      </c>
      <c r="N465" s="6"/>
      <c r="O465" s="6"/>
      <c r="P465" s="9">
        <v>-6.7</v>
      </c>
    </row>
    <row r="466" spans="1:16" ht="19.5" customHeight="1">
      <c r="A466" s="1" t="s">
        <v>1536</v>
      </c>
      <c r="B466" s="5">
        <v>45997</v>
      </c>
      <c r="C466" s="1" t="s">
        <v>28</v>
      </c>
      <c r="D466" s="1" t="s">
        <v>45</v>
      </c>
      <c r="E466" s="1" t="s">
        <v>223</v>
      </c>
      <c r="F466" s="1" t="s">
        <v>395</v>
      </c>
      <c r="G466" s="1" t="s">
        <v>1229</v>
      </c>
      <c r="H466" s="6">
        <v>1</v>
      </c>
      <c r="I466" s="7">
        <v>0</v>
      </c>
      <c r="J466" s="5">
        <v>45993</v>
      </c>
      <c r="K466" s="1" t="s">
        <v>957</v>
      </c>
      <c r="L466" s="1" t="s">
        <v>30</v>
      </c>
      <c r="M466" s="8">
        <v>0</v>
      </c>
      <c r="N466" s="6"/>
      <c r="O466" s="6"/>
      <c r="P466" s="9">
        <v>0</v>
      </c>
    </row>
    <row r="467" spans="1:16" ht="19.5" customHeight="1">
      <c r="A467" s="1" t="s">
        <v>1536</v>
      </c>
      <c r="B467" s="5">
        <v>45997</v>
      </c>
      <c r="C467" s="1" t="s">
        <v>28</v>
      </c>
      <c r="D467" s="1" t="s">
        <v>46</v>
      </c>
      <c r="E467" s="1" t="s">
        <v>223</v>
      </c>
      <c r="F467" s="1" t="s">
        <v>395</v>
      </c>
      <c r="G467" s="1" t="s">
        <v>1229</v>
      </c>
      <c r="H467" s="6">
        <v>1</v>
      </c>
      <c r="I467" s="7">
        <v>0</v>
      </c>
      <c r="J467" s="5">
        <v>45993</v>
      </c>
      <c r="K467" s="1" t="s">
        <v>957</v>
      </c>
      <c r="L467" s="1" t="s">
        <v>30</v>
      </c>
      <c r="M467" s="8">
        <v>0</v>
      </c>
      <c r="N467" s="6"/>
      <c r="O467" s="6"/>
      <c r="P467" s="9">
        <v>-46</v>
      </c>
    </row>
    <row r="468" spans="1:16" ht="19.5" customHeight="1">
      <c r="A468" s="1" t="s">
        <v>1536</v>
      </c>
      <c r="B468" s="5">
        <v>45997</v>
      </c>
      <c r="C468" s="1" t="s">
        <v>17</v>
      </c>
      <c r="D468" s="1" t="s">
        <v>47</v>
      </c>
      <c r="E468" s="1" t="s">
        <v>223</v>
      </c>
      <c r="F468" s="1" t="s">
        <v>395</v>
      </c>
      <c r="G468" s="1" t="s">
        <v>1229</v>
      </c>
      <c r="H468" s="6">
        <v>1</v>
      </c>
      <c r="I468" s="7">
        <v>0</v>
      </c>
      <c r="J468" s="5">
        <v>45993</v>
      </c>
      <c r="K468" s="1" t="s">
        <v>957</v>
      </c>
      <c r="L468" s="1" t="s">
        <v>30</v>
      </c>
      <c r="M468" s="8">
        <v>0</v>
      </c>
      <c r="N468" s="6"/>
      <c r="O468" s="6"/>
      <c r="P468" s="9">
        <v>-15</v>
      </c>
    </row>
    <row r="469" spans="1:16" ht="19.5" customHeight="1">
      <c r="A469" s="1" t="s">
        <v>1537</v>
      </c>
      <c r="B469" s="5">
        <v>45997</v>
      </c>
      <c r="C469" s="1" t="s">
        <v>28</v>
      </c>
      <c r="D469" s="1" t="s">
        <v>29</v>
      </c>
      <c r="E469" s="1" t="s">
        <v>25</v>
      </c>
      <c r="F469" s="1" t="s">
        <v>26</v>
      </c>
      <c r="G469" s="1" t="s">
        <v>1229</v>
      </c>
      <c r="H469" s="6">
        <v>1</v>
      </c>
      <c r="I469" s="7">
        <v>1050</v>
      </c>
      <c r="J469" s="5">
        <v>45995</v>
      </c>
      <c r="K469" s="1" t="s">
        <v>957</v>
      </c>
      <c r="L469" s="1" t="s">
        <v>30</v>
      </c>
      <c r="M469" s="8">
        <v>0.43</v>
      </c>
      <c r="N469" s="6"/>
      <c r="O469" s="6">
        <v>42</v>
      </c>
      <c r="P469" s="9">
        <v>-102.15</v>
      </c>
    </row>
    <row r="470" spans="1:16" ht="19.5" customHeight="1">
      <c r="A470" s="1" t="s">
        <v>1537</v>
      </c>
      <c r="B470" s="5">
        <v>45997</v>
      </c>
      <c r="C470" s="1" t="s">
        <v>31</v>
      </c>
      <c r="D470" s="1" t="s">
        <v>32</v>
      </c>
      <c r="E470" s="1" t="s">
        <v>25</v>
      </c>
      <c r="F470" s="1" t="s">
        <v>26</v>
      </c>
      <c r="G470" s="1" t="s">
        <v>1229</v>
      </c>
      <c r="H470" s="6">
        <v>1</v>
      </c>
      <c r="I470" s="7">
        <v>1050</v>
      </c>
      <c r="J470" s="5">
        <v>45995</v>
      </c>
      <c r="K470" s="1" t="s">
        <v>957</v>
      </c>
      <c r="L470" s="1" t="s">
        <v>30</v>
      </c>
      <c r="M470" s="8">
        <v>0</v>
      </c>
      <c r="N470" s="6"/>
      <c r="O470" s="6"/>
      <c r="P470" s="9">
        <v>460.08</v>
      </c>
    </row>
    <row r="471" spans="1:16" ht="19.5" customHeight="1">
      <c r="A471" s="1" t="s">
        <v>1537</v>
      </c>
      <c r="B471" s="5">
        <v>45997</v>
      </c>
      <c r="C471" s="1" t="s">
        <v>31</v>
      </c>
      <c r="D471" s="1" t="s">
        <v>33</v>
      </c>
      <c r="E471" s="1" t="s">
        <v>25</v>
      </c>
      <c r="F471" s="1" t="s">
        <v>26</v>
      </c>
      <c r="G471" s="1" t="s">
        <v>1229</v>
      </c>
      <c r="H471" s="6">
        <v>1</v>
      </c>
      <c r="I471" s="7">
        <v>1050</v>
      </c>
      <c r="J471" s="5">
        <v>45995</v>
      </c>
      <c r="K471" s="1" t="s">
        <v>957</v>
      </c>
      <c r="L471" s="1" t="s">
        <v>30</v>
      </c>
      <c r="M471" s="8">
        <v>0</v>
      </c>
      <c r="N471" s="6"/>
      <c r="O471" s="6"/>
      <c r="P471" s="9">
        <v>4.5999999999999996</v>
      </c>
    </row>
    <row r="472" spans="1:16" ht="19.5" customHeight="1">
      <c r="A472" s="1" t="s">
        <v>1537</v>
      </c>
      <c r="B472" s="5">
        <v>45997</v>
      </c>
      <c r="C472" s="1" t="s">
        <v>31</v>
      </c>
      <c r="D472" s="1" t="s">
        <v>34</v>
      </c>
      <c r="E472" s="1" t="s">
        <v>25</v>
      </c>
      <c r="F472" s="1" t="s">
        <v>26</v>
      </c>
      <c r="G472" s="1" t="s">
        <v>1229</v>
      </c>
      <c r="H472" s="6">
        <v>1</v>
      </c>
      <c r="I472" s="7">
        <v>1050</v>
      </c>
      <c r="J472" s="5">
        <v>45995</v>
      </c>
      <c r="K472" s="1" t="s">
        <v>957</v>
      </c>
      <c r="L472" s="1" t="s">
        <v>30</v>
      </c>
      <c r="M472" s="8">
        <v>0</v>
      </c>
      <c r="N472" s="6"/>
      <c r="O472" s="6"/>
      <c r="P472" s="9">
        <v>585.32000000000005</v>
      </c>
    </row>
    <row r="473" spans="1:16" ht="19.5" customHeight="1">
      <c r="A473" s="1" t="s">
        <v>1537</v>
      </c>
      <c r="B473" s="5">
        <v>45997</v>
      </c>
      <c r="C473" s="1" t="s">
        <v>35</v>
      </c>
      <c r="D473" s="1" t="s">
        <v>36</v>
      </c>
      <c r="E473" s="1" t="s">
        <v>25</v>
      </c>
      <c r="F473" s="1" t="s">
        <v>26</v>
      </c>
      <c r="G473" s="1" t="s">
        <v>1229</v>
      </c>
      <c r="H473" s="6">
        <v>1</v>
      </c>
      <c r="I473" s="7">
        <v>1050</v>
      </c>
      <c r="J473" s="5">
        <v>45995</v>
      </c>
      <c r="K473" s="1" t="s">
        <v>957</v>
      </c>
      <c r="L473" s="1" t="s">
        <v>30</v>
      </c>
      <c r="M473" s="8">
        <v>0.43</v>
      </c>
      <c r="N473" s="6"/>
      <c r="O473" s="6"/>
      <c r="P473" s="9">
        <v>-451.5</v>
      </c>
    </row>
    <row r="474" spans="1:16" ht="19.5" customHeight="1">
      <c r="A474" s="1" t="s">
        <v>1537</v>
      </c>
      <c r="B474" s="5">
        <v>45997</v>
      </c>
      <c r="C474" s="1" t="s">
        <v>17</v>
      </c>
      <c r="D474" s="1" t="s">
        <v>37</v>
      </c>
      <c r="E474" s="1" t="s">
        <v>25</v>
      </c>
      <c r="F474" s="1" t="s">
        <v>26</v>
      </c>
      <c r="G474" s="1" t="s">
        <v>1229</v>
      </c>
      <c r="H474" s="6">
        <v>1</v>
      </c>
      <c r="I474" s="7">
        <v>1050</v>
      </c>
      <c r="J474" s="5">
        <v>45995</v>
      </c>
      <c r="K474" s="1" t="s">
        <v>957</v>
      </c>
      <c r="L474" s="1" t="s">
        <v>30</v>
      </c>
      <c r="M474" s="8">
        <v>0.43</v>
      </c>
      <c r="N474" s="6"/>
      <c r="O474" s="6"/>
      <c r="P474" s="9">
        <v>-7.41</v>
      </c>
    </row>
    <row r="475" spans="1:16" ht="19.5" customHeight="1">
      <c r="A475" s="1" t="s">
        <v>1538</v>
      </c>
      <c r="B475" s="5">
        <v>45997</v>
      </c>
      <c r="C475" s="1" t="s">
        <v>17</v>
      </c>
      <c r="D475" s="1" t="s">
        <v>18</v>
      </c>
      <c r="E475" s="1" t="s">
        <v>223</v>
      </c>
      <c r="F475" s="1" t="s">
        <v>395</v>
      </c>
      <c r="G475" s="1" t="s">
        <v>1229</v>
      </c>
      <c r="H475" s="6">
        <v>1</v>
      </c>
      <c r="I475" s="7">
        <v>0</v>
      </c>
      <c r="J475" s="5">
        <v>45997</v>
      </c>
      <c r="K475" s="1" t="s">
        <v>22</v>
      </c>
      <c r="L475" s="1" t="s">
        <v>22</v>
      </c>
      <c r="M475" s="8">
        <v>0</v>
      </c>
      <c r="N475" s="6"/>
      <c r="O475" s="6"/>
      <c r="P475" s="9">
        <v>-13.65</v>
      </c>
    </row>
    <row r="476" spans="1:16" ht="19.5" customHeight="1">
      <c r="A476" s="1" t="s">
        <v>1539</v>
      </c>
      <c r="B476" s="5">
        <v>45997</v>
      </c>
      <c r="C476" s="1" t="s">
        <v>28</v>
      </c>
      <c r="D476" s="1" t="s">
        <v>29</v>
      </c>
      <c r="E476" s="1" t="s">
        <v>25</v>
      </c>
      <c r="F476" s="1" t="s">
        <v>26</v>
      </c>
      <c r="G476" s="1" t="s">
        <v>1229</v>
      </c>
      <c r="H476" s="6">
        <v>1</v>
      </c>
      <c r="I476" s="7">
        <v>1738</v>
      </c>
      <c r="J476" s="5">
        <v>45994</v>
      </c>
      <c r="K476" s="1" t="s">
        <v>957</v>
      </c>
      <c r="L476" s="1" t="s">
        <v>30</v>
      </c>
      <c r="M476" s="8">
        <v>0.43</v>
      </c>
      <c r="N476" s="6"/>
      <c r="O476" s="6">
        <v>40</v>
      </c>
      <c r="P476" s="9">
        <v>-113.78</v>
      </c>
    </row>
    <row r="477" spans="1:16" ht="19.5" customHeight="1">
      <c r="A477" s="1" t="s">
        <v>1539</v>
      </c>
      <c r="B477" s="5">
        <v>45997</v>
      </c>
      <c r="C477" s="1" t="s">
        <v>31</v>
      </c>
      <c r="D477" s="1" t="s">
        <v>32</v>
      </c>
      <c r="E477" s="1" t="s">
        <v>25</v>
      </c>
      <c r="F477" s="1" t="s">
        <v>26</v>
      </c>
      <c r="G477" s="1" t="s">
        <v>1229</v>
      </c>
      <c r="H477" s="6">
        <v>1</v>
      </c>
      <c r="I477" s="7">
        <v>1738</v>
      </c>
      <c r="J477" s="5">
        <v>45994</v>
      </c>
      <c r="K477" s="1" t="s">
        <v>957</v>
      </c>
      <c r="L477" s="1" t="s">
        <v>30</v>
      </c>
      <c r="M477" s="8">
        <v>0</v>
      </c>
      <c r="N477" s="6"/>
      <c r="O477" s="6"/>
      <c r="P477" s="9">
        <v>661.27</v>
      </c>
    </row>
    <row r="478" spans="1:16" ht="19.5" customHeight="1">
      <c r="A478" s="1" t="s">
        <v>1539</v>
      </c>
      <c r="B478" s="5">
        <v>45997</v>
      </c>
      <c r="C478" s="1" t="s">
        <v>31</v>
      </c>
      <c r="D478" s="1" t="s">
        <v>33</v>
      </c>
      <c r="E478" s="1" t="s">
        <v>25</v>
      </c>
      <c r="F478" s="1" t="s">
        <v>26</v>
      </c>
      <c r="G478" s="1" t="s">
        <v>1229</v>
      </c>
      <c r="H478" s="6">
        <v>1</v>
      </c>
      <c r="I478" s="7">
        <v>1738</v>
      </c>
      <c r="J478" s="5">
        <v>45994</v>
      </c>
      <c r="K478" s="1" t="s">
        <v>957</v>
      </c>
      <c r="L478" s="1" t="s">
        <v>30</v>
      </c>
      <c r="M478" s="8">
        <v>0</v>
      </c>
      <c r="N478" s="6"/>
      <c r="O478" s="6"/>
      <c r="P478" s="9">
        <v>0</v>
      </c>
    </row>
    <row r="479" spans="1:16" ht="19.5" customHeight="1">
      <c r="A479" s="1" t="s">
        <v>1539</v>
      </c>
      <c r="B479" s="5">
        <v>45997</v>
      </c>
      <c r="C479" s="1" t="s">
        <v>31</v>
      </c>
      <c r="D479" s="1" t="s">
        <v>34</v>
      </c>
      <c r="E479" s="1" t="s">
        <v>25</v>
      </c>
      <c r="F479" s="1" t="s">
        <v>26</v>
      </c>
      <c r="G479" s="1" t="s">
        <v>1229</v>
      </c>
      <c r="H479" s="6">
        <v>1</v>
      </c>
      <c r="I479" s="7">
        <v>1738</v>
      </c>
      <c r="J479" s="5">
        <v>45994</v>
      </c>
      <c r="K479" s="1" t="s">
        <v>957</v>
      </c>
      <c r="L479" s="1" t="s">
        <v>30</v>
      </c>
      <c r="M479" s="8">
        <v>0</v>
      </c>
      <c r="N479" s="6"/>
      <c r="O479" s="6"/>
      <c r="P479" s="9">
        <v>1076.73</v>
      </c>
    </row>
    <row r="480" spans="1:16" ht="19.5" customHeight="1">
      <c r="A480" s="1" t="s">
        <v>1539</v>
      </c>
      <c r="B480" s="5">
        <v>45997</v>
      </c>
      <c r="C480" s="1" t="s">
        <v>35</v>
      </c>
      <c r="D480" s="1" t="s">
        <v>36</v>
      </c>
      <c r="E480" s="1" t="s">
        <v>25</v>
      </c>
      <c r="F480" s="1" t="s">
        <v>26</v>
      </c>
      <c r="G480" s="1" t="s">
        <v>1229</v>
      </c>
      <c r="H480" s="6">
        <v>1</v>
      </c>
      <c r="I480" s="7">
        <v>1738</v>
      </c>
      <c r="J480" s="5">
        <v>45994</v>
      </c>
      <c r="K480" s="1" t="s">
        <v>957</v>
      </c>
      <c r="L480" s="1" t="s">
        <v>30</v>
      </c>
      <c r="M480" s="8">
        <v>0.43</v>
      </c>
      <c r="N480" s="6"/>
      <c r="O480" s="6"/>
      <c r="P480" s="9">
        <v>-747.34</v>
      </c>
    </row>
    <row r="481" spans="1:16" ht="19.5" customHeight="1">
      <c r="A481" s="1" t="s">
        <v>1539</v>
      </c>
      <c r="B481" s="5">
        <v>45997</v>
      </c>
      <c r="C481" s="1" t="s">
        <v>17</v>
      </c>
      <c r="D481" s="1" t="s">
        <v>18</v>
      </c>
      <c r="E481" s="1" t="s">
        <v>25</v>
      </c>
      <c r="F481" s="1" t="s">
        <v>26</v>
      </c>
      <c r="G481" s="1" t="s">
        <v>1229</v>
      </c>
      <c r="H481" s="6">
        <v>1</v>
      </c>
      <c r="I481" s="7">
        <v>0</v>
      </c>
      <c r="J481" s="5">
        <v>45994</v>
      </c>
      <c r="K481" s="1" t="s">
        <v>22</v>
      </c>
      <c r="L481" s="1" t="s">
        <v>22</v>
      </c>
      <c r="M481" s="8">
        <v>0</v>
      </c>
      <c r="N481" s="6"/>
      <c r="O481" s="6"/>
      <c r="P481" s="9">
        <v>-5.09</v>
      </c>
    </row>
    <row r="482" spans="1:16" ht="19.5" customHeight="1">
      <c r="A482" s="1" t="s">
        <v>1540</v>
      </c>
      <c r="B482" s="5">
        <v>45997</v>
      </c>
      <c r="C482" s="1" t="s">
        <v>28</v>
      </c>
      <c r="D482" s="1" t="s">
        <v>29</v>
      </c>
      <c r="E482" s="1" t="s">
        <v>223</v>
      </c>
      <c r="F482" s="1" t="s">
        <v>395</v>
      </c>
      <c r="G482" s="1" t="s">
        <v>1229</v>
      </c>
      <c r="H482" s="6">
        <v>1</v>
      </c>
      <c r="I482" s="7">
        <v>1280</v>
      </c>
      <c r="J482" s="5">
        <v>45996</v>
      </c>
      <c r="K482" s="1" t="s">
        <v>957</v>
      </c>
      <c r="L482" s="1" t="s">
        <v>30</v>
      </c>
      <c r="M482" s="8">
        <v>0.43</v>
      </c>
      <c r="N482" s="6"/>
      <c r="O482" s="6">
        <v>40</v>
      </c>
      <c r="P482" s="9">
        <v>-102.1</v>
      </c>
    </row>
    <row r="483" spans="1:16" ht="19.5" customHeight="1">
      <c r="A483" s="1" t="s">
        <v>1540</v>
      </c>
      <c r="B483" s="5">
        <v>45997</v>
      </c>
      <c r="C483" s="1" t="s">
        <v>31</v>
      </c>
      <c r="D483" s="1" t="s">
        <v>32</v>
      </c>
      <c r="E483" s="1" t="s">
        <v>223</v>
      </c>
      <c r="F483" s="1" t="s">
        <v>395</v>
      </c>
      <c r="G483" s="1" t="s">
        <v>1229</v>
      </c>
      <c r="H483" s="6">
        <v>1</v>
      </c>
      <c r="I483" s="7">
        <v>1280</v>
      </c>
      <c r="J483" s="5">
        <v>45996</v>
      </c>
      <c r="K483" s="1" t="s">
        <v>957</v>
      </c>
      <c r="L483" s="1" t="s">
        <v>30</v>
      </c>
      <c r="M483" s="8">
        <v>0</v>
      </c>
      <c r="N483" s="6"/>
      <c r="O483" s="6"/>
      <c r="P483" s="9">
        <v>566.29</v>
      </c>
    </row>
    <row r="484" spans="1:16" ht="19.5" customHeight="1">
      <c r="A484" s="1" t="s">
        <v>1540</v>
      </c>
      <c r="B484" s="5">
        <v>45997</v>
      </c>
      <c r="C484" s="1" t="s">
        <v>31</v>
      </c>
      <c r="D484" s="1" t="s">
        <v>33</v>
      </c>
      <c r="E484" s="1" t="s">
        <v>223</v>
      </c>
      <c r="F484" s="1" t="s">
        <v>395</v>
      </c>
      <c r="G484" s="1" t="s">
        <v>1229</v>
      </c>
      <c r="H484" s="6">
        <v>1</v>
      </c>
      <c r="I484" s="7">
        <v>1280</v>
      </c>
      <c r="J484" s="5">
        <v>45996</v>
      </c>
      <c r="K484" s="1" t="s">
        <v>957</v>
      </c>
      <c r="L484" s="1" t="s">
        <v>30</v>
      </c>
      <c r="M484" s="8">
        <v>0</v>
      </c>
      <c r="N484" s="6"/>
      <c r="O484" s="6"/>
      <c r="P484" s="9">
        <v>5.66</v>
      </c>
    </row>
    <row r="485" spans="1:16" ht="19.5" customHeight="1">
      <c r="A485" s="1" t="s">
        <v>1540</v>
      </c>
      <c r="B485" s="5">
        <v>45997</v>
      </c>
      <c r="C485" s="1" t="s">
        <v>31</v>
      </c>
      <c r="D485" s="1" t="s">
        <v>34</v>
      </c>
      <c r="E485" s="1" t="s">
        <v>223</v>
      </c>
      <c r="F485" s="1" t="s">
        <v>395</v>
      </c>
      <c r="G485" s="1" t="s">
        <v>1229</v>
      </c>
      <c r="H485" s="6">
        <v>1</v>
      </c>
      <c r="I485" s="7">
        <v>1280</v>
      </c>
      <c r="J485" s="5">
        <v>45996</v>
      </c>
      <c r="K485" s="1" t="s">
        <v>957</v>
      </c>
      <c r="L485" s="1" t="s">
        <v>30</v>
      </c>
      <c r="M485" s="8">
        <v>0</v>
      </c>
      <c r="N485" s="6"/>
      <c r="O485" s="6"/>
      <c r="P485" s="9">
        <v>708.05</v>
      </c>
    </row>
    <row r="486" spans="1:16" ht="19.5" customHeight="1">
      <c r="A486" s="1" t="s">
        <v>1540</v>
      </c>
      <c r="B486" s="5">
        <v>45997</v>
      </c>
      <c r="C486" s="1" t="s">
        <v>35</v>
      </c>
      <c r="D486" s="1" t="s">
        <v>36</v>
      </c>
      <c r="E486" s="1" t="s">
        <v>223</v>
      </c>
      <c r="F486" s="1" t="s">
        <v>395</v>
      </c>
      <c r="G486" s="1" t="s">
        <v>1229</v>
      </c>
      <c r="H486" s="6">
        <v>1</v>
      </c>
      <c r="I486" s="7">
        <v>1280</v>
      </c>
      <c r="J486" s="5">
        <v>45996</v>
      </c>
      <c r="K486" s="1" t="s">
        <v>957</v>
      </c>
      <c r="L486" s="1" t="s">
        <v>30</v>
      </c>
      <c r="M486" s="8">
        <v>0.43</v>
      </c>
      <c r="N486" s="6"/>
      <c r="O486" s="6"/>
      <c r="P486" s="9">
        <v>-550.4</v>
      </c>
    </row>
    <row r="487" spans="1:16" ht="19.5" customHeight="1">
      <c r="A487" s="1" t="s">
        <v>1540</v>
      </c>
      <c r="B487" s="5">
        <v>45997</v>
      </c>
      <c r="C487" s="1" t="s">
        <v>17</v>
      </c>
      <c r="D487" s="1" t="s">
        <v>37</v>
      </c>
      <c r="E487" s="1" t="s">
        <v>223</v>
      </c>
      <c r="F487" s="1" t="s">
        <v>395</v>
      </c>
      <c r="G487" s="1" t="s">
        <v>1229</v>
      </c>
      <c r="H487" s="6">
        <v>1</v>
      </c>
      <c r="I487" s="7">
        <v>1280</v>
      </c>
      <c r="J487" s="5">
        <v>45996</v>
      </c>
      <c r="K487" s="1" t="s">
        <v>957</v>
      </c>
      <c r="L487" s="1" t="s">
        <v>30</v>
      </c>
      <c r="M487" s="8">
        <v>0.43</v>
      </c>
      <c r="N487" s="6"/>
      <c r="O487" s="6"/>
      <c r="P487" s="9">
        <v>-6.56</v>
      </c>
    </row>
    <row r="488" spans="1:16" ht="19.5" customHeight="1">
      <c r="A488" s="1" t="s">
        <v>1541</v>
      </c>
      <c r="B488" s="5">
        <v>45997</v>
      </c>
      <c r="C488" s="1" t="s">
        <v>28</v>
      </c>
      <c r="D488" s="1" t="s">
        <v>29</v>
      </c>
      <c r="E488" s="1" t="s">
        <v>223</v>
      </c>
      <c r="F488" s="1" t="s">
        <v>395</v>
      </c>
      <c r="G488" s="1" t="s">
        <v>1229</v>
      </c>
      <c r="H488" s="6">
        <v>1</v>
      </c>
      <c r="I488" s="7">
        <v>1280</v>
      </c>
      <c r="J488" s="5">
        <v>45996</v>
      </c>
      <c r="K488" s="1" t="s">
        <v>957</v>
      </c>
      <c r="L488" s="1" t="s">
        <v>30</v>
      </c>
      <c r="M488" s="8">
        <v>0.43</v>
      </c>
      <c r="N488" s="6"/>
      <c r="O488" s="6">
        <v>40</v>
      </c>
      <c r="P488" s="9">
        <v>-102.1</v>
      </c>
    </row>
    <row r="489" spans="1:16" ht="19.5" customHeight="1">
      <c r="A489" s="1" t="s">
        <v>1541</v>
      </c>
      <c r="B489" s="5">
        <v>45997</v>
      </c>
      <c r="C489" s="1" t="s">
        <v>31</v>
      </c>
      <c r="D489" s="1" t="s">
        <v>32</v>
      </c>
      <c r="E489" s="1" t="s">
        <v>223</v>
      </c>
      <c r="F489" s="1" t="s">
        <v>395</v>
      </c>
      <c r="G489" s="1" t="s">
        <v>1229</v>
      </c>
      <c r="H489" s="6">
        <v>1</v>
      </c>
      <c r="I489" s="7">
        <v>1280</v>
      </c>
      <c r="J489" s="5">
        <v>45996</v>
      </c>
      <c r="K489" s="1" t="s">
        <v>957</v>
      </c>
      <c r="L489" s="1" t="s">
        <v>30</v>
      </c>
      <c r="M489" s="8">
        <v>0</v>
      </c>
      <c r="N489" s="6"/>
      <c r="O489" s="6"/>
      <c r="P489" s="9">
        <v>566.29</v>
      </c>
    </row>
    <row r="490" spans="1:16" ht="19.5" customHeight="1">
      <c r="A490" s="1" t="s">
        <v>1541</v>
      </c>
      <c r="B490" s="5">
        <v>45997</v>
      </c>
      <c r="C490" s="1" t="s">
        <v>31</v>
      </c>
      <c r="D490" s="1" t="s">
        <v>33</v>
      </c>
      <c r="E490" s="1" t="s">
        <v>223</v>
      </c>
      <c r="F490" s="1" t="s">
        <v>395</v>
      </c>
      <c r="G490" s="1" t="s">
        <v>1229</v>
      </c>
      <c r="H490" s="6">
        <v>1</v>
      </c>
      <c r="I490" s="7">
        <v>1280</v>
      </c>
      <c r="J490" s="5">
        <v>45996</v>
      </c>
      <c r="K490" s="1" t="s">
        <v>957</v>
      </c>
      <c r="L490" s="1" t="s">
        <v>30</v>
      </c>
      <c r="M490" s="8">
        <v>0</v>
      </c>
      <c r="N490" s="6"/>
      <c r="O490" s="6"/>
      <c r="P490" s="9">
        <v>5.66</v>
      </c>
    </row>
    <row r="491" spans="1:16" ht="19.5" customHeight="1">
      <c r="A491" s="1" t="s">
        <v>1541</v>
      </c>
      <c r="B491" s="5">
        <v>45997</v>
      </c>
      <c r="C491" s="1" t="s">
        <v>31</v>
      </c>
      <c r="D491" s="1" t="s">
        <v>34</v>
      </c>
      <c r="E491" s="1" t="s">
        <v>223</v>
      </c>
      <c r="F491" s="1" t="s">
        <v>395</v>
      </c>
      <c r="G491" s="1" t="s">
        <v>1229</v>
      </c>
      <c r="H491" s="6">
        <v>1</v>
      </c>
      <c r="I491" s="7">
        <v>1280</v>
      </c>
      <c r="J491" s="5">
        <v>45996</v>
      </c>
      <c r="K491" s="1" t="s">
        <v>957</v>
      </c>
      <c r="L491" s="1" t="s">
        <v>30</v>
      </c>
      <c r="M491" s="8">
        <v>0</v>
      </c>
      <c r="N491" s="6"/>
      <c r="O491" s="6"/>
      <c r="P491" s="9">
        <v>708.05</v>
      </c>
    </row>
    <row r="492" spans="1:16" ht="19.5" customHeight="1">
      <c r="A492" s="1" t="s">
        <v>1541</v>
      </c>
      <c r="B492" s="5">
        <v>45997</v>
      </c>
      <c r="C492" s="1" t="s">
        <v>35</v>
      </c>
      <c r="D492" s="1" t="s">
        <v>36</v>
      </c>
      <c r="E492" s="1" t="s">
        <v>223</v>
      </c>
      <c r="F492" s="1" t="s">
        <v>395</v>
      </c>
      <c r="G492" s="1" t="s">
        <v>1229</v>
      </c>
      <c r="H492" s="6">
        <v>1</v>
      </c>
      <c r="I492" s="7">
        <v>1280</v>
      </c>
      <c r="J492" s="5">
        <v>45996</v>
      </c>
      <c r="K492" s="1" t="s">
        <v>957</v>
      </c>
      <c r="L492" s="1" t="s">
        <v>30</v>
      </c>
      <c r="M492" s="8">
        <v>0.43</v>
      </c>
      <c r="N492" s="6"/>
      <c r="O492" s="6"/>
      <c r="P492" s="9">
        <v>-550.4</v>
      </c>
    </row>
    <row r="493" spans="1:16" ht="19.5" customHeight="1">
      <c r="A493" s="1" t="s">
        <v>1541</v>
      </c>
      <c r="B493" s="5">
        <v>45997</v>
      </c>
      <c r="C493" s="1" t="s">
        <v>17</v>
      </c>
      <c r="D493" s="1" t="s">
        <v>37</v>
      </c>
      <c r="E493" s="1" t="s">
        <v>223</v>
      </c>
      <c r="F493" s="1" t="s">
        <v>395</v>
      </c>
      <c r="G493" s="1" t="s">
        <v>1229</v>
      </c>
      <c r="H493" s="6">
        <v>1</v>
      </c>
      <c r="I493" s="7">
        <v>1280</v>
      </c>
      <c r="J493" s="5">
        <v>45996</v>
      </c>
      <c r="K493" s="1" t="s">
        <v>957</v>
      </c>
      <c r="L493" s="1" t="s">
        <v>30</v>
      </c>
      <c r="M493" s="8">
        <v>0.43</v>
      </c>
      <c r="N493" s="6"/>
      <c r="O493" s="6"/>
      <c r="P493" s="9">
        <v>-6.56</v>
      </c>
    </row>
    <row r="494" spans="1:16" ht="19.5" customHeight="1">
      <c r="A494" s="1" t="s">
        <v>1443</v>
      </c>
      <c r="B494" s="5">
        <v>45997</v>
      </c>
      <c r="C494" s="1" t="s">
        <v>28</v>
      </c>
      <c r="D494" s="1" t="s">
        <v>29</v>
      </c>
      <c r="E494" s="1" t="s">
        <v>243</v>
      </c>
      <c r="F494" s="1" t="s">
        <v>603</v>
      </c>
      <c r="G494" s="1" t="s">
        <v>1133</v>
      </c>
      <c r="H494" s="6">
        <v>1</v>
      </c>
      <c r="I494" s="7">
        <v>0</v>
      </c>
      <c r="J494" s="5">
        <v>45983</v>
      </c>
      <c r="K494" s="1" t="s">
        <v>957</v>
      </c>
      <c r="L494" s="1" t="s">
        <v>30</v>
      </c>
      <c r="M494" s="8">
        <v>0</v>
      </c>
      <c r="N494" s="6"/>
      <c r="O494" s="6">
        <v>42</v>
      </c>
      <c r="P494" s="9">
        <v>-56</v>
      </c>
    </row>
    <row r="495" spans="1:16" ht="19.5" customHeight="1">
      <c r="A495" s="1" t="s">
        <v>1443</v>
      </c>
      <c r="B495" s="5">
        <v>45997</v>
      </c>
      <c r="C495" s="1" t="s">
        <v>17</v>
      </c>
      <c r="D495" s="1" t="s">
        <v>37</v>
      </c>
      <c r="E495" s="1" t="s">
        <v>243</v>
      </c>
      <c r="F495" s="1" t="s">
        <v>603</v>
      </c>
      <c r="G495" s="1" t="s">
        <v>1133</v>
      </c>
      <c r="H495" s="6">
        <v>1</v>
      </c>
      <c r="I495" s="7">
        <v>0</v>
      </c>
      <c r="J495" s="5">
        <v>45983</v>
      </c>
      <c r="K495" s="1" t="s">
        <v>957</v>
      </c>
      <c r="L495" s="1" t="s">
        <v>30</v>
      </c>
      <c r="M495" s="8">
        <v>0</v>
      </c>
      <c r="N495" s="6"/>
      <c r="O495" s="6"/>
      <c r="P495" s="9">
        <v>-14.16</v>
      </c>
    </row>
    <row r="496" spans="1:16" ht="19.5" customHeight="1">
      <c r="A496" s="1" t="s">
        <v>1443</v>
      </c>
      <c r="B496" s="5">
        <v>45997</v>
      </c>
      <c r="C496" s="1" t="s">
        <v>28</v>
      </c>
      <c r="D496" s="1" t="s">
        <v>45</v>
      </c>
      <c r="E496" s="1" t="s">
        <v>243</v>
      </c>
      <c r="F496" s="1" t="s">
        <v>603</v>
      </c>
      <c r="G496" s="1" t="s">
        <v>1133</v>
      </c>
      <c r="H496" s="6">
        <v>1</v>
      </c>
      <c r="I496" s="7">
        <v>0</v>
      </c>
      <c r="J496" s="5">
        <v>45983</v>
      </c>
      <c r="K496" s="1" t="s">
        <v>957</v>
      </c>
      <c r="L496" s="1" t="s">
        <v>30</v>
      </c>
      <c r="M496" s="8">
        <v>0</v>
      </c>
      <c r="N496" s="6"/>
      <c r="O496" s="6"/>
      <c r="P496" s="9">
        <v>0</v>
      </c>
    </row>
    <row r="497" spans="1:16" ht="19.5" customHeight="1">
      <c r="A497" s="1" t="s">
        <v>1443</v>
      </c>
      <c r="B497" s="5">
        <v>45997</v>
      </c>
      <c r="C497" s="1" t="s">
        <v>28</v>
      </c>
      <c r="D497" s="1" t="s">
        <v>46</v>
      </c>
      <c r="E497" s="1" t="s">
        <v>243</v>
      </c>
      <c r="F497" s="1" t="s">
        <v>603</v>
      </c>
      <c r="G497" s="1" t="s">
        <v>1133</v>
      </c>
      <c r="H497" s="6">
        <v>1</v>
      </c>
      <c r="I497" s="7">
        <v>0</v>
      </c>
      <c r="J497" s="5">
        <v>45983</v>
      </c>
      <c r="K497" s="1" t="s">
        <v>957</v>
      </c>
      <c r="L497" s="1" t="s">
        <v>30</v>
      </c>
      <c r="M497" s="8">
        <v>0</v>
      </c>
      <c r="N497" s="6"/>
      <c r="O497" s="6"/>
      <c r="P497" s="9">
        <v>-56</v>
      </c>
    </row>
    <row r="498" spans="1:16" ht="19.5" customHeight="1">
      <c r="A498" s="1" t="s">
        <v>1443</v>
      </c>
      <c r="B498" s="5">
        <v>45997</v>
      </c>
      <c r="C498" s="1" t="s">
        <v>17</v>
      </c>
      <c r="D498" s="1" t="s">
        <v>47</v>
      </c>
      <c r="E498" s="1" t="s">
        <v>243</v>
      </c>
      <c r="F498" s="1" t="s">
        <v>603</v>
      </c>
      <c r="G498" s="1" t="s">
        <v>1133</v>
      </c>
      <c r="H498" s="6">
        <v>1</v>
      </c>
      <c r="I498" s="7">
        <v>0</v>
      </c>
      <c r="J498" s="5">
        <v>45983</v>
      </c>
      <c r="K498" s="1" t="s">
        <v>957</v>
      </c>
      <c r="L498" s="1" t="s">
        <v>30</v>
      </c>
      <c r="M498" s="8">
        <v>0</v>
      </c>
      <c r="N498" s="6"/>
      <c r="O498" s="6"/>
      <c r="P498" s="9">
        <v>-15</v>
      </c>
    </row>
    <row r="499" spans="1:16" ht="19.5" customHeight="1">
      <c r="A499" s="1" t="s">
        <v>22</v>
      </c>
      <c r="B499" s="5">
        <v>45997</v>
      </c>
      <c r="C499" s="1" t="s">
        <v>77</v>
      </c>
      <c r="D499" s="1" t="s">
        <v>78</v>
      </c>
      <c r="E499" s="1" t="s">
        <v>22</v>
      </c>
      <c r="F499" s="1" t="s">
        <v>22</v>
      </c>
      <c r="G499" s="1" t="s">
        <v>1542</v>
      </c>
      <c r="H499" s="6">
        <v>0</v>
      </c>
      <c r="I499" s="7">
        <v>0</v>
      </c>
      <c r="J499" s="5">
        <v>45997</v>
      </c>
      <c r="K499" s="1" t="s">
        <v>22</v>
      </c>
      <c r="L499" s="1" t="s">
        <v>22</v>
      </c>
      <c r="M499" s="8">
        <v>0</v>
      </c>
      <c r="N499" s="6"/>
      <c r="O499" s="6"/>
      <c r="P499" s="9">
        <v>-450</v>
      </c>
    </row>
    <row r="500" spans="1:16" ht="19.5" customHeight="1">
      <c r="A500" s="1" t="s">
        <v>1543</v>
      </c>
      <c r="B500" s="5">
        <v>45997</v>
      </c>
      <c r="C500" s="1" t="s">
        <v>17</v>
      </c>
      <c r="D500" s="1" t="s">
        <v>18</v>
      </c>
      <c r="E500" s="1" t="s">
        <v>25</v>
      </c>
      <c r="F500" s="1" t="s">
        <v>26</v>
      </c>
      <c r="G500" s="1" t="s">
        <v>1229</v>
      </c>
      <c r="H500" s="6">
        <v>1</v>
      </c>
      <c r="I500" s="7">
        <v>0</v>
      </c>
      <c r="J500" s="5">
        <v>45997</v>
      </c>
      <c r="K500" s="1" t="s">
        <v>22</v>
      </c>
      <c r="L500" s="1" t="s">
        <v>22</v>
      </c>
      <c r="M500" s="8">
        <v>0</v>
      </c>
      <c r="N500" s="6"/>
      <c r="O500" s="6"/>
      <c r="P500" s="9">
        <v>-16.25</v>
      </c>
    </row>
    <row r="501" spans="1:16" ht="19.5" customHeight="1">
      <c r="A501" s="1" t="s">
        <v>1544</v>
      </c>
      <c r="B501" s="5">
        <v>45997</v>
      </c>
      <c r="C501" s="1" t="s">
        <v>28</v>
      </c>
      <c r="D501" s="1" t="s">
        <v>29</v>
      </c>
      <c r="E501" s="1" t="s">
        <v>228</v>
      </c>
      <c r="F501" s="1" t="s">
        <v>393</v>
      </c>
      <c r="G501" s="1" t="s">
        <v>1229</v>
      </c>
      <c r="H501" s="6">
        <v>1</v>
      </c>
      <c r="I501" s="7">
        <v>0</v>
      </c>
      <c r="J501" s="5">
        <v>45982</v>
      </c>
      <c r="K501" s="1" t="s">
        <v>957</v>
      </c>
      <c r="L501" s="1" t="s">
        <v>30</v>
      </c>
      <c r="M501" s="8">
        <v>0</v>
      </c>
      <c r="N501" s="6"/>
      <c r="O501" s="6">
        <v>43</v>
      </c>
      <c r="P501" s="9">
        <v>-46</v>
      </c>
    </row>
    <row r="502" spans="1:16" ht="19.5" customHeight="1">
      <c r="A502" s="1" t="s">
        <v>1544</v>
      </c>
      <c r="B502" s="5">
        <v>45997</v>
      </c>
      <c r="C502" s="1" t="s">
        <v>17</v>
      </c>
      <c r="D502" s="1" t="s">
        <v>37</v>
      </c>
      <c r="E502" s="1" t="s">
        <v>228</v>
      </c>
      <c r="F502" s="1" t="s">
        <v>393</v>
      </c>
      <c r="G502" s="1" t="s">
        <v>1229</v>
      </c>
      <c r="H502" s="6">
        <v>1</v>
      </c>
      <c r="I502" s="7">
        <v>0</v>
      </c>
      <c r="J502" s="5">
        <v>45982</v>
      </c>
      <c r="K502" s="1" t="s">
        <v>957</v>
      </c>
      <c r="L502" s="1" t="s">
        <v>30</v>
      </c>
      <c r="M502" s="8">
        <v>0</v>
      </c>
      <c r="N502" s="6"/>
      <c r="O502" s="6"/>
      <c r="P502" s="9">
        <v>-8.2899999999999991</v>
      </c>
    </row>
    <row r="503" spans="1:16" ht="19.5" customHeight="1">
      <c r="A503" s="1" t="s">
        <v>1544</v>
      </c>
      <c r="B503" s="5">
        <v>45997</v>
      </c>
      <c r="C503" s="1" t="s">
        <v>28</v>
      </c>
      <c r="D503" s="1" t="s">
        <v>45</v>
      </c>
      <c r="E503" s="1" t="s">
        <v>228</v>
      </c>
      <c r="F503" s="1" t="s">
        <v>393</v>
      </c>
      <c r="G503" s="1" t="s">
        <v>1229</v>
      </c>
      <c r="H503" s="6">
        <v>1</v>
      </c>
      <c r="I503" s="7">
        <v>0</v>
      </c>
      <c r="J503" s="5">
        <v>45982</v>
      </c>
      <c r="K503" s="1" t="s">
        <v>957</v>
      </c>
      <c r="L503" s="1" t="s">
        <v>30</v>
      </c>
      <c r="M503" s="8">
        <v>0</v>
      </c>
      <c r="N503" s="6"/>
      <c r="O503" s="6"/>
      <c r="P503" s="9">
        <v>0</v>
      </c>
    </row>
    <row r="504" spans="1:16" ht="19.5" customHeight="1">
      <c r="A504" s="1" t="s">
        <v>1544</v>
      </c>
      <c r="B504" s="5">
        <v>45997</v>
      </c>
      <c r="C504" s="1" t="s">
        <v>28</v>
      </c>
      <c r="D504" s="1" t="s">
        <v>46</v>
      </c>
      <c r="E504" s="1" t="s">
        <v>228</v>
      </c>
      <c r="F504" s="1" t="s">
        <v>393</v>
      </c>
      <c r="G504" s="1" t="s">
        <v>1229</v>
      </c>
      <c r="H504" s="6">
        <v>1</v>
      </c>
      <c r="I504" s="7">
        <v>0</v>
      </c>
      <c r="J504" s="5">
        <v>45982</v>
      </c>
      <c r="K504" s="1" t="s">
        <v>957</v>
      </c>
      <c r="L504" s="1" t="s">
        <v>30</v>
      </c>
      <c r="M504" s="8">
        <v>0</v>
      </c>
      <c r="N504" s="6"/>
      <c r="O504" s="6"/>
      <c r="P504" s="9">
        <v>-46</v>
      </c>
    </row>
    <row r="505" spans="1:16" ht="19.5" customHeight="1">
      <c r="A505" s="1" t="s">
        <v>1544</v>
      </c>
      <c r="B505" s="5">
        <v>45997</v>
      </c>
      <c r="C505" s="1" t="s">
        <v>17</v>
      </c>
      <c r="D505" s="1" t="s">
        <v>47</v>
      </c>
      <c r="E505" s="1" t="s">
        <v>228</v>
      </c>
      <c r="F505" s="1" t="s">
        <v>393</v>
      </c>
      <c r="G505" s="1" t="s">
        <v>1229</v>
      </c>
      <c r="H505" s="6">
        <v>1</v>
      </c>
      <c r="I505" s="7">
        <v>0</v>
      </c>
      <c r="J505" s="5">
        <v>45982</v>
      </c>
      <c r="K505" s="1" t="s">
        <v>957</v>
      </c>
      <c r="L505" s="1" t="s">
        <v>30</v>
      </c>
      <c r="M505" s="8">
        <v>0</v>
      </c>
      <c r="N505" s="6"/>
      <c r="O505" s="6"/>
      <c r="P505" s="9">
        <v>-15</v>
      </c>
    </row>
    <row r="506" spans="1:16" ht="19.5" customHeight="1">
      <c r="A506" s="1" t="s">
        <v>83</v>
      </c>
      <c r="B506" s="5">
        <v>45997</v>
      </c>
      <c r="C506" s="1" t="s">
        <v>77</v>
      </c>
      <c r="D506" s="1" t="s">
        <v>84</v>
      </c>
      <c r="E506" s="1" t="s">
        <v>22</v>
      </c>
      <c r="F506" s="1" t="s">
        <v>22</v>
      </c>
      <c r="G506" s="1" t="s">
        <v>22</v>
      </c>
      <c r="H506" s="6">
        <v>0</v>
      </c>
      <c r="I506" s="7">
        <v>0</v>
      </c>
      <c r="J506" s="5">
        <v>45997</v>
      </c>
      <c r="K506" s="1" t="s">
        <v>22</v>
      </c>
      <c r="L506" s="1" t="s">
        <v>22</v>
      </c>
      <c r="M506" s="8">
        <v>0</v>
      </c>
      <c r="N506" s="6"/>
      <c r="O506" s="6"/>
      <c r="P506" s="9">
        <v>-1265</v>
      </c>
    </row>
    <row r="507" spans="1:16" ht="19.5" customHeight="1">
      <c r="A507" s="1" t="s">
        <v>1545</v>
      </c>
      <c r="B507" s="5">
        <v>45998</v>
      </c>
      <c r="C507" s="1" t="s">
        <v>28</v>
      </c>
      <c r="D507" s="1" t="s">
        <v>29</v>
      </c>
      <c r="E507" s="1" t="s">
        <v>223</v>
      </c>
      <c r="F507" s="1" t="s">
        <v>395</v>
      </c>
      <c r="G507" s="1" t="s">
        <v>1229</v>
      </c>
      <c r="H507" s="6">
        <v>1</v>
      </c>
      <c r="I507" s="7">
        <v>0</v>
      </c>
      <c r="J507" s="5">
        <v>45985</v>
      </c>
      <c r="K507" s="1" t="s">
        <v>957</v>
      </c>
      <c r="L507" s="1" t="s">
        <v>30</v>
      </c>
      <c r="M507" s="8">
        <v>0</v>
      </c>
      <c r="N507" s="6"/>
      <c r="O507" s="6">
        <v>43</v>
      </c>
      <c r="P507" s="9">
        <v>-46</v>
      </c>
    </row>
    <row r="508" spans="1:16" ht="19.5" customHeight="1">
      <c r="A508" s="1" t="s">
        <v>1545</v>
      </c>
      <c r="B508" s="5">
        <v>45998</v>
      </c>
      <c r="C508" s="1" t="s">
        <v>17</v>
      </c>
      <c r="D508" s="1" t="s">
        <v>37</v>
      </c>
      <c r="E508" s="1" t="s">
        <v>223</v>
      </c>
      <c r="F508" s="1" t="s">
        <v>395</v>
      </c>
      <c r="G508" s="1" t="s">
        <v>1229</v>
      </c>
      <c r="H508" s="6">
        <v>1</v>
      </c>
      <c r="I508" s="7">
        <v>0</v>
      </c>
      <c r="J508" s="5">
        <v>45985</v>
      </c>
      <c r="K508" s="1" t="s">
        <v>957</v>
      </c>
      <c r="L508" s="1" t="s">
        <v>30</v>
      </c>
      <c r="M508" s="8">
        <v>0</v>
      </c>
      <c r="N508" s="6"/>
      <c r="O508" s="6"/>
      <c r="P508" s="9">
        <v>-6.26</v>
      </c>
    </row>
    <row r="509" spans="1:16" ht="19.5" customHeight="1">
      <c r="A509" s="1" t="s">
        <v>1545</v>
      </c>
      <c r="B509" s="5">
        <v>45998</v>
      </c>
      <c r="C509" s="1" t="s">
        <v>28</v>
      </c>
      <c r="D509" s="1" t="s">
        <v>45</v>
      </c>
      <c r="E509" s="1" t="s">
        <v>223</v>
      </c>
      <c r="F509" s="1" t="s">
        <v>395</v>
      </c>
      <c r="G509" s="1" t="s">
        <v>1229</v>
      </c>
      <c r="H509" s="6">
        <v>1</v>
      </c>
      <c r="I509" s="7">
        <v>0</v>
      </c>
      <c r="J509" s="5">
        <v>45985</v>
      </c>
      <c r="K509" s="1" t="s">
        <v>957</v>
      </c>
      <c r="L509" s="1" t="s">
        <v>30</v>
      </c>
      <c r="M509" s="8">
        <v>0</v>
      </c>
      <c r="N509" s="6"/>
      <c r="O509" s="6"/>
      <c r="P509" s="9">
        <v>0</v>
      </c>
    </row>
    <row r="510" spans="1:16" ht="19.5" customHeight="1">
      <c r="A510" s="1" t="s">
        <v>1545</v>
      </c>
      <c r="B510" s="5">
        <v>45998</v>
      </c>
      <c r="C510" s="1" t="s">
        <v>28</v>
      </c>
      <c r="D510" s="1" t="s">
        <v>46</v>
      </c>
      <c r="E510" s="1" t="s">
        <v>223</v>
      </c>
      <c r="F510" s="1" t="s">
        <v>395</v>
      </c>
      <c r="G510" s="1" t="s">
        <v>1229</v>
      </c>
      <c r="H510" s="6">
        <v>1</v>
      </c>
      <c r="I510" s="7">
        <v>0</v>
      </c>
      <c r="J510" s="5">
        <v>45985</v>
      </c>
      <c r="K510" s="1" t="s">
        <v>957</v>
      </c>
      <c r="L510" s="1" t="s">
        <v>30</v>
      </c>
      <c r="M510" s="8">
        <v>0</v>
      </c>
      <c r="N510" s="6"/>
      <c r="O510" s="6"/>
      <c r="P510" s="9">
        <v>-46</v>
      </c>
    </row>
    <row r="511" spans="1:16" ht="19.5" customHeight="1">
      <c r="A511" s="1" t="s">
        <v>1546</v>
      </c>
      <c r="B511" s="5">
        <v>45998</v>
      </c>
      <c r="C511" s="1" t="s">
        <v>28</v>
      </c>
      <c r="D511" s="1" t="s">
        <v>45</v>
      </c>
      <c r="E511" s="1" t="s">
        <v>223</v>
      </c>
      <c r="F511" s="1" t="s">
        <v>395</v>
      </c>
      <c r="G511" s="1" t="s">
        <v>1229</v>
      </c>
      <c r="H511" s="6">
        <v>1</v>
      </c>
      <c r="I511" s="7">
        <v>0</v>
      </c>
      <c r="J511" s="5">
        <v>45994</v>
      </c>
      <c r="K511" s="1" t="s">
        <v>957</v>
      </c>
      <c r="L511" s="1" t="s">
        <v>30</v>
      </c>
      <c r="M511" s="8">
        <v>0</v>
      </c>
      <c r="N511" s="6"/>
      <c r="O511" s="6"/>
      <c r="P511" s="9">
        <v>0</v>
      </c>
    </row>
    <row r="512" spans="1:16" ht="19.5" customHeight="1">
      <c r="A512" s="1" t="s">
        <v>1546</v>
      </c>
      <c r="B512" s="5">
        <v>45998</v>
      </c>
      <c r="C512" s="1" t="s">
        <v>28</v>
      </c>
      <c r="D512" s="1" t="s">
        <v>46</v>
      </c>
      <c r="E512" s="1" t="s">
        <v>223</v>
      </c>
      <c r="F512" s="1" t="s">
        <v>395</v>
      </c>
      <c r="G512" s="1" t="s">
        <v>1229</v>
      </c>
      <c r="H512" s="6">
        <v>1</v>
      </c>
      <c r="I512" s="7">
        <v>0</v>
      </c>
      <c r="J512" s="5">
        <v>45994</v>
      </c>
      <c r="K512" s="1" t="s">
        <v>957</v>
      </c>
      <c r="L512" s="1" t="s">
        <v>30</v>
      </c>
      <c r="M512" s="8">
        <v>0</v>
      </c>
      <c r="N512" s="6"/>
      <c r="O512" s="6"/>
      <c r="P512" s="9">
        <v>-46</v>
      </c>
    </row>
    <row r="513" spans="1:16" ht="19.5" customHeight="1">
      <c r="A513" s="1" t="s">
        <v>1546</v>
      </c>
      <c r="B513" s="5">
        <v>45998</v>
      </c>
      <c r="C513" s="1" t="s">
        <v>17</v>
      </c>
      <c r="D513" s="1" t="s">
        <v>47</v>
      </c>
      <c r="E513" s="1" t="s">
        <v>223</v>
      </c>
      <c r="F513" s="1" t="s">
        <v>395</v>
      </c>
      <c r="G513" s="1" t="s">
        <v>1229</v>
      </c>
      <c r="H513" s="6">
        <v>1</v>
      </c>
      <c r="I513" s="7">
        <v>0</v>
      </c>
      <c r="J513" s="5">
        <v>45994</v>
      </c>
      <c r="K513" s="1" t="s">
        <v>957</v>
      </c>
      <c r="L513" s="1" t="s">
        <v>30</v>
      </c>
      <c r="M513" s="8">
        <v>0</v>
      </c>
      <c r="N513" s="6"/>
      <c r="O513" s="6"/>
      <c r="P513" s="9">
        <v>-15</v>
      </c>
    </row>
    <row r="514" spans="1:16" ht="19.5" customHeight="1">
      <c r="A514" s="1" t="s">
        <v>1546</v>
      </c>
      <c r="B514" s="5">
        <v>45998</v>
      </c>
      <c r="C514" s="1" t="s">
        <v>28</v>
      </c>
      <c r="D514" s="1" t="s">
        <v>29</v>
      </c>
      <c r="E514" s="1" t="s">
        <v>223</v>
      </c>
      <c r="F514" s="1" t="s">
        <v>395</v>
      </c>
      <c r="G514" s="1" t="s">
        <v>1229</v>
      </c>
      <c r="H514" s="6">
        <v>1</v>
      </c>
      <c r="I514" s="7">
        <v>0</v>
      </c>
      <c r="J514" s="5">
        <v>45994</v>
      </c>
      <c r="K514" s="1" t="s">
        <v>957</v>
      </c>
      <c r="L514" s="1" t="s">
        <v>30</v>
      </c>
      <c r="M514" s="8">
        <v>0</v>
      </c>
      <c r="N514" s="6"/>
      <c r="O514" s="6">
        <v>40</v>
      </c>
      <c r="P514" s="9">
        <v>-46</v>
      </c>
    </row>
    <row r="515" spans="1:16" ht="19.5" customHeight="1">
      <c r="A515" s="1" t="s">
        <v>1546</v>
      </c>
      <c r="B515" s="5">
        <v>45998</v>
      </c>
      <c r="C515" s="1" t="s">
        <v>17</v>
      </c>
      <c r="D515" s="1" t="s">
        <v>37</v>
      </c>
      <c r="E515" s="1" t="s">
        <v>223</v>
      </c>
      <c r="F515" s="1" t="s">
        <v>395</v>
      </c>
      <c r="G515" s="1" t="s">
        <v>1229</v>
      </c>
      <c r="H515" s="6">
        <v>1</v>
      </c>
      <c r="I515" s="7">
        <v>0</v>
      </c>
      <c r="J515" s="5">
        <v>45994</v>
      </c>
      <c r="K515" s="1" t="s">
        <v>957</v>
      </c>
      <c r="L515" s="1" t="s">
        <v>30</v>
      </c>
      <c r="M515" s="8">
        <v>0</v>
      </c>
      <c r="N515" s="6"/>
      <c r="O515" s="6"/>
      <c r="P515" s="9">
        <v>-14.02</v>
      </c>
    </row>
    <row r="516" spans="1:16" ht="19.5" customHeight="1">
      <c r="A516" s="1" t="s">
        <v>1464</v>
      </c>
      <c r="B516" s="5">
        <v>45998</v>
      </c>
      <c r="C516" s="1" t="s">
        <v>28</v>
      </c>
      <c r="D516" s="1" t="s">
        <v>60</v>
      </c>
      <c r="E516" s="1" t="s">
        <v>98</v>
      </c>
      <c r="F516" s="1" t="s">
        <v>99</v>
      </c>
      <c r="G516" s="1" t="s">
        <v>1133</v>
      </c>
      <c r="H516" s="6">
        <v>1</v>
      </c>
      <c r="I516" s="7">
        <v>0</v>
      </c>
      <c r="J516" s="5">
        <v>45989</v>
      </c>
      <c r="K516" s="1" t="s">
        <v>957</v>
      </c>
      <c r="L516" s="1" t="s">
        <v>30</v>
      </c>
      <c r="M516" s="8">
        <v>0</v>
      </c>
      <c r="N516" s="6"/>
      <c r="O516" s="6"/>
      <c r="P516" s="9">
        <v>0</v>
      </c>
    </row>
    <row r="517" spans="1:16" ht="19.5" customHeight="1">
      <c r="A517" s="1" t="s">
        <v>1464</v>
      </c>
      <c r="B517" s="5">
        <v>45998</v>
      </c>
      <c r="C517" s="1" t="s">
        <v>28</v>
      </c>
      <c r="D517" s="1" t="s">
        <v>46</v>
      </c>
      <c r="E517" s="1" t="s">
        <v>98</v>
      </c>
      <c r="F517" s="1" t="s">
        <v>99</v>
      </c>
      <c r="G517" s="1" t="s">
        <v>1133</v>
      </c>
      <c r="H517" s="6">
        <v>1</v>
      </c>
      <c r="I517" s="7">
        <v>0</v>
      </c>
      <c r="J517" s="5">
        <v>45989</v>
      </c>
      <c r="K517" s="1" t="s">
        <v>957</v>
      </c>
      <c r="L517" s="1" t="s">
        <v>30</v>
      </c>
      <c r="M517" s="8">
        <v>0</v>
      </c>
      <c r="N517" s="6"/>
      <c r="O517" s="6"/>
      <c r="P517" s="9">
        <v>-56</v>
      </c>
    </row>
    <row r="518" spans="1:16" ht="19.5" customHeight="1">
      <c r="A518" s="1" t="s">
        <v>1464</v>
      </c>
      <c r="B518" s="5">
        <v>45998</v>
      </c>
      <c r="C518" s="1" t="s">
        <v>17</v>
      </c>
      <c r="D518" s="1" t="s">
        <v>47</v>
      </c>
      <c r="E518" s="1" t="s">
        <v>98</v>
      </c>
      <c r="F518" s="1" t="s">
        <v>99</v>
      </c>
      <c r="G518" s="1" t="s">
        <v>1133</v>
      </c>
      <c r="H518" s="6">
        <v>1</v>
      </c>
      <c r="I518" s="7">
        <v>0</v>
      </c>
      <c r="J518" s="5">
        <v>45989</v>
      </c>
      <c r="K518" s="1" t="s">
        <v>957</v>
      </c>
      <c r="L518" s="1" t="s">
        <v>30</v>
      </c>
      <c r="M518" s="8">
        <v>0</v>
      </c>
      <c r="N518" s="6"/>
      <c r="O518" s="6"/>
      <c r="P518" s="9">
        <v>-15</v>
      </c>
    </row>
    <row r="519" spans="1:16" ht="19.5" customHeight="1">
      <c r="A519" s="1" t="s">
        <v>1547</v>
      </c>
      <c r="B519" s="5">
        <v>45998</v>
      </c>
      <c r="C519" s="1" t="s">
        <v>261</v>
      </c>
      <c r="D519" s="1" t="s">
        <v>326</v>
      </c>
      <c r="E519" s="1" t="s">
        <v>22</v>
      </c>
      <c r="F519" s="1" t="s">
        <v>22</v>
      </c>
      <c r="G519" s="1" t="s">
        <v>22</v>
      </c>
      <c r="H519" s="6">
        <v>0</v>
      </c>
      <c r="I519" s="7">
        <v>0</v>
      </c>
      <c r="J519" s="5">
        <v>45989</v>
      </c>
      <c r="K519" s="1" t="s">
        <v>22</v>
      </c>
      <c r="L519" s="1" t="s">
        <v>22</v>
      </c>
      <c r="M519" s="8">
        <v>0</v>
      </c>
      <c r="N519" s="6"/>
      <c r="O519" s="6"/>
      <c r="P519" s="9">
        <v>-904.8</v>
      </c>
    </row>
    <row r="520" spans="1:16" ht="19.5" customHeight="1">
      <c r="A520" s="1" t="s">
        <v>1548</v>
      </c>
      <c r="B520" s="5">
        <v>45998</v>
      </c>
      <c r="C520" s="1" t="s">
        <v>17</v>
      </c>
      <c r="D520" s="1" t="s">
        <v>18</v>
      </c>
      <c r="E520" s="1" t="s">
        <v>223</v>
      </c>
      <c r="F520" s="1" t="s">
        <v>395</v>
      </c>
      <c r="G520" s="1" t="s">
        <v>1229</v>
      </c>
      <c r="H520" s="6">
        <v>1</v>
      </c>
      <c r="I520" s="7">
        <v>0</v>
      </c>
      <c r="J520" s="5">
        <v>45998</v>
      </c>
      <c r="K520" s="1" t="s">
        <v>22</v>
      </c>
      <c r="L520" s="1" t="s">
        <v>22</v>
      </c>
      <c r="M520" s="8">
        <v>0</v>
      </c>
      <c r="N520" s="6"/>
      <c r="O520" s="6"/>
      <c r="P520" s="9">
        <v>-16.010000000000002</v>
      </c>
    </row>
    <row r="521" spans="1:16" ht="19.5" customHeight="1">
      <c r="A521" s="1" t="s">
        <v>1549</v>
      </c>
      <c r="B521" s="5">
        <v>45998</v>
      </c>
      <c r="C521" s="1" t="s">
        <v>28</v>
      </c>
      <c r="D521" s="1" t="s">
        <v>29</v>
      </c>
      <c r="E521" s="1" t="s">
        <v>25</v>
      </c>
      <c r="F521" s="1" t="s">
        <v>26</v>
      </c>
      <c r="G521" s="1" t="s">
        <v>1229</v>
      </c>
      <c r="H521" s="6">
        <v>1</v>
      </c>
      <c r="I521" s="7">
        <v>1738</v>
      </c>
      <c r="J521" s="5">
        <v>45991</v>
      </c>
      <c r="K521" s="1" t="s">
        <v>957</v>
      </c>
      <c r="L521" s="1" t="s">
        <v>30</v>
      </c>
      <c r="M521" s="8">
        <v>0.43</v>
      </c>
      <c r="N521" s="6"/>
      <c r="O521" s="6">
        <v>48</v>
      </c>
      <c r="P521" s="9">
        <v>-143.02000000000001</v>
      </c>
    </row>
    <row r="522" spans="1:16" ht="19.5" customHeight="1">
      <c r="A522" s="1" t="s">
        <v>1549</v>
      </c>
      <c r="B522" s="5">
        <v>45998</v>
      </c>
      <c r="C522" s="1" t="s">
        <v>31</v>
      </c>
      <c r="D522" s="1" t="s">
        <v>32</v>
      </c>
      <c r="E522" s="1" t="s">
        <v>25</v>
      </c>
      <c r="F522" s="1" t="s">
        <v>26</v>
      </c>
      <c r="G522" s="1" t="s">
        <v>1229</v>
      </c>
      <c r="H522" s="6">
        <v>1</v>
      </c>
      <c r="I522" s="7">
        <v>1738</v>
      </c>
      <c r="J522" s="5">
        <v>45991</v>
      </c>
      <c r="K522" s="1" t="s">
        <v>957</v>
      </c>
      <c r="L522" s="1" t="s">
        <v>30</v>
      </c>
      <c r="M522" s="8">
        <v>0</v>
      </c>
      <c r="N522" s="6"/>
      <c r="O522" s="6"/>
      <c r="P522" s="9">
        <v>607.04</v>
      </c>
    </row>
    <row r="523" spans="1:16" ht="19.5" customHeight="1">
      <c r="A523" s="1" t="s">
        <v>1549</v>
      </c>
      <c r="B523" s="5">
        <v>45998</v>
      </c>
      <c r="C523" s="1" t="s">
        <v>31</v>
      </c>
      <c r="D523" s="1" t="s">
        <v>33</v>
      </c>
      <c r="E523" s="1" t="s">
        <v>25</v>
      </c>
      <c r="F523" s="1" t="s">
        <v>26</v>
      </c>
      <c r="G523" s="1" t="s">
        <v>1229</v>
      </c>
      <c r="H523" s="6">
        <v>1</v>
      </c>
      <c r="I523" s="7">
        <v>1738</v>
      </c>
      <c r="J523" s="5">
        <v>45991</v>
      </c>
      <c r="K523" s="1" t="s">
        <v>957</v>
      </c>
      <c r="L523" s="1" t="s">
        <v>30</v>
      </c>
      <c r="M523" s="8">
        <v>0</v>
      </c>
      <c r="N523" s="6"/>
      <c r="O523" s="6"/>
      <c r="P523" s="9">
        <v>6.07</v>
      </c>
    </row>
    <row r="524" spans="1:16" ht="19.5" customHeight="1">
      <c r="A524" s="1" t="s">
        <v>1549</v>
      </c>
      <c r="B524" s="5">
        <v>45998</v>
      </c>
      <c r="C524" s="1" t="s">
        <v>31</v>
      </c>
      <c r="D524" s="1" t="s">
        <v>34</v>
      </c>
      <c r="E524" s="1" t="s">
        <v>25</v>
      </c>
      <c r="F524" s="1" t="s">
        <v>26</v>
      </c>
      <c r="G524" s="1" t="s">
        <v>1229</v>
      </c>
      <c r="H524" s="6">
        <v>1</v>
      </c>
      <c r="I524" s="7">
        <v>1738</v>
      </c>
      <c r="J524" s="5">
        <v>45991</v>
      </c>
      <c r="K524" s="1" t="s">
        <v>957</v>
      </c>
      <c r="L524" s="1" t="s">
        <v>30</v>
      </c>
      <c r="M524" s="8">
        <v>0</v>
      </c>
      <c r="N524" s="6"/>
      <c r="O524" s="6"/>
      <c r="P524" s="9">
        <v>1124.8900000000001</v>
      </c>
    </row>
    <row r="525" spans="1:16" ht="19.5" customHeight="1">
      <c r="A525" s="1" t="s">
        <v>1549</v>
      </c>
      <c r="B525" s="5">
        <v>45998</v>
      </c>
      <c r="C525" s="1" t="s">
        <v>35</v>
      </c>
      <c r="D525" s="1" t="s">
        <v>36</v>
      </c>
      <c r="E525" s="1" t="s">
        <v>25</v>
      </c>
      <c r="F525" s="1" t="s">
        <v>26</v>
      </c>
      <c r="G525" s="1" t="s">
        <v>1229</v>
      </c>
      <c r="H525" s="6">
        <v>1</v>
      </c>
      <c r="I525" s="7">
        <v>1738</v>
      </c>
      <c r="J525" s="5">
        <v>45991</v>
      </c>
      <c r="K525" s="1" t="s">
        <v>957</v>
      </c>
      <c r="L525" s="1" t="s">
        <v>30</v>
      </c>
      <c r="M525" s="8">
        <v>0.43</v>
      </c>
      <c r="N525" s="6"/>
      <c r="O525" s="6"/>
      <c r="P525" s="9">
        <v>-747.34</v>
      </c>
    </row>
    <row r="526" spans="1:16" ht="19.5" customHeight="1">
      <c r="A526" s="1" t="s">
        <v>1549</v>
      </c>
      <c r="B526" s="5">
        <v>45998</v>
      </c>
      <c r="C526" s="1" t="s">
        <v>17</v>
      </c>
      <c r="D526" s="1" t="s">
        <v>37</v>
      </c>
      <c r="E526" s="1" t="s">
        <v>25</v>
      </c>
      <c r="F526" s="1" t="s">
        <v>26</v>
      </c>
      <c r="G526" s="1" t="s">
        <v>1229</v>
      </c>
      <c r="H526" s="6">
        <v>1</v>
      </c>
      <c r="I526" s="7">
        <v>1738</v>
      </c>
      <c r="J526" s="5">
        <v>45991</v>
      </c>
      <c r="K526" s="1" t="s">
        <v>957</v>
      </c>
      <c r="L526" s="1" t="s">
        <v>30</v>
      </c>
      <c r="M526" s="8">
        <v>0.43</v>
      </c>
      <c r="N526" s="6"/>
      <c r="O526" s="6"/>
      <c r="P526" s="9">
        <v>-11.05</v>
      </c>
    </row>
    <row r="527" spans="1:16" ht="19.5" customHeight="1">
      <c r="A527" s="1" t="s">
        <v>1549</v>
      </c>
      <c r="B527" s="5">
        <v>45998</v>
      </c>
      <c r="C527" s="1" t="s">
        <v>17</v>
      </c>
      <c r="D527" s="1" t="s">
        <v>18</v>
      </c>
      <c r="E527" s="1" t="s">
        <v>25</v>
      </c>
      <c r="F527" s="1" t="s">
        <v>26</v>
      </c>
      <c r="G527" s="1" t="s">
        <v>1229</v>
      </c>
      <c r="H527" s="6">
        <v>1</v>
      </c>
      <c r="I527" s="7">
        <v>0</v>
      </c>
      <c r="J527" s="5">
        <v>45991</v>
      </c>
      <c r="K527" s="1" t="s">
        <v>22</v>
      </c>
      <c r="L527" s="1" t="s">
        <v>22</v>
      </c>
      <c r="M527" s="8">
        <v>0</v>
      </c>
      <c r="N527" s="6"/>
      <c r="O527" s="6"/>
      <c r="P527" s="9">
        <v>-11.53</v>
      </c>
    </row>
    <row r="528" spans="1:16" ht="19.5" customHeight="1">
      <c r="A528" s="1" t="s">
        <v>1550</v>
      </c>
      <c r="B528" s="5">
        <v>45998</v>
      </c>
      <c r="C528" s="1" t="s">
        <v>28</v>
      </c>
      <c r="D528" s="1" t="s">
        <v>29</v>
      </c>
      <c r="E528" s="1" t="s">
        <v>25</v>
      </c>
      <c r="F528" s="1" t="s">
        <v>26</v>
      </c>
      <c r="G528" s="1" t="s">
        <v>1229</v>
      </c>
      <c r="H528" s="6">
        <v>1</v>
      </c>
      <c r="I528" s="7">
        <v>1050</v>
      </c>
      <c r="J528" s="5">
        <v>45995</v>
      </c>
      <c r="K528" s="1" t="s">
        <v>957</v>
      </c>
      <c r="L528" s="1" t="s">
        <v>30</v>
      </c>
      <c r="M528" s="8">
        <v>0.43</v>
      </c>
      <c r="N528" s="6"/>
      <c r="O528" s="6">
        <v>42</v>
      </c>
      <c r="P528" s="9">
        <v>-102.15</v>
      </c>
    </row>
    <row r="529" spans="1:16" ht="19.5" customHeight="1">
      <c r="A529" s="1" t="s">
        <v>1550</v>
      </c>
      <c r="B529" s="5">
        <v>45998</v>
      </c>
      <c r="C529" s="1" t="s">
        <v>31</v>
      </c>
      <c r="D529" s="1" t="s">
        <v>32</v>
      </c>
      <c r="E529" s="1" t="s">
        <v>25</v>
      </c>
      <c r="F529" s="1" t="s">
        <v>26</v>
      </c>
      <c r="G529" s="1" t="s">
        <v>1229</v>
      </c>
      <c r="H529" s="6">
        <v>1</v>
      </c>
      <c r="I529" s="7">
        <v>1050</v>
      </c>
      <c r="J529" s="5">
        <v>45995</v>
      </c>
      <c r="K529" s="1" t="s">
        <v>957</v>
      </c>
      <c r="L529" s="1" t="s">
        <v>30</v>
      </c>
      <c r="M529" s="8">
        <v>0</v>
      </c>
      <c r="N529" s="6"/>
      <c r="O529" s="6"/>
      <c r="P529" s="9">
        <v>460.95</v>
      </c>
    </row>
    <row r="530" spans="1:16" ht="19.5" customHeight="1">
      <c r="A530" s="1" t="s">
        <v>1550</v>
      </c>
      <c r="B530" s="5">
        <v>45998</v>
      </c>
      <c r="C530" s="1" t="s">
        <v>31</v>
      </c>
      <c r="D530" s="1" t="s">
        <v>33</v>
      </c>
      <c r="E530" s="1" t="s">
        <v>25</v>
      </c>
      <c r="F530" s="1" t="s">
        <v>26</v>
      </c>
      <c r="G530" s="1" t="s">
        <v>1229</v>
      </c>
      <c r="H530" s="6">
        <v>1</v>
      </c>
      <c r="I530" s="7">
        <v>1050</v>
      </c>
      <c r="J530" s="5">
        <v>45995</v>
      </c>
      <c r="K530" s="1" t="s">
        <v>957</v>
      </c>
      <c r="L530" s="1" t="s">
        <v>30</v>
      </c>
      <c r="M530" s="8">
        <v>0</v>
      </c>
      <c r="N530" s="6"/>
      <c r="O530" s="6"/>
      <c r="P530" s="9">
        <v>4.6100000000000003</v>
      </c>
    </row>
    <row r="531" spans="1:16" ht="19.5" customHeight="1">
      <c r="A531" s="1" t="s">
        <v>1550</v>
      </c>
      <c r="B531" s="5">
        <v>45998</v>
      </c>
      <c r="C531" s="1" t="s">
        <v>31</v>
      </c>
      <c r="D531" s="1" t="s">
        <v>34</v>
      </c>
      <c r="E531" s="1" t="s">
        <v>25</v>
      </c>
      <c r="F531" s="1" t="s">
        <v>26</v>
      </c>
      <c r="G531" s="1" t="s">
        <v>1229</v>
      </c>
      <c r="H531" s="6">
        <v>1</v>
      </c>
      <c r="I531" s="7">
        <v>1050</v>
      </c>
      <c r="J531" s="5">
        <v>45995</v>
      </c>
      <c r="K531" s="1" t="s">
        <v>957</v>
      </c>
      <c r="L531" s="1" t="s">
        <v>30</v>
      </c>
      <c r="M531" s="8">
        <v>0</v>
      </c>
      <c r="N531" s="6"/>
      <c r="O531" s="6"/>
      <c r="P531" s="9">
        <v>584.44000000000005</v>
      </c>
    </row>
    <row r="532" spans="1:16" ht="19.5" customHeight="1">
      <c r="A532" s="1" t="s">
        <v>1550</v>
      </c>
      <c r="B532" s="5">
        <v>45998</v>
      </c>
      <c r="C532" s="1" t="s">
        <v>35</v>
      </c>
      <c r="D532" s="1" t="s">
        <v>36</v>
      </c>
      <c r="E532" s="1" t="s">
        <v>25</v>
      </c>
      <c r="F532" s="1" t="s">
        <v>26</v>
      </c>
      <c r="G532" s="1" t="s">
        <v>1229</v>
      </c>
      <c r="H532" s="6">
        <v>1</v>
      </c>
      <c r="I532" s="7">
        <v>1050</v>
      </c>
      <c r="J532" s="5">
        <v>45995</v>
      </c>
      <c r="K532" s="1" t="s">
        <v>957</v>
      </c>
      <c r="L532" s="1" t="s">
        <v>30</v>
      </c>
      <c r="M532" s="8">
        <v>0.43</v>
      </c>
      <c r="N532" s="6"/>
      <c r="O532" s="6"/>
      <c r="P532" s="9">
        <v>-451.5</v>
      </c>
    </row>
    <row r="533" spans="1:16" ht="19.5" customHeight="1">
      <c r="A533" s="1" t="s">
        <v>1550</v>
      </c>
      <c r="B533" s="5">
        <v>45998</v>
      </c>
      <c r="C533" s="1" t="s">
        <v>17</v>
      </c>
      <c r="D533" s="1" t="s">
        <v>37</v>
      </c>
      <c r="E533" s="1" t="s">
        <v>25</v>
      </c>
      <c r="F533" s="1" t="s">
        <v>26</v>
      </c>
      <c r="G533" s="1" t="s">
        <v>1229</v>
      </c>
      <c r="H533" s="6">
        <v>1</v>
      </c>
      <c r="I533" s="7">
        <v>1050</v>
      </c>
      <c r="J533" s="5">
        <v>45995</v>
      </c>
      <c r="K533" s="1" t="s">
        <v>957</v>
      </c>
      <c r="L533" s="1" t="s">
        <v>30</v>
      </c>
      <c r="M533" s="8">
        <v>0.43</v>
      </c>
      <c r="N533" s="6"/>
      <c r="O533" s="6"/>
      <c r="P533" s="9">
        <v>-5.91</v>
      </c>
    </row>
    <row r="534" spans="1:16" ht="19.5" customHeight="1">
      <c r="A534" s="1" t="s">
        <v>1551</v>
      </c>
      <c r="B534" s="5">
        <v>45998</v>
      </c>
      <c r="C534" s="1" t="s">
        <v>28</v>
      </c>
      <c r="D534" s="1" t="s">
        <v>29</v>
      </c>
      <c r="E534" s="1" t="s">
        <v>223</v>
      </c>
      <c r="F534" s="1" t="s">
        <v>395</v>
      </c>
      <c r="G534" s="1" t="s">
        <v>1229</v>
      </c>
      <c r="H534" s="6">
        <v>1</v>
      </c>
      <c r="I534" s="7">
        <v>1280</v>
      </c>
      <c r="J534" s="5">
        <v>45995</v>
      </c>
      <c r="K534" s="1" t="s">
        <v>957</v>
      </c>
      <c r="L534" s="1" t="s">
        <v>30</v>
      </c>
      <c r="M534" s="8">
        <v>0.43</v>
      </c>
      <c r="N534" s="6"/>
      <c r="O534" s="6">
        <v>42</v>
      </c>
      <c r="P534" s="9">
        <v>-108.7</v>
      </c>
    </row>
    <row r="535" spans="1:16" ht="19.5" customHeight="1">
      <c r="A535" s="1" t="s">
        <v>1551</v>
      </c>
      <c r="B535" s="5">
        <v>45998</v>
      </c>
      <c r="C535" s="1" t="s">
        <v>31</v>
      </c>
      <c r="D535" s="1" t="s">
        <v>32</v>
      </c>
      <c r="E535" s="1" t="s">
        <v>223</v>
      </c>
      <c r="F535" s="1" t="s">
        <v>395</v>
      </c>
      <c r="G535" s="1" t="s">
        <v>1229</v>
      </c>
      <c r="H535" s="6">
        <v>1</v>
      </c>
      <c r="I535" s="7">
        <v>1280</v>
      </c>
      <c r="J535" s="5">
        <v>45995</v>
      </c>
      <c r="K535" s="1" t="s">
        <v>957</v>
      </c>
      <c r="L535" s="1" t="s">
        <v>30</v>
      </c>
      <c r="M535" s="8">
        <v>0</v>
      </c>
      <c r="N535" s="6"/>
      <c r="O535" s="6"/>
      <c r="P535" s="9">
        <v>566.82000000000005</v>
      </c>
    </row>
    <row r="536" spans="1:16" ht="19.5" customHeight="1">
      <c r="A536" s="1" t="s">
        <v>1551</v>
      </c>
      <c r="B536" s="5">
        <v>45998</v>
      </c>
      <c r="C536" s="1" t="s">
        <v>31</v>
      </c>
      <c r="D536" s="1" t="s">
        <v>33</v>
      </c>
      <c r="E536" s="1" t="s">
        <v>223</v>
      </c>
      <c r="F536" s="1" t="s">
        <v>395</v>
      </c>
      <c r="G536" s="1" t="s">
        <v>1229</v>
      </c>
      <c r="H536" s="6">
        <v>1</v>
      </c>
      <c r="I536" s="7">
        <v>1280</v>
      </c>
      <c r="J536" s="5">
        <v>45995</v>
      </c>
      <c r="K536" s="1" t="s">
        <v>957</v>
      </c>
      <c r="L536" s="1" t="s">
        <v>30</v>
      </c>
      <c r="M536" s="8">
        <v>0</v>
      </c>
      <c r="N536" s="6"/>
      <c r="O536" s="6"/>
      <c r="P536" s="9">
        <v>5.67</v>
      </c>
    </row>
    <row r="537" spans="1:16" ht="19.5" customHeight="1">
      <c r="A537" s="1" t="s">
        <v>1551</v>
      </c>
      <c r="B537" s="5">
        <v>45998</v>
      </c>
      <c r="C537" s="1" t="s">
        <v>31</v>
      </c>
      <c r="D537" s="1" t="s">
        <v>34</v>
      </c>
      <c r="E537" s="1" t="s">
        <v>223</v>
      </c>
      <c r="F537" s="1" t="s">
        <v>395</v>
      </c>
      <c r="G537" s="1" t="s">
        <v>1229</v>
      </c>
      <c r="H537" s="6">
        <v>1</v>
      </c>
      <c r="I537" s="7">
        <v>1280</v>
      </c>
      <c r="J537" s="5">
        <v>45995</v>
      </c>
      <c r="K537" s="1" t="s">
        <v>957</v>
      </c>
      <c r="L537" s="1" t="s">
        <v>30</v>
      </c>
      <c r="M537" s="8">
        <v>0</v>
      </c>
      <c r="N537" s="6"/>
      <c r="O537" s="6"/>
      <c r="P537" s="9">
        <v>707.51</v>
      </c>
    </row>
    <row r="538" spans="1:16" ht="19.5" customHeight="1">
      <c r="A538" s="1" t="s">
        <v>1551</v>
      </c>
      <c r="B538" s="5">
        <v>45998</v>
      </c>
      <c r="C538" s="1" t="s">
        <v>35</v>
      </c>
      <c r="D538" s="1" t="s">
        <v>36</v>
      </c>
      <c r="E538" s="1" t="s">
        <v>223</v>
      </c>
      <c r="F538" s="1" t="s">
        <v>395</v>
      </c>
      <c r="G538" s="1" t="s">
        <v>1229</v>
      </c>
      <c r="H538" s="6">
        <v>1</v>
      </c>
      <c r="I538" s="7">
        <v>1280</v>
      </c>
      <c r="J538" s="5">
        <v>45995</v>
      </c>
      <c r="K538" s="1" t="s">
        <v>957</v>
      </c>
      <c r="L538" s="1" t="s">
        <v>30</v>
      </c>
      <c r="M538" s="8">
        <v>0.43</v>
      </c>
      <c r="N538" s="6"/>
      <c r="O538" s="6"/>
      <c r="P538" s="9">
        <v>-550.4</v>
      </c>
    </row>
    <row r="539" spans="1:16" ht="19.5" customHeight="1">
      <c r="A539" s="1" t="s">
        <v>1551</v>
      </c>
      <c r="B539" s="5">
        <v>45998</v>
      </c>
      <c r="C539" s="1" t="s">
        <v>17</v>
      </c>
      <c r="D539" s="1" t="s">
        <v>37</v>
      </c>
      <c r="E539" s="1" t="s">
        <v>223</v>
      </c>
      <c r="F539" s="1" t="s">
        <v>395</v>
      </c>
      <c r="G539" s="1" t="s">
        <v>1229</v>
      </c>
      <c r="H539" s="6">
        <v>1</v>
      </c>
      <c r="I539" s="7">
        <v>1280</v>
      </c>
      <c r="J539" s="5">
        <v>45995</v>
      </c>
      <c r="K539" s="1" t="s">
        <v>957</v>
      </c>
      <c r="L539" s="1" t="s">
        <v>30</v>
      </c>
      <c r="M539" s="8">
        <v>0.43</v>
      </c>
      <c r="N539" s="6"/>
      <c r="O539" s="6"/>
      <c r="P539" s="9">
        <v>-5.49</v>
      </c>
    </row>
    <row r="540" spans="1:16" ht="19.5" customHeight="1">
      <c r="A540" s="1" t="s">
        <v>1551</v>
      </c>
      <c r="B540" s="5">
        <v>45998</v>
      </c>
      <c r="C540" s="1" t="s">
        <v>17</v>
      </c>
      <c r="D540" s="1" t="s">
        <v>18</v>
      </c>
      <c r="E540" s="1" t="s">
        <v>223</v>
      </c>
      <c r="F540" s="1" t="s">
        <v>395</v>
      </c>
      <c r="G540" s="1" t="s">
        <v>1229</v>
      </c>
      <c r="H540" s="6">
        <v>1</v>
      </c>
      <c r="I540" s="7">
        <v>0</v>
      </c>
      <c r="J540" s="5">
        <v>45995</v>
      </c>
      <c r="K540" s="1" t="s">
        <v>22</v>
      </c>
      <c r="L540" s="1" t="s">
        <v>22</v>
      </c>
      <c r="M540" s="8">
        <v>0</v>
      </c>
      <c r="N540" s="6"/>
      <c r="O540" s="6"/>
      <c r="P540" s="9">
        <v>-10.77</v>
      </c>
    </row>
    <row r="541" spans="1:16" ht="19.5" customHeight="1">
      <c r="A541" s="1" t="s">
        <v>1552</v>
      </c>
      <c r="B541" s="5">
        <v>45998</v>
      </c>
      <c r="C541" s="1" t="s">
        <v>17</v>
      </c>
      <c r="D541" s="1" t="s">
        <v>18</v>
      </c>
      <c r="E541" s="1" t="s">
        <v>25</v>
      </c>
      <c r="F541" s="1" t="s">
        <v>26</v>
      </c>
      <c r="G541" s="1" t="s">
        <v>1229</v>
      </c>
      <c r="H541" s="6">
        <v>1</v>
      </c>
      <c r="I541" s="7">
        <v>0</v>
      </c>
      <c r="J541" s="5">
        <v>45998</v>
      </c>
      <c r="K541" s="1" t="s">
        <v>22</v>
      </c>
      <c r="L541" s="1" t="s">
        <v>22</v>
      </c>
      <c r="M541" s="8">
        <v>0</v>
      </c>
      <c r="N541" s="6"/>
      <c r="O541" s="6"/>
      <c r="P541" s="9">
        <v>-16.38</v>
      </c>
    </row>
    <row r="542" spans="1:16" ht="19.5" customHeight="1">
      <c r="A542" s="1" t="s">
        <v>1553</v>
      </c>
      <c r="B542" s="5">
        <v>45998</v>
      </c>
      <c r="C542" s="1" t="s">
        <v>28</v>
      </c>
      <c r="D542" s="1" t="s">
        <v>29</v>
      </c>
      <c r="E542" s="1" t="s">
        <v>25</v>
      </c>
      <c r="F542" s="1" t="s">
        <v>26</v>
      </c>
      <c r="G542" s="1" t="s">
        <v>1229</v>
      </c>
      <c r="H542" s="6">
        <v>1</v>
      </c>
      <c r="I542" s="7">
        <v>0</v>
      </c>
      <c r="J542" s="5">
        <v>45992</v>
      </c>
      <c r="K542" s="1" t="s">
        <v>957</v>
      </c>
      <c r="L542" s="1" t="s">
        <v>30</v>
      </c>
      <c r="M542" s="8">
        <v>0</v>
      </c>
      <c r="N542" s="6"/>
      <c r="O542" s="6">
        <v>45</v>
      </c>
      <c r="P542" s="9">
        <v>-46</v>
      </c>
    </row>
    <row r="543" spans="1:16" ht="19.5" customHeight="1">
      <c r="A543" s="1" t="s">
        <v>1553</v>
      </c>
      <c r="B543" s="5">
        <v>45998</v>
      </c>
      <c r="C543" s="1" t="s">
        <v>17</v>
      </c>
      <c r="D543" s="1" t="s">
        <v>37</v>
      </c>
      <c r="E543" s="1" t="s">
        <v>25</v>
      </c>
      <c r="F543" s="1" t="s">
        <v>26</v>
      </c>
      <c r="G543" s="1" t="s">
        <v>1229</v>
      </c>
      <c r="H543" s="6">
        <v>1</v>
      </c>
      <c r="I543" s="7">
        <v>0</v>
      </c>
      <c r="J543" s="5">
        <v>45992</v>
      </c>
      <c r="K543" s="1" t="s">
        <v>957</v>
      </c>
      <c r="L543" s="1" t="s">
        <v>30</v>
      </c>
      <c r="M543" s="8">
        <v>0</v>
      </c>
      <c r="N543" s="6"/>
      <c r="O543" s="6"/>
      <c r="P543" s="9">
        <v>-4.78</v>
      </c>
    </row>
    <row r="544" spans="1:16" ht="19.5" customHeight="1">
      <c r="A544" s="1" t="s">
        <v>1553</v>
      </c>
      <c r="B544" s="5">
        <v>45998</v>
      </c>
      <c r="C544" s="1" t="s">
        <v>28</v>
      </c>
      <c r="D544" s="1" t="s">
        <v>45</v>
      </c>
      <c r="E544" s="1" t="s">
        <v>25</v>
      </c>
      <c r="F544" s="1" t="s">
        <v>26</v>
      </c>
      <c r="G544" s="1" t="s">
        <v>1229</v>
      </c>
      <c r="H544" s="6">
        <v>1</v>
      </c>
      <c r="I544" s="7">
        <v>0</v>
      </c>
      <c r="J544" s="5">
        <v>45992</v>
      </c>
      <c r="K544" s="1" t="s">
        <v>957</v>
      </c>
      <c r="L544" s="1" t="s">
        <v>30</v>
      </c>
      <c r="M544" s="8">
        <v>0</v>
      </c>
      <c r="N544" s="6"/>
      <c r="O544" s="6"/>
      <c r="P544" s="9">
        <v>0</v>
      </c>
    </row>
    <row r="545" spans="1:16" ht="19.5" customHeight="1">
      <c r="A545" s="1" t="s">
        <v>1553</v>
      </c>
      <c r="B545" s="5">
        <v>45998</v>
      </c>
      <c r="C545" s="1" t="s">
        <v>28</v>
      </c>
      <c r="D545" s="1" t="s">
        <v>46</v>
      </c>
      <c r="E545" s="1" t="s">
        <v>25</v>
      </c>
      <c r="F545" s="1" t="s">
        <v>26</v>
      </c>
      <c r="G545" s="1" t="s">
        <v>1229</v>
      </c>
      <c r="H545" s="6">
        <v>1</v>
      </c>
      <c r="I545" s="7">
        <v>0</v>
      </c>
      <c r="J545" s="5">
        <v>45992</v>
      </c>
      <c r="K545" s="1" t="s">
        <v>957</v>
      </c>
      <c r="L545" s="1" t="s">
        <v>30</v>
      </c>
      <c r="M545" s="8">
        <v>0</v>
      </c>
      <c r="N545" s="6"/>
      <c r="O545" s="6"/>
      <c r="P545" s="9">
        <v>-46</v>
      </c>
    </row>
    <row r="546" spans="1:16" ht="19.5" customHeight="1">
      <c r="A546" s="1" t="s">
        <v>1553</v>
      </c>
      <c r="B546" s="5">
        <v>45998</v>
      </c>
      <c r="C546" s="1" t="s">
        <v>17</v>
      </c>
      <c r="D546" s="1" t="s">
        <v>47</v>
      </c>
      <c r="E546" s="1" t="s">
        <v>25</v>
      </c>
      <c r="F546" s="1" t="s">
        <v>26</v>
      </c>
      <c r="G546" s="1" t="s">
        <v>1229</v>
      </c>
      <c r="H546" s="6">
        <v>1</v>
      </c>
      <c r="I546" s="7">
        <v>0</v>
      </c>
      <c r="J546" s="5">
        <v>45992</v>
      </c>
      <c r="K546" s="1" t="s">
        <v>957</v>
      </c>
      <c r="L546" s="1" t="s">
        <v>30</v>
      </c>
      <c r="M546" s="8">
        <v>0</v>
      </c>
      <c r="N546" s="6"/>
      <c r="O546" s="6"/>
      <c r="P546" s="9">
        <v>-15</v>
      </c>
    </row>
    <row r="547" spans="1:16" ht="19.5" customHeight="1">
      <c r="A547" s="1" t="s">
        <v>1554</v>
      </c>
      <c r="B547" s="5">
        <v>45998</v>
      </c>
      <c r="C547" s="1" t="s">
        <v>28</v>
      </c>
      <c r="D547" s="1" t="s">
        <v>29</v>
      </c>
      <c r="E547" s="1" t="s">
        <v>223</v>
      </c>
      <c r="F547" s="1" t="s">
        <v>395</v>
      </c>
      <c r="G547" s="1" t="s">
        <v>1229</v>
      </c>
      <c r="H547" s="6">
        <v>1</v>
      </c>
      <c r="I547" s="7">
        <v>1280</v>
      </c>
      <c r="J547" s="5">
        <v>45995</v>
      </c>
      <c r="K547" s="1" t="s">
        <v>957</v>
      </c>
      <c r="L547" s="1" t="s">
        <v>30</v>
      </c>
      <c r="M547" s="8">
        <v>0.43</v>
      </c>
      <c r="N547" s="6"/>
      <c r="O547" s="6">
        <v>42</v>
      </c>
      <c r="P547" s="9">
        <v>-108.7</v>
      </c>
    </row>
    <row r="548" spans="1:16" ht="19.5" customHeight="1">
      <c r="A548" s="1" t="s">
        <v>1554</v>
      </c>
      <c r="B548" s="5">
        <v>45998</v>
      </c>
      <c r="C548" s="1" t="s">
        <v>31</v>
      </c>
      <c r="D548" s="1" t="s">
        <v>32</v>
      </c>
      <c r="E548" s="1" t="s">
        <v>223</v>
      </c>
      <c r="F548" s="1" t="s">
        <v>395</v>
      </c>
      <c r="G548" s="1" t="s">
        <v>1229</v>
      </c>
      <c r="H548" s="6">
        <v>1</v>
      </c>
      <c r="I548" s="7">
        <v>1280</v>
      </c>
      <c r="J548" s="5">
        <v>45995</v>
      </c>
      <c r="K548" s="1" t="s">
        <v>957</v>
      </c>
      <c r="L548" s="1" t="s">
        <v>30</v>
      </c>
      <c r="M548" s="8">
        <v>0</v>
      </c>
      <c r="N548" s="6"/>
      <c r="O548" s="6"/>
      <c r="P548" s="9">
        <v>475.24</v>
      </c>
    </row>
    <row r="549" spans="1:16" ht="19.5" customHeight="1">
      <c r="A549" s="1" t="s">
        <v>1554</v>
      </c>
      <c r="B549" s="5">
        <v>45998</v>
      </c>
      <c r="C549" s="1" t="s">
        <v>31</v>
      </c>
      <c r="D549" s="1" t="s">
        <v>33</v>
      </c>
      <c r="E549" s="1" t="s">
        <v>223</v>
      </c>
      <c r="F549" s="1" t="s">
        <v>395</v>
      </c>
      <c r="G549" s="1" t="s">
        <v>1229</v>
      </c>
      <c r="H549" s="6">
        <v>1</v>
      </c>
      <c r="I549" s="7">
        <v>1280</v>
      </c>
      <c r="J549" s="5">
        <v>45995</v>
      </c>
      <c r="K549" s="1" t="s">
        <v>957</v>
      </c>
      <c r="L549" s="1" t="s">
        <v>30</v>
      </c>
      <c r="M549" s="8">
        <v>0</v>
      </c>
      <c r="N549" s="6"/>
      <c r="O549" s="6"/>
      <c r="P549" s="9">
        <v>4.75</v>
      </c>
    </row>
    <row r="550" spans="1:16" ht="19.5" customHeight="1">
      <c r="A550" s="1" t="s">
        <v>1554</v>
      </c>
      <c r="B550" s="5">
        <v>45998</v>
      </c>
      <c r="C550" s="1" t="s">
        <v>31</v>
      </c>
      <c r="D550" s="1" t="s">
        <v>34</v>
      </c>
      <c r="E550" s="1" t="s">
        <v>223</v>
      </c>
      <c r="F550" s="1" t="s">
        <v>395</v>
      </c>
      <c r="G550" s="1" t="s">
        <v>1229</v>
      </c>
      <c r="H550" s="6">
        <v>1</v>
      </c>
      <c r="I550" s="7">
        <v>1280</v>
      </c>
      <c r="J550" s="5">
        <v>45995</v>
      </c>
      <c r="K550" s="1" t="s">
        <v>957</v>
      </c>
      <c r="L550" s="1" t="s">
        <v>30</v>
      </c>
      <c r="M550" s="8">
        <v>0</v>
      </c>
      <c r="N550" s="6"/>
      <c r="O550" s="6"/>
      <c r="P550" s="9">
        <v>800.01</v>
      </c>
    </row>
    <row r="551" spans="1:16" ht="19.5" customHeight="1">
      <c r="A551" s="1" t="s">
        <v>1554</v>
      </c>
      <c r="B551" s="5">
        <v>45998</v>
      </c>
      <c r="C551" s="1" t="s">
        <v>35</v>
      </c>
      <c r="D551" s="1" t="s">
        <v>36</v>
      </c>
      <c r="E551" s="1" t="s">
        <v>223</v>
      </c>
      <c r="F551" s="1" t="s">
        <v>395</v>
      </c>
      <c r="G551" s="1" t="s">
        <v>1229</v>
      </c>
      <c r="H551" s="6">
        <v>1</v>
      </c>
      <c r="I551" s="7">
        <v>1280</v>
      </c>
      <c r="J551" s="5">
        <v>45995</v>
      </c>
      <c r="K551" s="1" t="s">
        <v>957</v>
      </c>
      <c r="L551" s="1" t="s">
        <v>30</v>
      </c>
      <c r="M551" s="8">
        <v>0.43</v>
      </c>
      <c r="N551" s="6"/>
      <c r="O551" s="6"/>
      <c r="P551" s="9">
        <v>-550.4</v>
      </c>
    </row>
    <row r="552" spans="1:16" ht="19.5" customHeight="1">
      <c r="A552" s="1" t="s">
        <v>1554</v>
      </c>
      <c r="B552" s="5">
        <v>45998</v>
      </c>
      <c r="C552" s="1" t="s">
        <v>17</v>
      </c>
      <c r="D552" s="1" t="s">
        <v>37</v>
      </c>
      <c r="E552" s="1" t="s">
        <v>223</v>
      </c>
      <c r="F552" s="1" t="s">
        <v>395</v>
      </c>
      <c r="G552" s="1" t="s">
        <v>1229</v>
      </c>
      <c r="H552" s="6">
        <v>1</v>
      </c>
      <c r="I552" s="7">
        <v>1280</v>
      </c>
      <c r="J552" s="5">
        <v>45995</v>
      </c>
      <c r="K552" s="1" t="s">
        <v>957</v>
      </c>
      <c r="L552" s="1" t="s">
        <v>30</v>
      </c>
      <c r="M552" s="8">
        <v>0.43</v>
      </c>
      <c r="N552" s="6"/>
      <c r="O552" s="6"/>
      <c r="P552" s="9">
        <v>-19.440000000000001</v>
      </c>
    </row>
    <row r="553" spans="1:16" ht="19.5" customHeight="1">
      <c r="A553" s="1" t="s">
        <v>1555</v>
      </c>
      <c r="B553" s="5">
        <v>45998</v>
      </c>
      <c r="C553" s="1" t="s">
        <v>28</v>
      </c>
      <c r="D553" s="1" t="s">
        <v>29</v>
      </c>
      <c r="E553" s="1" t="s">
        <v>228</v>
      </c>
      <c r="F553" s="1" t="s">
        <v>393</v>
      </c>
      <c r="G553" s="1" t="s">
        <v>1229</v>
      </c>
      <c r="H553" s="6">
        <v>1</v>
      </c>
      <c r="I553" s="7">
        <v>1420</v>
      </c>
      <c r="J553" s="5">
        <v>45996</v>
      </c>
      <c r="K553" s="1" t="s">
        <v>957</v>
      </c>
      <c r="L553" s="1" t="s">
        <v>30</v>
      </c>
      <c r="M553" s="8">
        <v>0.43</v>
      </c>
      <c r="N553" s="6"/>
      <c r="O553" s="6">
        <v>40</v>
      </c>
      <c r="P553" s="9">
        <v>-105.67</v>
      </c>
    </row>
    <row r="554" spans="1:16" ht="19.5" customHeight="1">
      <c r="A554" s="1" t="s">
        <v>1555</v>
      </c>
      <c r="B554" s="5">
        <v>45998</v>
      </c>
      <c r="C554" s="1" t="s">
        <v>31</v>
      </c>
      <c r="D554" s="1" t="s">
        <v>32</v>
      </c>
      <c r="E554" s="1" t="s">
        <v>228</v>
      </c>
      <c r="F554" s="1" t="s">
        <v>393</v>
      </c>
      <c r="G554" s="1" t="s">
        <v>1229</v>
      </c>
      <c r="H554" s="6">
        <v>1</v>
      </c>
      <c r="I554" s="7">
        <v>1420</v>
      </c>
      <c r="J554" s="5">
        <v>45996</v>
      </c>
      <c r="K554" s="1" t="s">
        <v>957</v>
      </c>
      <c r="L554" s="1" t="s">
        <v>30</v>
      </c>
      <c r="M554" s="8">
        <v>0</v>
      </c>
      <c r="N554" s="6"/>
      <c r="O554" s="6"/>
      <c r="P554" s="9">
        <v>730.73</v>
      </c>
    </row>
    <row r="555" spans="1:16" ht="19.5" customHeight="1">
      <c r="A555" s="1" t="s">
        <v>1555</v>
      </c>
      <c r="B555" s="5">
        <v>45998</v>
      </c>
      <c r="C555" s="1" t="s">
        <v>31</v>
      </c>
      <c r="D555" s="1" t="s">
        <v>33</v>
      </c>
      <c r="E555" s="1" t="s">
        <v>228</v>
      </c>
      <c r="F555" s="1" t="s">
        <v>393</v>
      </c>
      <c r="G555" s="1" t="s">
        <v>1229</v>
      </c>
      <c r="H555" s="6">
        <v>1</v>
      </c>
      <c r="I555" s="7">
        <v>1420</v>
      </c>
      <c r="J555" s="5">
        <v>45996</v>
      </c>
      <c r="K555" s="1" t="s">
        <v>957</v>
      </c>
      <c r="L555" s="1" t="s">
        <v>30</v>
      </c>
      <c r="M555" s="8">
        <v>0</v>
      </c>
      <c r="N555" s="6"/>
      <c r="O555" s="6"/>
      <c r="P555" s="9">
        <v>7.31</v>
      </c>
    </row>
    <row r="556" spans="1:16" ht="19.5" customHeight="1">
      <c r="A556" s="1" t="s">
        <v>1555</v>
      </c>
      <c r="B556" s="5">
        <v>45998</v>
      </c>
      <c r="C556" s="1" t="s">
        <v>31</v>
      </c>
      <c r="D556" s="1" t="s">
        <v>34</v>
      </c>
      <c r="E556" s="1" t="s">
        <v>228</v>
      </c>
      <c r="F556" s="1" t="s">
        <v>393</v>
      </c>
      <c r="G556" s="1" t="s">
        <v>1229</v>
      </c>
      <c r="H556" s="6">
        <v>1</v>
      </c>
      <c r="I556" s="7">
        <v>1420</v>
      </c>
      <c r="J556" s="5">
        <v>45996</v>
      </c>
      <c r="K556" s="1" t="s">
        <v>957</v>
      </c>
      <c r="L556" s="1" t="s">
        <v>30</v>
      </c>
      <c r="M556" s="8">
        <v>0</v>
      </c>
      <c r="N556" s="6"/>
      <c r="O556" s="6"/>
      <c r="P556" s="9">
        <v>681.96</v>
      </c>
    </row>
    <row r="557" spans="1:16" ht="19.5" customHeight="1">
      <c r="A557" s="1" t="s">
        <v>1555</v>
      </c>
      <c r="B557" s="5">
        <v>45998</v>
      </c>
      <c r="C557" s="1" t="s">
        <v>35</v>
      </c>
      <c r="D557" s="1" t="s">
        <v>36</v>
      </c>
      <c r="E557" s="1" t="s">
        <v>228</v>
      </c>
      <c r="F557" s="1" t="s">
        <v>393</v>
      </c>
      <c r="G557" s="1" t="s">
        <v>1229</v>
      </c>
      <c r="H557" s="6">
        <v>1</v>
      </c>
      <c r="I557" s="7">
        <v>1420</v>
      </c>
      <c r="J557" s="5">
        <v>45996</v>
      </c>
      <c r="K557" s="1" t="s">
        <v>957</v>
      </c>
      <c r="L557" s="1" t="s">
        <v>30</v>
      </c>
      <c r="M557" s="8">
        <v>0.43</v>
      </c>
      <c r="N557" s="6"/>
      <c r="O557" s="6"/>
      <c r="P557" s="9">
        <v>-610.6</v>
      </c>
    </row>
    <row r="558" spans="1:16" ht="19.5" customHeight="1">
      <c r="A558" s="1" t="s">
        <v>1555</v>
      </c>
      <c r="B558" s="5">
        <v>45998</v>
      </c>
      <c r="C558" s="1" t="s">
        <v>17</v>
      </c>
      <c r="D558" s="1" t="s">
        <v>37</v>
      </c>
      <c r="E558" s="1" t="s">
        <v>228</v>
      </c>
      <c r="F558" s="1" t="s">
        <v>393</v>
      </c>
      <c r="G558" s="1" t="s">
        <v>1229</v>
      </c>
      <c r="H558" s="6">
        <v>1</v>
      </c>
      <c r="I558" s="7">
        <v>1420</v>
      </c>
      <c r="J558" s="5">
        <v>45996</v>
      </c>
      <c r="K558" s="1" t="s">
        <v>957</v>
      </c>
      <c r="L558" s="1" t="s">
        <v>30</v>
      </c>
      <c r="M558" s="8">
        <v>0.43</v>
      </c>
      <c r="N558" s="6"/>
      <c r="O558" s="6"/>
      <c r="P558" s="9">
        <v>-7.92</v>
      </c>
    </row>
    <row r="559" spans="1:16" ht="19.5" customHeight="1">
      <c r="A559" s="1" t="s">
        <v>1556</v>
      </c>
      <c r="B559" s="5">
        <v>45998</v>
      </c>
      <c r="C559" s="1" t="s">
        <v>28</v>
      </c>
      <c r="D559" s="1" t="s">
        <v>29</v>
      </c>
      <c r="E559" s="1" t="s">
        <v>223</v>
      </c>
      <c r="F559" s="1" t="s">
        <v>395</v>
      </c>
      <c r="G559" s="1" t="s">
        <v>1229</v>
      </c>
      <c r="H559" s="6">
        <v>1</v>
      </c>
      <c r="I559" s="7">
        <v>1280</v>
      </c>
      <c r="J559" s="5">
        <v>45996</v>
      </c>
      <c r="K559" s="1" t="s">
        <v>957</v>
      </c>
      <c r="L559" s="1" t="s">
        <v>30</v>
      </c>
      <c r="M559" s="8">
        <v>0.43</v>
      </c>
      <c r="N559" s="6"/>
      <c r="O559" s="6">
        <v>40</v>
      </c>
      <c r="P559" s="9">
        <v>-102.1</v>
      </c>
    </row>
    <row r="560" spans="1:16" ht="19.5" customHeight="1">
      <c r="A560" s="1" t="s">
        <v>1556</v>
      </c>
      <c r="B560" s="5">
        <v>45998</v>
      </c>
      <c r="C560" s="1" t="s">
        <v>31</v>
      </c>
      <c r="D560" s="1" t="s">
        <v>32</v>
      </c>
      <c r="E560" s="1" t="s">
        <v>223</v>
      </c>
      <c r="F560" s="1" t="s">
        <v>395</v>
      </c>
      <c r="G560" s="1" t="s">
        <v>1229</v>
      </c>
      <c r="H560" s="6">
        <v>1</v>
      </c>
      <c r="I560" s="7">
        <v>1280</v>
      </c>
      <c r="J560" s="5">
        <v>45996</v>
      </c>
      <c r="K560" s="1" t="s">
        <v>957</v>
      </c>
      <c r="L560" s="1" t="s">
        <v>30</v>
      </c>
      <c r="M560" s="8">
        <v>0</v>
      </c>
      <c r="N560" s="6"/>
      <c r="O560" s="6"/>
      <c r="P560" s="9">
        <v>566.29</v>
      </c>
    </row>
    <row r="561" spans="1:16" ht="19.5" customHeight="1">
      <c r="A561" s="1" t="s">
        <v>1556</v>
      </c>
      <c r="B561" s="5">
        <v>45998</v>
      </c>
      <c r="C561" s="1" t="s">
        <v>31</v>
      </c>
      <c r="D561" s="1" t="s">
        <v>33</v>
      </c>
      <c r="E561" s="1" t="s">
        <v>223</v>
      </c>
      <c r="F561" s="1" t="s">
        <v>395</v>
      </c>
      <c r="G561" s="1" t="s">
        <v>1229</v>
      </c>
      <c r="H561" s="6">
        <v>1</v>
      </c>
      <c r="I561" s="7">
        <v>1280</v>
      </c>
      <c r="J561" s="5">
        <v>45996</v>
      </c>
      <c r="K561" s="1" t="s">
        <v>957</v>
      </c>
      <c r="L561" s="1" t="s">
        <v>30</v>
      </c>
      <c r="M561" s="8">
        <v>0</v>
      </c>
      <c r="N561" s="6"/>
      <c r="O561" s="6"/>
      <c r="P561" s="9">
        <v>5.66</v>
      </c>
    </row>
    <row r="562" spans="1:16" ht="19.5" customHeight="1">
      <c r="A562" s="1" t="s">
        <v>1556</v>
      </c>
      <c r="B562" s="5">
        <v>45998</v>
      </c>
      <c r="C562" s="1" t="s">
        <v>31</v>
      </c>
      <c r="D562" s="1" t="s">
        <v>34</v>
      </c>
      <c r="E562" s="1" t="s">
        <v>223</v>
      </c>
      <c r="F562" s="1" t="s">
        <v>395</v>
      </c>
      <c r="G562" s="1" t="s">
        <v>1229</v>
      </c>
      <c r="H562" s="6">
        <v>1</v>
      </c>
      <c r="I562" s="7">
        <v>1280</v>
      </c>
      <c r="J562" s="5">
        <v>45996</v>
      </c>
      <c r="K562" s="1" t="s">
        <v>957</v>
      </c>
      <c r="L562" s="1" t="s">
        <v>30</v>
      </c>
      <c r="M562" s="8">
        <v>0</v>
      </c>
      <c r="N562" s="6"/>
      <c r="O562" s="6"/>
      <c r="P562" s="9">
        <v>708.05</v>
      </c>
    </row>
    <row r="563" spans="1:16" ht="19.5" customHeight="1">
      <c r="A563" s="1" t="s">
        <v>1556</v>
      </c>
      <c r="B563" s="5">
        <v>45998</v>
      </c>
      <c r="C563" s="1" t="s">
        <v>35</v>
      </c>
      <c r="D563" s="1" t="s">
        <v>36</v>
      </c>
      <c r="E563" s="1" t="s">
        <v>223</v>
      </c>
      <c r="F563" s="1" t="s">
        <v>395</v>
      </c>
      <c r="G563" s="1" t="s">
        <v>1229</v>
      </c>
      <c r="H563" s="6">
        <v>1</v>
      </c>
      <c r="I563" s="7">
        <v>1280</v>
      </c>
      <c r="J563" s="5">
        <v>45996</v>
      </c>
      <c r="K563" s="1" t="s">
        <v>957</v>
      </c>
      <c r="L563" s="1" t="s">
        <v>30</v>
      </c>
      <c r="M563" s="8">
        <v>0.43</v>
      </c>
      <c r="N563" s="6"/>
      <c r="O563" s="6"/>
      <c r="P563" s="9">
        <v>-550.4</v>
      </c>
    </row>
    <row r="564" spans="1:16" ht="19.5" customHeight="1">
      <c r="A564" s="1" t="s">
        <v>1556</v>
      </c>
      <c r="B564" s="5">
        <v>45998</v>
      </c>
      <c r="C564" s="1" t="s">
        <v>17</v>
      </c>
      <c r="D564" s="1" t="s">
        <v>37</v>
      </c>
      <c r="E564" s="1" t="s">
        <v>223</v>
      </c>
      <c r="F564" s="1" t="s">
        <v>395</v>
      </c>
      <c r="G564" s="1" t="s">
        <v>1229</v>
      </c>
      <c r="H564" s="6">
        <v>1</v>
      </c>
      <c r="I564" s="7">
        <v>1280</v>
      </c>
      <c r="J564" s="5">
        <v>45996</v>
      </c>
      <c r="K564" s="1" t="s">
        <v>957</v>
      </c>
      <c r="L564" s="1" t="s">
        <v>30</v>
      </c>
      <c r="M564" s="8">
        <v>0.43</v>
      </c>
      <c r="N564" s="6"/>
      <c r="O564" s="6"/>
      <c r="P564" s="9">
        <v>-5.82</v>
      </c>
    </row>
    <row r="565" spans="1:16" ht="19.5" customHeight="1">
      <c r="A565" s="1" t="s">
        <v>1557</v>
      </c>
      <c r="B565" s="5">
        <v>45998</v>
      </c>
      <c r="C565" s="1" t="s">
        <v>28</v>
      </c>
      <c r="D565" s="1" t="s">
        <v>29</v>
      </c>
      <c r="E565" s="1" t="s">
        <v>223</v>
      </c>
      <c r="F565" s="1" t="s">
        <v>395</v>
      </c>
      <c r="G565" s="1" t="s">
        <v>1229</v>
      </c>
      <c r="H565" s="6">
        <v>1</v>
      </c>
      <c r="I565" s="7">
        <v>1280</v>
      </c>
      <c r="J565" s="5">
        <v>45996</v>
      </c>
      <c r="K565" s="1" t="s">
        <v>957</v>
      </c>
      <c r="L565" s="1" t="s">
        <v>30</v>
      </c>
      <c r="M565" s="8">
        <v>0.43</v>
      </c>
      <c r="N565" s="6"/>
      <c r="O565" s="6">
        <v>40</v>
      </c>
      <c r="P565" s="9">
        <v>-102.1</v>
      </c>
    </row>
    <row r="566" spans="1:16" ht="19.5" customHeight="1">
      <c r="A566" s="1" t="s">
        <v>1557</v>
      </c>
      <c r="B566" s="5">
        <v>45998</v>
      </c>
      <c r="C566" s="1" t="s">
        <v>31</v>
      </c>
      <c r="D566" s="1" t="s">
        <v>32</v>
      </c>
      <c r="E566" s="1" t="s">
        <v>223</v>
      </c>
      <c r="F566" s="1" t="s">
        <v>395</v>
      </c>
      <c r="G566" s="1" t="s">
        <v>1229</v>
      </c>
      <c r="H566" s="6">
        <v>1</v>
      </c>
      <c r="I566" s="7">
        <v>1280</v>
      </c>
      <c r="J566" s="5">
        <v>45996</v>
      </c>
      <c r="K566" s="1" t="s">
        <v>957</v>
      </c>
      <c r="L566" s="1" t="s">
        <v>30</v>
      </c>
      <c r="M566" s="8">
        <v>0</v>
      </c>
      <c r="N566" s="6"/>
      <c r="O566" s="6"/>
      <c r="P566" s="9">
        <v>513.33000000000004</v>
      </c>
    </row>
    <row r="567" spans="1:16" ht="19.5" customHeight="1">
      <c r="A567" s="1" t="s">
        <v>1557</v>
      </c>
      <c r="B567" s="5">
        <v>45998</v>
      </c>
      <c r="C567" s="1" t="s">
        <v>31</v>
      </c>
      <c r="D567" s="1" t="s">
        <v>33</v>
      </c>
      <c r="E567" s="1" t="s">
        <v>223</v>
      </c>
      <c r="F567" s="1" t="s">
        <v>395</v>
      </c>
      <c r="G567" s="1" t="s">
        <v>1229</v>
      </c>
      <c r="H567" s="6">
        <v>1</v>
      </c>
      <c r="I567" s="7">
        <v>1280</v>
      </c>
      <c r="J567" s="5">
        <v>45996</v>
      </c>
      <c r="K567" s="1" t="s">
        <v>957</v>
      </c>
      <c r="L567" s="1" t="s">
        <v>30</v>
      </c>
      <c r="M567" s="8">
        <v>0</v>
      </c>
      <c r="N567" s="6"/>
      <c r="O567" s="6"/>
      <c r="P567" s="9">
        <v>5.13</v>
      </c>
    </row>
    <row r="568" spans="1:16" ht="19.5" customHeight="1">
      <c r="A568" s="1" t="s">
        <v>1557</v>
      </c>
      <c r="B568" s="5">
        <v>45998</v>
      </c>
      <c r="C568" s="1" t="s">
        <v>31</v>
      </c>
      <c r="D568" s="1" t="s">
        <v>34</v>
      </c>
      <c r="E568" s="1" t="s">
        <v>223</v>
      </c>
      <c r="F568" s="1" t="s">
        <v>395</v>
      </c>
      <c r="G568" s="1" t="s">
        <v>1229</v>
      </c>
      <c r="H568" s="6">
        <v>1</v>
      </c>
      <c r="I568" s="7">
        <v>1280</v>
      </c>
      <c r="J568" s="5">
        <v>45996</v>
      </c>
      <c r="K568" s="1" t="s">
        <v>957</v>
      </c>
      <c r="L568" s="1" t="s">
        <v>30</v>
      </c>
      <c r="M568" s="8">
        <v>0</v>
      </c>
      <c r="N568" s="6"/>
      <c r="O568" s="6"/>
      <c r="P568" s="9">
        <v>761.54</v>
      </c>
    </row>
    <row r="569" spans="1:16" ht="19.5" customHeight="1">
      <c r="A569" s="1" t="s">
        <v>1557</v>
      </c>
      <c r="B569" s="5">
        <v>45998</v>
      </c>
      <c r="C569" s="1" t="s">
        <v>35</v>
      </c>
      <c r="D569" s="1" t="s">
        <v>36</v>
      </c>
      <c r="E569" s="1" t="s">
        <v>223</v>
      </c>
      <c r="F569" s="1" t="s">
        <v>395</v>
      </c>
      <c r="G569" s="1" t="s">
        <v>1229</v>
      </c>
      <c r="H569" s="6">
        <v>1</v>
      </c>
      <c r="I569" s="7">
        <v>1280</v>
      </c>
      <c r="J569" s="5">
        <v>45996</v>
      </c>
      <c r="K569" s="1" t="s">
        <v>957</v>
      </c>
      <c r="L569" s="1" t="s">
        <v>30</v>
      </c>
      <c r="M569" s="8">
        <v>0.43</v>
      </c>
      <c r="N569" s="6"/>
      <c r="O569" s="6"/>
      <c r="P569" s="9">
        <v>-550.4</v>
      </c>
    </row>
    <row r="570" spans="1:16" ht="19.5" customHeight="1">
      <c r="A570" s="1" t="s">
        <v>1557</v>
      </c>
      <c r="B570" s="5">
        <v>45998</v>
      </c>
      <c r="C570" s="1" t="s">
        <v>17</v>
      </c>
      <c r="D570" s="1" t="s">
        <v>37</v>
      </c>
      <c r="E570" s="1" t="s">
        <v>223</v>
      </c>
      <c r="F570" s="1" t="s">
        <v>395</v>
      </c>
      <c r="G570" s="1" t="s">
        <v>1229</v>
      </c>
      <c r="H570" s="6">
        <v>1</v>
      </c>
      <c r="I570" s="7">
        <v>1280</v>
      </c>
      <c r="J570" s="5">
        <v>45996</v>
      </c>
      <c r="K570" s="1" t="s">
        <v>957</v>
      </c>
      <c r="L570" s="1" t="s">
        <v>30</v>
      </c>
      <c r="M570" s="8">
        <v>0.43</v>
      </c>
      <c r="N570" s="6"/>
      <c r="O570" s="6"/>
      <c r="P570" s="9">
        <v>-7.29</v>
      </c>
    </row>
    <row r="571" spans="1:16" ht="19.5" customHeight="1">
      <c r="A571" s="1" t="s">
        <v>1556</v>
      </c>
      <c r="B571" s="5">
        <v>45998</v>
      </c>
      <c r="C571" s="1" t="s">
        <v>17</v>
      </c>
      <c r="D571" s="1" t="s">
        <v>18</v>
      </c>
      <c r="E571" s="1" t="s">
        <v>223</v>
      </c>
      <c r="F571" s="1" t="s">
        <v>395</v>
      </c>
      <c r="G571" s="1" t="s">
        <v>1229</v>
      </c>
      <c r="H571" s="6">
        <v>1</v>
      </c>
      <c r="I571" s="7">
        <v>0</v>
      </c>
      <c r="J571" s="5">
        <v>45996</v>
      </c>
      <c r="K571" s="1" t="s">
        <v>22</v>
      </c>
      <c r="L571" s="1" t="s">
        <v>22</v>
      </c>
      <c r="M571" s="8">
        <v>0</v>
      </c>
      <c r="N571" s="6"/>
      <c r="O571" s="6"/>
      <c r="P571" s="9">
        <v>-10.76</v>
      </c>
    </row>
    <row r="572" spans="1:16" ht="19.5" customHeight="1">
      <c r="A572" s="1" t="s">
        <v>22</v>
      </c>
      <c r="B572" s="5">
        <v>45998</v>
      </c>
      <c r="C572" s="1" t="s">
        <v>77</v>
      </c>
      <c r="D572" s="1" t="s">
        <v>78</v>
      </c>
      <c r="E572" s="1" t="s">
        <v>22</v>
      </c>
      <c r="F572" s="1" t="s">
        <v>22</v>
      </c>
      <c r="G572" s="1" t="s">
        <v>1558</v>
      </c>
      <c r="H572" s="6">
        <v>0</v>
      </c>
      <c r="I572" s="7">
        <v>0</v>
      </c>
      <c r="J572" s="5">
        <v>45998</v>
      </c>
      <c r="K572" s="1" t="s">
        <v>22</v>
      </c>
      <c r="L572" s="1" t="s">
        <v>22</v>
      </c>
      <c r="M572" s="8">
        <v>0</v>
      </c>
      <c r="N572" s="6"/>
      <c r="O572" s="6"/>
      <c r="P572" s="9">
        <v>-450</v>
      </c>
    </row>
    <row r="573" spans="1:16" ht="19.5" customHeight="1">
      <c r="A573" s="1" t="s">
        <v>1559</v>
      </c>
      <c r="B573" s="5">
        <v>45998</v>
      </c>
      <c r="C573" s="1" t="s">
        <v>17</v>
      </c>
      <c r="D573" s="1" t="s">
        <v>18</v>
      </c>
      <c r="E573" s="1" t="s">
        <v>25</v>
      </c>
      <c r="F573" s="1" t="s">
        <v>26</v>
      </c>
      <c r="G573" s="1" t="s">
        <v>1229</v>
      </c>
      <c r="H573" s="6">
        <v>1</v>
      </c>
      <c r="I573" s="7">
        <v>0</v>
      </c>
      <c r="J573" s="5">
        <v>45998</v>
      </c>
      <c r="K573" s="1" t="s">
        <v>22</v>
      </c>
      <c r="L573" s="1" t="s">
        <v>22</v>
      </c>
      <c r="M573" s="8">
        <v>0</v>
      </c>
      <c r="N573" s="6"/>
      <c r="O573" s="6"/>
      <c r="P573" s="9">
        <v>-16.36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2D60C-490A-4094-9E2D-6199597B477C}">
  <dimension ref="A1:P426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1341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1276</v>
      </c>
      <c r="B3" s="5">
        <v>45985</v>
      </c>
      <c r="C3" s="1" t="s">
        <v>17</v>
      </c>
      <c r="D3" s="1" t="s">
        <v>18</v>
      </c>
      <c r="E3" s="1" t="s">
        <v>228</v>
      </c>
      <c r="F3" s="1" t="s">
        <v>393</v>
      </c>
      <c r="G3" s="1" t="s">
        <v>1229</v>
      </c>
      <c r="H3" s="6">
        <v>1</v>
      </c>
      <c r="I3" s="7">
        <v>0</v>
      </c>
      <c r="J3" s="5">
        <v>45981</v>
      </c>
      <c r="K3" s="1" t="s">
        <v>22</v>
      </c>
      <c r="L3" s="1" t="s">
        <v>22</v>
      </c>
      <c r="M3" s="8">
        <v>0</v>
      </c>
      <c r="N3" s="6"/>
      <c r="O3" s="6"/>
      <c r="P3" s="9">
        <v>3.14</v>
      </c>
    </row>
    <row r="4" spans="1:16" ht="19.5" customHeight="1">
      <c r="A4" s="1" t="s">
        <v>1276</v>
      </c>
      <c r="B4" s="5">
        <v>45985</v>
      </c>
      <c r="C4" s="1" t="s">
        <v>17</v>
      </c>
      <c r="D4" s="1" t="s">
        <v>18</v>
      </c>
      <c r="E4" s="1" t="s">
        <v>228</v>
      </c>
      <c r="F4" s="1" t="s">
        <v>393</v>
      </c>
      <c r="G4" s="1" t="s">
        <v>1229</v>
      </c>
      <c r="H4" s="6">
        <v>1</v>
      </c>
      <c r="I4" s="7">
        <v>0</v>
      </c>
      <c r="J4" s="5">
        <v>45981</v>
      </c>
      <c r="K4" s="1" t="s">
        <v>22</v>
      </c>
      <c r="L4" s="1" t="s">
        <v>22</v>
      </c>
      <c r="M4" s="8">
        <v>0</v>
      </c>
      <c r="N4" s="6"/>
      <c r="O4" s="6"/>
      <c r="P4" s="9">
        <v>-3.14</v>
      </c>
    </row>
    <row r="5" spans="1:16" ht="19.5" customHeight="1">
      <c r="A5" s="1" t="s">
        <v>1342</v>
      </c>
      <c r="B5" s="5">
        <v>45985</v>
      </c>
      <c r="C5" s="1" t="s">
        <v>28</v>
      </c>
      <c r="D5" s="1" t="s">
        <v>29</v>
      </c>
      <c r="E5" s="1" t="s">
        <v>25</v>
      </c>
      <c r="F5" s="1" t="s">
        <v>26</v>
      </c>
      <c r="G5" s="1" t="s">
        <v>1229</v>
      </c>
      <c r="H5" s="6">
        <v>1</v>
      </c>
      <c r="I5" s="7">
        <v>1117</v>
      </c>
      <c r="J5" s="5">
        <v>45981</v>
      </c>
      <c r="K5" s="1" t="s">
        <v>957</v>
      </c>
      <c r="L5" s="1" t="s">
        <v>30</v>
      </c>
      <c r="M5" s="8">
        <v>0.43</v>
      </c>
      <c r="N5" s="6"/>
      <c r="O5" s="6">
        <v>44</v>
      </c>
      <c r="P5" s="9">
        <v>-110.17</v>
      </c>
    </row>
    <row r="6" spans="1:16" ht="19.5" customHeight="1">
      <c r="A6" s="1" t="s">
        <v>1342</v>
      </c>
      <c r="B6" s="5">
        <v>45985</v>
      </c>
      <c r="C6" s="1" t="s">
        <v>31</v>
      </c>
      <c r="D6" s="1" t="s">
        <v>32</v>
      </c>
      <c r="E6" s="1" t="s">
        <v>25</v>
      </c>
      <c r="F6" s="1" t="s">
        <v>26</v>
      </c>
      <c r="G6" s="1" t="s">
        <v>1229</v>
      </c>
      <c r="H6" s="6">
        <v>1</v>
      </c>
      <c r="I6" s="7">
        <v>1117</v>
      </c>
      <c r="J6" s="5">
        <v>45981</v>
      </c>
      <c r="K6" s="1" t="s">
        <v>957</v>
      </c>
      <c r="L6" s="1" t="s">
        <v>30</v>
      </c>
      <c r="M6" s="8">
        <v>0</v>
      </c>
      <c r="N6" s="6"/>
      <c r="O6" s="6"/>
      <c r="P6" s="9">
        <v>467.8</v>
      </c>
    </row>
    <row r="7" spans="1:16" ht="19.5" customHeight="1">
      <c r="A7" s="1" t="s">
        <v>1342</v>
      </c>
      <c r="B7" s="5">
        <v>45985</v>
      </c>
      <c r="C7" s="1" t="s">
        <v>31</v>
      </c>
      <c r="D7" s="1" t="s">
        <v>33</v>
      </c>
      <c r="E7" s="1" t="s">
        <v>25</v>
      </c>
      <c r="F7" s="1" t="s">
        <v>26</v>
      </c>
      <c r="G7" s="1" t="s">
        <v>1229</v>
      </c>
      <c r="H7" s="6">
        <v>1</v>
      </c>
      <c r="I7" s="7">
        <v>1117</v>
      </c>
      <c r="J7" s="5">
        <v>45981</v>
      </c>
      <c r="K7" s="1" t="s">
        <v>957</v>
      </c>
      <c r="L7" s="1" t="s">
        <v>30</v>
      </c>
      <c r="M7" s="8">
        <v>0</v>
      </c>
      <c r="N7" s="6"/>
      <c r="O7" s="6"/>
      <c r="P7" s="9">
        <v>0</v>
      </c>
    </row>
    <row r="8" spans="1:16" ht="19.5" customHeight="1">
      <c r="A8" s="1" t="s">
        <v>1342</v>
      </c>
      <c r="B8" s="5">
        <v>45985</v>
      </c>
      <c r="C8" s="1" t="s">
        <v>31</v>
      </c>
      <c r="D8" s="1" t="s">
        <v>34</v>
      </c>
      <c r="E8" s="1" t="s">
        <v>25</v>
      </c>
      <c r="F8" s="1" t="s">
        <v>26</v>
      </c>
      <c r="G8" s="1" t="s">
        <v>1229</v>
      </c>
      <c r="H8" s="6">
        <v>1</v>
      </c>
      <c r="I8" s="7">
        <v>1117</v>
      </c>
      <c r="J8" s="5">
        <v>45981</v>
      </c>
      <c r="K8" s="1" t="s">
        <v>957</v>
      </c>
      <c r="L8" s="1" t="s">
        <v>30</v>
      </c>
      <c r="M8" s="8">
        <v>0</v>
      </c>
      <c r="N8" s="6"/>
      <c r="O8" s="6"/>
      <c r="P8" s="9">
        <v>649.20000000000005</v>
      </c>
    </row>
    <row r="9" spans="1:16" ht="19.5" customHeight="1">
      <c r="A9" s="1" t="s">
        <v>1342</v>
      </c>
      <c r="B9" s="5">
        <v>45985</v>
      </c>
      <c r="C9" s="1" t="s">
        <v>35</v>
      </c>
      <c r="D9" s="1" t="s">
        <v>36</v>
      </c>
      <c r="E9" s="1" t="s">
        <v>25</v>
      </c>
      <c r="F9" s="1" t="s">
        <v>26</v>
      </c>
      <c r="G9" s="1" t="s">
        <v>1229</v>
      </c>
      <c r="H9" s="6">
        <v>1</v>
      </c>
      <c r="I9" s="7">
        <v>1117</v>
      </c>
      <c r="J9" s="5">
        <v>45981</v>
      </c>
      <c r="K9" s="1" t="s">
        <v>957</v>
      </c>
      <c r="L9" s="1" t="s">
        <v>30</v>
      </c>
      <c r="M9" s="8">
        <v>0.43</v>
      </c>
      <c r="N9" s="6"/>
      <c r="O9" s="6"/>
      <c r="P9" s="9">
        <v>-480.31</v>
      </c>
    </row>
    <row r="10" spans="1:16" ht="19.5" customHeight="1">
      <c r="A10" s="1" t="s">
        <v>1342</v>
      </c>
      <c r="B10" s="5">
        <v>45985</v>
      </c>
      <c r="C10" s="1" t="s">
        <v>17</v>
      </c>
      <c r="D10" s="1" t="s">
        <v>37</v>
      </c>
      <c r="E10" s="1" t="s">
        <v>25</v>
      </c>
      <c r="F10" s="1" t="s">
        <v>26</v>
      </c>
      <c r="G10" s="1" t="s">
        <v>1229</v>
      </c>
      <c r="H10" s="6">
        <v>1</v>
      </c>
      <c r="I10" s="7">
        <v>1117</v>
      </c>
      <c r="J10" s="5">
        <v>45981</v>
      </c>
      <c r="K10" s="1" t="s">
        <v>957</v>
      </c>
      <c r="L10" s="1" t="s">
        <v>30</v>
      </c>
      <c r="M10" s="8">
        <v>0.43</v>
      </c>
      <c r="N10" s="6"/>
      <c r="O10" s="6"/>
      <c r="P10" s="9">
        <v>-7.07</v>
      </c>
    </row>
    <row r="11" spans="1:16" ht="19.5" customHeight="1">
      <c r="A11" s="1" t="s">
        <v>1343</v>
      </c>
      <c r="B11" s="5">
        <v>45985</v>
      </c>
      <c r="C11" s="1" t="s">
        <v>28</v>
      </c>
      <c r="D11" s="1" t="s">
        <v>29</v>
      </c>
      <c r="E11" s="1" t="s">
        <v>223</v>
      </c>
      <c r="F11" s="1" t="s">
        <v>395</v>
      </c>
      <c r="G11" s="1" t="s">
        <v>1229</v>
      </c>
      <c r="H11" s="6">
        <v>1</v>
      </c>
      <c r="I11" s="7">
        <v>1687</v>
      </c>
      <c r="J11" s="5">
        <v>45981</v>
      </c>
      <c r="K11" s="1" t="s">
        <v>957</v>
      </c>
      <c r="L11" s="1" t="s">
        <v>30</v>
      </c>
      <c r="M11" s="8">
        <v>0.43</v>
      </c>
      <c r="N11" s="6"/>
      <c r="O11" s="6">
        <v>44</v>
      </c>
      <c r="P11" s="9">
        <v>-128.12</v>
      </c>
    </row>
    <row r="12" spans="1:16" ht="19.5" customHeight="1">
      <c r="A12" s="1" t="s">
        <v>1343</v>
      </c>
      <c r="B12" s="5">
        <v>45985</v>
      </c>
      <c r="C12" s="1" t="s">
        <v>31</v>
      </c>
      <c r="D12" s="1" t="s">
        <v>32</v>
      </c>
      <c r="E12" s="1" t="s">
        <v>223</v>
      </c>
      <c r="F12" s="1" t="s">
        <v>395</v>
      </c>
      <c r="G12" s="1" t="s">
        <v>1229</v>
      </c>
      <c r="H12" s="6">
        <v>1</v>
      </c>
      <c r="I12" s="7">
        <v>1687</v>
      </c>
      <c r="J12" s="5">
        <v>45981</v>
      </c>
      <c r="K12" s="1" t="s">
        <v>957</v>
      </c>
      <c r="L12" s="1" t="s">
        <v>30</v>
      </c>
      <c r="M12" s="8">
        <v>0</v>
      </c>
      <c r="N12" s="6"/>
      <c r="O12" s="6"/>
      <c r="P12" s="9">
        <v>728.57</v>
      </c>
    </row>
    <row r="13" spans="1:16" ht="19.5" customHeight="1">
      <c r="A13" s="1" t="s">
        <v>1343</v>
      </c>
      <c r="B13" s="5">
        <v>45985</v>
      </c>
      <c r="C13" s="1" t="s">
        <v>31</v>
      </c>
      <c r="D13" s="1" t="s">
        <v>33</v>
      </c>
      <c r="E13" s="1" t="s">
        <v>223</v>
      </c>
      <c r="F13" s="1" t="s">
        <v>395</v>
      </c>
      <c r="G13" s="1" t="s">
        <v>1229</v>
      </c>
      <c r="H13" s="6">
        <v>1</v>
      </c>
      <c r="I13" s="7">
        <v>1687</v>
      </c>
      <c r="J13" s="5">
        <v>45981</v>
      </c>
      <c r="K13" s="1" t="s">
        <v>957</v>
      </c>
      <c r="L13" s="1" t="s">
        <v>30</v>
      </c>
      <c r="M13" s="8">
        <v>0</v>
      </c>
      <c r="N13" s="6"/>
      <c r="O13" s="6"/>
      <c r="P13" s="9">
        <v>7.29</v>
      </c>
    </row>
    <row r="14" spans="1:16" ht="19.5" customHeight="1">
      <c r="A14" s="1" t="s">
        <v>1343</v>
      </c>
      <c r="B14" s="5">
        <v>45985</v>
      </c>
      <c r="C14" s="1" t="s">
        <v>31</v>
      </c>
      <c r="D14" s="1" t="s">
        <v>34</v>
      </c>
      <c r="E14" s="1" t="s">
        <v>223</v>
      </c>
      <c r="F14" s="1" t="s">
        <v>395</v>
      </c>
      <c r="G14" s="1" t="s">
        <v>1229</v>
      </c>
      <c r="H14" s="6">
        <v>1</v>
      </c>
      <c r="I14" s="7">
        <v>1687</v>
      </c>
      <c r="J14" s="5">
        <v>45981</v>
      </c>
      <c r="K14" s="1" t="s">
        <v>957</v>
      </c>
      <c r="L14" s="1" t="s">
        <v>30</v>
      </c>
      <c r="M14" s="8">
        <v>0</v>
      </c>
      <c r="N14" s="6"/>
      <c r="O14" s="6"/>
      <c r="P14" s="9">
        <v>951.14</v>
      </c>
    </row>
    <row r="15" spans="1:16" ht="19.5" customHeight="1">
      <c r="A15" s="1" t="s">
        <v>1343</v>
      </c>
      <c r="B15" s="5">
        <v>45985</v>
      </c>
      <c r="C15" s="1" t="s">
        <v>35</v>
      </c>
      <c r="D15" s="1" t="s">
        <v>36</v>
      </c>
      <c r="E15" s="1" t="s">
        <v>223</v>
      </c>
      <c r="F15" s="1" t="s">
        <v>395</v>
      </c>
      <c r="G15" s="1" t="s">
        <v>1229</v>
      </c>
      <c r="H15" s="6">
        <v>1</v>
      </c>
      <c r="I15" s="7">
        <v>1687</v>
      </c>
      <c r="J15" s="5">
        <v>45981</v>
      </c>
      <c r="K15" s="1" t="s">
        <v>957</v>
      </c>
      <c r="L15" s="1" t="s">
        <v>30</v>
      </c>
      <c r="M15" s="8">
        <v>0.43</v>
      </c>
      <c r="N15" s="6"/>
      <c r="O15" s="6"/>
      <c r="P15" s="9">
        <v>-725.41</v>
      </c>
    </row>
    <row r="16" spans="1:16" ht="19.5" customHeight="1">
      <c r="A16" s="1" t="s">
        <v>1343</v>
      </c>
      <c r="B16" s="5">
        <v>45985</v>
      </c>
      <c r="C16" s="1" t="s">
        <v>17</v>
      </c>
      <c r="D16" s="1" t="s">
        <v>37</v>
      </c>
      <c r="E16" s="1" t="s">
        <v>223</v>
      </c>
      <c r="F16" s="1" t="s">
        <v>395</v>
      </c>
      <c r="G16" s="1" t="s">
        <v>1229</v>
      </c>
      <c r="H16" s="6">
        <v>1</v>
      </c>
      <c r="I16" s="7">
        <v>1687</v>
      </c>
      <c r="J16" s="5">
        <v>45981</v>
      </c>
      <c r="K16" s="1" t="s">
        <v>957</v>
      </c>
      <c r="L16" s="1" t="s">
        <v>30</v>
      </c>
      <c r="M16" s="8">
        <v>0.43</v>
      </c>
      <c r="N16" s="6"/>
      <c r="O16" s="6"/>
      <c r="P16" s="9">
        <v>-8.0299999999999994</v>
      </c>
    </row>
    <row r="17" spans="1:16" ht="19.5" customHeight="1">
      <c r="A17" s="1" t="s">
        <v>1343</v>
      </c>
      <c r="B17" s="5">
        <v>45985</v>
      </c>
      <c r="C17" s="1" t="s">
        <v>17</v>
      </c>
      <c r="D17" s="1" t="s">
        <v>18</v>
      </c>
      <c r="E17" s="1" t="s">
        <v>223</v>
      </c>
      <c r="F17" s="1" t="s">
        <v>395</v>
      </c>
      <c r="G17" s="1" t="s">
        <v>1229</v>
      </c>
      <c r="H17" s="6">
        <v>1</v>
      </c>
      <c r="I17" s="7">
        <v>0</v>
      </c>
      <c r="J17" s="5">
        <v>45981</v>
      </c>
      <c r="K17" s="1" t="s">
        <v>22</v>
      </c>
      <c r="L17" s="1" t="s">
        <v>22</v>
      </c>
      <c r="M17" s="8">
        <v>0</v>
      </c>
      <c r="N17" s="6"/>
      <c r="O17" s="6"/>
      <c r="P17" s="9">
        <v>-13.84</v>
      </c>
    </row>
    <row r="18" spans="1:16" ht="19.5" customHeight="1">
      <c r="A18" s="1" t="s">
        <v>1344</v>
      </c>
      <c r="B18" s="5">
        <v>45985</v>
      </c>
      <c r="C18" s="1" t="s">
        <v>17</v>
      </c>
      <c r="D18" s="1" t="s">
        <v>18</v>
      </c>
      <c r="E18" s="1" t="s">
        <v>226</v>
      </c>
      <c r="F18" s="1" t="s">
        <v>428</v>
      </c>
      <c r="G18" s="1" t="s">
        <v>1229</v>
      </c>
      <c r="H18" s="6">
        <v>1</v>
      </c>
      <c r="I18" s="7">
        <v>0</v>
      </c>
      <c r="J18" s="5">
        <v>45985</v>
      </c>
      <c r="K18" s="1" t="s">
        <v>22</v>
      </c>
      <c r="L18" s="1" t="s">
        <v>22</v>
      </c>
      <c r="M18" s="8">
        <v>0</v>
      </c>
      <c r="N18" s="6"/>
      <c r="O18" s="6"/>
      <c r="P18" s="9">
        <v>-21.57</v>
      </c>
    </row>
    <row r="19" spans="1:16" ht="19.5" customHeight="1">
      <c r="A19" s="1" t="s">
        <v>1345</v>
      </c>
      <c r="B19" s="5">
        <v>45985</v>
      </c>
      <c r="C19" s="1" t="s">
        <v>28</v>
      </c>
      <c r="D19" s="1" t="s">
        <v>29</v>
      </c>
      <c r="E19" s="1" t="s">
        <v>235</v>
      </c>
      <c r="F19" s="1" t="s">
        <v>528</v>
      </c>
      <c r="G19" s="1" t="s">
        <v>1133</v>
      </c>
      <c r="H19" s="6">
        <v>1</v>
      </c>
      <c r="I19" s="7">
        <v>0</v>
      </c>
      <c r="J19" s="5">
        <v>45974</v>
      </c>
      <c r="K19" s="1" t="s">
        <v>957</v>
      </c>
      <c r="L19" s="1" t="s">
        <v>30</v>
      </c>
      <c r="M19" s="8">
        <v>0</v>
      </c>
      <c r="N19" s="6"/>
      <c r="O19" s="6">
        <v>42</v>
      </c>
      <c r="P19" s="9">
        <v>-56</v>
      </c>
    </row>
    <row r="20" spans="1:16" ht="19.5" customHeight="1">
      <c r="A20" s="1" t="s">
        <v>1345</v>
      </c>
      <c r="B20" s="5">
        <v>45985</v>
      </c>
      <c r="C20" s="1" t="s">
        <v>17</v>
      </c>
      <c r="D20" s="1" t="s">
        <v>37</v>
      </c>
      <c r="E20" s="1" t="s">
        <v>235</v>
      </c>
      <c r="F20" s="1" t="s">
        <v>528</v>
      </c>
      <c r="G20" s="1" t="s">
        <v>1133</v>
      </c>
      <c r="H20" s="6">
        <v>1</v>
      </c>
      <c r="I20" s="7">
        <v>0</v>
      </c>
      <c r="J20" s="5">
        <v>45974</v>
      </c>
      <c r="K20" s="1" t="s">
        <v>957</v>
      </c>
      <c r="L20" s="1" t="s">
        <v>30</v>
      </c>
      <c r="M20" s="8">
        <v>0</v>
      </c>
      <c r="N20" s="6"/>
      <c r="O20" s="6"/>
      <c r="P20" s="9">
        <v>-9.35</v>
      </c>
    </row>
    <row r="21" spans="1:16" ht="19.5" customHeight="1">
      <c r="A21" s="1" t="s">
        <v>1345</v>
      </c>
      <c r="B21" s="5">
        <v>45985</v>
      </c>
      <c r="C21" s="1" t="s">
        <v>28</v>
      </c>
      <c r="D21" s="1" t="s">
        <v>45</v>
      </c>
      <c r="E21" s="1" t="s">
        <v>235</v>
      </c>
      <c r="F21" s="1" t="s">
        <v>528</v>
      </c>
      <c r="G21" s="1" t="s">
        <v>1133</v>
      </c>
      <c r="H21" s="6">
        <v>1</v>
      </c>
      <c r="I21" s="7">
        <v>0</v>
      </c>
      <c r="J21" s="5">
        <v>45974</v>
      </c>
      <c r="K21" s="1" t="s">
        <v>957</v>
      </c>
      <c r="L21" s="1" t="s">
        <v>30</v>
      </c>
      <c r="M21" s="8">
        <v>0</v>
      </c>
      <c r="N21" s="6"/>
      <c r="O21" s="6"/>
      <c r="P21" s="9">
        <v>0</v>
      </c>
    </row>
    <row r="22" spans="1:16" ht="19.5" customHeight="1">
      <c r="A22" s="1" t="s">
        <v>1345</v>
      </c>
      <c r="B22" s="5">
        <v>45985</v>
      </c>
      <c r="C22" s="1" t="s">
        <v>28</v>
      </c>
      <c r="D22" s="1" t="s">
        <v>46</v>
      </c>
      <c r="E22" s="1" t="s">
        <v>235</v>
      </c>
      <c r="F22" s="1" t="s">
        <v>528</v>
      </c>
      <c r="G22" s="1" t="s">
        <v>1133</v>
      </c>
      <c r="H22" s="6">
        <v>1</v>
      </c>
      <c r="I22" s="7">
        <v>0</v>
      </c>
      <c r="J22" s="5">
        <v>45974</v>
      </c>
      <c r="K22" s="1" t="s">
        <v>957</v>
      </c>
      <c r="L22" s="1" t="s">
        <v>30</v>
      </c>
      <c r="M22" s="8">
        <v>0</v>
      </c>
      <c r="N22" s="6"/>
      <c r="O22" s="6"/>
      <c r="P22" s="9">
        <v>-56</v>
      </c>
    </row>
    <row r="23" spans="1:16" ht="19.5" customHeight="1">
      <c r="A23" s="1" t="s">
        <v>1345</v>
      </c>
      <c r="B23" s="5">
        <v>45985</v>
      </c>
      <c r="C23" s="1" t="s">
        <v>17</v>
      </c>
      <c r="D23" s="1" t="s">
        <v>47</v>
      </c>
      <c r="E23" s="1" t="s">
        <v>235</v>
      </c>
      <c r="F23" s="1" t="s">
        <v>528</v>
      </c>
      <c r="G23" s="1" t="s">
        <v>1133</v>
      </c>
      <c r="H23" s="6">
        <v>1</v>
      </c>
      <c r="I23" s="7">
        <v>0</v>
      </c>
      <c r="J23" s="5">
        <v>45974</v>
      </c>
      <c r="K23" s="1" t="s">
        <v>957</v>
      </c>
      <c r="L23" s="1" t="s">
        <v>30</v>
      </c>
      <c r="M23" s="8">
        <v>0</v>
      </c>
      <c r="N23" s="6"/>
      <c r="O23" s="6"/>
      <c r="P23" s="9">
        <v>-15</v>
      </c>
    </row>
    <row r="24" spans="1:16" ht="19.5" customHeight="1">
      <c r="A24" s="1" t="s">
        <v>1346</v>
      </c>
      <c r="B24" s="5">
        <v>45985</v>
      </c>
      <c r="C24" s="1" t="s">
        <v>28</v>
      </c>
      <c r="D24" s="1" t="s">
        <v>29</v>
      </c>
      <c r="E24" s="1" t="s">
        <v>223</v>
      </c>
      <c r="F24" s="1" t="s">
        <v>395</v>
      </c>
      <c r="G24" s="1" t="s">
        <v>1229</v>
      </c>
      <c r="H24" s="6">
        <v>1</v>
      </c>
      <c r="I24" s="7">
        <v>0</v>
      </c>
      <c r="J24" s="5">
        <v>45978</v>
      </c>
      <c r="K24" s="1" t="s">
        <v>957</v>
      </c>
      <c r="L24" s="1" t="s">
        <v>30</v>
      </c>
      <c r="M24" s="8">
        <v>0</v>
      </c>
      <c r="N24" s="6"/>
      <c r="O24" s="6">
        <v>44</v>
      </c>
      <c r="P24" s="9">
        <v>-46</v>
      </c>
    </row>
    <row r="25" spans="1:16" ht="19.5" customHeight="1">
      <c r="A25" s="1" t="s">
        <v>1346</v>
      </c>
      <c r="B25" s="5">
        <v>45985</v>
      </c>
      <c r="C25" s="1" t="s">
        <v>17</v>
      </c>
      <c r="D25" s="1" t="s">
        <v>37</v>
      </c>
      <c r="E25" s="1" t="s">
        <v>223</v>
      </c>
      <c r="F25" s="1" t="s">
        <v>395</v>
      </c>
      <c r="G25" s="1" t="s">
        <v>1229</v>
      </c>
      <c r="H25" s="6">
        <v>1</v>
      </c>
      <c r="I25" s="7">
        <v>0</v>
      </c>
      <c r="J25" s="5">
        <v>45978</v>
      </c>
      <c r="K25" s="1" t="s">
        <v>957</v>
      </c>
      <c r="L25" s="1" t="s">
        <v>30</v>
      </c>
      <c r="M25" s="8">
        <v>0</v>
      </c>
      <c r="N25" s="6"/>
      <c r="O25" s="6"/>
      <c r="P25" s="9">
        <v>-12.9</v>
      </c>
    </row>
    <row r="26" spans="1:16" ht="19.5" customHeight="1">
      <c r="A26" s="1" t="s">
        <v>1346</v>
      </c>
      <c r="B26" s="5">
        <v>45985</v>
      </c>
      <c r="C26" s="1" t="s">
        <v>28</v>
      </c>
      <c r="D26" s="1" t="s">
        <v>45</v>
      </c>
      <c r="E26" s="1" t="s">
        <v>223</v>
      </c>
      <c r="F26" s="1" t="s">
        <v>395</v>
      </c>
      <c r="G26" s="1" t="s">
        <v>1229</v>
      </c>
      <c r="H26" s="6">
        <v>1</v>
      </c>
      <c r="I26" s="7">
        <v>0</v>
      </c>
      <c r="J26" s="5">
        <v>45978</v>
      </c>
      <c r="K26" s="1" t="s">
        <v>957</v>
      </c>
      <c r="L26" s="1" t="s">
        <v>30</v>
      </c>
      <c r="M26" s="8">
        <v>0</v>
      </c>
      <c r="N26" s="6"/>
      <c r="O26" s="6"/>
      <c r="P26" s="9">
        <v>0</v>
      </c>
    </row>
    <row r="27" spans="1:16" ht="19.5" customHeight="1">
      <c r="A27" s="1" t="s">
        <v>1346</v>
      </c>
      <c r="B27" s="5">
        <v>45985</v>
      </c>
      <c r="C27" s="1" t="s">
        <v>28</v>
      </c>
      <c r="D27" s="1" t="s">
        <v>46</v>
      </c>
      <c r="E27" s="1" t="s">
        <v>223</v>
      </c>
      <c r="F27" s="1" t="s">
        <v>395</v>
      </c>
      <c r="G27" s="1" t="s">
        <v>1229</v>
      </c>
      <c r="H27" s="6">
        <v>1</v>
      </c>
      <c r="I27" s="7">
        <v>0</v>
      </c>
      <c r="J27" s="5">
        <v>45978</v>
      </c>
      <c r="K27" s="1" t="s">
        <v>957</v>
      </c>
      <c r="L27" s="1" t="s">
        <v>30</v>
      </c>
      <c r="M27" s="8">
        <v>0</v>
      </c>
      <c r="N27" s="6"/>
      <c r="O27" s="6"/>
      <c r="P27" s="9">
        <v>-46</v>
      </c>
    </row>
    <row r="28" spans="1:16" ht="19.5" customHeight="1">
      <c r="A28" s="1" t="s">
        <v>1346</v>
      </c>
      <c r="B28" s="5">
        <v>45985</v>
      </c>
      <c r="C28" s="1" t="s">
        <v>17</v>
      </c>
      <c r="D28" s="1" t="s">
        <v>47</v>
      </c>
      <c r="E28" s="1" t="s">
        <v>223</v>
      </c>
      <c r="F28" s="1" t="s">
        <v>395</v>
      </c>
      <c r="G28" s="1" t="s">
        <v>1229</v>
      </c>
      <c r="H28" s="6">
        <v>1</v>
      </c>
      <c r="I28" s="7">
        <v>0</v>
      </c>
      <c r="J28" s="5">
        <v>45978</v>
      </c>
      <c r="K28" s="1" t="s">
        <v>957</v>
      </c>
      <c r="L28" s="1" t="s">
        <v>30</v>
      </c>
      <c r="M28" s="8">
        <v>0</v>
      </c>
      <c r="N28" s="6"/>
      <c r="O28" s="6"/>
      <c r="P28" s="9">
        <v>-15</v>
      </c>
    </row>
    <row r="29" spans="1:16" ht="19.5" customHeight="1">
      <c r="A29" s="1" t="s">
        <v>1347</v>
      </c>
      <c r="B29" s="5">
        <v>45985</v>
      </c>
      <c r="C29" s="1" t="s">
        <v>17</v>
      </c>
      <c r="D29" s="1" t="s">
        <v>18</v>
      </c>
      <c r="E29" s="1" t="s">
        <v>223</v>
      </c>
      <c r="F29" s="1" t="s">
        <v>395</v>
      </c>
      <c r="G29" s="1" t="s">
        <v>1229</v>
      </c>
      <c r="H29" s="6">
        <v>1</v>
      </c>
      <c r="I29" s="7">
        <v>0</v>
      </c>
      <c r="J29" s="5">
        <v>45985</v>
      </c>
      <c r="K29" s="1" t="s">
        <v>22</v>
      </c>
      <c r="L29" s="1" t="s">
        <v>22</v>
      </c>
      <c r="M29" s="8">
        <v>0</v>
      </c>
      <c r="N29" s="6"/>
      <c r="O29" s="6"/>
      <c r="P29" s="9">
        <v>-3.38</v>
      </c>
    </row>
    <row r="30" spans="1:16" ht="19.5" customHeight="1">
      <c r="A30" s="1" t="s">
        <v>1348</v>
      </c>
      <c r="B30" s="5">
        <v>45985</v>
      </c>
      <c r="C30" s="1" t="s">
        <v>28</v>
      </c>
      <c r="D30" s="1" t="s">
        <v>29</v>
      </c>
      <c r="E30" s="1" t="s">
        <v>228</v>
      </c>
      <c r="F30" s="1" t="s">
        <v>393</v>
      </c>
      <c r="G30" s="1" t="s">
        <v>1229</v>
      </c>
      <c r="H30" s="6">
        <v>1</v>
      </c>
      <c r="I30" s="7">
        <v>1420</v>
      </c>
      <c r="J30" s="5">
        <v>45984</v>
      </c>
      <c r="K30" s="1" t="s">
        <v>957</v>
      </c>
      <c r="L30" s="1" t="s">
        <v>30</v>
      </c>
      <c r="M30" s="8">
        <v>0.43</v>
      </c>
      <c r="N30" s="6"/>
      <c r="O30" s="6">
        <v>42</v>
      </c>
      <c r="P30" s="9">
        <v>-112.69</v>
      </c>
    </row>
    <row r="31" spans="1:16" ht="19.5" customHeight="1">
      <c r="A31" s="1" t="s">
        <v>1348</v>
      </c>
      <c r="B31" s="5">
        <v>45985</v>
      </c>
      <c r="C31" s="1" t="s">
        <v>31</v>
      </c>
      <c r="D31" s="1" t="s">
        <v>32</v>
      </c>
      <c r="E31" s="1" t="s">
        <v>228</v>
      </c>
      <c r="F31" s="1" t="s">
        <v>393</v>
      </c>
      <c r="G31" s="1" t="s">
        <v>1229</v>
      </c>
      <c r="H31" s="6">
        <v>1</v>
      </c>
      <c r="I31" s="7">
        <v>1420</v>
      </c>
      <c r="J31" s="5">
        <v>45984</v>
      </c>
      <c r="K31" s="1" t="s">
        <v>957</v>
      </c>
      <c r="L31" s="1" t="s">
        <v>30</v>
      </c>
      <c r="M31" s="8">
        <v>0</v>
      </c>
      <c r="N31" s="6"/>
      <c r="O31" s="6"/>
      <c r="P31" s="9">
        <v>492.89</v>
      </c>
    </row>
    <row r="32" spans="1:16" ht="19.5" customHeight="1">
      <c r="A32" s="1" t="s">
        <v>1348</v>
      </c>
      <c r="B32" s="5">
        <v>45985</v>
      </c>
      <c r="C32" s="1" t="s">
        <v>31</v>
      </c>
      <c r="D32" s="1" t="s">
        <v>33</v>
      </c>
      <c r="E32" s="1" t="s">
        <v>228</v>
      </c>
      <c r="F32" s="1" t="s">
        <v>393</v>
      </c>
      <c r="G32" s="1" t="s">
        <v>1229</v>
      </c>
      <c r="H32" s="6">
        <v>1</v>
      </c>
      <c r="I32" s="7">
        <v>1420</v>
      </c>
      <c r="J32" s="5">
        <v>45984</v>
      </c>
      <c r="K32" s="1" t="s">
        <v>957</v>
      </c>
      <c r="L32" s="1" t="s">
        <v>30</v>
      </c>
      <c r="M32" s="8">
        <v>0</v>
      </c>
      <c r="N32" s="6"/>
      <c r="O32" s="6"/>
      <c r="P32" s="9">
        <v>4.93</v>
      </c>
    </row>
    <row r="33" spans="1:16" ht="19.5" customHeight="1">
      <c r="A33" s="1" t="s">
        <v>1348</v>
      </c>
      <c r="B33" s="5">
        <v>45985</v>
      </c>
      <c r="C33" s="1" t="s">
        <v>31</v>
      </c>
      <c r="D33" s="1" t="s">
        <v>34</v>
      </c>
      <c r="E33" s="1" t="s">
        <v>228</v>
      </c>
      <c r="F33" s="1" t="s">
        <v>393</v>
      </c>
      <c r="G33" s="1" t="s">
        <v>1229</v>
      </c>
      <c r="H33" s="6">
        <v>1</v>
      </c>
      <c r="I33" s="7">
        <v>1420</v>
      </c>
      <c r="J33" s="5">
        <v>45984</v>
      </c>
      <c r="K33" s="1" t="s">
        <v>957</v>
      </c>
      <c r="L33" s="1" t="s">
        <v>30</v>
      </c>
      <c r="M33" s="8">
        <v>0</v>
      </c>
      <c r="N33" s="6"/>
      <c r="O33" s="6"/>
      <c r="P33" s="9">
        <v>922.18</v>
      </c>
    </row>
    <row r="34" spans="1:16" ht="19.5" customHeight="1">
      <c r="A34" s="1" t="s">
        <v>1348</v>
      </c>
      <c r="B34" s="5">
        <v>45985</v>
      </c>
      <c r="C34" s="1" t="s">
        <v>35</v>
      </c>
      <c r="D34" s="1" t="s">
        <v>36</v>
      </c>
      <c r="E34" s="1" t="s">
        <v>228</v>
      </c>
      <c r="F34" s="1" t="s">
        <v>393</v>
      </c>
      <c r="G34" s="1" t="s">
        <v>1229</v>
      </c>
      <c r="H34" s="6">
        <v>1</v>
      </c>
      <c r="I34" s="7">
        <v>1420</v>
      </c>
      <c r="J34" s="5">
        <v>45984</v>
      </c>
      <c r="K34" s="1" t="s">
        <v>957</v>
      </c>
      <c r="L34" s="1" t="s">
        <v>30</v>
      </c>
      <c r="M34" s="8">
        <v>0.43</v>
      </c>
      <c r="N34" s="6"/>
      <c r="O34" s="6"/>
      <c r="P34" s="9">
        <v>-610.6</v>
      </c>
    </row>
    <row r="35" spans="1:16" ht="19.5" customHeight="1">
      <c r="A35" s="1" t="s">
        <v>1348</v>
      </c>
      <c r="B35" s="5">
        <v>45985</v>
      </c>
      <c r="C35" s="1" t="s">
        <v>17</v>
      </c>
      <c r="D35" s="1" t="s">
        <v>37</v>
      </c>
      <c r="E35" s="1" t="s">
        <v>228</v>
      </c>
      <c r="F35" s="1" t="s">
        <v>393</v>
      </c>
      <c r="G35" s="1" t="s">
        <v>1229</v>
      </c>
      <c r="H35" s="6">
        <v>1</v>
      </c>
      <c r="I35" s="7">
        <v>1420</v>
      </c>
      <c r="J35" s="5">
        <v>45984</v>
      </c>
      <c r="K35" s="1" t="s">
        <v>957</v>
      </c>
      <c r="L35" s="1" t="s">
        <v>30</v>
      </c>
      <c r="M35" s="8">
        <v>0.43</v>
      </c>
      <c r="N35" s="6"/>
      <c r="O35" s="6"/>
      <c r="P35" s="9">
        <v>-6.85</v>
      </c>
    </row>
    <row r="36" spans="1:16" ht="19.5" customHeight="1">
      <c r="A36" s="1" t="s">
        <v>1308</v>
      </c>
      <c r="B36" s="5">
        <v>45985</v>
      </c>
      <c r="C36" s="1" t="s">
        <v>126</v>
      </c>
      <c r="D36" s="1" t="s">
        <v>127</v>
      </c>
      <c r="E36" s="1" t="s">
        <v>1054</v>
      </c>
      <c r="F36" s="1" t="s">
        <v>1297</v>
      </c>
      <c r="G36" s="1" t="s">
        <v>1298</v>
      </c>
      <c r="H36" s="6">
        <v>1</v>
      </c>
      <c r="I36" s="7">
        <v>-1800</v>
      </c>
      <c r="J36" s="5">
        <v>45981</v>
      </c>
      <c r="K36" s="1" t="s">
        <v>957</v>
      </c>
      <c r="L36" s="1" t="s">
        <v>30</v>
      </c>
      <c r="M36" s="8">
        <v>0</v>
      </c>
      <c r="N36" s="6"/>
      <c r="O36" s="6"/>
      <c r="P36" s="9">
        <v>-1006.66</v>
      </c>
    </row>
    <row r="37" spans="1:16" ht="19.5" customHeight="1">
      <c r="A37" s="1" t="s">
        <v>1308</v>
      </c>
      <c r="B37" s="5">
        <v>45985</v>
      </c>
      <c r="C37" s="1" t="s">
        <v>126</v>
      </c>
      <c r="D37" s="1" t="s">
        <v>33</v>
      </c>
      <c r="E37" s="1" t="s">
        <v>1054</v>
      </c>
      <c r="F37" s="1" t="s">
        <v>1297</v>
      </c>
      <c r="G37" s="1" t="s">
        <v>1298</v>
      </c>
      <c r="H37" s="6">
        <v>1</v>
      </c>
      <c r="I37" s="7">
        <v>-1800</v>
      </c>
      <c r="J37" s="5">
        <v>45981</v>
      </c>
      <c r="K37" s="1" t="s">
        <v>957</v>
      </c>
      <c r="L37" s="1" t="s">
        <v>30</v>
      </c>
      <c r="M37" s="8">
        <v>0</v>
      </c>
      <c r="N37" s="6"/>
      <c r="O37" s="6"/>
      <c r="P37" s="9">
        <v>-10.07</v>
      </c>
    </row>
    <row r="38" spans="1:16" ht="19.5" customHeight="1">
      <c r="A38" s="1" t="s">
        <v>1308</v>
      </c>
      <c r="B38" s="5">
        <v>45985</v>
      </c>
      <c r="C38" s="1" t="s">
        <v>126</v>
      </c>
      <c r="D38" s="1" t="s">
        <v>34</v>
      </c>
      <c r="E38" s="1" t="s">
        <v>1054</v>
      </c>
      <c r="F38" s="1" t="s">
        <v>1297</v>
      </c>
      <c r="G38" s="1" t="s">
        <v>1298</v>
      </c>
      <c r="H38" s="6">
        <v>1</v>
      </c>
      <c r="I38" s="7">
        <v>-1800</v>
      </c>
      <c r="J38" s="5">
        <v>45981</v>
      </c>
      <c r="K38" s="1" t="s">
        <v>957</v>
      </c>
      <c r="L38" s="1" t="s">
        <v>30</v>
      </c>
      <c r="M38" s="8">
        <v>0</v>
      </c>
      <c r="N38" s="6"/>
      <c r="O38" s="6"/>
      <c r="P38" s="9">
        <v>-783.27</v>
      </c>
    </row>
    <row r="39" spans="1:16" ht="19.5" customHeight="1">
      <c r="A39" s="1" t="s">
        <v>1308</v>
      </c>
      <c r="B39" s="5">
        <v>45985</v>
      </c>
      <c r="C39" s="1" t="s">
        <v>35</v>
      </c>
      <c r="D39" s="1" t="s">
        <v>128</v>
      </c>
      <c r="E39" s="1" t="s">
        <v>1054</v>
      </c>
      <c r="F39" s="1" t="s">
        <v>1297</v>
      </c>
      <c r="G39" s="1" t="s">
        <v>1298</v>
      </c>
      <c r="H39" s="6">
        <v>1</v>
      </c>
      <c r="I39" s="7">
        <v>-1800</v>
      </c>
      <c r="J39" s="5">
        <v>45981</v>
      </c>
      <c r="K39" s="1" t="s">
        <v>957</v>
      </c>
      <c r="L39" s="1" t="s">
        <v>30</v>
      </c>
      <c r="M39" s="8">
        <v>0.43</v>
      </c>
      <c r="N39" s="6"/>
      <c r="O39" s="6"/>
      <c r="P39" s="9">
        <v>774</v>
      </c>
    </row>
    <row r="40" spans="1:16" ht="19.5" customHeight="1">
      <c r="A40" s="1" t="s">
        <v>1308</v>
      </c>
      <c r="B40" s="5">
        <v>45985</v>
      </c>
      <c r="C40" s="1" t="s">
        <v>17</v>
      </c>
      <c r="D40" s="1" t="s">
        <v>18</v>
      </c>
      <c r="E40" s="1" t="s">
        <v>1054</v>
      </c>
      <c r="F40" s="1" t="s">
        <v>1297</v>
      </c>
      <c r="G40" s="1" t="s">
        <v>1298</v>
      </c>
      <c r="H40" s="6">
        <v>1</v>
      </c>
      <c r="I40" s="7">
        <v>0</v>
      </c>
      <c r="J40" s="5">
        <v>45981</v>
      </c>
      <c r="K40" s="1" t="s">
        <v>22</v>
      </c>
      <c r="L40" s="1" t="s">
        <v>22</v>
      </c>
      <c r="M40" s="8">
        <v>0</v>
      </c>
      <c r="N40" s="6"/>
      <c r="O40" s="6"/>
      <c r="P40" s="9">
        <v>19.13</v>
      </c>
    </row>
    <row r="41" spans="1:16" ht="19.5" customHeight="1">
      <c r="A41" s="1" t="s">
        <v>1349</v>
      </c>
      <c r="B41" s="5">
        <v>45985</v>
      </c>
      <c r="C41" s="1" t="s">
        <v>28</v>
      </c>
      <c r="D41" s="1" t="s">
        <v>29</v>
      </c>
      <c r="E41" s="1" t="s">
        <v>223</v>
      </c>
      <c r="F41" s="1" t="s">
        <v>395</v>
      </c>
      <c r="G41" s="1" t="s">
        <v>1229</v>
      </c>
      <c r="H41" s="6">
        <v>1</v>
      </c>
      <c r="I41" s="7">
        <v>1687</v>
      </c>
      <c r="J41" s="5">
        <v>45981</v>
      </c>
      <c r="K41" s="1" t="s">
        <v>957</v>
      </c>
      <c r="L41" s="1" t="s">
        <v>30</v>
      </c>
      <c r="M41" s="8">
        <v>0.43</v>
      </c>
      <c r="N41" s="6"/>
      <c r="O41" s="6">
        <v>44</v>
      </c>
      <c r="P41" s="9">
        <v>-128.12</v>
      </c>
    </row>
    <row r="42" spans="1:16" ht="19.5" customHeight="1">
      <c r="A42" s="1" t="s">
        <v>1349</v>
      </c>
      <c r="B42" s="5">
        <v>45985</v>
      </c>
      <c r="C42" s="1" t="s">
        <v>31</v>
      </c>
      <c r="D42" s="1" t="s">
        <v>32</v>
      </c>
      <c r="E42" s="1" t="s">
        <v>223</v>
      </c>
      <c r="F42" s="1" t="s">
        <v>395</v>
      </c>
      <c r="G42" s="1" t="s">
        <v>1229</v>
      </c>
      <c r="H42" s="6">
        <v>1</v>
      </c>
      <c r="I42" s="7">
        <v>1687</v>
      </c>
      <c r="J42" s="5">
        <v>45981</v>
      </c>
      <c r="K42" s="1" t="s">
        <v>957</v>
      </c>
      <c r="L42" s="1" t="s">
        <v>30</v>
      </c>
      <c r="M42" s="8">
        <v>0</v>
      </c>
      <c r="N42" s="6"/>
      <c r="O42" s="6"/>
      <c r="P42" s="9">
        <v>536.70000000000005</v>
      </c>
    </row>
    <row r="43" spans="1:16" ht="19.5" customHeight="1">
      <c r="A43" s="1" t="s">
        <v>1349</v>
      </c>
      <c r="B43" s="5">
        <v>45985</v>
      </c>
      <c r="C43" s="1" t="s">
        <v>31</v>
      </c>
      <c r="D43" s="1" t="s">
        <v>33</v>
      </c>
      <c r="E43" s="1" t="s">
        <v>223</v>
      </c>
      <c r="F43" s="1" t="s">
        <v>395</v>
      </c>
      <c r="G43" s="1" t="s">
        <v>1229</v>
      </c>
      <c r="H43" s="6">
        <v>1</v>
      </c>
      <c r="I43" s="7">
        <v>1687</v>
      </c>
      <c r="J43" s="5">
        <v>45981</v>
      </c>
      <c r="K43" s="1" t="s">
        <v>957</v>
      </c>
      <c r="L43" s="1" t="s">
        <v>30</v>
      </c>
      <c r="M43" s="8">
        <v>0</v>
      </c>
      <c r="N43" s="6"/>
      <c r="O43" s="6"/>
      <c r="P43" s="9">
        <v>0</v>
      </c>
    </row>
    <row r="44" spans="1:16" ht="19.5" customHeight="1">
      <c r="A44" s="1" t="s">
        <v>1349</v>
      </c>
      <c r="B44" s="5">
        <v>45985</v>
      </c>
      <c r="C44" s="1" t="s">
        <v>31</v>
      </c>
      <c r="D44" s="1" t="s">
        <v>34</v>
      </c>
      <c r="E44" s="1" t="s">
        <v>223</v>
      </c>
      <c r="F44" s="1" t="s">
        <v>395</v>
      </c>
      <c r="G44" s="1" t="s">
        <v>1229</v>
      </c>
      <c r="H44" s="6">
        <v>1</v>
      </c>
      <c r="I44" s="7">
        <v>1687</v>
      </c>
      <c r="J44" s="5">
        <v>45981</v>
      </c>
      <c r="K44" s="1" t="s">
        <v>957</v>
      </c>
      <c r="L44" s="1" t="s">
        <v>30</v>
      </c>
      <c r="M44" s="8">
        <v>0</v>
      </c>
      <c r="N44" s="6"/>
      <c r="O44" s="6"/>
      <c r="P44" s="9">
        <v>1150.3</v>
      </c>
    </row>
    <row r="45" spans="1:16" ht="19.5" customHeight="1">
      <c r="A45" s="1" t="s">
        <v>1349</v>
      </c>
      <c r="B45" s="5">
        <v>45985</v>
      </c>
      <c r="C45" s="1" t="s">
        <v>35</v>
      </c>
      <c r="D45" s="1" t="s">
        <v>36</v>
      </c>
      <c r="E45" s="1" t="s">
        <v>223</v>
      </c>
      <c r="F45" s="1" t="s">
        <v>395</v>
      </c>
      <c r="G45" s="1" t="s">
        <v>1229</v>
      </c>
      <c r="H45" s="6">
        <v>1</v>
      </c>
      <c r="I45" s="7">
        <v>1687</v>
      </c>
      <c r="J45" s="5">
        <v>45981</v>
      </c>
      <c r="K45" s="1" t="s">
        <v>957</v>
      </c>
      <c r="L45" s="1" t="s">
        <v>30</v>
      </c>
      <c r="M45" s="8">
        <v>0.43</v>
      </c>
      <c r="N45" s="6"/>
      <c r="O45" s="6"/>
      <c r="P45" s="9">
        <v>-725.41</v>
      </c>
    </row>
    <row r="46" spans="1:16" ht="19.5" customHeight="1">
      <c r="A46" s="1" t="s">
        <v>1350</v>
      </c>
      <c r="B46" s="5">
        <v>45985</v>
      </c>
      <c r="C46" s="1" t="s">
        <v>17</v>
      </c>
      <c r="D46" s="1" t="s">
        <v>18</v>
      </c>
      <c r="E46" s="1" t="s">
        <v>223</v>
      </c>
      <c r="F46" s="1" t="s">
        <v>395</v>
      </c>
      <c r="G46" s="1" t="s">
        <v>1229</v>
      </c>
      <c r="H46" s="6">
        <v>1</v>
      </c>
      <c r="I46" s="7">
        <v>0</v>
      </c>
      <c r="J46" s="5">
        <v>45985</v>
      </c>
      <c r="K46" s="1" t="s">
        <v>22</v>
      </c>
      <c r="L46" s="1" t="s">
        <v>22</v>
      </c>
      <c r="M46" s="8">
        <v>0</v>
      </c>
      <c r="N46" s="6"/>
      <c r="O46" s="6"/>
      <c r="P46" s="9">
        <v>-10.68</v>
      </c>
    </row>
    <row r="47" spans="1:16" ht="19.5" customHeight="1">
      <c r="A47" s="1" t="s">
        <v>1351</v>
      </c>
      <c r="B47" s="5">
        <v>45985</v>
      </c>
      <c r="C47" s="1" t="s">
        <v>28</v>
      </c>
      <c r="D47" s="1" t="s">
        <v>29</v>
      </c>
      <c r="E47" s="1" t="s">
        <v>223</v>
      </c>
      <c r="F47" s="1" t="s">
        <v>395</v>
      </c>
      <c r="G47" s="1" t="s">
        <v>1229</v>
      </c>
      <c r="H47" s="6">
        <v>1</v>
      </c>
      <c r="I47" s="7">
        <v>1687</v>
      </c>
      <c r="J47" s="5">
        <v>45983</v>
      </c>
      <c r="K47" s="1" t="s">
        <v>957</v>
      </c>
      <c r="L47" s="1" t="s">
        <v>30</v>
      </c>
      <c r="M47" s="8">
        <v>0.43</v>
      </c>
      <c r="N47" s="6"/>
      <c r="O47" s="6">
        <v>42</v>
      </c>
      <c r="P47" s="9">
        <v>-120.3</v>
      </c>
    </row>
    <row r="48" spans="1:16" ht="19.5" customHeight="1">
      <c r="A48" s="1" t="s">
        <v>1351</v>
      </c>
      <c r="B48" s="5">
        <v>45985</v>
      </c>
      <c r="C48" s="1" t="s">
        <v>31</v>
      </c>
      <c r="D48" s="1" t="s">
        <v>32</v>
      </c>
      <c r="E48" s="1" t="s">
        <v>223</v>
      </c>
      <c r="F48" s="1" t="s">
        <v>395</v>
      </c>
      <c r="G48" s="1" t="s">
        <v>1229</v>
      </c>
      <c r="H48" s="6">
        <v>1</v>
      </c>
      <c r="I48" s="7">
        <v>1687</v>
      </c>
      <c r="J48" s="5">
        <v>45983</v>
      </c>
      <c r="K48" s="1" t="s">
        <v>957</v>
      </c>
      <c r="L48" s="1" t="s">
        <v>30</v>
      </c>
      <c r="M48" s="8">
        <v>0</v>
      </c>
      <c r="N48" s="6"/>
      <c r="O48" s="6"/>
      <c r="P48" s="9">
        <v>618.37</v>
      </c>
    </row>
    <row r="49" spans="1:16" ht="19.5" customHeight="1">
      <c r="A49" s="1" t="s">
        <v>1351</v>
      </c>
      <c r="B49" s="5">
        <v>45985</v>
      </c>
      <c r="C49" s="1" t="s">
        <v>31</v>
      </c>
      <c r="D49" s="1" t="s">
        <v>33</v>
      </c>
      <c r="E49" s="1" t="s">
        <v>223</v>
      </c>
      <c r="F49" s="1" t="s">
        <v>395</v>
      </c>
      <c r="G49" s="1" t="s">
        <v>1229</v>
      </c>
      <c r="H49" s="6">
        <v>1</v>
      </c>
      <c r="I49" s="7">
        <v>1687</v>
      </c>
      <c r="J49" s="5">
        <v>45983</v>
      </c>
      <c r="K49" s="1" t="s">
        <v>957</v>
      </c>
      <c r="L49" s="1" t="s">
        <v>30</v>
      </c>
      <c r="M49" s="8">
        <v>0</v>
      </c>
      <c r="N49" s="6"/>
      <c r="O49" s="6"/>
      <c r="P49" s="9">
        <v>6.18</v>
      </c>
    </row>
    <row r="50" spans="1:16" ht="19.5" customHeight="1">
      <c r="A50" s="1" t="s">
        <v>1351</v>
      </c>
      <c r="B50" s="5">
        <v>45985</v>
      </c>
      <c r="C50" s="1" t="s">
        <v>31</v>
      </c>
      <c r="D50" s="1" t="s">
        <v>34</v>
      </c>
      <c r="E50" s="1" t="s">
        <v>223</v>
      </c>
      <c r="F50" s="1" t="s">
        <v>395</v>
      </c>
      <c r="G50" s="1" t="s">
        <v>1229</v>
      </c>
      <c r="H50" s="6">
        <v>1</v>
      </c>
      <c r="I50" s="7">
        <v>1687</v>
      </c>
      <c r="J50" s="5">
        <v>45983</v>
      </c>
      <c r="K50" s="1" t="s">
        <v>957</v>
      </c>
      <c r="L50" s="1" t="s">
        <v>30</v>
      </c>
      <c r="M50" s="8">
        <v>0</v>
      </c>
      <c r="N50" s="6"/>
      <c r="O50" s="6"/>
      <c r="P50" s="9">
        <v>1062.45</v>
      </c>
    </row>
    <row r="51" spans="1:16" ht="19.5" customHeight="1">
      <c r="A51" s="1" t="s">
        <v>1351</v>
      </c>
      <c r="B51" s="5">
        <v>45985</v>
      </c>
      <c r="C51" s="1" t="s">
        <v>35</v>
      </c>
      <c r="D51" s="1" t="s">
        <v>36</v>
      </c>
      <c r="E51" s="1" t="s">
        <v>223</v>
      </c>
      <c r="F51" s="1" t="s">
        <v>395</v>
      </c>
      <c r="G51" s="1" t="s">
        <v>1229</v>
      </c>
      <c r="H51" s="6">
        <v>1</v>
      </c>
      <c r="I51" s="7">
        <v>1687</v>
      </c>
      <c r="J51" s="5">
        <v>45983</v>
      </c>
      <c r="K51" s="1" t="s">
        <v>957</v>
      </c>
      <c r="L51" s="1" t="s">
        <v>30</v>
      </c>
      <c r="M51" s="8">
        <v>0.43</v>
      </c>
      <c r="N51" s="6"/>
      <c r="O51" s="6"/>
      <c r="P51" s="9">
        <v>-725.41</v>
      </c>
    </row>
    <row r="52" spans="1:16" ht="19.5" customHeight="1">
      <c r="A52" s="1" t="s">
        <v>1351</v>
      </c>
      <c r="B52" s="5">
        <v>45985</v>
      </c>
      <c r="C52" s="1" t="s">
        <v>17</v>
      </c>
      <c r="D52" s="1" t="s">
        <v>37</v>
      </c>
      <c r="E52" s="1" t="s">
        <v>223</v>
      </c>
      <c r="F52" s="1" t="s">
        <v>395</v>
      </c>
      <c r="G52" s="1" t="s">
        <v>1229</v>
      </c>
      <c r="H52" s="6">
        <v>1</v>
      </c>
      <c r="I52" s="7">
        <v>1687</v>
      </c>
      <c r="J52" s="5">
        <v>45983</v>
      </c>
      <c r="K52" s="1" t="s">
        <v>957</v>
      </c>
      <c r="L52" s="1" t="s">
        <v>30</v>
      </c>
      <c r="M52" s="8">
        <v>0.43</v>
      </c>
      <c r="N52" s="6"/>
      <c r="O52" s="6"/>
      <c r="P52" s="9">
        <v>-8.2100000000000009</v>
      </c>
    </row>
    <row r="53" spans="1:16" ht="19.5" customHeight="1">
      <c r="A53" s="1" t="s">
        <v>1349</v>
      </c>
      <c r="B53" s="5">
        <v>45985</v>
      </c>
      <c r="C53" s="1" t="s">
        <v>17</v>
      </c>
      <c r="D53" s="1" t="s">
        <v>18</v>
      </c>
      <c r="E53" s="1" t="s">
        <v>223</v>
      </c>
      <c r="F53" s="1" t="s">
        <v>395</v>
      </c>
      <c r="G53" s="1" t="s">
        <v>1229</v>
      </c>
      <c r="H53" s="6">
        <v>1</v>
      </c>
      <c r="I53" s="7">
        <v>0</v>
      </c>
      <c r="J53" s="5">
        <v>45981</v>
      </c>
      <c r="K53" s="1" t="s">
        <v>22</v>
      </c>
      <c r="L53" s="1" t="s">
        <v>22</v>
      </c>
      <c r="M53" s="8">
        <v>0</v>
      </c>
      <c r="N53" s="6"/>
      <c r="O53" s="6"/>
      <c r="P53" s="9">
        <v>-2.25</v>
      </c>
    </row>
    <row r="54" spans="1:16" ht="19.5" customHeight="1">
      <c r="A54" s="1" t="s">
        <v>1351</v>
      </c>
      <c r="B54" s="5">
        <v>45985</v>
      </c>
      <c r="C54" s="1" t="s">
        <v>17</v>
      </c>
      <c r="D54" s="1" t="s">
        <v>18</v>
      </c>
      <c r="E54" s="1" t="s">
        <v>223</v>
      </c>
      <c r="F54" s="1" t="s">
        <v>395</v>
      </c>
      <c r="G54" s="1" t="s">
        <v>1229</v>
      </c>
      <c r="H54" s="6">
        <v>1</v>
      </c>
      <c r="I54" s="7">
        <v>0</v>
      </c>
      <c r="J54" s="5">
        <v>45983</v>
      </c>
      <c r="K54" s="1" t="s">
        <v>22</v>
      </c>
      <c r="L54" s="1" t="s">
        <v>22</v>
      </c>
      <c r="M54" s="8">
        <v>0</v>
      </c>
      <c r="N54" s="6"/>
      <c r="O54" s="6"/>
      <c r="P54" s="9">
        <v>-11.75</v>
      </c>
    </row>
    <row r="55" spans="1:16" ht="19.5" customHeight="1">
      <c r="A55" s="1" t="s">
        <v>1352</v>
      </c>
      <c r="B55" s="5">
        <v>45985</v>
      </c>
      <c r="C55" s="1" t="s">
        <v>17</v>
      </c>
      <c r="D55" s="1" t="s">
        <v>18</v>
      </c>
      <c r="E55" s="1" t="s">
        <v>223</v>
      </c>
      <c r="F55" s="1" t="s">
        <v>395</v>
      </c>
      <c r="G55" s="1" t="s">
        <v>1229</v>
      </c>
      <c r="H55" s="6">
        <v>1</v>
      </c>
      <c r="I55" s="7">
        <v>0</v>
      </c>
      <c r="J55" s="5">
        <v>45985</v>
      </c>
      <c r="K55" s="1" t="s">
        <v>22</v>
      </c>
      <c r="L55" s="1" t="s">
        <v>22</v>
      </c>
      <c r="M55" s="8">
        <v>0</v>
      </c>
      <c r="N55" s="6"/>
      <c r="O55" s="6"/>
      <c r="P55" s="9">
        <v>-10.69</v>
      </c>
    </row>
    <row r="56" spans="1:16" ht="19.5" customHeight="1">
      <c r="A56" s="1" t="s">
        <v>22</v>
      </c>
      <c r="B56" s="5">
        <v>45985</v>
      </c>
      <c r="C56" s="1" t="s">
        <v>77</v>
      </c>
      <c r="D56" s="1" t="s">
        <v>78</v>
      </c>
      <c r="E56" s="1" t="s">
        <v>22</v>
      </c>
      <c r="F56" s="1" t="s">
        <v>22</v>
      </c>
      <c r="G56" s="1" t="s">
        <v>1353</v>
      </c>
      <c r="H56" s="6">
        <v>0</v>
      </c>
      <c r="I56" s="7">
        <v>0</v>
      </c>
      <c r="J56" s="5">
        <v>45985</v>
      </c>
      <c r="K56" s="1" t="s">
        <v>22</v>
      </c>
      <c r="L56" s="1" t="s">
        <v>22</v>
      </c>
      <c r="M56" s="8">
        <v>0</v>
      </c>
      <c r="N56" s="6"/>
      <c r="O56" s="6"/>
      <c r="P56" s="9">
        <v>-450</v>
      </c>
    </row>
    <row r="57" spans="1:16" ht="19.5" customHeight="1">
      <c r="A57" s="1" t="s">
        <v>83</v>
      </c>
      <c r="B57" s="5">
        <v>45985</v>
      </c>
      <c r="C57" s="1" t="s">
        <v>77</v>
      </c>
      <c r="D57" s="1" t="s">
        <v>84</v>
      </c>
      <c r="E57" s="1" t="s">
        <v>22</v>
      </c>
      <c r="F57" s="1" t="s">
        <v>22</v>
      </c>
      <c r="G57" s="1" t="s">
        <v>22</v>
      </c>
      <c r="H57" s="6">
        <v>0</v>
      </c>
      <c r="I57" s="7">
        <v>0</v>
      </c>
      <c r="J57" s="5">
        <v>45985</v>
      </c>
      <c r="K57" s="1" t="s">
        <v>22</v>
      </c>
      <c r="L57" s="1" t="s">
        <v>22</v>
      </c>
      <c r="M57" s="8">
        <v>0</v>
      </c>
      <c r="N57" s="6"/>
      <c r="O57" s="6"/>
      <c r="P57" s="9">
        <v>-2417.6</v>
      </c>
    </row>
    <row r="58" spans="1:16" ht="19.5" customHeight="1">
      <c r="A58" s="1" t="s">
        <v>1270</v>
      </c>
      <c r="B58" s="5">
        <v>45985</v>
      </c>
      <c r="C58" s="1" t="s">
        <v>77</v>
      </c>
      <c r="D58" s="1" t="s">
        <v>82</v>
      </c>
      <c r="E58" s="1" t="s">
        <v>22</v>
      </c>
      <c r="F58" s="1" t="s">
        <v>22</v>
      </c>
      <c r="G58" s="1" t="s">
        <v>22</v>
      </c>
      <c r="H58" s="6">
        <v>0</v>
      </c>
      <c r="I58" s="7">
        <v>0</v>
      </c>
      <c r="J58" s="5">
        <v>45985</v>
      </c>
      <c r="K58" s="1" t="s">
        <v>22</v>
      </c>
      <c r="L58" s="1" t="s">
        <v>22</v>
      </c>
      <c r="M58" s="8">
        <v>0</v>
      </c>
      <c r="N58" s="6"/>
      <c r="O58" s="6"/>
      <c r="P58" s="9">
        <v>-312.3</v>
      </c>
    </row>
    <row r="59" spans="1:16" ht="19.5" customHeight="1">
      <c r="A59" s="1" t="s">
        <v>1075</v>
      </c>
      <c r="B59" s="5">
        <v>45985</v>
      </c>
      <c r="C59" s="1" t="s">
        <v>77</v>
      </c>
      <c r="D59" s="1" t="s">
        <v>82</v>
      </c>
      <c r="E59" s="1" t="s">
        <v>22</v>
      </c>
      <c r="F59" s="1" t="s">
        <v>22</v>
      </c>
      <c r="G59" s="1" t="s">
        <v>22</v>
      </c>
      <c r="H59" s="6">
        <v>0</v>
      </c>
      <c r="I59" s="7">
        <v>0</v>
      </c>
      <c r="J59" s="5">
        <v>45985</v>
      </c>
      <c r="K59" s="1" t="s">
        <v>22</v>
      </c>
      <c r="L59" s="1" t="s">
        <v>22</v>
      </c>
      <c r="M59" s="8">
        <v>0</v>
      </c>
      <c r="N59" s="6"/>
      <c r="O59" s="6"/>
      <c r="P59" s="9">
        <v>-632.15</v>
      </c>
    </row>
    <row r="60" spans="1:16" ht="19.5" customHeight="1">
      <c r="A60" s="1" t="s">
        <v>1282</v>
      </c>
      <c r="B60" s="5">
        <v>45985</v>
      </c>
      <c r="C60" s="1" t="s">
        <v>77</v>
      </c>
      <c r="D60" s="1" t="s">
        <v>82</v>
      </c>
      <c r="E60" s="1" t="s">
        <v>22</v>
      </c>
      <c r="F60" s="1" t="s">
        <v>22</v>
      </c>
      <c r="G60" s="1" t="s">
        <v>22</v>
      </c>
      <c r="H60" s="6">
        <v>0</v>
      </c>
      <c r="I60" s="7">
        <v>0</v>
      </c>
      <c r="J60" s="5">
        <v>45985</v>
      </c>
      <c r="K60" s="1" t="s">
        <v>22</v>
      </c>
      <c r="L60" s="1" t="s">
        <v>22</v>
      </c>
      <c r="M60" s="8">
        <v>0</v>
      </c>
      <c r="N60" s="6"/>
      <c r="O60" s="6"/>
      <c r="P60" s="9">
        <v>-298.45999999999998</v>
      </c>
    </row>
    <row r="61" spans="1:16" ht="19.5" customHeight="1">
      <c r="A61" s="1" t="s">
        <v>1354</v>
      </c>
      <c r="B61" s="5">
        <v>45986</v>
      </c>
      <c r="C61" s="1" t="s">
        <v>28</v>
      </c>
      <c r="D61" s="1" t="s">
        <v>29</v>
      </c>
      <c r="E61" s="1" t="s">
        <v>223</v>
      </c>
      <c r="F61" s="1" t="s">
        <v>395</v>
      </c>
      <c r="G61" s="1" t="s">
        <v>1229</v>
      </c>
      <c r="H61" s="6">
        <v>1</v>
      </c>
      <c r="I61" s="7">
        <v>0</v>
      </c>
      <c r="J61" s="5">
        <v>45977</v>
      </c>
      <c r="K61" s="1" t="s">
        <v>957</v>
      </c>
      <c r="L61" s="1" t="s">
        <v>30</v>
      </c>
      <c r="M61" s="8">
        <v>0</v>
      </c>
      <c r="N61" s="6"/>
      <c r="O61" s="6">
        <v>43</v>
      </c>
      <c r="P61" s="9">
        <v>-46</v>
      </c>
    </row>
    <row r="62" spans="1:16" ht="19.5" customHeight="1">
      <c r="A62" s="1" t="s">
        <v>1354</v>
      </c>
      <c r="B62" s="5">
        <v>45986</v>
      </c>
      <c r="C62" s="1" t="s">
        <v>17</v>
      </c>
      <c r="D62" s="1" t="s">
        <v>37</v>
      </c>
      <c r="E62" s="1" t="s">
        <v>223</v>
      </c>
      <c r="F62" s="1" t="s">
        <v>395</v>
      </c>
      <c r="G62" s="1" t="s">
        <v>1229</v>
      </c>
      <c r="H62" s="6">
        <v>1</v>
      </c>
      <c r="I62" s="7">
        <v>0</v>
      </c>
      <c r="J62" s="5">
        <v>45977</v>
      </c>
      <c r="K62" s="1" t="s">
        <v>957</v>
      </c>
      <c r="L62" s="1" t="s">
        <v>30</v>
      </c>
      <c r="M62" s="8">
        <v>0</v>
      </c>
      <c r="N62" s="6"/>
      <c r="O62" s="6"/>
      <c r="P62" s="9">
        <v>-11.91</v>
      </c>
    </row>
    <row r="63" spans="1:16" ht="19.5" customHeight="1">
      <c r="A63" s="1" t="s">
        <v>1354</v>
      </c>
      <c r="B63" s="5">
        <v>45986</v>
      </c>
      <c r="C63" s="1" t="s">
        <v>28</v>
      </c>
      <c r="D63" s="1" t="s">
        <v>45</v>
      </c>
      <c r="E63" s="1" t="s">
        <v>223</v>
      </c>
      <c r="F63" s="1" t="s">
        <v>395</v>
      </c>
      <c r="G63" s="1" t="s">
        <v>1229</v>
      </c>
      <c r="H63" s="6">
        <v>1</v>
      </c>
      <c r="I63" s="7">
        <v>0</v>
      </c>
      <c r="J63" s="5">
        <v>45977</v>
      </c>
      <c r="K63" s="1" t="s">
        <v>957</v>
      </c>
      <c r="L63" s="1" t="s">
        <v>30</v>
      </c>
      <c r="M63" s="8">
        <v>0</v>
      </c>
      <c r="N63" s="6"/>
      <c r="O63" s="6"/>
      <c r="P63" s="9">
        <v>0</v>
      </c>
    </row>
    <row r="64" spans="1:16" ht="19.5" customHeight="1">
      <c r="A64" s="1" t="s">
        <v>1354</v>
      </c>
      <c r="B64" s="5">
        <v>45986</v>
      </c>
      <c r="C64" s="1" t="s">
        <v>28</v>
      </c>
      <c r="D64" s="1" t="s">
        <v>46</v>
      </c>
      <c r="E64" s="1" t="s">
        <v>223</v>
      </c>
      <c r="F64" s="1" t="s">
        <v>395</v>
      </c>
      <c r="G64" s="1" t="s">
        <v>1229</v>
      </c>
      <c r="H64" s="6">
        <v>1</v>
      </c>
      <c r="I64" s="7">
        <v>0</v>
      </c>
      <c r="J64" s="5">
        <v>45977</v>
      </c>
      <c r="K64" s="1" t="s">
        <v>957</v>
      </c>
      <c r="L64" s="1" t="s">
        <v>30</v>
      </c>
      <c r="M64" s="8">
        <v>0</v>
      </c>
      <c r="N64" s="6"/>
      <c r="O64" s="6"/>
      <c r="P64" s="9">
        <v>-46</v>
      </c>
    </row>
    <row r="65" spans="1:16" ht="19.5" customHeight="1">
      <c r="A65" s="1" t="s">
        <v>1354</v>
      </c>
      <c r="B65" s="5">
        <v>45986</v>
      </c>
      <c r="C65" s="1" t="s">
        <v>17</v>
      </c>
      <c r="D65" s="1" t="s">
        <v>47</v>
      </c>
      <c r="E65" s="1" t="s">
        <v>223</v>
      </c>
      <c r="F65" s="1" t="s">
        <v>395</v>
      </c>
      <c r="G65" s="1" t="s">
        <v>1229</v>
      </c>
      <c r="H65" s="6">
        <v>1</v>
      </c>
      <c r="I65" s="7">
        <v>0</v>
      </c>
      <c r="J65" s="5">
        <v>45977</v>
      </c>
      <c r="K65" s="1" t="s">
        <v>957</v>
      </c>
      <c r="L65" s="1" t="s">
        <v>30</v>
      </c>
      <c r="M65" s="8">
        <v>0</v>
      </c>
      <c r="N65" s="6"/>
      <c r="O65" s="6"/>
      <c r="P65" s="9">
        <v>-15</v>
      </c>
    </row>
    <row r="66" spans="1:16" ht="19.5" customHeight="1">
      <c r="A66" s="1" t="s">
        <v>1355</v>
      </c>
      <c r="B66" s="5">
        <v>45986</v>
      </c>
      <c r="C66" s="1" t="s">
        <v>17</v>
      </c>
      <c r="D66" s="1" t="s">
        <v>18</v>
      </c>
      <c r="E66" s="1" t="s">
        <v>25</v>
      </c>
      <c r="F66" s="1" t="s">
        <v>26</v>
      </c>
      <c r="G66" s="1" t="s">
        <v>1229</v>
      </c>
      <c r="H66" s="6">
        <v>1</v>
      </c>
      <c r="I66" s="7">
        <v>0</v>
      </c>
      <c r="J66" s="5">
        <v>45986</v>
      </c>
      <c r="K66" s="1" t="s">
        <v>22</v>
      </c>
      <c r="L66" s="1" t="s">
        <v>22</v>
      </c>
      <c r="M66" s="8">
        <v>0</v>
      </c>
      <c r="N66" s="6"/>
      <c r="O66" s="6"/>
      <c r="P66" s="9">
        <v>-15.36</v>
      </c>
    </row>
    <row r="67" spans="1:16" ht="19.5" customHeight="1">
      <c r="A67" s="1" t="s">
        <v>1356</v>
      </c>
      <c r="B67" s="5">
        <v>45986</v>
      </c>
      <c r="C67" s="1" t="s">
        <v>28</v>
      </c>
      <c r="D67" s="1" t="s">
        <v>29</v>
      </c>
      <c r="E67" s="1" t="s">
        <v>70</v>
      </c>
      <c r="F67" s="1" t="s">
        <v>71</v>
      </c>
      <c r="G67" s="1" t="s">
        <v>1133</v>
      </c>
      <c r="H67" s="6">
        <v>1</v>
      </c>
      <c r="I67" s="7">
        <v>0</v>
      </c>
      <c r="J67" s="5">
        <v>45979</v>
      </c>
      <c r="K67" s="1" t="s">
        <v>957</v>
      </c>
      <c r="L67" s="1" t="s">
        <v>30</v>
      </c>
      <c r="M67" s="8">
        <v>0</v>
      </c>
      <c r="N67" s="6"/>
      <c r="O67" s="6">
        <v>46</v>
      </c>
      <c r="P67" s="9">
        <v>-56</v>
      </c>
    </row>
    <row r="68" spans="1:16" ht="19.5" customHeight="1">
      <c r="A68" s="1" t="s">
        <v>1356</v>
      </c>
      <c r="B68" s="5">
        <v>45986</v>
      </c>
      <c r="C68" s="1" t="s">
        <v>17</v>
      </c>
      <c r="D68" s="1" t="s">
        <v>37</v>
      </c>
      <c r="E68" s="1" t="s">
        <v>70</v>
      </c>
      <c r="F68" s="1" t="s">
        <v>71</v>
      </c>
      <c r="G68" s="1" t="s">
        <v>1133</v>
      </c>
      <c r="H68" s="6">
        <v>1</v>
      </c>
      <c r="I68" s="7">
        <v>0</v>
      </c>
      <c r="J68" s="5">
        <v>45979</v>
      </c>
      <c r="K68" s="1" t="s">
        <v>957</v>
      </c>
      <c r="L68" s="1" t="s">
        <v>30</v>
      </c>
      <c r="M68" s="8">
        <v>0</v>
      </c>
      <c r="N68" s="6"/>
      <c r="O68" s="6"/>
      <c r="P68" s="9">
        <v>-18.940000000000001</v>
      </c>
    </row>
    <row r="69" spans="1:16" ht="19.5" customHeight="1">
      <c r="A69" s="1" t="s">
        <v>1356</v>
      </c>
      <c r="B69" s="5">
        <v>45986</v>
      </c>
      <c r="C69" s="1" t="s">
        <v>28</v>
      </c>
      <c r="D69" s="1" t="s">
        <v>45</v>
      </c>
      <c r="E69" s="1" t="s">
        <v>70</v>
      </c>
      <c r="F69" s="1" t="s">
        <v>71</v>
      </c>
      <c r="G69" s="1" t="s">
        <v>1133</v>
      </c>
      <c r="H69" s="6">
        <v>1</v>
      </c>
      <c r="I69" s="7">
        <v>0</v>
      </c>
      <c r="J69" s="5">
        <v>45979</v>
      </c>
      <c r="K69" s="1" t="s">
        <v>957</v>
      </c>
      <c r="L69" s="1" t="s">
        <v>30</v>
      </c>
      <c r="M69" s="8">
        <v>0</v>
      </c>
      <c r="N69" s="6"/>
      <c r="O69" s="6"/>
      <c r="P69" s="9">
        <v>0</v>
      </c>
    </row>
    <row r="70" spans="1:16" ht="19.5" customHeight="1">
      <c r="A70" s="1" t="s">
        <v>1356</v>
      </c>
      <c r="B70" s="5">
        <v>45986</v>
      </c>
      <c r="C70" s="1" t="s">
        <v>28</v>
      </c>
      <c r="D70" s="1" t="s">
        <v>46</v>
      </c>
      <c r="E70" s="1" t="s">
        <v>70</v>
      </c>
      <c r="F70" s="1" t="s">
        <v>71</v>
      </c>
      <c r="G70" s="1" t="s">
        <v>1133</v>
      </c>
      <c r="H70" s="6">
        <v>1</v>
      </c>
      <c r="I70" s="7">
        <v>0</v>
      </c>
      <c r="J70" s="5">
        <v>45979</v>
      </c>
      <c r="K70" s="1" t="s">
        <v>957</v>
      </c>
      <c r="L70" s="1" t="s">
        <v>30</v>
      </c>
      <c r="M70" s="8">
        <v>0</v>
      </c>
      <c r="N70" s="6"/>
      <c r="O70" s="6"/>
      <c r="P70" s="9">
        <v>-56</v>
      </c>
    </row>
    <row r="71" spans="1:16" ht="19.5" customHeight="1">
      <c r="A71" s="1" t="s">
        <v>1356</v>
      </c>
      <c r="B71" s="5">
        <v>45986</v>
      </c>
      <c r="C71" s="1" t="s">
        <v>17</v>
      </c>
      <c r="D71" s="1" t="s">
        <v>47</v>
      </c>
      <c r="E71" s="1" t="s">
        <v>70</v>
      </c>
      <c r="F71" s="1" t="s">
        <v>71</v>
      </c>
      <c r="G71" s="1" t="s">
        <v>1133</v>
      </c>
      <c r="H71" s="6">
        <v>1</v>
      </c>
      <c r="I71" s="7">
        <v>0</v>
      </c>
      <c r="J71" s="5">
        <v>45979</v>
      </c>
      <c r="K71" s="1" t="s">
        <v>957</v>
      </c>
      <c r="L71" s="1" t="s">
        <v>30</v>
      </c>
      <c r="M71" s="8">
        <v>0</v>
      </c>
      <c r="N71" s="6"/>
      <c r="O71" s="6"/>
      <c r="P71" s="9">
        <v>-15</v>
      </c>
    </row>
    <row r="72" spans="1:16" ht="19.5" customHeight="1">
      <c r="A72" s="1" t="s">
        <v>1357</v>
      </c>
      <c r="B72" s="5">
        <v>45986</v>
      </c>
      <c r="C72" s="1" t="s">
        <v>28</v>
      </c>
      <c r="D72" s="1" t="s">
        <v>29</v>
      </c>
      <c r="E72" s="1" t="s">
        <v>223</v>
      </c>
      <c r="F72" s="1" t="s">
        <v>395</v>
      </c>
      <c r="G72" s="1" t="s">
        <v>1229</v>
      </c>
      <c r="H72" s="6">
        <v>1</v>
      </c>
      <c r="I72" s="7">
        <v>1687</v>
      </c>
      <c r="J72" s="5">
        <v>45979</v>
      </c>
      <c r="K72" s="1" t="s">
        <v>957</v>
      </c>
      <c r="L72" s="1" t="s">
        <v>30</v>
      </c>
      <c r="M72" s="8">
        <v>0.43</v>
      </c>
      <c r="N72" s="6"/>
      <c r="O72" s="6">
        <v>46</v>
      </c>
      <c r="P72" s="9">
        <v>-135.94</v>
      </c>
    </row>
    <row r="73" spans="1:16" ht="19.5" customHeight="1">
      <c r="A73" s="1" t="s">
        <v>1357</v>
      </c>
      <c r="B73" s="5">
        <v>45986</v>
      </c>
      <c r="C73" s="1" t="s">
        <v>31</v>
      </c>
      <c r="D73" s="1" t="s">
        <v>32</v>
      </c>
      <c r="E73" s="1" t="s">
        <v>223</v>
      </c>
      <c r="F73" s="1" t="s">
        <v>395</v>
      </c>
      <c r="G73" s="1" t="s">
        <v>1229</v>
      </c>
      <c r="H73" s="6">
        <v>1</v>
      </c>
      <c r="I73" s="7">
        <v>1687</v>
      </c>
      <c r="J73" s="5">
        <v>45979</v>
      </c>
      <c r="K73" s="1" t="s">
        <v>957</v>
      </c>
      <c r="L73" s="1" t="s">
        <v>30</v>
      </c>
      <c r="M73" s="8">
        <v>0</v>
      </c>
      <c r="N73" s="6"/>
      <c r="O73" s="6"/>
      <c r="P73" s="9">
        <v>718.36</v>
      </c>
    </row>
    <row r="74" spans="1:16" ht="19.5" customHeight="1">
      <c r="A74" s="1" t="s">
        <v>1357</v>
      </c>
      <c r="B74" s="5">
        <v>45986</v>
      </c>
      <c r="C74" s="1" t="s">
        <v>31</v>
      </c>
      <c r="D74" s="1" t="s">
        <v>33</v>
      </c>
      <c r="E74" s="1" t="s">
        <v>223</v>
      </c>
      <c r="F74" s="1" t="s">
        <v>395</v>
      </c>
      <c r="G74" s="1" t="s">
        <v>1229</v>
      </c>
      <c r="H74" s="6">
        <v>1</v>
      </c>
      <c r="I74" s="7">
        <v>1687</v>
      </c>
      <c r="J74" s="5">
        <v>45979</v>
      </c>
      <c r="K74" s="1" t="s">
        <v>957</v>
      </c>
      <c r="L74" s="1" t="s">
        <v>30</v>
      </c>
      <c r="M74" s="8">
        <v>0</v>
      </c>
      <c r="N74" s="6"/>
      <c r="O74" s="6"/>
      <c r="P74" s="9">
        <v>0</v>
      </c>
    </row>
    <row r="75" spans="1:16" ht="19.5" customHeight="1">
      <c r="A75" s="1" t="s">
        <v>1357</v>
      </c>
      <c r="B75" s="5">
        <v>45986</v>
      </c>
      <c r="C75" s="1" t="s">
        <v>31</v>
      </c>
      <c r="D75" s="1" t="s">
        <v>34</v>
      </c>
      <c r="E75" s="1" t="s">
        <v>223</v>
      </c>
      <c r="F75" s="1" t="s">
        <v>395</v>
      </c>
      <c r="G75" s="1" t="s">
        <v>1229</v>
      </c>
      <c r="H75" s="6">
        <v>1</v>
      </c>
      <c r="I75" s="7">
        <v>1687</v>
      </c>
      <c r="J75" s="5">
        <v>45979</v>
      </c>
      <c r="K75" s="1" t="s">
        <v>957</v>
      </c>
      <c r="L75" s="1" t="s">
        <v>30</v>
      </c>
      <c r="M75" s="8">
        <v>0</v>
      </c>
      <c r="N75" s="6"/>
      <c r="O75" s="6"/>
      <c r="P75" s="9">
        <v>968.64</v>
      </c>
    </row>
    <row r="76" spans="1:16" ht="19.5" customHeight="1">
      <c r="A76" s="1" t="s">
        <v>1357</v>
      </c>
      <c r="B76" s="5">
        <v>45986</v>
      </c>
      <c r="C76" s="1" t="s">
        <v>35</v>
      </c>
      <c r="D76" s="1" t="s">
        <v>36</v>
      </c>
      <c r="E76" s="1" t="s">
        <v>223</v>
      </c>
      <c r="F76" s="1" t="s">
        <v>395</v>
      </c>
      <c r="G76" s="1" t="s">
        <v>1229</v>
      </c>
      <c r="H76" s="6">
        <v>1</v>
      </c>
      <c r="I76" s="7">
        <v>1687</v>
      </c>
      <c r="J76" s="5">
        <v>45979</v>
      </c>
      <c r="K76" s="1" t="s">
        <v>957</v>
      </c>
      <c r="L76" s="1" t="s">
        <v>30</v>
      </c>
      <c r="M76" s="8">
        <v>0.43</v>
      </c>
      <c r="N76" s="6"/>
      <c r="O76" s="6"/>
      <c r="P76" s="9">
        <v>-725.41</v>
      </c>
    </row>
    <row r="77" spans="1:16" ht="19.5" customHeight="1">
      <c r="A77" s="1" t="s">
        <v>1357</v>
      </c>
      <c r="B77" s="5">
        <v>45986</v>
      </c>
      <c r="C77" s="1" t="s">
        <v>17</v>
      </c>
      <c r="D77" s="1" t="s">
        <v>37</v>
      </c>
      <c r="E77" s="1" t="s">
        <v>223</v>
      </c>
      <c r="F77" s="1" t="s">
        <v>395</v>
      </c>
      <c r="G77" s="1" t="s">
        <v>1229</v>
      </c>
      <c r="H77" s="6">
        <v>1</v>
      </c>
      <c r="I77" s="7">
        <v>1687</v>
      </c>
      <c r="J77" s="5">
        <v>45979</v>
      </c>
      <c r="K77" s="1" t="s">
        <v>957</v>
      </c>
      <c r="L77" s="1" t="s">
        <v>30</v>
      </c>
      <c r="M77" s="8">
        <v>0.43</v>
      </c>
      <c r="N77" s="6"/>
      <c r="O77" s="6"/>
      <c r="P77" s="9">
        <v>-8.76</v>
      </c>
    </row>
    <row r="78" spans="1:16" ht="19.5" customHeight="1">
      <c r="A78" s="1" t="s">
        <v>1357</v>
      </c>
      <c r="B78" s="5">
        <v>45986</v>
      </c>
      <c r="C78" s="1" t="s">
        <v>17</v>
      </c>
      <c r="D78" s="1" t="s">
        <v>18</v>
      </c>
      <c r="E78" s="1" t="s">
        <v>223</v>
      </c>
      <c r="F78" s="1" t="s">
        <v>395</v>
      </c>
      <c r="G78" s="1" t="s">
        <v>1229</v>
      </c>
      <c r="H78" s="6">
        <v>1</v>
      </c>
      <c r="I78" s="7">
        <v>0</v>
      </c>
      <c r="J78" s="5">
        <v>45979</v>
      </c>
      <c r="K78" s="1" t="s">
        <v>22</v>
      </c>
      <c r="L78" s="1" t="s">
        <v>22</v>
      </c>
      <c r="M78" s="8">
        <v>0</v>
      </c>
      <c r="N78" s="6"/>
      <c r="O78" s="6"/>
      <c r="P78" s="9">
        <v>-4.88</v>
      </c>
    </row>
    <row r="79" spans="1:16" ht="19.5" customHeight="1">
      <c r="A79" s="1" t="s">
        <v>1358</v>
      </c>
      <c r="B79" s="5">
        <v>45986</v>
      </c>
      <c r="C79" s="1" t="s">
        <v>28</v>
      </c>
      <c r="D79" s="1" t="s">
        <v>29</v>
      </c>
      <c r="E79" s="1" t="s">
        <v>25</v>
      </c>
      <c r="F79" s="1" t="s">
        <v>26</v>
      </c>
      <c r="G79" s="1" t="s">
        <v>1229</v>
      </c>
      <c r="H79" s="6">
        <v>1</v>
      </c>
      <c r="I79" s="7">
        <v>1738</v>
      </c>
      <c r="J79" s="5">
        <v>45973</v>
      </c>
      <c r="K79" s="1" t="s">
        <v>957</v>
      </c>
      <c r="L79" s="1" t="s">
        <v>30</v>
      </c>
      <c r="M79" s="8">
        <v>0.43</v>
      </c>
      <c r="N79" s="6"/>
      <c r="O79" s="6"/>
      <c r="P79" s="9">
        <v>-46</v>
      </c>
    </row>
    <row r="80" spans="1:16" ht="19.5" customHeight="1">
      <c r="A80" s="1" t="s">
        <v>1358</v>
      </c>
      <c r="B80" s="5">
        <v>45986</v>
      </c>
      <c r="C80" s="1" t="s">
        <v>31</v>
      </c>
      <c r="D80" s="1" t="s">
        <v>32</v>
      </c>
      <c r="E80" s="1" t="s">
        <v>25</v>
      </c>
      <c r="F80" s="1" t="s">
        <v>26</v>
      </c>
      <c r="G80" s="1" t="s">
        <v>1229</v>
      </c>
      <c r="H80" s="6">
        <v>1</v>
      </c>
      <c r="I80" s="7">
        <v>1738</v>
      </c>
      <c r="J80" s="5">
        <v>45973</v>
      </c>
      <c r="K80" s="1" t="s">
        <v>957</v>
      </c>
      <c r="L80" s="1" t="s">
        <v>30</v>
      </c>
      <c r="M80" s="8">
        <v>0</v>
      </c>
      <c r="N80" s="6"/>
      <c r="O80" s="6"/>
      <c r="P80" s="9">
        <v>810.48</v>
      </c>
    </row>
    <row r="81" spans="1:16" ht="19.5" customHeight="1">
      <c r="A81" s="1" t="s">
        <v>1358</v>
      </c>
      <c r="B81" s="5">
        <v>45986</v>
      </c>
      <c r="C81" s="1" t="s">
        <v>31</v>
      </c>
      <c r="D81" s="1" t="s">
        <v>33</v>
      </c>
      <c r="E81" s="1" t="s">
        <v>25</v>
      </c>
      <c r="F81" s="1" t="s">
        <v>26</v>
      </c>
      <c r="G81" s="1" t="s">
        <v>1229</v>
      </c>
      <c r="H81" s="6">
        <v>1</v>
      </c>
      <c r="I81" s="7">
        <v>1738</v>
      </c>
      <c r="J81" s="5">
        <v>45973</v>
      </c>
      <c r="K81" s="1" t="s">
        <v>957</v>
      </c>
      <c r="L81" s="1" t="s">
        <v>30</v>
      </c>
      <c r="M81" s="8">
        <v>0</v>
      </c>
      <c r="N81" s="6"/>
      <c r="O81" s="6"/>
      <c r="P81" s="9">
        <v>8.1</v>
      </c>
    </row>
    <row r="82" spans="1:16" ht="19.5" customHeight="1">
      <c r="A82" s="1" t="s">
        <v>1358</v>
      </c>
      <c r="B82" s="5">
        <v>45986</v>
      </c>
      <c r="C82" s="1" t="s">
        <v>31</v>
      </c>
      <c r="D82" s="1" t="s">
        <v>34</v>
      </c>
      <c r="E82" s="1" t="s">
        <v>25</v>
      </c>
      <c r="F82" s="1" t="s">
        <v>26</v>
      </c>
      <c r="G82" s="1" t="s">
        <v>1229</v>
      </c>
      <c r="H82" s="6">
        <v>1</v>
      </c>
      <c r="I82" s="7">
        <v>1738</v>
      </c>
      <c r="J82" s="5">
        <v>45973</v>
      </c>
      <c r="K82" s="1" t="s">
        <v>957</v>
      </c>
      <c r="L82" s="1" t="s">
        <v>30</v>
      </c>
      <c r="M82" s="8">
        <v>0</v>
      </c>
      <c r="N82" s="6"/>
      <c r="O82" s="6"/>
      <c r="P82" s="9">
        <v>919.42</v>
      </c>
    </row>
    <row r="83" spans="1:16" ht="19.5" customHeight="1">
      <c r="A83" s="1" t="s">
        <v>1358</v>
      </c>
      <c r="B83" s="5">
        <v>45986</v>
      </c>
      <c r="C83" s="1" t="s">
        <v>35</v>
      </c>
      <c r="D83" s="1" t="s">
        <v>36</v>
      </c>
      <c r="E83" s="1" t="s">
        <v>25</v>
      </c>
      <c r="F83" s="1" t="s">
        <v>26</v>
      </c>
      <c r="G83" s="1" t="s">
        <v>1229</v>
      </c>
      <c r="H83" s="6">
        <v>1</v>
      </c>
      <c r="I83" s="7">
        <v>1738</v>
      </c>
      <c r="J83" s="5">
        <v>45973</v>
      </c>
      <c r="K83" s="1" t="s">
        <v>957</v>
      </c>
      <c r="L83" s="1" t="s">
        <v>30</v>
      </c>
      <c r="M83" s="8">
        <v>0.43</v>
      </c>
      <c r="N83" s="6"/>
      <c r="O83" s="6"/>
      <c r="P83" s="9">
        <v>-747.34</v>
      </c>
    </row>
    <row r="84" spans="1:16" ht="19.5" customHeight="1">
      <c r="A84" s="1" t="s">
        <v>1358</v>
      </c>
      <c r="B84" s="5">
        <v>45986</v>
      </c>
      <c r="C84" s="1" t="s">
        <v>17</v>
      </c>
      <c r="D84" s="1" t="s">
        <v>37</v>
      </c>
      <c r="E84" s="1" t="s">
        <v>25</v>
      </c>
      <c r="F84" s="1" t="s">
        <v>26</v>
      </c>
      <c r="G84" s="1" t="s">
        <v>1229</v>
      </c>
      <c r="H84" s="6">
        <v>1</v>
      </c>
      <c r="I84" s="7">
        <v>1738</v>
      </c>
      <c r="J84" s="5">
        <v>45973</v>
      </c>
      <c r="K84" s="1" t="s">
        <v>957</v>
      </c>
      <c r="L84" s="1" t="s">
        <v>30</v>
      </c>
      <c r="M84" s="8">
        <v>0.43</v>
      </c>
      <c r="N84" s="6"/>
      <c r="O84" s="6"/>
      <c r="P84" s="9">
        <v>-25</v>
      </c>
    </row>
    <row r="85" spans="1:16" ht="19.5" customHeight="1">
      <c r="A85" s="1" t="s">
        <v>1358</v>
      </c>
      <c r="B85" s="5">
        <v>45986</v>
      </c>
      <c r="C85" s="1" t="s">
        <v>17</v>
      </c>
      <c r="D85" s="1" t="s">
        <v>18</v>
      </c>
      <c r="E85" s="1" t="s">
        <v>25</v>
      </c>
      <c r="F85" s="1" t="s">
        <v>26</v>
      </c>
      <c r="G85" s="1" t="s">
        <v>1229</v>
      </c>
      <c r="H85" s="6">
        <v>1</v>
      </c>
      <c r="I85" s="7">
        <v>0</v>
      </c>
      <c r="J85" s="5">
        <v>45973</v>
      </c>
      <c r="K85" s="1" t="s">
        <v>22</v>
      </c>
      <c r="L85" s="1" t="s">
        <v>22</v>
      </c>
      <c r="M85" s="8">
        <v>0</v>
      </c>
      <c r="N85" s="6"/>
      <c r="O85" s="6"/>
      <c r="P85" s="9">
        <v>-15.4</v>
      </c>
    </row>
    <row r="86" spans="1:16" ht="19.5" customHeight="1">
      <c r="A86" s="1" t="s">
        <v>1359</v>
      </c>
      <c r="B86" s="5">
        <v>45986</v>
      </c>
      <c r="C86" s="1" t="s">
        <v>28</v>
      </c>
      <c r="D86" s="1" t="s">
        <v>29</v>
      </c>
      <c r="E86" s="1" t="s">
        <v>223</v>
      </c>
      <c r="F86" s="1" t="s">
        <v>395</v>
      </c>
      <c r="G86" s="1" t="s">
        <v>1229</v>
      </c>
      <c r="H86" s="6">
        <v>1</v>
      </c>
      <c r="I86" s="7">
        <v>0</v>
      </c>
      <c r="J86" s="5">
        <v>45981</v>
      </c>
      <c r="K86" s="1" t="s">
        <v>957</v>
      </c>
      <c r="L86" s="1" t="s">
        <v>30</v>
      </c>
      <c r="M86" s="8">
        <v>0</v>
      </c>
      <c r="N86" s="6"/>
      <c r="O86" s="6">
        <v>44</v>
      </c>
      <c r="P86" s="9">
        <v>-46</v>
      </c>
    </row>
    <row r="87" spans="1:16" ht="19.5" customHeight="1">
      <c r="A87" s="1" t="s">
        <v>1359</v>
      </c>
      <c r="B87" s="5">
        <v>45986</v>
      </c>
      <c r="C87" s="1" t="s">
        <v>17</v>
      </c>
      <c r="D87" s="1" t="s">
        <v>37</v>
      </c>
      <c r="E87" s="1" t="s">
        <v>223</v>
      </c>
      <c r="F87" s="1" t="s">
        <v>395</v>
      </c>
      <c r="G87" s="1" t="s">
        <v>1229</v>
      </c>
      <c r="H87" s="6">
        <v>1</v>
      </c>
      <c r="I87" s="7">
        <v>0</v>
      </c>
      <c r="J87" s="5">
        <v>45981</v>
      </c>
      <c r="K87" s="1" t="s">
        <v>957</v>
      </c>
      <c r="L87" s="1" t="s">
        <v>30</v>
      </c>
      <c r="M87" s="8">
        <v>0</v>
      </c>
      <c r="N87" s="6"/>
      <c r="O87" s="6"/>
      <c r="P87" s="9">
        <v>-9.27</v>
      </c>
    </row>
    <row r="88" spans="1:16" ht="19.5" customHeight="1">
      <c r="A88" s="1" t="s">
        <v>1359</v>
      </c>
      <c r="B88" s="5">
        <v>45986</v>
      </c>
      <c r="C88" s="1" t="s">
        <v>28</v>
      </c>
      <c r="D88" s="1" t="s">
        <v>45</v>
      </c>
      <c r="E88" s="1" t="s">
        <v>223</v>
      </c>
      <c r="F88" s="1" t="s">
        <v>395</v>
      </c>
      <c r="G88" s="1" t="s">
        <v>1229</v>
      </c>
      <c r="H88" s="6">
        <v>1</v>
      </c>
      <c r="I88" s="7">
        <v>0</v>
      </c>
      <c r="J88" s="5">
        <v>45981</v>
      </c>
      <c r="K88" s="1" t="s">
        <v>957</v>
      </c>
      <c r="L88" s="1" t="s">
        <v>30</v>
      </c>
      <c r="M88" s="8">
        <v>0</v>
      </c>
      <c r="N88" s="6"/>
      <c r="O88" s="6"/>
      <c r="P88" s="9">
        <v>0</v>
      </c>
    </row>
    <row r="89" spans="1:16" ht="19.5" customHeight="1">
      <c r="A89" s="1" t="s">
        <v>1359</v>
      </c>
      <c r="B89" s="5">
        <v>45986</v>
      </c>
      <c r="C89" s="1" t="s">
        <v>28</v>
      </c>
      <c r="D89" s="1" t="s">
        <v>46</v>
      </c>
      <c r="E89" s="1" t="s">
        <v>223</v>
      </c>
      <c r="F89" s="1" t="s">
        <v>395</v>
      </c>
      <c r="G89" s="1" t="s">
        <v>1229</v>
      </c>
      <c r="H89" s="6">
        <v>1</v>
      </c>
      <c r="I89" s="7">
        <v>0</v>
      </c>
      <c r="J89" s="5">
        <v>45981</v>
      </c>
      <c r="K89" s="1" t="s">
        <v>957</v>
      </c>
      <c r="L89" s="1" t="s">
        <v>30</v>
      </c>
      <c r="M89" s="8">
        <v>0</v>
      </c>
      <c r="N89" s="6"/>
      <c r="O89" s="6"/>
      <c r="P89" s="9">
        <v>-46</v>
      </c>
    </row>
    <row r="90" spans="1:16" ht="19.5" customHeight="1">
      <c r="A90" s="1" t="s">
        <v>1359</v>
      </c>
      <c r="B90" s="5">
        <v>45986</v>
      </c>
      <c r="C90" s="1" t="s">
        <v>17</v>
      </c>
      <c r="D90" s="1" t="s">
        <v>47</v>
      </c>
      <c r="E90" s="1" t="s">
        <v>223</v>
      </c>
      <c r="F90" s="1" t="s">
        <v>395</v>
      </c>
      <c r="G90" s="1" t="s">
        <v>1229</v>
      </c>
      <c r="H90" s="6">
        <v>1</v>
      </c>
      <c r="I90" s="7">
        <v>0</v>
      </c>
      <c r="J90" s="5">
        <v>45981</v>
      </c>
      <c r="K90" s="1" t="s">
        <v>957</v>
      </c>
      <c r="L90" s="1" t="s">
        <v>30</v>
      </c>
      <c r="M90" s="8">
        <v>0</v>
      </c>
      <c r="N90" s="6"/>
      <c r="O90" s="6"/>
      <c r="P90" s="9">
        <v>-15</v>
      </c>
    </row>
    <row r="91" spans="1:16" ht="19.5" customHeight="1">
      <c r="A91" s="1" t="s">
        <v>1360</v>
      </c>
      <c r="B91" s="5">
        <v>45986</v>
      </c>
      <c r="C91" s="1" t="s">
        <v>28</v>
      </c>
      <c r="D91" s="1" t="s">
        <v>29</v>
      </c>
      <c r="E91" s="1" t="s">
        <v>226</v>
      </c>
      <c r="F91" s="1" t="s">
        <v>428</v>
      </c>
      <c r="G91" s="1" t="s">
        <v>1229</v>
      </c>
      <c r="H91" s="6">
        <v>1</v>
      </c>
      <c r="I91" s="7">
        <v>0</v>
      </c>
      <c r="J91" s="5">
        <v>45982</v>
      </c>
      <c r="K91" s="1" t="s">
        <v>957</v>
      </c>
      <c r="L91" s="1" t="s">
        <v>30</v>
      </c>
      <c r="M91" s="8">
        <v>0</v>
      </c>
      <c r="N91" s="6"/>
      <c r="O91" s="6">
        <v>43</v>
      </c>
      <c r="P91" s="9">
        <v>-46</v>
      </c>
    </row>
    <row r="92" spans="1:16" ht="19.5" customHeight="1">
      <c r="A92" s="1" t="s">
        <v>1360</v>
      </c>
      <c r="B92" s="5">
        <v>45986</v>
      </c>
      <c r="C92" s="1" t="s">
        <v>17</v>
      </c>
      <c r="D92" s="1" t="s">
        <v>37</v>
      </c>
      <c r="E92" s="1" t="s">
        <v>226</v>
      </c>
      <c r="F92" s="1" t="s">
        <v>428</v>
      </c>
      <c r="G92" s="1" t="s">
        <v>1229</v>
      </c>
      <c r="H92" s="6">
        <v>1</v>
      </c>
      <c r="I92" s="7">
        <v>0</v>
      </c>
      <c r="J92" s="5">
        <v>45982</v>
      </c>
      <c r="K92" s="1" t="s">
        <v>957</v>
      </c>
      <c r="L92" s="1" t="s">
        <v>30</v>
      </c>
      <c r="M92" s="8">
        <v>0</v>
      </c>
      <c r="N92" s="6"/>
      <c r="O92" s="6"/>
      <c r="P92" s="9">
        <v>-10.48</v>
      </c>
    </row>
    <row r="93" spans="1:16" ht="19.5" customHeight="1">
      <c r="A93" s="1" t="s">
        <v>1360</v>
      </c>
      <c r="B93" s="5">
        <v>45986</v>
      </c>
      <c r="C93" s="1" t="s">
        <v>28</v>
      </c>
      <c r="D93" s="1" t="s">
        <v>45</v>
      </c>
      <c r="E93" s="1" t="s">
        <v>226</v>
      </c>
      <c r="F93" s="1" t="s">
        <v>428</v>
      </c>
      <c r="G93" s="1" t="s">
        <v>1229</v>
      </c>
      <c r="H93" s="6">
        <v>1</v>
      </c>
      <c r="I93" s="7">
        <v>0</v>
      </c>
      <c r="J93" s="5">
        <v>45982</v>
      </c>
      <c r="K93" s="1" t="s">
        <v>957</v>
      </c>
      <c r="L93" s="1" t="s">
        <v>30</v>
      </c>
      <c r="M93" s="8">
        <v>0</v>
      </c>
      <c r="N93" s="6"/>
      <c r="O93" s="6"/>
      <c r="P93" s="9">
        <v>0</v>
      </c>
    </row>
    <row r="94" spans="1:16" ht="19.5" customHeight="1">
      <c r="A94" s="1" t="s">
        <v>1360</v>
      </c>
      <c r="B94" s="5">
        <v>45986</v>
      </c>
      <c r="C94" s="1" t="s">
        <v>28</v>
      </c>
      <c r="D94" s="1" t="s">
        <v>46</v>
      </c>
      <c r="E94" s="1" t="s">
        <v>226</v>
      </c>
      <c r="F94" s="1" t="s">
        <v>428</v>
      </c>
      <c r="G94" s="1" t="s">
        <v>1229</v>
      </c>
      <c r="H94" s="6">
        <v>1</v>
      </c>
      <c r="I94" s="7">
        <v>0</v>
      </c>
      <c r="J94" s="5">
        <v>45982</v>
      </c>
      <c r="K94" s="1" t="s">
        <v>957</v>
      </c>
      <c r="L94" s="1" t="s">
        <v>30</v>
      </c>
      <c r="M94" s="8">
        <v>0</v>
      </c>
      <c r="N94" s="6"/>
      <c r="O94" s="6"/>
      <c r="P94" s="9">
        <v>-46</v>
      </c>
    </row>
    <row r="95" spans="1:16" ht="19.5" customHeight="1">
      <c r="A95" s="1" t="s">
        <v>1360</v>
      </c>
      <c r="B95" s="5">
        <v>45986</v>
      </c>
      <c r="C95" s="1" t="s">
        <v>17</v>
      </c>
      <c r="D95" s="1" t="s">
        <v>47</v>
      </c>
      <c r="E95" s="1" t="s">
        <v>226</v>
      </c>
      <c r="F95" s="1" t="s">
        <v>428</v>
      </c>
      <c r="G95" s="1" t="s">
        <v>1229</v>
      </c>
      <c r="H95" s="6">
        <v>1</v>
      </c>
      <c r="I95" s="7">
        <v>0</v>
      </c>
      <c r="J95" s="5">
        <v>45982</v>
      </c>
      <c r="K95" s="1" t="s">
        <v>957</v>
      </c>
      <c r="L95" s="1" t="s">
        <v>30</v>
      </c>
      <c r="M95" s="8">
        <v>0</v>
      </c>
      <c r="N95" s="6"/>
      <c r="O95" s="6"/>
      <c r="P95" s="9">
        <v>-15</v>
      </c>
    </row>
    <row r="96" spans="1:16" ht="19.5" customHeight="1">
      <c r="A96" s="1" t="s">
        <v>1361</v>
      </c>
      <c r="B96" s="5">
        <v>45986</v>
      </c>
      <c r="C96" s="1" t="s">
        <v>28</v>
      </c>
      <c r="D96" s="1" t="s">
        <v>29</v>
      </c>
      <c r="E96" s="1" t="s">
        <v>43</v>
      </c>
      <c r="F96" s="1" t="s">
        <v>44</v>
      </c>
      <c r="G96" s="1" t="s">
        <v>1133</v>
      </c>
      <c r="H96" s="6">
        <v>1</v>
      </c>
      <c r="I96" s="7">
        <v>6000</v>
      </c>
      <c r="J96" s="5">
        <v>45976</v>
      </c>
      <c r="K96" s="1" t="s">
        <v>957</v>
      </c>
      <c r="L96" s="1" t="s">
        <v>30</v>
      </c>
      <c r="M96" s="8">
        <v>0.43</v>
      </c>
      <c r="N96" s="6"/>
      <c r="O96" s="6">
        <v>43</v>
      </c>
      <c r="P96" s="9">
        <v>-269.60000000000002</v>
      </c>
    </row>
    <row r="97" spans="1:16" ht="19.5" customHeight="1">
      <c r="A97" s="1" t="s">
        <v>1361</v>
      </c>
      <c r="B97" s="5">
        <v>45986</v>
      </c>
      <c r="C97" s="1" t="s">
        <v>31</v>
      </c>
      <c r="D97" s="1" t="s">
        <v>32</v>
      </c>
      <c r="E97" s="1" t="s">
        <v>43</v>
      </c>
      <c r="F97" s="1" t="s">
        <v>44</v>
      </c>
      <c r="G97" s="1" t="s">
        <v>1133</v>
      </c>
      <c r="H97" s="6">
        <v>1</v>
      </c>
      <c r="I97" s="7">
        <v>6000</v>
      </c>
      <c r="J97" s="5">
        <v>45976</v>
      </c>
      <c r="K97" s="1" t="s">
        <v>957</v>
      </c>
      <c r="L97" s="1" t="s">
        <v>30</v>
      </c>
      <c r="M97" s="8">
        <v>0</v>
      </c>
      <c r="N97" s="6"/>
      <c r="O97" s="6"/>
      <c r="P97" s="9">
        <v>2565.71</v>
      </c>
    </row>
    <row r="98" spans="1:16" ht="19.5" customHeight="1">
      <c r="A98" s="1" t="s">
        <v>1361</v>
      </c>
      <c r="B98" s="5">
        <v>45986</v>
      </c>
      <c r="C98" s="1" t="s">
        <v>31</v>
      </c>
      <c r="D98" s="1" t="s">
        <v>33</v>
      </c>
      <c r="E98" s="1" t="s">
        <v>43</v>
      </c>
      <c r="F98" s="1" t="s">
        <v>44</v>
      </c>
      <c r="G98" s="1" t="s">
        <v>1133</v>
      </c>
      <c r="H98" s="6">
        <v>1</v>
      </c>
      <c r="I98" s="7">
        <v>6000</v>
      </c>
      <c r="J98" s="5">
        <v>45976</v>
      </c>
      <c r="K98" s="1" t="s">
        <v>957</v>
      </c>
      <c r="L98" s="1" t="s">
        <v>30</v>
      </c>
      <c r="M98" s="8">
        <v>0</v>
      </c>
      <c r="N98" s="6"/>
      <c r="O98" s="6"/>
      <c r="P98" s="9">
        <v>25.66</v>
      </c>
    </row>
    <row r="99" spans="1:16" ht="19.5" customHeight="1">
      <c r="A99" s="1" t="s">
        <v>1361</v>
      </c>
      <c r="B99" s="5">
        <v>45986</v>
      </c>
      <c r="C99" s="1" t="s">
        <v>31</v>
      </c>
      <c r="D99" s="1" t="s">
        <v>34</v>
      </c>
      <c r="E99" s="1" t="s">
        <v>43</v>
      </c>
      <c r="F99" s="1" t="s">
        <v>44</v>
      </c>
      <c r="G99" s="1" t="s">
        <v>1133</v>
      </c>
      <c r="H99" s="6">
        <v>1</v>
      </c>
      <c r="I99" s="7">
        <v>6000</v>
      </c>
      <c r="J99" s="5">
        <v>45976</v>
      </c>
      <c r="K99" s="1" t="s">
        <v>957</v>
      </c>
      <c r="L99" s="1" t="s">
        <v>30</v>
      </c>
      <c r="M99" s="8">
        <v>0</v>
      </c>
      <c r="N99" s="6"/>
      <c r="O99" s="6"/>
      <c r="P99" s="9">
        <v>3408.63</v>
      </c>
    </row>
    <row r="100" spans="1:16" ht="19.5" customHeight="1">
      <c r="A100" s="1" t="s">
        <v>1361</v>
      </c>
      <c r="B100" s="5">
        <v>45986</v>
      </c>
      <c r="C100" s="1" t="s">
        <v>35</v>
      </c>
      <c r="D100" s="1" t="s">
        <v>36</v>
      </c>
      <c r="E100" s="1" t="s">
        <v>43</v>
      </c>
      <c r="F100" s="1" t="s">
        <v>44</v>
      </c>
      <c r="G100" s="1" t="s">
        <v>1133</v>
      </c>
      <c r="H100" s="6">
        <v>1</v>
      </c>
      <c r="I100" s="7">
        <v>6000</v>
      </c>
      <c r="J100" s="5">
        <v>45976</v>
      </c>
      <c r="K100" s="1" t="s">
        <v>957</v>
      </c>
      <c r="L100" s="1" t="s">
        <v>30</v>
      </c>
      <c r="M100" s="8">
        <v>0.43</v>
      </c>
      <c r="N100" s="6"/>
      <c r="O100" s="6"/>
      <c r="P100" s="9">
        <v>-2580</v>
      </c>
    </row>
    <row r="101" spans="1:16" ht="19.5" customHeight="1">
      <c r="A101" s="1" t="s">
        <v>1361</v>
      </c>
      <c r="B101" s="5">
        <v>45986</v>
      </c>
      <c r="C101" s="1" t="s">
        <v>17</v>
      </c>
      <c r="D101" s="1" t="s">
        <v>37</v>
      </c>
      <c r="E101" s="1" t="s">
        <v>43</v>
      </c>
      <c r="F101" s="1" t="s">
        <v>44</v>
      </c>
      <c r="G101" s="1" t="s">
        <v>1133</v>
      </c>
      <c r="H101" s="6">
        <v>1</v>
      </c>
      <c r="I101" s="7">
        <v>6000</v>
      </c>
      <c r="J101" s="5">
        <v>45976</v>
      </c>
      <c r="K101" s="1" t="s">
        <v>957</v>
      </c>
      <c r="L101" s="1" t="s">
        <v>30</v>
      </c>
      <c r="M101" s="8">
        <v>0.43</v>
      </c>
      <c r="N101" s="6"/>
      <c r="O101" s="6"/>
      <c r="P101" s="9">
        <v>-13.33</v>
      </c>
    </row>
    <row r="102" spans="1:16" ht="19.5" customHeight="1">
      <c r="A102" s="1" t="s">
        <v>1361</v>
      </c>
      <c r="B102" s="5">
        <v>45986</v>
      </c>
      <c r="C102" s="1" t="s">
        <v>17</v>
      </c>
      <c r="D102" s="1" t="s">
        <v>18</v>
      </c>
      <c r="E102" s="1" t="s">
        <v>43</v>
      </c>
      <c r="F102" s="1" t="s">
        <v>44</v>
      </c>
      <c r="G102" s="1" t="s">
        <v>1133</v>
      </c>
      <c r="H102" s="6">
        <v>1</v>
      </c>
      <c r="I102" s="7">
        <v>0</v>
      </c>
      <c r="J102" s="5">
        <v>45976</v>
      </c>
      <c r="K102" s="1" t="s">
        <v>22</v>
      </c>
      <c r="L102" s="1" t="s">
        <v>22</v>
      </c>
      <c r="M102" s="8">
        <v>0</v>
      </c>
      <c r="N102" s="6"/>
      <c r="O102" s="6"/>
      <c r="P102" s="9">
        <v>-48.75</v>
      </c>
    </row>
    <row r="103" spans="1:16" ht="19.5" customHeight="1">
      <c r="A103" s="1" t="s">
        <v>1362</v>
      </c>
      <c r="B103" s="5">
        <v>45986</v>
      </c>
      <c r="C103" s="1" t="s">
        <v>28</v>
      </c>
      <c r="D103" s="1" t="s">
        <v>29</v>
      </c>
      <c r="E103" s="1" t="s">
        <v>223</v>
      </c>
      <c r="F103" s="1" t="s">
        <v>395</v>
      </c>
      <c r="G103" s="1" t="s">
        <v>1229</v>
      </c>
      <c r="H103" s="6">
        <v>1</v>
      </c>
      <c r="I103" s="7">
        <v>1687</v>
      </c>
      <c r="J103" s="5">
        <v>45979</v>
      </c>
      <c r="K103" s="1" t="s">
        <v>957</v>
      </c>
      <c r="L103" s="1" t="s">
        <v>30</v>
      </c>
      <c r="M103" s="8">
        <v>0.43</v>
      </c>
      <c r="N103" s="6"/>
      <c r="O103" s="6">
        <v>46</v>
      </c>
      <c r="P103" s="9">
        <v>-135.94</v>
      </c>
    </row>
    <row r="104" spans="1:16" ht="19.5" customHeight="1">
      <c r="A104" s="1" t="s">
        <v>1362</v>
      </c>
      <c r="B104" s="5">
        <v>45986</v>
      </c>
      <c r="C104" s="1" t="s">
        <v>31</v>
      </c>
      <c r="D104" s="1" t="s">
        <v>32</v>
      </c>
      <c r="E104" s="1" t="s">
        <v>223</v>
      </c>
      <c r="F104" s="1" t="s">
        <v>395</v>
      </c>
      <c r="G104" s="1" t="s">
        <v>1229</v>
      </c>
      <c r="H104" s="6">
        <v>1</v>
      </c>
      <c r="I104" s="7">
        <v>1687</v>
      </c>
      <c r="J104" s="5">
        <v>45979</v>
      </c>
      <c r="K104" s="1" t="s">
        <v>957</v>
      </c>
      <c r="L104" s="1" t="s">
        <v>30</v>
      </c>
      <c r="M104" s="8">
        <v>0</v>
      </c>
      <c r="N104" s="6"/>
      <c r="O104" s="6"/>
      <c r="P104" s="9">
        <v>626.73</v>
      </c>
    </row>
    <row r="105" spans="1:16" ht="19.5" customHeight="1">
      <c r="A105" s="1" t="s">
        <v>1362</v>
      </c>
      <c r="B105" s="5">
        <v>45986</v>
      </c>
      <c r="C105" s="1" t="s">
        <v>31</v>
      </c>
      <c r="D105" s="1" t="s">
        <v>33</v>
      </c>
      <c r="E105" s="1" t="s">
        <v>223</v>
      </c>
      <c r="F105" s="1" t="s">
        <v>395</v>
      </c>
      <c r="G105" s="1" t="s">
        <v>1229</v>
      </c>
      <c r="H105" s="6">
        <v>1</v>
      </c>
      <c r="I105" s="7">
        <v>1687</v>
      </c>
      <c r="J105" s="5">
        <v>45979</v>
      </c>
      <c r="K105" s="1" t="s">
        <v>957</v>
      </c>
      <c r="L105" s="1" t="s">
        <v>30</v>
      </c>
      <c r="M105" s="8">
        <v>0</v>
      </c>
      <c r="N105" s="6"/>
      <c r="O105" s="6"/>
      <c r="P105" s="9">
        <v>0</v>
      </c>
    </row>
    <row r="106" spans="1:16" ht="19.5" customHeight="1">
      <c r="A106" s="1" t="s">
        <v>1362</v>
      </c>
      <c r="B106" s="5">
        <v>45986</v>
      </c>
      <c r="C106" s="1" t="s">
        <v>31</v>
      </c>
      <c r="D106" s="1" t="s">
        <v>34</v>
      </c>
      <c r="E106" s="1" t="s">
        <v>223</v>
      </c>
      <c r="F106" s="1" t="s">
        <v>395</v>
      </c>
      <c r="G106" s="1" t="s">
        <v>1229</v>
      </c>
      <c r="H106" s="6">
        <v>1</v>
      </c>
      <c r="I106" s="7">
        <v>1687</v>
      </c>
      <c r="J106" s="5">
        <v>45979</v>
      </c>
      <c r="K106" s="1" t="s">
        <v>957</v>
      </c>
      <c r="L106" s="1" t="s">
        <v>30</v>
      </c>
      <c r="M106" s="8">
        <v>0</v>
      </c>
      <c r="N106" s="6"/>
      <c r="O106" s="6"/>
      <c r="P106" s="9">
        <v>1060.27</v>
      </c>
    </row>
    <row r="107" spans="1:16" ht="19.5" customHeight="1">
      <c r="A107" s="1" t="s">
        <v>1362</v>
      </c>
      <c r="B107" s="5">
        <v>45986</v>
      </c>
      <c r="C107" s="1" t="s">
        <v>35</v>
      </c>
      <c r="D107" s="1" t="s">
        <v>36</v>
      </c>
      <c r="E107" s="1" t="s">
        <v>223</v>
      </c>
      <c r="F107" s="1" t="s">
        <v>395</v>
      </c>
      <c r="G107" s="1" t="s">
        <v>1229</v>
      </c>
      <c r="H107" s="6">
        <v>1</v>
      </c>
      <c r="I107" s="7">
        <v>1687</v>
      </c>
      <c r="J107" s="5">
        <v>45979</v>
      </c>
      <c r="K107" s="1" t="s">
        <v>957</v>
      </c>
      <c r="L107" s="1" t="s">
        <v>30</v>
      </c>
      <c r="M107" s="8">
        <v>0.43</v>
      </c>
      <c r="N107" s="6"/>
      <c r="O107" s="6"/>
      <c r="P107" s="9">
        <v>-725.41</v>
      </c>
    </row>
    <row r="108" spans="1:16" ht="19.5" customHeight="1">
      <c r="A108" s="1" t="s">
        <v>1363</v>
      </c>
      <c r="B108" s="5">
        <v>45986</v>
      </c>
      <c r="C108" s="1" t="s">
        <v>28</v>
      </c>
      <c r="D108" s="1" t="s">
        <v>29</v>
      </c>
      <c r="E108" s="1" t="s">
        <v>223</v>
      </c>
      <c r="F108" s="1" t="s">
        <v>395</v>
      </c>
      <c r="G108" s="1" t="s">
        <v>1229</v>
      </c>
      <c r="H108" s="6">
        <v>1</v>
      </c>
      <c r="I108" s="7">
        <v>1191</v>
      </c>
      <c r="J108" s="5">
        <v>45981</v>
      </c>
      <c r="K108" s="1" t="s">
        <v>957</v>
      </c>
      <c r="L108" s="1" t="s">
        <v>30</v>
      </c>
      <c r="M108" s="8">
        <v>0.43</v>
      </c>
      <c r="N108" s="6"/>
      <c r="O108" s="6">
        <v>44</v>
      </c>
      <c r="P108" s="9">
        <v>-112.5</v>
      </c>
    </row>
    <row r="109" spans="1:16" ht="19.5" customHeight="1">
      <c r="A109" s="1" t="s">
        <v>1363</v>
      </c>
      <c r="B109" s="5">
        <v>45986</v>
      </c>
      <c r="C109" s="1" t="s">
        <v>31</v>
      </c>
      <c r="D109" s="1" t="s">
        <v>32</v>
      </c>
      <c r="E109" s="1" t="s">
        <v>223</v>
      </c>
      <c r="F109" s="1" t="s">
        <v>395</v>
      </c>
      <c r="G109" s="1" t="s">
        <v>1229</v>
      </c>
      <c r="H109" s="6">
        <v>1</v>
      </c>
      <c r="I109" s="7">
        <v>1191</v>
      </c>
      <c r="J109" s="5">
        <v>45981</v>
      </c>
      <c r="K109" s="1" t="s">
        <v>957</v>
      </c>
      <c r="L109" s="1" t="s">
        <v>30</v>
      </c>
      <c r="M109" s="8">
        <v>0</v>
      </c>
      <c r="N109" s="6"/>
      <c r="O109" s="6"/>
      <c r="P109" s="9">
        <v>435.24</v>
      </c>
    </row>
    <row r="110" spans="1:16" ht="19.5" customHeight="1">
      <c r="A110" s="1" t="s">
        <v>1363</v>
      </c>
      <c r="B110" s="5">
        <v>45986</v>
      </c>
      <c r="C110" s="1" t="s">
        <v>31</v>
      </c>
      <c r="D110" s="1" t="s">
        <v>33</v>
      </c>
      <c r="E110" s="1" t="s">
        <v>223</v>
      </c>
      <c r="F110" s="1" t="s">
        <v>395</v>
      </c>
      <c r="G110" s="1" t="s">
        <v>1229</v>
      </c>
      <c r="H110" s="6">
        <v>1</v>
      </c>
      <c r="I110" s="7">
        <v>1191</v>
      </c>
      <c r="J110" s="5">
        <v>45981</v>
      </c>
      <c r="K110" s="1" t="s">
        <v>957</v>
      </c>
      <c r="L110" s="1" t="s">
        <v>30</v>
      </c>
      <c r="M110" s="8">
        <v>0</v>
      </c>
      <c r="N110" s="6"/>
      <c r="O110" s="6"/>
      <c r="P110" s="9">
        <v>4.3499999999999996</v>
      </c>
    </row>
    <row r="111" spans="1:16" ht="19.5" customHeight="1">
      <c r="A111" s="1" t="s">
        <v>1363</v>
      </c>
      <c r="B111" s="5">
        <v>45986</v>
      </c>
      <c r="C111" s="1" t="s">
        <v>31</v>
      </c>
      <c r="D111" s="1" t="s">
        <v>34</v>
      </c>
      <c r="E111" s="1" t="s">
        <v>223</v>
      </c>
      <c r="F111" s="1" t="s">
        <v>395</v>
      </c>
      <c r="G111" s="1" t="s">
        <v>1229</v>
      </c>
      <c r="H111" s="6">
        <v>1</v>
      </c>
      <c r="I111" s="7">
        <v>1191</v>
      </c>
      <c r="J111" s="5">
        <v>45981</v>
      </c>
      <c r="K111" s="1" t="s">
        <v>957</v>
      </c>
      <c r="L111" s="1" t="s">
        <v>30</v>
      </c>
      <c r="M111" s="8">
        <v>0</v>
      </c>
      <c r="N111" s="6"/>
      <c r="O111" s="6"/>
      <c r="P111" s="9">
        <v>751.41</v>
      </c>
    </row>
    <row r="112" spans="1:16" ht="19.5" customHeight="1">
      <c r="A112" s="1" t="s">
        <v>1363</v>
      </c>
      <c r="B112" s="5">
        <v>45986</v>
      </c>
      <c r="C112" s="1" t="s">
        <v>35</v>
      </c>
      <c r="D112" s="1" t="s">
        <v>36</v>
      </c>
      <c r="E112" s="1" t="s">
        <v>223</v>
      </c>
      <c r="F112" s="1" t="s">
        <v>395</v>
      </c>
      <c r="G112" s="1" t="s">
        <v>1229</v>
      </c>
      <c r="H112" s="6">
        <v>1</v>
      </c>
      <c r="I112" s="7">
        <v>1191</v>
      </c>
      <c r="J112" s="5">
        <v>45981</v>
      </c>
      <c r="K112" s="1" t="s">
        <v>957</v>
      </c>
      <c r="L112" s="1" t="s">
        <v>30</v>
      </c>
      <c r="M112" s="8">
        <v>0.43</v>
      </c>
      <c r="N112" s="6"/>
      <c r="O112" s="6"/>
      <c r="P112" s="9">
        <v>-512.13</v>
      </c>
    </row>
    <row r="113" spans="1:16" ht="19.5" customHeight="1">
      <c r="A113" s="1" t="s">
        <v>1363</v>
      </c>
      <c r="B113" s="5">
        <v>45986</v>
      </c>
      <c r="C113" s="1" t="s">
        <v>17</v>
      </c>
      <c r="D113" s="1" t="s">
        <v>37</v>
      </c>
      <c r="E113" s="1" t="s">
        <v>223</v>
      </c>
      <c r="F113" s="1" t="s">
        <v>395</v>
      </c>
      <c r="G113" s="1" t="s">
        <v>1229</v>
      </c>
      <c r="H113" s="6">
        <v>1</v>
      </c>
      <c r="I113" s="7">
        <v>1191</v>
      </c>
      <c r="J113" s="5">
        <v>45981</v>
      </c>
      <c r="K113" s="1" t="s">
        <v>957</v>
      </c>
      <c r="L113" s="1" t="s">
        <v>30</v>
      </c>
      <c r="M113" s="8">
        <v>0.43</v>
      </c>
      <c r="N113" s="6"/>
      <c r="O113" s="6"/>
      <c r="P113" s="9">
        <v>-15.11</v>
      </c>
    </row>
    <row r="114" spans="1:16" ht="19.5" customHeight="1">
      <c r="A114" s="1" t="s">
        <v>1364</v>
      </c>
      <c r="B114" s="5">
        <v>45986</v>
      </c>
      <c r="C114" s="1" t="s">
        <v>28</v>
      </c>
      <c r="D114" s="1" t="s">
        <v>29</v>
      </c>
      <c r="E114" s="1" t="s">
        <v>25</v>
      </c>
      <c r="F114" s="1" t="s">
        <v>26</v>
      </c>
      <c r="G114" s="1" t="s">
        <v>1229</v>
      </c>
      <c r="H114" s="6">
        <v>1</v>
      </c>
      <c r="I114" s="7">
        <v>1738</v>
      </c>
      <c r="J114" s="5">
        <v>45984</v>
      </c>
      <c r="K114" s="1" t="s">
        <v>957</v>
      </c>
      <c r="L114" s="1" t="s">
        <v>30</v>
      </c>
      <c r="M114" s="8">
        <v>0.43</v>
      </c>
      <c r="N114" s="6"/>
      <c r="O114" s="6">
        <v>42</v>
      </c>
      <c r="P114" s="9">
        <v>-121.75</v>
      </c>
    </row>
    <row r="115" spans="1:16" ht="19.5" customHeight="1">
      <c r="A115" s="1" t="s">
        <v>1364</v>
      </c>
      <c r="B115" s="5">
        <v>45986</v>
      </c>
      <c r="C115" s="1" t="s">
        <v>31</v>
      </c>
      <c r="D115" s="1" t="s">
        <v>32</v>
      </c>
      <c r="E115" s="1" t="s">
        <v>25</v>
      </c>
      <c r="F115" s="1" t="s">
        <v>26</v>
      </c>
      <c r="G115" s="1" t="s">
        <v>1229</v>
      </c>
      <c r="H115" s="6">
        <v>1</v>
      </c>
      <c r="I115" s="7">
        <v>1738</v>
      </c>
      <c r="J115" s="5">
        <v>45984</v>
      </c>
      <c r="K115" s="1" t="s">
        <v>957</v>
      </c>
      <c r="L115" s="1" t="s">
        <v>30</v>
      </c>
      <c r="M115" s="8">
        <v>0</v>
      </c>
      <c r="N115" s="6"/>
      <c r="O115" s="6"/>
      <c r="P115" s="9">
        <v>755.24</v>
      </c>
    </row>
    <row r="116" spans="1:16" ht="19.5" customHeight="1">
      <c r="A116" s="1" t="s">
        <v>1364</v>
      </c>
      <c r="B116" s="5">
        <v>45986</v>
      </c>
      <c r="C116" s="1" t="s">
        <v>31</v>
      </c>
      <c r="D116" s="1" t="s">
        <v>33</v>
      </c>
      <c r="E116" s="1" t="s">
        <v>25</v>
      </c>
      <c r="F116" s="1" t="s">
        <v>26</v>
      </c>
      <c r="G116" s="1" t="s">
        <v>1229</v>
      </c>
      <c r="H116" s="6">
        <v>1</v>
      </c>
      <c r="I116" s="7">
        <v>1738</v>
      </c>
      <c r="J116" s="5">
        <v>45984</v>
      </c>
      <c r="K116" s="1" t="s">
        <v>957</v>
      </c>
      <c r="L116" s="1" t="s">
        <v>30</v>
      </c>
      <c r="M116" s="8">
        <v>0</v>
      </c>
      <c r="N116" s="6"/>
      <c r="O116" s="6"/>
      <c r="P116" s="9">
        <v>7.55</v>
      </c>
    </row>
    <row r="117" spans="1:16" ht="19.5" customHeight="1">
      <c r="A117" s="1" t="s">
        <v>1364</v>
      </c>
      <c r="B117" s="5">
        <v>45986</v>
      </c>
      <c r="C117" s="1" t="s">
        <v>31</v>
      </c>
      <c r="D117" s="1" t="s">
        <v>34</v>
      </c>
      <c r="E117" s="1" t="s">
        <v>25</v>
      </c>
      <c r="F117" s="1" t="s">
        <v>26</v>
      </c>
      <c r="G117" s="1" t="s">
        <v>1229</v>
      </c>
      <c r="H117" s="6">
        <v>1</v>
      </c>
      <c r="I117" s="7">
        <v>1738</v>
      </c>
      <c r="J117" s="5">
        <v>45984</v>
      </c>
      <c r="K117" s="1" t="s">
        <v>957</v>
      </c>
      <c r="L117" s="1" t="s">
        <v>30</v>
      </c>
      <c r="M117" s="8">
        <v>0</v>
      </c>
      <c r="N117" s="6"/>
      <c r="O117" s="6"/>
      <c r="P117" s="9">
        <v>975.21</v>
      </c>
    </row>
    <row r="118" spans="1:16" ht="19.5" customHeight="1">
      <c r="A118" s="1" t="s">
        <v>1364</v>
      </c>
      <c r="B118" s="5">
        <v>45986</v>
      </c>
      <c r="C118" s="1" t="s">
        <v>35</v>
      </c>
      <c r="D118" s="1" t="s">
        <v>36</v>
      </c>
      <c r="E118" s="1" t="s">
        <v>25</v>
      </c>
      <c r="F118" s="1" t="s">
        <v>26</v>
      </c>
      <c r="G118" s="1" t="s">
        <v>1229</v>
      </c>
      <c r="H118" s="6">
        <v>1</v>
      </c>
      <c r="I118" s="7">
        <v>1738</v>
      </c>
      <c r="J118" s="5">
        <v>45984</v>
      </c>
      <c r="K118" s="1" t="s">
        <v>957</v>
      </c>
      <c r="L118" s="1" t="s">
        <v>30</v>
      </c>
      <c r="M118" s="8">
        <v>0.43</v>
      </c>
      <c r="N118" s="6"/>
      <c r="O118" s="6"/>
      <c r="P118" s="9">
        <v>-747.34</v>
      </c>
    </row>
    <row r="119" spans="1:16" ht="19.5" customHeight="1">
      <c r="A119" s="1" t="s">
        <v>1364</v>
      </c>
      <c r="B119" s="5">
        <v>45986</v>
      </c>
      <c r="C119" s="1" t="s">
        <v>17</v>
      </c>
      <c r="D119" s="1" t="s">
        <v>37</v>
      </c>
      <c r="E119" s="1" t="s">
        <v>25</v>
      </c>
      <c r="F119" s="1" t="s">
        <v>26</v>
      </c>
      <c r="G119" s="1" t="s">
        <v>1229</v>
      </c>
      <c r="H119" s="6">
        <v>1</v>
      </c>
      <c r="I119" s="7">
        <v>1738</v>
      </c>
      <c r="J119" s="5">
        <v>45984</v>
      </c>
      <c r="K119" s="1" t="s">
        <v>957</v>
      </c>
      <c r="L119" s="1" t="s">
        <v>30</v>
      </c>
      <c r="M119" s="8">
        <v>0.43</v>
      </c>
      <c r="N119" s="6"/>
      <c r="O119" s="6"/>
      <c r="P119" s="9">
        <v>-8.6999999999999993</v>
      </c>
    </row>
    <row r="120" spans="1:16" ht="19.5" customHeight="1">
      <c r="A120" s="1" t="s">
        <v>1364</v>
      </c>
      <c r="B120" s="5">
        <v>45986</v>
      </c>
      <c r="C120" s="1" t="s">
        <v>17</v>
      </c>
      <c r="D120" s="1" t="s">
        <v>18</v>
      </c>
      <c r="E120" s="1" t="s">
        <v>25</v>
      </c>
      <c r="F120" s="1" t="s">
        <v>26</v>
      </c>
      <c r="G120" s="1" t="s">
        <v>1229</v>
      </c>
      <c r="H120" s="6">
        <v>1</v>
      </c>
      <c r="I120" s="7">
        <v>0</v>
      </c>
      <c r="J120" s="5">
        <v>45984</v>
      </c>
      <c r="K120" s="1" t="s">
        <v>22</v>
      </c>
      <c r="L120" s="1" t="s">
        <v>22</v>
      </c>
      <c r="M120" s="8">
        <v>0</v>
      </c>
      <c r="N120" s="6"/>
      <c r="O120" s="6"/>
      <c r="P120" s="9">
        <v>-14.35</v>
      </c>
    </row>
    <row r="121" spans="1:16" ht="19.5" customHeight="1">
      <c r="A121" s="1" t="s">
        <v>1365</v>
      </c>
      <c r="B121" s="5">
        <v>45986</v>
      </c>
      <c r="C121" s="1" t="s">
        <v>17</v>
      </c>
      <c r="D121" s="1" t="s">
        <v>18</v>
      </c>
      <c r="E121" s="1" t="s">
        <v>223</v>
      </c>
      <c r="F121" s="1" t="s">
        <v>395</v>
      </c>
      <c r="G121" s="1" t="s">
        <v>1229</v>
      </c>
      <c r="H121" s="6">
        <v>1</v>
      </c>
      <c r="I121" s="7">
        <v>0</v>
      </c>
      <c r="J121" s="5">
        <v>45986</v>
      </c>
      <c r="K121" s="1" t="s">
        <v>22</v>
      </c>
      <c r="L121" s="1" t="s">
        <v>22</v>
      </c>
      <c r="M121" s="8">
        <v>0</v>
      </c>
      <c r="N121" s="6"/>
      <c r="O121" s="6"/>
      <c r="P121" s="9">
        <v>-10.33</v>
      </c>
    </row>
    <row r="122" spans="1:16" ht="19.5" customHeight="1">
      <c r="A122" s="1" t="s">
        <v>1366</v>
      </c>
      <c r="B122" s="5">
        <v>45986</v>
      </c>
      <c r="C122" s="1" t="s">
        <v>28</v>
      </c>
      <c r="D122" s="1" t="s">
        <v>29</v>
      </c>
      <c r="E122" s="1" t="s">
        <v>1055</v>
      </c>
      <c r="F122" s="1" t="s">
        <v>1317</v>
      </c>
      <c r="G122" s="1" t="s">
        <v>1298</v>
      </c>
      <c r="H122" s="6">
        <v>1</v>
      </c>
      <c r="I122" s="7">
        <v>0</v>
      </c>
      <c r="J122" s="5">
        <v>45979</v>
      </c>
      <c r="K122" s="1" t="s">
        <v>957</v>
      </c>
      <c r="L122" s="1" t="s">
        <v>30</v>
      </c>
      <c r="M122" s="8">
        <v>0</v>
      </c>
      <c r="N122" s="6"/>
      <c r="O122" s="6">
        <v>46</v>
      </c>
      <c r="P122" s="9">
        <v>-46</v>
      </c>
    </row>
    <row r="123" spans="1:16" ht="19.5" customHeight="1">
      <c r="A123" s="1" t="s">
        <v>1366</v>
      </c>
      <c r="B123" s="5">
        <v>45986</v>
      </c>
      <c r="C123" s="1" t="s">
        <v>17</v>
      </c>
      <c r="D123" s="1" t="s">
        <v>37</v>
      </c>
      <c r="E123" s="1" t="s">
        <v>1055</v>
      </c>
      <c r="F123" s="1" t="s">
        <v>1317</v>
      </c>
      <c r="G123" s="1" t="s">
        <v>1298</v>
      </c>
      <c r="H123" s="6">
        <v>1</v>
      </c>
      <c r="I123" s="7">
        <v>0</v>
      </c>
      <c r="J123" s="5">
        <v>45979</v>
      </c>
      <c r="K123" s="1" t="s">
        <v>957</v>
      </c>
      <c r="L123" s="1" t="s">
        <v>30</v>
      </c>
      <c r="M123" s="8">
        <v>0</v>
      </c>
      <c r="N123" s="6"/>
      <c r="O123" s="6"/>
      <c r="P123" s="9">
        <v>-9.7200000000000006</v>
      </c>
    </row>
    <row r="124" spans="1:16" ht="19.5" customHeight="1">
      <c r="A124" s="1" t="s">
        <v>1366</v>
      </c>
      <c r="B124" s="5">
        <v>45986</v>
      </c>
      <c r="C124" s="1" t="s">
        <v>28</v>
      </c>
      <c r="D124" s="1" t="s">
        <v>45</v>
      </c>
      <c r="E124" s="1" t="s">
        <v>1055</v>
      </c>
      <c r="F124" s="1" t="s">
        <v>1317</v>
      </c>
      <c r="G124" s="1" t="s">
        <v>1298</v>
      </c>
      <c r="H124" s="6">
        <v>1</v>
      </c>
      <c r="I124" s="7">
        <v>0</v>
      </c>
      <c r="J124" s="5">
        <v>45979</v>
      </c>
      <c r="K124" s="1" t="s">
        <v>957</v>
      </c>
      <c r="L124" s="1" t="s">
        <v>30</v>
      </c>
      <c r="M124" s="8">
        <v>0</v>
      </c>
      <c r="N124" s="6"/>
      <c r="O124" s="6"/>
      <c r="P124" s="9">
        <v>0</v>
      </c>
    </row>
    <row r="125" spans="1:16" ht="19.5" customHeight="1">
      <c r="A125" s="1" t="s">
        <v>1366</v>
      </c>
      <c r="B125" s="5">
        <v>45986</v>
      </c>
      <c r="C125" s="1" t="s">
        <v>28</v>
      </c>
      <c r="D125" s="1" t="s">
        <v>46</v>
      </c>
      <c r="E125" s="1" t="s">
        <v>1055</v>
      </c>
      <c r="F125" s="1" t="s">
        <v>1317</v>
      </c>
      <c r="G125" s="1" t="s">
        <v>1298</v>
      </c>
      <c r="H125" s="6">
        <v>1</v>
      </c>
      <c r="I125" s="7">
        <v>0</v>
      </c>
      <c r="J125" s="5">
        <v>45979</v>
      </c>
      <c r="K125" s="1" t="s">
        <v>957</v>
      </c>
      <c r="L125" s="1" t="s">
        <v>30</v>
      </c>
      <c r="M125" s="8">
        <v>0</v>
      </c>
      <c r="N125" s="6"/>
      <c r="O125" s="6"/>
      <c r="P125" s="9">
        <v>-46</v>
      </c>
    </row>
    <row r="126" spans="1:16" ht="19.5" customHeight="1">
      <c r="A126" s="1" t="s">
        <v>1366</v>
      </c>
      <c r="B126" s="5">
        <v>45986</v>
      </c>
      <c r="C126" s="1" t="s">
        <v>17</v>
      </c>
      <c r="D126" s="1" t="s">
        <v>47</v>
      </c>
      <c r="E126" s="1" t="s">
        <v>1055</v>
      </c>
      <c r="F126" s="1" t="s">
        <v>1317</v>
      </c>
      <c r="G126" s="1" t="s">
        <v>1298</v>
      </c>
      <c r="H126" s="6">
        <v>1</v>
      </c>
      <c r="I126" s="7">
        <v>0</v>
      </c>
      <c r="J126" s="5">
        <v>45979</v>
      </c>
      <c r="K126" s="1" t="s">
        <v>957</v>
      </c>
      <c r="L126" s="1" t="s">
        <v>30</v>
      </c>
      <c r="M126" s="8">
        <v>0</v>
      </c>
      <c r="N126" s="6"/>
      <c r="O126" s="6"/>
      <c r="P126" s="9">
        <v>-15</v>
      </c>
    </row>
    <row r="127" spans="1:16" ht="19.5" customHeight="1">
      <c r="A127" s="1" t="s">
        <v>1367</v>
      </c>
      <c r="B127" s="5">
        <v>45986</v>
      </c>
      <c r="C127" s="1" t="s">
        <v>28</v>
      </c>
      <c r="D127" s="1" t="s">
        <v>29</v>
      </c>
      <c r="E127" s="1" t="s">
        <v>223</v>
      </c>
      <c r="F127" s="1" t="s">
        <v>395</v>
      </c>
      <c r="G127" s="1" t="s">
        <v>1229</v>
      </c>
      <c r="H127" s="6">
        <v>1</v>
      </c>
      <c r="I127" s="7">
        <v>1603</v>
      </c>
      <c r="J127" s="5">
        <v>45980</v>
      </c>
      <c r="K127" s="1" t="s">
        <v>957</v>
      </c>
      <c r="L127" s="1" t="s">
        <v>30</v>
      </c>
      <c r="M127" s="8">
        <v>0.43</v>
      </c>
      <c r="N127" s="6"/>
      <c r="O127" s="6">
        <v>45</v>
      </c>
      <c r="P127" s="9">
        <v>-129.26</v>
      </c>
    </row>
    <row r="128" spans="1:16" ht="19.5" customHeight="1">
      <c r="A128" s="1" t="s">
        <v>1367</v>
      </c>
      <c r="B128" s="5">
        <v>45986</v>
      </c>
      <c r="C128" s="1" t="s">
        <v>31</v>
      </c>
      <c r="D128" s="1" t="s">
        <v>32</v>
      </c>
      <c r="E128" s="1" t="s">
        <v>223</v>
      </c>
      <c r="F128" s="1" t="s">
        <v>395</v>
      </c>
      <c r="G128" s="1" t="s">
        <v>1229</v>
      </c>
      <c r="H128" s="6">
        <v>1</v>
      </c>
      <c r="I128" s="7">
        <v>1603</v>
      </c>
      <c r="J128" s="5">
        <v>45980</v>
      </c>
      <c r="K128" s="1" t="s">
        <v>957</v>
      </c>
      <c r="L128" s="1" t="s">
        <v>30</v>
      </c>
      <c r="M128" s="8">
        <v>0</v>
      </c>
      <c r="N128" s="6"/>
      <c r="O128" s="6"/>
      <c r="P128" s="9">
        <v>641.1</v>
      </c>
    </row>
    <row r="129" spans="1:16" ht="19.5" customHeight="1">
      <c r="A129" s="1" t="s">
        <v>1367</v>
      </c>
      <c r="B129" s="5">
        <v>45986</v>
      </c>
      <c r="C129" s="1" t="s">
        <v>31</v>
      </c>
      <c r="D129" s="1" t="s">
        <v>33</v>
      </c>
      <c r="E129" s="1" t="s">
        <v>223</v>
      </c>
      <c r="F129" s="1" t="s">
        <v>395</v>
      </c>
      <c r="G129" s="1" t="s">
        <v>1229</v>
      </c>
      <c r="H129" s="6">
        <v>1</v>
      </c>
      <c r="I129" s="7">
        <v>1603</v>
      </c>
      <c r="J129" s="5">
        <v>45980</v>
      </c>
      <c r="K129" s="1" t="s">
        <v>957</v>
      </c>
      <c r="L129" s="1" t="s">
        <v>30</v>
      </c>
      <c r="M129" s="8">
        <v>0</v>
      </c>
      <c r="N129" s="6"/>
      <c r="O129" s="6"/>
      <c r="P129" s="9">
        <v>0</v>
      </c>
    </row>
    <row r="130" spans="1:16" ht="19.5" customHeight="1">
      <c r="A130" s="1" t="s">
        <v>1367</v>
      </c>
      <c r="B130" s="5">
        <v>45986</v>
      </c>
      <c r="C130" s="1" t="s">
        <v>31</v>
      </c>
      <c r="D130" s="1" t="s">
        <v>34</v>
      </c>
      <c r="E130" s="1" t="s">
        <v>223</v>
      </c>
      <c r="F130" s="1" t="s">
        <v>395</v>
      </c>
      <c r="G130" s="1" t="s">
        <v>1229</v>
      </c>
      <c r="H130" s="6">
        <v>1</v>
      </c>
      <c r="I130" s="7">
        <v>1603</v>
      </c>
      <c r="J130" s="5">
        <v>45980</v>
      </c>
      <c r="K130" s="1" t="s">
        <v>957</v>
      </c>
      <c r="L130" s="1" t="s">
        <v>30</v>
      </c>
      <c r="M130" s="8">
        <v>0</v>
      </c>
      <c r="N130" s="6"/>
      <c r="O130" s="6"/>
      <c r="P130" s="9">
        <v>961.9</v>
      </c>
    </row>
    <row r="131" spans="1:16" ht="19.5" customHeight="1">
      <c r="A131" s="1" t="s">
        <v>1367</v>
      </c>
      <c r="B131" s="5">
        <v>45986</v>
      </c>
      <c r="C131" s="1" t="s">
        <v>35</v>
      </c>
      <c r="D131" s="1" t="s">
        <v>36</v>
      </c>
      <c r="E131" s="1" t="s">
        <v>223</v>
      </c>
      <c r="F131" s="1" t="s">
        <v>395</v>
      </c>
      <c r="G131" s="1" t="s">
        <v>1229</v>
      </c>
      <c r="H131" s="6">
        <v>1</v>
      </c>
      <c r="I131" s="7">
        <v>1603</v>
      </c>
      <c r="J131" s="5">
        <v>45980</v>
      </c>
      <c r="K131" s="1" t="s">
        <v>957</v>
      </c>
      <c r="L131" s="1" t="s">
        <v>30</v>
      </c>
      <c r="M131" s="8">
        <v>0.43</v>
      </c>
      <c r="N131" s="6"/>
      <c r="O131" s="6"/>
      <c r="P131" s="9">
        <v>-689.29</v>
      </c>
    </row>
    <row r="132" spans="1:16" ht="19.5" customHeight="1">
      <c r="A132" s="1" t="s">
        <v>1367</v>
      </c>
      <c r="B132" s="5">
        <v>45986</v>
      </c>
      <c r="C132" s="1" t="s">
        <v>17</v>
      </c>
      <c r="D132" s="1" t="s">
        <v>37</v>
      </c>
      <c r="E132" s="1" t="s">
        <v>223</v>
      </c>
      <c r="F132" s="1" t="s">
        <v>395</v>
      </c>
      <c r="G132" s="1" t="s">
        <v>1229</v>
      </c>
      <c r="H132" s="6">
        <v>1</v>
      </c>
      <c r="I132" s="7">
        <v>1603</v>
      </c>
      <c r="J132" s="5">
        <v>45980</v>
      </c>
      <c r="K132" s="1" t="s">
        <v>957</v>
      </c>
      <c r="L132" s="1" t="s">
        <v>30</v>
      </c>
      <c r="M132" s="8">
        <v>0.43</v>
      </c>
      <c r="N132" s="6"/>
      <c r="O132" s="6"/>
      <c r="P132" s="9">
        <v>-6.44</v>
      </c>
    </row>
    <row r="133" spans="1:16" ht="19.5" customHeight="1">
      <c r="A133" s="1" t="s">
        <v>22</v>
      </c>
      <c r="B133" s="5">
        <v>45986</v>
      </c>
      <c r="C133" s="1" t="s">
        <v>77</v>
      </c>
      <c r="D133" s="1" t="s">
        <v>78</v>
      </c>
      <c r="E133" s="1" t="s">
        <v>22</v>
      </c>
      <c r="F133" s="1" t="s">
        <v>22</v>
      </c>
      <c r="G133" s="1" t="s">
        <v>1368</v>
      </c>
      <c r="H133" s="6">
        <v>0</v>
      </c>
      <c r="I133" s="7">
        <v>0</v>
      </c>
      <c r="J133" s="5">
        <v>45986</v>
      </c>
      <c r="K133" s="1" t="s">
        <v>22</v>
      </c>
      <c r="L133" s="1" t="s">
        <v>22</v>
      </c>
      <c r="M133" s="8">
        <v>0</v>
      </c>
      <c r="N133" s="6"/>
      <c r="O133" s="6"/>
      <c r="P133" s="9">
        <v>-450</v>
      </c>
    </row>
    <row r="134" spans="1:16" ht="19.5" customHeight="1">
      <c r="A134" s="1" t="s">
        <v>1282</v>
      </c>
      <c r="B134" s="5">
        <v>45986</v>
      </c>
      <c r="C134" s="1" t="s">
        <v>77</v>
      </c>
      <c r="D134" s="1" t="s">
        <v>82</v>
      </c>
      <c r="E134" s="1" t="s">
        <v>22</v>
      </c>
      <c r="F134" s="1" t="s">
        <v>22</v>
      </c>
      <c r="G134" s="1" t="s">
        <v>22</v>
      </c>
      <c r="H134" s="6">
        <v>0</v>
      </c>
      <c r="I134" s="7">
        <v>0</v>
      </c>
      <c r="J134" s="5">
        <v>45986</v>
      </c>
      <c r="K134" s="1" t="s">
        <v>22</v>
      </c>
      <c r="L134" s="1" t="s">
        <v>22</v>
      </c>
      <c r="M134" s="8">
        <v>0</v>
      </c>
      <c r="N134" s="6"/>
      <c r="O134" s="6"/>
      <c r="P134" s="9">
        <v>-320.17</v>
      </c>
    </row>
    <row r="135" spans="1:16" ht="19.5" customHeight="1">
      <c r="A135" s="1" t="s">
        <v>1270</v>
      </c>
      <c r="B135" s="5">
        <v>45986</v>
      </c>
      <c r="C135" s="1" t="s">
        <v>77</v>
      </c>
      <c r="D135" s="1" t="s">
        <v>82</v>
      </c>
      <c r="E135" s="1" t="s">
        <v>22</v>
      </c>
      <c r="F135" s="1" t="s">
        <v>22</v>
      </c>
      <c r="G135" s="1" t="s">
        <v>22</v>
      </c>
      <c r="H135" s="6">
        <v>0</v>
      </c>
      <c r="I135" s="7">
        <v>0</v>
      </c>
      <c r="J135" s="5">
        <v>45986</v>
      </c>
      <c r="K135" s="1" t="s">
        <v>22</v>
      </c>
      <c r="L135" s="1" t="s">
        <v>22</v>
      </c>
      <c r="M135" s="8">
        <v>0</v>
      </c>
      <c r="N135" s="6"/>
      <c r="O135" s="6"/>
      <c r="P135" s="9">
        <v>-218.21</v>
      </c>
    </row>
    <row r="136" spans="1:16" ht="19.5" customHeight="1">
      <c r="A136" s="1" t="s">
        <v>1075</v>
      </c>
      <c r="B136" s="5">
        <v>45986</v>
      </c>
      <c r="C136" s="1" t="s">
        <v>77</v>
      </c>
      <c r="D136" s="1" t="s">
        <v>82</v>
      </c>
      <c r="E136" s="1" t="s">
        <v>22</v>
      </c>
      <c r="F136" s="1" t="s">
        <v>22</v>
      </c>
      <c r="G136" s="1" t="s">
        <v>22</v>
      </c>
      <c r="H136" s="6">
        <v>0</v>
      </c>
      <c r="I136" s="7">
        <v>0</v>
      </c>
      <c r="J136" s="5">
        <v>45986</v>
      </c>
      <c r="K136" s="1" t="s">
        <v>22</v>
      </c>
      <c r="L136" s="1" t="s">
        <v>22</v>
      </c>
      <c r="M136" s="8">
        <v>0</v>
      </c>
      <c r="N136" s="6"/>
      <c r="O136" s="6"/>
      <c r="P136" s="9">
        <v>-646.99</v>
      </c>
    </row>
    <row r="137" spans="1:16" ht="19.5" customHeight="1">
      <c r="A137" s="1" t="s">
        <v>83</v>
      </c>
      <c r="B137" s="5">
        <v>45986</v>
      </c>
      <c r="C137" s="1" t="s">
        <v>77</v>
      </c>
      <c r="D137" s="1" t="s">
        <v>84</v>
      </c>
      <c r="E137" s="1" t="s">
        <v>22</v>
      </c>
      <c r="F137" s="1" t="s">
        <v>22</v>
      </c>
      <c r="G137" s="1" t="s">
        <v>22</v>
      </c>
      <c r="H137" s="6">
        <v>0</v>
      </c>
      <c r="I137" s="7">
        <v>0</v>
      </c>
      <c r="J137" s="5">
        <v>45986</v>
      </c>
      <c r="K137" s="1" t="s">
        <v>22</v>
      </c>
      <c r="L137" s="1" t="s">
        <v>22</v>
      </c>
      <c r="M137" s="8">
        <v>0</v>
      </c>
      <c r="N137" s="6"/>
      <c r="O137" s="6"/>
      <c r="P137" s="9">
        <v>-2102.7199999999998</v>
      </c>
    </row>
    <row r="138" spans="1:16" ht="19.5" customHeight="1">
      <c r="A138" s="1" t="s">
        <v>1369</v>
      </c>
      <c r="B138" s="5">
        <v>45987</v>
      </c>
      <c r="C138" s="1" t="s">
        <v>17</v>
      </c>
      <c r="D138" s="1" t="s">
        <v>18</v>
      </c>
      <c r="E138" s="1" t="s">
        <v>223</v>
      </c>
      <c r="F138" s="1" t="s">
        <v>395</v>
      </c>
      <c r="G138" s="1" t="s">
        <v>1229</v>
      </c>
      <c r="H138" s="6">
        <v>1</v>
      </c>
      <c r="I138" s="7">
        <v>0</v>
      </c>
      <c r="J138" s="5">
        <v>45987</v>
      </c>
      <c r="K138" s="1" t="s">
        <v>22</v>
      </c>
      <c r="L138" s="1" t="s">
        <v>22</v>
      </c>
      <c r="M138" s="8">
        <v>0</v>
      </c>
      <c r="N138" s="6"/>
      <c r="O138" s="6"/>
      <c r="P138" s="9">
        <v>-3.62</v>
      </c>
    </row>
    <row r="139" spans="1:16" ht="19.5" customHeight="1">
      <c r="A139" s="1" t="s">
        <v>1370</v>
      </c>
      <c r="B139" s="5">
        <v>45987</v>
      </c>
      <c r="C139" s="1" t="s">
        <v>17</v>
      </c>
      <c r="D139" s="1" t="s">
        <v>18</v>
      </c>
      <c r="E139" s="1" t="s">
        <v>223</v>
      </c>
      <c r="F139" s="1" t="s">
        <v>395</v>
      </c>
      <c r="G139" s="1" t="s">
        <v>1229</v>
      </c>
      <c r="H139" s="6">
        <v>1</v>
      </c>
      <c r="I139" s="7">
        <v>0</v>
      </c>
      <c r="J139" s="5">
        <v>45987</v>
      </c>
      <c r="K139" s="1" t="s">
        <v>22</v>
      </c>
      <c r="L139" s="1" t="s">
        <v>22</v>
      </c>
      <c r="M139" s="8">
        <v>0</v>
      </c>
      <c r="N139" s="6"/>
      <c r="O139" s="6"/>
      <c r="P139" s="9">
        <v>-11.45</v>
      </c>
    </row>
    <row r="140" spans="1:16" ht="19.5" customHeight="1">
      <c r="A140" s="1" t="s">
        <v>1371</v>
      </c>
      <c r="B140" s="5">
        <v>45987</v>
      </c>
      <c r="C140" s="1" t="s">
        <v>28</v>
      </c>
      <c r="D140" s="1" t="s">
        <v>29</v>
      </c>
      <c r="E140" s="1" t="s">
        <v>223</v>
      </c>
      <c r="F140" s="1" t="s">
        <v>395</v>
      </c>
      <c r="G140" s="1" t="s">
        <v>1229</v>
      </c>
      <c r="H140" s="6">
        <v>1</v>
      </c>
      <c r="I140" s="7">
        <v>1376</v>
      </c>
      <c r="J140" s="5">
        <v>45985</v>
      </c>
      <c r="K140" s="1" t="s">
        <v>957</v>
      </c>
      <c r="L140" s="1" t="s">
        <v>30</v>
      </c>
      <c r="M140" s="8">
        <v>0.43</v>
      </c>
      <c r="N140" s="6"/>
      <c r="O140" s="6">
        <v>43</v>
      </c>
      <c r="P140" s="9">
        <v>-114.88</v>
      </c>
    </row>
    <row r="141" spans="1:16" ht="19.5" customHeight="1">
      <c r="A141" s="1" t="s">
        <v>1371</v>
      </c>
      <c r="B141" s="5">
        <v>45987</v>
      </c>
      <c r="C141" s="1" t="s">
        <v>31</v>
      </c>
      <c r="D141" s="1" t="s">
        <v>32</v>
      </c>
      <c r="E141" s="1" t="s">
        <v>223</v>
      </c>
      <c r="F141" s="1" t="s">
        <v>395</v>
      </c>
      <c r="G141" s="1" t="s">
        <v>1229</v>
      </c>
      <c r="H141" s="6">
        <v>1</v>
      </c>
      <c r="I141" s="7">
        <v>1376</v>
      </c>
      <c r="J141" s="5">
        <v>45985</v>
      </c>
      <c r="K141" s="1" t="s">
        <v>957</v>
      </c>
      <c r="L141" s="1" t="s">
        <v>30</v>
      </c>
      <c r="M141" s="8">
        <v>0</v>
      </c>
      <c r="N141" s="6"/>
      <c r="O141" s="6"/>
      <c r="P141" s="9">
        <v>546.91999999999996</v>
      </c>
    </row>
    <row r="142" spans="1:16" ht="19.5" customHeight="1">
      <c r="A142" s="1" t="s">
        <v>1371</v>
      </c>
      <c r="B142" s="5">
        <v>45987</v>
      </c>
      <c r="C142" s="1" t="s">
        <v>31</v>
      </c>
      <c r="D142" s="1" t="s">
        <v>33</v>
      </c>
      <c r="E142" s="1" t="s">
        <v>223</v>
      </c>
      <c r="F142" s="1" t="s">
        <v>395</v>
      </c>
      <c r="G142" s="1" t="s">
        <v>1229</v>
      </c>
      <c r="H142" s="6">
        <v>1</v>
      </c>
      <c r="I142" s="7">
        <v>1376</v>
      </c>
      <c r="J142" s="5">
        <v>45985</v>
      </c>
      <c r="K142" s="1" t="s">
        <v>957</v>
      </c>
      <c r="L142" s="1" t="s">
        <v>30</v>
      </c>
      <c r="M142" s="8">
        <v>0</v>
      </c>
      <c r="N142" s="6"/>
      <c r="O142" s="6"/>
      <c r="P142" s="9">
        <v>0</v>
      </c>
    </row>
    <row r="143" spans="1:16" ht="19.5" customHeight="1">
      <c r="A143" s="1" t="s">
        <v>1371</v>
      </c>
      <c r="B143" s="5">
        <v>45987</v>
      </c>
      <c r="C143" s="1" t="s">
        <v>31</v>
      </c>
      <c r="D143" s="1" t="s">
        <v>34</v>
      </c>
      <c r="E143" s="1" t="s">
        <v>223</v>
      </c>
      <c r="F143" s="1" t="s">
        <v>395</v>
      </c>
      <c r="G143" s="1" t="s">
        <v>1229</v>
      </c>
      <c r="H143" s="6">
        <v>1</v>
      </c>
      <c r="I143" s="7">
        <v>1376</v>
      </c>
      <c r="J143" s="5">
        <v>45985</v>
      </c>
      <c r="K143" s="1" t="s">
        <v>957</v>
      </c>
      <c r="L143" s="1" t="s">
        <v>30</v>
      </c>
      <c r="M143" s="8">
        <v>0</v>
      </c>
      <c r="N143" s="6"/>
      <c r="O143" s="6"/>
      <c r="P143" s="9">
        <v>829.08</v>
      </c>
    </row>
    <row r="144" spans="1:16" ht="19.5" customHeight="1">
      <c r="A144" s="1" t="s">
        <v>1371</v>
      </c>
      <c r="B144" s="5">
        <v>45987</v>
      </c>
      <c r="C144" s="1" t="s">
        <v>35</v>
      </c>
      <c r="D144" s="1" t="s">
        <v>36</v>
      </c>
      <c r="E144" s="1" t="s">
        <v>223</v>
      </c>
      <c r="F144" s="1" t="s">
        <v>395</v>
      </c>
      <c r="G144" s="1" t="s">
        <v>1229</v>
      </c>
      <c r="H144" s="6">
        <v>1</v>
      </c>
      <c r="I144" s="7">
        <v>1376</v>
      </c>
      <c r="J144" s="5">
        <v>45985</v>
      </c>
      <c r="K144" s="1" t="s">
        <v>957</v>
      </c>
      <c r="L144" s="1" t="s">
        <v>30</v>
      </c>
      <c r="M144" s="8">
        <v>0.43</v>
      </c>
      <c r="N144" s="6"/>
      <c r="O144" s="6"/>
      <c r="P144" s="9">
        <v>-591.67999999999995</v>
      </c>
    </row>
    <row r="145" spans="1:16" ht="19.5" customHeight="1">
      <c r="A145" s="1" t="s">
        <v>1371</v>
      </c>
      <c r="B145" s="5">
        <v>45987</v>
      </c>
      <c r="C145" s="1" t="s">
        <v>17</v>
      </c>
      <c r="D145" s="1" t="s">
        <v>37</v>
      </c>
      <c r="E145" s="1" t="s">
        <v>223</v>
      </c>
      <c r="F145" s="1" t="s">
        <v>395</v>
      </c>
      <c r="G145" s="1" t="s">
        <v>1229</v>
      </c>
      <c r="H145" s="6">
        <v>1</v>
      </c>
      <c r="I145" s="7">
        <v>1376</v>
      </c>
      <c r="J145" s="5">
        <v>45985</v>
      </c>
      <c r="K145" s="1" t="s">
        <v>957</v>
      </c>
      <c r="L145" s="1" t="s">
        <v>30</v>
      </c>
      <c r="M145" s="8">
        <v>0.43</v>
      </c>
      <c r="N145" s="6"/>
      <c r="O145" s="6"/>
      <c r="P145" s="9">
        <v>-7.51</v>
      </c>
    </row>
    <row r="146" spans="1:16" ht="19.5" customHeight="1">
      <c r="A146" s="1" t="s">
        <v>1372</v>
      </c>
      <c r="B146" s="5">
        <v>45987</v>
      </c>
      <c r="C146" s="1" t="s">
        <v>28</v>
      </c>
      <c r="D146" s="1" t="s">
        <v>29</v>
      </c>
      <c r="E146" s="1" t="s">
        <v>223</v>
      </c>
      <c r="F146" s="1" t="s">
        <v>395</v>
      </c>
      <c r="G146" s="1" t="s">
        <v>1229</v>
      </c>
      <c r="H146" s="6">
        <v>1</v>
      </c>
      <c r="I146" s="7">
        <v>1348</v>
      </c>
      <c r="J146" s="5">
        <v>45986</v>
      </c>
      <c r="K146" s="1" t="s">
        <v>957</v>
      </c>
      <c r="L146" s="1" t="s">
        <v>30</v>
      </c>
      <c r="M146" s="8">
        <v>0.43</v>
      </c>
      <c r="N146" s="6"/>
      <c r="O146" s="6">
        <v>44</v>
      </c>
      <c r="P146" s="9">
        <v>-117.44</v>
      </c>
    </row>
    <row r="147" spans="1:16" ht="19.5" customHeight="1">
      <c r="A147" s="1" t="s">
        <v>1372</v>
      </c>
      <c r="B147" s="5">
        <v>45987</v>
      </c>
      <c r="C147" s="1" t="s">
        <v>31</v>
      </c>
      <c r="D147" s="1" t="s">
        <v>32</v>
      </c>
      <c r="E147" s="1" t="s">
        <v>223</v>
      </c>
      <c r="F147" s="1" t="s">
        <v>395</v>
      </c>
      <c r="G147" s="1" t="s">
        <v>1229</v>
      </c>
      <c r="H147" s="6">
        <v>1</v>
      </c>
      <c r="I147" s="7">
        <v>1348</v>
      </c>
      <c r="J147" s="5">
        <v>45986</v>
      </c>
      <c r="K147" s="1" t="s">
        <v>957</v>
      </c>
      <c r="L147" s="1" t="s">
        <v>30</v>
      </c>
      <c r="M147" s="8">
        <v>0</v>
      </c>
      <c r="N147" s="6"/>
      <c r="O147" s="6"/>
      <c r="P147" s="9">
        <v>543.80999999999995</v>
      </c>
    </row>
    <row r="148" spans="1:16" ht="19.5" customHeight="1">
      <c r="A148" s="1" t="s">
        <v>1372</v>
      </c>
      <c r="B148" s="5">
        <v>45987</v>
      </c>
      <c r="C148" s="1" t="s">
        <v>31</v>
      </c>
      <c r="D148" s="1" t="s">
        <v>33</v>
      </c>
      <c r="E148" s="1" t="s">
        <v>223</v>
      </c>
      <c r="F148" s="1" t="s">
        <v>395</v>
      </c>
      <c r="G148" s="1" t="s">
        <v>1229</v>
      </c>
      <c r="H148" s="6">
        <v>1</v>
      </c>
      <c r="I148" s="7">
        <v>1348</v>
      </c>
      <c r="J148" s="5">
        <v>45986</v>
      </c>
      <c r="K148" s="1" t="s">
        <v>957</v>
      </c>
      <c r="L148" s="1" t="s">
        <v>30</v>
      </c>
      <c r="M148" s="8">
        <v>0</v>
      </c>
      <c r="N148" s="6"/>
      <c r="O148" s="6"/>
      <c r="P148" s="9">
        <v>5.44</v>
      </c>
    </row>
    <row r="149" spans="1:16" ht="19.5" customHeight="1">
      <c r="A149" s="1" t="s">
        <v>1372</v>
      </c>
      <c r="B149" s="5">
        <v>45987</v>
      </c>
      <c r="C149" s="1" t="s">
        <v>31</v>
      </c>
      <c r="D149" s="1" t="s">
        <v>34</v>
      </c>
      <c r="E149" s="1" t="s">
        <v>223</v>
      </c>
      <c r="F149" s="1" t="s">
        <v>395</v>
      </c>
      <c r="G149" s="1" t="s">
        <v>1229</v>
      </c>
      <c r="H149" s="6">
        <v>1</v>
      </c>
      <c r="I149" s="7">
        <v>1348</v>
      </c>
      <c r="J149" s="5">
        <v>45986</v>
      </c>
      <c r="K149" s="1" t="s">
        <v>957</v>
      </c>
      <c r="L149" s="1" t="s">
        <v>30</v>
      </c>
      <c r="M149" s="8">
        <v>0</v>
      </c>
      <c r="N149" s="6"/>
      <c r="O149" s="6"/>
      <c r="P149" s="9">
        <v>798.75</v>
      </c>
    </row>
    <row r="150" spans="1:16" ht="19.5" customHeight="1">
      <c r="A150" s="1" t="s">
        <v>1372</v>
      </c>
      <c r="B150" s="5">
        <v>45987</v>
      </c>
      <c r="C150" s="1" t="s">
        <v>35</v>
      </c>
      <c r="D150" s="1" t="s">
        <v>36</v>
      </c>
      <c r="E150" s="1" t="s">
        <v>223</v>
      </c>
      <c r="F150" s="1" t="s">
        <v>395</v>
      </c>
      <c r="G150" s="1" t="s">
        <v>1229</v>
      </c>
      <c r="H150" s="6">
        <v>1</v>
      </c>
      <c r="I150" s="7">
        <v>1348</v>
      </c>
      <c r="J150" s="5">
        <v>45986</v>
      </c>
      <c r="K150" s="1" t="s">
        <v>957</v>
      </c>
      <c r="L150" s="1" t="s">
        <v>30</v>
      </c>
      <c r="M150" s="8">
        <v>0.43</v>
      </c>
      <c r="N150" s="6"/>
      <c r="O150" s="6"/>
      <c r="P150" s="9">
        <v>-579.64</v>
      </c>
    </row>
    <row r="151" spans="1:16" ht="19.5" customHeight="1">
      <c r="A151" s="1" t="s">
        <v>1372</v>
      </c>
      <c r="B151" s="5">
        <v>45987</v>
      </c>
      <c r="C151" s="1" t="s">
        <v>17</v>
      </c>
      <c r="D151" s="1" t="s">
        <v>37</v>
      </c>
      <c r="E151" s="1" t="s">
        <v>223</v>
      </c>
      <c r="F151" s="1" t="s">
        <v>395</v>
      </c>
      <c r="G151" s="1" t="s">
        <v>1229</v>
      </c>
      <c r="H151" s="6">
        <v>1</v>
      </c>
      <c r="I151" s="7">
        <v>1348</v>
      </c>
      <c r="J151" s="5">
        <v>45986</v>
      </c>
      <c r="K151" s="1" t="s">
        <v>957</v>
      </c>
      <c r="L151" s="1" t="s">
        <v>30</v>
      </c>
      <c r="M151" s="8">
        <v>0.43</v>
      </c>
      <c r="N151" s="6"/>
      <c r="O151" s="6"/>
      <c r="P151" s="9">
        <v>-7.37</v>
      </c>
    </row>
    <row r="152" spans="1:16" ht="19.5" customHeight="1">
      <c r="A152" s="1" t="s">
        <v>1371</v>
      </c>
      <c r="B152" s="5">
        <v>45987</v>
      </c>
      <c r="C152" s="1" t="s">
        <v>17</v>
      </c>
      <c r="D152" s="1" t="s">
        <v>18</v>
      </c>
      <c r="E152" s="1" t="s">
        <v>223</v>
      </c>
      <c r="F152" s="1" t="s">
        <v>395</v>
      </c>
      <c r="G152" s="1" t="s">
        <v>1229</v>
      </c>
      <c r="H152" s="6">
        <v>1</v>
      </c>
      <c r="I152" s="7">
        <v>0</v>
      </c>
      <c r="J152" s="5">
        <v>45985</v>
      </c>
      <c r="K152" s="1" t="s">
        <v>22</v>
      </c>
      <c r="L152" s="1" t="s">
        <v>22</v>
      </c>
      <c r="M152" s="8">
        <v>0</v>
      </c>
      <c r="N152" s="6"/>
      <c r="O152" s="6"/>
      <c r="P152" s="9">
        <v>-3.72</v>
      </c>
    </row>
    <row r="153" spans="1:16" ht="19.5" customHeight="1">
      <c r="A153" s="1" t="s">
        <v>1373</v>
      </c>
      <c r="B153" s="5">
        <v>45987</v>
      </c>
      <c r="C153" s="1" t="s">
        <v>28</v>
      </c>
      <c r="D153" s="1" t="s">
        <v>29</v>
      </c>
      <c r="E153" s="1" t="s">
        <v>25</v>
      </c>
      <c r="F153" s="1" t="s">
        <v>26</v>
      </c>
      <c r="G153" s="1" t="s">
        <v>1229</v>
      </c>
      <c r="H153" s="6">
        <v>1</v>
      </c>
      <c r="I153" s="7">
        <v>1738</v>
      </c>
      <c r="J153" s="5">
        <v>45985</v>
      </c>
      <c r="K153" s="1" t="s">
        <v>957</v>
      </c>
      <c r="L153" s="1" t="s">
        <v>30</v>
      </c>
      <c r="M153" s="8">
        <v>0.43</v>
      </c>
      <c r="N153" s="6"/>
      <c r="O153" s="6">
        <v>43</v>
      </c>
      <c r="P153" s="9">
        <v>-125.74</v>
      </c>
    </row>
    <row r="154" spans="1:16" ht="19.5" customHeight="1">
      <c r="A154" s="1" t="s">
        <v>1373</v>
      </c>
      <c r="B154" s="5">
        <v>45987</v>
      </c>
      <c r="C154" s="1" t="s">
        <v>31</v>
      </c>
      <c r="D154" s="1" t="s">
        <v>32</v>
      </c>
      <c r="E154" s="1" t="s">
        <v>25</v>
      </c>
      <c r="F154" s="1" t="s">
        <v>26</v>
      </c>
      <c r="G154" s="1" t="s">
        <v>1229</v>
      </c>
      <c r="H154" s="6">
        <v>1</v>
      </c>
      <c r="I154" s="7">
        <v>1738</v>
      </c>
      <c r="J154" s="5">
        <v>45985</v>
      </c>
      <c r="K154" s="1" t="s">
        <v>957</v>
      </c>
      <c r="L154" s="1" t="s">
        <v>30</v>
      </c>
      <c r="M154" s="8">
        <v>0</v>
      </c>
      <c r="N154" s="6"/>
      <c r="O154" s="6"/>
      <c r="P154" s="9">
        <v>888.57</v>
      </c>
    </row>
    <row r="155" spans="1:16" ht="19.5" customHeight="1">
      <c r="A155" s="1" t="s">
        <v>1373</v>
      </c>
      <c r="B155" s="5">
        <v>45987</v>
      </c>
      <c r="C155" s="1" t="s">
        <v>31</v>
      </c>
      <c r="D155" s="1" t="s">
        <v>33</v>
      </c>
      <c r="E155" s="1" t="s">
        <v>25</v>
      </c>
      <c r="F155" s="1" t="s">
        <v>26</v>
      </c>
      <c r="G155" s="1" t="s">
        <v>1229</v>
      </c>
      <c r="H155" s="6">
        <v>1</v>
      </c>
      <c r="I155" s="7">
        <v>1738</v>
      </c>
      <c r="J155" s="5">
        <v>45985</v>
      </c>
      <c r="K155" s="1" t="s">
        <v>957</v>
      </c>
      <c r="L155" s="1" t="s">
        <v>30</v>
      </c>
      <c r="M155" s="8">
        <v>0</v>
      </c>
      <c r="N155" s="6"/>
      <c r="O155" s="6"/>
      <c r="P155" s="9">
        <v>8.89</v>
      </c>
    </row>
    <row r="156" spans="1:16" ht="19.5" customHeight="1">
      <c r="A156" s="1" t="s">
        <v>1373</v>
      </c>
      <c r="B156" s="5">
        <v>45987</v>
      </c>
      <c r="C156" s="1" t="s">
        <v>31</v>
      </c>
      <c r="D156" s="1" t="s">
        <v>34</v>
      </c>
      <c r="E156" s="1" t="s">
        <v>25</v>
      </c>
      <c r="F156" s="1" t="s">
        <v>26</v>
      </c>
      <c r="G156" s="1" t="s">
        <v>1229</v>
      </c>
      <c r="H156" s="6">
        <v>1</v>
      </c>
      <c r="I156" s="7">
        <v>1738</v>
      </c>
      <c r="J156" s="5">
        <v>45985</v>
      </c>
      <c r="K156" s="1" t="s">
        <v>957</v>
      </c>
      <c r="L156" s="1" t="s">
        <v>30</v>
      </c>
      <c r="M156" s="8">
        <v>0</v>
      </c>
      <c r="N156" s="6"/>
      <c r="O156" s="6"/>
      <c r="P156" s="9">
        <v>840.54</v>
      </c>
    </row>
    <row r="157" spans="1:16" ht="19.5" customHeight="1">
      <c r="A157" s="1" t="s">
        <v>1373</v>
      </c>
      <c r="B157" s="5">
        <v>45987</v>
      </c>
      <c r="C157" s="1" t="s">
        <v>35</v>
      </c>
      <c r="D157" s="1" t="s">
        <v>36</v>
      </c>
      <c r="E157" s="1" t="s">
        <v>25</v>
      </c>
      <c r="F157" s="1" t="s">
        <v>26</v>
      </c>
      <c r="G157" s="1" t="s">
        <v>1229</v>
      </c>
      <c r="H157" s="6">
        <v>1</v>
      </c>
      <c r="I157" s="7">
        <v>1738</v>
      </c>
      <c r="J157" s="5">
        <v>45985</v>
      </c>
      <c r="K157" s="1" t="s">
        <v>957</v>
      </c>
      <c r="L157" s="1" t="s">
        <v>30</v>
      </c>
      <c r="M157" s="8">
        <v>0.43</v>
      </c>
      <c r="N157" s="6"/>
      <c r="O157" s="6"/>
      <c r="P157" s="9">
        <v>-747.34</v>
      </c>
    </row>
    <row r="158" spans="1:16" ht="19.5" customHeight="1">
      <c r="A158" s="1" t="s">
        <v>1373</v>
      </c>
      <c r="B158" s="5">
        <v>45987</v>
      </c>
      <c r="C158" s="1" t="s">
        <v>17</v>
      </c>
      <c r="D158" s="1" t="s">
        <v>37</v>
      </c>
      <c r="E158" s="1" t="s">
        <v>25</v>
      </c>
      <c r="F158" s="1" t="s">
        <v>26</v>
      </c>
      <c r="G158" s="1" t="s">
        <v>1229</v>
      </c>
      <c r="H158" s="6">
        <v>1</v>
      </c>
      <c r="I158" s="7">
        <v>1738</v>
      </c>
      <c r="J158" s="5">
        <v>45985</v>
      </c>
      <c r="K158" s="1" t="s">
        <v>957</v>
      </c>
      <c r="L158" s="1" t="s">
        <v>30</v>
      </c>
      <c r="M158" s="8">
        <v>0.43</v>
      </c>
      <c r="N158" s="6"/>
      <c r="O158" s="6"/>
      <c r="P158" s="9">
        <v>-8.8800000000000008</v>
      </c>
    </row>
    <row r="159" spans="1:16" ht="19.5" customHeight="1">
      <c r="A159" s="1" t="s">
        <v>1374</v>
      </c>
      <c r="B159" s="5">
        <v>45987</v>
      </c>
      <c r="C159" s="1" t="s">
        <v>28</v>
      </c>
      <c r="D159" s="1" t="s">
        <v>29</v>
      </c>
      <c r="E159" s="1" t="s">
        <v>1055</v>
      </c>
      <c r="F159" s="1" t="s">
        <v>1317</v>
      </c>
      <c r="G159" s="1" t="s">
        <v>1298</v>
      </c>
      <c r="H159" s="6">
        <v>1</v>
      </c>
      <c r="I159" s="7">
        <v>2100</v>
      </c>
      <c r="J159" s="5">
        <v>45984</v>
      </c>
      <c r="K159" s="1" t="s">
        <v>957</v>
      </c>
      <c r="L159" s="1" t="s">
        <v>30</v>
      </c>
      <c r="M159" s="8">
        <v>0.43</v>
      </c>
      <c r="N159" s="6"/>
      <c r="O159" s="6">
        <v>42</v>
      </c>
      <c r="P159" s="9">
        <v>-132.07</v>
      </c>
    </row>
    <row r="160" spans="1:16" ht="19.5" customHeight="1">
      <c r="A160" s="1" t="s">
        <v>1374</v>
      </c>
      <c r="B160" s="5">
        <v>45987</v>
      </c>
      <c r="C160" s="1" t="s">
        <v>31</v>
      </c>
      <c r="D160" s="1" t="s">
        <v>32</v>
      </c>
      <c r="E160" s="1" t="s">
        <v>1055</v>
      </c>
      <c r="F160" s="1" t="s">
        <v>1317</v>
      </c>
      <c r="G160" s="1" t="s">
        <v>1298</v>
      </c>
      <c r="H160" s="6">
        <v>1</v>
      </c>
      <c r="I160" s="7">
        <v>2100</v>
      </c>
      <c r="J160" s="5">
        <v>45984</v>
      </c>
      <c r="K160" s="1" t="s">
        <v>957</v>
      </c>
      <c r="L160" s="1" t="s">
        <v>30</v>
      </c>
      <c r="M160" s="8">
        <v>0</v>
      </c>
      <c r="N160" s="6"/>
      <c r="O160" s="6"/>
      <c r="P160" s="9">
        <v>798.1</v>
      </c>
    </row>
    <row r="161" spans="1:16" ht="19.5" customHeight="1">
      <c r="A161" s="1" t="s">
        <v>1374</v>
      </c>
      <c r="B161" s="5">
        <v>45987</v>
      </c>
      <c r="C161" s="1" t="s">
        <v>31</v>
      </c>
      <c r="D161" s="1" t="s">
        <v>33</v>
      </c>
      <c r="E161" s="1" t="s">
        <v>1055</v>
      </c>
      <c r="F161" s="1" t="s">
        <v>1317</v>
      </c>
      <c r="G161" s="1" t="s">
        <v>1298</v>
      </c>
      <c r="H161" s="6">
        <v>1</v>
      </c>
      <c r="I161" s="7">
        <v>2100</v>
      </c>
      <c r="J161" s="5">
        <v>45984</v>
      </c>
      <c r="K161" s="1" t="s">
        <v>957</v>
      </c>
      <c r="L161" s="1" t="s">
        <v>30</v>
      </c>
      <c r="M161" s="8">
        <v>0</v>
      </c>
      <c r="N161" s="6"/>
      <c r="O161" s="6"/>
      <c r="P161" s="9">
        <v>7.98</v>
      </c>
    </row>
    <row r="162" spans="1:16" ht="19.5" customHeight="1">
      <c r="A162" s="1" t="s">
        <v>1374</v>
      </c>
      <c r="B162" s="5">
        <v>45987</v>
      </c>
      <c r="C162" s="1" t="s">
        <v>31</v>
      </c>
      <c r="D162" s="1" t="s">
        <v>34</v>
      </c>
      <c r="E162" s="1" t="s">
        <v>1055</v>
      </c>
      <c r="F162" s="1" t="s">
        <v>1317</v>
      </c>
      <c r="G162" s="1" t="s">
        <v>1298</v>
      </c>
      <c r="H162" s="6">
        <v>1</v>
      </c>
      <c r="I162" s="7">
        <v>2100</v>
      </c>
      <c r="J162" s="5">
        <v>45984</v>
      </c>
      <c r="K162" s="1" t="s">
        <v>957</v>
      </c>
      <c r="L162" s="1" t="s">
        <v>30</v>
      </c>
      <c r="M162" s="8">
        <v>0</v>
      </c>
      <c r="N162" s="6"/>
      <c r="O162" s="6"/>
      <c r="P162" s="9">
        <v>1293.92</v>
      </c>
    </row>
    <row r="163" spans="1:16" ht="19.5" customHeight="1">
      <c r="A163" s="1" t="s">
        <v>1374</v>
      </c>
      <c r="B163" s="5">
        <v>45987</v>
      </c>
      <c r="C163" s="1" t="s">
        <v>35</v>
      </c>
      <c r="D163" s="1" t="s">
        <v>36</v>
      </c>
      <c r="E163" s="1" t="s">
        <v>1055</v>
      </c>
      <c r="F163" s="1" t="s">
        <v>1317</v>
      </c>
      <c r="G163" s="1" t="s">
        <v>1298</v>
      </c>
      <c r="H163" s="6">
        <v>1</v>
      </c>
      <c r="I163" s="7">
        <v>2100</v>
      </c>
      <c r="J163" s="5">
        <v>45984</v>
      </c>
      <c r="K163" s="1" t="s">
        <v>957</v>
      </c>
      <c r="L163" s="1" t="s">
        <v>30</v>
      </c>
      <c r="M163" s="8">
        <v>0.43</v>
      </c>
      <c r="N163" s="6"/>
      <c r="O163" s="6"/>
      <c r="P163" s="9">
        <v>-903</v>
      </c>
    </row>
    <row r="164" spans="1:16" ht="19.5" customHeight="1">
      <c r="A164" s="1" t="s">
        <v>1374</v>
      </c>
      <c r="B164" s="5">
        <v>45987</v>
      </c>
      <c r="C164" s="1" t="s">
        <v>17</v>
      </c>
      <c r="D164" s="1" t="s">
        <v>37</v>
      </c>
      <c r="E164" s="1" t="s">
        <v>1055</v>
      </c>
      <c r="F164" s="1" t="s">
        <v>1317</v>
      </c>
      <c r="G164" s="1" t="s">
        <v>1298</v>
      </c>
      <c r="H164" s="6">
        <v>1</v>
      </c>
      <c r="I164" s="7">
        <v>2100</v>
      </c>
      <c r="J164" s="5">
        <v>45984</v>
      </c>
      <c r="K164" s="1" t="s">
        <v>957</v>
      </c>
      <c r="L164" s="1" t="s">
        <v>30</v>
      </c>
      <c r="M164" s="8">
        <v>0.43</v>
      </c>
      <c r="N164" s="6"/>
      <c r="O164" s="6"/>
      <c r="P164" s="9">
        <v>-11.73</v>
      </c>
    </row>
    <row r="165" spans="1:16" ht="19.5" customHeight="1">
      <c r="A165" s="1" t="s">
        <v>1373</v>
      </c>
      <c r="B165" s="5">
        <v>45987</v>
      </c>
      <c r="C165" s="1" t="s">
        <v>17</v>
      </c>
      <c r="D165" s="1" t="s">
        <v>18</v>
      </c>
      <c r="E165" s="1" t="s">
        <v>25</v>
      </c>
      <c r="F165" s="1" t="s">
        <v>26</v>
      </c>
      <c r="G165" s="1" t="s">
        <v>1229</v>
      </c>
      <c r="H165" s="6">
        <v>1</v>
      </c>
      <c r="I165" s="7">
        <v>0</v>
      </c>
      <c r="J165" s="5">
        <v>45985</v>
      </c>
      <c r="K165" s="1" t="s">
        <v>22</v>
      </c>
      <c r="L165" s="1" t="s">
        <v>22</v>
      </c>
      <c r="M165" s="8">
        <v>0</v>
      </c>
      <c r="N165" s="6"/>
      <c r="O165" s="6"/>
      <c r="P165" s="9">
        <v>-16.88</v>
      </c>
    </row>
    <row r="166" spans="1:16" ht="19.5" customHeight="1">
      <c r="A166" s="1" t="s">
        <v>22</v>
      </c>
      <c r="B166" s="5">
        <v>45987</v>
      </c>
      <c r="C166" s="1" t="s">
        <v>77</v>
      </c>
      <c r="D166" s="1" t="s">
        <v>78</v>
      </c>
      <c r="E166" s="1" t="s">
        <v>22</v>
      </c>
      <c r="F166" s="1" t="s">
        <v>22</v>
      </c>
      <c r="G166" s="1" t="s">
        <v>1375</v>
      </c>
      <c r="H166" s="6">
        <v>0</v>
      </c>
      <c r="I166" s="7">
        <v>0</v>
      </c>
      <c r="J166" s="5">
        <v>45987</v>
      </c>
      <c r="K166" s="1" t="s">
        <v>22</v>
      </c>
      <c r="L166" s="1" t="s">
        <v>22</v>
      </c>
      <c r="M166" s="8">
        <v>0</v>
      </c>
      <c r="N166" s="6"/>
      <c r="O166" s="6"/>
      <c r="P166" s="9">
        <v>-450</v>
      </c>
    </row>
    <row r="167" spans="1:16" ht="19.5" customHeight="1">
      <c r="A167" s="1" t="s">
        <v>1376</v>
      </c>
      <c r="B167" s="5">
        <v>45987</v>
      </c>
      <c r="C167" s="1" t="s">
        <v>77</v>
      </c>
      <c r="D167" s="1" t="s">
        <v>82</v>
      </c>
      <c r="E167" s="1" t="s">
        <v>22</v>
      </c>
      <c r="F167" s="1" t="s">
        <v>22</v>
      </c>
      <c r="G167" s="1" t="s">
        <v>22</v>
      </c>
      <c r="H167" s="6">
        <v>0</v>
      </c>
      <c r="I167" s="7">
        <v>0</v>
      </c>
      <c r="J167" s="5">
        <v>45987</v>
      </c>
      <c r="K167" s="1" t="s">
        <v>22</v>
      </c>
      <c r="L167" s="1" t="s">
        <v>22</v>
      </c>
      <c r="M167" s="8">
        <v>0</v>
      </c>
      <c r="N167" s="6"/>
      <c r="O167" s="6"/>
      <c r="P167" s="9">
        <v>-165.61</v>
      </c>
    </row>
    <row r="168" spans="1:16" ht="19.5" customHeight="1">
      <c r="A168" s="1" t="s">
        <v>1282</v>
      </c>
      <c r="B168" s="5">
        <v>45987</v>
      </c>
      <c r="C168" s="1" t="s">
        <v>77</v>
      </c>
      <c r="D168" s="1" t="s">
        <v>82</v>
      </c>
      <c r="E168" s="1" t="s">
        <v>22</v>
      </c>
      <c r="F168" s="1" t="s">
        <v>22</v>
      </c>
      <c r="G168" s="1" t="s">
        <v>22</v>
      </c>
      <c r="H168" s="6">
        <v>0</v>
      </c>
      <c r="I168" s="7">
        <v>0</v>
      </c>
      <c r="J168" s="5">
        <v>45987</v>
      </c>
      <c r="K168" s="1" t="s">
        <v>22</v>
      </c>
      <c r="L168" s="1" t="s">
        <v>22</v>
      </c>
      <c r="M168" s="8">
        <v>0</v>
      </c>
      <c r="N168" s="6"/>
      <c r="O168" s="6"/>
      <c r="P168" s="9">
        <v>-35.11</v>
      </c>
    </row>
    <row r="169" spans="1:16" ht="19.5" customHeight="1">
      <c r="A169" s="1" t="s">
        <v>1270</v>
      </c>
      <c r="B169" s="5">
        <v>45987</v>
      </c>
      <c r="C169" s="1" t="s">
        <v>77</v>
      </c>
      <c r="D169" s="1" t="s">
        <v>82</v>
      </c>
      <c r="E169" s="1" t="s">
        <v>22</v>
      </c>
      <c r="F169" s="1" t="s">
        <v>22</v>
      </c>
      <c r="G169" s="1" t="s">
        <v>22</v>
      </c>
      <c r="H169" s="6">
        <v>0</v>
      </c>
      <c r="I169" s="7">
        <v>0</v>
      </c>
      <c r="J169" s="5">
        <v>45987</v>
      </c>
      <c r="K169" s="1" t="s">
        <v>22</v>
      </c>
      <c r="L169" s="1" t="s">
        <v>22</v>
      </c>
      <c r="M169" s="8">
        <v>0</v>
      </c>
      <c r="N169" s="6"/>
      <c r="O169" s="6"/>
      <c r="P169" s="9">
        <v>-297.5</v>
      </c>
    </row>
    <row r="170" spans="1:16" ht="19.5" customHeight="1">
      <c r="A170" s="1" t="s">
        <v>1075</v>
      </c>
      <c r="B170" s="5">
        <v>45987</v>
      </c>
      <c r="C170" s="1" t="s">
        <v>77</v>
      </c>
      <c r="D170" s="1" t="s">
        <v>82</v>
      </c>
      <c r="E170" s="1" t="s">
        <v>22</v>
      </c>
      <c r="F170" s="1" t="s">
        <v>22</v>
      </c>
      <c r="G170" s="1" t="s">
        <v>22</v>
      </c>
      <c r="H170" s="6">
        <v>0</v>
      </c>
      <c r="I170" s="7">
        <v>0</v>
      </c>
      <c r="J170" s="5">
        <v>45987</v>
      </c>
      <c r="K170" s="1" t="s">
        <v>22</v>
      </c>
      <c r="L170" s="1" t="s">
        <v>22</v>
      </c>
      <c r="M170" s="8">
        <v>0</v>
      </c>
      <c r="N170" s="6"/>
      <c r="O170" s="6"/>
      <c r="P170" s="9">
        <v>-621.88</v>
      </c>
    </row>
    <row r="171" spans="1:16" ht="19.5" customHeight="1">
      <c r="A171" s="1" t="s">
        <v>83</v>
      </c>
      <c r="B171" s="5">
        <v>45987</v>
      </c>
      <c r="C171" s="1" t="s">
        <v>77</v>
      </c>
      <c r="D171" s="1" t="s">
        <v>84</v>
      </c>
      <c r="E171" s="1" t="s">
        <v>22</v>
      </c>
      <c r="F171" s="1" t="s">
        <v>22</v>
      </c>
      <c r="G171" s="1" t="s">
        <v>22</v>
      </c>
      <c r="H171" s="6">
        <v>0</v>
      </c>
      <c r="I171" s="7">
        <v>0</v>
      </c>
      <c r="J171" s="5">
        <v>45987</v>
      </c>
      <c r="K171" s="1" t="s">
        <v>22</v>
      </c>
      <c r="L171" s="1" t="s">
        <v>22</v>
      </c>
      <c r="M171" s="8">
        <v>0</v>
      </c>
      <c r="N171" s="6"/>
      <c r="O171" s="6"/>
      <c r="P171" s="9">
        <v>-672.14</v>
      </c>
    </row>
    <row r="172" spans="1:16" ht="19.5" customHeight="1">
      <c r="A172" s="1" t="s">
        <v>1377</v>
      </c>
      <c r="B172" s="5">
        <v>45988</v>
      </c>
      <c r="C172" s="1" t="s">
        <v>28</v>
      </c>
      <c r="D172" s="1" t="s">
        <v>29</v>
      </c>
      <c r="E172" s="1" t="s">
        <v>223</v>
      </c>
      <c r="F172" s="1" t="s">
        <v>395</v>
      </c>
      <c r="G172" s="1" t="s">
        <v>1229</v>
      </c>
      <c r="H172" s="6">
        <v>1</v>
      </c>
      <c r="I172" s="7">
        <v>0</v>
      </c>
      <c r="J172" s="5">
        <v>45979</v>
      </c>
      <c r="K172" s="1" t="s">
        <v>957</v>
      </c>
      <c r="L172" s="1" t="s">
        <v>30</v>
      </c>
      <c r="M172" s="8">
        <v>0</v>
      </c>
      <c r="N172" s="6"/>
      <c r="O172" s="6">
        <v>46</v>
      </c>
      <c r="P172" s="9">
        <v>-46</v>
      </c>
    </row>
    <row r="173" spans="1:16" ht="19.5" customHeight="1">
      <c r="A173" s="1" t="s">
        <v>1377</v>
      </c>
      <c r="B173" s="5">
        <v>45988</v>
      </c>
      <c r="C173" s="1" t="s">
        <v>17</v>
      </c>
      <c r="D173" s="1" t="s">
        <v>37</v>
      </c>
      <c r="E173" s="1" t="s">
        <v>223</v>
      </c>
      <c r="F173" s="1" t="s">
        <v>395</v>
      </c>
      <c r="G173" s="1" t="s">
        <v>1229</v>
      </c>
      <c r="H173" s="6">
        <v>1</v>
      </c>
      <c r="I173" s="7">
        <v>0</v>
      </c>
      <c r="J173" s="5">
        <v>45979</v>
      </c>
      <c r="K173" s="1" t="s">
        <v>957</v>
      </c>
      <c r="L173" s="1" t="s">
        <v>30</v>
      </c>
      <c r="M173" s="8">
        <v>0</v>
      </c>
      <c r="N173" s="6"/>
      <c r="O173" s="6"/>
      <c r="P173" s="9">
        <v>-18.22</v>
      </c>
    </row>
    <row r="174" spans="1:16" ht="19.5" customHeight="1">
      <c r="A174" s="1" t="s">
        <v>1377</v>
      </c>
      <c r="B174" s="5">
        <v>45988</v>
      </c>
      <c r="C174" s="1" t="s">
        <v>28</v>
      </c>
      <c r="D174" s="1" t="s">
        <v>45</v>
      </c>
      <c r="E174" s="1" t="s">
        <v>223</v>
      </c>
      <c r="F174" s="1" t="s">
        <v>395</v>
      </c>
      <c r="G174" s="1" t="s">
        <v>1229</v>
      </c>
      <c r="H174" s="6">
        <v>1</v>
      </c>
      <c r="I174" s="7">
        <v>0</v>
      </c>
      <c r="J174" s="5">
        <v>45979</v>
      </c>
      <c r="K174" s="1" t="s">
        <v>957</v>
      </c>
      <c r="L174" s="1" t="s">
        <v>30</v>
      </c>
      <c r="M174" s="8">
        <v>0</v>
      </c>
      <c r="N174" s="6"/>
      <c r="O174" s="6"/>
      <c r="P174" s="9">
        <v>0</v>
      </c>
    </row>
    <row r="175" spans="1:16" ht="19.5" customHeight="1">
      <c r="A175" s="1" t="s">
        <v>1377</v>
      </c>
      <c r="B175" s="5">
        <v>45988</v>
      </c>
      <c r="C175" s="1" t="s">
        <v>28</v>
      </c>
      <c r="D175" s="1" t="s">
        <v>46</v>
      </c>
      <c r="E175" s="1" t="s">
        <v>223</v>
      </c>
      <c r="F175" s="1" t="s">
        <v>395</v>
      </c>
      <c r="G175" s="1" t="s">
        <v>1229</v>
      </c>
      <c r="H175" s="6">
        <v>1</v>
      </c>
      <c r="I175" s="7">
        <v>0</v>
      </c>
      <c r="J175" s="5">
        <v>45979</v>
      </c>
      <c r="K175" s="1" t="s">
        <v>957</v>
      </c>
      <c r="L175" s="1" t="s">
        <v>30</v>
      </c>
      <c r="M175" s="8">
        <v>0</v>
      </c>
      <c r="N175" s="6"/>
      <c r="O175" s="6"/>
      <c r="P175" s="9">
        <v>-46</v>
      </c>
    </row>
    <row r="176" spans="1:16" ht="19.5" customHeight="1">
      <c r="A176" s="1" t="s">
        <v>1377</v>
      </c>
      <c r="B176" s="5">
        <v>45988</v>
      </c>
      <c r="C176" s="1" t="s">
        <v>17</v>
      </c>
      <c r="D176" s="1" t="s">
        <v>47</v>
      </c>
      <c r="E176" s="1" t="s">
        <v>223</v>
      </c>
      <c r="F176" s="1" t="s">
        <v>395</v>
      </c>
      <c r="G176" s="1" t="s">
        <v>1229</v>
      </c>
      <c r="H176" s="6">
        <v>1</v>
      </c>
      <c r="I176" s="7">
        <v>0</v>
      </c>
      <c r="J176" s="5">
        <v>45979</v>
      </c>
      <c r="K176" s="1" t="s">
        <v>957</v>
      </c>
      <c r="L176" s="1" t="s">
        <v>30</v>
      </c>
      <c r="M176" s="8">
        <v>0</v>
      </c>
      <c r="N176" s="6"/>
      <c r="O176" s="6"/>
      <c r="P176" s="9">
        <v>-15</v>
      </c>
    </row>
    <row r="177" spans="1:16" ht="19.5" customHeight="1">
      <c r="A177" s="1" t="s">
        <v>1378</v>
      </c>
      <c r="B177" s="5">
        <v>45988</v>
      </c>
      <c r="C177" s="1" t="s">
        <v>28</v>
      </c>
      <c r="D177" s="1" t="s">
        <v>29</v>
      </c>
      <c r="E177" s="1" t="s">
        <v>223</v>
      </c>
      <c r="F177" s="1" t="s">
        <v>395</v>
      </c>
      <c r="G177" s="1" t="s">
        <v>1229</v>
      </c>
      <c r="H177" s="6">
        <v>1</v>
      </c>
      <c r="I177" s="7">
        <v>0</v>
      </c>
      <c r="J177" s="5">
        <v>45981</v>
      </c>
      <c r="K177" s="1" t="s">
        <v>957</v>
      </c>
      <c r="L177" s="1" t="s">
        <v>30</v>
      </c>
      <c r="M177" s="8">
        <v>0</v>
      </c>
      <c r="N177" s="6"/>
      <c r="O177" s="6">
        <v>44</v>
      </c>
      <c r="P177" s="9">
        <v>-46</v>
      </c>
    </row>
    <row r="178" spans="1:16" ht="19.5" customHeight="1">
      <c r="A178" s="1" t="s">
        <v>1378</v>
      </c>
      <c r="B178" s="5">
        <v>45988</v>
      </c>
      <c r="C178" s="1" t="s">
        <v>17</v>
      </c>
      <c r="D178" s="1" t="s">
        <v>37</v>
      </c>
      <c r="E178" s="1" t="s">
        <v>223</v>
      </c>
      <c r="F178" s="1" t="s">
        <v>395</v>
      </c>
      <c r="G178" s="1" t="s">
        <v>1229</v>
      </c>
      <c r="H178" s="6">
        <v>1</v>
      </c>
      <c r="I178" s="7">
        <v>0</v>
      </c>
      <c r="J178" s="5">
        <v>45981</v>
      </c>
      <c r="K178" s="1" t="s">
        <v>957</v>
      </c>
      <c r="L178" s="1" t="s">
        <v>30</v>
      </c>
      <c r="M178" s="8">
        <v>0</v>
      </c>
      <c r="N178" s="6"/>
      <c r="O178" s="6"/>
      <c r="P178" s="9">
        <v>-8.25</v>
      </c>
    </row>
    <row r="179" spans="1:16" ht="19.5" customHeight="1">
      <c r="A179" s="1" t="s">
        <v>1378</v>
      </c>
      <c r="B179" s="5">
        <v>45988</v>
      </c>
      <c r="C179" s="1" t="s">
        <v>28</v>
      </c>
      <c r="D179" s="1" t="s">
        <v>45</v>
      </c>
      <c r="E179" s="1" t="s">
        <v>223</v>
      </c>
      <c r="F179" s="1" t="s">
        <v>395</v>
      </c>
      <c r="G179" s="1" t="s">
        <v>1229</v>
      </c>
      <c r="H179" s="6">
        <v>1</v>
      </c>
      <c r="I179" s="7">
        <v>0</v>
      </c>
      <c r="J179" s="5">
        <v>45981</v>
      </c>
      <c r="K179" s="1" t="s">
        <v>957</v>
      </c>
      <c r="L179" s="1" t="s">
        <v>30</v>
      </c>
      <c r="M179" s="8">
        <v>0</v>
      </c>
      <c r="N179" s="6"/>
      <c r="O179" s="6"/>
      <c r="P179" s="9">
        <v>0</v>
      </c>
    </row>
    <row r="180" spans="1:16" ht="19.5" customHeight="1">
      <c r="A180" s="1" t="s">
        <v>1378</v>
      </c>
      <c r="B180" s="5">
        <v>45988</v>
      </c>
      <c r="C180" s="1" t="s">
        <v>28</v>
      </c>
      <c r="D180" s="1" t="s">
        <v>46</v>
      </c>
      <c r="E180" s="1" t="s">
        <v>223</v>
      </c>
      <c r="F180" s="1" t="s">
        <v>395</v>
      </c>
      <c r="G180" s="1" t="s">
        <v>1229</v>
      </c>
      <c r="H180" s="6">
        <v>1</v>
      </c>
      <c r="I180" s="7">
        <v>0</v>
      </c>
      <c r="J180" s="5">
        <v>45981</v>
      </c>
      <c r="K180" s="1" t="s">
        <v>957</v>
      </c>
      <c r="L180" s="1" t="s">
        <v>30</v>
      </c>
      <c r="M180" s="8">
        <v>0</v>
      </c>
      <c r="N180" s="6"/>
      <c r="O180" s="6"/>
      <c r="P180" s="9">
        <v>-46</v>
      </c>
    </row>
    <row r="181" spans="1:16" ht="19.5" customHeight="1">
      <c r="A181" s="1" t="s">
        <v>1378</v>
      </c>
      <c r="B181" s="5">
        <v>45988</v>
      </c>
      <c r="C181" s="1" t="s">
        <v>17</v>
      </c>
      <c r="D181" s="1" t="s">
        <v>47</v>
      </c>
      <c r="E181" s="1" t="s">
        <v>223</v>
      </c>
      <c r="F181" s="1" t="s">
        <v>395</v>
      </c>
      <c r="G181" s="1" t="s">
        <v>1229</v>
      </c>
      <c r="H181" s="6">
        <v>1</v>
      </c>
      <c r="I181" s="7">
        <v>0</v>
      </c>
      <c r="J181" s="5">
        <v>45981</v>
      </c>
      <c r="K181" s="1" t="s">
        <v>957</v>
      </c>
      <c r="L181" s="1" t="s">
        <v>30</v>
      </c>
      <c r="M181" s="8">
        <v>0</v>
      </c>
      <c r="N181" s="6"/>
      <c r="O181" s="6"/>
      <c r="P181" s="9">
        <v>-15</v>
      </c>
    </row>
    <row r="182" spans="1:16" ht="19.5" customHeight="1">
      <c r="A182" s="1" t="s">
        <v>1299</v>
      </c>
      <c r="B182" s="5">
        <v>45988</v>
      </c>
      <c r="C182" s="1" t="s">
        <v>17</v>
      </c>
      <c r="D182" s="1" t="s">
        <v>18</v>
      </c>
      <c r="E182" s="1" t="s">
        <v>25</v>
      </c>
      <c r="F182" s="1" t="s">
        <v>26</v>
      </c>
      <c r="G182" s="1" t="s">
        <v>1229</v>
      </c>
      <c r="H182" s="6">
        <v>1</v>
      </c>
      <c r="I182" s="7">
        <v>0</v>
      </c>
      <c r="J182" s="5">
        <v>45982</v>
      </c>
      <c r="K182" s="1" t="s">
        <v>22</v>
      </c>
      <c r="L182" s="1" t="s">
        <v>22</v>
      </c>
      <c r="M182" s="8">
        <v>0</v>
      </c>
      <c r="N182" s="6"/>
      <c r="O182" s="6"/>
      <c r="P182" s="9">
        <v>16.649999999999999</v>
      </c>
    </row>
    <row r="183" spans="1:16" ht="19.5" customHeight="1">
      <c r="A183" s="1" t="s">
        <v>1379</v>
      </c>
      <c r="B183" s="5">
        <v>45988</v>
      </c>
      <c r="C183" s="1" t="s">
        <v>28</v>
      </c>
      <c r="D183" s="1" t="s">
        <v>29</v>
      </c>
      <c r="E183" s="1" t="s">
        <v>25</v>
      </c>
      <c r="F183" s="1" t="s">
        <v>26</v>
      </c>
      <c r="G183" s="1" t="s">
        <v>1229</v>
      </c>
      <c r="H183" s="6">
        <v>1</v>
      </c>
      <c r="I183" s="7">
        <v>1738</v>
      </c>
      <c r="J183" s="5">
        <v>45986</v>
      </c>
      <c r="K183" s="1" t="s">
        <v>957</v>
      </c>
      <c r="L183" s="1" t="s">
        <v>30</v>
      </c>
      <c r="M183" s="8">
        <v>0.43</v>
      </c>
      <c r="N183" s="6"/>
      <c r="O183" s="6">
        <v>44</v>
      </c>
      <c r="P183" s="9">
        <v>-129.72999999999999</v>
      </c>
    </row>
    <row r="184" spans="1:16" ht="19.5" customHeight="1">
      <c r="A184" s="1" t="s">
        <v>1379</v>
      </c>
      <c r="B184" s="5">
        <v>45988</v>
      </c>
      <c r="C184" s="1" t="s">
        <v>31</v>
      </c>
      <c r="D184" s="1" t="s">
        <v>32</v>
      </c>
      <c r="E184" s="1" t="s">
        <v>25</v>
      </c>
      <c r="F184" s="1" t="s">
        <v>26</v>
      </c>
      <c r="G184" s="1" t="s">
        <v>1229</v>
      </c>
      <c r="H184" s="6">
        <v>1</v>
      </c>
      <c r="I184" s="7">
        <v>1738</v>
      </c>
      <c r="J184" s="5">
        <v>45986</v>
      </c>
      <c r="K184" s="1" t="s">
        <v>957</v>
      </c>
      <c r="L184" s="1" t="s">
        <v>30</v>
      </c>
      <c r="M184" s="8">
        <v>0</v>
      </c>
      <c r="N184" s="6"/>
      <c r="O184" s="6"/>
      <c r="P184" s="9">
        <v>812.38</v>
      </c>
    </row>
    <row r="185" spans="1:16" ht="19.5" customHeight="1">
      <c r="A185" s="1" t="s">
        <v>1379</v>
      </c>
      <c r="B185" s="5">
        <v>45988</v>
      </c>
      <c r="C185" s="1" t="s">
        <v>31</v>
      </c>
      <c r="D185" s="1" t="s">
        <v>33</v>
      </c>
      <c r="E185" s="1" t="s">
        <v>25</v>
      </c>
      <c r="F185" s="1" t="s">
        <v>26</v>
      </c>
      <c r="G185" s="1" t="s">
        <v>1229</v>
      </c>
      <c r="H185" s="6">
        <v>1</v>
      </c>
      <c r="I185" s="7">
        <v>1738</v>
      </c>
      <c r="J185" s="5">
        <v>45986</v>
      </c>
      <c r="K185" s="1" t="s">
        <v>957</v>
      </c>
      <c r="L185" s="1" t="s">
        <v>30</v>
      </c>
      <c r="M185" s="8">
        <v>0</v>
      </c>
      <c r="N185" s="6"/>
      <c r="O185" s="6"/>
      <c r="P185" s="9">
        <v>8.1199999999999992</v>
      </c>
    </row>
    <row r="186" spans="1:16" ht="19.5" customHeight="1">
      <c r="A186" s="1" t="s">
        <v>1379</v>
      </c>
      <c r="B186" s="5">
        <v>45988</v>
      </c>
      <c r="C186" s="1" t="s">
        <v>31</v>
      </c>
      <c r="D186" s="1" t="s">
        <v>34</v>
      </c>
      <c r="E186" s="1" t="s">
        <v>25</v>
      </c>
      <c r="F186" s="1" t="s">
        <v>26</v>
      </c>
      <c r="G186" s="1" t="s">
        <v>1229</v>
      </c>
      <c r="H186" s="6">
        <v>1</v>
      </c>
      <c r="I186" s="7">
        <v>1738</v>
      </c>
      <c r="J186" s="5">
        <v>45986</v>
      </c>
      <c r="K186" s="1" t="s">
        <v>957</v>
      </c>
      <c r="L186" s="1" t="s">
        <v>30</v>
      </c>
      <c r="M186" s="8">
        <v>0</v>
      </c>
      <c r="N186" s="6"/>
      <c r="O186" s="6"/>
      <c r="P186" s="9">
        <v>917.5</v>
      </c>
    </row>
    <row r="187" spans="1:16" ht="19.5" customHeight="1">
      <c r="A187" s="1" t="s">
        <v>1379</v>
      </c>
      <c r="B187" s="5">
        <v>45988</v>
      </c>
      <c r="C187" s="1" t="s">
        <v>35</v>
      </c>
      <c r="D187" s="1" t="s">
        <v>36</v>
      </c>
      <c r="E187" s="1" t="s">
        <v>25</v>
      </c>
      <c r="F187" s="1" t="s">
        <v>26</v>
      </c>
      <c r="G187" s="1" t="s">
        <v>1229</v>
      </c>
      <c r="H187" s="6">
        <v>1</v>
      </c>
      <c r="I187" s="7">
        <v>1738</v>
      </c>
      <c r="J187" s="5">
        <v>45986</v>
      </c>
      <c r="K187" s="1" t="s">
        <v>957</v>
      </c>
      <c r="L187" s="1" t="s">
        <v>30</v>
      </c>
      <c r="M187" s="8">
        <v>0.43</v>
      </c>
      <c r="N187" s="6"/>
      <c r="O187" s="6"/>
      <c r="P187" s="9">
        <v>-747.34</v>
      </c>
    </row>
    <row r="188" spans="1:16" ht="19.5" customHeight="1">
      <c r="A188" s="1" t="s">
        <v>1379</v>
      </c>
      <c r="B188" s="5">
        <v>45988</v>
      </c>
      <c r="C188" s="1" t="s">
        <v>17</v>
      </c>
      <c r="D188" s="1" t="s">
        <v>18</v>
      </c>
      <c r="E188" s="1" t="s">
        <v>25</v>
      </c>
      <c r="F188" s="1" t="s">
        <v>26</v>
      </c>
      <c r="G188" s="1" t="s">
        <v>1229</v>
      </c>
      <c r="H188" s="6">
        <v>1</v>
      </c>
      <c r="I188" s="7">
        <v>0</v>
      </c>
      <c r="J188" s="5">
        <v>45986</v>
      </c>
      <c r="K188" s="1" t="s">
        <v>22</v>
      </c>
      <c r="L188" s="1" t="s">
        <v>22</v>
      </c>
      <c r="M188" s="8">
        <v>0</v>
      </c>
      <c r="N188" s="6"/>
      <c r="O188" s="6"/>
      <c r="P188" s="9">
        <v>-15.44</v>
      </c>
    </row>
    <row r="189" spans="1:16" ht="19.5" customHeight="1">
      <c r="A189" s="1" t="s">
        <v>1380</v>
      </c>
      <c r="B189" s="5">
        <v>45988</v>
      </c>
      <c r="C189" s="1" t="s">
        <v>28</v>
      </c>
      <c r="D189" s="1" t="s">
        <v>29</v>
      </c>
      <c r="E189" s="1" t="s">
        <v>25</v>
      </c>
      <c r="F189" s="1" t="s">
        <v>26</v>
      </c>
      <c r="G189" s="1" t="s">
        <v>1229</v>
      </c>
      <c r="H189" s="6">
        <v>1</v>
      </c>
      <c r="I189" s="7">
        <v>1738</v>
      </c>
      <c r="J189" s="5">
        <v>45986</v>
      </c>
      <c r="K189" s="1" t="s">
        <v>957</v>
      </c>
      <c r="L189" s="1" t="s">
        <v>30</v>
      </c>
      <c r="M189" s="8">
        <v>0.43</v>
      </c>
      <c r="N189" s="6"/>
      <c r="O189" s="6">
        <v>44</v>
      </c>
      <c r="P189" s="9">
        <v>-129.72999999999999</v>
      </c>
    </row>
    <row r="190" spans="1:16" ht="19.5" customHeight="1">
      <c r="A190" s="1" t="s">
        <v>1380</v>
      </c>
      <c r="B190" s="5">
        <v>45988</v>
      </c>
      <c r="C190" s="1" t="s">
        <v>31</v>
      </c>
      <c r="D190" s="1" t="s">
        <v>32</v>
      </c>
      <c r="E190" s="1" t="s">
        <v>25</v>
      </c>
      <c r="F190" s="1" t="s">
        <v>26</v>
      </c>
      <c r="G190" s="1" t="s">
        <v>1229</v>
      </c>
      <c r="H190" s="6">
        <v>1</v>
      </c>
      <c r="I190" s="7">
        <v>1738</v>
      </c>
      <c r="J190" s="5">
        <v>45986</v>
      </c>
      <c r="K190" s="1" t="s">
        <v>957</v>
      </c>
      <c r="L190" s="1" t="s">
        <v>30</v>
      </c>
      <c r="M190" s="8">
        <v>0</v>
      </c>
      <c r="N190" s="6"/>
      <c r="O190" s="6"/>
      <c r="P190" s="9">
        <v>808.53</v>
      </c>
    </row>
    <row r="191" spans="1:16" ht="19.5" customHeight="1">
      <c r="A191" s="1" t="s">
        <v>1380</v>
      </c>
      <c r="B191" s="5">
        <v>45988</v>
      </c>
      <c r="C191" s="1" t="s">
        <v>31</v>
      </c>
      <c r="D191" s="1" t="s">
        <v>33</v>
      </c>
      <c r="E191" s="1" t="s">
        <v>25</v>
      </c>
      <c r="F191" s="1" t="s">
        <v>26</v>
      </c>
      <c r="G191" s="1" t="s">
        <v>1229</v>
      </c>
      <c r="H191" s="6">
        <v>1</v>
      </c>
      <c r="I191" s="7">
        <v>1738</v>
      </c>
      <c r="J191" s="5">
        <v>45986</v>
      </c>
      <c r="K191" s="1" t="s">
        <v>957</v>
      </c>
      <c r="L191" s="1" t="s">
        <v>30</v>
      </c>
      <c r="M191" s="8">
        <v>0</v>
      </c>
      <c r="N191" s="6"/>
      <c r="O191" s="6"/>
      <c r="P191" s="9">
        <v>8.09</v>
      </c>
    </row>
    <row r="192" spans="1:16" ht="19.5" customHeight="1">
      <c r="A192" s="1" t="s">
        <v>1380</v>
      </c>
      <c r="B192" s="5">
        <v>45988</v>
      </c>
      <c r="C192" s="1" t="s">
        <v>31</v>
      </c>
      <c r="D192" s="1" t="s">
        <v>34</v>
      </c>
      <c r="E192" s="1" t="s">
        <v>25</v>
      </c>
      <c r="F192" s="1" t="s">
        <v>26</v>
      </c>
      <c r="G192" s="1" t="s">
        <v>1229</v>
      </c>
      <c r="H192" s="6">
        <v>1</v>
      </c>
      <c r="I192" s="7">
        <v>1738</v>
      </c>
      <c r="J192" s="5">
        <v>45986</v>
      </c>
      <c r="K192" s="1" t="s">
        <v>957</v>
      </c>
      <c r="L192" s="1" t="s">
        <v>30</v>
      </c>
      <c r="M192" s="8">
        <v>0</v>
      </c>
      <c r="N192" s="6"/>
      <c r="O192" s="6"/>
      <c r="P192" s="9">
        <v>921.38</v>
      </c>
    </row>
    <row r="193" spans="1:16" ht="19.5" customHeight="1">
      <c r="A193" s="1" t="s">
        <v>1380</v>
      </c>
      <c r="B193" s="5">
        <v>45988</v>
      </c>
      <c r="C193" s="1" t="s">
        <v>35</v>
      </c>
      <c r="D193" s="1" t="s">
        <v>36</v>
      </c>
      <c r="E193" s="1" t="s">
        <v>25</v>
      </c>
      <c r="F193" s="1" t="s">
        <v>26</v>
      </c>
      <c r="G193" s="1" t="s">
        <v>1229</v>
      </c>
      <c r="H193" s="6">
        <v>1</v>
      </c>
      <c r="I193" s="7">
        <v>1738</v>
      </c>
      <c r="J193" s="5">
        <v>45986</v>
      </c>
      <c r="K193" s="1" t="s">
        <v>957</v>
      </c>
      <c r="L193" s="1" t="s">
        <v>30</v>
      </c>
      <c r="M193" s="8">
        <v>0.43</v>
      </c>
      <c r="N193" s="6"/>
      <c r="O193" s="6"/>
      <c r="P193" s="9">
        <v>-747.34</v>
      </c>
    </row>
    <row r="194" spans="1:16" ht="19.5" customHeight="1">
      <c r="A194" s="1" t="s">
        <v>1380</v>
      </c>
      <c r="B194" s="5">
        <v>45988</v>
      </c>
      <c r="C194" s="1" t="s">
        <v>17</v>
      </c>
      <c r="D194" s="1" t="s">
        <v>37</v>
      </c>
      <c r="E194" s="1" t="s">
        <v>25</v>
      </c>
      <c r="F194" s="1" t="s">
        <v>26</v>
      </c>
      <c r="G194" s="1" t="s">
        <v>1229</v>
      </c>
      <c r="H194" s="6">
        <v>1</v>
      </c>
      <c r="I194" s="7">
        <v>1738</v>
      </c>
      <c r="J194" s="5">
        <v>45986</v>
      </c>
      <c r="K194" s="1" t="s">
        <v>957</v>
      </c>
      <c r="L194" s="1" t="s">
        <v>30</v>
      </c>
      <c r="M194" s="8">
        <v>0.43</v>
      </c>
      <c r="N194" s="6"/>
      <c r="O194" s="6"/>
      <c r="P194" s="9">
        <v>-13.29</v>
      </c>
    </row>
    <row r="195" spans="1:16" ht="19.5" customHeight="1">
      <c r="A195" s="1" t="s">
        <v>1380</v>
      </c>
      <c r="B195" s="5">
        <v>45988</v>
      </c>
      <c r="C195" s="1" t="s">
        <v>17</v>
      </c>
      <c r="D195" s="1" t="s">
        <v>18</v>
      </c>
      <c r="E195" s="1" t="s">
        <v>25</v>
      </c>
      <c r="F195" s="1" t="s">
        <v>26</v>
      </c>
      <c r="G195" s="1" t="s">
        <v>1229</v>
      </c>
      <c r="H195" s="6">
        <v>1</v>
      </c>
      <c r="I195" s="7">
        <v>0</v>
      </c>
      <c r="J195" s="5">
        <v>45986</v>
      </c>
      <c r="K195" s="1" t="s">
        <v>22</v>
      </c>
      <c r="L195" s="1" t="s">
        <v>22</v>
      </c>
      <c r="M195" s="8">
        <v>0</v>
      </c>
      <c r="N195" s="6"/>
      <c r="O195" s="6"/>
      <c r="P195" s="9">
        <v>-15.36</v>
      </c>
    </row>
    <row r="196" spans="1:16" ht="19.5" customHeight="1">
      <c r="A196" s="1" t="s">
        <v>1381</v>
      </c>
      <c r="B196" s="5">
        <v>45988</v>
      </c>
      <c r="C196" s="1" t="s">
        <v>28</v>
      </c>
      <c r="D196" s="1" t="s">
        <v>29</v>
      </c>
      <c r="E196" s="1" t="s">
        <v>25</v>
      </c>
      <c r="F196" s="1" t="s">
        <v>26</v>
      </c>
      <c r="G196" s="1" t="s">
        <v>1229</v>
      </c>
      <c r="H196" s="6">
        <v>1</v>
      </c>
      <c r="I196" s="7">
        <v>1738</v>
      </c>
      <c r="J196" s="5">
        <v>45979</v>
      </c>
      <c r="K196" s="1" t="s">
        <v>957</v>
      </c>
      <c r="L196" s="1" t="s">
        <v>30</v>
      </c>
      <c r="M196" s="8">
        <v>0.43</v>
      </c>
      <c r="N196" s="6"/>
      <c r="O196" s="6">
        <v>46</v>
      </c>
      <c r="P196" s="9">
        <v>-137.69999999999999</v>
      </c>
    </row>
    <row r="197" spans="1:16" ht="19.5" customHeight="1">
      <c r="A197" s="1" t="s">
        <v>1381</v>
      </c>
      <c r="B197" s="5">
        <v>45988</v>
      </c>
      <c r="C197" s="1" t="s">
        <v>31</v>
      </c>
      <c r="D197" s="1" t="s">
        <v>32</v>
      </c>
      <c r="E197" s="1" t="s">
        <v>25</v>
      </c>
      <c r="F197" s="1" t="s">
        <v>26</v>
      </c>
      <c r="G197" s="1" t="s">
        <v>1229</v>
      </c>
      <c r="H197" s="6">
        <v>1</v>
      </c>
      <c r="I197" s="7">
        <v>1738</v>
      </c>
      <c r="J197" s="5">
        <v>45979</v>
      </c>
      <c r="K197" s="1" t="s">
        <v>957</v>
      </c>
      <c r="L197" s="1" t="s">
        <v>30</v>
      </c>
      <c r="M197" s="8">
        <v>0</v>
      </c>
      <c r="N197" s="6"/>
      <c r="O197" s="6"/>
      <c r="P197" s="9">
        <v>718.1</v>
      </c>
    </row>
    <row r="198" spans="1:16" ht="19.5" customHeight="1">
      <c r="A198" s="1" t="s">
        <v>1381</v>
      </c>
      <c r="B198" s="5">
        <v>45988</v>
      </c>
      <c r="C198" s="1" t="s">
        <v>31</v>
      </c>
      <c r="D198" s="1" t="s">
        <v>33</v>
      </c>
      <c r="E198" s="1" t="s">
        <v>25</v>
      </c>
      <c r="F198" s="1" t="s">
        <v>26</v>
      </c>
      <c r="G198" s="1" t="s">
        <v>1229</v>
      </c>
      <c r="H198" s="6">
        <v>1</v>
      </c>
      <c r="I198" s="7">
        <v>1738</v>
      </c>
      <c r="J198" s="5">
        <v>45979</v>
      </c>
      <c r="K198" s="1" t="s">
        <v>957</v>
      </c>
      <c r="L198" s="1" t="s">
        <v>30</v>
      </c>
      <c r="M198" s="8">
        <v>0</v>
      </c>
      <c r="N198" s="6"/>
      <c r="O198" s="6"/>
      <c r="P198" s="9">
        <v>7.18</v>
      </c>
    </row>
    <row r="199" spans="1:16" ht="19.5" customHeight="1">
      <c r="A199" s="1" t="s">
        <v>1381</v>
      </c>
      <c r="B199" s="5">
        <v>45988</v>
      </c>
      <c r="C199" s="1" t="s">
        <v>31</v>
      </c>
      <c r="D199" s="1" t="s">
        <v>34</v>
      </c>
      <c r="E199" s="1" t="s">
        <v>25</v>
      </c>
      <c r="F199" s="1" t="s">
        <v>26</v>
      </c>
      <c r="G199" s="1" t="s">
        <v>1229</v>
      </c>
      <c r="H199" s="6">
        <v>1</v>
      </c>
      <c r="I199" s="7">
        <v>1738</v>
      </c>
      <c r="J199" s="5">
        <v>45979</v>
      </c>
      <c r="K199" s="1" t="s">
        <v>957</v>
      </c>
      <c r="L199" s="1" t="s">
        <v>30</v>
      </c>
      <c r="M199" s="8">
        <v>0</v>
      </c>
      <c r="N199" s="6"/>
      <c r="O199" s="6"/>
      <c r="P199" s="9">
        <v>1012.72</v>
      </c>
    </row>
    <row r="200" spans="1:16" ht="19.5" customHeight="1">
      <c r="A200" s="1" t="s">
        <v>1381</v>
      </c>
      <c r="B200" s="5">
        <v>45988</v>
      </c>
      <c r="C200" s="1" t="s">
        <v>35</v>
      </c>
      <c r="D200" s="1" t="s">
        <v>36</v>
      </c>
      <c r="E200" s="1" t="s">
        <v>25</v>
      </c>
      <c r="F200" s="1" t="s">
        <v>26</v>
      </c>
      <c r="G200" s="1" t="s">
        <v>1229</v>
      </c>
      <c r="H200" s="6">
        <v>1</v>
      </c>
      <c r="I200" s="7">
        <v>1738</v>
      </c>
      <c r="J200" s="5">
        <v>45979</v>
      </c>
      <c r="K200" s="1" t="s">
        <v>957</v>
      </c>
      <c r="L200" s="1" t="s">
        <v>30</v>
      </c>
      <c r="M200" s="8">
        <v>0.43</v>
      </c>
      <c r="N200" s="6"/>
      <c r="O200" s="6"/>
      <c r="P200" s="9">
        <v>-747.34</v>
      </c>
    </row>
    <row r="201" spans="1:16" ht="19.5" customHeight="1">
      <c r="A201" s="1" t="s">
        <v>1381</v>
      </c>
      <c r="B201" s="5">
        <v>45988</v>
      </c>
      <c r="C201" s="1" t="s">
        <v>17</v>
      </c>
      <c r="D201" s="1" t="s">
        <v>37</v>
      </c>
      <c r="E201" s="1" t="s">
        <v>25</v>
      </c>
      <c r="F201" s="1" t="s">
        <v>26</v>
      </c>
      <c r="G201" s="1" t="s">
        <v>1229</v>
      </c>
      <c r="H201" s="6">
        <v>1</v>
      </c>
      <c r="I201" s="7">
        <v>1738</v>
      </c>
      <c r="J201" s="5">
        <v>45979</v>
      </c>
      <c r="K201" s="1" t="s">
        <v>957</v>
      </c>
      <c r="L201" s="1" t="s">
        <v>30</v>
      </c>
      <c r="M201" s="8">
        <v>0.43</v>
      </c>
      <c r="N201" s="6"/>
      <c r="O201" s="6"/>
      <c r="P201" s="9">
        <v>-9.8000000000000007</v>
      </c>
    </row>
    <row r="202" spans="1:16" ht="19.5" customHeight="1">
      <c r="A202" s="1" t="s">
        <v>1382</v>
      </c>
      <c r="B202" s="5">
        <v>45988</v>
      </c>
      <c r="C202" s="1" t="s">
        <v>28</v>
      </c>
      <c r="D202" s="1" t="s">
        <v>29</v>
      </c>
      <c r="E202" s="1" t="s">
        <v>1055</v>
      </c>
      <c r="F202" s="1" t="s">
        <v>1317</v>
      </c>
      <c r="G202" s="1" t="s">
        <v>1298</v>
      </c>
      <c r="H202" s="6">
        <v>1</v>
      </c>
      <c r="I202" s="7">
        <v>2100</v>
      </c>
      <c r="J202" s="5">
        <v>45982</v>
      </c>
      <c r="K202" s="1" t="s">
        <v>957</v>
      </c>
      <c r="L202" s="1" t="s">
        <v>30</v>
      </c>
      <c r="M202" s="8">
        <v>0.43</v>
      </c>
      <c r="N202" s="6"/>
      <c r="O202" s="6">
        <v>43</v>
      </c>
      <c r="P202" s="9">
        <v>-136.6</v>
      </c>
    </row>
    <row r="203" spans="1:16" ht="19.5" customHeight="1">
      <c r="A203" s="1" t="s">
        <v>1382</v>
      </c>
      <c r="B203" s="5">
        <v>45988</v>
      </c>
      <c r="C203" s="1" t="s">
        <v>31</v>
      </c>
      <c r="D203" s="1" t="s">
        <v>32</v>
      </c>
      <c r="E203" s="1" t="s">
        <v>1055</v>
      </c>
      <c r="F203" s="1" t="s">
        <v>1317</v>
      </c>
      <c r="G203" s="1" t="s">
        <v>1298</v>
      </c>
      <c r="H203" s="6">
        <v>1</v>
      </c>
      <c r="I203" s="7">
        <v>2100</v>
      </c>
      <c r="J203" s="5">
        <v>45982</v>
      </c>
      <c r="K203" s="1" t="s">
        <v>957</v>
      </c>
      <c r="L203" s="1" t="s">
        <v>30</v>
      </c>
      <c r="M203" s="8">
        <v>0</v>
      </c>
      <c r="N203" s="6"/>
      <c r="O203" s="6"/>
      <c r="P203" s="9">
        <v>804</v>
      </c>
    </row>
    <row r="204" spans="1:16" ht="19.5" customHeight="1">
      <c r="A204" s="1" t="s">
        <v>1382</v>
      </c>
      <c r="B204" s="5">
        <v>45988</v>
      </c>
      <c r="C204" s="1" t="s">
        <v>31</v>
      </c>
      <c r="D204" s="1" t="s">
        <v>33</v>
      </c>
      <c r="E204" s="1" t="s">
        <v>1055</v>
      </c>
      <c r="F204" s="1" t="s">
        <v>1317</v>
      </c>
      <c r="G204" s="1" t="s">
        <v>1298</v>
      </c>
      <c r="H204" s="6">
        <v>1</v>
      </c>
      <c r="I204" s="7">
        <v>2100</v>
      </c>
      <c r="J204" s="5">
        <v>45982</v>
      </c>
      <c r="K204" s="1" t="s">
        <v>957</v>
      </c>
      <c r="L204" s="1" t="s">
        <v>30</v>
      </c>
      <c r="M204" s="8">
        <v>0</v>
      </c>
      <c r="N204" s="6"/>
      <c r="O204" s="6"/>
      <c r="P204" s="9">
        <v>8.0399999999999991</v>
      </c>
    </row>
    <row r="205" spans="1:16" ht="19.5" customHeight="1">
      <c r="A205" s="1" t="s">
        <v>1382</v>
      </c>
      <c r="B205" s="5">
        <v>45988</v>
      </c>
      <c r="C205" s="1" t="s">
        <v>31</v>
      </c>
      <c r="D205" s="1" t="s">
        <v>34</v>
      </c>
      <c r="E205" s="1" t="s">
        <v>1055</v>
      </c>
      <c r="F205" s="1" t="s">
        <v>1317</v>
      </c>
      <c r="G205" s="1" t="s">
        <v>1298</v>
      </c>
      <c r="H205" s="6">
        <v>1</v>
      </c>
      <c r="I205" s="7">
        <v>2100</v>
      </c>
      <c r="J205" s="5">
        <v>45982</v>
      </c>
      <c r="K205" s="1" t="s">
        <v>957</v>
      </c>
      <c r="L205" s="1" t="s">
        <v>30</v>
      </c>
      <c r="M205" s="8">
        <v>0</v>
      </c>
      <c r="N205" s="6"/>
      <c r="O205" s="6"/>
      <c r="P205" s="9">
        <v>1287.96</v>
      </c>
    </row>
    <row r="206" spans="1:16" ht="19.5" customHeight="1">
      <c r="A206" s="1" t="s">
        <v>1382</v>
      </c>
      <c r="B206" s="5">
        <v>45988</v>
      </c>
      <c r="C206" s="1" t="s">
        <v>35</v>
      </c>
      <c r="D206" s="1" t="s">
        <v>36</v>
      </c>
      <c r="E206" s="1" t="s">
        <v>1055</v>
      </c>
      <c r="F206" s="1" t="s">
        <v>1317</v>
      </c>
      <c r="G206" s="1" t="s">
        <v>1298</v>
      </c>
      <c r="H206" s="6">
        <v>1</v>
      </c>
      <c r="I206" s="7">
        <v>2100</v>
      </c>
      <c r="J206" s="5">
        <v>45982</v>
      </c>
      <c r="K206" s="1" t="s">
        <v>957</v>
      </c>
      <c r="L206" s="1" t="s">
        <v>30</v>
      </c>
      <c r="M206" s="8">
        <v>0.43</v>
      </c>
      <c r="N206" s="6"/>
      <c r="O206" s="6"/>
      <c r="P206" s="9">
        <v>-903</v>
      </c>
    </row>
    <row r="207" spans="1:16" ht="19.5" customHeight="1">
      <c r="A207" s="1" t="s">
        <v>1382</v>
      </c>
      <c r="B207" s="5">
        <v>45988</v>
      </c>
      <c r="C207" s="1" t="s">
        <v>17</v>
      </c>
      <c r="D207" s="1" t="s">
        <v>37</v>
      </c>
      <c r="E207" s="1" t="s">
        <v>1055</v>
      </c>
      <c r="F207" s="1" t="s">
        <v>1317</v>
      </c>
      <c r="G207" s="1" t="s">
        <v>1298</v>
      </c>
      <c r="H207" s="6">
        <v>1</v>
      </c>
      <c r="I207" s="7">
        <v>2100</v>
      </c>
      <c r="J207" s="5">
        <v>45982</v>
      </c>
      <c r="K207" s="1" t="s">
        <v>957</v>
      </c>
      <c r="L207" s="1" t="s">
        <v>30</v>
      </c>
      <c r="M207" s="8">
        <v>0.43</v>
      </c>
      <c r="N207" s="6"/>
      <c r="O207" s="6"/>
      <c r="P207" s="9">
        <v>-25</v>
      </c>
    </row>
    <row r="208" spans="1:16" ht="19.5" customHeight="1">
      <c r="A208" s="1" t="s">
        <v>1382</v>
      </c>
      <c r="B208" s="5">
        <v>45988</v>
      </c>
      <c r="C208" s="1" t="s">
        <v>17</v>
      </c>
      <c r="D208" s="1" t="s">
        <v>18</v>
      </c>
      <c r="E208" s="1" t="s">
        <v>1055</v>
      </c>
      <c r="F208" s="1" t="s">
        <v>1317</v>
      </c>
      <c r="G208" s="1" t="s">
        <v>1298</v>
      </c>
      <c r="H208" s="6">
        <v>1</v>
      </c>
      <c r="I208" s="7">
        <v>0</v>
      </c>
      <c r="J208" s="5">
        <v>45982</v>
      </c>
      <c r="K208" s="1" t="s">
        <v>22</v>
      </c>
      <c r="L208" s="1" t="s">
        <v>22</v>
      </c>
      <c r="M208" s="8">
        <v>0</v>
      </c>
      <c r="N208" s="6"/>
      <c r="O208" s="6"/>
      <c r="P208" s="9">
        <v>-15.28</v>
      </c>
    </row>
    <row r="209" spans="1:16" ht="19.5" customHeight="1">
      <c r="A209" s="1" t="s">
        <v>1383</v>
      </c>
      <c r="B209" s="5">
        <v>45988</v>
      </c>
      <c r="C209" s="1" t="s">
        <v>28</v>
      </c>
      <c r="D209" s="1" t="s">
        <v>29</v>
      </c>
      <c r="E209" s="1" t="s">
        <v>223</v>
      </c>
      <c r="F209" s="1" t="s">
        <v>395</v>
      </c>
      <c r="G209" s="1" t="s">
        <v>1229</v>
      </c>
      <c r="H209" s="6">
        <v>1</v>
      </c>
      <c r="I209" s="7">
        <v>1348</v>
      </c>
      <c r="J209" s="5">
        <v>45986</v>
      </c>
      <c r="K209" s="1" t="s">
        <v>957</v>
      </c>
      <c r="L209" s="1" t="s">
        <v>30</v>
      </c>
      <c r="M209" s="8">
        <v>0.43</v>
      </c>
      <c r="N209" s="6"/>
      <c r="O209" s="6">
        <v>44</v>
      </c>
      <c r="P209" s="9">
        <v>-117.44</v>
      </c>
    </row>
    <row r="210" spans="1:16" ht="19.5" customHeight="1">
      <c r="A210" s="1" t="s">
        <v>1383</v>
      </c>
      <c r="B210" s="5">
        <v>45988</v>
      </c>
      <c r="C210" s="1" t="s">
        <v>31</v>
      </c>
      <c r="D210" s="1" t="s">
        <v>32</v>
      </c>
      <c r="E210" s="1" t="s">
        <v>223</v>
      </c>
      <c r="F210" s="1" t="s">
        <v>395</v>
      </c>
      <c r="G210" s="1" t="s">
        <v>1229</v>
      </c>
      <c r="H210" s="6">
        <v>1</v>
      </c>
      <c r="I210" s="7">
        <v>1348</v>
      </c>
      <c r="J210" s="5">
        <v>45986</v>
      </c>
      <c r="K210" s="1" t="s">
        <v>957</v>
      </c>
      <c r="L210" s="1" t="s">
        <v>30</v>
      </c>
      <c r="M210" s="8">
        <v>0</v>
      </c>
      <c r="N210" s="6"/>
      <c r="O210" s="6"/>
      <c r="P210" s="9">
        <v>602.86</v>
      </c>
    </row>
    <row r="211" spans="1:16" ht="19.5" customHeight="1">
      <c r="A211" s="1" t="s">
        <v>1383</v>
      </c>
      <c r="B211" s="5">
        <v>45988</v>
      </c>
      <c r="C211" s="1" t="s">
        <v>31</v>
      </c>
      <c r="D211" s="1" t="s">
        <v>33</v>
      </c>
      <c r="E211" s="1" t="s">
        <v>223</v>
      </c>
      <c r="F211" s="1" t="s">
        <v>395</v>
      </c>
      <c r="G211" s="1" t="s">
        <v>1229</v>
      </c>
      <c r="H211" s="6">
        <v>1</v>
      </c>
      <c r="I211" s="7">
        <v>1348</v>
      </c>
      <c r="J211" s="5">
        <v>45986</v>
      </c>
      <c r="K211" s="1" t="s">
        <v>957</v>
      </c>
      <c r="L211" s="1" t="s">
        <v>30</v>
      </c>
      <c r="M211" s="8">
        <v>0</v>
      </c>
      <c r="N211" s="6"/>
      <c r="O211" s="6"/>
      <c r="P211" s="9">
        <v>6.03</v>
      </c>
    </row>
    <row r="212" spans="1:16" ht="19.5" customHeight="1">
      <c r="A212" s="1" t="s">
        <v>1383</v>
      </c>
      <c r="B212" s="5">
        <v>45988</v>
      </c>
      <c r="C212" s="1" t="s">
        <v>31</v>
      </c>
      <c r="D212" s="1" t="s">
        <v>34</v>
      </c>
      <c r="E212" s="1" t="s">
        <v>223</v>
      </c>
      <c r="F212" s="1" t="s">
        <v>395</v>
      </c>
      <c r="G212" s="1" t="s">
        <v>1229</v>
      </c>
      <c r="H212" s="6">
        <v>1</v>
      </c>
      <c r="I212" s="7">
        <v>1348</v>
      </c>
      <c r="J212" s="5">
        <v>45986</v>
      </c>
      <c r="K212" s="1" t="s">
        <v>957</v>
      </c>
      <c r="L212" s="1" t="s">
        <v>30</v>
      </c>
      <c r="M212" s="8">
        <v>0</v>
      </c>
      <c r="N212" s="6"/>
      <c r="O212" s="6"/>
      <c r="P212" s="9">
        <v>739.11</v>
      </c>
    </row>
    <row r="213" spans="1:16" ht="19.5" customHeight="1">
      <c r="A213" s="1" t="s">
        <v>1383</v>
      </c>
      <c r="B213" s="5">
        <v>45988</v>
      </c>
      <c r="C213" s="1" t="s">
        <v>35</v>
      </c>
      <c r="D213" s="1" t="s">
        <v>36</v>
      </c>
      <c r="E213" s="1" t="s">
        <v>223</v>
      </c>
      <c r="F213" s="1" t="s">
        <v>395</v>
      </c>
      <c r="G213" s="1" t="s">
        <v>1229</v>
      </c>
      <c r="H213" s="6">
        <v>1</v>
      </c>
      <c r="I213" s="7">
        <v>1348</v>
      </c>
      <c r="J213" s="5">
        <v>45986</v>
      </c>
      <c r="K213" s="1" t="s">
        <v>957</v>
      </c>
      <c r="L213" s="1" t="s">
        <v>30</v>
      </c>
      <c r="M213" s="8">
        <v>0.43</v>
      </c>
      <c r="N213" s="6"/>
      <c r="O213" s="6"/>
      <c r="P213" s="9">
        <v>-579.64</v>
      </c>
    </row>
    <row r="214" spans="1:16" ht="19.5" customHeight="1">
      <c r="A214" s="1" t="s">
        <v>1383</v>
      </c>
      <c r="B214" s="5">
        <v>45988</v>
      </c>
      <c r="C214" s="1" t="s">
        <v>17</v>
      </c>
      <c r="D214" s="1" t="s">
        <v>37</v>
      </c>
      <c r="E214" s="1" t="s">
        <v>223</v>
      </c>
      <c r="F214" s="1" t="s">
        <v>395</v>
      </c>
      <c r="G214" s="1" t="s">
        <v>1229</v>
      </c>
      <c r="H214" s="6">
        <v>1</v>
      </c>
      <c r="I214" s="7">
        <v>1348</v>
      </c>
      <c r="J214" s="5">
        <v>45986</v>
      </c>
      <c r="K214" s="1" t="s">
        <v>957</v>
      </c>
      <c r="L214" s="1" t="s">
        <v>30</v>
      </c>
      <c r="M214" s="8">
        <v>0.43</v>
      </c>
      <c r="N214" s="6"/>
      <c r="O214" s="6"/>
      <c r="P214" s="9">
        <v>-6.3</v>
      </c>
    </row>
    <row r="215" spans="1:16" ht="19.5" customHeight="1">
      <c r="A215" s="1" t="s">
        <v>1383</v>
      </c>
      <c r="B215" s="5">
        <v>45988</v>
      </c>
      <c r="C215" s="1" t="s">
        <v>17</v>
      </c>
      <c r="D215" s="1" t="s">
        <v>18</v>
      </c>
      <c r="E215" s="1" t="s">
        <v>223</v>
      </c>
      <c r="F215" s="1" t="s">
        <v>395</v>
      </c>
      <c r="G215" s="1" t="s">
        <v>1229</v>
      </c>
      <c r="H215" s="6">
        <v>1</v>
      </c>
      <c r="I215" s="7">
        <v>0</v>
      </c>
      <c r="J215" s="5">
        <v>45986</v>
      </c>
      <c r="K215" s="1" t="s">
        <v>22</v>
      </c>
      <c r="L215" s="1" t="s">
        <v>22</v>
      </c>
      <c r="M215" s="8">
        <v>0</v>
      </c>
      <c r="N215" s="6"/>
      <c r="O215" s="6"/>
      <c r="P215" s="9">
        <v>-11.45</v>
      </c>
    </row>
    <row r="216" spans="1:16" ht="19.5" customHeight="1">
      <c r="A216" s="1" t="s">
        <v>1384</v>
      </c>
      <c r="B216" s="5">
        <v>45988</v>
      </c>
      <c r="C216" s="1" t="s">
        <v>28</v>
      </c>
      <c r="D216" s="1" t="s">
        <v>29</v>
      </c>
      <c r="E216" s="1" t="s">
        <v>223</v>
      </c>
      <c r="F216" s="1" t="s">
        <v>395</v>
      </c>
      <c r="G216" s="1" t="s">
        <v>1229</v>
      </c>
      <c r="H216" s="6">
        <v>1</v>
      </c>
      <c r="I216" s="7">
        <v>0</v>
      </c>
      <c r="J216" s="5">
        <v>45984</v>
      </c>
      <c r="K216" s="1" t="s">
        <v>957</v>
      </c>
      <c r="L216" s="1" t="s">
        <v>30</v>
      </c>
      <c r="M216" s="8">
        <v>0</v>
      </c>
      <c r="N216" s="6"/>
      <c r="O216" s="6">
        <v>42</v>
      </c>
      <c r="P216" s="9">
        <v>-46</v>
      </c>
    </row>
    <row r="217" spans="1:16" ht="19.5" customHeight="1">
      <c r="A217" s="1" t="s">
        <v>1384</v>
      </c>
      <c r="B217" s="5">
        <v>45988</v>
      </c>
      <c r="C217" s="1" t="s">
        <v>28</v>
      </c>
      <c r="D217" s="1" t="s">
        <v>45</v>
      </c>
      <c r="E217" s="1" t="s">
        <v>223</v>
      </c>
      <c r="F217" s="1" t="s">
        <v>395</v>
      </c>
      <c r="G217" s="1" t="s">
        <v>1229</v>
      </c>
      <c r="H217" s="6">
        <v>1</v>
      </c>
      <c r="I217" s="7">
        <v>0</v>
      </c>
      <c r="J217" s="5">
        <v>45984</v>
      </c>
      <c r="K217" s="1" t="s">
        <v>957</v>
      </c>
      <c r="L217" s="1" t="s">
        <v>30</v>
      </c>
      <c r="M217" s="8">
        <v>0</v>
      </c>
      <c r="N217" s="6"/>
      <c r="O217" s="6"/>
      <c r="P217" s="9">
        <v>0</v>
      </c>
    </row>
    <row r="218" spans="1:16" ht="19.5" customHeight="1">
      <c r="A218" s="1" t="s">
        <v>1384</v>
      </c>
      <c r="B218" s="5">
        <v>45988</v>
      </c>
      <c r="C218" s="1" t="s">
        <v>28</v>
      </c>
      <c r="D218" s="1" t="s">
        <v>46</v>
      </c>
      <c r="E218" s="1" t="s">
        <v>223</v>
      </c>
      <c r="F218" s="1" t="s">
        <v>395</v>
      </c>
      <c r="G218" s="1" t="s">
        <v>1229</v>
      </c>
      <c r="H218" s="6">
        <v>1</v>
      </c>
      <c r="I218" s="7">
        <v>0</v>
      </c>
      <c r="J218" s="5">
        <v>45984</v>
      </c>
      <c r="K218" s="1" t="s">
        <v>957</v>
      </c>
      <c r="L218" s="1" t="s">
        <v>30</v>
      </c>
      <c r="M218" s="8">
        <v>0</v>
      </c>
      <c r="N218" s="6"/>
      <c r="O218" s="6"/>
      <c r="P218" s="9">
        <v>-46</v>
      </c>
    </row>
    <row r="219" spans="1:16" ht="19.5" customHeight="1">
      <c r="A219" s="1" t="s">
        <v>1385</v>
      </c>
      <c r="B219" s="5">
        <v>45988</v>
      </c>
      <c r="C219" s="1" t="s">
        <v>28</v>
      </c>
      <c r="D219" s="1" t="s">
        <v>29</v>
      </c>
      <c r="E219" s="1" t="s">
        <v>25</v>
      </c>
      <c r="F219" s="1" t="s">
        <v>26</v>
      </c>
      <c r="G219" s="1" t="s">
        <v>1229</v>
      </c>
      <c r="H219" s="6">
        <v>1</v>
      </c>
      <c r="I219" s="7">
        <v>1738</v>
      </c>
      <c r="J219" s="5">
        <v>45986</v>
      </c>
      <c r="K219" s="1" t="s">
        <v>957</v>
      </c>
      <c r="L219" s="1" t="s">
        <v>30</v>
      </c>
      <c r="M219" s="8">
        <v>0.43</v>
      </c>
      <c r="N219" s="6"/>
      <c r="O219" s="6">
        <v>44</v>
      </c>
      <c r="P219" s="9">
        <v>-129.72999999999999</v>
      </c>
    </row>
    <row r="220" spans="1:16" ht="19.5" customHeight="1">
      <c r="A220" s="1" t="s">
        <v>1385</v>
      </c>
      <c r="B220" s="5">
        <v>45988</v>
      </c>
      <c r="C220" s="1" t="s">
        <v>31</v>
      </c>
      <c r="D220" s="1" t="s">
        <v>32</v>
      </c>
      <c r="E220" s="1" t="s">
        <v>25</v>
      </c>
      <c r="F220" s="1" t="s">
        <v>26</v>
      </c>
      <c r="G220" s="1" t="s">
        <v>1229</v>
      </c>
      <c r="H220" s="6">
        <v>1</v>
      </c>
      <c r="I220" s="7">
        <v>1738</v>
      </c>
      <c r="J220" s="5">
        <v>45986</v>
      </c>
      <c r="K220" s="1" t="s">
        <v>957</v>
      </c>
      <c r="L220" s="1" t="s">
        <v>30</v>
      </c>
      <c r="M220" s="8">
        <v>0</v>
      </c>
      <c r="N220" s="6"/>
      <c r="O220" s="6"/>
      <c r="P220" s="9">
        <v>808.53</v>
      </c>
    </row>
    <row r="221" spans="1:16" ht="19.5" customHeight="1">
      <c r="A221" s="1" t="s">
        <v>1385</v>
      </c>
      <c r="B221" s="5">
        <v>45988</v>
      </c>
      <c r="C221" s="1" t="s">
        <v>31</v>
      </c>
      <c r="D221" s="1" t="s">
        <v>33</v>
      </c>
      <c r="E221" s="1" t="s">
        <v>25</v>
      </c>
      <c r="F221" s="1" t="s">
        <v>26</v>
      </c>
      <c r="G221" s="1" t="s">
        <v>1229</v>
      </c>
      <c r="H221" s="6">
        <v>1</v>
      </c>
      <c r="I221" s="7">
        <v>1738</v>
      </c>
      <c r="J221" s="5">
        <v>45986</v>
      </c>
      <c r="K221" s="1" t="s">
        <v>957</v>
      </c>
      <c r="L221" s="1" t="s">
        <v>30</v>
      </c>
      <c r="M221" s="8">
        <v>0</v>
      </c>
      <c r="N221" s="6"/>
      <c r="O221" s="6"/>
      <c r="P221" s="9">
        <v>8.09</v>
      </c>
    </row>
    <row r="222" spans="1:16" ht="19.5" customHeight="1">
      <c r="A222" s="1" t="s">
        <v>1385</v>
      </c>
      <c r="B222" s="5">
        <v>45988</v>
      </c>
      <c r="C222" s="1" t="s">
        <v>31</v>
      </c>
      <c r="D222" s="1" t="s">
        <v>34</v>
      </c>
      <c r="E222" s="1" t="s">
        <v>25</v>
      </c>
      <c r="F222" s="1" t="s">
        <v>26</v>
      </c>
      <c r="G222" s="1" t="s">
        <v>1229</v>
      </c>
      <c r="H222" s="6">
        <v>1</v>
      </c>
      <c r="I222" s="7">
        <v>1738</v>
      </c>
      <c r="J222" s="5">
        <v>45986</v>
      </c>
      <c r="K222" s="1" t="s">
        <v>957</v>
      </c>
      <c r="L222" s="1" t="s">
        <v>30</v>
      </c>
      <c r="M222" s="8">
        <v>0</v>
      </c>
      <c r="N222" s="6"/>
      <c r="O222" s="6"/>
      <c r="P222" s="9">
        <v>921.38</v>
      </c>
    </row>
    <row r="223" spans="1:16" ht="19.5" customHeight="1">
      <c r="A223" s="1" t="s">
        <v>1385</v>
      </c>
      <c r="B223" s="5">
        <v>45988</v>
      </c>
      <c r="C223" s="1" t="s">
        <v>35</v>
      </c>
      <c r="D223" s="1" t="s">
        <v>36</v>
      </c>
      <c r="E223" s="1" t="s">
        <v>25</v>
      </c>
      <c r="F223" s="1" t="s">
        <v>26</v>
      </c>
      <c r="G223" s="1" t="s">
        <v>1229</v>
      </c>
      <c r="H223" s="6">
        <v>1</v>
      </c>
      <c r="I223" s="7">
        <v>1738</v>
      </c>
      <c r="J223" s="5">
        <v>45986</v>
      </c>
      <c r="K223" s="1" t="s">
        <v>957</v>
      </c>
      <c r="L223" s="1" t="s">
        <v>30</v>
      </c>
      <c r="M223" s="8">
        <v>0.43</v>
      </c>
      <c r="N223" s="6"/>
      <c r="O223" s="6"/>
      <c r="P223" s="9">
        <v>-747.34</v>
      </c>
    </row>
    <row r="224" spans="1:16" ht="19.5" customHeight="1">
      <c r="A224" s="1" t="s">
        <v>1385</v>
      </c>
      <c r="B224" s="5">
        <v>45988</v>
      </c>
      <c r="C224" s="1" t="s">
        <v>17</v>
      </c>
      <c r="D224" s="1" t="s">
        <v>37</v>
      </c>
      <c r="E224" s="1" t="s">
        <v>25</v>
      </c>
      <c r="F224" s="1" t="s">
        <v>26</v>
      </c>
      <c r="G224" s="1" t="s">
        <v>1229</v>
      </c>
      <c r="H224" s="6">
        <v>1</v>
      </c>
      <c r="I224" s="7">
        <v>1738</v>
      </c>
      <c r="J224" s="5">
        <v>45986</v>
      </c>
      <c r="K224" s="1" t="s">
        <v>957</v>
      </c>
      <c r="L224" s="1" t="s">
        <v>30</v>
      </c>
      <c r="M224" s="8">
        <v>0.43</v>
      </c>
      <c r="N224" s="6"/>
      <c r="O224" s="6"/>
      <c r="P224" s="9">
        <v>-8.6300000000000008</v>
      </c>
    </row>
    <row r="225" spans="1:16" ht="19.5" customHeight="1">
      <c r="A225" s="1" t="s">
        <v>1386</v>
      </c>
      <c r="B225" s="5">
        <v>45988</v>
      </c>
      <c r="C225" s="1" t="s">
        <v>28</v>
      </c>
      <c r="D225" s="1" t="s">
        <v>29</v>
      </c>
      <c r="E225" s="1" t="s">
        <v>226</v>
      </c>
      <c r="F225" s="1" t="s">
        <v>428</v>
      </c>
      <c r="G225" s="1" t="s">
        <v>1229</v>
      </c>
      <c r="H225" s="6">
        <v>1</v>
      </c>
      <c r="I225" s="7">
        <v>1800</v>
      </c>
      <c r="J225" s="5">
        <v>45987</v>
      </c>
      <c r="K225" s="1" t="s">
        <v>957</v>
      </c>
      <c r="L225" s="1" t="s">
        <v>30</v>
      </c>
      <c r="M225" s="8">
        <v>0.43</v>
      </c>
      <c r="N225" s="6"/>
      <c r="O225" s="6">
        <v>44</v>
      </c>
      <c r="P225" s="9">
        <v>-131.68</v>
      </c>
    </row>
    <row r="226" spans="1:16" ht="19.5" customHeight="1">
      <c r="A226" s="1" t="s">
        <v>1386</v>
      </c>
      <c r="B226" s="5">
        <v>45988</v>
      </c>
      <c r="C226" s="1" t="s">
        <v>31</v>
      </c>
      <c r="D226" s="1" t="s">
        <v>32</v>
      </c>
      <c r="E226" s="1" t="s">
        <v>226</v>
      </c>
      <c r="F226" s="1" t="s">
        <v>428</v>
      </c>
      <c r="G226" s="1" t="s">
        <v>1229</v>
      </c>
      <c r="H226" s="6">
        <v>1</v>
      </c>
      <c r="I226" s="7">
        <v>1800</v>
      </c>
      <c r="J226" s="5">
        <v>45987</v>
      </c>
      <c r="K226" s="1" t="s">
        <v>957</v>
      </c>
      <c r="L226" s="1" t="s">
        <v>30</v>
      </c>
      <c r="M226" s="8">
        <v>0</v>
      </c>
      <c r="N226" s="6"/>
      <c r="O226" s="6"/>
      <c r="P226" s="9">
        <v>1117.03</v>
      </c>
    </row>
    <row r="227" spans="1:16" ht="19.5" customHeight="1">
      <c r="A227" s="1" t="s">
        <v>1386</v>
      </c>
      <c r="B227" s="5">
        <v>45988</v>
      </c>
      <c r="C227" s="1" t="s">
        <v>31</v>
      </c>
      <c r="D227" s="1" t="s">
        <v>33</v>
      </c>
      <c r="E227" s="1" t="s">
        <v>226</v>
      </c>
      <c r="F227" s="1" t="s">
        <v>428</v>
      </c>
      <c r="G227" s="1" t="s">
        <v>1229</v>
      </c>
      <c r="H227" s="6">
        <v>1</v>
      </c>
      <c r="I227" s="7">
        <v>1800</v>
      </c>
      <c r="J227" s="5">
        <v>45987</v>
      </c>
      <c r="K227" s="1" t="s">
        <v>957</v>
      </c>
      <c r="L227" s="1" t="s">
        <v>30</v>
      </c>
      <c r="M227" s="8">
        <v>0</v>
      </c>
      <c r="N227" s="6"/>
      <c r="O227" s="6"/>
      <c r="P227" s="9">
        <v>11.17</v>
      </c>
    </row>
    <row r="228" spans="1:16" ht="19.5" customHeight="1">
      <c r="A228" s="1" t="s">
        <v>1386</v>
      </c>
      <c r="B228" s="5">
        <v>45988</v>
      </c>
      <c r="C228" s="1" t="s">
        <v>31</v>
      </c>
      <c r="D228" s="1" t="s">
        <v>34</v>
      </c>
      <c r="E228" s="1" t="s">
        <v>226</v>
      </c>
      <c r="F228" s="1" t="s">
        <v>428</v>
      </c>
      <c r="G228" s="1" t="s">
        <v>1229</v>
      </c>
      <c r="H228" s="6">
        <v>1</v>
      </c>
      <c r="I228" s="7">
        <v>1800</v>
      </c>
      <c r="J228" s="5">
        <v>45987</v>
      </c>
      <c r="K228" s="1" t="s">
        <v>957</v>
      </c>
      <c r="L228" s="1" t="s">
        <v>30</v>
      </c>
      <c r="M228" s="8">
        <v>0</v>
      </c>
      <c r="N228" s="6"/>
      <c r="O228" s="6"/>
      <c r="P228" s="9">
        <v>671.8</v>
      </c>
    </row>
    <row r="229" spans="1:16" ht="19.5" customHeight="1">
      <c r="A229" s="1" t="s">
        <v>1386</v>
      </c>
      <c r="B229" s="5">
        <v>45988</v>
      </c>
      <c r="C229" s="1" t="s">
        <v>35</v>
      </c>
      <c r="D229" s="1" t="s">
        <v>36</v>
      </c>
      <c r="E229" s="1" t="s">
        <v>226</v>
      </c>
      <c r="F229" s="1" t="s">
        <v>428</v>
      </c>
      <c r="G229" s="1" t="s">
        <v>1229</v>
      </c>
      <c r="H229" s="6">
        <v>1</v>
      </c>
      <c r="I229" s="7">
        <v>1800</v>
      </c>
      <c r="J229" s="5">
        <v>45987</v>
      </c>
      <c r="K229" s="1" t="s">
        <v>957</v>
      </c>
      <c r="L229" s="1" t="s">
        <v>30</v>
      </c>
      <c r="M229" s="8">
        <v>0.43</v>
      </c>
      <c r="N229" s="6"/>
      <c r="O229" s="6"/>
      <c r="P229" s="9">
        <v>-774</v>
      </c>
    </row>
    <row r="230" spans="1:16" ht="19.5" customHeight="1">
      <c r="A230" s="1" t="s">
        <v>1386</v>
      </c>
      <c r="B230" s="5">
        <v>45988</v>
      </c>
      <c r="C230" s="1" t="s">
        <v>17</v>
      </c>
      <c r="D230" s="1" t="s">
        <v>37</v>
      </c>
      <c r="E230" s="1" t="s">
        <v>226</v>
      </c>
      <c r="F230" s="1" t="s">
        <v>428</v>
      </c>
      <c r="G230" s="1" t="s">
        <v>1229</v>
      </c>
      <c r="H230" s="6">
        <v>1</v>
      </c>
      <c r="I230" s="7">
        <v>1800</v>
      </c>
      <c r="J230" s="5">
        <v>45987</v>
      </c>
      <c r="K230" s="1" t="s">
        <v>957</v>
      </c>
      <c r="L230" s="1" t="s">
        <v>30</v>
      </c>
      <c r="M230" s="8">
        <v>0.43</v>
      </c>
      <c r="N230" s="6"/>
      <c r="O230" s="6"/>
      <c r="P230" s="9">
        <v>-8.6</v>
      </c>
    </row>
    <row r="231" spans="1:16" ht="19.5" customHeight="1">
      <c r="A231" s="1" t="s">
        <v>1386</v>
      </c>
      <c r="B231" s="5">
        <v>45988</v>
      </c>
      <c r="C231" s="1" t="s">
        <v>17</v>
      </c>
      <c r="D231" s="1" t="s">
        <v>18</v>
      </c>
      <c r="E231" s="1" t="s">
        <v>226</v>
      </c>
      <c r="F231" s="1" t="s">
        <v>428</v>
      </c>
      <c r="G231" s="1" t="s">
        <v>1229</v>
      </c>
      <c r="H231" s="6">
        <v>1</v>
      </c>
      <c r="I231" s="7">
        <v>0</v>
      </c>
      <c r="J231" s="5">
        <v>45987</v>
      </c>
      <c r="K231" s="1" t="s">
        <v>22</v>
      </c>
      <c r="L231" s="1" t="s">
        <v>22</v>
      </c>
      <c r="M231" s="8">
        <v>0</v>
      </c>
      <c r="N231" s="6"/>
      <c r="O231" s="6"/>
      <c r="P231" s="9">
        <v>-21.22</v>
      </c>
    </row>
    <row r="232" spans="1:16" ht="19.5" customHeight="1">
      <c r="A232" s="1" t="s">
        <v>1387</v>
      </c>
      <c r="B232" s="5">
        <v>45988</v>
      </c>
      <c r="C232" s="1" t="s">
        <v>28</v>
      </c>
      <c r="D232" s="1" t="s">
        <v>29</v>
      </c>
      <c r="E232" s="1" t="s">
        <v>223</v>
      </c>
      <c r="F232" s="1" t="s">
        <v>395</v>
      </c>
      <c r="G232" s="1" t="s">
        <v>1229</v>
      </c>
      <c r="H232" s="6">
        <v>1</v>
      </c>
      <c r="I232" s="7">
        <v>0</v>
      </c>
      <c r="J232" s="5">
        <v>45985</v>
      </c>
      <c r="K232" s="1" t="s">
        <v>957</v>
      </c>
      <c r="L232" s="1" t="s">
        <v>30</v>
      </c>
      <c r="M232" s="8">
        <v>0</v>
      </c>
      <c r="N232" s="6"/>
      <c r="O232" s="6">
        <v>43</v>
      </c>
      <c r="P232" s="9">
        <v>-114.88</v>
      </c>
    </row>
    <row r="233" spans="1:16" ht="19.5" customHeight="1">
      <c r="A233" s="1" t="s">
        <v>1388</v>
      </c>
      <c r="B233" s="5">
        <v>45988</v>
      </c>
      <c r="C233" s="1" t="s">
        <v>28</v>
      </c>
      <c r="D233" s="1" t="s">
        <v>29</v>
      </c>
      <c r="E233" s="1" t="s">
        <v>222</v>
      </c>
      <c r="F233" s="1" t="s">
        <v>412</v>
      </c>
      <c r="G233" s="1" t="s">
        <v>1229</v>
      </c>
      <c r="H233" s="6">
        <v>1</v>
      </c>
      <c r="I233" s="7">
        <v>1183</v>
      </c>
      <c r="J233" s="5">
        <v>45985</v>
      </c>
      <c r="K233" s="1" t="s">
        <v>957</v>
      </c>
      <c r="L233" s="1" t="s">
        <v>30</v>
      </c>
      <c r="M233" s="8">
        <v>0.43</v>
      </c>
      <c r="N233" s="6"/>
      <c r="O233" s="6">
        <v>43</v>
      </c>
      <c r="P233" s="9">
        <v>-109.09</v>
      </c>
    </row>
    <row r="234" spans="1:16" ht="19.5" customHeight="1">
      <c r="A234" s="1" t="s">
        <v>1388</v>
      </c>
      <c r="B234" s="5">
        <v>45988</v>
      </c>
      <c r="C234" s="1" t="s">
        <v>31</v>
      </c>
      <c r="D234" s="1" t="s">
        <v>32</v>
      </c>
      <c r="E234" s="1" t="s">
        <v>222</v>
      </c>
      <c r="F234" s="1" t="s">
        <v>412</v>
      </c>
      <c r="G234" s="1" t="s">
        <v>1229</v>
      </c>
      <c r="H234" s="6">
        <v>1</v>
      </c>
      <c r="I234" s="7">
        <v>1183</v>
      </c>
      <c r="J234" s="5">
        <v>45985</v>
      </c>
      <c r="K234" s="1" t="s">
        <v>957</v>
      </c>
      <c r="L234" s="1" t="s">
        <v>30</v>
      </c>
      <c r="M234" s="8">
        <v>0</v>
      </c>
      <c r="N234" s="6"/>
      <c r="O234" s="6"/>
      <c r="P234" s="9">
        <v>631.28</v>
      </c>
    </row>
    <row r="235" spans="1:16" ht="19.5" customHeight="1">
      <c r="A235" s="1" t="s">
        <v>1388</v>
      </c>
      <c r="B235" s="5">
        <v>45988</v>
      </c>
      <c r="C235" s="1" t="s">
        <v>31</v>
      </c>
      <c r="D235" s="1" t="s">
        <v>33</v>
      </c>
      <c r="E235" s="1" t="s">
        <v>222</v>
      </c>
      <c r="F235" s="1" t="s">
        <v>412</v>
      </c>
      <c r="G235" s="1" t="s">
        <v>1229</v>
      </c>
      <c r="H235" s="6">
        <v>1</v>
      </c>
      <c r="I235" s="7">
        <v>1183</v>
      </c>
      <c r="J235" s="5">
        <v>45985</v>
      </c>
      <c r="K235" s="1" t="s">
        <v>957</v>
      </c>
      <c r="L235" s="1" t="s">
        <v>30</v>
      </c>
      <c r="M235" s="8">
        <v>0</v>
      </c>
      <c r="N235" s="6"/>
      <c r="O235" s="6"/>
      <c r="P235" s="9">
        <v>0</v>
      </c>
    </row>
    <row r="236" spans="1:16" ht="19.5" customHeight="1">
      <c r="A236" s="1" t="s">
        <v>1388</v>
      </c>
      <c r="B236" s="5">
        <v>45988</v>
      </c>
      <c r="C236" s="1" t="s">
        <v>31</v>
      </c>
      <c r="D236" s="1" t="s">
        <v>34</v>
      </c>
      <c r="E236" s="1" t="s">
        <v>222</v>
      </c>
      <c r="F236" s="1" t="s">
        <v>412</v>
      </c>
      <c r="G236" s="1" t="s">
        <v>1229</v>
      </c>
      <c r="H236" s="6">
        <v>1</v>
      </c>
      <c r="I236" s="7">
        <v>1183</v>
      </c>
      <c r="J236" s="5">
        <v>45985</v>
      </c>
      <c r="K236" s="1" t="s">
        <v>957</v>
      </c>
      <c r="L236" s="1" t="s">
        <v>30</v>
      </c>
      <c r="M236" s="8">
        <v>0</v>
      </c>
      <c r="N236" s="6"/>
      <c r="O236" s="6"/>
      <c r="P236" s="9">
        <v>551.72</v>
      </c>
    </row>
    <row r="237" spans="1:16" ht="19.5" customHeight="1">
      <c r="A237" s="1" t="s">
        <v>1388</v>
      </c>
      <c r="B237" s="5">
        <v>45988</v>
      </c>
      <c r="C237" s="1" t="s">
        <v>35</v>
      </c>
      <c r="D237" s="1" t="s">
        <v>36</v>
      </c>
      <c r="E237" s="1" t="s">
        <v>222</v>
      </c>
      <c r="F237" s="1" t="s">
        <v>412</v>
      </c>
      <c r="G237" s="1" t="s">
        <v>1229</v>
      </c>
      <c r="H237" s="6">
        <v>1</v>
      </c>
      <c r="I237" s="7">
        <v>1183</v>
      </c>
      <c r="J237" s="5">
        <v>45985</v>
      </c>
      <c r="K237" s="1" t="s">
        <v>957</v>
      </c>
      <c r="L237" s="1" t="s">
        <v>30</v>
      </c>
      <c r="M237" s="8">
        <v>0.43</v>
      </c>
      <c r="N237" s="6"/>
      <c r="O237" s="6"/>
      <c r="P237" s="9">
        <v>-508.69</v>
      </c>
    </row>
    <row r="238" spans="1:16" ht="19.5" customHeight="1">
      <c r="A238" s="1" t="s">
        <v>1388</v>
      </c>
      <c r="B238" s="5">
        <v>45988</v>
      </c>
      <c r="C238" s="1" t="s">
        <v>17</v>
      </c>
      <c r="D238" s="1" t="s">
        <v>37</v>
      </c>
      <c r="E238" s="1" t="s">
        <v>222</v>
      </c>
      <c r="F238" s="1" t="s">
        <v>412</v>
      </c>
      <c r="G238" s="1" t="s">
        <v>1229</v>
      </c>
      <c r="H238" s="6">
        <v>1</v>
      </c>
      <c r="I238" s="7">
        <v>1183</v>
      </c>
      <c r="J238" s="5">
        <v>45985</v>
      </c>
      <c r="K238" s="1" t="s">
        <v>957</v>
      </c>
      <c r="L238" s="1" t="s">
        <v>30</v>
      </c>
      <c r="M238" s="8">
        <v>0.43</v>
      </c>
      <c r="N238" s="6"/>
      <c r="O238" s="6"/>
      <c r="P238" s="9">
        <v>-9.3800000000000008</v>
      </c>
    </row>
    <row r="239" spans="1:16" ht="19.5" customHeight="1">
      <c r="A239" s="1" t="s">
        <v>1388</v>
      </c>
      <c r="B239" s="5">
        <v>45988</v>
      </c>
      <c r="C239" s="1" t="s">
        <v>17</v>
      </c>
      <c r="D239" s="1" t="s">
        <v>18</v>
      </c>
      <c r="E239" s="1" t="s">
        <v>222</v>
      </c>
      <c r="F239" s="1" t="s">
        <v>412</v>
      </c>
      <c r="G239" s="1" t="s">
        <v>1229</v>
      </c>
      <c r="H239" s="6">
        <v>1</v>
      </c>
      <c r="I239" s="7">
        <v>0</v>
      </c>
      <c r="J239" s="5">
        <v>45985</v>
      </c>
      <c r="K239" s="1" t="s">
        <v>22</v>
      </c>
      <c r="L239" s="1" t="s">
        <v>22</v>
      </c>
      <c r="M239" s="8">
        <v>0</v>
      </c>
      <c r="N239" s="6"/>
      <c r="O239" s="6"/>
      <c r="P239" s="9">
        <v>-2.65</v>
      </c>
    </row>
    <row r="240" spans="1:16" ht="19.5" customHeight="1">
      <c r="A240" s="1" t="s">
        <v>22</v>
      </c>
      <c r="B240" s="5">
        <v>45988</v>
      </c>
      <c r="C240" s="1" t="s">
        <v>77</v>
      </c>
      <c r="D240" s="1" t="s">
        <v>78</v>
      </c>
      <c r="E240" s="1" t="s">
        <v>22</v>
      </c>
      <c r="F240" s="1" t="s">
        <v>22</v>
      </c>
      <c r="G240" s="1" t="s">
        <v>1389</v>
      </c>
      <c r="H240" s="6">
        <v>0</v>
      </c>
      <c r="I240" s="7">
        <v>0</v>
      </c>
      <c r="J240" s="5">
        <v>45988</v>
      </c>
      <c r="K240" s="1" t="s">
        <v>22</v>
      </c>
      <c r="L240" s="1" t="s">
        <v>22</v>
      </c>
      <c r="M240" s="8">
        <v>0</v>
      </c>
      <c r="N240" s="6"/>
      <c r="O240" s="6"/>
      <c r="P240" s="9">
        <v>-450</v>
      </c>
    </row>
    <row r="241" spans="1:16" ht="19.5" customHeight="1">
      <c r="A241" s="1" t="s">
        <v>1376</v>
      </c>
      <c r="B241" s="5">
        <v>45988</v>
      </c>
      <c r="C241" s="1" t="s">
        <v>77</v>
      </c>
      <c r="D241" s="1" t="s">
        <v>82</v>
      </c>
      <c r="E241" s="1" t="s">
        <v>22</v>
      </c>
      <c r="F241" s="1" t="s">
        <v>22</v>
      </c>
      <c r="G241" s="1" t="s">
        <v>22</v>
      </c>
      <c r="H241" s="6">
        <v>0</v>
      </c>
      <c r="I241" s="7">
        <v>0</v>
      </c>
      <c r="J241" s="5">
        <v>45988</v>
      </c>
      <c r="K241" s="1" t="s">
        <v>22</v>
      </c>
      <c r="L241" s="1" t="s">
        <v>22</v>
      </c>
      <c r="M241" s="8">
        <v>0</v>
      </c>
      <c r="N241" s="6"/>
      <c r="O241" s="6"/>
      <c r="P241" s="9">
        <v>-308.58999999999997</v>
      </c>
    </row>
    <row r="242" spans="1:16" ht="19.5" customHeight="1">
      <c r="A242" s="1" t="s">
        <v>1270</v>
      </c>
      <c r="B242" s="5">
        <v>45988</v>
      </c>
      <c r="C242" s="1" t="s">
        <v>77</v>
      </c>
      <c r="D242" s="1" t="s">
        <v>82</v>
      </c>
      <c r="E242" s="1" t="s">
        <v>22</v>
      </c>
      <c r="F242" s="1" t="s">
        <v>22</v>
      </c>
      <c r="G242" s="1" t="s">
        <v>22</v>
      </c>
      <c r="H242" s="6">
        <v>0</v>
      </c>
      <c r="I242" s="7">
        <v>0</v>
      </c>
      <c r="J242" s="5">
        <v>45988</v>
      </c>
      <c r="K242" s="1" t="s">
        <v>22</v>
      </c>
      <c r="L242" s="1" t="s">
        <v>22</v>
      </c>
      <c r="M242" s="8">
        <v>0</v>
      </c>
      <c r="N242" s="6"/>
      <c r="O242" s="6"/>
      <c r="P242" s="9">
        <v>-244.64</v>
      </c>
    </row>
    <row r="243" spans="1:16" ht="19.5" customHeight="1">
      <c r="A243" s="1" t="s">
        <v>83</v>
      </c>
      <c r="B243" s="5">
        <v>45988</v>
      </c>
      <c r="C243" s="1" t="s">
        <v>77</v>
      </c>
      <c r="D243" s="1" t="s">
        <v>84</v>
      </c>
      <c r="E243" s="1" t="s">
        <v>22</v>
      </c>
      <c r="F243" s="1" t="s">
        <v>22</v>
      </c>
      <c r="G243" s="1" t="s">
        <v>22</v>
      </c>
      <c r="H243" s="6">
        <v>0</v>
      </c>
      <c r="I243" s="7">
        <v>0</v>
      </c>
      <c r="J243" s="5">
        <v>45988</v>
      </c>
      <c r="K243" s="1" t="s">
        <v>22</v>
      </c>
      <c r="L243" s="1" t="s">
        <v>22</v>
      </c>
      <c r="M243" s="8">
        <v>0</v>
      </c>
      <c r="N243" s="6"/>
      <c r="O243" s="6"/>
      <c r="P243" s="9">
        <v>-1188.1300000000001</v>
      </c>
    </row>
    <row r="244" spans="1:16" ht="19.5" customHeight="1">
      <c r="A244" s="1" t="s">
        <v>1075</v>
      </c>
      <c r="B244" s="5">
        <v>45988</v>
      </c>
      <c r="C244" s="1" t="s">
        <v>77</v>
      </c>
      <c r="D244" s="1" t="s">
        <v>82</v>
      </c>
      <c r="E244" s="1" t="s">
        <v>22</v>
      </c>
      <c r="F244" s="1" t="s">
        <v>22</v>
      </c>
      <c r="G244" s="1" t="s">
        <v>22</v>
      </c>
      <c r="H244" s="6">
        <v>0</v>
      </c>
      <c r="I244" s="7">
        <v>0</v>
      </c>
      <c r="J244" s="5">
        <v>45988</v>
      </c>
      <c r="K244" s="1" t="s">
        <v>22</v>
      </c>
      <c r="L244" s="1" t="s">
        <v>22</v>
      </c>
      <c r="M244" s="8">
        <v>0</v>
      </c>
      <c r="N244" s="6"/>
      <c r="O244" s="6"/>
      <c r="P244" s="9">
        <v>-652.6</v>
      </c>
    </row>
    <row r="245" spans="1:16" ht="19.5" customHeight="1">
      <c r="A245" s="1" t="s">
        <v>1390</v>
      </c>
      <c r="B245" s="5">
        <v>45989</v>
      </c>
      <c r="C245" s="1" t="s">
        <v>28</v>
      </c>
      <c r="D245" s="1" t="s">
        <v>29</v>
      </c>
      <c r="E245" s="1" t="s">
        <v>25</v>
      </c>
      <c r="F245" s="1" t="s">
        <v>26</v>
      </c>
      <c r="G245" s="1" t="s">
        <v>1229</v>
      </c>
      <c r="H245" s="6">
        <v>1</v>
      </c>
      <c r="I245" s="7">
        <v>0</v>
      </c>
      <c r="J245" s="5">
        <v>45977</v>
      </c>
      <c r="K245" s="1" t="s">
        <v>957</v>
      </c>
      <c r="L245" s="1" t="s">
        <v>30</v>
      </c>
      <c r="M245" s="8">
        <v>0</v>
      </c>
      <c r="N245" s="6"/>
      <c r="O245" s="6">
        <v>43</v>
      </c>
      <c r="P245" s="9">
        <v>-46</v>
      </c>
    </row>
    <row r="246" spans="1:16" ht="19.5" customHeight="1">
      <c r="A246" s="1" t="s">
        <v>1390</v>
      </c>
      <c r="B246" s="5">
        <v>45989</v>
      </c>
      <c r="C246" s="1" t="s">
        <v>28</v>
      </c>
      <c r="D246" s="1" t="s">
        <v>45</v>
      </c>
      <c r="E246" s="1" t="s">
        <v>25</v>
      </c>
      <c r="F246" s="1" t="s">
        <v>26</v>
      </c>
      <c r="G246" s="1" t="s">
        <v>1229</v>
      </c>
      <c r="H246" s="6">
        <v>1</v>
      </c>
      <c r="I246" s="7">
        <v>0</v>
      </c>
      <c r="J246" s="5">
        <v>45977</v>
      </c>
      <c r="K246" s="1" t="s">
        <v>957</v>
      </c>
      <c r="L246" s="1" t="s">
        <v>30</v>
      </c>
      <c r="M246" s="8">
        <v>0</v>
      </c>
      <c r="N246" s="6"/>
      <c r="O246" s="6"/>
      <c r="P246" s="9">
        <v>0</v>
      </c>
    </row>
    <row r="247" spans="1:16" ht="19.5" customHeight="1">
      <c r="A247" s="1" t="s">
        <v>1390</v>
      </c>
      <c r="B247" s="5">
        <v>45989</v>
      </c>
      <c r="C247" s="1" t="s">
        <v>28</v>
      </c>
      <c r="D247" s="1" t="s">
        <v>46</v>
      </c>
      <c r="E247" s="1" t="s">
        <v>25</v>
      </c>
      <c r="F247" s="1" t="s">
        <v>26</v>
      </c>
      <c r="G247" s="1" t="s">
        <v>1229</v>
      </c>
      <c r="H247" s="6">
        <v>1</v>
      </c>
      <c r="I247" s="7">
        <v>0</v>
      </c>
      <c r="J247" s="5">
        <v>45977</v>
      </c>
      <c r="K247" s="1" t="s">
        <v>957</v>
      </c>
      <c r="L247" s="1" t="s">
        <v>30</v>
      </c>
      <c r="M247" s="8">
        <v>0</v>
      </c>
      <c r="N247" s="6"/>
      <c r="O247" s="6"/>
      <c r="P247" s="9">
        <v>-46</v>
      </c>
    </row>
    <row r="248" spans="1:16" ht="19.5" customHeight="1">
      <c r="A248" s="1" t="s">
        <v>1390</v>
      </c>
      <c r="B248" s="5">
        <v>45989</v>
      </c>
      <c r="C248" s="1" t="s">
        <v>17</v>
      </c>
      <c r="D248" s="1" t="s">
        <v>47</v>
      </c>
      <c r="E248" s="1" t="s">
        <v>25</v>
      </c>
      <c r="F248" s="1" t="s">
        <v>26</v>
      </c>
      <c r="G248" s="1" t="s">
        <v>1229</v>
      </c>
      <c r="H248" s="6">
        <v>1</v>
      </c>
      <c r="I248" s="7">
        <v>0</v>
      </c>
      <c r="J248" s="5">
        <v>45977</v>
      </c>
      <c r="K248" s="1" t="s">
        <v>957</v>
      </c>
      <c r="L248" s="1" t="s">
        <v>30</v>
      </c>
      <c r="M248" s="8">
        <v>0</v>
      </c>
      <c r="N248" s="6"/>
      <c r="O248" s="6"/>
      <c r="P248" s="9">
        <v>-15</v>
      </c>
    </row>
    <row r="249" spans="1:16" ht="19.5" customHeight="1">
      <c r="A249" s="1" t="s">
        <v>1391</v>
      </c>
      <c r="B249" s="5">
        <v>45989</v>
      </c>
      <c r="C249" s="1" t="s">
        <v>28</v>
      </c>
      <c r="D249" s="1" t="s">
        <v>29</v>
      </c>
      <c r="E249" s="1" t="s">
        <v>25</v>
      </c>
      <c r="F249" s="1" t="s">
        <v>26</v>
      </c>
      <c r="G249" s="1" t="s">
        <v>1229</v>
      </c>
      <c r="H249" s="6">
        <v>1</v>
      </c>
      <c r="I249" s="7">
        <v>0</v>
      </c>
      <c r="J249" s="5">
        <v>45972</v>
      </c>
      <c r="K249" s="1" t="s">
        <v>957</v>
      </c>
      <c r="L249" s="1" t="s">
        <v>30</v>
      </c>
      <c r="M249" s="8">
        <v>0</v>
      </c>
      <c r="N249" s="6"/>
      <c r="O249" s="6"/>
      <c r="P249" s="9">
        <v>-46</v>
      </c>
    </row>
    <row r="250" spans="1:16" ht="19.5" customHeight="1">
      <c r="A250" s="1" t="s">
        <v>1391</v>
      </c>
      <c r="B250" s="5">
        <v>45989</v>
      </c>
      <c r="C250" s="1" t="s">
        <v>17</v>
      </c>
      <c r="D250" s="1" t="s">
        <v>37</v>
      </c>
      <c r="E250" s="1" t="s">
        <v>25</v>
      </c>
      <c r="F250" s="1" t="s">
        <v>26</v>
      </c>
      <c r="G250" s="1" t="s">
        <v>1229</v>
      </c>
      <c r="H250" s="6">
        <v>1</v>
      </c>
      <c r="I250" s="7">
        <v>0</v>
      </c>
      <c r="J250" s="5">
        <v>45972</v>
      </c>
      <c r="K250" s="1" t="s">
        <v>957</v>
      </c>
      <c r="L250" s="1" t="s">
        <v>30</v>
      </c>
      <c r="M250" s="8">
        <v>0</v>
      </c>
      <c r="N250" s="6"/>
      <c r="O250" s="6"/>
      <c r="P250" s="9">
        <v>-6.02</v>
      </c>
    </row>
    <row r="251" spans="1:16" ht="19.5" customHeight="1">
      <c r="A251" s="1" t="s">
        <v>1391</v>
      </c>
      <c r="B251" s="5">
        <v>45989</v>
      </c>
      <c r="C251" s="1" t="s">
        <v>28</v>
      </c>
      <c r="D251" s="1" t="s">
        <v>45</v>
      </c>
      <c r="E251" s="1" t="s">
        <v>25</v>
      </c>
      <c r="F251" s="1" t="s">
        <v>26</v>
      </c>
      <c r="G251" s="1" t="s">
        <v>1229</v>
      </c>
      <c r="H251" s="6">
        <v>1</v>
      </c>
      <c r="I251" s="7">
        <v>0</v>
      </c>
      <c r="J251" s="5">
        <v>45972</v>
      </c>
      <c r="K251" s="1" t="s">
        <v>957</v>
      </c>
      <c r="L251" s="1" t="s">
        <v>30</v>
      </c>
      <c r="M251" s="8">
        <v>0</v>
      </c>
      <c r="N251" s="6"/>
      <c r="O251" s="6"/>
      <c r="P251" s="9">
        <v>0</v>
      </c>
    </row>
    <row r="252" spans="1:16" ht="19.5" customHeight="1">
      <c r="A252" s="1" t="s">
        <v>1391</v>
      </c>
      <c r="B252" s="5">
        <v>45989</v>
      </c>
      <c r="C252" s="1" t="s">
        <v>28</v>
      </c>
      <c r="D252" s="1" t="s">
        <v>46</v>
      </c>
      <c r="E252" s="1" t="s">
        <v>25</v>
      </c>
      <c r="F252" s="1" t="s">
        <v>26</v>
      </c>
      <c r="G252" s="1" t="s">
        <v>1229</v>
      </c>
      <c r="H252" s="6">
        <v>1</v>
      </c>
      <c r="I252" s="7">
        <v>0</v>
      </c>
      <c r="J252" s="5">
        <v>45972</v>
      </c>
      <c r="K252" s="1" t="s">
        <v>957</v>
      </c>
      <c r="L252" s="1" t="s">
        <v>30</v>
      </c>
      <c r="M252" s="8">
        <v>0</v>
      </c>
      <c r="N252" s="6"/>
      <c r="O252" s="6"/>
      <c r="P252" s="9">
        <v>-46</v>
      </c>
    </row>
    <row r="253" spans="1:16" ht="19.5" customHeight="1">
      <c r="A253" s="1" t="s">
        <v>1392</v>
      </c>
      <c r="B253" s="5">
        <v>45989</v>
      </c>
      <c r="C253" s="1" t="s">
        <v>17</v>
      </c>
      <c r="D253" s="1" t="s">
        <v>18</v>
      </c>
      <c r="E253" s="1" t="s">
        <v>25</v>
      </c>
      <c r="F253" s="1" t="s">
        <v>26</v>
      </c>
      <c r="G253" s="1" t="s">
        <v>1229</v>
      </c>
      <c r="H253" s="6">
        <v>1</v>
      </c>
      <c r="I253" s="7">
        <v>0</v>
      </c>
      <c r="J253" s="5">
        <v>45989</v>
      </c>
      <c r="K253" s="1" t="s">
        <v>22</v>
      </c>
      <c r="L253" s="1" t="s">
        <v>22</v>
      </c>
      <c r="M253" s="8">
        <v>0</v>
      </c>
      <c r="N253" s="6"/>
      <c r="O253" s="6"/>
      <c r="P253" s="9">
        <v>-9.14</v>
      </c>
    </row>
    <row r="254" spans="1:16" ht="19.5" customHeight="1">
      <c r="A254" s="1" t="s">
        <v>1393</v>
      </c>
      <c r="B254" s="5">
        <v>45989</v>
      </c>
      <c r="C254" s="1" t="s">
        <v>17</v>
      </c>
      <c r="D254" s="1" t="s">
        <v>18</v>
      </c>
      <c r="E254" s="1" t="s">
        <v>25</v>
      </c>
      <c r="F254" s="1" t="s">
        <v>26</v>
      </c>
      <c r="G254" s="1" t="s">
        <v>1229</v>
      </c>
      <c r="H254" s="6">
        <v>1</v>
      </c>
      <c r="I254" s="7">
        <v>0</v>
      </c>
      <c r="J254" s="5">
        <v>45989</v>
      </c>
      <c r="K254" s="1" t="s">
        <v>22</v>
      </c>
      <c r="L254" s="1" t="s">
        <v>22</v>
      </c>
      <c r="M254" s="8">
        <v>0</v>
      </c>
      <c r="N254" s="6"/>
      <c r="O254" s="6"/>
      <c r="P254" s="9">
        <v>-9.26</v>
      </c>
    </row>
    <row r="255" spans="1:16" ht="19.5" customHeight="1">
      <c r="A255" s="1" t="s">
        <v>1394</v>
      </c>
      <c r="B255" s="5">
        <v>45989</v>
      </c>
      <c r="C255" s="1" t="s">
        <v>28</v>
      </c>
      <c r="D255" s="1" t="s">
        <v>29</v>
      </c>
      <c r="E255" s="1" t="s">
        <v>25</v>
      </c>
      <c r="F255" s="1" t="s">
        <v>26</v>
      </c>
      <c r="G255" s="1" t="s">
        <v>1229</v>
      </c>
      <c r="H255" s="6">
        <v>1</v>
      </c>
      <c r="I255" s="7">
        <v>1738</v>
      </c>
      <c r="J255" s="5">
        <v>45987</v>
      </c>
      <c r="K255" s="1" t="s">
        <v>957</v>
      </c>
      <c r="L255" s="1" t="s">
        <v>30</v>
      </c>
      <c r="M255" s="8">
        <v>0.43</v>
      </c>
      <c r="N255" s="6"/>
      <c r="O255" s="6">
        <v>44</v>
      </c>
      <c r="P255" s="9">
        <v>-129.72999999999999</v>
      </c>
    </row>
    <row r="256" spans="1:16" ht="19.5" customHeight="1">
      <c r="A256" s="1" t="s">
        <v>1394</v>
      </c>
      <c r="B256" s="5">
        <v>45989</v>
      </c>
      <c r="C256" s="1" t="s">
        <v>31</v>
      </c>
      <c r="D256" s="1" t="s">
        <v>32</v>
      </c>
      <c r="E256" s="1" t="s">
        <v>25</v>
      </c>
      <c r="F256" s="1" t="s">
        <v>26</v>
      </c>
      <c r="G256" s="1" t="s">
        <v>1229</v>
      </c>
      <c r="H256" s="6">
        <v>1</v>
      </c>
      <c r="I256" s="7">
        <v>1738</v>
      </c>
      <c r="J256" s="5">
        <v>45987</v>
      </c>
      <c r="K256" s="1" t="s">
        <v>957</v>
      </c>
      <c r="L256" s="1" t="s">
        <v>30</v>
      </c>
      <c r="M256" s="8">
        <v>0</v>
      </c>
      <c r="N256" s="6"/>
      <c r="O256" s="6"/>
      <c r="P256" s="9">
        <v>1004.76</v>
      </c>
    </row>
    <row r="257" spans="1:16" ht="19.5" customHeight="1">
      <c r="A257" s="1" t="s">
        <v>1394</v>
      </c>
      <c r="B257" s="5">
        <v>45989</v>
      </c>
      <c r="C257" s="1" t="s">
        <v>31</v>
      </c>
      <c r="D257" s="1" t="s">
        <v>33</v>
      </c>
      <c r="E257" s="1" t="s">
        <v>25</v>
      </c>
      <c r="F257" s="1" t="s">
        <v>26</v>
      </c>
      <c r="G257" s="1" t="s">
        <v>1229</v>
      </c>
      <c r="H257" s="6">
        <v>1</v>
      </c>
      <c r="I257" s="7">
        <v>1738</v>
      </c>
      <c r="J257" s="5">
        <v>45987</v>
      </c>
      <c r="K257" s="1" t="s">
        <v>957</v>
      </c>
      <c r="L257" s="1" t="s">
        <v>30</v>
      </c>
      <c r="M257" s="8">
        <v>0</v>
      </c>
      <c r="N257" s="6"/>
      <c r="O257" s="6"/>
      <c r="P257" s="9">
        <v>0</v>
      </c>
    </row>
    <row r="258" spans="1:16" ht="19.5" customHeight="1">
      <c r="A258" s="1" t="s">
        <v>1394</v>
      </c>
      <c r="B258" s="5">
        <v>45989</v>
      </c>
      <c r="C258" s="1" t="s">
        <v>31</v>
      </c>
      <c r="D258" s="1" t="s">
        <v>34</v>
      </c>
      <c r="E258" s="1" t="s">
        <v>25</v>
      </c>
      <c r="F258" s="1" t="s">
        <v>26</v>
      </c>
      <c r="G258" s="1" t="s">
        <v>1229</v>
      </c>
      <c r="H258" s="6">
        <v>1</v>
      </c>
      <c r="I258" s="7">
        <v>1738</v>
      </c>
      <c r="J258" s="5">
        <v>45987</v>
      </c>
      <c r="K258" s="1" t="s">
        <v>957</v>
      </c>
      <c r="L258" s="1" t="s">
        <v>30</v>
      </c>
      <c r="M258" s="8">
        <v>0</v>
      </c>
      <c r="N258" s="6"/>
      <c r="O258" s="6"/>
      <c r="P258" s="9">
        <v>733.24</v>
      </c>
    </row>
    <row r="259" spans="1:16" ht="19.5" customHeight="1">
      <c r="A259" s="1" t="s">
        <v>1394</v>
      </c>
      <c r="B259" s="5">
        <v>45989</v>
      </c>
      <c r="C259" s="1" t="s">
        <v>35</v>
      </c>
      <c r="D259" s="1" t="s">
        <v>36</v>
      </c>
      <c r="E259" s="1" t="s">
        <v>25</v>
      </c>
      <c r="F259" s="1" t="s">
        <v>26</v>
      </c>
      <c r="G259" s="1" t="s">
        <v>1229</v>
      </c>
      <c r="H259" s="6">
        <v>1</v>
      </c>
      <c r="I259" s="7">
        <v>1738</v>
      </c>
      <c r="J259" s="5">
        <v>45987</v>
      </c>
      <c r="K259" s="1" t="s">
        <v>957</v>
      </c>
      <c r="L259" s="1" t="s">
        <v>30</v>
      </c>
      <c r="M259" s="8">
        <v>0.43</v>
      </c>
      <c r="N259" s="6"/>
      <c r="O259" s="6"/>
      <c r="P259" s="9">
        <v>-747.34</v>
      </c>
    </row>
    <row r="260" spans="1:16" ht="19.5" customHeight="1">
      <c r="A260" s="1" t="s">
        <v>1394</v>
      </c>
      <c r="B260" s="5">
        <v>45989</v>
      </c>
      <c r="C260" s="1" t="s">
        <v>17</v>
      </c>
      <c r="D260" s="1" t="s">
        <v>37</v>
      </c>
      <c r="E260" s="1" t="s">
        <v>25</v>
      </c>
      <c r="F260" s="1" t="s">
        <v>26</v>
      </c>
      <c r="G260" s="1" t="s">
        <v>1229</v>
      </c>
      <c r="H260" s="6">
        <v>1</v>
      </c>
      <c r="I260" s="7">
        <v>1738</v>
      </c>
      <c r="J260" s="5">
        <v>45987</v>
      </c>
      <c r="K260" s="1" t="s">
        <v>957</v>
      </c>
      <c r="L260" s="1" t="s">
        <v>30</v>
      </c>
      <c r="M260" s="8">
        <v>0.43</v>
      </c>
      <c r="N260" s="6"/>
      <c r="O260" s="6"/>
      <c r="P260" s="9">
        <v>-10.08</v>
      </c>
    </row>
    <row r="261" spans="1:16" ht="19.5" customHeight="1">
      <c r="A261" s="1" t="s">
        <v>1394</v>
      </c>
      <c r="B261" s="5">
        <v>45989</v>
      </c>
      <c r="C261" s="1" t="s">
        <v>17</v>
      </c>
      <c r="D261" s="1" t="s">
        <v>18</v>
      </c>
      <c r="E261" s="1" t="s">
        <v>25</v>
      </c>
      <c r="F261" s="1" t="s">
        <v>26</v>
      </c>
      <c r="G261" s="1" t="s">
        <v>1229</v>
      </c>
      <c r="H261" s="6">
        <v>1</v>
      </c>
      <c r="I261" s="7">
        <v>0</v>
      </c>
      <c r="J261" s="5">
        <v>45987</v>
      </c>
      <c r="K261" s="1" t="s">
        <v>22</v>
      </c>
      <c r="L261" s="1" t="s">
        <v>22</v>
      </c>
      <c r="M261" s="8">
        <v>0</v>
      </c>
      <c r="N261" s="6"/>
      <c r="O261" s="6"/>
      <c r="P261" s="9">
        <v>-4.22</v>
      </c>
    </row>
    <row r="262" spans="1:16" ht="19.5" customHeight="1">
      <c r="A262" s="1" t="s">
        <v>1395</v>
      </c>
      <c r="B262" s="5">
        <v>45989</v>
      </c>
      <c r="C262" s="1" t="s">
        <v>17</v>
      </c>
      <c r="D262" s="1" t="s">
        <v>18</v>
      </c>
      <c r="E262" s="1" t="s">
        <v>19</v>
      </c>
      <c r="F262" s="1" t="s">
        <v>20</v>
      </c>
      <c r="G262" s="1" t="s">
        <v>1229</v>
      </c>
      <c r="H262" s="6">
        <v>1</v>
      </c>
      <c r="I262" s="7">
        <v>0</v>
      </c>
      <c r="J262" s="5">
        <v>45989</v>
      </c>
      <c r="K262" s="1" t="s">
        <v>22</v>
      </c>
      <c r="L262" s="1" t="s">
        <v>22</v>
      </c>
      <c r="M262" s="8">
        <v>0</v>
      </c>
      <c r="N262" s="6"/>
      <c r="O262" s="6"/>
      <c r="P262" s="9">
        <v>-13.59</v>
      </c>
    </row>
    <row r="263" spans="1:16" ht="19.5" customHeight="1">
      <c r="A263" s="1" t="s">
        <v>1396</v>
      </c>
      <c r="B263" s="5">
        <v>45989</v>
      </c>
      <c r="C263" s="1" t="s">
        <v>28</v>
      </c>
      <c r="D263" s="1" t="s">
        <v>29</v>
      </c>
      <c r="E263" s="1" t="s">
        <v>223</v>
      </c>
      <c r="F263" s="1" t="s">
        <v>395</v>
      </c>
      <c r="G263" s="1" t="s">
        <v>1229</v>
      </c>
      <c r="H263" s="6">
        <v>1</v>
      </c>
      <c r="I263" s="7">
        <v>1376</v>
      </c>
      <c r="J263" s="5">
        <v>45985</v>
      </c>
      <c r="K263" s="1" t="s">
        <v>957</v>
      </c>
      <c r="L263" s="1" t="s">
        <v>30</v>
      </c>
      <c r="M263" s="8">
        <v>0.43</v>
      </c>
      <c r="N263" s="6"/>
      <c r="O263" s="6">
        <v>43</v>
      </c>
      <c r="P263" s="9">
        <v>-114.88</v>
      </c>
    </row>
    <row r="264" spans="1:16" ht="19.5" customHeight="1">
      <c r="A264" s="1" t="s">
        <v>1396</v>
      </c>
      <c r="B264" s="5">
        <v>45989</v>
      </c>
      <c r="C264" s="1" t="s">
        <v>31</v>
      </c>
      <c r="D264" s="1" t="s">
        <v>32</v>
      </c>
      <c r="E264" s="1" t="s">
        <v>223</v>
      </c>
      <c r="F264" s="1" t="s">
        <v>395</v>
      </c>
      <c r="G264" s="1" t="s">
        <v>1229</v>
      </c>
      <c r="H264" s="6">
        <v>1</v>
      </c>
      <c r="I264" s="7">
        <v>1376</v>
      </c>
      <c r="J264" s="5">
        <v>45985</v>
      </c>
      <c r="K264" s="1" t="s">
        <v>957</v>
      </c>
      <c r="L264" s="1" t="s">
        <v>30</v>
      </c>
      <c r="M264" s="8">
        <v>0</v>
      </c>
      <c r="N264" s="6"/>
      <c r="O264" s="6"/>
      <c r="P264" s="9">
        <v>562.32000000000005</v>
      </c>
    </row>
    <row r="265" spans="1:16" ht="19.5" customHeight="1">
      <c r="A265" s="1" t="s">
        <v>1396</v>
      </c>
      <c r="B265" s="5">
        <v>45989</v>
      </c>
      <c r="C265" s="1" t="s">
        <v>31</v>
      </c>
      <c r="D265" s="1" t="s">
        <v>33</v>
      </c>
      <c r="E265" s="1" t="s">
        <v>223</v>
      </c>
      <c r="F265" s="1" t="s">
        <v>395</v>
      </c>
      <c r="G265" s="1" t="s">
        <v>1229</v>
      </c>
      <c r="H265" s="6">
        <v>1</v>
      </c>
      <c r="I265" s="7">
        <v>1376</v>
      </c>
      <c r="J265" s="5">
        <v>45985</v>
      </c>
      <c r="K265" s="1" t="s">
        <v>957</v>
      </c>
      <c r="L265" s="1" t="s">
        <v>30</v>
      </c>
      <c r="M265" s="8">
        <v>0</v>
      </c>
      <c r="N265" s="6"/>
      <c r="O265" s="6"/>
      <c r="P265" s="9">
        <v>5.62</v>
      </c>
    </row>
    <row r="266" spans="1:16" ht="19.5" customHeight="1">
      <c r="A266" s="1" t="s">
        <v>1396</v>
      </c>
      <c r="B266" s="5">
        <v>45989</v>
      </c>
      <c r="C266" s="1" t="s">
        <v>31</v>
      </c>
      <c r="D266" s="1" t="s">
        <v>34</v>
      </c>
      <c r="E266" s="1" t="s">
        <v>223</v>
      </c>
      <c r="F266" s="1" t="s">
        <v>395</v>
      </c>
      <c r="G266" s="1" t="s">
        <v>1229</v>
      </c>
      <c r="H266" s="6">
        <v>1</v>
      </c>
      <c r="I266" s="7">
        <v>1376</v>
      </c>
      <c r="J266" s="5">
        <v>45985</v>
      </c>
      <c r="K266" s="1" t="s">
        <v>957</v>
      </c>
      <c r="L266" s="1" t="s">
        <v>30</v>
      </c>
      <c r="M266" s="8">
        <v>0</v>
      </c>
      <c r="N266" s="6"/>
      <c r="O266" s="6"/>
      <c r="P266" s="9">
        <v>808.06</v>
      </c>
    </row>
    <row r="267" spans="1:16" ht="19.5" customHeight="1">
      <c r="A267" s="1" t="s">
        <v>1396</v>
      </c>
      <c r="B267" s="5">
        <v>45989</v>
      </c>
      <c r="C267" s="1" t="s">
        <v>35</v>
      </c>
      <c r="D267" s="1" t="s">
        <v>36</v>
      </c>
      <c r="E267" s="1" t="s">
        <v>223</v>
      </c>
      <c r="F267" s="1" t="s">
        <v>395</v>
      </c>
      <c r="G267" s="1" t="s">
        <v>1229</v>
      </c>
      <c r="H267" s="6">
        <v>1</v>
      </c>
      <c r="I267" s="7">
        <v>1376</v>
      </c>
      <c r="J267" s="5">
        <v>45985</v>
      </c>
      <c r="K267" s="1" t="s">
        <v>957</v>
      </c>
      <c r="L267" s="1" t="s">
        <v>30</v>
      </c>
      <c r="M267" s="8">
        <v>0.43</v>
      </c>
      <c r="N267" s="6"/>
      <c r="O267" s="6"/>
      <c r="P267" s="9">
        <v>-591.67999999999995</v>
      </c>
    </row>
    <row r="268" spans="1:16" ht="19.5" customHeight="1">
      <c r="A268" s="1" t="s">
        <v>1396</v>
      </c>
      <c r="B268" s="5">
        <v>45989</v>
      </c>
      <c r="C268" s="1" t="s">
        <v>17</v>
      </c>
      <c r="D268" s="1" t="s">
        <v>37</v>
      </c>
      <c r="E268" s="1" t="s">
        <v>223</v>
      </c>
      <c r="F268" s="1" t="s">
        <v>395</v>
      </c>
      <c r="G268" s="1" t="s">
        <v>1229</v>
      </c>
      <c r="H268" s="6">
        <v>1</v>
      </c>
      <c r="I268" s="7">
        <v>1376</v>
      </c>
      <c r="J268" s="5">
        <v>45985</v>
      </c>
      <c r="K268" s="1" t="s">
        <v>957</v>
      </c>
      <c r="L268" s="1" t="s">
        <v>30</v>
      </c>
      <c r="M268" s="8">
        <v>0.43</v>
      </c>
      <c r="N268" s="6"/>
      <c r="O268" s="6"/>
      <c r="P268" s="9">
        <v>-6.03</v>
      </c>
    </row>
    <row r="269" spans="1:16" ht="19.5" customHeight="1">
      <c r="A269" s="1" t="s">
        <v>1397</v>
      </c>
      <c r="B269" s="5">
        <v>45989</v>
      </c>
      <c r="C269" s="1" t="s">
        <v>17</v>
      </c>
      <c r="D269" s="1" t="s">
        <v>18</v>
      </c>
      <c r="E269" s="1" t="s">
        <v>228</v>
      </c>
      <c r="F269" s="1" t="s">
        <v>393</v>
      </c>
      <c r="G269" s="1" t="s">
        <v>1229</v>
      </c>
      <c r="H269" s="6">
        <v>1</v>
      </c>
      <c r="I269" s="7">
        <v>0</v>
      </c>
      <c r="J269" s="5">
        <v>45989</v>
      </c>
      <c r="K269" s="1" t="s">
        <v>22</v>
      </c>
      <c r="L269" s="1" t="s">
        <v>22</v>
      </c>
      <c r="M269" s="8">
        <v>0</v>
      </c>
      <c r="N269" s="6"/>
      <c r="O269" s="6"/>
      <c r="P269" s="9">
        <v>-4.0199999999999996</v>
      </c>
    </row>
    <row r="270" spans="1:16" ht="19.5" customHeight="1">
      <c r="A270" s="1" t="s">
        <v>1398</v>
      </c>
      <c r="B270" s="5">
        <v>45989</v>
      </c>
      <c r="C270" s="1" t="s">
        <v>17</v>
      </c>
      <c r="D270" s="1" t="s">
        <v>18</v>
      </c>
      <c r="E270" s="1" t="s">
        <v>25</v>
      </c>
      <c r="F270" s="1" t="s">
        <v>26</v>
      </c>
      <c r="G270" s="1" t="s">
        <v>1229</v>
      </c>
      <c r="H270" s="6">
        <v>1</v>
      </c>
      <c r="I270" s="7">
        <v>0</v>
      </c>
      <c r="J270" s="5">
        <v>45989</v>
      </c>
      <c r="K270" s="1" t="s">
        <v>22</v>
      </c>
      <c r="L270" s="1" t="s">
        <v>22</v>
      </c>
      <c r="M270" s="8">
        <v>0</v>
      </c>
      <c r="N270" s="6"/>
      <c r="O270" s="6"/>
      <c r="P270" s="9">
        <v>-9.14</v>
      </c>
    </row>
    <row r="271" spans="1:16" ht="19.5" customHeight="1">
      <c r="A271" s="1" t="s">
        <v>1399</v>
      </c>
      <c r="B271" s="5">
        <v>45989</v>
      </c>
      <c r="C271" s="1" t="s">
        <v>28</v>
      </c>
      <c r="D271" s="1" t="s">
        <v>29</v>
      </c>
      <c r="E271" s="1" t="s">
        <v>235</v>
      </c>
      <c r="F271" s="1" t="s">
        <v>528</v>
      </c>
      <c r="G271" s="1" t="s">
        <v>1133</v>
      </c>
      <c r="H271" s="6">
        <v>1</v>
      </c>
      <c r="I271" s="7">
        <v>6000</v>
      </c>
      <c r="J271" s="5">
        <v>45974</v>
      </c>
      <c r="K271" s="1" t="s">
        <v>957</v>
      </c>
      <c r="L271" s="1" t="s">
        <v>30</v>
      </c>
      <c r="M271" s="8">
        <v>0.43</v>
      </c>
      <c r="N271" s="6"/>
      <c r="O271" s="6">
        <v>42</v>
      </c>
      <c r="P271" s="9">
        <v>-258.92</v>
      </c>
    </row>
    <row r="272" spans="1:16" ht="19.5" customHeight="1">
      <c r="A272" s="1" t="s">
        <v>1399</v>
      </c>
      <c r="B272" s="5">
        <v>45989</v>
      </c>
      <c r="C272" s="1" t="s">
        <v>31</v>
      </c>
      <c r="D272" s="1" t="s">
        <v>32</v>
      </c>
      <c r="E272" s="1" t="s">
        <v>235</v>
      </c>
      <c r="F272" s="1" t="s">
        <v>528</v>
      </c>
      <c r="G272" s="1" t="s">
        <v>1133</v>
      </c>
      <c r="H272" s="6">
        <v>1</v>
      </c>
      <c r="I272" s="7">
        <v>6000</v>
      </c>
      <c r="J272" s="5">
        <v>45974</v>
      </c>
      <c r="K272" s="1" t="s">
        <v>957</v>
      </c>
      <c r="L272" s="1" t="s">
        <v>30</v>
      </c>
      <c r="M272" s="8">
        <v>0</v>
      </c>
      <c r="N272" s="6"/>
      <c r="O272" s="6"/>
      <c r="P272" s="9">
        <v>2905.71</v>
      </c>
    </row>
    <row r="273" spans="1:16" ht="19.5" customHeight="1">
      <c r="A273" s="1" t="s">
        <v>1399</v>
      </c>
      <c r="B273" s="5">
        <v>45989</v>
      </c>
      <c r="C273" s="1" t="s">
        <v>31</v>
      </c>
      <c r="D273" s="1" t="s">
        <v>33</v>
      </c>
      <c r="E273" s="1" t="s">
        <v>235</v>
      </c>
      <c r="F273" s="1" t="s">
        <v>528</v>
      </c>
      <c r="G273" s="1" t="s">
        <v>1133</v>
      </c>
      <c r="H273" s="6">
        <v>1</v>
      </c>
      <c r="I273" s="7">
        <v>6000</v>
      </c>
      <c r="J273" s="5">
        <v>45974</v>
      </c>
      <c r="K273" s="1" t="s">
        <v>957</v>
      </c>
      <c r="L273" s="1" t="s">
        <v>30</v>
      </c>
      <c r="M273" s="8">
        <v>0</v>
      </c>
      <c r="N273" s="6"/>
      <c r="O273" s="6"/>
      <c r="P273" s="9">
        <v>29.06</v>
      </c>
    </row>
    <row r="274" spans="1:16" ht="19.5" customHeight="1">
      <c r="A274" s="1" t="s">
        <v>1399</v>
      </c>
      <c r="B274" s="5">
        <v>45989</v>
      </c>
      <c r="C274" s="1" t="s">
        <v>31</v>
      </c>
      <c r="D274" s="1" t="s">
        <v>34</v>
      </c>
      <c r="E274" s="1" t="s">
        <v>235</v>
      </c>
      <c r="F274" s="1" t="s">
        <v>528</v>
      </c>
      <c r="G274" s="1" t="s">
        <v>1133</v>
      </c>
      <c r="H274" s="6">
        <v>1</v>
      </c>
      <c r="I274" s="7">
        <v>6000</v>
      </c>
      <c r="J274" s="5">
        <v>45974</v>
      </c>
      <c r="K274" s="1" t="s">
        <v>957</v>
      </c>
      <c r="L274" s="1" t="s">
        <v>30</v>
      </c>
      <c r="M274" s="8">
        <v>0</v>
      </c>
      <c r="N274" s="6"/>
      <c r="O274" s="6"/>
      <c r="P274" s="9">
        <v>3065.23</v>
      </c>
    </row>
    <row r="275" spans="1:16" ht="19.5" customHeight="1">
      <c r="A275" s="1" t="s">
        <v>1399</v>
      </c>
      <c r="B275" s="5">
        <v>45989</v>
      </c>
      <c r="C275" s="1" t="s">
        <v>35</v>
      </c>
      <c r="D275" s="1" t="s">
        <v>36</v>
      </c>
      <c r="E275" s="1" t="s">
        <v>235</v>
      </c>
      <c r="F275" s="1" t="s">
        <v>528</v>
      </c>
      <c r="G275" s="1" t="s">
        <v>1133</v>
      </c>
      <c r="H275" s="6">
        <v>1</v>
      </c>
      <c r="I275" s="7">
        <v>6000</v>
      </c>
      <c r="J275" s="5">
        <v>45974</v>
      </c>
      <c r="K275" s="1" t="s">
        <v>957</v>
      </c>
      <c r="L275" s="1" t="s">
        <v>30</v>
      </c>
      <c r="M275" s="8">
        <v>0.43</v>
      </c>
      <c r="N275" s="6"/>
      <c r="O275" s="6"/>
      <c r="P275" s="9">
        <v>-2580</v>
      </c>
    </row>
    <row r="276" spans="1:16" ht="19.5" customHeight="1">
      <c r="A276" s="1" t="s">
        <v>1399</v>
      </c>
      <c r="B276" s="5">
        <v>45989</v>
      </c>
      <c r="C276" s="1" t="s">
        <v>17</v>
      </c>
      <c r="D276" s="1" t="s">
        <v>37</v>
      </c>
      <c r="E276" s="1" t="s">
        <v>235</v>
      </c>
      <c r="F276" s="1" t="s">
        <v>528</v>
      </c>
      <c r="G276" s="1" t="s">
        <v>1133</v>
      </c>
      <c r="H276" s="6">
        <v>1</v>
      </c>
      <c r="I276" s="7">
        <v>6000</v>
      </c>
      <c r="J276" s="5">
        <v>45974</v>
      </c>
      <c r="K276" s="1" t="s">
        <v>957</v>
      </c>
      <c r="L276" s="1" t="s">
        <v>30</v>
      </c>
      <c r="M276" s="8">
        <v>0.43</v>
      </c>
      <c r="N276" s="6"/>
      <c r="O276" s="6"/>
      <c r="P276" s="9">
        <v>-18.260000000000002</v>
      </c>
    </row>
    <row r="277" spans="1:16" ht="19.5" customHeight="1">
      <c r="A277" s="1" t="s">
        <v>1400</v>
      </c>
      <c r="B277" s="5">
        <v>45989</v>
      </c>
      <c r="C277" s="1" t="s">
        <v>17</v>
      </c>
      <c r="D277" s="1" t="s">
        <v>18</v>
      </c>
      <c r="E277" s="1" t="s">
        <v>25</v>
      </c>
      <c r="F277" s="1" t="s">
        <v>26</v>
      </c>
      <c r="G277" s="1" t="s">
        <v>1229</v>
      </c>
      <c r="H277" s="6">
        <v>1</v>
      </c>
      <c r="I277" s="7">
        <v>0</v>
      </c>
      <c r="J277" s="5">
        <v>45989</v>
      </c>
      <c r="K277" s="1" t="s">
        <v>22</v>
      </c>
      <c r="L277" s="1" t="s">
        <v>22</v>
      </c>
      <c r="M277" s="8">
        <v>0</v>
      </c>
      <c r="N277" s="6"/>
      <c r="O277" s="6"/>
      <c r="P277" s="9">
        <v>-13.45</v>
      </c>
    </row>
    <row r="278" spans="1:16" ht="19.5" customHeight="1">
      <c r="A278" s="1" t="s">
        <v>1401</v>
      </c>
      <c r="B278" s="5">
        <v>45989</v>
      </c>
      <c r="C278" s="1" t="s">
        <v>17</v>
      </c>
      <c r="D278" s="1" t="s">
        <v>18</v>
      </c>
      <c r="E278" s="1" t="s">
        <v>223</v>
      </c>
      <c r="F278" s="1" t="s">
        <v>395</v>
      </c>
      <c r="G278" s="1" t="s">
        <v>1229</v>
      </c>
      <c r="H278" s="6">
        <v>1</v>
      </c>
      <c r="I278" s="7">
        <v>0</v>
      </c>
      <c r="J278" s="5">
        <v>45989</v>
      </c>
      <c r="K278" s="1" t="s">
        <v>22</v>
      </c>
      <c r="L278" s="1" t="s">
        <v>22</v>
      </c>
      <c r="M278" s="8">
        <v>0</v>
      </c>
      <c r="N278" s="6"/>
      <c r="O278" s="6"/>
      <c r="P278" s="9">
        <v>-9.58</v>
      </c>
    </row>
    <row r="279" spans="1:16" ht="19.5" customHeight="1">
      <c r="A279" s="1" t="s">
        <v>1402</v>
      </c>
      <c r="B279" s="5">
        <v>45989</v>
      </c>
      <c r="C279" s="1" t="s">
        <v>28</v>
      </c>
      <c r="D279" s="1" t="s">
        <v>29</v>
      </c>
      <c r="E279" s="1" t="s">
        <v>19</v>
      </c>
      <c r="F279" s="1" t="s">
        <v>20</v>
      </c>
      <c r="G279" s="1" t="s">
        <v>1229</v>
      </c>
      <c r="H279" s="6">
        <v>1</v>
      </c>
      <c r="I279" s="7">
        <v>1298</v>
      </c>
      <c r="J279" s="5">
        <v>45985</v>
      </c>
      <c r="K279" s="1" t="s">
        <v>957</v>
      </c>
      <c r="L279" s="1" t="s">
        <v>30</v>
      </c>
      <c r="M279" s="8">
        <v>0.43</v>
      </c>
      <c r="N279" s="6"/>
      <c r="O279" s="6">
        <v>43</v>
      </c>
      <c r="P279" s="9">
        <v>-112.54</v>
      </c>
    </row>
    <row r="280" spans="1:16" ht="19.5" customHeight="1">
      <c r="A280" s="1" t="s">
        <v>1402</v>
      </c>
      <c r="B280" s="5">
        <v>45989</v>
      </c>
      <c r="C280" s="1" t="s">
        <v>31</v>
      </c>
      <c r="D280" s="1" t="s">
        <v>32</v>
      </c>
      <c r="E280" s="1" t="s">
        <v>19</v>
      </c>
      <c r="F280" s="1" t="s">
        <v>20</v>
      </c>
      <c r="G280" s="1" t="s">
        <v>1229</v>
      </c>
      <c r="H280" s="6">
        <v>1</v>
      </c>
      <c r="I280" s="7">
        <v>1298</v>
      </c>
      <c r="J280" s="5">
        <v>45985</v>
      </c>
      <c r="K280" s="1" t="s">
        <v>957</v>
      </c>
      <c r="L280" s="1" t="s">
        <v>30</v>
      </c>
      <c r="M280" s="8">
        <v>0</v>
      </c>
      <c r="N280" s="6"/>
      <c r="O280" s="6"/>
      <c r="P280" s="9">
        <v>609.52</v>
      </c>
    </row>
    <row r="281" spans="1:16" ht="19.5" customHeight="1">
      <c r="A281" s="1" t="s">
        <v>1402</v>
      </c>
      <c r="B281" s="5">
        <v>45989</v>
      </c>
      <c r="C281" s="1" t="s">
        <v>31</v>
      </c>
      <c r="D281" s="1" t="s">
        <v>33</v>
      </c>
      <c r="E281" s="1" t="s">
        <v>19</v>
      </c>
      <c r="F281" s="1" t="s">
        <v>20</v>
      </c>
      <c r="G281" s="1" t="s">
        <v>1229</v>
      </c>
      <c r="H281" s="6">
        <v>1</v>
      </c>
      <c r="I281" s="7">
        <v>1298</v>
      </c>
      <c r="J281" s="5">
        <v>45985</v>
      </c>
      <c r="K281" s="1" t="s">
        <v>957</v>
      </c>
      <c r="L281" s="1" t="s">
        <v>30</v>
      </c>
      <c r="M281" s="8">
        <v>0</v>
      </c>
      <c r="N281" s="6"/>
      <c r="O281" s="6"/>
      <c r="P281" s="9">
        <v>6.1</v>
      </c>
    </row>
    <row r="282" spans="1:16" ht="19.5" customHeight="1">
      <c r="A282" s="1" t="s">
        <v>1402</v>
      </c>
      <c r="B282" s="5">
        <v>45989</v>
      </c>
      <c r="C282" s="1" t="s">
        <v>31</v>
      </c>
      <c r="D282" s="1" t="s">
        <v>34</v>
      </c>
      <c r="E282" s="1" t="s">
        <v>19</v>
      </c>
      <c r="F282" s="1" t="s">
        <v>20</v>
      </c>
      <c r="G282" s="1" t="s">
        <v>1229</v>
      </c>
      <c r="H282" s="6">
        <v>1</v>
      </c>
      <c r="I282" s="7">
        <v>1298</v>
      </c>
      <c r="J282" s="5">
        <v>45985</v>
      </c>
      <c r="K282" s="1" t="s">
        <v>957</v>
      </c>
      <c r="L282" s="1" t="s">
        <v>30</v>
      </c>
      <c r="M282" s="8">
        <v>0</v>
      </c>
      <c r="N282" s="6"/>
      <c r="O282" s="6"/>
      <c r="P282" s="9">
        <v>682.38</v>
      </c>
    </row>
    <row r="283" spans="1:16" ht="19.5" customHeight="1">
      <c r="A283" s="1" t="s">
        <v>1402</v>
      </c>
      <c r="B283" s="5">
        <v>45989</v>
      </c>
      <c r="C283" s="1" t="s">
        <v>35</v>
      </c>
      <c r="D283" s="1" t="s">
        <v>36</v>
      </c>
      <c r="E283" s="1" t="s">
        <v>19</v>
      </c>
      <c r="F283" s="1" t="s">
        <v>20</v>
      </c>
      <c r="G283" s="1" t="s">
        <v>1229</v>
      </c>
      <c r="H283" s="6">
        <v>1</v>
      </c>
      <c r="I283" s="7">
        <v>1298</v>
      </c>
      <c r="J283" s="5">
        <v>45985</v>
      </c>
      <c r="K283" s="1" t="s">
        <v>957</v>
      </c>
      <c r="L283" s="1" t="s">
        <v>30</v>
      </c>
      <c r="M283" s="8">
        <v>0.43</v>
      </c>
      <c r="N283" s="6"/>
      <c r="O283" s="6"/>
      <c r="P283" s="9">
        <v>-558.14</v>
      </c>
    </row>
    <row r="284" spans="1:16" ht="19.5" customHeight="1">
      <c r="A284" s="1" t="s">
        <v>1402</v>
      </c>
      <c r="B284" s="5">
        <v>45989</v>
      </c>
      <c r="C284" s="1" t="s">
        <v>17</v>
      </c>
      <c r="D284" s="1" t="s">
        <v>37</v>
      </c>
      <c r="E284" s="1" t="s">
        <v>19</v>
      </c>
      <c r="F284" s="1" t="s">
        <v>20</v>
      </c>
      <c r="G284" s="1" t="s">
        <v>1229</v>
      </c>
      <c r="H284" s="6">
        <v>1</v>
      </c>
      <c r="I284" s="7">
        <v>1298</v>
      </c>
      <c r="J284" s="5">
        <v>45985</v>
      </c>
      <c r="K284" s="1" t="s">
        <v>957</v>
      </c>
      <c r="L284" s="1" t="s">
        <v>30</v>
      </c>
      <c r="M284" s="8">
        <v>0.43</v>
      </c>
      <c r="N284" s="6"/>
      <c r="O284" s="6"/>
      <c r="P284" s="9">
        <v>-10.050000000000001</v>
      </c>
    </row>
    <row r="285" spans="1:16" ht="19.5" customHeight="1">
      <c r="A285" s="1" t="s">
        <v>1402</v>
      </c>
      <c r="B285" s="5">
        <v>45989</v>
      </c>
      <c r="C285" s="1" t="s">
        <v>17</v>
      </c>
      <c r="D285" s="1" t="s">
        <v>18</v>
      </c>
      <c r="E285" s="1" t="s">
        <v>19</v>
      </c>
      <c r="F285" s="1" t="s">
        <v>20</v>
      </c>
      <c r="G285" s="1" t="s">
        <v>1229</v>
      </c>
      <c r="H285" s="6">
        <v>1</v>
      </c>
      <c r="I285" s="7">
        <v>0</v>
      </c>
      <c r="J285" s="5">
        <v>45985</v>
      </c>
      <c r="K285" s="1" t="s">
        <v>22</v>
      </c>
      <c r="L285" s="1" t="s">
        <v>22</v>
      </c>
      <c r="M285" s="8">
        <v>0</v>
      </c>
      <c r="N285" s="6"/>
      <c r="O285" s="6"/>
      <c r="P285" s="9">
        <v>-11.58</v>
      </c>
    </row>
    <row r="286" spans="1:16" ht="19.5" customHeight="1">
      <c r="A286" s="1" t="s">
        <v>1403</v>
      </c>
      <c r="B286" s="5">
        <v>45989</v>
      </c>
      <c r="C286" s="1" t="s">
        <v>17</v>
      </c>
      <c r="D286" s="1" t="s">
        <v>18</v>
      </c>
      <c r="E286" s="1" t="s">
        <v>223</v>
      </c>
      <c r="F286" s="1" t="s">
        <v>395</v>
      </c>
      <c r="G286" s="1" t="s">
        <v>1229</v>
      </c>
      <c r="H286" s="6">
        <v>1</v>
      </c>
      <c r="I286" s="7">
        <v>0</v>
      </c>
      <c r="J286" s="5">
        <v>45989</v>
      </c>
      <c r="K286" s="1" t="s">
        <v>22</v>
      </c>
      <c r="L286" s="1" t="s">
        <v>22</v>
      </c>
      <c r="M286" s="8">
        <v>0</v>
      </c>
      <c r="N286" s="6"/>
      <c r="O286" s="6"/>
      <c r="P286" s="9">
        <v>-9.59</v>
      </c>
    </row>
    <row r="287" spans="1:16" ht="19.5" customHeight="1">
      <c r="A287" s="1" t="s">
        <v>1404</v>
      </c>
      <c r="B287" s="5">
        <v>45989</v>
      </c>
      <c r="C287" s="1" t="s">
        <v>28</v>
      </c>
      <c r="D287" s="1" t="s">
        <v>29</v>
      </c>
      <c r="E287" s="1" t="s">
        <v>1055</v>
      </c>
      <c r="F287" s="1" t="s">
        <v>1317</v>
      </c>
      <c r="G287" s="1" t="s">
        <v>1298</v>
      </c>
      <c r="H287" s="6">
        <v>1</v>
      </c>
      <c r="I287" s="7">
        <v>2100</v>
      </c>
      <c r="J287" s="5">
        <v>45986</v>
      </c>
      <c r="K287" s="1" t="s">
        <v>957</v>
      </c>
      <c r="L287" s="1" t="s">
        <v>30</v>
      </c>
      <c r="M287" s="8">
        <v>0.43</v>
      </c>
      <c r="N287" s="6"/>
      <c r="O287" s="6">
        <v>44</v>
      </c>
      <c r="P287" s="9">
        <v>-141.13</v>
      </c>
    </row>
    <row r="288" spans="1:16" ht="19.5" customHeight="1">
      <c r="A288" s="1" t="s">
        <v>1404</v>
      </c>
      <c r="B288" s="5">
        <v>45989</v>
      </c>
      <c r="C288" s="1" t="s">
        <v>31</v>
      </c>
      <c r="D288" s="1" t="s">
        <v>32</v>
      </c>
      <c r="E288" s="1" t="s">
        <v>1055</v>
      </c>
      <c r="F288" s="1" t="s">
        <v>1317</v>
      </c>
      <c r="G288" s="1" t="s">
        <v>1298</v>
      </c>
      <c r="H288" s="6">
        <v>1</v>
      </c>
      <c r="I288" s="7">
        <v>2100</v>
      </c>
      <c r="J288" s="5">
        <v>45986</v>
      </c>
      <c r="K288" s="1" t="s">
        <v>957</v>
      </c>
      <c r="L288" s="1" t="s">
        <v>30</v>
      </c>
      <c r="M288" s="8">
        <v>0</v>
      </c>
      <c r="N288" s="6"/>
      <c r="O288" s="6"/>
      <c r="P288" s="9">
        <v>887.31</v>
      </c>
    </row>
    <row r="289" spans="1:16" ht="19.5" customHeight="1">
      <c r="A289" s="1" t="s">
        <v>1404</v>
      </c>
      <c r="B289" s="5">
        <v>45989</v>
      </c>
      <c r="C289" s="1" t="s">
        <v>31</v>
      </c>
      <c r="D289" s="1" t="s">
        <v>33</v>
      </c>
      <c r="E289" s="1" t="s">
        <v>1055</v>
      </c>
      <c r="F289" s="1" t="s">
        <v>1317</v>
      </c>
      <c r="G289" s="1" t="s">
        <v>1298</v>
      </c>
      <c r="H289" s="6">
        <v>1</v>
      </c>
      <c r="I289" s="7">
        <v>2100</v>
      </c>
      <c r="J289" s="5">
        <v>45986</v>
      </c>
      <c r="K289" s="1" t="s">
        <v>957</v>
      </c>
      <c r="L289" s="1" t="s">
        <v>30</v>
      </c>
      <c r="M289" s="8">
        <v>0</v>
      </c>
      <c r="N289" s="6"/>
      <c r="O289" s="6"/>
      <c r="P289" s="9">
        <v>8.8699999999999992</v>
      </c>
    </row>
    <row r="290" spans="1:16" ht="19.5" customHeight="1">
      <c r="A290" s="1" t="s">
        <v>1404</v>
      </c>
      <c r="B290" s="5">
        <v>45989</v>
      </c>
      <c r="C290" s="1" t="s">
        <v>31</v>
      </c>
      <c r="D290" s="1" t="s">
        <v>34</v>
      </c>
      <c r="E290" s="1" t="s">
        <v>1055</v>
      </c>
      <c r="F290" s="1" t="s">
        <v>1317</v>
      </c>
      <c r="G290" s="1" t="s">
        <v>1298</v>
      </c>
      <c r="H290" s="6">
        <v>1</v>
      </c>
      <c r="I290" s="7">
        <v>2100</v>
      </c>
      <c r="J290" s="5">
        <v>45986</v>
      </c>
      <c r="K290" s="1" t="s">
        <v>957</v>
      </c>
      <c r="L290" s="1" t="s">
        <v>30</v>
      </c>
      <c r="M290" s="8">
        <v>0</v>
      </c>
      <c r="N290" s="6"/>
      <c r="O290" s="6"/>
      <c r="P290" s="9">
        <v>1203.82</v>
      </c>
    </row>
    <row r="291" spans="1:16" ht="19.5" customHeight="1">
      <c r="A291" s="1" t="s">
        <v>1404</v>
      </c>
      <c r="B291" s="5">
        <v>45989</v>
      </c>
      <c r="C291" s="1" t="s">
        <v>35</v>
      </c>
      <c r="D291" s="1" t="s">
        <v>36</v>
      </c>
      <c r="E291" s="1" t="s">
        <v>1055</v>
      </c>
      <c r="F291" s="1" t="s">
        <v>1317</v>
      </c>
      <c r="G291" s="1" t="s">
        <v>1298</v>
      </c>
      <c r="H291" s="6">
        <v>1</v>
      </c>
      <c r="I291" s="7">
        <v>2100</v>
      </c>
      <c r="J291" s="5">
        <v>45986</v>
      </c>
      <c r="K291" s="1" t="s">
        <v>957</v>
      </c>
      <c r="L291" s="1" t="s">
        <v>30</v>
      </c>
      <c r="M291" s="8">
        <v>0.43</v>
      </c>
      <c r="N291" s="6"/>
      <c r="O291" s="6"/>
      <c r="P291" s="9">
        <v>-903</v>
      </c>
    </row>
    <row r="292" spans="1:16" ht="19.5" customHeight="1">
      <c r="A292" s="1" t="s">
        <v>1404</v>
      </c>
      <c r="B292" s="5">
        <v>45989</v>
      </c>
      <c r="C292" s="1" t="s">
        <v>17</v>
      </c>
      <c r="D292" s="1" t="s">
        <v>37</v>
      </c>
      <c r="E292" s="1" t="s">
        <v>1055</v>
      </c>
      <c r="F292" s="1" t="s">
        <v>1317</v>
      </c>
      <c r="G292" s="1" t="s">
        <v>1298</v>
      </c>
      <c r="H292" s="6">
        <v>1</v>
      </c>
      <c r="I292" s="7">
        <v>2100</v>
      </c>
      <c r="J292" s="5">
        <v>45986</v>
      </c>
      <c r="K292" s="1" t="s">
        <v>957</v>
      </c>
      <c r="L292" s="1" t="s">
        <v>30</v>
      </c>
      <c r="M292" s="8">
        <v>0.43</v>
      </c>
      <c r="N292" s="6"/>
      <c r="O292" s="6"/>
      <c r="P292" s="9">
        <v>-9.64</v>
      </c>
    </row>
    <row r="293" spans="1:16" ht="19.5" customHeight="1">
      <c r="A293" s="1" t="s">
        <v>22</v>
      </c>
      <c r="B293" s="5">
        <v>45989</v>
      </c>
      <c r="C293" s="1" t="s">
        <v>77</v>
      </c>
      <c r="D293" s="1" t="s">
        <v>78</v>
      </c>
      <c r="E293" s="1" t="s">
        <v>22</v>
      </c>
      <c r="F293" s="1" t="s">
        <v>22</v>
      </c>
      <c r="G293" s="1" t="s">
        <v>1405</v>
      </c>
      <c r="H293" s="6">
        <v>0</v>
      </c>
      <c r="I293" s="7">
        <v>0</v>
      </c>
      <c r="J293" s="5">
        <v>45989</v>
      </c>
      <c r="K293" s="1" t="s">
        <v>22</v>
      </c>
      <c r="L293" s="1" t="s">
        <v>22</v>
      </c>
      <c r="M293" s="8">
        <v>0</v>
      </c>
      <c r="N293" s="6"/>
      <c r="O293" s="6"/>
      <c r="P293" s="9">
        <v>-450</v>
      </c>
    </row>
    <row r="294" spans="1:16" ht="19.5" customHeight="1">
      <c r="A294" s="1" t="s">
        <v>1404</v>
      </c>
      <c r="B294" s="5">
        <v>45989</v>
      </c>
      <c r="C294" s="1" t="s">
        <v>17</v>
      </c>
      <c r="D294" s="1" t="s">
        <v>18</v>
      </c>
      <c r="E294" s="1" t="s">
        <v>1055</v>
      </c>
      <c r="F294" s="1" t="s">
        <v>1317</v>
      </c>
      <c r="G294" s="1" t="s">
        <v>1298</v>
      </c>
      <c r="H294" s="6">
        <v>1</v>
      </c>
      <c r="I294" s="7">
        <v>0</v>
      </c>
      <c r="J294" s="5">
        <v>45986</v>
      </c>
      <c r="K294" s="1" t="s">
        <v>22</v>
      </c>
      <c r="L294" s="1" t="s">
        <v>22</v>
      </c>
      <c r="M294" s="8">
        <v>0</v>
      </c>
      <c r="N294" s="6"/>
      <c r="O294" s="6"/>
      <c r="P294" s="9">
        <v>-16.86</v>
      </c>
    </row>
    <row r="295" spans="1:16" ht="19.5" customHeight="1">
      <c r="A295" s="1" t="s">
        <v>1376</v>
      </c>
      <c r="B295" s="5">
        <v>45989</v>
      </c>
      <c r="C295" s="1" t="s">
        <v>77</v>
      </c>
      <c r="D295" s="1" t="s">
        <v>82</v>
      </c>
      <c r="E295" s="1" t="s">
        <v>22</v>
      </c>
      <c r="F295" s="1" t="s">
        <v>22</v>
      </c>
      <c r="G295" s="1" t="s">
        <v>22</v>
      </c>
      <c r="H295" s="6">
        <v>0</v>
      </c>
      <c r="I295" s="7">
        <v>0</v>
      </c>
      <c r="J295" s="5">
        <v>45989</v>
      </c>
      <c r="K295" s="1" t="s">
        <v>22</v>
      </c>
      <c r="L295" s="1" t="s">
        <v>22</v>
      </c>
      <c r="M295" s="8">
        <v>0</v>
      </c>
      <c r="N295" s="6"/>
      <c r="O295" s="6"/>
      <c r="P295" s="9">
        <v>-497.38</v>
      </c>
    </row>
    <row r="296" spans="1:16" ht="19.5" customHeight="1">
      <c r="A296" s="1" t="s">
        <v>1270</v>
      </c>
      <c r="B296" s="5">
        <v>45989</v>
      </c>
      <c r="C296" s="1" t="s">
        <v>77</v>
      </c>
      <c r="D296" s="1" t="s">
        <v>82</v>
      </c>
      <c r="E296" s="1" t="s">
        <v>22</v>
      </c>
      <c r="F296" s="1" t="s">
        <v>22</v>
      </c>
      <c r="G296" s="1" t="s">
        <v>22</v>
      </c>
      <c r="H296" s="6">
        <v>0</v>
      </c>
      <c r="I296" s="7">
        <v>0</v>
      </c>
      <c r="J296" s="5">
        <v>45989</v>
      </c>
      <c r="K296" s="1" t="s">
        <v>22</v>
      </c>
      <c r="L296" s="1" t="s">
        <v>22</v>
      </c>
      <c r="M296" s="8">
        <v>0</v>
      </c>
      <c r="N296" s="6"/>
      <c r="O296" s="6"/>
      <c r="P296" s="9">
        <v>-289.58999999999997</v>
      </c>
    </row>
    <row r="297" spans="1:16" ht="19.5" customHeight="1">
      <c r="A297" s="1" t="s">
        <v>1075</v>
      </c>
      <c r="B297" s="5">
        <v>45989</v>
      </c>
      <c r="C297" s="1" t="s">
        <v>77</v>
      </c>
      <c r="D297" s="1" t="s">
        <v>82</v>
      </c>
      <c r="E297" s="1" t="s">
        <v>22</v>
      </c>
      <c r="F297" s="1" t="s">
        <v>22</v>
      </c>
      <c r="G297" s="1" t="s">
        <v>22</v>
      </c>
      <c r="H297" s="6">
        <v>0</v>
      </c>
      <c r="I297" s="7">
        <v>0</v>
      </c>
      <c r="J297" s="5">
        <v>45989</v>
      </c>
      <c r="K297" s="1" t="s">
        <v>22</v>
      </c>
      <c r="L297" s="1" t="s">
        <v>22</v>
      </c>
      <c r="M297" s="8">
        <v>0</v>
      </c>
      <c r="N297" s="6"/>
      <c r="O297" s="6"/>
      <c r="P297" s="9">
        <v>-637.89</v>
      </c>
    </row>
    <row r="298" spans="1:16" ht="19.5" customHeight="1">
      <c r="A298" s="1" t="s">
        <v>83</v>
      </c>
      <c r="B298" s="5">
        <v>45989</v>
      </c>
      <c r="C298" s="1" t="s">
        <v>77</v>
      </c>
      <c r="D298" s="1" t="s">
        <v>84</v>
      </c>
      <c r="E298" s="1" t="s">
        <v>22</v>
      </c>
      <c r="F298" s="1" t="s">
        <v>22</v>
      </c>
      <c r="G298" s="1" t="s">
        <v>22</v>
      </c>
      <c r="H298" s="6">
        <v>0</v>
      </c>
      <c r="I298" s="7">
        <v>0</v>
      </c>
      <c r="J298" s="5">
        <v>45989</v>
      </c>
      <c r="K298" s="1" t="s">
        <v>22</v>
      </c>
      <c r="L298" s="1" t="s">
        <v>22</v>
      </c>
      <c r="M298" s="8">
        <v>0</v>
      </c>
      <c r="N298" s="6"/>
      <c r="O298" s="6"/>
      <c r="P298" s="9">
        <v>-1503.4</v>
      </c>
    </row>
    <row r="299" spans="1:16" ht="19.5" customHeight="1">
      <c r="A299" s="1" t="s">
        <v>1406</v>
      </c>
      <c r="B299" s="5">
        <v>45990</v>
      </c>
      <c r="C299" s="1" t="s">
        <v>28</v>
      </c>
      <c r="D299" s="1" t="s">
        <v>29</v>
      </c>
      <c r="E299" s="1" t="s">
        <v>25</v>
      </c>
      <c r="F299" s="1" t="s">
        <v>26</v>
      </c>
      <c r="G299" s="1" t="s">
        <v>1229</v>
      </c>
      <c r="H299" s="6">
        <v>1</v>
      </c>
      <c r="I299" s="7">
        <v>0</v>
      </c>
      <c r="J299" s="5">
        <v>45982</v>
      </c>
      <c r="K299" s="1" t="s">
        <v>957</v>
      </c>
      <c r="L299" s="1" t="s">
        <v>30</v>
      </c>
      <c r="M299" s="8">
        <v>0</v>
      </c>
      <c r="N299" s="6"/>
      <c r="O299" s="6">
        <v>43</v>
      </c>
      <c r="P299" s="9">
        <v>-46</v>
      </c>
    </row>
    <row r="300" spans="1:16" ht="19.5" customHeight="1">
      <c r="A300" s="1" t="s">
        <v>1406</v>
      </c>
      <c r="B300" s="5">
        <v>45990</v>
      </c>
      <c r="C300" s="1" t="s">
        <v>17</v>
      </c>
      <c r="D300" s="1" t="s">
        <v>37</v>
      </c>
      <c r="E300" s="1" t="s">
        <v>25</v>
      </c>
      <c r="F300" s="1" t="s">
        <v>26</v>
      </c>
      <c r="G300" s="1" t="s">
        <v>1229</v>
      </c>
      <c r="H300" s="6">
        <v>1</v>
      </c>
      <c r="I300" s="7">
        <v>0</v>
      </c>
      <c r="J300" s="5">
        <v>45982</v>
      </c>
      <c r="K300" s="1" t="s">
        <v>957</v>
      </c>
      <c r="L300" s="1" t="s">
        <v>30</v>
      </c>
      <c r="M300" s="8">
        <v>0</v>
      </c>
      <c r="N300" s="6"/>
      <c r="O300" s="6"/>
      <c r="P300" s="9">
        <v>-16.61</v>
      </c>
    </row>
    <row r="301" spans="1:16" ht="19.5" customHeight="1">
      <c r="A301" s="1" t="s">
        <v>1406</v>
      </c>
      <c r="B301" s="5">
        <v>45990</v>
      </c>
      <c r="C301" s="1" t="s">
        <v>28</v>
      </c>
      <c r="D301" s="1" t="s">
        <v>45</v>
      </c>
      <c r="E301" s="1" t="s">
        <v>25</v>
      </c>
      <c r="F301" s="1" t="s">
        <v>26</v>
      </c>
      <c r="G301" s="1" t="s">
        <v>1229</v>
      </c>
      <c r="H301" s="6">
        <v>1</v>
      </c>
      <c r="I301" s="7">
        <v>0</v>
      </c>
      <c r="J301" s="5">
        <v>45982</v>
      </c>
      <c r="K301" s="1" t="s">
        <v>957</v>
      </c>
      <c r="L301" s="1" t="s">
        <v>30</v>
      </c>
      <c r="M301" s="8">
        <v>0</v>
      </c>
      <c r="N301" s="6"/>
      <c r="O301" s="6"/>
      <c r="P301" s="9">
        <v>0</v>
      </c>
    </row>
    <row r="302" spans="1:16" ht="19.5" customHeight="1">
      <c r="A302" s="1" t="s">
        <v>1406</v>
      </c>
      <c r="B302" s="5">
        <v>45990</v>
      </c>
      <c r="C302" s="1" t="s">
        <v>28</v>
      </c>
      <c r="D302" s="1" t="s">
        <v>46</v>
      </c>
      <c r="E302" s="1" t="s">
        <v>25</v>
      </c>
      <c r="F302" s="1" t="s">
        <v>26</v>
      </c>
      <c r="G302" s="1" t="s">
        <v>1229</v>
      </c>
      <c r="H302" s="6">
        <v>1</v>
      </c>
      <c r="I302" s="7">
        <v>0</v>
      </c>
      <c r="J302" s="5">
        <v>45982</v>
      </c>
      <c r="K302" s="1" t="s">
        <v>957</v>
      </c>
      <c r="L302" s="1" t="s">
        <v>30</v>
      </c>
      <c r="M302" s="8">
        <v>0</v>
      </c>
      <c r="N302" s="6"/>
      <c r="O302" s="6"/>
      <c r="P302" s="9">
        <v>-46</v>
      </c>
    </row>
    <row r="303" spans="1:16" ht="19.5" customHeight="1">
      <c r="A303" s="1" t="s">
        <v>1406</v>
      </c>
      <c r="B303" s="5">
        <v>45990</v>
      </c>
      <c r="C303" s="1" t="s">
        <v>17</v>
      </c>
      <c r="D303" s="1" t="s">
        <v>47</v>
      </c>
      <c r="E303" s="1" t="s">
        <v>25</v>
      </c>
      <c r="F303" s="1" t="s">
        <v>26</v>
      </c>
      <c r="G303" s="1" t="s">
        <v>1229</v>
      </c>
      <c r="H303" s="6">
        <v>1</v>
      </c>
      <c r="I303" s="7">
        <v>0</v>
      </c>
      <c r="J303" s="5">
        <v>45982</v>
      </c>
      <c r="K303" s="1" t="s">
        <v>957</v>
      </c>
      <c r="L303" s="1" t="s">
        <v>30</v>
      </c>
      <c r="M303" s="8">
        <v>0</v>
      </c>
      <c r="N303" s="6"/>
      <c r="O303" s="6"/>
      <c r="P303" s="9">
        <v>-15</v>
      </c>
    </row>
    <row r="304" spans="1:16" ht="19.5" customHeight="1">
      <c r="A304" s="1" t="s">
        <v>1407</v>
      </c>
      <c r="B304" s="5">
        <v>45990</v>
      </c>
      <c r="C304" s="1" t="s">
        <v>28</v>
      </c>
      <c r="D304" s="1" t="s">
        <v>29</v>
      </c>
      <c r="E304" s="1" t="s">
        <v>1055</v>
      </c>
      <c r="F304" s="1" t="s">
        <v>1317</v>
      </c>
      <c r="G304" s="1" t="s">
        <v>1298</v>
      </c>
      <c r="H304" s="6">
        <v>1</v>
      </c>
      <c r="I304" s="7">
        <v>0</v>
      </c>
      <c r="J304" s="5">
        <v>45981</v>
      </c>
      <c r="K304" s="1" t="s">
        <v>957</v>
      </c>
      <c r="L304" s="1" t="s">
        <v>30</v>
      </c>
      <c r="M304" s="8">
        <v>0</v>
      </c>
      <c r="N304" s="6"/>
      <c r="O304" s="6">
        <v>44</v>
      </c>
      <c r="P304" s="9">
        <v>-46</v>
      </c>
    </row>
    <row r="305" spans="1:16" ht="19.5" customHeight="1">
      <c r="A305" s="1" t="s">
        <v>1407</v>
      </c>
      <c r="B305" s="5">
        <v>45990</v>
      </c>
      <c r="C305" s="1" t="s">
        <v>17</v>
      </c>
      <c r="D305" s="1" t="s">
        <v>37</v>
      </c>
      <c r="E305" s="1" t="s">
        <v>1055</v>
      </c>
      <c r="F305" s="1" t="s">
        <v>1317</v>
      </c>
      <c r="G305" s="1" t="s">
        <v>1298</v>
      </c>
      <c r="H305" s="6">
        <v>1</v>
      </c>
      <c r="I305" s="7">
        <v>0</v>
      </c>
      <c r="J305" s="5">
        <v>45981</v>
      </c>
      <c r="K305" s="1" t="s">
        <v>957</v>
      </c>
      <c r="L305" s="1" t="s">
        <v>30</v>
      </c>
      <c r="M305" s="8">
        <v>0</v>
      </c>
      <c r="N305" s="6"/>
      <c r="O305" s="6"/>
      <c r="P305" s="9">
        <v>-10.52</v>
      </c>
    </row>
    <row r="306" spans="1:16" ht="19.5" customHeight="1">
      <c r="A306" s="1" t="s">
        <v>1407</v>
      </c>
      <c r="B306" s="5">
        <v>45990</v>
      </c>
      <c r="C306" s="1" t="s">
        <v>28</v>
      </c>
      <c r="D306" s="1" t="s">
        <v>45</v>
      </c>
      <c r="E306" s="1" t="s">
        <v>1055</v>
      </c>
      <c r="F306" s="1" t="s">
        <v>1317</v>
      </c>
      <c r="G306" s="1" t="s">
        <v>1298</v>
      </c>
      <c r="H306" s="6">
        <v>1</v>
      </c>
      <c r="I306" s="7">
        <v>0</v>
      </c>
      <c r="J306" s="5">
        <v>45981</v>
      </c>
      <c r="K306" s="1" t="s">
        <v>957</v>
      </c>
      <c r="L306" s="1" t="s">
        <v>30</v>
      </c>
      <c r="M306" s="8">
        <v>0</v>
      </c>
      <c r="N306" s="6"/>
      <c r="O306" s="6"/>
      <c r="P306" s="9">
        <v>0</v>
      </c>
    </row>
    <row r="307" spans="1:16" ht="19.5" customHeight="1">
      <c r="A307" s="1" t="s">
        <v>1407</v>
      </c>
      <c r="B307" s="5">
        <v>45990</v>
      </c>
      <c r="C307" s="1" t="s">
        <v>28</v>
      </c>
      <c r="D307" s="1" t="s">
        <v>46</v>
      </c>
      <c r="E307" s="1" t="s">
        <v>1055</v>
      </c>
      <c r="F307" s="1" t="s">
        <v>1317</v>
      </c>
      <c r="G307" s="1" t="s">
        <v>1298</v>
      </c>
      <c r="H307" s="6">
        <v>1</v>
      </c>
      <c r="I307" s="7">
        <v>0</v>
      </c>
      <c r="J307" s="5">
        <v>45981</v>
      </c>
      <c r="K307" s="1" t="s">
        <v>957</v>
      </c>
      <c r="L307" s="1" t="s">
        <v>30</v>
      </c>
      <c r="M307" s="8">
        <v>0</v>
      </c>
      <c r="N307" s="6"/>
      <c r="O307" s="6"/>
      <c r="P307" s="9">
        <v>-46</v>
      </c>
    </row>
    <row r="308" spans="1:16" ht="19.5" customHeight="1">
      <c r="A308" s="1" t="s">
        <v>1407</v>
      </c>
      <c r="B308" s="5">
        <v>45990</v>
      </c>
      <c r="C308" s="1" t="s">
        <v>17</v>
      </c>
      <c r="D308" s="1" t="s">
        <v>47</v>
      </c>
      <c r="E308" s="1" t="s">
        <v>1055</v>
      </c>
      <c r="F308" s="1" t="s">
        <v>1317</v>
      </c>
      <c r="G308" s="1" t="s">
        <v>1298</v>
      </c>
      <c r="H308" s="6">
        <v>1</v>
      </c>
      <c r="I308" s="7">
        <v>0</v>
      </c>
      <c r="J308" s="5">
        <v>45981</v>
      </c>
      <c r="K308" s="1" t="s">
        <v>957</v>
      </c>
      <c r="L308" s="1" t="s">
        <v>30</v>
      </c>
      <c r="M308" s="8">
        <v>0</v>
      </c>
      <c r="N308" s="6"/>
      <c r="O308" s="6"/>
      <c r="P308" s="9">
        <v>-15</v>
      </c>
    </row>
    <row r="309" spans="1:16" ht="19.5" customHeight="1">
      <c r="A309" s="1" t="s">
        <v>1408</v>
      </c>
      <c r="B309" s="5">
        <v>45990</v>
      </c>
      <c r="C309" s="1" t="s">
        <v>17</v>
      </c>
      <c r="D309" s="1" t="s">
        <v>18</v>
      </c>
      <c r="E309" s="1" t="s">
        <v>25</v>
      </c>
      <c r="F309" s="1" t="s">
        <v>26</v>
      </c>
      <c r="G309" s="1" t="s">
        <v>1229</v>
      </c>
      <c r="H309" s="6">
        <v>1</v>
      </c>
      <c r="I309" s="7">
        <v>0</v>
      </c>
      <c r="J309" s="5">
        <v>45990</v>
      </c>
      <c r="K309" s="1" t="s">
        <v>22</v>
      </c>
      <c r="L309" s="1" t="s">
        <v>22</v>
      </c>
      <c r="M309" s="8">
        <v>0</v>
      </c>
      <c r="N309" s="6"/>
      <c r="O309" s="6"/>
      <c r="P309" s="9">
        <v>-2.14</v>
      </c>
    </row>
    <row r="310" spans="1:16" ht="19.5" customHeight="1">
      <c r="A310" s="1" t="s">
        <v>1409</v>
      </c>
      <c r="B310" s="5">
        <v>45990</v>
      </c>
      <c r="C310" s="1" t="s">
        <v>17</v>
      </c>
      <c r="D310" s="1" t="s">
        <v>18</v>
      </c>
      <c r="E310" s="1" t="s">
        <v>25</v>
      </c>
      <c r="F310" s="1" t="s">
        <v>26</v>
      </c>
      <c r="G310" s="1" t="s">
        <v>1229</v>
      </c>
      <c r="H310" s="6">
        <v>1</v>
      </c>
      <c r="I310" s="7">
        <v>0</v>
      </c>
      <c r="J310" s="5">
        <v>45990</v>
      </c>
      <c r="K310" s="1" t="s">
        <v>22</v>
      </c>
      <c r="L310" s="1" t="s">
        <v>22</v>
      </c>
      <c r="M310" s="8">
        <v>0</v>
      </c>
      <c r="N310" s="6"/>
      <c r="O310" s="6"/>
      <c r="P310" s="9">
        <v>-5.7</v>
      </c>
    </row>
    <row r="311" spans="1:16" ht="19.5" customHeight="1">
      <c r="A311" s="1" t="s">
        <v>1410</v>
      </c>
      <c r="B311" s="5">
        <v>45990</v>
      </c>
      <c r="C311" s="1" t="s">
        <v>28</v>
      </c>
      <c r="D311" s="1" t="s">
        <v>29</v>
      </c>
      <c r="E311" s="1" t="s">
        <v>223</v>
      </c>
      <c r="F311" s="1" t="s">
        <v>395</v>
      </c>
      <c r="G311" s="1" t="s">
        <v>1229</v>
      </c>
      <c r="H311" s="6">
        <v>1</v>
      </c>
      <c r="I311" s="7">
        <v>1687</v>
      </c>
      <c r="J311" s="5">
        <v>45984</v>
      </c>
      <c r="K311" s="1" t="s">
        <v>957</v>
      </c>
      <c r="L311" s="1" t="s">
        <v>30</v>
      </c>
      <c r="M311" s="8">
        <v>0.43</v>
      </c>
      <c r="N311" s="6"/>
      <c r="O311" s="6">
        <v>42</v>
      </c>
      <c r="P311" s="9">
        <v>-120.3</v>
      </c>
    </row>
    <row r="312" spans="1:16" ht="19.5" customHeight="1">
      <c r="A312" s="1" t="s">
        <v>1410</v>
      </c>
      <c r="B312" s="5">
        <v>45990</v>
      </c>
      <c r="C312" s="1" t="s">
        <v>31</v>
      </c>
      <c r="D312" s="1" t="s">
        <v>32</v>
      </c>
      <c r="E312" s="1" t="s">
        <v>223</v>
      </c>
      <c r="F312" s="1" t="s">
        <v>395</v>
      </c>
      <c r="G312" s="1" t="s">
        <v>1229</v>
      </c>
      <c r="H312" s="6">
        <v>1</v>
      </c>
      <c r="I312" s="7">
        <v>1687</v>
      </c>
      <c r="J312" s="5">
        <v>45984</v>
      </c>
      <c r="K312" s="1" t="s">
        <v>957</v>
      </c>
      <c r="L312" s="1" t="s">
        <v>30</v>
      </c>
      <c r="M312" s="8">
        <v>0</v>
      </c>
      <c r="N312" s="6"/>
      <c r="O312" s="6"/>
      <c r="P312" s="9">
        <v>600.95000000000005</v>
      </c>
    </row>
    <row r="313" spans="1:16" ht="19.5" customHeight="1">
      <c r="A313" s="1" t="s">
        <v>1410</v>
      </c>
      <c r="B313" s="5">
        <v>45990</v>
      </c>
      <c r="C313" s="1" t="s">
        <v>31</v>
      </c>
      <c r="D313" s="1" t="s">
        <v>33</v>
      </c>
      <c r="E313" s="1" t="s">
        <v>223</v>
      </c>
      <c r="F313" s="1" t="s">
        <v>395</v>
      </c>
      <c r="G313" s="1" t="s">
        <v>1229</v>
      </c>
      <c r="H313" s="6">
        <v>1</v>
      </c>
      <c r="I313" s="7">
        <v>1687</v>
      </c>
      <c r="J313" s="5">
        <v>45984</v>
      </c>
      <c r="K313" s="1" t="s">
        <v>957</v>
      </c>
      <c r="L313" s="1" t="s">
        <v>30</v>
      </c>
      <c r="M313" s="8">
        <v>0</v>
      </c>
      <c r="N313" s="6"/>
      <c r="O313" s="6"/>
      <c r="P313" s="9">
        <v>6.01</v>
      </c>
    </row>
    <row r="314" spans="1:16" ht="19.5" customHeight="1">
      <c r="A314" s="1" t="s">
        <v>1410</v>
      </c>
      <c r="B314" s="5">
        <v>45990</v>
      </c>
      <c r="C314" s="1" t="s">
        <v>31</v>
      </c>
      <c r="D314" s="1" t="s">
        <v>34</v>
      </c>
      <c r="E314" s="1" t="s">
        <v>223</v>
      </c>
      <c r="F314" s="1" t="s">
        <v>395</v>
      </c>
      <c r="G314" s="1" t="s">
        <v>1229</v>
      </c>
      <c r="H314" s="6">
        <v>1</v>
      </c>
      <c r="I314" s="7">
        <v>1687</v>
      </c>
      <c r="J314" s="5">
        <v>45984</v>
      </c>
      <c r="K314" s="1" t="s">
        <v>957</v>
      </c>
      <c r="L314" s="1" t="s">
        <v>30</v>
      </c>
      <c r="M314" s="8">
        <v>0</v>
      </c>
      <c r="N314" s="6"/>
      <c r="O314" s="6"/>
      <c r="P314" s="9">
        <v>1080.04</v>
      </c>
    </row>
    <row r="315" spans="1:16" ht="19.5" customHeight="1">
      <c r="A315" s="1" t="s">
        <v>1410</v>
      </c>
      <c r="B315" s="5">
        <v>45990</v>
      </c>
      <c r="C315" s="1" t="s">
        <v>35</v>
      </c>
      <c r="D315" s="1" t="s">
        <v>36</v>
      </c>
      <c r="E315" s="1" t="s">
        <v>223</v>
      </c>
      <c r="F315" s="1" t="s">
        <v>395</v>
      </c>
      <c r="G315" s="1" t="s">
        <v>1229</v>
      </c>
      <c r="H315" s="6">
        <v>1</v>
      </c>
      <c r="I315" s="7">
        <v>1687</v>
      </c>
      <c r="J315" s="5">
        <v>45984</v>
      </c>
      <c r="K315" s="1" t="s">
        <v>957</v>
      </c>
      <c r="L315" s="1" t="s">
        <v>30</v>
      </c>
      <c r="M315" s="8">
        <v>0.43</v>
      </c>
      <c r="N315" s="6"/>
      <c r="O315" s="6"/>
      <c r="P315" s="9">
        <v>-725.41</v>
      </c>
    </row>
    <row r="316" spans="1:16" ht="19.5" customHeight="1">
      <c r="A316" s="1" t="s">
        <v>1410</v>
      </c>
      <c r="B316" s="5">
        <v>45990</v>
      </c>
      <c r="C316" s="1" t="s">
        <v>17</v>
      </c>
      <c r="D316" s="1" t="s">
        <v>37</v>
      </c>
      <c r="E316" s="1" t="s">
        <v>223</v>
      </c>
      <c r="F316" s="1" t="s">
        <v>395</v>
      </c>
      <c r="G316" s="1" t="s">
        <v>1229</v>
      </c>
      <c r="H316" s="6">
        <v>1</v>
      </c>
      <c r="I316" s="7">
        <v>1687</v>
      </c>
      <c r="J316" s="5">
        <v>45984</v>
      </c>
      <c r="K316" s="1" t="s">
        <v>957</v>
      </c>
      <c r="L316" s="1" t="s">
        <v>30</v>
      </c>
      <c r="M316" s="8">
        <v>0.43</v>
      </c>
      <c r="N316" s="6"/>
      <c r="O316" s="6"/>
      <c r="P316" s="9">
        <v>-18.41</v>
      </c>
    </row>
    <row r="317" spans="1:16" ht="19.5" customHeight="1">
      <c r="A317" s="1" t="s">
        <v>1411</v>
      </c>
      <c r="B317" s="5">
        <v>45990</v>
      </c>
      <c r="C317" s="1" t="s">
        <v>28</v>
      </c>
      <c r="D317" s="1" t="s">
        <v>29</v>
      </c>
      <c r="E317" s="1" t="s">
        <v>223</v>
      </c>
      <c r="F317" s="1" t="s">
        <v>395</v>
      </c>
      <c r="G317" s="1" t="s">
        <v>1229</v>
      </c>
      <c r="H317" s="6">
        <v>1</v>
      </c>
      <c r="I317" s="7">
        <v>1348</v>
      </c>
      <c r="J317" s="5">
        <v>45987</v>
      </c>
      <c r="K317" s="1" t="s">
        <v>957</v>
      </c>
      <c r="L317" s="1" t="s">
        <v>30</v>
      </c>
      <c r="M317" s="8">
        <v>0.43</v>
      </c>
      <c r="N317" s="6"/>
      <c r="O317" s="6">
        <v>44</v>
      </c>
      <c r="P317" s="9">
        <v>-117.44</v>
      </c>
    </row>
    <row r="318" spans="1:16" ht="19.5" customHeight="1">
      <c r="A318" s="1" t="s">
        <v>1411</v>
      </c>
      <c r="B318" s="5">
        <v>45990</v>
      </c>
      <c r="C318" s="1" t="s">
        <v>31</v>
      </c>
      <c r="D318" s="1" t="s">
        <v>32</v>
      </c>
      <c r="E318" s="1" t="s">
        <v>223</v>
      </c>
      <c r="F318" s="1" t="s">
        <v>395</v>
      </c>
      <c r="G318" s="1" t="s">
        <v>1229</v>
      </c>
      <c r="H318" s="6">
        <v>1</v>
      </c>
      <c r="I318" s="7">
        <v>1348</v>
      </c>
      <c r="J318" s="5">
        <v>45987</v>
      </c>
      <c r="K318" s="1" t="s">
        <v>957</v>
      </c>
      <c r="L318" s="1" t="s">
        <v>30</v>
      </c>
      <c r="M318" s="8">
        <v>0</v>
      </c>
      <c r="N318" s="6"/>
      <c r="O318" s="6"/>
      <c r="P318" s="9">
        <v>658.42</v>
      </c>
    </row>
    <row r="319" spans="1:16" ht="19.5" customHeight="1">
      <c r="A319" s="1" t="s">
        <v>1411</v>
      </c>
      <c r="B319" s="5">
        <v>45990</v>
      </c>
      <c r="C319" s="1" t="s">
        <v>31</v>
      </c>
      <c r="D319" s="1" t="s">
        <v>33</v>
      </c>
      <c r="E319" s="1" t="s">
        <v>223</v>
      </c>
      <c r="F319" s="1" t="s">
        <v>395</v>
      </c>
      <c r="G319" s="1" t="s">
        <v>1229</v>
      </c>
      <c r="H319" s="6">
        <v>1</v>
      </c>
      <c r="I319" s="7">
        <v>1348</v>
      </c>
      <c r="J319" s="5">
        <v>45987</v>
      </c>
      <c r="K319" s="1" t="s">
        <v>957</v>
      </c>
      <c r="L319" s="1" t="s">
        <v>30</v>
      </c>
      <c r="M319" s="8">
        <v>0</v>
      </c>
      <c r="N319" s="6"/>
      <c r="O319" s="6"/>
      <c r="P319" s="9">
        <v>0</v>
      </c>
    </row>
    <row r="320" spans="1:16" ht="19.5" customHeight="1">
      <c r="A320" s="1" t="s">
        <v>1411</v>
      </c>
      <c r="B320" s="5">
        <v>45990</v>
      </c>
      <c r="C320" s="1" t="s">
        <v>31</v>
      </c>
      <c r="D320" s="1" t="s">
        <v>34</v>
      </c>
      <c r="E320" s="1" t="s">
        <v>223</v>
      </c>
      <c r="F320" s="1" t="s">
        <v>395</v>
      </c>
      <c r="G320" s="1" t="s">
        <v>1229</v>
      </c>
      <c r="H320" s="6">
        <v>1</v>
      </c>
      <c r="I320" s="7">
        <v>1348</v>
      </c>
      <c r="J320" s="5">
        <v>45987</v>
      </c>
      <c r="K320" s="1" t="s">
        <v>957</v>
      </c>
      <c r="L320" s="1" t="s">
        <v>30</v>
      </c>
      <c r="M320" s="8">
        <v>0</v>
      </c>
      <c r="N320" s="6"/>
      <c r="O320" s="6"/>
      <c r="P320" s="9">
        <v>689.58</v>
      </c>
    </row>
    <row r="321" spans="1:16" ht="19.5" customHeight="1">
      <c r="A321" s="1" t="s">
        <v>1411</v>
      </c>
      <c r="B321" s="5">
        <v>45990</v>
      </c>
      <c r="C321" s="1" t="s">
        <v>35</v>
      </c>
      <c r="D321" s="1" t="s">
        <v>36</v>
      </c>
      <c r="E321" s="1" t="s">
        <v>223</v>
      </c>
      <c r="F321" s="1" t="s">
        <v>395</v>
      </c>
      <c r="G321" s="1" t="s">
        <v>1229</v>
      </c>
      <c r="H321" s="6">
        <v>1</v>
      </c>
      <c r="I321" s="7">
        <v>1348</v>
      </c>
      <c r="J321" s="5">
        <v>45987</v>
      </c>
      <c r="K321" s="1" t="s">
        <v>957</v>
      </c>
      <c r="L321" s="1" t="s">
        <v>30</v>
      </c>
      <c r="M321" s="8">
        <v>0.43</v>
      </c>
      <c r="N321" s="6"/>
      <c r="O321" s="6"/>
      <c r="P321" s="9">
        <v>-579.64</v>
      </c>
    </row>
    <row r="322" spans="1:16" ht="19.5" customHeight="1">
      <c r="A322" s="1" t="s">
        <v>1411</v>
      </c>
      <c r="B322" s="5">
        <v>45990</v>
      </c>
      <c r="C322" s="1" t="s">
        <v>17</v>
      </c>
      <c r="D322" s="1" t="s">
        <v>37</v>
      </c>
      <c r="E322" s="1" t="s">
        <v>223</v>
      </c>
      <c r="F322" s="1" t="s">
        <v>395</v>
      </c>
      <c r="G322" s="1" t="s">
        <v>1229</v>
      </c>
      <c r="H322" s="6">
        <v>1</v>
      </c>
      <c r="I322" s="7">
        <v>1348</v>
      </c>
      <c r="J322" s="5">
        <v>45987</v>
      </c>
      <c r="K322" s="1" t="s">
        <v>957</v>
      </c>
      <c r="L322" s="1" t="s">
        <v>30</v>
      </c>
      <c r="M322" s="8">
        <v>0.43</v>
      </c>
      <c r="N322" s="6"/>
      <c r="O322" s="6"/>
      <c r="P322" s="9">
        <v>-6.27</v>
      </c>
    </row>
    <row r="323" spans="1:16" ht="19.5" customHeight="1">
      <c r="A323" s="1" t="s">
        <v>1399</v>
      </c>
      <c r="B323" s="5">
        <v>45990</v>
      </c>
      <c r="C323" s="1" t="s">
        <v>126</v>
      </c>
      <c r="D323" s="1" t="s">
        <v>127</v>
      </c>
      <c r="E323" s="1" t="s">
        <v>235</v>
      </c>
      <c r="F323" s="1" t="s">
        <v>528</v>
      </c>
      <c r="G323" s="1" t="s">
        <v>1133</v>
      </c>
      <c r="H323" s="6">
        <v>1</v>
      </c>
      <c r="I323" s="7">
        <v>-6000</v>
      </c>
      <c r="J323" s="5">
        <v>45974</v>
      </c>
      <c r="K323" s="1" t="s">
        <v>957</v>
      </c>
      <c r="L323" s="1" t="s">
        <v>30</v>
      </c>
      <c r="M323" s="8">
        <v>0</v>
      </c>
      <c r="N323" s="6"/>
      <c r="O323" s="6"/>
      <c r="P323" s="9">
        <v>-2905.71</v>
      </c>
    </row>
    <row r="324" spans="1:16" ht="19.5" customHeight="1">
      <c r="A324" s="1" t="s">
        <v>1399</v>
      </c>
      <c r="B324" s="5">
        <v>45990</v>
      </c>
      <c r="C324" s="1" t="s">
        <v>126</v>
      </c>
      <c r="D324" s="1" t="s">
        <v>33</v>
      </c>
      <c r="E324" s="1" t="s">
        <v>235</v>
      </c>
      <c r="F324" s="1" t="s">
        <v>528</v>
      </c>
      <c r="G324" s="1" t="s">
        <v>1133</v>
      </c>
      <c r="H324" s="6">
        <v>1</v>
      </c>
      <c r="I324" s="7">
        <v>-6000</v>
      </c>
      <c r="J324" s="5">
        <v>45974</v>
      </c>
      <c r="K324" s="1" t="s">
        <v>957</v>
      </c>
      <c r="L324" s="1" t="s">
        <v>30</v>
      </c>
      <c r="M324" s="8">
        <v>0</v>
      </c>
      <c r="N324" s="6"/>
      <c r="O324" s="6"/>
      <c r="P324" s="9">
        <v>-29.06</v>
      </c>
    </row>
    <row r="325" spans="1:16" ht="19.5" customHeight="1">
      <c r="A325" s="1" t="s">
        <v>1399</v>
      </c>
      <c r="B325" s="5">
        <v>45990</v>
      </c>
      <c r="C325" s="1" t="s">
        <v>126</v>
      </c>
      <c r="D325" s="1" t="s">
        <v>34</v>
      </c>
      <c r="E325" s="1" t="s">
        <v>235</v>
      </c>
      <c r="F325" s="1" t="s">
        <v>528</v>
      </c>
      <c r="G325" s="1" t="s">
        <v>1133</v>
      </c>
      <c r="H325" s="6">
        <v>1</v>
      </c>
      <c r="I325" s="7">
        <v>-6000</v>
      </c>
      <c r="J325" s="5">
        <v>45974</v>
      </c>
      <c r="K325" s="1" t="s">
        <v>957</v>
      </c>
      <c r="L325" s="1" t="s">
        <v>30</v>
      </c>
      <c r="M325" s="8">
        <v>0</v>
      </c>
      <c r="N325" s="6"/>
      <c r="O325" s="6"/>
      <c r="P325" s="9">
        <v>-3065.23</v>
      </c>
    </row>
    <row r="326" spans="1:16" ht="19.5" customHeight="1">
      <c r="A326" s="1" t="s">
        <v>1399</v>
      </c>
      <c r="B326" s="5">
        <v>45990</v>
      </c>
      <c r="C326" s="1" t="s">
        <v>35</v>
      </c>
      <c r="D326" s="1" t="s">
        <v>128</v>
      </c>
      <c r="E326" s="1" t="s">
        <v>235</v>
      </c>
      <c r="F326" s="1" t="s">
        <v>528</v>
      </c>
      <c r="G326" s="1" t="s">
        <v>1133</v>
      </c>
      <c r="H326" s="6">
        <v>1</v>
      </c>
      <c r="I326" s="7">
        <v>-6000</v>
      </c>
      <c r="J326" s="5">
        <v>45974</v>
      </c>
      <c r="K326" s="1" t="s">
        <v>957</v>
      </c>
      <c r="L326" s="1" t="s">
        <v>30</v>
      </c>
      <c r="M326" s="8">
        <v>0.43</v>
      </c>
      <c r="N326" s="6"/>
      <c r="O326" s="6"/>
      <c r="P326" s="9">
        <v>2580</v>
      </c>
    </row>
    <row r="327" spans="1:16" ht="19.5" customHeight="1">
      <c r="A327" s="1" t="s">
        <v>1182</v>
      </c>
      <c r="B327" s="5">
        <v>45990</v>
      </c>
      <c r="C327" s="1" t="s">
        <v>17</v>
      </c>
      <c r="D327" s="1" t="s">
        <v>18</v>
      </c>
      <c r="E327" s="1" t="s">
        <v>235</v>
      </c>
      <c r="F327" s="1" t="s">
        <v>528</v>
      </c>
      <c r="G327" s="1" t="s">
        <v>1133</v>
      </c>
      <c r="H327" s="6">
        <v>1</v>
      </c>
      <c r="I327" s="7">
        <v>0</v>
      </c>
      <c r="J327" s="5">
        <v>45974</v>
      </c>
      <c r="K327" s="1" t="s">
        <v>22</v>
      </c>
      <c r="L327" s="1" t="s">
        <v>22</v>
      </c>
      <c r="M327" s="8">
        <v>0</v>
      </c>
      <c r="N327" s="6"/>
      <c r="O327" s="6"/>
      <c r="P327" s="9">
        <v>55.21</v>
      </c>
    </row>
    <row r="328" spans="1:16" ht="19.5" customHeight="1">
      <c r="A328" s="1" t="s">
        <v>1399</v>
      </c>
      <c r="B328" s="5">
        <v>45990</v>
      </c>
      <c r="C328" s="1" t="s">
        <v>74</v>
      </c>
      <c r="D328" s="1" t="s">
        <v>75</v>
      </c>
      <c r="E328" s="1" t="s">
        <v>235</v>
      </c>
      <c r="F328" s="1" t="s">
        <v>528</v>
      </c>
      <c r="G328" s="1" t="s">
        <v>1133</v>
      </c>
      <c r="H328" s="6">
        <v>1</v>
      </c>
      <c r="I328" s="7">
        <v>0</v>
      </c>
      <c r="J328" s="5">
        <v>45974</v>
      </c>
      <c r="K328" s="1" t="s">
        <v>957</v>
      </c>
      <c r="L328" s="1" t="s">
        <v>30</v>
      </c>
      <c r="M328" s="8">
        <v>0</v>
      </c>
      <c r="N328" s="6"/>
      <c r="O328" s="6"/>
      <c r="P328" s="9">
        <v>-5</v>
      </c>
    </row>
    <row r="329" spans="1:16" ht="19.5" customHeight="1">
      <c r="A329" s="1" t="s">
        <v>1399</v>
      </c>
      <c r="B329" s="5">
        <v>45990</v>
      </c>
      <c r="C329" s="1" t="s">
        <v>17</v>
      </c>
      <c r="D329" s="1" t="s">
        <v>76</v>
      </c>
      <c r="E329" s="1" t="s">
        <v>235</v>
      </c>
      <c r="F329" s="1" t="s">
        <v>528</v>
      </c>
      <c r="G329" s="1" t="s">
        <v>1133</v>
      </c>
      <c r="H329" s="6">
        <v>1</v>
      </c>
      <c r="I329" s="7">
        <v>0</v>
      </c>
      <c r="J329" s="5">
        <v>45974</v>
      </c>
      <c r="K329" s="1" t="s">
        <v>957</v>
      </c>
      <c r="L329" s="1" t="s">
        <v>30</v>
      </c>
      <c r="M329" s="8">
        <v>0</v>
      </c>
      <c r="N329" s="6"/>
      <c r="O329" s="6"/>
      <c r="P329" s="9">
        <v>-10</v>
      </c>
    </row>
    <row r="330" spans="1:16" ht="19.5" customHeight="1">
      <c r="A330" s="1" t="s">
        <v>1402</v>
      </c>
      <c r="B330" s="5">
        <v>45990</v>
      </c>
      <c r="C330" s="1" t="s">
        <v>126</v>
      </c>
      <c r="D330" s="1" t="s">
        <v>127</v>
      </c>
      <c r="E330" s="1" t="s">
        <v>19</v>
      </c>
      <c r="F330" s="1" t="s">
        <v>20</v>
      </c>
      <c r="G330" s="1" t="s">
        <v>1229</v>
      </c>
      <c r="H330" s="6">
        <v>1</v>
      </c>
      <c r="I330" s="7">
        <v>-1298</v>
      </c>
      <c r="J330" s="5">
        <v>45985</v>
      </c>
      <c r="K330" s="1" t="s">
        <v>957</v>
      </c>
      <c r="L330" s="1" t="s">
        <v>30</v>
      </c>
      <c r="M330" s="8">
        <v>0</v>
      </c>
      <c r="N330" s="6"/>
      <c r="O330" s="6"/>
      <c r="P330" s="9">
        <v>-609.52</v>
      </c>
    </row>
    <row r="331" spans="1:16" ht="19.5" customHeight="1">
      <c r="A331" s="1" t="s">
        <v>1402</v>
      </c>
      <c r="B331" s="5">
        <v>45990</v>
      </c>
      <c r="C331" s="1" t="s">
        <v>126</v>
      </c>
      <c r="D331" s="1" t="s">
        <v>33</v>
      </c>
      <c r="E331" s="1" t="s">
        <v>19</v>
      </c>
      <c r="F331" s="1" t="s">
        <v>20</v>
      </c>
      <c r="G331" s="1" t="s">
        <v>1229</v>
      </c>
      <c r="H331" s="6">
        <v>1</v>
      </c>
      <c r="I331" s="7">
        <v>-1298</v>
      </c>
      <c r="J331" s="5">
        <v>45985</v>
      </c>
      <c r="K331" s="1" t="s">
        <v>957</v>
      </c>
      <c r="L331" s="1" t="s">
        <v>30</v>
      </c>
      <c r="M331" s="8">
        <v>0</v>
      </c>
      <c r="N331" s="6"/>
      <c r="O331" s="6"/>
      <c r="P331" s="9">
        <v>-6.1</v>
      </c>
    </row>
    <row r="332" spans="1:16" ht="19.5" customHeight="1">
      <c r="A332" s="1" t="s">
        <v>1402</v>
      </c>
      <c r="B332" s="5">
        <v>45990</v>
      </c>
      <c r="C332" s="1" t="s">
        <v>126</v>
      </c>
      <c r="D332" s="1" t="s">
        <v>34</v>
      </c>
      <c r="E332" s="1" t="s">
        <v>19</v>
      </c>
      <c r="F332" s="1" t="s">
        <v>20</v>
      </c>
      <c r="G332" s="1" t="s">
        <v>1229</v>
      </c>
      <c r="H332" s="6">
        <v>1</v>
      </c>
      <c r="I332" s="7">
        <v>-1298</v>
      </c>
      <c r="J332" s="5">
        <v>45985</v>
      </c>
      <c r="K332" s="1" t="s">
        <v>957</v>
      </c>
      <c r="L332" s="1" t="s">
        <v>30</v>
      </c>
      <c r="M332" s="8">
        <v>0</v>
      </c>
      <c r="N332" s="6"/>
      <c r="O332" s="6"/>
      <c r="P332" s="9">
        <v>-682.38</v>
      </c>
    </row>
    <row r="333" spans="1:16" ht="19.5" customHeight="1">
      <c r="A333" s="1" t="s">
        <v>1402</v>
      </c>
      <c r="B333" s="5">
        <v>45990</v>
      </c>
      <c r="C333" s="1" t="s">
        <v>35</v>
      </c>
      <c r="D333" s="1" t="s">
        <v>128</v>
      </c>
      <c r="E333" s="1" t="s">
        <v>19</v>
      </c>
      <c r="F333" s="1" t="s">
        <v>20</v>
      </c>
      <c r="G333" s="1" t="s">
        <v>1229</v>
      </c>
      <c r="H333" s="6">
        <v>1</v>
      </c>
      <c r="I333" s="7">
        <v>-1298</v>
      </c>
      <c r="J333" s="5">
        <v>45985</v>
      </c>
      <c r="K333" s="1" t="s">
        <v>957</v>
      </c>
      <c r="L333" s="1" t="s">
        <v>30</v>
      </c>
      <c r="M333" s="8">
        <v>0.43</v>
      </c>
      <c r="N333" s="6"/>
      <c r="O333" s="6"/>
      <c r="P333" s="9">
        <v>558.14</v>
      </c>
    </row>
    <row r="334" spans="1:16" ht="19.5" customHeight="1">
      <c r="A334" s="1" t="s">
        <v>1402</v>
      </c>
      <c r="B334" s="5">
        <v>45990</v>
      </c>
      <c r="C334" s="1" t="s">
        <v>17</v>
      </c>
      <c r="D334" s="1" t="s">
        <v>18</v>
      </c>
      <c r="E334" s="1" t="s">
        <v>19</v>
      </c>
      <c r="F334" s="1" t="s">
        <v>20</v>
      </c>
      <c r="G334" s="1" t="s">
        <v>1229</v>
      </c>
      <c r="H334" s="6">
        <v>1</v>
      </c>
      <c r="I334" s="7">
        <v>0</v>
      </c>
      <c r="J334" s="5">
        <v>45985</v>
      </c>
      <c r="K334" s="1" t="s">
        <v>22</v>
      </c>
      <c r="L334" s="1" t="s">
        <v>22</v>
      </c>
      <c r="M334" s="8">
        <v>0</v>
      </c>
      <c r="N334" s="6"/>
      <c r="O334" s="6"/>
      <c r="P334" s="9">
        <v>11.58</v>
      </c>
    </row>
    <row r="335" spans="1:16" ht="19.5" customHeight="1">
      <c r="A335" s="1" t="s">
        <v>1412</v>
      </c>
      <c r="B335" s="5">
        <v>45990</v>
      </c>
      <c r="C335" s="1" t="s">
        <v>28</v>
      </c>
      <c r="D335" s="1" t="s">
        <v>29</v>
      </c>
      <c r="E335" s="1" t="s">
        <v>25</v>
      </c>
      <c r="F335" s="1" t="s">
        <v>26</v>
      </c>
      <c r="G335" s="1" t="s">
        <v>1229</v>
      </c>
      <c r="H335" s="6">
        <v>1</v>
      </c>
      <c r="I335" s="7">
        <v>1117</v>
      </c>
      <c r="J335" s="5">
        <v>45972</v>
      </c>
      <c r="K335" s="1" t="s">
        <v>957</v>
      </c>
      <c r="L335" s="1" t="s">
        <v>30</v>
      </c>
      <c r="M335" s="8">
        <v>0.43</v>
      </c>
      <c r="N335" s="6"/>
      <c r="O335" s="6"/>
      <c r="P335" s="9">
        <v>-46</v>
      </c>
    </row>
    <row r="336" spans="1:16" ht="19.5" customHeight="1">
      <c r="A336" s="1" t="s">
        <v>1412</v>
      </c>
      <c r="B336" s="5">
        <v>45990</v>
      </c>
      <c r="C336" s="1" t="s">
        <v>31</v>
      </c>
      <c r="D336" s="1" t="s">
        <v>32</v>
      </c>
      <c r="E336" s="1" t="s">
        <v>25</v>
      </c>
      <c r="F336" s="1" t="s">
        <v>26</v>
      </c>
      <c r="G336" s="1" t="s">
        <v>1229</v>
      </c>
      <c r="H336" s="6">
        <v>1</v>
      </c>
      <c r="I336" s="7">
        <v>1117</v>
      </c>
      <c r="J336" s="5">
        <v>45972</v>
      </c>
      <c r="K336" s="1" t="s">
        <v>957</v>
      </c>
      <c r="L336" s="1" t="s">
        <v>30</v>
      </c>
      <c r="M336" s="8">
        <v>0</v>
      </c>
      <c r="N336" s="6"/>
      <c r="O336" s="6"/>
      <c r="P336" s="9">
        <v>475.24</v>
      </c>
    </row>
    <row r="337" spans="1:16" ht="19.5" customHeight="1">
      <c r="A337" s="1" t="s">
        <v>1412</v>
      </c>
      <c r="B337" s="5">
        <v>45990</v>
      </c>
      <c r="C337" s="1" t="s">
        <v>31</v>
      </c>
      <c r="D337" s="1" t="s">
        <v>33</v>
      </c>
      <c r="E337" s="1" t="s">
        <v>25</v>
      </c>
      <c r="F337" s="1" t="s">
        <v>26</v>
      </c>
      <c r="G337" s="1" t="s">
        <v>1229</v>
      </c>
      <c r="H337" s="6">
        <v>1</v>
      </c>
      <c r="I337" s="7">
        <v>1117</v>
      </c>
      <c r="J337" s="5">
        <v>45972</v>
      </c>
      <c r="K337" s="1" t="s">
        <v>957</v>
      </c>
      <c r="L337" s="1" t="s">
        <v>30</v>
      </c>
      <c r="M337" s="8">
        <v>0</v>
      </c>
      <c r="N337" s="6"/>
      <c r="O337" s="6"/>
      <c r="P337" s="9">
        <v>4.75</v>
      </c>
    </row>
    <row r="338" spans="1:16" ht="19.5" customHeight="1">
      <c r="A338" s="1" t="s">
        <v>1412</v>
      </c>
      <c r="B338" s="5">
        <v>45990</v>
      </c>
      <c r="C338" s="1" t="s">
        <v>31</v>
      </c>
      <c r="D338" s="1" t="s">
        <v>34</v>
      </c>
      <c r="E338" s="1" t="s">
        <v>25</v>
      </c>
      <c r="F338" s="1" t="s">
        <v>26</v>
      </c>
      <c r="G338" s="1" t="s">
        <v>1229</v>
      </c>
      <c r="H338" s="6">
        <v>1</v>
      </c>
      <c r="I338" s="7">
        <v>1117</v>
      </c>
      <c r="J338" s="5">
        <v>45972</v>
      </c>
      <c r="K338" s="1" t="s">
        <v>957</v>
      </c>
      <c r="L338" s="1" t="s">
        <v>30</v>
      </c>
      <c r="M338" s="8">
        <v>0</v>
      </c>
      <c r="N338" s="6"/>
      <c r="O338" s="6"/>
      <c r="P338" s="9">
        <v>637.01</v>
      </c>
    </row>
    <row r="339" spans="1:16" ht="19.5" customHeight="1">
      <c r="A339" s="1" t="s">
        <v>1412</v>
      </c>
      <c r="B339" s="5">
        <v>45990</v>
      </c>
      <c r="C339" s="1" t="s">
        <v>35</v>
      </c>
      <c r="D339" s="1" t="s">
        <v>36</v>
      </c>
      <c r="E339" s="1" t="s">
        <v>25</v>
      </c>
      <c r="F339" s="1" t="s">
        <v>26</v>
      </c>
      <c r="G339" s="1" t="s">
        <v>1229</v>
      </c>
      <c r="H339" s="6">
        <v>1</v>
      </c>
      <c r="I339" s="7">
        <v>1117</v>
      </c>
      <c r="J339" s="5">
        <v>45972</v>
      </c>
      <c r="K339" s="1" t="s">
        <v>957</v>
      </c>
      <c r="L339" s="1" t="s">
        <v>30</v>
      </c>
      <c r="M339" s="8">
        <v>0.43</v>
      </c>
      <c r="N339" s="6"/>
      <c r="O339" s="6"/>
      <c r="P339" s="9">
        <v>-480.31</v>
      </c>
    </row>
    <row r="340" spans="1:16" ht="19.5" customHeight="1">
      <c r="A340" s="1" t="s">
        <v>1412</v>
      </c>
      <c r="B340" s="5">
        <v>45990</v>
      </c>
      <c r="C340" s="1" t="s">
        <v>17</v>
      </c>
      <c r="D340" s="1" t="s">
        <v>37</v>
      </c>
      <c r="E340" s="1" t="s">
        <v>25</v>
      </c>
      <c r="F340" s="1" t="s">
        <v>26</v>
      </c>
      <c r="G340" s="1" t="s">
        <v>1229</v>
      </c>
      <c r="H340" s="6">
        <v>1</v>
      </c>
      <c r="I340" s="7">
        <v>1117</v>
      </c>
      <c r="J340" s="5">
        <v>45972</v>
      </c>
      <c r="K340" s="1" t="s">
        <v>957</v>
      </c>
      <c r="L340" s="1" t="s">
        <v>30</v>
      </c>
      <c r="M340" s="8">
        <v>0.43</v>
      </c>
      <c r="N340" s="6"/>
      <c r="O340" s="6"/>
      <c r="P340" s="9">
        <v>-17.18</v>
      </c>
    </row>
    <row r="341" spans="1:16" ht="19.5" customHeight="1">
      <c r="A341" s="1" t="s">
        <v>1413</v>
      </c>
      <c r="B341" s="5">
        <v>45990</v>
      </c>
      <c r="C341" s="1" t="s">
        <v>28</v>
      </c>
      <c r="D341" s="1" t="s">
        <v>29</v>
      </c>
      <c r="E341" s="1" t="s">
        <v>25</v>
      </c>
      <c r="F341" s="1" t="s">
        <v>26</v>
      </c>
      <c r="G341" s="1" t="s">
        <v>1229</v>
      </c>
      <c r="H341" s="6">
        <v>1</v>
      </c>
      <c r="I341" s="7">
        <v>1128</v>
      </c>
      <c r="J341" s="5">
        <v>45988</v>
      </c>
      <c r="K341" s="1" t="s">
        <v>957</v>
      </c>
      <c r="L341" s="1" t="s">
        <v>30</v>
      </c>
      <c r="M341" s="8">
        <v>0.43</v>
      </c>
      <c r="N341" s="6"/>
      <c r="O341" s="6">
        <v>42</v>
      </c>
      <c r="P341" s="9">
        <v>-104.37</v>
      </c>
    </row>
    <row r="342" spans="1:16" ht="19.5" customHeight="1">
      <c r="A342" s="1" t="s">
        <v>1413</v>
      </c>
      <c r="B342" s="5">
        <v>45990</v>
      </c>
      <c r="C342" s="1" t="s">
        <v>31</v>
      </c>
      <c r="D342" s="1" t="s">
        <v>32</v>
      </c>
      <c r="E342" s="1" t="s">
        <v>25</v>
      </c>
      <c r="F342" s="1" t="s">
        <v>26</v>
      </c>
      <c r="G342" s="1" t="s">
        <v>1229</v>
      </c>
      <c r="H342" s="6">
        <v>1</v>
      </c>
      <c r="I342" s="7">
        <v>1128</v>
      </c>
      <c r="J342" s="5">
        <v>45988</v>
      </c>
      <c r="K342" s="1" t="s">
        <v>957</v>
      </c>
      <c r="L342" s="1" t="s">
        <v>30</v>
      </c>
      <c r="M342" s="8">
        <v>0</v>
      </c>
      <c r="N342" s="6"/>
      <c r="O342" s="6"/>
      <c r="P342" s="9">
        <v>597.14</v>
      </c>
    </row>
    <row r="343" spans="1:16" ht="19.5" customHeight="1">
      <c r="A343" s="1" t="s">
        <v>1413</v>
      </c>
      <c r="B343" s="5">
        <v>45990</v>
      </c>
      <c r="C343" s="1" t="s">
        <v>31</v>
      </c>
      <c r="D343" s="1" t="s">
        <v>33</v>
      </c>
      <c r="E343" s="1" t="s">
        <v>25</v>
      </c>
      <c r="F343" s="1" t="s">
        <v>26</v>
      </c>
      <c r="G343" s="1" t="s">
        <v>1229</v>
      </c>
      <c r="H343" s="6">
        <v>1</v>
      </c>
      <c r="I343" s="7">
        <v>1128</v>
      </c>
      <c r="J343" s="5">
        <v>45988</v>
      </c>
      <c r="K343" s="1" t="s">
        <v>957</v>
      </c>
      <c r="L343" s="1" t="s">
        <v>30</v>
      </c>
      <c r="M343" s="8">
        <v>0</v>
      </c>
      <c r="N343" s="6"/>
      <c r="O343" s="6"/>
      <c r="P343" s="9">
        <v>5.97</v>
      </c>
    </row>
    <row r="344" spans="1:16" ht="19.5" customHeight="1">
      <c r="A344" s="1" t="s">
        <v>1413</v>
      </c>
      <c r="B344" s="5">
        <v>45990</v>
      </c>
      <c r="C344" s="1" t="s">
        <v>31</v>
      </c>
      <c r="D344" s="1" t="s">
        <v>34</v>
      </c>
      <c r="E344" s="1" t="s">
        <v>25</v>
      </c>
      <c r="F344" s="1" t="s">
        <v>26</v>
      </c>
      <c r="G344" s="1" t="s">
        <v>1229</v>
      </c>
      <c r="H344" s="6">
        <v>1</v>
      </c>
      <c r="I344" s="7">
        <v>1128</v>
      </c>
      <c r="J344" s="5">
        <v>45988</v>
      </c>
      <c r="K344" s="1" t="s">
        <v>957</v>
      </c>
      <c r="L344" s="1" t="s">
        <v>30</v>
      </c>
      <c r="M344" s="8">
        <v>0</v>
      </c>
      <c r="N344" s="6"/>
      <c r="O344" s="6"/>
      <c r="P344" s="9">
        <v>524.89</v>
      </c>
    </row>
    <row r="345" spans="1:16" ht="19.5" customHeight="1">
      <c r="A345" s="1" t="s">
        <v>1413</v>
      </c>
      <c r="B345" s="5">
        <v>45990</v>
      </c>
      <c r="C345" s="1" t="s">
        <v>35</v>
      </c>
      <c r="D345" s="1" t="s">
        <v>36</v>
      </c>
      <c r="E345" s="1" t="s">
        <v>25</v>
      </c>
      <c r="F345" s="1" t="s">
        <v>26</v>
      </c>
      <c r="G345" s="1" t="s">
        <v>1229</v>
      </c>
      <c r="H345" s="6">
        <v>1</v>
      </c>
      <c r="I345" s="7">
        <v>1128</v>
      </c>
      <c r="J345" s="5">
        <v>45988</v>
      </c>
      <c r="K345" s="1" t="s">
        <v>957</v>
      </c>
      <c r="L345" s="1" t="s">
        <v>30</v>
      </c>
      <c r="M345" s="8">
        <v>0.43</v>
      </c>
      <c r="N345" s="6"/>
      <c r="O345" s="6"/>
      <c r="P345" s="9">
        <v>-485.04</v>
      </c>
    </row>
    <row r="346" spans="1:16" ht="19.5" customHeight="1">
      <c r="A346" s="1" t="s">
        <v>1413</v>
      </c>
      <c r="B346" s="5">
        <v>45990</v>
      </c>
      <c r="C346" s="1" t="s">
        <v>17</v>
      </c>
      <c r="D346" s="1" t="s">
        <v>37</v>
      </c>
      <c r="E346" s="1" t="s">
        <v>25</v>
      </c>
      <c r="F346" s="1" t="s">
        <v>26</v>
      </c>
      <c r="G346" s="1" t="s">
        <v>1229</v>
      </c>
      <c r="H346" s="6">
        <v>1</v>
      </c>
      <c r="I346" s="7">
        <v>1128</v>
      </c>
      <c r="J346" s="5">
        <v>45988</v>
      </c>
      <c r="K346" s="1" t="s">
        <v>957</v>
      </c>
      <c r="L346" s="1" t="s">
        <v>30</v>
      </c>
      <c r="M346" s="8">
        <v>0.43</v>
      </c>
      <c r="N346" s="6"/>
      <c r="O346" s="6"/>
      <c r="P346" s="9">
        <v>-5.5</v>
      </c>
    </row>
    <row r="347" spans="1:16" ht="19.5" customHeight="1">
      <c r="A347" s="1" t="s">
        <v>1412</v>
      </c>
      <c r="B347" s="5">
        <v>45990</v>
      </c>
      <c r="C347" s="1" t="s">
        <v>17</v>
      </c>
      <c r="D347" s="1" t="s">
        <v>18</v>
      </c>
      <c r="E347" s="1" t="s">
        <v>25</v>
      </c>
      <c r="F347" s="1" t="s">
        <v>26</v>
      </c>
      <c r="G347" s="1" t="s">
        <v>1229</v>
      </c>
      <c r="H347" s="6">
        <v>1</v>
      </c>
      <c r="I347" s="7">
        <v>0</v>
      </c>
      <c r="J347" s="5">
        <v>45972</v>
      </c>
      <c r="K347" s="1" t="s">
        <v>22</v>
      </c>
      <c r="L347" s="1" t="s">
        <v>22</v>
      </c>
      <c r="M347" s="8">
        <v>0</v>
      </c>
      <c r="N347" s="6"/>
      <c r="O347" s="6"/>
      <c r="P347" s="9">
        <v>-9.0299999999999994</v>
      </c>
    </row>
    <row r="348" spans="1:16" ht="19.5" customHeight="1">
      <c r="A348" s="1" t="s">
        <v>1413</v>
      </c>
      <c r="B348" s="5">
        <v>45990</v>
      </c>
      <c r="C348" s="1" t="s">
        <v>17</v>
      </c>
      <c r="D348" s="1" t="s">
        <v>18</v>
      </c>
      <c r="E348" s="1" t="s">
        <v>25</v>
      </c>
      <c r="F348" s="1" t="s">
        <v>26</v>
      </c>
      <c r="G348" s="1" t="s">
        <v>1229</v>
      </c>
      <c r="H348" s="6">
        <v>1</v>
      </c>
      <c r="I348" s="7">
        <v>0</v>
      </c>
      <c r="J348" s="5">
        <v>45988</v>
      </c>
      <c r="K348" s="1" t="s">
        <v>22</v>
      </c>
      <c r="L348" s="1" t="s">
        <v>22</v>
      </c>
      <c r="M348" s="8">
        <v>0</v>
      </c>
      <c r="N348" s="6"/>
      <c r="O348" s="6"/>
      <c r="P348" s="9">
        <v>-11.35</v>
      </c>
    </row>
    <row r="349" spans="1:16" ht="19.5" customHeight="1">
      <c r="A349" s="1" t="s">
        <v>1386</v>
      </c>
      <c r="B349" s="5">
        <v>45990</v>
      </c>
      <c r="C349" s="1" t="s">
        <v>126</v>
      </c>
      <c r="D349" s="1" t="s">
        <v>127</v>
      </c>
      <c r="E349" s="1" t="s">
        <v>226</v>
      </c>
      <c r="F349" s="1" t="s">
        <v>428</v>
      </c>
      <c r="G349" s="1" t="s">
        <v>1229</v>
      </c>
      <c r="H349" s="6">
        <v>1</v>
      </c>
      <c r="I349" s="7">
        <v>-1800</v>
      </c>
      <c r="J349" s="5">
        <v>45987</v>
      </c>
      <c r="K349" s="1" t="s">
        <v>957</v>
      </c>
      <c r="L349" s="1" t="s">
        <v>30</v>
      </c>
      <c r="M349" s="8">
        <v>0</v>
      </c>
      <c r="N349" s="6"/>
      <c r="O349" s="6"/>
      <c r="P349" s="9">
        <v>-1117.03</v>
      </c>
    </row>
    <row r="350" spans="1:16" ht="19.5" customHeight="1">
      <c r="A350" s="1" t="s">
        <v>1386</v>
      </c>
      <c r="B350" s="5">
        <v>45990</v>
      </c>
      <c r="C350" s="1" t="s">
        <v>126</v>
      </c>
      <c r="D350" s="1" t="s">
        <v>33</v>
      </c>
      <c r="E350" s="1" t="s">
        <v>226</v>
      </c>
      <c r="F350" s="1" t="s">
        <v>428</v>
      </c>
      <c r="G350" s="1" t="s">
        <v>1229</v>
      </c>
      <c r="H350" s="6">
        <v>1</v>
      </c>
      <c r="I350" s="7">
        <v>-1800</v>
      </c>
      <c r="J350" s="5">
        <v>45987</v>
      </c>
      <c r="K350" s="1" t="s">
        <v>957</v>
      </c>
      <c r="L350" s="1" t="s">
        <v>30</v>
      </c>
      <c r="M350" s="8">
        <v>0</v>
      </c>
      <c r="N350" s="6"/>
      <c r="O350" s="6"/>
      <c r="P350" s="9">
        <v>-11.17</v>
      </c>
    </row>
    <row r="351" spans="1:16" ht="19.5" customHeight="1">
      <c r="A351" s="1" t="s">
        <v>1386</v>
      </c>
      <c r="B351" s="5">
        <v>45990</v>
      </c>
      <c r="C351" s="1" t="s">
        <v>126</v>
      </c>
      <c r="D351" s="1" t="s">
        <v>34</v>
      </c>
      <c r="E351" s="1" t="s">
        <v>226</v>
      </c>
      <c r="F351" s="1" t="s">
        <v>428</v>
      </c>
      <c r="G351" s="1" t="s">
        <v>1229</v>
      </c>
      <c r="H351" s="6">
        <v>1</v>
      </c>
      <c r="I351" s="7">
        <v>-1800</v>
      </c>
      <c r="J351" s="5">
        <v>45987</v>
      </c>
      <c r="K351" s="1" t="s">
        <v>957</v>
      </c>
      <c r="L351" s="1" t="s">
        <v>30</v>
      </c>
      <c r="M351" s="8">
        <v>0</v>
      </c>
      <c r="N351" s="6"/>
      <c r="O351" s="6"/>
      <c r="P351" s="9">
        <v>-671.8</v>
      </c>
    </row>
    <row r="352" spans="1:16" ht="19.5" customHeight="1">
      <c r="A352" s="1" t="s">
        <v>1386</v>
      </c>
      <c r="B352" s="5">
        <v>45990</v>
      </c>
      <c r="C352" s="1" t="s">
        <v>35</v>
      </c>
      <c r="D352" s="1" t="s">
        <v>128</v>
      </c>
      <c r="E352" s="1" t="s">
        <v>226</v>
      </c>
      <c r="F352" s="1" t="s">
        <v>428</v>
      </c>
      <c r="G352" s="1" t="s">
        <v>1229</v>
      </c>
      <c r="H352" s="6">
        <v>1</v>
      </c>
      <c r="I352" s="7">
        <v>-1800</v>
      </c>
      <c r="J352" s="5">
        <v>45987</v>
      </c>
      <c r="K352" s="1" t="s">
        <v>957</v>
      </c>
      <c r="L352" s="1" t="s">
        <v>30</v>
      </c>
      <c r="M352" s="8">
        <v>0.43</v>
      </c>
      <c r="N352" s="6"/>
      <c r="O352" s="6"/>
      <c r="P352" s="9">
        <v>774</v>
      </c>
    </row>
    <row r="353" spans="1:16" ht="19.5" customHeight="1">
      <c r="A353" s="1" t="s">
        <v>1386</v>
      </c>
      <c r="B353" s="5">
        <v>45990</v>
      </c>
      <c r="C353" s="1" t="s">
        <v>17</v>
      </c>
      <c r="D353" s="1" t="s">
        <v>18</v>
      </c>
      <c r="E353" s="1" t="s">
        <v>226</v>
      </c>
      <c r="F353" s="1" t="s">
        <v>428</v>
      </c>
      <c r="G353" s="1" t="s">
        <v>1229</v>
      </c>
      <c r="H353" s="6">
        <v>1</v>
      </c>
      <c r="I353" s="7">
        <v>0</v>
      </c>
      <c r="J353" s="5">
        <v>45987</v>
      </c>
      <c r="K353" s="1" t="s">
        <v>22</v>
      </c>
      <c r="L353" s="1" t="s">
        <v>22</v>
      </c>
      <c r="M353" s="8">
        <v>0</v>
      </c>
      <c r="N353" s="6"/>
      <c r="O353" s="6"/>
      <c r="P353" s="9">
        <v>21.22</v>
      </c>
    </row>
    <row r="354" spans="1:16" ht="19.5" customHeight="1">
      <c r="A354" s="1" t="s">
        <v>1388</v>
      </c>
      <c r="B354" s="5">
        <v>45990</v>
      </c>
      <c r="C354" s="1" t="s">
        <v>126</v>
      </c>
      <c r="D354" s="1" t="s">
        <v>127</v>
      </c>
      <c r="E354" s="1" t="s">
        <v>222</v>
      </c>
      <c r="F354" s="1" t="s">
        <v>412</v>
      </c>
      <c r="G354" s="1" t="s">
        <v>1229</v>
      </c>
      <c r="H354" s="6">
        <v>1</v>
      </c>
      <c r="I354" s="7">
        <v>-1183</v>
      </c>
      <c r="J354" s="5">
        <v>45985</v>
      </c>
      <c r="K354" s="1" t="s">
        <v>957</v>
      </c>
      <c r="L354" s="1" t="s">
        <v>30</v>
      </c>
      <c r="M354" s="8">
        <v>0</v>
      </c>
      <c r="N354" s="6"/>
      <c r="O354" s="6"/>
      <c r="P354" s="9">
        <v>-631.28</v>
      </c>
    </row>
    <row r="355" spans="1:16" ht="19.5" customHeight="1">
      <c r="A355" s="1" t="s">
        <v>1388</v>
      </c>
      <c r="B355" s="5">
        <v>45990</v>
      </c>
      <c r="C355" s="1" t="s">
        <v>126</v>
      </c>
      <c r="D355" s="1" t="s">
        <v>33</v>
      </c>
      <c r="E355" s="1" t="s">
        <v>222</v>
      </c>
      <c r="F355" s="1" t="s">
        <v>412</v>
      </c>
      <c r="G355" s="1" t="s">
        <v>1229</v>
      </c>
      <c r="H355" s="6">
        <v>1</v>
      </c>
      <c r="I355" s="7">
        <v>-1183</v>
      </c>
      <c r="J355" s="5">
        <v>45985</v>
      </c>
      <c r="K355" s="1" t="s">
        <v>957</v>
      </c>
      <c r="L355" s="1" t="s">
        <v>30</v>
      </c>
      <c r="M355" s="8">
        <v>0</v>
      </c>
      <c r="N355" s="6"/>
      <c r="O355" s="6"/>
      <c r="P355" s="9">
        <v>0</v>
      </c>
    </row>
    <row r="356" spans="1:16" ht="19.5" customHeight="1">
      <c r="A356" s="1" t="s">
        <v>1388</v>
      </c>
      <c r="B356" s="5">
        <v>45990</v>
      </c>
      <c r="C356" s="1" t="s">
        <v>126</v>
      </c>
      <c r="D356" s="1" t="s">
        <v>34</v>
      </c>
      <c r="E356" s="1" t="s">
        <v>222</v>
      </c>
      <c r="F356" s="1" t="s">
        <v>412</v>
      </c>
      <c r="G356" s="1" t="s">
        <v>1229</v>
      </c>
      <c r="H356" s="6">
        <v>1</v>
      </c>
      <c r="I356" s="7">
        <v>-1183</v>
      </c>
      <c r="J356" s="5">
        <v>45985</v>
      </c>
      <c r="K356" s="1" t="s">
        <v>957</v>
      </c>
      <c r="L356" s="1" t="s">
        <v>30</v>
      </c>
      <c r="M356" s="8">
        <v>0</v>
      </c>
      <c r="N356" s="6"/>
      <c r="O356" s="6"/>
      <c r="P356" s="9">
        <v>-551.72</v>
      </c>
    </row>
    <row r="357" spans="1:16" ht="19.5" customHeight="1">
      <c r="A357" s="1" t="s">
        <v>1388</v>
      </c>
      <c r="B357" s="5">
        <v>45990</v>
      </c>
      <c r="C357" s="1" t="s">
        <v>35</v>
      </c>
      <c r="D357" s="1" t="s">
        <v>128</v>
      </c>
      <c r="E357" s="1" t="s">
        <v>222</v>
      </c>
      <c r="F357" s="1" t="s">
        <v>412</v>
      </c>
      <c r="G357" s="1" t="s">
        <v>1229</v>
      </c>
      <c r="H357" s="6">
        <v>1</v>
      </c>
      <c r="I357" s="7">
        <v>-1183</v>
      </c>
      <c r="J357" s="5">
        <v>45985</v>
      </c>
      <c r="K357" s="1" t="s">
        <v>957</v>
      </c>
      <c r="L357" s="1" t="s">
        <v>30</v>
      </c>
      <c r="M357" s="8">
        <v>0.43</v>
      </c>
      <c r="N357" s="6"/>
      <c r="O357" s="6"/>
      <c r="P357" s="9">
        <v>508.69</v>
      </c>
    </row>
    <row r="358" spans="1:16" ht="19.5" customHeight="1">
      <c r="A358" s="1" t="s">
        <v>1388</v>
      </c>
      <c r="B358" s="5">
        <v>45990</v>
      </c>
      <c r="C358" s="1" t="s">
        <v>17</v>
      </c>
      <c r="D358" s="1" t="s">
        <v>18</v>
      </c>
      <c r="E358" s="1" t="s">
        <v>222</v>
      </c>
      <c r="F358" s="1" t="s">
        <v>412</v>
      </c>
      <c r="G358" s="1" t="s">
        <v>1229</v>
      </c>
      <c r="H358" s="6">
        <v>1</v>
      </c>
      <c r="I358" s="7">
        <v>0</v>
      </c>
      <c r="J358" s="5">
        <v>45985</v>
      </c>
      <c r="K358" s="1" t="s">
        <v>22</v>
      </c>
      <c r="L358" s="1" t="s">
        <v>22</v>
      </c>
      <c r="M358" s="8">
        <v>0</v>
      </c>
      <c r="N358" s="6"/>
      <c r="O358" s="6"/>
      <c r="P358" s="9">
        <v>2.65</v>
      </c>
    </row>
    <row r="359" spans="1:16" ht="19.5" customHeight="1">
      <c r="A359" s="1" t="s">
        <v>1414</v>
      </c>
      <c r="B359" s="5">
        <v>45990</v>
      </c>
      <c r="C359" s="1" t="s">
        <v>17</v>
      </c>
      <c r="D359" s="1" t="s">
        <v>18</v>
      </c>
      <c r="E359" s="1" t="s">
        <v>54</v>
      </c>
      <c r="F359" s="1" t="s">
        <v>55</v>
      </c>
      <c r="G359" s="1" t="s">
        <v>1229</v>
      </c>
      <c r="H359" s="6">
        <v>1</v>
      </c>
      <c r="I359" s="7">
        <v>0</v>
      </c>
      <c r="J359" s="5">
        <v>45990</v>
      </c>
      <c r="K359" s="1" t="s">
        <v>22</v>
      </c>
      <c r="L359" s="1" t="s">
        <v>22</v>
      </c>
      <c r="M359" s="8">
        <v>0</v>
      </c>
      <c r="N359" s="6"/>
      <c r="O359" s="6"/>
      <c r="P359" s="9">
        <v>-12.99</v>
      </c>
    </row>
    <row r="360" spans="1:16" ht="19.5" customHeight="1">
      <c r="A360" s="1" t="s">
        <v>22</v>
      </c>
      <c r="B360" s="5">
        <v>45990</v>
      </c>
      <c r="C360" s="1" t="s">
        <v>77</v>
      </c>
      <c r="D360" s="1" t="s">
        <v>78</v>
      </c>
      <c r="E360" s="1" t="s">
        <v>22</v>
      </c>
      <c r="F360" s="1" t="s">
        <v>22</v>
      </c>
      <c r="G360" s="1" t="s">
        <v>1415</v>
      </c>
      <c r="H360" s="6">
        <v>0</v>
      </c>
      <c r="I360" s="7">
        <v>0</v>
      </c>
      <c r="J360" s="5">
        <v>45990</v>
      </c>
      <c r="K360" s="1" t="s">
        <v>22</v>
      </c>
      <c r="L360" s="1" t="s">
        <v>22</v>
      </c>
      <c r="M360" s="8">
        <v>0</v>
      </c>
      <c r="N360" s="6"/>
      <c r="O360" s="6"/>
      <c r="P360" s="9">
        <v>-450</v>
      </c>
    </row>
    <row r="361" spans="1:16" ht="19.5" customHeight="1">
      <c r="A361" s="1" t="s">
        <v>1376</v>
      </c>
      <c r="B361" s="5">
        <v>45990</v>
      </c>
      <c r="C361" s="1" t="s">
        <v>77</v>
      </c>
      <c r="D361" s="1" t="s">
        <v>82</v>
      </c>
      <c r="E361" s="1" t="s">
        <v>22</v>
      </c>
      <c r="F361" s="1" t="s">
        <v>22</v>
      </c>
      <c r="G361" s="1" t="s">
        <v>22</v>
      </c>
      <c r="H361" s="6">
        <v>0</v>
      </c>
      <c r="I361" s="7">
        <v>0</v>
      </c>
      <c r="J361" s="5">
        <v>45990</v>
      </c>
      <c r="K361" s="1" t="s">
        <v>22</v>
      </c>
      <c r="L361" s="1" t="s">
        <v>22</v>
      </c>
      <c r="M361" s="8">
        <v>0</v>
      </c>
      <c r="N361" s="6"/>
      <c r="O361" s="6"/>
      <c r="P361" s="9">
        <v>-494.49</v>
      </c>
    </row>
    <row r="362" spans="1:16" ht="19.5" customHeight="1">
      <c r="A362" s="1" t="s">
        <v>1270</v>
      </c>
      <c r="B362" s="5">
        <v>45990</v>
      </c>
      <c r="C362" s="1" t="s">
        <v>77</v>
      </c>
      <c r="D362" s="1" t="s">
        <v>82</v>
      </c>
      <c r="E362" s="1" t="s">
        <v>22</v>
      </c>
      <c r="F362" s="1" t="s">
        <v>22</v>
      </c>
      <c r="G362" s="1" t="s">
        <v>22</v>
      </c>
      <c r="H362" s="6">
        <v>0</v>
      </c>
      <c r="I362" s="7">
        <v>0</v>
      </c>
      <c r="J362" s="5">
        <v>45990</v>
      </c>
      <c r="K362" s="1" t="s">
        <v>22</v>
      </c>
      <c r="L362" s="1" t="s">
        <v>22</v>
      </c>
      <c r="M362" s="8">
        <v>0</v>
      </c>
      <c r="N362" s="6"/>
      <c r="O362" s="6"/>
      <c r="P362" s="9">
        <v>-290.35000000000002</v>
      </c>
    </row>
    <row r="363" spans="1:16" ht="19.5" customHeight="1">
      <c r="A363" s="1" t="s">
        <v>1075</v>
      </c>
      <c r="B363" s="5">
        <v>45990</v>
      </c>
      <c r="C363" s="1" t="s">
        <v>77</v>
      </c>
      <c r="D363" s="1" t="s">
        <v>82</v>
      </c>
      <c r="E363" s="1" t="s">
        <v>22</v>
      </c>
      <c r="F363" s="1" t="s">
        <v>22</v>
      </c>
      <c r="G363" s="1" t="s">
        <v>22</v>
      </c>
      <c r="H363" s="6">
        <v>0</v>
      </c>
      <c r="I363" s="7">
        <v>0</v>
      </c>
      <c r="J363" s="5">
        <v>45990</v>
      </c>
      <c r="K363" s="1" t="s">
        <v>22</v>
      </c>
      <c r="L363" s="1" t="s">
        <v>22</v>
      </c>
      <c r="M363" s="8">
        <v>0</v>
      </c>
      <c r="N363" s="6"/>
      <c r="O363" s="6"/>
      <c r="P363" s="9">
        <v>-632.72</v>
      </c>
    </row>
    <row r="364" spans="1:16" ht="19.5" customHeight="1">
      <c r="A364" s="1" t="s">
        <v>83</v>
      </c>
      <c r="B364" s="5">
        <v>45990</v>
      </c>
      <c r="C364" s="1" t="s">
        <v>77</v>
      </c>
      <c r="D364" s="1" t="s">
        <v>84</v>
      </c>
      <c r="E364" s="1" t="s">
        <v>22</v>
      </c>
      <c r="F364" s="1" t="s">
        <v>22</v>
      </c>
      <c r="G364" s="1" t="s">
        <v>22</v>
      </c>
      <c r="H364" s="6">
        <v>0</v>
      </c>
      <c r="I364" s="7">
        <v>0</v>
      </c>
      <c r="J364" s="5">
        <v>45990</v>
      </c>
      <c r="K364" s="1" t="s">
        <v>22</v>
      </c>
      <c r="L364" s="1" t="s">
        <v>22</v>
      </c>
      <c r="M364" s="8">
        <v>0</v>
      </c>
      <c r="N364" s="6"/>
      <c r="O364" s="6"/>
      <c r="P364" s="9">
        <v>-717.73</v>
      </c>
    </row>
    <row r="365" spans="1:16" ht="19.5" customHeight="1">
      <c r="A365" s="1" t="s">
        <v>1416</v>
      </c>
      <c r="B365" s="5">
        <v>45991</v>
      </c>
      <c r="C365" s="1" t="s">
        <v>28</v>
      </c>
      <c r="D365" s="1" t="s">
        <v>29</v>
      </c>
      <c r="E365" s="1" t="s">
        <v>223</v>
      </c>
      <c r="F365" s="1" t="s">
        <v>395</v>
      </c>
      <c r="G365" s="1" t="s">
        <v>1229</v>
      </c>
      <c r="H365" s="6">
        <v>1</v>
      </c>
      <c r="I365" s="7">
        <v>0</v>
      </c>
      <c r="J365" s="5">
        <v>45982</v>
      </c>
      <c r="K365" s="1" t="s">
        <v>957</v>
      </c>
      <c r="L365" s="1" t="s">
        <v>30</v>
      </c>
      <c r="M365" s="8">
        <v>0</v>
      </c>
      <c r="N365" s="6"/>
      <c r="O365" s="6">
        <v>43</v>
      </c>
      <c r="P365" s="9">
        <v>-46</v>
      </c>
    </row>
    <row r="366" spans="1:16" ht="19.5" customHeight="1">
      <c r="A366" s="1" t="s">
        <v>1416</v>
      </c>
      <c r="B366" s="5">
        <v>45991</v>
      </c>
      <c r="C366" s="1" t="s">
        <v>17</v>
      </c>
      <c r="D366" s="1" t="s">
        <v>37</v>
      </c>
      <c r="E366" s="1" t="s">
        <v>223</v>
      </c>
      <c r="F366" s="1" t="s">
        <v>395</v>
      </c>
      <c r="G366" s="1" t="s">
        <v>1229</v>
      </c>
      <c r="H366" s="6">
        <v>1</v>
      </c>
      <c r="I366" s="7">
        <v>0</v>
      </c>
      <c r="J366" s="5">
        <v>45982</v>
      </c>
      <c r="K366" s="1" t="s">
        <v>957</v>
      </c>
      <c r="L366" s="1" t="s">
        <v>30</v>
      </c>
      <c r="M366" s="8">
        <v>0</v>
      </c>
      <c r="N366" s="6"/>
      <c r="O366" s="6"/>
      <c r="P366" s="9">
        <v>-17.329999999999998</v>
      </c>
    </row>
    <row r="367" spans="1:16" ht="19.5" customHeight="1">
      <c r="A367" s="1" t="s">
        <v>1416</v>
      </c>
      <c r="B367" s="5">
        <v>45991</v>
      </c>
      <c r="C367" s="1" t="s">
        <v>28</v>
      </c>
      <c r="D367" s="1" t="s">
        <v>45</v>
      </c>
      <c r="E367" s="1" t="s">
        <v>223</v>
      </c>
      <c r="F367" s="1" t="s">
        <v>395</v>
      </c>
      <c r="G367" s="1" t="s">
        <v>1229</v>
      </c>
      <c r="H367" s="6">
        <v>1</v>
      </c>
      <c r="I367" s="7">
        <v>0</v>
      </c>
      <c r="J367" s="5">
        <v>45982</v>
      </c>
      <c r="K367" s="1" t="s">
        <v>957</v>
      </c>
      <c r="L367" s="1" t="s">
        <v>30</v>
      </c>
      <c r="M367" s="8">
        <v>0</v>
      </c>
      <c r="N367" s="6"/>
      <c r="O367" s="6"/>
      <c r="P367" s="9">
        <v>0</v>
      </c>
    </row>
    <row r="368" spans="1:16" ht="19.5" customHeight="1">
      <c r="A368" s="1" t="s">
        <v>1416</v>
      </c>
      <c r="B368" s="5">
        <v>45991</v>
      </c>
      <c r="C368" s="1" t="s">
        <v>28</v>
      </c>
      <c r="D368" s="1" t="s">
        <v>46</v>
      </c>
      <c r="E368" s="1" t="s">
        <v>223</v>
      </c>
      <c r="F368" s="1" t="s">
        <v>395</v>
      </c>
      <c r="G368" s="1" t="s">
        <v>1229</v>
      </c>
      <c r="H368" s="6">
        <v>1</v>
      </c>
      <c r="I368" s="7">
        <v>0</v>
      </c>
      <c r="J368" s="5">
        <v>45982</v>
      </c>
      <c r="K368" s="1" t="s">
        <v>957</v>
      </c>
      <c r="L368" s="1" t="s">
        <v>30</v>
      </c>
      <c r="M368" s="8">
        <v>0</v>
      </c>
      <c r="N368" s="6"/>
      <c r="O368" s="6"/>
      <c r="P368" s="9">
        <v>-46</v>
      </c>
    </row>
    <row r="369" spans="1:16" ht="19.5" customHeight="1">
      <c r="A369" s="1" t="s">
        <v>1416</v>
      </c>
      <c r="B369" s="5">
        <v>45991</v>
      </c>
      <c r="C369" s="1" t="s">
        <v>17</v>
      </c>
      <c r="D369" s="1" t="s">
        <v>47</v>
      </c>
      <c r="E369" s="1" t="s">
        <v>223</v>
      </c>
      <c r="F369" s="1" t="s">
        <v>395</v>
      </c>
      <c r="G369" s="1" t="s">
        <v>1229</v>
      </c>
      <c r="H369" s="6">
        <v>1</v>
      </c>
      <c r="I369" s="7">
        <v>0</v>
      </c>
      <c r="J369" s="5">
        <v>45982</v>
      </c>
      <c r="K369" s="1" t="s">
        <v>957</v>
      </c>
      <c r="L369" s="1" t="s">
        <v>30</v>
      </c>
      <c r="M369" s="8">
        <v>0</v>
      </c>
      <c r="N369" s="6"/>
      <c r="O369" s="6"/>
      <c r="P369" s="9">
        <v>-15</v>
      </c>
    </row>
    <row r="370" spans="1:16" ht="19.5" customHeight="1">
      <c r="A370" s="1" t="s">
        <v>1417</v>
      </c>
      <c r="B370" s="5">
        <v>45991</v>
      </c>
      <c r="C370" s="1" t="s">
        <v>28</v>
      </c>
      <c r="D370" s="1" t="s">
        <v>29</v>
      </c>
      <c r="E370" s="1" t="s">
        <v>223</v>
      </c>
      <c r="F370" s="1" t="s">
        <v>395</v>
      </c>
      <c r="G370" s="1" t="s">
        <v>1229</v>
      </c>
      <c r="H370" s="6">
        <v>1</v>
      </c>
      <c r="I370" s="7">
        <v>0</v>
      </c>
      <c r="J370" s="5">
        <v>45984</v>
      </c>
      <c r="K370" s="1" t="s">
        <v>957</v>
      </c>
      <c r="L370" s="1" t="s">
        <v>30</v>
      </c>
      <c r="M370" s="8">
        <v>0</v>
      </c>
      <c r="N370" s="6"/>
      <c r="O370" s="6">
        <v>42</v>
      </c>
      <c r="P370" s="9">
        <v>-46</v>
      </c>
    </row>
    <row r="371" spans="1:16" ht="19.5" customHeight="1">
      <c r="A371" s="1" t="s">
        <v>1417</v>
      </c>
      <c r="B371" s="5">
        <v>45991</v>
      </c>
      <c r="C371" s="1" t="s">
        <v>28</v>
      </c>
      <c r="D371" s="1" t="s">
        <v>45</v>
      </c>
      <c r="E371" s="1" t="s">
        <v>223</v>
      </c>
      <c r="F371" s="1" t="s">
        <v>395</v>
      </c>
      <c r="G371" s="1" t="s">
        <v>1229</v>
      </c>
      <c r="H371" s="6">
        <v>1</v>
      </c>
      <c r="I371" s="7">
        <v>0</v>
      </c>
      <c r="J371" s="5">
        <v>45984</v>
      </c>
      <c r="K371" s="1" t="s">
        <v>957</v>
      </c>
      <c r="L371" s="1" t="s">
        <v>30</v>
      </c>
      <c r="M371" s="8">
        <v>0</v>
      </c>
      <c r="N371" s="6"/>
      <c r="O371" s="6"/>
      <c r="P371" s="9">
        <v>0</v>
      </c>
    </row>
    <row r="372" spans="1:16" ht="19.5" customHeight="1">
      <c r="A372" s="1" t="s">
        <v>1417</v>
      </c>
      <c r="B372" s="5">
        <v>45991</v>
      </c>
      <c r="C372" s="1" t="s">
        <v>28</v>
      </c>
      <c r="D372" s="1" t="s">
        <v>46</v>
      </c>
      <c r="E372" s="1" t="s">
        <v>223</v>
      </c>
      <c r="F372" s="1" t="s">
        <v>395</v>
      </c>
      <c r="G372" s="1" t="s">
        <v>1229</v>
      </c>
      <c r="H372" s="6">
        <v>1</v>
      </c>
      <c r="I372" s="7">
        <v>0</v>
      </c>
      <c r="J372" s="5">
        <v>45984</v>
      </c>
      <c r="K372" s="1" t="s">
        <v>957</v>
      </c>
      <c r="L372" s="1" t="s">
        <v>30</v>
      </c>
      <c r="M372" s="8">
        <v>0</v>
      </c>
      <c r="N372" s="6"/>
      <c r="O372" s="6"/>
      <c r="P372" s="9">
        <v>-46</v>
      </c>
    </row>
    <row r="373" spans="1:16" ht="19.5" customHeight="1">
      <c r="A373" s="1" t="s">
        <v>1418</v>
      </c>
      <c r="B373" s="5">
        <v>45991</v>
      </c>
      <c r="C373" s="1" t="s">
        <v>17</v>
      </c>
      <c r="D373" s="1" t="s">
        <v>18</v>
      </c>
      <c r="E373" s="1" t="s">
        <v>25</v>
      </c>
      <c r="F373" s="1" t="s">
        <v>26</v>
      </c>
      <c r="G373" s="1" t="s">
        <v>1229</v>
      </c>
      <c r="H373" s="6">
        <v>1</v>
      </c>
      <c r="I373" s="7">
        <v>0</v>
      </c>
      <c r="J373" s="5">
        <v>45991</v>
      </c>
      <c r="K373" s="1" t="s">
        <v>22</v>
      </c>
      <c r="L373" s="1" t="s">
        <v>22</v>
      </c>
      <c r="M373" s="8">
        <v>0</v>
      </c>
      <c r="N373" s="6"/>
      <c r="O373" s="6"/>
      <c r="P373" s="9">
        <v>-13.74</v>
      </c>
    </row>
    <row r="374" spans="1:16" ht="19.5" customHeight="1">
      <c r="A374" s="1" t="s">
        <v>1418</v>
      </c>
      <c r="B374" s="5">
        <v>45991</v>
      </c>
      <c r="C374" s="1" t="s">
        <v>17</v>
      </c>
      <c r="D374" s="1" t="s">
        <v>18</v>
      </c>
      <c r="E374" s="1" t="s">
        <v>223</v>
      </c>
      <c r="F374" s="1" t="s">
        <v>395</v>
      </c>
      <c r="G374" s="1" t="s">
        <v>1229</v>
      </c>
      <c r="H374" s="6">
        <v>1</v>
      </c>
      <c r="I374" s="7">
        <v>0</v>
      </c>
      <c r="J374" s="5">
        <v>45991</v>
      </c>
      <c r="K374" s="1" t="s">
        <v>22</v>
      </c>
      <c r="L374" s="1" t="s">
        <v>22</v>
      </c>
      <c r="M374" s="8">
        <v>0</v>
      </c>
      <c r="N374" s="6"/>
      <c r="O374" s="6"/>
      <c r="P374" s="9">
        <v>-13.49</v>
      </c>
    </row>
    <row r="375" spans="1:16" ht="19.5" customHeight="1">
      <c r="A375" s="1" t="s">
        <v>1419</v>
      </c>
      <c r="B375" s="5">
        <v>45991</v>
      </c>
      <c r="C375" s="1" t="s">
        <v>17</v>
      </c>
      <c r="D375" s="1" t="s">
        <v>18</v>
      </c>
      <c r="E375" s="1" t="s">
        <v>54</v>
      </c>
      <c r="F375" s="1" t="s">
        <v>55</v>
      </c>
      <c r="G375" s="1" t="s">
        <v>1229</v>
      </c>
      <c r="H375" s="6">
        <v>1</v>
      </c>
      <c r="I375" s="7">
        <v>0</v>
      </c>
      <c r="J375" s="5">
        <v>45991</v>
      </c>
      <c r="K375" s="1" t="s">
        <v>22</v>
      </c>
      <c r="L375" s="1" t="s">
        <v>22</v>
      </c>
      <c r="M375" s="8">
        <v>0</v>
      </c>
      <c r="N375" s="6"/>
      <c r="O375" s="6"/>
      <c r="P375" s="9">
        <v>-15.38</v>
      </c>
    </row>
    <row r="376" spans="1:16" ht="19.5" customHeight="1">
      <c r="A376" s="1" t="s">
        <v>1420</v>
      </c>
      <c r="B376" s="5">
        <v>45991</v>
      </c>
      <c r="C376" s="1" t="s">
        <v>28</v>
      </c>
      <c r="D376" s="1" t="s">
        <v>29</v>
      </c>
      <c r="E376" s="1" t="s">
        <v>223</v>
      </c>
      <c r="F376" s="1" t="s">
        <v>395</v>
      </c>
      <c r="G376" s="1" t="s">
        <v>1229</v>
      </c>
      <c r="H376" s="6">
        <v>1</v>
      </c>
      <c r="I376" s="7">
        <v>1687</v>
      </c>
      <c r="J376" s="5">
        <v>45988</v>
      </c>
      <c r="K376" s="1" t="s">
        <v>957</v>
      </c>
      <c r="L376" s="1" t="s">
        <v>30</v>
      </c>
      <c r="M376" s="8">
        <v>0.43</v>
      </c>
      <c r="N376" s="6"/>
      <c r="O376" s="6">
        <v>42</v>
      </c>
      <c r="P376" s="9">
        <v>-120.3</v>
      </c>
    </row>
    <row r="377" spans="1:16" ht="19.5" customHeight="1">
      <c r="A377" s="1" t="s">
        <v>1420</v>
      </c>
      <c r="B377" s="5">
        <v>45991</v>
      </c>
      <c r="C377" s="1" t="s">
        <v>31</v>
      </c>
      <c r="D377" s="1" t="s">
        <v>32</v>
      </c>
      <c r="E377" s="1" t="s">
        <v>223</v>
      </c>
      <c r="F377" s="1" t="s">
        <v>395</v>
      </c>
      <c r="G377" s="1" t="s">
        <v>1229</v>
      </c>
      <c r="H377" s="6">
        <v>1</v>
      </c>
      <c r="I377" s="7">
        <v>1687</v>
      </c>
      <c r="J377" s="5">
        <v>45988</v>
      </c>
      <c r="K377" s="1" t="s">
        <v>957</v>
      </c>
      <c r="L377" s="1" t="s">
        <v>30</v>
      </c>
      <c r="M377" s="8">
        <v>0</v>
      </c>
      <c r="N377" s="6"/>
      <c r="O377" s="6"/>
      <c r="P377" s="9">
        <v>668.57</v>
      </c>
    </row>
    <row r="378" spans="1:16" ht="19.5" customHeight="1">
      <c r="A378" s="1" t="s">
        <v>1420</v>
      </c>
      <c r="B378" s="5">
        <v>45991</v>
      </c>
      <c r="C378" s="1" t="s">
        <v>31</v>
      </c>
      <c r="D378" s="1" t="s">
        <v>33</v>
      </c>
      <c r="E378" s="1" t="s">
        <v>223</v>
      </c>
      <c r="F378" s="1" t="s">
        <v>395</v>
      </c>
      <c r="G378" s="1" t="s">
        <v>1229</v>
      </c>
      <c r="H378" s="6">
        <v>1</v>
      </c>
      <c r="I378" s="7">
        <v>1687</v>
      </c>
      <c r="J378" s="5">
        <v>45988</v>
      </c>
      <c r="K378" s="1" t="s">
        <v>957</v>
      </c>
      <c r="L378" s="1" t="s">
        <v>30</v>
      </c>
      <c r="M378" s="8">
        <v>0</v>
      </c>
      <c r="N378" s="6"/>
      <c r="O378" s="6"/>
      <c r="P378" s="9">
        <v>6.69</v>
      </c>
    </row>
    <row r="379" spans="1:16" ht="19.5" customHeight="1">
      <c r="A379" s="1" t="s">
        <v>1420</v>
      </c>
      <c r="B379" s="5">
        <v>45991</v>
      </c>
      <c r="C379" s="1" t="s">
        <v>31</v>
      </c>
      <c r="D379" s="1" t="s">
        <v>34</v>
      </c>
      <c r="E379" s="1" t="s">
        <v>223</v>
      </c>
      <c r="F379" s="1" t="s">
        <v>395</v>
      </c>
      <c r="G379" s="1" t="s">
        <v>1229</v>
      </c>
      <c r="H379" s="6">
        <v>1</v>
      </c>
      <c r="I379" s="7">
        <v>1687</v>
      </c>
      <c r="J379" s="5">
        <v>45988</v>
      </c>
      <c r="K379" s="1" t="s">
        <v>957</v>
      </c>
      <c r="L379" s="1" t="s">
        <v>30</v>
      </c>
      <c r="M379" s="8">
        <v>0</v>
      </c>
      <c r="N379" s="6"/>
      <c r="O379" s="6"/>
      <c r="P379" s="9">
        <v>1011.74</v>
      </c>
    </row>
    <row r="380" spans="1:16" ht="19.5" customHeight="1">
      <c r="A380" s="1" t="s">
        <v>1420</v>
      </c>
      <c r="B380" s="5">
        <v>45991</v>
      </c>
      <c r="C380" s="1" t="s">
        <v>35</v>
      </c>
      <c r="D380" s="1" t="s">
        <v>36</v>
      </c>
      <c r="E380" s="1" t="s">
        <v>223</v>
      </c>
      <c r="F380" s="1" t="s">
        <v>395</v>
      </c>
      <c r="G380" s="1" t="s">
        <v>1229</v>
      </c>
      <c r="H380" s="6">
        <v>1</v>
      </c>
      <c r="I380" s="7">
        <v>1687</v>
      </c>
      <c r="J380" s="5">
        <v>45988</v>
      </c>
      <c r="K380" s="1" t="s">
        <v>957</v>
      </c>
      <c r="L380" s="1" t="s">
        <v>30</v>
      </c>
      <c r="M380" s="8">
        <v>0.43</v>
      </c>
      <c r="N380" s="6"/>
      <c r="O380" s="6"/>
      <c r="P380" s="9">
        <v>-725.41</v>
      </c>
    </row>
    <row r="381" spans="1:16" ht="19.5" customHeight="1">
      <c r="A381" s="1" t="s">
        <v>1420</v>
      </c>
      <c r="B381" s="5">
        <v>45991</v>
      </c>
      <c r="C381" s="1" t="s">
        <v>17</v>
      </c>
      <c r="D381" s="1" t="s">
        <v>37</v>
      </c>
      <c r="E381" s="1" t="s">
        <v>223</v>
      </c>
      <c r="F381" s="1" t="s">
        <v>395</v>
      </c>
      <c r="G381" s="1" t="s">
        <v>1229</v>
      </c>
      <c r="H381" s="6">
        <v>1</v>
      </c>
      <c r="I381" s="7">
        <v>1687</v>
      </c>
      <c r="J381" s="5">
        <v>45988</v>
      </c>
      <c r="K381" s="1" t="s">
        <v>957</v>
      </c>
      <c r="L381" s="1" t="s">
        <v>30</v>
      </c>
      <c r="M381" s="8">
        <v>0.43</v>
      </c>
      <c r="N381" s="6"/>
      <c r="O381" s="6"/>
      <c r="P381" s="9">
        <v>-8.9</v>
      </c>
    </row>
    <row r="382" spans="1:16" ht="19.5" customHeight="1">
      <c r="A382" s="1" t="s">
        <v>1421</v>
      </c>
      <c r="B382" s="5">
        <v>45991</v>
      </c>
      <c r="C382" s="1" t="s">
        <v>17</v>
      </c>
      <c r="D382" s="1" t="s">
        <v>18</v>
      </c>
      <c r="E382" s="1" t="s">
        <v>25</v>
      </c>
      <c r="F382" s="1" t="s">
        <v>26</v>
      </c>
      <c r="G382" s="1" t="s">
        <v>1229</v>
      </c>
      <c r="H382" s="6">
        <v>1</v>
      </c>
      <c r="I382" s="7">
        <v>0</v>
      </c>
      <c r="J382" s="5">
        <v>45991</v>
      </c>
      <c r="K382" s="1" t="s">
        <v>22</v>
      </c>
      <c r="L382" s="1" t="s">
        <v>22</v>
      </c>
      <c r="M382" s="8">
        <v>0</v>
      </c>
      <c r="N382" s="6"/>
      <c r="O382" s="6"/>
      <c r="P382" s="9">
        <v>-12.99</v>
      </c>
    </row>
    <row r="383" spans="1:16" ht="19.5" customHeight="1">
      <c r="A383" s="1" t="s">
        <v>1420</v>
      </c>
      <c r="B383" s="5">
        <v>45991</v>
      </c>
      <c r="C383" s="1" t="s">
        <v>17</v>
      </c>
      <c r="D383" s="1" t="s">
        <v>18</v>
      </c>
      <c r="E383" s="1" t="s">
        <v>223</v>
      </c>
      <c r="F383" s="1" t="s">
        <v>395</v>
      </c>
      <c r="G383" s="1" t="s">
        <v>1229</v>
      </c>
      <c r="H383" s="6">
        <v>1</v>
      </c>
      <c r="I383" s="7">
        <v>0</v>
      </c>
      <c r="J383" s="5">
        <v>45988</v>
      </c>
      <c r="K383" s="1" t="s">
        <v>22</v>
      </c>
      <c r="L383" s="1" t="s">
        <v>22</v>
      </c>
      <c r="M383" s="8">
        <v>0</v>
      </c>
      <c r="N383" s="6"/>
      <c r="O383" s="6"/>
      <c r="P383" s="9">
        <v>-12.7</v>
      </c>
    </row>
    <row r="384" spans="1:16" ht="19.5" customHeight="1">
      <c r="A384" s="1" t="s">
        <v>1422</v>
      </c>
      <c r="B384" s="5">
        <v>45991</v>
      </c>
      <c r="C384" s="1" t="s">
        <v>17</v>
      </c>
      <c r="D384" s="1" t="s">
        <v>18</v>
      </c>
      <c r="E384" s="1" t="s">
        <v>1054</v>
      </c>
      <c r="F384" s="1" t="s">
        <v>1297</v>
      </c>
      <c r="G384" s="1" t="s">
        <v>1298</v>
      </c>
      <c r="H384" s="6">
        <v>1</v>
      </c>
      <c r="I384" s="7">
        <v>0</v>
      </c>
      <c r="J384" s="5">
        <v>45991</v>
      </c>
      <c r="K384" s="1" t="s">
        <v>22</v>
      </c>
      <c r="L384" s="1" t="s">
        <v>22</v>
      </c>
      <c r="M384" s="8">
        <v>0</v>
      </c>
      <c r="N384" s="6"/>
      <c r="O384" s="6"/>
      <c r="P384" s="9">
        <v>-16.41</v>
      </c>
    </row>
    <row r="385" spans="1:16" ht="19.5" customHeight="1">
      <c r="A385" s="1" t="s">
        <v>1423</v>
      </c>
      <c r="B385" s="5">
        <v>45991</v>
      </c>
      <c r="C385" s="1" t="s">
        <v>28</v>
      </c>
      <c r="D385" s="1" t="s">
        <v>29</v>
      </c>
      <c r="E385" s="1" t="s">
        <v>25</v>
      </c>
      <c r="F385" s="1" t="s">
        <v>26</v>
      </c>
      <c r="G385" s="1" t="s">
        <v>1229</v>
      </c>
      <c r="H385" s="6">
        <v>1</v>
      </c>
      <c r="I385" s="7">
        <v>1738</v>
      </c>
      <c r="J385" s="5">
        <v>45989</v>
      </c>
      <c r="K385" s="1" t="s">
        <v>957</v>
      </c>
      <c r="L385" s="1" t="s">
        <v>30</v>
      </c>
      <c r="M385" s="8">
        <v>0.43</v>
      </c>
      <c r="N385" s="6"/>
      <c r="O385" s="6">
        <v>44</v>
      </c>
      <c r="P385" s="9">
        <v>-129.72999999999999</v>
      </c>
    </row>
    <row r="386" spans="1:16" ht="19.5" customHeight="1">
      <c r="A386" s="1" t="s">
        <v>1423</v>
      </c>
      <c r="B386" s="5">
        <v>45991</v>
      </c>
      <c r="C386" s="1" t="s">
        <v>31</v>
      </c>
      <c r="D386" s="1" t="s">
        <v>32</v>
      </c>
      <c r="E386" s="1" t="s">
        <v>25</v>
      </c>
      <c r="F386" s="1" t="s">
        <v>26</v>
      </c>
      <c r="G386" s="1" t="s">
        <v>1229</v>
      </c>
      <c r="H386" s="6">
        <v>1</v>
      </c>
      <c r="I386" s="7">
        <v>1738</v>
      </c>
      <c r="J386" s="5">
        <v>45989</v>
      </c>
      <c r="K386" s="1" t="s">
        <v>957</v>
      </c>
      <c r="L386" s="1" t="s">
        <v>30</v>
      </c>
      <c r="M386" s="8">
        <v>0</v>
      </c>
      <c r="N386" s="6"/>
      <c r="O386" s="6"/>
      <c r="P386" s="9">
        <v>708</v>
      </c>
    </row>
    <row r="387" spans="1:16" ht="19.5" customHeight="1">
      <c r="A387" s="1" t="s">
        <v>1423</v>
      </c>
      <c r="B387" s="5">
        <v>45991</v>
      </c>
      <c r="C387" s="1" t="s">
        <v>31</v>
      </c>
      <c r="D387" s="1" t="s">
        <v>33</v>
      </c>
      <c r="E387" s="1" t="s">
        <v>25</v>
      </c>
      <c r="F387" s="1" t="s">
        <v>26</v>
      </c>
      <c r="G387" s="1" t="s">
        <v>1229</v>
      </c>
      <c r="H387" s="6">
        <v>1</v>
      </c>
      <c r="I387" s="7">
        <v>1738</v>
      </c>
      <c r="J387" s="5">
        <v>45989</v>
      </c>
      <c r="K387" s="1" t="s">
        <v>957</v>
      </c>
      <c r="L387" s="1" t="s">
        <v>30</v>
      </c>
      <c r="M387" s="8">
        <v>0</v>
      </c>
      <c r="N387" s="6"/>
      <c r="O387" s="6"/>
      <c r="P387" s="9">
        <v>7.08</v>
      </c>
    </row>
    <row r="388" spans="1:16" ht="19.5" customHeight="1">
      <c r="A388" s="1" t="s">
        <v>1423</v>
      </c>
      <c r="B388" s="5">
        <v>45991</v>
      </c>
      <c r="C388" s="1" t="s">
        <v>31</v>
      </c>
      <c r="D388" s="1" t="s">
        <v>34</v>
      </c>
      <c r="E388" s="1" t="s">
        <v>25</v>
      </c>
      <c r="F388" s="1" t="s">
        <v>26</v>
      </c>
      <c r="G388" s="1" t="s">
        <v>1229</v>
      </c>
      <c r="H388" s="6">
        <v>1</v>
      </c>
      <c r="I388" s="7">
        <v>1738</v>
      </c>
      <c r="J388" s="5">
        <v>45989</v>
      </c>
      <c r="K388" s="1" t="s">
        <v>957</v>
      </c>
      <c r="L388" s="1" t="s">
        <v>30</v>
      </c>
      <c r="M388" s="8">
        <v>0</v>
      </c>
      <c r="N388" s="6"/>
      <c r="O388" s="6"/>
      <c r="P388" s="9">
        <v>1022.92</v>
      </c>
    </row>
    <row r="389" spans="1:16" ht="19.5" customHeight="1">
      <c r="A389" s="1" t="s">
        <v>1423</v>
      </c>
      <c r="B389" s="5">
        <v>45991</v>
      </c>
      <c r="C389" s="1" t="s">
        <v>35</v>
      </c>
      <c r="D389" s="1" t="s">
        <v>36</v>
      </c>
      <c r="E389" s="1" t="s">
        <v>25</v>
      </c>
      <c r="F389" s="1" t="s">
        <v>26</v>
      </c>
      <c r="G389" s="1" t="s">
        <v>1229</v>
      </c>
      <c r="H389" s="6">
        <v>1</v>
      </c>
      <c r="I389" s="7">
        <v>1738</v>
      </c>
      <c r="J389" s="5">
        <v>45989</v>
      </c>
      <c r="K389" s="1" t="s">
        <v>957</v>
      </c>
      <c r="L389" s="1" t="s">
        <v>30</v>
      </c>
      <c r="M389" s="8">
        <v>0.43</v>
      </c>
      <c r="N389" s="6"/>
      <c r="O389" s="6"/>
      <c r="P389" s="9">
        <v>-747.34</v>
      </c>
    </row>
    <row r="390" spans="1:16" ht="19.5" customHeight="1">
      <c r="A390" s="1" t="s">
        <v>1424</v>
      </c>
      <c r="B390" s="5">
        <v>45991</v>
      </c>
      <c r="C390" s="1" t="s">
        <v>28</v>
      </c>
      <c r="D390" s="1" t="s">
        <v>29</v>
      </c>
      <c r="E390" s="1" t="s">
        <v>19</v>
      </c>
      <c r="F390" s="1" t="s">
        <v>20</v>
      </c>
      <c r="G390" s="1" t="s">
        <v>1229</v>
      </c>
      <c r="H390" s="6">
        <v>1</v>
      </c>
      <c r="I390" s="7">
        <v>1298</v>
      </c>
      <c r="J390" s="5">
        <v>45989</v>
      </c>
      <c r="K390" s="1" t="s">
        <v>957</v>
      </c>
      <c r="L390" s="1" t="s">
        <v>30</v>
      </c>
      <c r="M390" s="8">
        <v>0.43</v>
      </c>
      <c r="N390" s="6"/>
      <c r="O390" s="6">
        <v>44</v>
      </c>
      <c r="P390" s="9">
        <v>-115.87</v>
      </c>
    </row>
    <row r="391" spans="1:16" ht="19.5" customHeight="1">
      <c r="A391" s="1" t="s">
        <v>1424</v>
      </c>
      <c r="B391" s="5">
        <v>45991</v>
      </c>
      <c r="C391" s="1" t="s">
        <v>31</v>
      </c>
      <c r="D391" s="1" t="s">
        <v>32</v>
      </c>
      <c r="E391" s="1" t="s">
        <v>19</v>
      </c>
      <c r="F391" s="1" t="s">
        <v>20</v>
      </c>
      <c r="G391" s="1" t="s">
        <v>1229</v>
      </c>
      <c r="H391" s="6">
        <v>1</v>
      </c>
      <c r="I391" s="7">
        <v>1298</v>
      </c>
      <c r="J391" s="5">
        <v>45989</v>
      </c>
      <c r="K391" s="1" t="s">
        <v>957</v>
      </c>
      <c r="L391" s="1" t="s">
        <v>30</v>
      </c>
      <c r="M391" s="8">
        <v>0</v>
      </c>
      <c r="N391" s="6"/>
      <c r="O391" s="6"/>
      <c r="P391" s="9">
        <v>715.24</v>
      </c>
    </row>
    <row r="392" spans="1:16" ht="19.5" customHeight="1">
      <c r="A392" s="1" t="s">
        <v>1424</v>
      </c>
      <c r="B392" s="5">
        <v>45991</v>
      </c>
      <c r="C392" s="1" t="s">
        <v>31</v>
      </c>
      <c r="D392" s="1" t="s">
        <v>33</v>
      </c>
      <c r="E392" s="1" t="s">
        <v>19</v>
      </c>
      <c r="F392" s="1" t="s">
        <v>20</v>
      </c>
      <c r="G392" s="1" t="s">
        <v>1229</v>
      </c>
      <c r="H392" s="6">
        <v>1</v>
      </c>
      <c r="I392" s="7">
        <v>1298</v>
      </c>
      <c r="J392" s="5">
        <v>45989</v>
      </c>
      <c r="K392" s="1" t="s">
        <v>957</v>
      </c>
      <c r="L392" s="1" t="s">
        <v>30</v>
      </c>
      <c r="M392" s="8">
        <v>0</v>
      </c>
      <c r="N392" s="6"/>
      <c r="O392" s="6"/>
      <c r="P392" s="9">
        <v>7.15</v>
      </c>
    </row>
    <row r="393" spans="1:16" ht="19.5" customHeight="1">
      <c r="A393" s="1" t="s">
        <v>1424</v>
      </c>
      <c r="B393" s="5">
        <v>45991</v>
      </c>
      <c r="C393" s="1" t="s">
        <v>31</v>
      </c>
      <c r="D393" s="1" t="s">
        <v>34</v>
      </c>
      <c r="E393" s="1" t="s">
        <v>19</v>
      </c>
      <c r="F393" s="1" t="s">
        <v>20</v>
      </c>
      <c r="G393" s="1" t="s">
        <v>1229</v>
      </c>
      <c r="H393" s="6">
        <v>1</v>
      </c>
      <c r="I393" s="7">
        <v>1298</v>
      </c>
      <c r="J393" s="5">
        <v>45989</v>
      </c>
      <c r="K393" s="1" t="s">
        <v>957</v>
      </c>
      <c r="L393" s="1" t="s">
        <v>30</v>
      </c>
      <c r="M393" s="8">
        <v>0</v>
      </c>
      <c r="N393" s="6"/>
      <c r="O393" s="6"/>
      <c r="P393" s="9">
        <v>575.61</v>
      </c>
    </row>
    <row r="394" spans="1:16" ht="19.5" customHeight="1">
      <c r="A394" s="1" t="s">
        <v>1424</v>
      </c>
      <c r="B394" s="5">
        <v>45991</v>
      </c>
      <c r="C394" s="1" t="s">
        <v>35</v>
      </c>
      <c r="D394" s="1" t="s">
        <v>36</v>
      </c>
      <c r="E394" s="1" t="s">
        <v>19</v>
      </c>
      <c r="F394" s="1" t="s">
        <v>20</v>
      </c>
      <c r="G394" s="1" t="s">
        <v>1229</v>
      </c>
      <c r="H394" s="6">
        <v>1</v>
      </c>
      <c r="I394" s="7">
        <v>1298</v>
      </c>
      <c r="J394" s="5">
        <v>45989</v>
      </c>
      <c r="K394" s="1" t="s">
        <v>957</v>
      </c>
      <c r="L394" s="1" t="s">
        <v>30</v>
      </c>
      <c r="M394" s="8">
        <v>0.43</v>
      </c>
      <c r="N394" s="6"/>
      <c r="O394" s="6"/>
      <c r="P394" s="9">
        <v>-558.14</v>
      </c>
    </row>
    <row r="395" spans="1:16" ht="19.5" customHeight="1">
      <c r="A395" s="1" t="s">
        <v>1424</v>
      </c>
      <c r="B395" s="5">
        <v>45991</v>
      </c>
      <c r="C395" s="1" t="s">
        <v>17</v>
      </c>
      <c r="D395" s="1" t="s">
        <v>37</v>
      </c>
      <c r="E395" s="1" t="s">
        <v>19</v>
      </c>
      <c r="F395" s="1" t="s">
        <v>20</v>
      </c>
      <c r="G395" s="1" t="s">
        <v>1229</v>
      </c>
      <c r="H395" s="6">
        <v>1</v>
      </c>
      <c r="I395" s="7">
        <v>1298</v>
      </c>
      <c r="J395" s="5">
        <v>45989</v>
      </c>
      <c r="K395" s="1" t="s">
        <v>957</v>
      </c>
      <c r="L395" s="1" t="s">
        <v>30</v>
      </c>
      <c r="M395" s="8">
        <v>0.43</v>
      </c>
      <c r="N395" s="6"/>
      <c r="O395" s="6"/>
      <c r="P395" s="9">
        <v>-7.62</v>
      </c>
    </row>
    <row r="396" spans="1:16" ht="19.5" customHeight="1">
      <c r="A396" s="1" t="s">
        <v>1425</v>
      </c>
      <c r="B396" s="5">
        <v>45991</v>
      </c>
      <c r="C396" s="1" t="s">
        <v>28</v>
      </c>
      <c r="D396" s="1" t="s">
        <v>29</v>
      </c>
      <c r="E396" s="1" t="s">
        <v>235</v>
      </c>
      <c r="F396" s="1" t="s">
        <v>528</v>
      </c>
      <c r="G396" s="1" t="s">
        <v>1133</v>
      </c>
      <c r="H396" s="6">
        <v>1</v>
      </c>
      <c r="I396" s="7">
        <v>0</v>
      </c>
      <c r="J396" s="5">
        <v>45976</v>
      </c>
      <c r="K396" s="1" t="s">
        <v>957</v>
      </c>
      <c r="L396" s="1" t="s">
        <v>30</v>
      </c>
      <c r="M396" s="8">
        <v>0</v>
      </c>
      <c r="N396" s="6"/>
      <c r="O396" s="6">
        <v>43</v>
      </c>
      <c r="P396" s="9">
        <v>-56</v>
      </c>
    </row>
    <row r="397" spans="1:16" ht="19.5" customHeight="1">
      <c r="A397" s="1" t="s">
        <v>1425</v>
      </c>
      <c r="B397" s="5">
        <v>45991</v>
      </c>
      <c r="C397" s="1" t="s">
        <v>17</v>
      </c>
      <c r="D397" s="1" t="s">
        <v>37</v>
      </c>
      <c r="E397" s="1" t="s">
        <v>235</v>
      </c>
      <c r="F397" s="1" t="s">
        <v>528</v>
      </c>
      <c r="G397" s="1" t="s">
        <v>1133</v>
      </c>
      <c r="H397" s="6">
        <v>1</v>
      </c>
      <c r="I397" s="7">
        <v>0</v>
      </c>
      <c r="J397" s="5">
        <v>45976</v>
      </c>
      <c r="K397" s="1" t="s">
        <v>957</v>
      </c>
      <c r="L397" s="1" t="s">
        <v>30</v>
      </c>
      <c r="M397" s="8">
        <v>0</v>
      </c>
      <c r="N397" s="6"/>
      <c r="O397" s="6"/>
      <c r="P397" s="9">
        <v>-12.76</v>
      </c>
    </row>
    <row r="398" spans="1:16" ht="19.5" customHeight="1">
      <c r="A398" s="1" t="s">
        <v>1425</v>
      </c>
      <c r="B398" s="5">
        <v>45991</v>
      </c>
      <c r="C398" s="1" t="s">
        <v>28</v>
      </c>
      <c r="D398" s="1" t="s">
        <v>45</v>
      </c>
      <c r="E398" s="1" t="s">
        <v>235</v>
      </c>
      <c r="F398" s="1" t="s">
        <v>528</v>
      </c>
      <c r="G398" s="1" t="s">
        <v>1133</v>
      </c>
      <c r="H398" s="6">
        <v>1</v>
      </c>
      <c r="I398" s="7">
        <v>0</v>
      </c>
      <c r="J398" s="5">
        <v>45976</v>
      </c>
      <c r="K398" s="1" t="s">
        <v>957</v>
      </c>
      <c r="L398" s="1" t="s">
        <v>30</v>
      </c>
      <c r="M398" s="8">
        <v>0</v>
      </c>
      <c r="N398" s="6"/>
      <c r="O398" s="6"/>
      <c r="P398" s="9">
        <v>0</v>
      </c>
    </row>
    <row r="399" spans="1:16" ht="19.5" customHeight="1">
      <c r="A399" s="1" t="s">
        <v>1425</v>
      </c>
      <c r="B399" s="5">
        <v>45991</v>
      </c>
      <c r="C399" s="1" t="s">
        <v>28</v>
      </c>
      <c r="D399" s="1" t="s">
        <v>46</v>
      </c>
      <c r="E399" s="1" t="s">
        <v>235</v>
      </c>
      <c r="F399" s="1" t="s">
        <v>528</v>
      </c>
      <c r="G399" s="1" t="s">
        <v>1133</v>
      </c>
      <c r="H399" s="6">
        <v>1</v>
      </c>
      <c r="I399" s="7">
        <v>0</v>
      </c>
      <c r="J399" s="5">
        <v>45976</v>
      </c>
      <c r="K399" s="1" t="s">
        <v>957</v>
      </c>
      <c r="L399" s="1" t="s">
        <v>30</v>
      </c>
      <c r="M399" s="8">
        <v>0</v>
      </c>
      <c r="N399" s="6"/>
      <c r="O399" s="6"/>
      <c r="P399" s="9">
        <v>-56</v>
      </c>
    </row>
    <row r="400" spans="1:16" ht="19.5" customHeight="1">
      <c r="A400" s="1" t="s">
        <v>1425</v>
      </c>
      <c r="B400" s="5">
        <v>45991</v>
      </c>
      <c r="C400" s="1" t="s">
        <v>17</v>
      </c>
      <c r="D400" s="1" t="s">
        <v>47</v>
      </c>
      <c r="E400" s="1" t="s">
        <v>235</v>
      </c>
      <c r="F400" s="1" t="s">
        <v>528</v>
      </c>
      <c r="G400" s="1" t="s">
        <v>1133</v>
      </c>
      <c r="H400" s="6">
        <v>1</v>
      </c>
      <c r="I400" s="7">
        <v>0</v>
      </c>
      <c r="J400" s="5">
        <v>45976</v>
      </c>
      <c r="K400" s="1" t="s">
        <v>957</v>
      </c>
      <c r="L400" s="1" t="s">
        <v>30</v>
      </c>
      <c r="M400" s="8">
        <v>0</v>
      </c>
      <c r="N400" s="6"/>
      <c r="O400" s="6"/>
      <c r="P400" s="9">
        <v>-15</v>
      </c>
    </row>
    <row r="401" spans="1:16" ht="19.5" customHeight="1">
      <c r="A401" s="1" t="s">
        <v>1426</v>
      </c>
      <c r="B401" s="5">
        <v>45991</v>
      </c>
      <c r="C401" s="1" t="s">
        <v>17</v>
      </c>
      <c r="D401" s="1" t="s">
        <v>18</v>
      </c>
      <c r="E401" s="1" t="s">
        <v>54</v>
      </c>
      <c r="F401" s="1" t="s">
        <v>55</v>
      </c>
      <c r="G401" s="1" t="s">
        <v>1229</v>
      </c>
      <c r="H401" s="6">
        <v>1</v>
      </c>
      <c r="I401" s="7">
        <v>0</v>
      </c>
      <c r="J401" s="5">
        <v>45991</v>
      </c>
      <c r="K401" s="1" t="s">
        <v>22</v>
      </c>
      <c r="L401" s="1" t="s">
        <v>22</v>
      </c>
      <c r="M401" s="8">
        <v>0</v>
      </c>
      <c r="N401" s="6"/>
      <c r="O401" s="6"/>
      <c r="P401" s="9">
        <v>-6.3</v>
      </c>
    </row>
    <row r="402" spans="1:16" ht="19.5" customHeight="1">
      <c r="A402" s="1" t="s">
        <v>1427</v>
      </c>
      <c r="B402" s="5">
        <v>45991</v>
      </c>
      <c r="C402" s="1" t="s">
        <v>28</v>
      </c>
      <c r="D402" s="1" t="s">
        <v>29</v>
      </c>
      <c r="E402" s="1" t="s">
        <v>25</v>
      </c>
      <c r="F402" s="1" t="s">
        <v>26</v>
      </c>
      <c r="G402" s="1" t="s">
        <v>1229</v>
      </c>
      <c r="H402" s="6">
        <v>1</v>
      </c>
      <c r="I402" s="7">
        <v>1738</v>
      </c>
      <c r="J402" s="5">
        <v>45990</v>
      </c>
      <c r="K402" s="1" t="s">
        <v>957</v>
      </c>
      <c r="L402" s="1" t="s">
        <v>30</v>
      </c>
      <c r="M402" s="8">
        <v>0.43</v>
      </c>
      <c r="N402" s="6"/>
      <c r="O402" s="6">
        <v>47</v>
      </c>
      <c r="P402" s="9">
        <v>-140.36000000000001</v>
      </c>
    </row>
    <row r="403" spans="1:16" ht="19.5" customHeight="1">
      <c r="A403" s="1" t="s">
        <v>1427</v>
      </c>
      <c r="B403" s="5">
        <v>45991</v>
      </c>
      <c r="C403" s="1" t="s">
        <v>31</v>
      </c>
      <c r="D403" s="1" t="s">
        <v>32</v>
      </c>
      <c r="E403" s="1" t="s">
        <v>25</v>
      </c>
      <c r="F403" s="1" t="s">
        <v>26</v>
      </c>
      <c r="G403" s="1" t="s">
        <v>1229</v>
      </c>
      <c r="H403" s="6">
        <v>1</v>
      </c>
      <c r="I403" s="7">
        <v>1738</v>
      </c>
      <c r="J403" s="5">
        <v>45990</v>
      </c>
      <c r="K403" s="1" t="s">
        <v>957</v>
      </c>
      <c r="L403" s="1" t="s">
        <v>30</v>
      </c>
      <c r="M403" s="8">
        <v>0</v>
      </c>
      <c r="N403" s="6"/>
      <c r="O403" s="6"/>
      <c r="P403" s="9">
        <v>822.68</v>
      </c>
    </row>
    <row r="404" spans="1:16" ht="19.5" customHeight="1">
      <c r="A404" s="1" t="s">
        <v>1427</v>
      </c>
      <c r="B404" s="5">
        <v>45991</v>
      </c>
      <c r="C404" s="1" t="s">
        <v>31</v>
      </c>
      <c r="D404" s="1" t="s">
        <v>33</v>
      </c>
      <c r="E404" s="1" t="s">
        <v>25</v>
      </c>
      <c r="F404" s="1" t="s">
        <v>26</v>
      </c>
      <c r="G404" s="1" t="s">
        <v>1229</v>
      </c>
      <c r="H404" s="6">
        <v>1</v>
      </c>
      <c r="I404" s="7">
        <v>1738</v>
      </c>
      <c r="J404" s="5">
        <v>45990</v>
      </c>
      <c r="K404" s="1" t="s">
        <v>957</v>
      </c>
      <c r="L404" s="1" t="s">
        <v>30</v>
      </c>
      <c r="M404" s="8">
        <v>0</v>
      </c>
      <c r="N404" s="6"/>
      <c r="O404" s="6"/>
      <c r="P404" s="9">
        <v>0</v>
      </c>
    </row>
    <row r="405" spans="1:16" ht="19.5" customHeight="1">
      <c r="A405" s="1" t="s">
        <v>1427</v>
      </c>
      <c r="B405" s="5">
        <v>45991</v>
      </c>
      <c r="C405" s="1" t="s">
        <v>31</v>
      </c>
      <c r="D405" s="1" t="s">
        <v>34</v>
      </c>
      <c r="E405" s="1" t="s">
        <v>25</v>
      </c>
      <c r="F405" s="1" t="s">
        <v>26</v>
      </c>
      <c r="G405" s="1" t="s">
        <v>1229</v>
      </c>
      <c r="H405" s="6">
        <v>1</v>
      </c>
      <c r="I405" s="7">
        <v>1738</v>
      </c>
      <c r="J405" s="5">
        <v>45990</v>
      </c>
      <c r="K405" s="1" t="s">
        <v>957</v>
      </c>
      <c r="L405" s="1" t="s">
        <v>30</v>
      </c>
      <c r="M405" s="8">
        <v>0</v>
      </c>
      <c r="N405" s="6"/>
      <c r="O405" s="6"/>
      <c r="P405" s="9">
        <v>915.32</v>
      </c>
    </row>
    <row r="406" spans="1:16" ht="19.5" customHeight="1">
      <c r="A406" s="1" t="s">
        <v>1427</v>
      </c>
      <c r="B406" s="5">
        <v>45991</v>
      </c>
      <c r="C406" s="1" t="s">
        <v>35</v>
      </c>
      <c r="D406" s="1" t="s">
        <v>36</v>
      </c>
      <c r="E406" s="1" t="s">
        <v>25</v>
      </c>
      <c r="F406" s="1" t="s">
        <v>26</v>
      </c>
      <c r="G406" s="1" t="s">
        <v>1229</v>
      </c>
      <c r="H406" s="6">
        <v>1</v>
      </c>
      <c r="I406" s="7">
        <v>1738</v>
      </c>
      <c r="J406" s="5">
        <v>45990</v>
      </c>
      <c r="K406" s="1" t="s">
        <v>957</v>
      </c>
      <c r="L406" s="1" t="s">
        <v>30</v>
      </c>
      <c r="M406" s="8">
        <v>0.43</v>
      </c>
      <c r="N406" s="6"/>
      <c r="O406" s="6"/>
      <c r="P406" s="9">
        <v>-747.34</v>
      </c>
    </row>
    <row r="407" spans="1:16" ht="19.5" customHeight="1">
      <c r="A407" s="1" t="s">
        <v>1427</v>
      </c>
      <c r="B407" s="5">
        <v>45991</v>
      </c>
      <c r="C407" s="1" t="s">
        <v>17</v>
      </c>
      <c r="D407" s="1" t="s">
        <v>37</v>
      </c>
      <c r="E407" s="1" t="s">
        <v>25</v>
      </c>
      <c r="F407" s="1" t="s">
        <v>26</v>
      </c>
      <c r="G407" s="1" t="s">
        <v>1229</v>
      </c>
      <c r="H407" s="6">
        <v>1</v>
      </c>
      <c r="I407" s="7">
        <v>1738</v>
      </c>
      <c r="J407" s="5">
        <v>45990</v>
      </c>
      <c r="K407" s="1" t="s">
        <v>957</v>
      </c>
      <c r="L407" s="1" t="s">
        <v>30</v>
      </c>
      <c r="M407" s="8">
        <v>0.43</v>
      </c>
      <c r="N407" s="6"/>
      <c r="O407" s="6"/>
      <c r="P407" s="9">
        <v>-11.64</v>
      </c>
    </row>
    <row r="408" spans="1:16" ht="19.5" customHeight="1">
      <c r="A408" s="1" t="s">
        <v>1386</v>
      </c>
      <c r="B408" s="5">
        <v>45991</v>
      </c>
      <c r="C408" s="1" t="s">
        <v>28</v>
      </c>
      <c r="D408" s="1" t="s">
        <v>60</v>
      </c>
      <c r="E408" s="1" t="s">
        <v>226</v>
      </c>
      <c r="F408" s="1" t="s">
        <v>428</v>
      </c>
      <c r="G408" s="1" t="s">
        <v>1229</v>
      </c>
      <c r="H408" s="6">
        <v>1</v>
      </c>
      <c r="I408" s="7">
        <v>0</v>
      </c>
      <c r="J408" s="5">
        <v>45987</v>
      </c>
      <c r="K408" s="1" t="s">
        <v>957</v>
      </c>
      <c r="L408" s="1" t="s">
        <v>30</v>
      </c>
      <c r="M408" s="8">
        <v>0</v>
      </c>
      <c r="N408" s="6"/>
      <c r="O408" s="6"/>
      <c r="P408" s="9">
        <v>0</v>
      </c>
    </row>
    <row r="409" spans="1:16" ht="19.5" customHeight="1">
      <c r="A409" s="1" t="s">
        <v>1386</v>
      </c>
      <c r="B409" s="5">
        <v>45991</v>
      </c>
      <c r="C409" s="1" t="s">
        <v>28</v>
      </c>
      <c r="D409" s="1" t="s">
        <v>46</v>
      </c>
      <c r="E409" s="1" t="s">
        <v>226</v>
      </c>
      <c r="F409" s="1" t="s">
        <v>428</v>
      </c>
      <c r="G409" s="1" t="s">
        <v>1229</v>
      </c>
      <c r="H409" s="6">
        <v>1</v>
      </c>
      <c r="I409" s="7">
        <v>0</v>
      </c>
      <c r="J409" s="5">
        <v>45987</v>
      </c>
      <c r="K409" s="1" t="s">
        <v>957</v>
      </c>
      <c r="L409" s="1" t="s">
        <v>30</v>
      </c>
      <c r="M409" s="8">
        <v>0</v>
      </c>
      <c r="N409" s="6"/>
      <c r="O409" s="6"/>
      <c r="P409" s="9">
        <v>-46</v>
      </c>
    </row>
    <row r="410" spans="1:16" ht="19.5" customHeight="1">
      <c r="A410" s="1" t="s">
        <v>1386</v>
      </c>
      <c r="B410" s="5">
        <v>45991</v>
      </c>
      <c r="C410" s="1" t="s">
        <v>17</v>
      </c>
      <c r="D410" s="1" t="s">
        <v>47</v>
      </c>
      <c r="E410" s="1" t="s">
        <v>226</v>
      </c>
      <c r="F410" s="1" t="s">
        <v>428</v>
      </c>
      <c r="G410" s="1" t="s">
        <v>1229</v>
      </c>
      <c r="H410" s="6">
        <v>1</v>
      </c>
      <c r="I410" s="7">
        <v>0</v>
      </c>
      <c r="J410" s="5">
        <v>45987</v>
      </c>
      <c r="K410" s="1" t="s">
        <v>957</v>
      </c>
      <c r="L410" s="1" t="s">
        <v>30</v>
      </c>
      <c r="M410" s="8">
        <v>0</v>
      </c>
      <c r="N410" s="6"/>
      <c r="O410" s="6"/>
      <c r="P410" s="9">
        <v>-15</v>
      </c>
    </row>
    <row r="411" spans="1:16" ht="19.5" customHeight="1">
      <c r="A411" s="1" t="s">
        <v>1428</v>
      </c>
      <c r="B411" s="5">
        <v>45991</v>
      </c>
      <c r="C411" s="1" t="s">
        <v>28</v>
      </c>
      <c r="D411" s="1" t="s">
        <v>29</v>
      </c>
      <c r="E411" s="1" t="s">
        <v>25</v>
      </c>
      <c r="F411" s="1" t="s">
        <v>26</v>
      </c>
      <c r="G411" s="1" t="s">
        <v>1229</v>
      </c>
      <c r="H411" s="6">
        <v>1</v>
      </c>
      <c r="I411" s="7">
        <v>1117</v>
      </c>
      <c r="J411" s="5">
        <v>45980</v>
      </c>
      <c r="K411" s="1" t="s">
        <v>957</v>
      </c>
      <c r="L411" s="1" t="s">
        <v>30</v>
      </c>
      <c r="M411" s="8">
        <v>0.43</v>
      </c>
      <c r="N411" s="6"/>
      <c r="O411" s="6">
        <v>45</v>
      </c>
      <c r="P411" s="9">
        <v>-113.22</v>
      </c>
    </row>
    <row r="412" spans="1:16" ht="19.5" customHeight="1">
      <c r="A412" s="1" t="s">
        <v>1428</v>
      </c>
      <c r="B412" s="5">
        <v>45991</v>
      </c>
      <c r="C412" s="1" t="s">
        <v>31</v>
      </c>
      <c r="D412" s="1" t="s">
        <v>32</v>
      </c>
      <c r="E412" s="1" t="s">
        <v>25</v>
      </c>
      <c r="F412" s="1" t="s">
        <v>26</v>
      </c>
      <c r="G412" s="1" t="s">
        <v>1229</v>
      </c>
      <c r="H412" s="6">
        <v>1</v>
      </c>
      <c r="I412" s="7">
        <v>1117</v>
      </c>
      <c r="J412" s="5">
        <v>45980</v>
      </c>
      <c r="K412" s="1" t="s">
        <v>957</v>
      </c>
      <c r="L412" s="1" t="s">
        <v>30</v>
      </c>
      <c r="M412" s="8">
        <v>0</v>
      </c>
      <c r="N412" s="6"/>
      <c r="O412" s="6"/>
      <c r="P412" s="9">
        <v>409.13</v>
      </c>
    </row>
    <row r="413" spans="1:16" ht="19.5" customHeight="1">
      <c r="A413" s="1" t="s">
        <v>1428</v>
      </c>
      <c r="B413" s="5">
        <v>45991</v>
      </c>
      <c r="C413" s="1" t="s">
        <v>31</v>
      </c>
      <c r="D413" s="1" t="s">
        <v>33</v>
      </c>
      <c r="E413" s="1" t="s">
        <v>25</v>
      </c>
      <c r="F413" s="1" t="s">
        <v>26</v>
      </c>
      <c r="G413" s="1" t="s">
        <v>1229</v>
      </c>
      <c r="H413" s="6">
        <v>1</v>
      </c>
      <c r="I413" s="7">
        <v>1117</v>
      </c>
      <c r="J413" s="5">
        <v>45980</v>
      </c>
      <c r="K413" s="1" t="s">
        <v>957</v>
      </c>
      <c r="L413" s="1" t="s">
        <v>30</v>
      </c>
      <c r="M413" s="8">
        <v>0</v>
      </c>
      <c r="N413" s="6"/>
      <c r="O413" s="6"/>
      <c r="P413" s="9">
        <v>4.09</v>
      </c>
    </row>
    <row r="414" spans="1:16" ht="19.5" customHeight="1">
      <c r="A414" s="1" t="s">
        <v>1428</v>
      </c>
      <c r="B414" s="5">
        <v>45991</v>
      </c>
      <c r="C414" s="1" t="s">
        <v>31</v>
      </c>
      <c r="D414" s="1" t="s">
        <v>34</v>
      </c>
      <c r="E414" s="1" t="s">
        <v>25</v>
      </c>
      <c r="F414" s="1" t="s">
        <v>26</v>
      </c>
      <c r="G414" s="1" t="s">
        <v>1229</v>
      </c>
      <c r="H414" s="6">
        <v>1</v>
      </c>
      <c r="I414" s="7">
        <v>1117</v>
      </c>
      <c r="J414" s="5">
        <v>45980</v>
      </c>
      <c r="K414" s="1" t="s">
        <v>957</v>
      </c>
      <c r="L414" s="1" t="s">
        <v>30</v>
      </c>
      <c r="M414" s="8">
        <v>0</v>
      </c>
      <c r="N414" s="6"/>
      <c r="O414" s="6"/>
      <c r="P414" s="9">
        <v>703.78</v>
      </c>
    </row>
    <row r="415" spans="1:16" ht="19.5" customHeight="1">
      <c r="A415" s="1" t="s">
        <v>1428</v>
      </c>
      <c r="B415" s="5">
        <v>45991</v>
      </c>
      <c r="C415" s="1" t="s">
        <v>35</v>
      </c>
      <c r="D415" s="1" t="s">
        <v>36</v>
      </c>
      <c r="E415" s="1" t="s">
        <v>25</v>
      </c>
      <c r="F415" s="1" t="s">
        <v>26</v>
      </c>
      <c r="G415" s="1" t="s">
        <v>1229</v>
      </c>
      <c r="H415" s="6">
        <v>1</v>
      </c>
      <c r="I415" s="7">
        <v>1117</v>
      </c>
      <c r="J415" s="5">
        <v>45980</v>
      </c>
      <c r="K415" s="1" t="s">
        <v>957</v>
      </c>
      <c r="L415" s="1" t="s">
        <v>30</v>
      </c>
      <c r="M415" s="8">
        <v>0.43</v>
      </c>
      <c r="N415" s="6"/>
      <c r="O415" s="6"/>
      <c r="P415" s="9">
        <v>-480.31</v>
      </c>
    </row>
    <row r="416" spans="1:16" ht="19.5" customHeight="1">
      <c r="A416" s="1" t="s">
        <v>1428</v>
      </c>
      <c r="B416" s="5">
        <v>45991</v>
      </c>
      <c r="C416" s="1" t="s">
        <v>17</v>
      </c>
      <c r="D416" s="1" t="s">
        <v>37</v>
      </c>
      <c r="E416" s="1" t="s">
        <v>25</v>
      </c>
      <c r="F416" s="1" t="s">
        <v>26</v>
      </c>
      <c r="G416" s="1" t="s">
        <v>1229</v>
      </c>
      <c r="H416" s="6">
        <v>1</v>
      </c>
      <c r="I416" s="7">
        <v>1117</v>
      </c>
      <c r="J416" s="5">
        <v>45980</v>
      </c>
      <c r="K416" s="1" t="s">
        <v>957</v>
      </c>
      <c r="L416" s="1" t="s">
        <v>30</v>
      </c>
      <c r="M416" s="8">
        <v>0.43</v>
      </c>
      <c r="N416" s="6"/>
      <c r="O416" s="6"/>
      <c r="P416" s="9">
        <v>-5.73</v>
      </c>
    </row>
    <row r="417" spans="1:16" ht="19.5" customHeight="1">
      <c r="A417" s="1" t="s">
        <v>1428</v>
      </c>
      <c r="B417" s="5">
        <v>45991</v>
      </c>
      <c r="C417" s="1" t="s">
        <v>17</v>
      </c>
      <c r="D417" s="1" t="s">
        <v>18</v>
      </c>
      <c r="E417" s="1" t="s">
        <v>25</v>
      </c>
      <c r="F417" s="1" t="s">
        <v>26</v>
      </c>
      <c r="G417" s="1" t="s">
        <v>1229</v>
      </c>
      <c r="H417" s="6">
        <v>1</v>
      </c>
      <c r="I417" s="7">
        <v>0</v>
      </c>
      <c r="J417" s="5">
        <v>45980</v>
      </c>
      <c r="K417" s="1" t="s">
        <v>22</v>
      </c>
      <c r="L417" s="1" t="s">
        <v>22</v>
      </c>
      <c r="M417" s="8">
        <v>0</v>
      </c>
      <c r="N417" s="6"/>
      <c r="O417" s="6"/>
      <c r="P417" s="9">
        <v>-7.77</v>
      </c>
    </row>
    <row r="418" spans="1:16" ht="19.5" customHeight="1">
      <c r="A418" s="1" t="s">
        <v>1399</v>
      </c>
      <c r="B418" s="5">
        <v>45991</v>
      </c>
      <c r="C418" s="1" t="s">
        <v>28</v>
      </c>
      <c r="D418" s="1" t="s">
        <v>60</v>
      </c>
      <c r="E418" s="1" t="s">
        <v>235</v>
      </c>
      <c r="F418" s="1" t="s">
        <v>528</v>
      </c>
      <c r="G418" s="1" t="s">
        <v>1133</v>
      </c>
      <c r="H418" s="6">
        <v>1</v>
      </c>
      <c r="I418" s="7">
        <v>0</v>
      </c>
      <c r="J418" s="5">
        <v>45974</v>
      </c>
      <c r="K418" s="1" t="s">
        <v>957</v>
      </c>
      <c r="L418" s="1" t="s">
        <v>30</v>
      </c>
      <c r="M418" s="8">
        <v>0</v>
      </c>
      <c r="N418" s="6"/>
      <c r="O418" s="6"/>
      <c r="P418" s="9">
        <v>0</v>
      </c>
    </row>
    <row r="419" spans="1:16" ht="19.5" customHeight="1">
      <c r="A419" s="1" t="s">
        <v>1399</v>
      </c>
      <c r="B419" s="5">
        <v>45991</v>
      </c>
      <c r="C419" s="1" t="s">
        <v>28</v>
      </c>
      <c r="D419" s="1" t="s">
        <v>46</v>
      </c>
      <c r="E419" s="1" t="s">
        <v>235</v>
      </c>
      <c r="F419" s="1" t="s">
        <v>528</v>
      </c>
      <c r="G419" s="1" t="s">
        <v>1133</v>
      </c>
      <c r="H419" s="6">
        <v>1</v>
      </c>
      <c r="I419" s="7">
        <v>0</v>
      </c>
      <c r="J419" s="5">
        <v>45974</v>
      </c>
      <c r="K419" s="1" t="s">
        <v>957</v>
      </c>
      <c r="L419" s="1" t="s">
        <v>30</v>
      </c>
      <c r="M419" s="8">
        <v>0</v>
      </c>
      <c r="N419" s="6"/>
      <c r="O419" s="6"/>
      <c r="P419" s="9">
        <v>-56</v>
      </c>
    </row>
    <row r="420" spans="1:16" ht="19.5" customHeight="1">
      <c r="A420" s="1" t="s">
        <v>1399</v>
      </c>
      <c r="B420" s="5">
        <v>45991</v>
      </c>
      <c r="C420" s="1" t="s">
        <v>17</v>
      </c>
      <c r="D420" s="1" t="s">
        <v>47</v>
      </c>
      <c r="E420" s="1" t="s">
        <v>235</v>
      </c>
      <c r="F420" s="1" t="s">
        <v>528</v>
      </c>
      <c r="G420" s="1" t="s">
        <v>1133</v>
      </c>
      <c r="H420" s="6">
        <v>1</v>
      </c>
      <c r="I420" s="7">
        <v>0</v>
      </c>
      <c r="J420" s="5">
        <v>45974</v>
      </c>
      <c r="K420" s="1" t="s">
        <v>957</v>
      </c>
      <c r="L420" s="1" t="s">
        <v>30</v>
      </c>
      <c r="M420" s="8">
        <v>0</v>
      </c>
      <c r="N420" s="6"/>
      <c r="O420" s="6"/>
      <c r="P420" s="9">
        <v>-15</v>
      </c>
    </row>
    <row r="421" spans="1:16" ht="19.5" customHeight="1">
      <c r="A421" s="1" t="s">
        <v>22</v>
      </c>
      <c r="B421" s="5">
        <v>45991</v>
      </c>
      <c r="C421" s="1" t="s">
        <v>77</v>
      </c>
      <c r="D421" s="1" t="s">
        <v>78</v>
      </c>
      <c r="E421" s="1" t="s">
        <v>22</v>
      </c>
      <c r="F421" s="1" t="s">
        <v>22</v>
      </c>
      <c r="G421" s="1" t="s">
        <v>1429</v>
      </c>
      <c r="H421" s="6">
        <v>0</v>
      </c>
      <c r="I421" s="7">
        <v>0</v>
      </c>
      <c r="J421" s="5">
        <v>45991</v>
      </c>
      <c r="K421" s="1" t="s">
        <v>22</v>
      </c>
      <c r="L421" s="1" t="s">
        <v>22</v>
      </c>
      <c r="M421" s="8">
        <v>0</v>
      </c>
      <c r="N421" s="6"/>
      <c r="O421" s="6"/>
      <c r="P421" s="9">
        <v>-450</v>
      </c>
    </row>
    <row r="422" spans="1:16" ht="19.5" customHeight="1">
      <c r="A422" s="1" t="s">
        <v>1430</v>
      </c>
      <c r="B422" s="5">
        <v>45991</v>
      </c>
      <c r="C422" s="1" t="s">
        <v>17</v>
      </c>
      <c r="D422" s="1" t="s">
        <v>18</v>
      </c>
      <c r="E422" s="1" t="s">
        <v>25</v>
      </c>
      <c r="F422" s="1" t="s">
        <v>26</v>
      </c>
      <c r="G422" s="1" t="s">
        <v>1229</v>
      </c>
      <c r="H422" s="6">
        <v>1</v>
      </c>
      <c r="I422" s="7">
        <v>0</v>
      </c>
      <c r="J422" s="5">
        <v>45991</v>
      </c>
      <c r="K422" s="1" t="s">
        <v>22</v>
      </c>
      <c r="L422" s="1" t="s">
        <v>22</v>
      </c>
      <c r="M422" s="8">
        <v>0</v>
      </c>
      <c r="N422" s="6"/>
      <c r="O422" s="6"/>
      <c r="P422" s="9">
        <v>-13.02</v>
      </c>
    </row>
    <row r="423" spans="1:16" ht="19.5" customHeight="1">
      <c r="A423" s="1" t="s">
        <v>1376</v>
      </c>
      <c r="B423" s="5">
        <v>45991</v>
      </c>
      <c r="C423" s="1" t="s">
        <v>77</v>
      </c>
      <c r="D423" s="1" t="s">
        <v>82</v>
      </c>
      <c r="E423" s="1" t="s">
        <v>22</v>
      </c>
      <c r="F423" s="1" t="s">
        <v>22</v>
      </c>
      <c r="G423" s="1" t="s">
        <v>22</v>
      </c>
      <c r="H423" s="6">
        <v>0</v>
      </c>
      <c r="I423" s="7">
        <v>0</v>
      </c>
      <c r="J423" s="5">
        <v>45991</v>
      </c>
      <c r="K423" s="1" t="s">
        <v>22</v>
      </c>
      <c r="L423" s="1" t="s">
        <v>22</v>
      </c>
      <c r="M423" s="8">
        <v>0</v>
      </c>
      <c r="N423" s="6"/>
      <c r="O423" s="6"/>
      <c r="P423" s="9">
        <v>-993.45</v>
      </c>
    </row>
    <row r="424" spans="1:16" ht="19.5" customHeight="1">
      <c r="A424" s="1" t="s">
        <v>1270</v>
      </c>
      <c r="B424" s="5">
        <v>45991</v>
      </c>
      <c r="C424" s="1" t="s">
        <v>77</v>
      </c>
      <c r="D424" s="1" t="s">
        <v>82</v>
      </c>
      <c r="E424" s="1" t="s">
        <v>22</v>
      </c>
      <c r="F424" s="1" t="s">
        <v>22</v>
      </c>
      <c r="G424" s="1" t="s">
        <v>22</v>
      </c>
      <c r="H424" s="6">
        <v>0</v>
      </c>
      <c r="I424" s="7">
        <v>0</v>
      </c>
      <c r="J424" s="5">
        <v>45991</v>
      </c>
      <c r="K424" s="1" t="s">
        <v>22</v>
      </c>
      <c r="L424" s="1" t="s">
        <v>22</v>
      </c>
      <c r="M424" s="8">
        <v>0</v>
      </c>
      <c r="N424" s="6"/>
      <c r="O424" s="6"/>
      <c r="P424" s="9">
        <v>-462.09</v>
      </c>
    </row>
    <row r="425" spans="1:16" ht="19.5" customHeight="1">
      <c r="A425" s="1" t="s">
        <v>1075</v>
      </c>
      <c r="B425" s="5">
        <v>45991</v>
      </c>
      <c r="C425" s="1" t="s">
        <v>77</v>
      </c>
      <c r="D425" s="1" t="s">
        <v>82</v>
      </c>
      <c r="E425" s="1" t="s">
        <v>22</v>
      </c>
      <c r="F425" s="1" t="s">
        <v>22</v>
      </c>
      <c r="G425" s="1" t="s">
        <v>22</v>
      </c>
      <c r="H425" s="6">
        <v>0</v>
      </c>
      <c r="I425" s="7">
        <v>0</v>
      </c>
      <c r="J425" s="5">
        <v>45991</v>
      </c>
      <c r="K425" s="1" t="s">
        <v>22</v>
      </c>
      <c r="L425" s="1" t="s">
        <v>22</v>
      </c>
      <c r="M425" s="8">
        <v>0</v>
      </c>
      <c r="N425" s="6"/>
      <c r="O425" s="6"/>
      <c r="P425" s="9">
        <v>-612.15</v>
      </c>
    </row>
    <row r="426" spans="1:16" ht="19.5" customHeight="1">
      <c r="A426" s="1" t="s">
        <v>83</v>
      </c>
      <c r="B426" s="5">
        <v>45991</v>
      </c>
      <c r="C426" s="1" t="s">
        <v>77</v>
      </c>
      <c r="D426" s="1" t="s">
        <v>84</v>
      </c>
      <c r="E426" s="1" t="s">
        <v>22</v>
      </c>
      <c r="F426" s="1" t="s">
        <v>22</v>
      </c>
      <c r="G426" s="1" t="s">
        <v>22</v>
      </c>
      <c r="H426" s="6">
        <v>0</v>
      </c>
      <c r="I426" s="7">
        <v>0</v>
      </c>
      <c r="J426" s="5">
        <v>45991</v>
      </c>
      <c r="K426" s="1" t="s">
        <v>22</v>
      </c>
      <c r="L426" s="1" t="s">
        <v>22</v>
      </c>
      <c r="M426" s="8">
        <v>0</v>
      </c>
      <c r="N426" s="6"/>
      <c r="O426" s="6"/>
      <c r="P426" s="9">
        <v>-1352.4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5CB0-6C82-4A89-9954-597C16BE8F8C}">
  <dimension ref="A1:P465"/>
  <sheetViews>
    <sheetView topLeftCell="H1" zoomScale="80" zoomScaleNormal="80" workbookViewId="0">
      <selection activeCell="N9" sqref="N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379" t="s">
        <v>1224</v>
      </c>
    </row>
    <row r="2" spans="1:16" ht="78.75" customHeight="1">
      <c r="A2" s="380" t="s">
        <v>1</v>
      </c>
      <c r="B2" s="380" t="s">
        <v>2</v>
      </c>
      <c r="C2" s="380" t="s">
        <v>3</v>
      </c>
      <c r="D2" s="380" t="s">
        <v>4</v>
      </c>
      <c r="E2" s="380" t="s">
        <v>5</v>
      </c>
      <c r="F2" s="380" t="s">
        <v>6</v>
      </c>
      <c r="G2" s="380" t="s">
        <v>7</v>
      </c>
      <c r="H2" s="380" t="s">
        <v>8</v>
      </c>
      <c r="I2" s="380" t="s">
        <v>9</v>
      </c>
      <c r="J2" s="380" t="s">
        <v>10</v>
      </c>
      <c r="K2" s="380" t="s">
        <v>955</v>
      </c>
      <c r="L2" s="380" t="s">
        <v>11</v>
      </c>
      <c r="M2" s="380" t="s">
        <v>12</v>
      </c>
      <c r="N2" s="380" t="s">
        <v>13</v>
      </c>
      <c r="O2" s="380" t="s">
        <v>14</v>
      </c>
      <c r="P2" s="388" t="s">
        <v>15</v>
      </c>
    </row>
    <row r="3" spans="1:16" ht="19.5" customHeight="1">
      <c r="A3" s="379" t="s">
        <v>1225</v>
      </c>
      <c r="B3" s="382">
        <v>45978</v>
      </c>
      <c r="C3" s="379" t="s">
        <v>28</v>
      </c>
      <c r="D3" s="379" t="s">
        <v>29</v>
      </c>
      <c r="E3" s="379" t="s">
        <v>240</v>
      </c>
      <c r="F3" s="379" t="s">
        <v>802</v>
      </c>
      <c r="G3" s="379" t="s">
        <v>1133</v>
      </c>
      <c r="H3" s="383">
        <v>1</v>
      </c>
      <c r="I3" s="384">
        <v>0</v>
      </c>
      <c r="J3" s="382">
        <v>45974</v>
      </c>
      <c r="K3" s="379" t="s">
        <v>957</v>
      </c>
      <c r="L3" s="379" t="s">
        <v>30</v>
      </c>
      <c r="M3" s="385">
        <v>0</v>
      </c>
      <c r="N3" s="383"/>
      <c r="O3" s="383">
        <v>42</v>
      </c>
      <c r="P3" s="389">
        <v>-56</v>
      </c>
    </row>
    <row r="4" spans="1:16" ht="19.5" customHeight="1">
      <c r="A4" s="379" t="s">
        <v>1225</v>
      </c>
      <c r="B4" s="382">
        <v>45978</v>
      </c>
      <c r="C4" s="379" t="s">
        <v>17</v>
      </c>
      <c r="D4" s="379" t="s">
        <v>37</v>
      </c>
      <c r="E4" s="379" t="s">
        <v>240</v>
      </c>
      <c r="F4" s="379" t="s">
        <v>802</v>
      </c>
      <c r="G4" s="379" t="s">
        <v>1133</v>
      </c>
      <c r="H4" s="383">
        <v>1</v>
      </c>
      <c r="I4" s="384">
        <v>0</v>
      </c>
      <c r="J4" s="382">
        <v>45974</v>
      </c>
      <c r="K4" s="379" t="s">
        <v>957</v>
      </c>
      <c r="L4" s="379" t="s">
        <v>30</v>
      </c>
      <c r="M4" s="385">
        <v>0</v>
      </c>
      <c r="N4" s="383"/>
      <c r="O4" s="383"/>
      <c r="P4" s="389">
        <v>-12.53</v>
      </c>
    </row>
    <row r="5" spans="1:16" ht="19.5" customHeight="1">
      <c r="A5" s="379" t="s">
        <v>1225</v>
      </c>
      <c r="B5" s="382">
        <v>45978</v>
      </c>
      <c r="C5" s="379" t="s">
        <v>28</v>
      </c>
      <c r="D5" s="379" t="s">
        <v>45</v>
      </c>
      <c r="E5" s="379" t="s">
        <v>240</v>
      </c>
      <c r="F5" s="379" t="s">
        <v>802</v>
      </c>
      <c r="G5" s="379" t="s">
        <v>1133</v>
      </c>
      <c r="H5" s="383">
        <v>1</v>
      </c>
      <c r="I5" s="384">
        <v>0</v>
      </c>
      <c r="J5" s="382">
        <v>45974</v>
      </c>
      <c r="K5" s="379" t="s">
        <v>957</v>
      </c>
      <c r="L5" s="379" t="s">
        <v>30</v>
      </c>
      <c r="M5" s="385">
        <v>0</v>
      </c>
      <c r="N5" s="383"/>
      <c r="O5" s="383"/>
      <c r="P5" s="389">
        <v>0</v>
      </c>
    </row>
    <row r="6" spans="1:16" ht="19.5" customHeight="1">
      <c r="A6" s="379" t="s">
        <v>1225</v>
      </c>
      <c r="B6" s="382">
        <v>45978</v>
      </c>
      <c r="C6" s="379" t="s">
        <v>28</v>
      </c>
      <c r="D6" s="379" t="s">
        <v>46</v>
      </c>
      <c r="E6" s="379" t="s">
        <v>240</v>
      </c>
      <c r="F6" s="379" t="s">
        <v>802</v>
      </c>
      <c r="G6" s="379" t="s">
        <v>1133</v>
      </c>
      <c r="H6" s="383">
        <v>1</v>
      </c>
      <c r="I6" s="384">
        <v>0</v>
      </c>
      <c r="J6" s="382">
        <v>45974</v>
      </c>
      <c r="K6" s="379" t="s">
        <v>957</v>
      </c>
      <c r="L6" s="379" t="s">
        <v>30</v>
      </c>
      <c r="M6" s="385">
        <v>0</v>
      </c>
      <c r="N6" s="383"/>
      <c r="O6" s="383"/>
      <c r="P6" s="389">
        <v>-56</v>
      </c>
    </row>
    <row r="7" spans="1:16" ht="19.5" customHeight="1">
      <c r="A7" s="379" t="s">
        <v>1225</v>
      </c>
      <c r="B7" s="382">
        <v>45978</v>
      </c>
      <c r="C7" s="379" t="s">
        <v>17</v>
      </c>
      <c r="D7" s="379" t="s">
        <v>47</v>
      </c>
      <c r="E7" s="379" t="s">
        <v>240</v>
      </c>
      <c r="F7" s="379" t="s">
        <v>802</v>
      </c>
      <c r="G7" s="379" t="s">
        <v>1133</v>
      </c>
      <c r="H7" s="383">
        <v>1</v>
      </c>
      <c r="I7" s="384">
        <v>0</v>
      </c>
      <c r="J7" s="382">
        <v>45974</v>
      </c>
      <c r="K7" s="379" t="s">
        <v>957</v>
      </c>
      <c r="L7" s="379" t="s">
        <v>30</v>
      </c>
      <c r="M7" s="385">
        <v>0</v>
      </c>
      <c r="N7" s="383"/>
      <c r="O7" s="383"/>
      <c r="P7" s="389">
        <v>-15</v>
      </c>
    </row>
    <row r="8" spans="1:16" ht="19.5" customHeight="1">
      <c r="A8" s="379" t="s">
        <v>1226</v>
      </c>
      <c r="B8" s="382">
        <v>45978</v>
      </c>
      <c r="C8" s="379" t="s">
        <v>28</v>
      </c>
      <c r="D8" s="379" t="s">
        <v>29</v>
      </c>
      <c r="E8" s="379" t="s">
        <v>51</v>
      </c>
      <c r="F8" s="379" t="s">
        <v>52</v>
      </c>
      <c r="G8" s="379" t="s">
        <v>1133</v>
      </c>
      <c r="H8" s="383">
        <v>1</v>
      </c>
      <c r="I8" s="384">
        <v>0</v>
      </c>
      <c r="J8" s="382">
        <v>45971</v>
      </c>
      <c r="K8" s="379" t="s">
        <v>957</v>
      </c>
      <c r="L8" s="379" t="s">
        <v>30</v>
      </c>
      <c r="M8" s="385">
        <v>0</v>
      </c>
      <c r="N8" s="383"/>
      <c r="O8" s="383"/>
      <c r="P8" s="389">
        <v>-56</v>
      </c>
    </row>
    <row r="9" spans="1:16" ht="19.5" customHeight="1">
      <c r="A9" s="379" t="s">
        <v>1226</v>
      </c>
      <c r="B9" s="382">
        <v>45978</v>
      </c>
      <c r="C9" s="379" t="s">
        <v>17</v>
      </c>
      <c r="D9" s="379" t="s">
        <v>37</v>
      </c>
      <c r="E9" s="379" t="s">
        <v>51</v>
      </c>
      <c r="F9" s="379" t="s">
        <v>52</v>
      </c>
      <c r="G9" s="379" t="s">
        <v>1133</v>
      </c>
      <c r="H9" s="383">
        <v>1</v>
      </c>
      <c r="I9" s="384">
        <v>0</v>
      </c>
      <c r="J9" s="382">
        <v>45971</v>
      </c>
      <c r="K9" s="379" t="s">
        <v>957</v>
      </c>
      <c r="L9" s="379" t="s">
        <v>30</v>
      </c>
      <c r="M9" s="385">
        <v>0</v>
      </c>
      <c r="N9" s="383"/>
      <c r="O9" s="383"/>
      <c r="P9" s="389">
        <v>-9.91</v>
      </c>
    </row>
    <row r="10" spans="1:16" ht="19.5" customHeight="1">
      <c r="A10" s="379" t="s">
        <v>1226</v>
      </c>
      <c r="B10" s="382">
        <v>45978</v>
      </c>
      <c r="C10" s="379" t="s">
        <v>28</v>
      </c>
      <c r="D10" s="379" t="s">
        <v>45</v>
      </c>
      <c r="E10" s="379" t="s">
        <v>51</v>
      </c>
      <c r="F10" s="379" t="s">
        <v>52</v>
      </c>
      <c r="G10" s="379" t="s">
        <v>1133</v>
      </c>
      <c r="H10" s="383">
        <v>1</v>
      </c>
      <c r="I10" s="384">
        <v>0</v>
      </c>
      <c r="J10" s="382">
        <v>45971</v>
      </c>
      <c r="K10" s="379" t="s">
        <v>957</v>
      </c>
      <c r="L10" s="379" t="s">
        <v>30</v>
      </c>
      <c r="M10" s="385">
        <v>0</v>
      </c>
      <c r="N10" s="383"/>
      <c r="O10" s="383"/>
      <c r="P10" s="389">
        <v>0</v>
      </c>
    </row>
    <row r="11" spans="1:16" ht="19.5" customHeight="1">
      <c r="A11" s="379" t="s">
        <v>1226</v>
      </c>
      <c r="B11" s="382">
        <v>45978</v>
      </c>
      <c r="C11" s="379" t="s">
        <v>28</v>
      </c>
      <c r="D11" s="379" t="s">
        <v>46</v>
      </c>
      <c r="E11" s="379" t="s">
        <v>51</v>
      </c>
      <c r="F11" s="379" t="s">
        <v>52</v>
      </c>
      <c r="G11" s="379" t="s">
        <v>1133</v>
      </c>
      <c r="H11" s="383">
        <v>1</v>
      </c>
      <c r="I11" s="384">
        <v>0</v>
      </c>
      <c r="J11" s="382">
        <v>45971</v>
      </c>
      <c r="K11" s="379" t="s">
        <v>957</v>
      </c>
      <c r="L11" s="379" t="s">
        <v>30</v>
      </c>
      <c r="M11" s="385">
        <v>0</v>
      </c>
      <c r="N11" s="383"/>
      <c r="O11" s="383"/>
      <c r="P11" s="389">
        <v>-56</v>
      </c>
    </row>
    <row r="12" spans="1:16" ht="19.5" customHeight="1">
      <c r="A12" s="379" t="s">
        <v>1226</v>
      </c>
      <c r="B12" s="382">
        <v>45978</v>
      </c>
      <c r="C12" s="379" t="s">
        <v>17</v>
      </c>
      <c r="D12" s="379" t="s">
        <v>47</v>
      </c>
      <c r="E12" s="379" t="s">
        <v>51</v>
      </c>
      <c r="F12" s="379" t="s">
        <v>52</v>
      </c>
      <c r="G12" s="379" t="s">
        <v>1133</v>
      </c>
      <c r="H12" s="383">
        <v>1</v>
      </c>
      <c r="I12" s="384">
        <v>0</v>
      </c>
      <c r="J12" s="382">
        <v>45971</v>
      </c>
      <c r="K12" s="379" t="s">
        <v>957</v>
      </c>
      <c r="L12" s="379" t="s">
        <v>30</v>
      </c>
      <c r="M12" s="385">
        <v>0</v>
      </c>
      <c r="N12" s="383"/>
      <c r="O12" s="383"/>
      <c r="P12" s="389">
        <v>-15</v>
      </c>
    </row>
    <row r="13" spans="1:16" ht="19.5" customHeight="1">
      <c r="A13" s="379" t="s">
        <v>1227</v>
      </c>
      <c r="B13" s="382">
        <v>45978</v>
      </c>
      <c r="C13" s="379" t="s">
        <v>28</v>
      </c>
      <c r="D13" s="379" t="s">
        <v>29</v>
      </c>
      <c r="E13" s="379" t="s">
        <v>239</v>
      </c>
      <c r="F13" s="379" t="s">
        <v>733</v>
      </c>
      <c r="G13" s="379" t="s">
        <v>1133</v>
      </c>
      <c r="H13" s="383">
        <v>1</v>
      </c>
      <c r="I13" s="384">
        <v>0</v>
      </c>
      <c r="J13" s="382">
        <v>45971</v>
      </c>
      <c r="K13" s="379" t="s">
        <v>957</v>
      </c>
      <c r="L13" s="379" t="s">
        <v>30</v>
      </c>
      <c r="M13" s="385">
        <v>0</v>
      </c>
      <c r="N13" s="383"/>
      <c r="O13" s="383"/>
      <c r="P13" s="389">
        <v>-56</v>
      </c>
    </row>
    <row r="14" spans="1:16" ht="19.5" customHeight="1">
      <c r="A14" s="379" t="s">
        <v>1227</v>
      </c>
      <c r="B14" s="382">
        <v>45978</v>
      </c>
      <c r="C14" s="379" t="s">
        <v>17</v>
      </c>
      <c r="D14" s="379" t="s">
        <v>37</v>
      </c>
      <c r="E14" s="379" t="s">
        <v>239</v>
      </c>
      <c r="F14" s="379" t="s">
        <v>733</v>
      </c>
      <c r="G14" s="379" t="s">
        <v>1133</v>
      </c>
      <c r="H14" s="383">
        <v>1</v>
      </c>
      <c r="I14" s="384">
        <v>0</v>
      </c>
      <c r="J14" s="382">
        <v>45971</v>
      </c>
      <c r="K14" s="379" t="s">
        <v>957</v>
      </c>
      <c r="L14" s="379" t="s">
        <v>30</v>
      </c>
      <c r="M14" s="385">
        <v>0</v>
      </c>
      <c r="N14" s="383"/>
      <c r="O14" s="383"/>
      <c r="P14" s="389">
        <v>-9.91</v>
      </c>
    </row>
    <row r="15" spans="1:16" ht="19.5" customHeight="1">
      <c r="A15" s="379" t="s">
        <v>1227</v>
      </c>
      <c r="B15" s="382">
        <v>45978</v>
      </c>
      <c r="C15" s="379" t="s">
        <v>28</v>
      </c>
      <c r="D15" s="379" t="s">
        <v>45</v>
      </c>
      <c r="E15" s="379" t="s">
        <v>239</v>
      </c>
      <c r="F15" s="379" t="s">
        <v>733</v>
      </c>
      <c r="G15" s="379" t="s">
        <v>1133</v>
      </c>
      <c r="H15" s="383">
        <v>1</v>
      </c>
      <c r="I15" s="384">
        <v>0</v>
      </c>
      <c r="J15" s="382">
        <v>45971</v>
      </c>
      <c r="K15" s="379" t="s">
        <v>957</v>
      </c>
      <c r="L15" s="379" t="s">
        <v>30</v>
      </c>
      <c r="M15" s="385">
        <v>0</v>
      </c>
      <c r="N15" s="383"/>
      <c r="O15" s="383"/>
      <c r="P15" s="389">
        <v>0</v>
      </c>
    </row>
    <row r="16" spans="1:16" ht="19.5" customHeight="1">
      <c r="A16" s="379" t="s">
        <v>1227</v>
      </c>
      <c r="B16" s="382">
        <v>45978</v>
      </c>
      <c r="C16" s="379" t="s">
        <v>28</v>
      </c>
      <c r="D16" s="379" t="s">
        <v>46</v>
      </c>
      <c r="E16" s="379" t="s">
        <v>239</v>
      </c>
      <c r="F16" s="379" t="s">
        <v>733</v>
      </c>
      <c r="G16" s="379" t="s">
        <v>1133</v>
      </c>
      <c r="H16" s="383">
        <v>1</v>
      </c>
      <c r="I16" s="384">
        <v>0</v>
      </c>
      <c r="J16" s="382">
        <v>45971</v>
      </c>
      <c r="K16" s="379" t="s">
        <v>957</v>
      </c>
      <c r="L16" s="379" t="s">
        <v>30</v>
      </c>
      <c r="M16" s="385">
        <v>0</v>
      </c>
      <c r="N16" s="383"/>
      <c r="O16" s="383"/>
      <c r="P16" s="389">
        <v>-56</v>
      </c>
    </row>
    <row r="17" spans="1:16" ht="19.5" customHeight="1">
      <c r="A17" s="379" t="s">
        <v>1227</v>
      </c>
      <c r="B17" s="382">
        <v>45978</v>
      </c>
      <c r="C17" s="379" t="s">
        <v>17</v>
      </c>
      <c r="D17" s="379" t="s">
        <v>47</v>
      </c>
      <c r="E17" s="379" t="s">
        <v>239</v>
      </c>
      <c r="F17" s="379" t="s">
        <v>733</v>
      </c>
      <c r="G17" s="379" t="s">
        <v>1133</v>
      </c>
      <c r="H17" s="383">
        <v>1</v>
      </c>
      <c r="I17" s="384">
        <v>0</v>
      </c>
      <c r="J17" s="382">
        <v>45971</v>
      </c>
      <c r="K17" s="379" t="s">
        <v>957</v>
      </c>
      <c r="L17" s="379" t="s">
        <v>30</v>
      </c>
      <c r="M17" s="385">
        <v>0</v>
      </c>
      <c r="N17" s="383"/>
      <c r="O17" s="383"/>
      <c r="P17" s="389">
        <v>-15</v>
      </c>
    </row>
    <row r="18" spans="1:16" ht="19.5" customHeight="1">
      <c r="A18" s="379" t="s">
        <v>1228</v>
      </c>
      <c r="B18" s="382">
        <v>45978</v>
      </c>
      <c r="C18" s="379" t="s">
        <v>28</v>
      </c>
      <c r="D18" s="379" t="s">
        <v>29</v>
      </c>
      <c r="E18" s="379" t="s">
        <v>223</v>
      </c>
      <c r="F18" s="379" t="s">
        <v>395</v>
      </c>
      <c r="G18" s="379" t="s">
        <v>1229</v>
      </c>
      <c r="H18" s="383">
        <v>1</v>
      </c>
      <c r="I18" s="384">
        <v>1687</v>
      </c>
      <c r="J18" s="382">
        <v>45974</v>
      </c>
      <c r="K18" s="379" t="s">
        <v>957</v>
      </c>
      <c r="L18" s="379" t="s">
        <v>30</v>
      </c>
      <c r="M18" s="385">
        <v>0.43</v>
      </c>
      <c r="N18" s="383"/>
      <c r="O18" s="383">
        <v>42</v>
      </c>
      <c r="P18" s="389">
        <v>-120.3</v>
      </c>
    </row>
    <row r="19" spans="1:16" ht="19.5" customHeight="1">
      <c r="A19" s="379" t="s">
        <v>1228</v>
      </c>
      <c r="B19" s="382">
        <v>45978</v>
      </c>
      <c r="C19" s="379" t="s">
        <v>31</v>
      </c>
      <c r="D19" s="379" t="s">
        <v>32</v>
      </c>
      <c r="E19" s="379" t="s">
        <v>223</v>
      </c>
      <c r="F19" s="379" t="s">
        <v>395</v>
      </c>
      <c r="G19" s="379" t="s">
        <v>1229</v>
      </c>
      <c r="H19" s="383">
        <v>1</v>
      </c>
      <c r="I19" s="384">
        <v>1687</v>
      </c>
      <c r="J19" s="382">
        <v>45974</v>
      </c>
      <c r="K19" s="379" t="s">
        <v>957</v>
      </c>
      <c r="L19" s="379" t="s">
        <v>30</v>
      </c>
      <c r="M19" s="385">
        <v>0</v>
      </c>
      <c r="N19" s="383"/>
      <c r="O19" s="383"/>
      <c r="P19" s="389">
        <v>632.38</v>
      </c>
    </row>
    <row r="20" spans="1:16" ht="19.5" customHeight="1">
      <c r="A20" s="379" t="s">
        <v>1228</v>
      </c>
      <c r="B20" s="382">
        <v>45978</v>
      </c>
      <c r="C20" s="379" t="s">
        <v>31</v>
      </c>
      <c r="D20" s="379" t="s">
        <v>33</v>
      </c>
      <c r="E20" s="379" t="s">
        <v>223</v>
      </c>
      <c r="F20" s="379" t="s">
        <v>395</v>
      </c>
      <c r="G20" s="379" t="s">
        <v>1229</v>
      </c>
      <c r="H20" s="383">
        <v>1</v>
      </c>
      <c r="I20" s="384">
        <v>1687</v>
      </c>
      <c r="J20" s="382">
        <v>45974</v>
      </c>
      <c r="K20" s="379" t="s">
        <v>957</v>
      </c>
      <c r="L20" s="379" t="s">
        <v>30</v>
      </c>
      <c r="M20" s="385">
        <v>0</v>
      </c>
      <c r="N20" s="383"/>
      <c r="O20" s="383"/>
      <c r="P20" s="389">
        <v>6.32</v>
      </c>
    </row>
    <row r="21" spans="1:16" ht="19.5" customHeight="1">
      <c r="A21" s="379" t="s">
        <v>1228</v>
      </c>
      <c r="B21" s="382">
        <v>45978</v>
      </c>
      <c r="C21" s="379" t="s">
        <v>31</v>
      </c>
      <c r="D21" s="379" t="s">
        <v>34</v>
      </c>
      <c r="E21" s="379" t="s">
        <v>223</v>
      </c>
      <c r="F21" s="379" t="s">
        <v>395</v>
      </c>
      <c r="G21" s="379" t="s">
        <v>1229</v>
      </c>
      <c r="H21" s="383">
        <v>1</v>
      </c>
      <c r="I21" s="384">
        <v>1687</v>
      </c>
      <c r="J21" s="382">
        <v>45974</v>
      </c>
      <c r="K21" s="379" t="s">
        <v>957</v>
      </c>
      <c r="L21" s="379" t="s">
        <v>30</v>
      </c>
      <c r="M21" s="385">
        <v>0</v>
      </c>
      <c r="N21" s="383"/>
      <c r="O21" s="383"/>
      <c r="P21" s="389">
        <v>1048.3</v>
      </c>
    </row>
    <row r="22" spans="1:16" ht="19.5" customHeight="1">
      <c r="A22" s="379" t="s">
        <v>1228</v>
      </c>
      <c r="B22" s="382">
        <v>45978</v>
      </c>
      <c r="C22" s="379" t="s">
        <v>35</v>
      </c>
      <c r="D22" s="379" t="s">
        <v>36</v>
      </c>
      <c r="E22" s="379" t="s">
        <v>223</v>
      </c>
      <c r="F22" s="379" t="s">
        <v>395</v>
      </c>
      <c r="G22" s="379" t="s">
        <v>1229</v>
      </c>
      <c r="H22" s="383">
        <v>1</v>
      </c>
      <c r="I22" s="384">
        <v>1687</v>
      </c>
      <c r="J22" s="382">
        <v>45974</v>
      </c>
      <c r="K22" s="379" t="s">
        <v>957</v>
      </c>
      <c r="L22" s="379" t="s">
        <v>30</v>
      </c>
      <c r="M22" s="385">
        <v>0.43</v>
      </c>
      <c r="N22" s="383"/>
      <c r="O22" s="383"/>
      <c r="P22" s="389">
        <v>-725.41</v>
      </c>
    </row>
    <row r="23" spans="1:16" ht="19.5" customHeight="1">
      <c r="A23" s="379" t="s">
        <v>1228</v>
      </c>
      <c r="B23" s="382">
        <v>45978</v>
      </c>
      <c r="C23" s="379" t="s">
        <v>17</v>
      </c>
      <c r="D23" s="379" t="s">
        <v>37</v>
      </c>
      <c r="E23" s="379" t="s">
        <v>223</v>
      </c>
      <c r="F23" s="379" t="s">
        <v>395</v>
      </c>
      <c r="G23" s="379" t="s">
        <v>1229</v>
      </c>
      <c r="H23" s="383">
        <v>1</v>
      </c>
      <c r="I23" s="384">
        <v>1687</v>
      </c>
      <c r="J23" s="382">
        <v>45974</v>
      </c>
      <c r="K23" s="379" t="s">
        <v>957</v>
      </c>
      <c r="L23" s="379" t="s">
        <v>30</v>
      </c>
      <c r="M23" s="385">
        <v>0.43</v>
      </c>
      <c r="N23" s="383"/>
      <c r="O23" s="383"/>
      <c r="P23" s="389">
        <v>-15.12</v>
      </c>
    </row>
    <row r="24" spans="1:16" ht="19.5" customHeight="1">
      <c r="A24" s="379" t="s">
        <v>1228</v>
      </c>
      <c r="B24" s="382">
        <v>45978</v>
      </c>
      <c r="C24" s="379" t="s">
        <v>17</v>
      </c>
      <c r="D24" s="379" t="s">
        <v>18</v>
      </c>
      <c r="E24" s="379" t="s">
        <v>223</v>
      </c>
      <c r="F24" s="379" t="s">
        <v>395</v>
      </c>
      <c r="G24" s="379" t="s">
        <v>1229</v>
      </c>
      <c r="H24" s="383">
        <v>1</v>
      </c>
      <c r="I24" s="384">
        <v>0</v>
      </c>
      <c r="J24" s="382">
        <v>45974</v>
      </c>
      <c r="K24" s="379" t="s">
        <v>22</v>
      </c>
      <c r="L24" s="379" t="s">
        <v>22</v>
      </c>
      <c r="M24" s="385">
        <v>0</v>
      </c>
      <c r="N24" s="383"/>
      <c r="O24" s="383"/>
      <c r="P24" s="389">
        <v>-12.02</v>
      </c>
    </row>
    <row r="25" spans="1:16" ht="19.5" customHeight="1">
      <c r="A25" s="379" t="s">
        <v>1230</v>
      </c>
      <c r="B25" s="382">
        <v>45978</v>
      </c>
      <c r="C25" s="379" t="s">
        <v>28</v>
      </c>
      <c r="D25" s="379" t="s">
        <v>29</v>
      </c>
      <c r="E25" s="379" t="s">
        <v>88</v>
      </c>
      <c r="F25" s="379" t="s">
        <v>89</v>
      </c>
      <c r="G25" s="379" t="s">
        <v>1231</v>
      </c>
      <c r="H25" s="383">
        <v>1</v>
      </c>
      <c r="I25" s="384">
        <v>1336</v>
      </c>
      <c r="J25" s="382">
        <v>45974</v>
      </c>
      <c r="K25" s="379" t="s">
        <v>957</v>
      </c>
      <c r="L25" s="379" t="s">
        <v>30</v>
      </c>
      <c r="M25" s="385">
        <v>0.43</v>
      </c>
      <c r="N25" s="383"/>
      <c r="O25" s="383">
        <v>42</v>
      </c>
      <c r="P25" s="389">
        <v>-110.3</v>
      </c>
    </row>
    <row r="26" spans="1:16" ht="19.5" customHeight="1">
      <c r="A26" s="379" t="s">
        <v>1230</v>
      </c>
      <c r="B26" s="382">
        <v>45978</v>
      </c>
      <c r="C26" s="379" t="s">
        <v>31</v>
      </c>
      <c r="D26" s="379" t="s">
        <v>32</v>
      </c>
      <c r="E26" s="379" t="s">
        <v>88</v>
      </c>
      <c r="F26" s="379" t="s">
        <v>89</v>
      </c>
      <c r="G26" s="379" t="s">
        <v>1231</v>
      </c>
      <c r="H26" s="383">
        <v>1</v>
      </c>
      <c r="I26" s="384">
        <v>1336</v>
      </c>
      <c r="J26" s="382">
        <v>45974</v>
      </c>
      <c r="K26" s="379" t="s">
        <v>957</v>
      </c>
      <c r="L26" s="379" t="s">
        <v>30</v>
      </c>
      <c r="M26" s="385">
        <v>0</v>
      </c>
      <c r="N26" s="383"/>
      <c r="O26" s="383"/>
      <c r="P26" s="389">
        <v>466.67</v>
      </c>
    </row>
    <row r="27" spans="1:16" ht="19.5" customHeight="1">
      <c r="A27" s="379" t="s">
        <v>1230</v>
      </c>
      <c r="B27" s="382">
        <v>45978</v>
      </c>
      <c r="C27" s="379" t="s">
        <v>31</v>
      </c>
      <c r="D27" s="379" t="s">
        <v>33</v>
      </c>
      <c r="E27" s="379" t="s">
        <v>88</v>
      </c>
      <c r="F27" s="379" t="s">
        <v>89</v>
      </c>
      <c r="G27" s="379" t="s">
        <v>1231</v>
      </c>
      <c r="H27" s="383">
        <v>1</v>
      </c>
      <c r="I27" s="384">
        <v>1336</v>
      </c>
      <c r="J27" s="382">
        <v>45974</v>
      </c>
      <c r="K27" s="379" t="s">
        <v>957</v>
      </c>
      <c r="L27" s="379" t="s">
        <v>30</v>
      </c>
      <c r="M27" s="385">
        <v>0</v>
      </c>
      <c r="N27" s="383"/>
      <c r="O27" s="383"/>
      <c r="P27" s="389">
        <v>4.67</v>
      </c>
    </row>
    <row r="28" spans="1:16" ht="19.5" customHeight="1">
      <c r="A28" s="379" t="s">
        <v>1230</v>
      </c>
      <c r="B28" s="382">
        <v>45978</v>
      </c>
      <c r="C28" s="379" t="s">
        <v>31</v>
      </c>
      <c r="D28" s="379" t="s">
        <v>34</v>
      </c>
      <c r="E28" s="379" t="s">
        <v>88</v>
      </c>
      <c r="F28" s="379" t="s">
        <v>89</v>
      </c>
      <c r="G28" s="379" t="s">
        <v>1231</v>
      </c>
      <c r="H28" s="383">
        <v>1</v>
      </c>
      <c r="I28" s="384">
        <v>1336</v>
      </c>
      <c r="J28" s="382">
        <v>45974</v>
      </c>
      <c r="K28" s="379" t="s">
        <v>957</v>
      </c>
      <c r="L28" s="379" t="s">
        <v>30</v>
      </c>
      <c r="M28" s="385">
        <v>0</v>
      </c>
      <c r="N28" s="383"/>
      <c r="O28" s="383"/>
      <c r="P28" s="389">
        <v>864.66</v>
      </c>
    </row>
    <row r="29" spans="1:16" ht="19.5" customHeight="1">
      <c r="A29" s="379" t="s">
        <v>1230</v>
      </c>
      <c r="B29" s="382">
        <v>45978</v>
      </c>
      <c r="C29" s="379" t="s">
        <v>35</v>
      </c>
      <c r="D29" s="379" t="s">
        <v>36</v>
      </c>
      <c r="E29" s="379" t="s">
        <v>88</v>
      </c>
      <c r="F29" s="379" t="s">
        <v>89</v>
      </c>
      <c r="G29" s="379" t="s">
        <v>1231</v>
      </c>
      <c r="H29" s="383">
        <v>1</v>
      </c>
      <c r="I29" s="384">
        <v>1336</v>
      </c>
      <c r="J29" s="382">
        <v>45974</v>
      </c>
      <c r="K29" s="379" t="s">
        <v>957</v>
      </c>
      <c r="L29" s="379" t="s">
        <v>30</v>
      </c>
      <c r="M29" s="385">
        <v>0.43</v>
      </c>
      <c r="N29" s="383"/>
      <c r="O29" s="383"/>
      <c r="P29" s="389">
        <v>-574.48</v>
      </c>
    </row>
    <row r="30" spans="1:16" ht="19.5" customHeight="1">
      <c r="A30" s="379" t="s">
        <v>1230</v>
      </c>
      <c r="B30" s="382">
        <v>45978</v>
      </c>
      <c r="C30" s="379" t="s">
        <v>17</v>
      </c>
      <c r="D30" s="379" t="s">
        <v>37</v>
      </c>
      <c r="E30" s="379" t="s">
        <v>88</v>
      </c>
      <c r="F30" s="379" t="s">
        <v>89</v>
      </c>
      <c r="G30" s="379" t="s">
        <v>1231</v>
      </c>
      <c r="H30" s="383">
        <v>1</v>
      </c>
      <c r="I30" s="384">
        <v>1336</v>
      </c>
      <c r="J30" s="382">
        <v>45974</v>
      </c>
      <c r="K30" s="379" t="s">
        <v>957</v>
      </c>
      <c r="L30" s="379" t="s">
        <v>30</v>
      </c>
      <c r="M30" s="385">
        <v>0.43</v>
      </c>
      <c r="N30" s="383"/>
      <c r="O30" s="383"/>
      <c r="P30" s="389">
        <v>-8.2200000000000006</v>
      </c>
    </row>
    <row r="31" spans="1:16" ht="19.5" customHeight="1">
      <c r="A31" s="379" t="s">
        <v>1156</v>
      </c>
      <c r="B31" s="382">
        <v>45978</v>
      </c>
      <c r="C31" s="379" t="s">
        <v>126</v>
      </c>
      <c r="D31" s="379" t="s">
        <v>127</v>
      </c>
      <c r="E31" s="379" t="s">
        <v>223</v>
      </c>
      <c r="F31" s="379" t="s">
        <v>395</v>
      </c>
      <c r="G31" s="379" t="s">
        <v>1229</v>
      </c>
      <c r="H31" s="383">
        <v>1</v>
      </c>
      <c r="I31" s="384">
        <v>-1364</v>
      </c>
      <c r="J31" s="382">
        <v>45971</v>
      </c>
      <c r="K31" s="379" t="s">
        <v>957</v>
      </c>
      <c r="L31" s="379" t="s">
        <v>30</v>
      </c>
      <c r="M31" s="385">
        <v>0</v>
      </c>
      <c r="N31" s="383"/>
      <c r="O31" s="383"/>
      <c r="P31" s="389">
        <v>-759.05</v>
      </c>
    </row>
    <row r="32" spans="1:16" ht="19.5" customHeight="1">
      <c r="A32" s="379" t="s">
        <v>1156</v>
      </c>
      <c r="B32" s="382">
        <v>45978</v>
      </c>
      <c r="C32" s="379" t="s">
        <v>126</v>
      </c>
      <c r="D32" s="379" t="s">
        <v>33</v>
      </c>
      <c r="E32" s="379" t="s">
        <v>223</v>
      </c>
      <c r="F32" s="379" t="s">
        <v>395</v>
      </c>
      <c r="G32" s="379" t="s">
        <v>1229</v>
      </c>
      <c r="H32" s="383">
        <v>1</v>
      </c>
      <c r="I32" s="384">
        <v>-1364</v>
      </c>
      <c r="J32" s="382">
        <v>45971</v>
      </c>
      <c r="K32" s="379" t="s">
        <v>957</v>
      </c>
      <c r="L32" s="379" t="s">
        <v>30</v>
      </c>
      <c r="M32" s="385">
        <v>0</v>
      </c>
      <c r="N32" s="383"/>
      <c r="O32" s="383"/>
      <c r="P32" s="389">
        <v>-7.59</v>
      </c>
    </row>
    <row r="33" spans="1:16" ht="19.5" customHeight="1">
      <c r="A33" s="379" t="s">
        <v>1156</v>
      </c>
      <c r="B33" s="382">
        <v>45978</v>
      </c>
      <c r="C33" s="379" t="s">
        <v>126</v>
      </c>
      <c r="D33" s="379" t="s">
        <v>34</v>
      </c>
      <c r="E33" s="379" t="s">
        <v>223</v>
      </c>
      <c r="F33" s="379" t="s">
        <v>395</v>
      </c>
      <c r="G33" s="379" t="s">
        <v>1229</v>
      </c>
      <c r="H33" s="383">
        <v>1</v>
      </c>
      <c r="I33" s="384">
        <v>-1364</v>
      </c>
      <c r="J33" s="382">
        <v>45971</v>
      </c>
      <c r="K33" s="379" t="s">
        <v>957</v>
      </c>
      <c r="L33" s="379" t="s">
        <v>30</v>
      </c>
      <c r="M33" s="385">
        <v>0</v>
      </c>
      <c r="N33" s="383"/>
      <c r="O33" s="383"/>
      <c r="P33" s="389">
        <v>-597.36</v>
      </c>
    </row>
    <row r="34" spans="1:16" ht="19.5" customHeight="1">
      <c r="A34" s="379" t="s">
        <v>1156</v>
      </c>
      <c r="B34" s="382">
        <v>45978</v>
      </c>
      <c r="C34" s="379" t="s">
        <v>35</v>
      </c>
      <c r="D34" s="379" t="s">
        <v>128</v>
      </c>
      <c r="E34" s="379" t="s">
        <v>223</v>
      </c>
      <c r="F34" s="379" t="s">
        <v>395</v>
      </c>
      <c r="G34" s="379" t="s">
        <v>1229</v>
      </c>
      <c r="H34" s="383">
        <v>1</v>
      </c>
      <c r="I34" s="384">
        <v>-1364</v>
      </c>
      <c r="J34" s="382">
        <v>45971</v>
      </c>
      <c r="K34" s="379" t="s">
        <v>957</v>
      </c>
      <c r="L34" s="379" t="s">
        <v>30</v>
      </c>
      <c r="M34" s="385">
        <v>0.43</v>
      </c>
      <c r="N34" s="383"/>
      <c r="O34" s="383"/>
      <c r="P34" s="389">
        <v>586.52</v>
      </c>
    </row>
    <row r="35" spans="1:16" ht="19.5" customHeight="1">
      <c r="A35" s="379" t="s">
        <v>1137</v>
      </c>
      <c r="B35" s="382">
        <v>45978</v>
      </c>
      <c r="C35" s="379" t="s">
        <v>17</v>
      </c>
      <c r="D35" s="379" t="s">
        <v>18</v>
      </c>
      <c r="E35" s="379" t="s">
        <v>223</v>
      </c>
      <c r="F35" s="379" t="s">
        <v>395</v>
      </c>
      <c r="G35" s="379" t="s">
        <v>1229</v>
      </c>
      <c r="H35" s="383">
        <v>1</v>
      </c>
      <c r="I35" s="384">
        <v>0</v>
      </c>
      <c r="J35" s="382">
        <v>45971</v>
      </c>
      <c r="K35" s="379" t="s">
        <v>22</v>
      </c>
      <c r="L35" s="379" t="s">
        <v>22</v>
      </c>
      <c r="M35" s="385">
        <v>0</v>
      </c>
      <c r="N35" s="383"/>
      <c r="O35" s="383"/>
      <c r="P35" s="389">
        <v>14.42</v>
      </c>
    </row>
    <row r="36" spans="1:16" ht="19.5" customHeight="1">
      <c r="A36" s="379" t="s">
        <v>1232</v>
      </c>
      <c r="B36" s="382">
        <v>45978</v>
      </c>
      <c r="C36" s="379" t="s">
        <v>17</v>
      </c>
      <c r="D36" s="379" t="s">
        <v>18</v>
      </c>
      <c r="E36" s="379" t="s">
        <v>25</v>
      </c>
      <c r="F36" s="379" t="s">
        <v>26</v>
      </c>
      <c r="G36" s="379" t="s">
        <v>1229</v>
      </c>
      <c r="H36" s="383">
        <v>1</v>
      </c>
      <c r="I36" s="384">
        <v>0</v>
      </c>
      <c r="J36" s="382">
        <v>45978</v>
      </c>
      <c r="K36" s="379" t="s">
        <v>22</v>
      </c>
      <c r="L36" s="379" t="s">
        <v>22</v>
      </c>
      <c r="M36" s="385">
        <v>0</v>
      </c>
      <c r="N36" s="383"/>
      <c r="O36" s="383"/>
      <c r="P36" s="389">
        <v>-14.55</v>
      </c>
    </row>
    <row r="37" spans="1:16" ht="19.5" customHeight="1">
      <c r="A37" s="379" t="s">
        <v>1233</v>
      </c>
      <c r="B37" s="382">
        <v>45978</v>
      </c>
      <c r="C37" s="379" t="s">
        <v>28</v>
      </c>
      <c r="D37" s="379" t="s">
        <v>29</v>
      </c>
      <c r="E37" s="379" t="s">
        <v>223</v>
      </c>
      <c r="F37" s="379" t="s">
        <v>395</v>
      </c>
      <c r="G37" s="379" t="s">
        <v>1229</v>
      </c>
      <c r="H37" s="383">
        <v>1</v>
      </c>
      <c r="I37" s="384">
        <v>1687</v>
      </c>
      <c r="J37" s="382">
        <v>45971</v>
      </c>
      <c r="K37" s="379" t="s">
        <v>957</v>
      </c>
      <c r="L37" s="379" t="s">
        <v>30</v>
      </c>
      <c r="M37" s="385">
        <v>0.43</v>
      </c>
      <c r="N37" s="383"/>
      <c r="O37" s="383"/>
      <c r="P37" s="389">
        <v>-46</v>
      </c>
    </row>
    <row r="38" spans="1:16" ht="19.5" customHeight="1">
      <c r="A38" s="379" t="s">
        <v>1233</v>
      </c>
      <c r="B38" s="382">
        <v>45978</v>
      </c>
      <c r="C38" s="379" t="s">
        <v>31</v>
      </c>
      <c r="D38" s="379" t="s">
        <v>32</v>
      </c>
      <c r="E38" s="379" t="s">
        <v>223</v>
      </c>
      <c r="F38" s="379" t="s">
        <v>395</v>
      </c>
      <c r="G38" s="379" t="s">
        <v>1229</v>
      </c>
      <c r="H38" s="383">
        <v>1</v>
      </c>
      <c r="I38" s="384">
        <v>1687</v>
      </c>
      <c r="J38" s="382">
        <v>45971</v>
      </c>
      <c r="K38" s="379" t="s">
        <v>957</v>
      </c>
      <c r="L38" s="379" t="s">
        <v>30</v>
      </c>
      <c r="M38" s="385">
        <v>0</v>
      </c>
      <c r="N38" s="383"/>
      <c r="O38" s="383"/>
      <c r="P38" s="389">
        <v>897.14</v>
      </c>
    </row>
    <row r="39" spans="1:16" ht="19.5" customHeight="1">
      <c r="A39" s="379" t="s">
        <v>1233</v>
      </c>
      <c r="B39" s="382">
        <v>45978</v>
      </c>
      <c r="C39" s="379" t="s">
        <v>31</v>
      </c>
      <c r="D39" s="379" t="s">
        <v>33</v>
      </c>
      <c r="E39" s="379" t="s">
        <v>223</v>
      </c>
      <c r="F39" s="379" t="s">
        <v>395</v>
      </c>
      <c r="G39" s="379" t="s">
        <v>1229</v>
      </c>
      <c r="H39" s="383">
        <v>1</v>
      </c>
      <c r="I39" s="384">
        <v>1687</v>
      </c>
      <c r="J39" s="382">
        <v>45971</v>
      </c>
      <c r="K39" s="379" t="s">
        <v>957</v>
      </c>
      <c r="L39" s="379" t="s">
        <v>30</v>
      </c>
      <c r="M39" s="385">
        <v>0</v>
      </c>
      <c r="N39" s="383"/>
      <c r="O39" s="383"/>
      <c r="P39" s="389">
        <v>8.9700000000000006</v>
      </c>
    </row>
    <row r="40" spans="1:16" ht="19.5" customHeight="1">
      <c r="A40" s="379" t="s">
        <v>1233</v>
      </c>
      <c r="B40" s="382">
        <v>45978</v>
      </c>
      <c r="C40" s="379" t="s">
        <v>31</v>
      </c>
      <c r="D40" s="379" t="s">
        <v>34</v>
      </c>
      <c r="E40" s="379" t="s">
        <v>223</v>
      </c>
      <c r="F40" s="379" t="s">
        <v>395</v>
      </c>
      <c r="G40" s="379" t="s">
        <v>1229</v>
      </c>
      <c r="H40" s="383">
        <v>1</v>
      </c>
      <c r="I40" s="384">
        <v>1687</v>
      </c>
      <c r="J40" s="382">
        <v>45971</v>
      </c>
      <c r="K40" s="379" t="s">
        <v>957</v>
      </c>
      <c r="L40" s="379" t="s">
        <v>30</v>
      </c>
      <c r="M40" s="385">
        <v>0</v>
      </c>
      <c r="N40" s="383"/>
      <c r="O40" s="383"/>
      <c r="P40" s="389">
        <v>780.89</v>
      </c>
    </row>
    <row r="41" spans="1:16" ht="19.5" customHeight="1">
      <c r="A41" s="379" t="s">
        <v>1233</v>
      </c>
      <c r="B41" s="382">
        <v>45978</v>
      </c>
      <c r="C41" s="379" t="s">
        <v>35</v>
      </c>
      <c r="D41" s="379" t="s">
        <v>36</v>
      </c>
      <c r="E41" s="379" t="s">
        <v>223</v>
      </c>
      <c r="F41" s="379" t="s">
        <v>395</v>
      </c>
      <c r="G41" s="379" t="s">
        <v>1229</v>
      </c>
      <c r="H41" s="383">
        <v>1</v>
      </c>
      <c r="I41" s="384">
        <v>1687</v>
      </c>
      <c r="J41" s="382">
        <v>45971</v>
      </c>
      <c r="K41" s="379" t="s">
        <v>957</v>
      </c>
      <c r="L41" s="379" t="s">
        <v>30</v>
      </c>
      <c r="M41" s="385">
        <v>0.43</v>
      </c>
      <c r="N41" s="383"/>
      <c r="O41" s="383"/>
      <c r="P41" s="389">
        <v>-725.41</v>
      </c>
    </row>
    <row r="42" spans="1:16" ht="19.5" customHeight="1">
      <c r="A42" s="379" t="s">
        <v>1233</v>
      </c>
      <c r="B42" s="382">
        <v>45978</v>
      </c>
      <c r="C42" s="379" t="s">
        <v>17</v>
      </c>
      <c r="D42" s="379" t="s">
        <v>37</v>
      </c>
      <c r="E42" s="379" t="s">
        <v>223</v>
      </c>
      <c r="F42" s="379" t="s">
        <v>395</v>
      </c>
      <c r="G42" s="379" t="s">
        <v>1229</v>
      </c>
      <c r="H42" s="383">
        <v>1</v>
      </c>
      <c r="I42" s="384">
        <v>1687</v>
      </c>
      <c r="J42" s="382">
        <v>45971</v>
      </c>
      <c r="K42" s="379" t="s">
        <v>957</v>
      </c>
      <c r="L42" s="379" t="s">
        <v>30</v>
      </c>
      <c r="M42" s="385">
        <v>0.43</v>
      </c>
      <c r="N42" s="383"/>
      <c r="O42" s="383"/>
      <c r="P42" s="389">
        <v>-9.4700000000000006</v>
      </c>
    </row>
    <row r="43" spans="1:16" ht="19.5" customHeight="1">
      <c r="A43" s="379" t="s">
        <v>1233</v>
      </c>
      <c r="B43" s="382">
        <v>45978</v>
      </c>
      <c r="C43" s="379" t="s">
        <v>17</v>
      </c>
      <c r="D43" s="379" t="s">
        <v>18</v>
      </c>
      <c r="E43" s="379" t="s">
        <v>223</v>
      </c>
      <c r="F43" s="379" t="s">
        <v>395</v>
      </c>
      <c r="G43" s="379" t="s">
        <v>1229</v>
      </c>
      <c r="H43" s="383">
        <v>1</v>
      </c>
      <c r="I43" s="384">
        <v>0</v>
      </c>
      <c r="J43" s="382">
        <v>45971</v>
      </c>
      <c r="K43" s="379" t="s">
        <v>22</v>
      </c>
      <c r="L43" s="379" t="s">
        <v>22</v>
      </c>
      <c r="M43" s="385">
        <v>0</v>
      </c>
      <c r="N43" s="383"/>
      <c r="O43" s="383"/>
      <c r="P43" s="389">
        <v>-17.05</v>
      </c>
    </row>
    <row r="44" spans="1:16" ht="19.5" customHeight="1">
      <c r="A44" s="379" t="s">
        <v>1234</v>
      </c>
      <c r="B44" s="382">
        <v>45978</v>
      </c>
      <c r="C44" s="379" t="s">
        <v>28</v>
      </c>
      <c r="D44" s="379" t="s">
        <v>29</v>
      </c>
      <c r="E44" s="379" t="s">
        <v>237</v>
      </c>
      <c r="F44" s="379" t="s">
        <v>792</v>
      </c>
      <c r="G44" s="379" t="s">
        <v>1133</v>
      </c>
      <c r="H44" s="383">
        <v>1</v>
      </c>
      <c r="I44" s="384">
        <v>4548</v>
      </c>
      <c r="J44" s="382">
        <v>45977</v>
      </c>
      <c r="K44" s="379" t="s">
        <v>957</v>
      </c>
      <c r="L44" s="379" t="s">
        <v>30</v>
      </c>
      <c r="M44" s="385">
        <v>0.43</v>
      </c>
      <c r="N44" s="383"/>
      <c r="O44" s="383">
        <v>43</v>
      </c>
      <c r="P44" s="389">
        <v>-226.04</v>
      </c>
    </row>
    <row r="45" spans="1:16" ht="19.5" customHeight="1">
      <c r="A45" s="379" t="s">
        <v>1234</v>
      </c>
      <c r="B45" s="382">
        <v>45978</v>
      </c>
      <c r="C45" s="379" t="s">
        <v>31</v>
      </c>
      <c r="D45" s="379" t="s">
        <v>32</v>
      </c>
      <c r="E45" s="379" t="s">
        <v>237</v>
      </c>
      <c r="F45" s="379" t="s">
        <v>792</v>
      </c>
      <c r="G45" s="379" t="s">
        <v>1133</v>
      </c>
      <c r="H45" s="383">
        <v>1</v>
      </c>
      <c r="I45" s="384">
        <v>4548</v>
      </c>
      <c r="J45" s="382">
        <v>45977</v>
      </c>
      <c r="K45" s="379" t="s">
        <v>957</v>
      </c>
      <c r="L45" s="379" t="s">
        <v>30</v>
      </c>
      <c r="M45" s="385">
        <v>0</v>
      </c>
      <c r="N45" s="383"/>
      <c r="O45" s="383"/>
      <c r="P45" s="389">
        <v>2029.38</v>
      </c>
    </row>
    <row r="46" spans="1:16" ht="19.5" customHeight="1">
      <c r="A46" s="379" t="s">
        <v>1234</v>
      </c>
      <c r="B46" s="382">
        <v>45978</v>
      </c>
      <c r="C46" s="379" t="s">
        <v>31</v>
      </c>
      <c r="D46" s="379" t="s">
        <v>33</v>
      </c>
      <c r="E46" s="379" t="s">
        <v>237</v>
      </c>
      <c r="F46" s="379" t="s">
        <v>792</v>
      </c>
      <c r="G46" s="379" t="s">
        <v>1133</v>
      </c>
      <c r="H46" s="383">
        <v>1</v>
      </c>
      <c r="I46" s="384">
        <v>4548</v>
      </c>
      <c r="J46" s="382">
        <v>45977</v>
      </c>
      <c r="K46" s="379" t="s">
        <v>957</v>
      </c>
      <c r="L46" s="379" t="s">
        <v>30</v>
      </c>
      <c r="M46" s="385">
        <v>0</v>
      </c>
      <c r="N46" s="383"/>
      <c r="O46" s="383"/>
      <c r="P46" s="389">
        <v>20.29</v>
      </c>
    </row>
    <row r="47" spans="1:16" ht="19.5" customHeight="1">
      <c r="A47" s="379" t="s">
        <v>1234</v>
      </c>
      <c r="B47" s="382">
        <v>45978</v>
      </c>
      <c r="C47" s="379" t="s">
        <v>31</v>
      </c>
      <c r="D47" s="379" t="s">
        <v>34</v>
      </c>
      <c r="E47" s="379" t="s">
        <v>237</v>
      </c>
      <c r="F47" s="379" t="s">
        <v>792</v>
      </c>
      <c r="G47" s="379" t="s">
        <v>1133</v>
      </c>
      <c r="H47" s="383">
        <v>1</v>
      </c>
      <c r="I47" s="384">
        <v>4548</v>
      </c>
      <c r="J47" s="382">
        <v>45977</v>
      </c>
      <c r="K47" s="379" t="s">
        <v>957</v>
      </c>
      <c r="L47" s="379" t="s">
        <v>30</v>
      </c>
      <c r="M47" s="385">
        <v>0</v>
      </c>
      <c r="N47" s="383"/>
      <c r="O47" s="383"/>
      <c r="P47" s="389">
        <v>2498.33</v>
      </c>
    </row>
    <row r="48" spans="1:16" ht="19.5" customHeight="1">
      <c r="A48" s="379" t="s">
        <v>1234</v>
      </c>
      <c r="B48" s="382">
        <v>45978</v>
      </c>
      <c r="C48" s="379" t="s">
        <v>35</v>
      </c>
      <c r="D48" s="379" t="s">
        <v>36</v>
      </c>
      <c r="E48" s="379" t="s">
        <v>237</v>
      </c>
      <c r="F48" s="379" t="s">
        <v>792</v>
      </c>
      <c r="G48" s="379" t="s">
        <v>1133</v>
      </c>
      <c r="H48" s="383">
        <v>1</v>
      </c>
      <c r="I48" s="384">
        <v>4548</v>
      </c>
      <c r="J48" s="382">
        <v>45977</v>
      </c>
      <c r="K48" s="379" t="s">
        <v>957</v>
      </c>
      <c r="L48" s="379" t="s">
        <v>30</v>
      </c>
      <c r="M48" s="385">
        <v>0.43</v>
      </c>
      <c r="N48" s="383"/>
      <c r="O48" s="383"/>
      <c r="P48" s="389">
        <v>-1955.64</v>
      </c>
    </row>
    <row r="49" spans="1:16" ht="19.5" customHeight="1">
      <c r="A49" s="379" t="s">
        <v>1234</v>
      </c>
      <c r="B49" s="382">
        <v>45978</v>
      </c>
      <c r="C49" s="379" t="s">
        <v>17</v>
      </c>
      <c r="D49" s="379" t="s">
        <v>37</v>
      </c>
      <c r="E49" s="379" t="s">
        <v>237</v>
      </c>
      <c r="F49" s="379" t="s">
        <v>792</v>
      </c>
      <c r="G49" s="379" t="s">
        <v>1133</v>
      </c>
      <c r="H49" s="383">
        <v>1</v>
      </c>
      <c r="I49" s="384">
        <v>4548</v>
      </c>
      <c r="J49" s="382">
        <v>45977</v>
      </c>
      <c r="K49" s="379" t="s">
        <v>957</v>
      </c>
      <c r="L49" s="379" t="s">
        <v>30</v>
      </c>
      <c r="M49" s="385">
        <v>0.43</v>
      </c>
      <c r="N49" s="383"/>
      <c r="O49" s="383"/>
      <c r="P49" s="389">
        <v>-12.48</v>
      </c>
    </row>
    <row r="50" spans="1:16" ht="19.5" customHeight="1">
      <c r="A50" s="379" t="s">
        <v>1234</v>
      </c>
      <c r="B50" s="382">
        <v>45978</v>
      </c>
      <c r="C50" s="379" t="s">
        <v>17</v>
      </c>
      <c r="D50" s="379" t="s">
        <v>18</v>
      </c>
      <c r="E50" s="379" t="s">
        <v>237</v>
      </c>
      <c r="F50" s="379" t="s">
        <v>792</v>
      </c>
      <c r="G50" s="379" t="s">
        <v>1133</v>
      </c>
      <c r="H50" s="383">
        <v>1</v>
      </c>
      <c r="I50" s="384">
        <v>0</v>
      </c>
      <c r="J50" s="382">
        <v>45977</v>
      </c>
      <c r="K50" s="379" t="s">
        <v>22</v>
      </c>
      <c r="L50" s="379" t="s">
        <v>22</v>
      </c>
      <c r="M50" s="385">
        <v>0</v>
      </c>
      <c r="N50" s="383"/>
      <c r="O50" s="383"/>
      <c r="P50" s="389">
        <v>-38.56</v>
      </c>
    </row>
    <row r="51" spans="1:16" ht="19.5" customHeight="1">
      <c r="A51" s="379" t="s">
        <v>1235</v>
      </c>
      <c r="B51" s="382">
        <v>45978</v>
      </c>
      <c r="C51" s="379" t="s">
        <v>28</v>
      </c>
      <c r="D51" s="379" t="s">
        <v>29</v>
      </c>
      <c r="E51" s="379" t="s">
        <v>223</v>
      </c>
      <c r="F51" s="379" t="s">
        <v>395</v>
      </c>
      <c r="G51" s="379" t="s">
        <v>1229</v>
      </c>
      <c r="H51" s="383">
        <v>1</v>
      </c>
      <c r="I51" s="384">
        <v>1309</v>
      </c>
      <c r="J51" s="382">
        <v>45972</v>
      </c>
      <c r="K51" s="379" t="s">
        <v>957</v>
      </c>
      <c r="L51" s="379" t="s">
        <v>30</v>
      </c>
      <c r="M51" s="385">
        <v>0.43</v>
      </c>
      <c r="N51" s="383"/>
      <c r="O51" s="383"/>
      <c r="P51" s="389">
        <v>-46</v>
      </c>
    </row>
    <row r="52" spans="1:16" ht="19.5" customHeight="1">
      <c r="A52" s="379" t="s">
        <v>1235</v>
      </c>
      <c r="B52" s="382">
        <v>45978</v>
      </c>
      <c r="C52" s="379" t="s">
        <v>31</v>
      </c>
      <c r="D52" s="379" t="s">
        <v>32</v>
      </c>
      <c r="E52" s="379" t="s">
        <v>223</v>
      </c>
      <c r="F52" s="379" t="s">
        <v>395</v>
      </c>
      <c r="G52" s="379" t="s">
        <v>1229</v>
      </c>
      <c r="H52" s="383">
        <v>1</v>
      </c>
      <c r="I52" s="384">
        <v>1309</v>
      </c>
      <c r="J52" s="382">
        <v>45972</v>
      </c>
      <c r="K52" s="379" t="s">
        <v>957</v>
      </c>
      <c r="L52" s="379" t="s">
        <v>30</v>
      </c>
      <c r="M52" s="385">
        <v>0</v>
      </c>
      <c r="N52" s="383"/>
      <c r="O52" s="383"/>
      <c r="P52" s="389">
        <v>571.42999999999995</v>
      </c>
    </row>
    <row r="53" spans="1:16" ht="19.5" customHeight="1">
      <c r="A53" s="379" t="s">
        <v>1235</v>
      </c>
      <c r="B53" s="382">
        <v>45978</v>
      </c>
      <c r="C53" s="379" t="s">
        <v>31</v>
      </c>
      <c r="D53" s="379" t="s">
        <v>33</v>
      </c>
      <c r="E53" s="379" t="s">
        <v>223</v>
      </c>
      <c r="F53" s="379" t="s">
        <v>395</v>
      </c>
      <c r="G53" s="379" t="s">
        <v>1229</v>
      </c>
      <c r="H53" s="383">
        <v>1</v>
      </c>
      <c r="I53" s="384">
        <v>1309</v>
      </c>
      <c r="J53" s="382">
        <v>45972</v>
      </c>
      <c r="K53" s="379" t="s">
        <v>957</v>
      </c>
      <c r="L53" s="379" t="s">
        <v>30</v>
      </c>
      <c r="M53" s="385">
        <v>0</v>
      </c>
      <c r="N53" s="383"/>
      <c r="O53" s="383"/>
      <c r="P53" s="389">
        <v>5.71</v>
      </c>
    </row>
    <row r="54" spans="1:16" ht="19.5" customHeight="1">
      <c r="A54" s="379" t="s">
        <v>1235</v>
      </c>
      <c r="B54" s="382">
        <v>45978</v>
      </c>
      <c r="C54" s="379" t="s">
        <v>31</v>
      </c>
      <c r="D54" s="379" t="s">
        <v>34</v>
      </c>
      <c r="E54" s="379" t="s">
        <v>223</v>
      </c>
      <c r="F54" s="379" t="s">
        <v>395</v>
      </c>
      <c r="G54" s="379" t="s">
        <v>1229</v>
      </c>
      <c r="H54" s="383">
        <v>1</v>
      </c>
      <c r="I54" s="384">
        <v>1309</v>
      </c>
      <c r="J54" s="382">
        <v>45972</v>
      </c>
      <c r="K54" s="379" t="s">
        <v>957</v>
      </c>
      <c r="L54" s="379" t="s">
        <v>30</v>
      </c>
      <c r="M54" s="385">
        <v>0</v>
      </c>
      <c r="N54" s="383"/>
      <c r="O54" s="383"/>
      <c r="P54" s="389">
        <v>731.86</v>
      </c>
    </row>
    <row r="55" spans="1:16" ht="19.5" customHeight="1">
      <c r="A55" s="379" t="s">
        <v>1235</v>
      </c>
      <c r="B55" s="382">
        <v>45978</v>
      </c>
      <c r="C55" s="379" t="s">
        <v>35</v>
      </c>
      <c r="D55" s="379" t="s">
        <v>36</v>
      </c>
      <c r="E55" s="379" t="s">
        <v>223</v>
      </c>
      <c r="F55" s="379" t="s">
        <v>395</v>
      </c>
      <c r="G55" s="379" t="s">
        <v>1229</v>
      </c>
      <c r="H55" s="383">
        <v>1</v>
      </c>
      <c r="I55" s="384">
        <v>1309</v>
      </c>
      <c r="J55" s="382">
        <v>45972</v>
      </c>
      <c r="K55" s="379" t="s">
        <v>957</v>
      </c>
      <c r="L55" s="379" t="s">
        <v>30</v>
      </c>
      <c r="M55" s="385">
        <v>0.43</v>
      </c>
      <c r="N55" s="383"/>
      <c r="O55" s="383"/>
      <c r="P55" s="389">
        <v>-562.87</v>
      </c>
    </row>
    <row r="56" spans="1:16" ht="19.5" customHeight="1">
      <c r="A56" s="379" t="s">
        <v>1235</v>
      </c>
      <c r="B56" s="382">
        <v>45978</v>
      </c>
      <c r="C56" s="379" t="s">
        <v>17</v>
      </c>
      <c r="D56" s="379" t="s">
        <v>37</v>
      </c>
      <c r="E56" s="379" t="s">
        <v>223</v>
      </c>
      <c r="F56" s="379" t="s">
        <v>395</v>
      </c>
      <c r="G56" s="379" t="s">
        <v>1229</v>
      </c>
      <c r="H56" s="383">
        <v>1</v>
      </c>
      <c r="I56" s="384">
        <v>1309</v>
      </c>
      <c r="J56" s="382">
        <v>45972</v>
      </c>
      <c r="K56" s="379" t="s">
        <v>957</v>
      </c>
      <c r="L56" s="379" t="s">
        <v>30</v>
      </c>
      <c r="M56" s="385">
        <v>0.43</v>
      </c>
      <c r="N56" s="383"/>
      <c r="O56" s="383"/>
      <c r="P56" s="389">
        <v>-5.45</v>
      </c>
    </row>
    <row r="57" spans="1:16" ht="19.5" customHeight="1">
      <c r="A57" s="379" t="s">
        <v>1235</v>
      </c>
      <c r="B57" s="382">
        <v>45978</v>
      </c>
      <c r="C57" s="379" t="s">
        <v>17</v>
      </c>
      <c r="D57" s="379" t="s">
        <v>18</v>
      </c>
      <c r="E57" s="379" t="s">
        <v>223</v>
      </c>
      <c r="F57" s="379" t="s">
        <v>395</v>
      </c>
      <c r="G57" s="379" t="s">
        <v>1229</v>
      </c>
      <c r="H57" s="383">
        <v>1</v>
      </c>
      <c r="I57" s="384">
        <v>0</v>
      </c>
      <c r="J57" s="382">
        <v>45972</v>
      </c>
      <c r="K57" s="379" t="s">
        <v>22</v>
      </c>
      <c r="L57" s="379" t="s">
        <v>22</v>
      </c>
      <c r="M57" s="385">
        <v>0</v>
      </c>
      <c r="N57" s="383"/>
      <c r="O57" s="383"/>
      <c r="P57" s="389">
        <v>-10.86</v>
      </c>
    </row>
    <row r="58" spans="1:16" ht="19.5" customHeight="1">
      <c r="A58" s="379" t="s">
        <v>1236</v>
      </c>
      <c r="B58" s="382">
        <v>45978</v>
      </c>
      <c r="C58" s="379" t="s">
        <v>17</v>
      </c>
      <c r="D58" s="379" t="s">
        <v>18</v>
      </c>
      <c r="E58" s="379" t="s">
        <v>25</v>
      </c>
      <c r="F58" s="379" t="s">
        <v>26</v>
      </c>
      <c r="G58" s="379" t="s">
        <v>1229</v>
      </c>
      <c r="H58" s="383">
        <v>1</v>
      </c>
      <c r="I58" s="384">
        <v>0</v>
      </c>
      <c r="J58" s="382">
        <v>45978</v>
      </c>
      <c r="K58" s="379" t="s">
        <v>22</v>
      </c>
      <c r="L58" s="379" t="s">
        <v>22</v>
      </c>
      <c r="M58" s="385">
        <v>0</v>
      </c>
      <c r="N58" s="383"/>
      <c r="O58" s="383"/>
      <c r="P58" s="389">
        <v>-15.53</v>
      </c>
    </row>
    <row r="59" spans="1:16" ht="19.5" customHeight="1">
      <c r="A59" s="379" t="s">
        <v>1237</v>
      </c>
      <c r="B59" s="382">
        <v>45978</v>
      </c>
      <c r="C59" s="379" t="s">
        <v>28</v>
      </c>
      <c r="D59" s="379" t="s">
        <v>29</v>
      </c>
      <c r="E59" s="379" t="s">
        <v>236</v>
      </c>
      <c r="F59" s="379" t="s">
        <v>1064</v>
      </c>
      <c r="G59" s="379" t="s">
        <v>1133</v>
      </c>
      <c r="H59" s="383">
        <v>1</v>
      </c>
      <c r="I59" s="384">
        <v>3276</v>
      </c>
      <c r="J59" s="382">
        <v>45973</v>
      </c>
      <c r="K59" s="379" t="s">
        <v>957</v>
      </c>
      <c r="L59" s="379" t="s">
        <v>30</v>
      </c>
      <c r="M59" s="385">
        <v>0.43</v>
      </c>
      <c r="N59" s="383"/>
      <c r="O59" s="383"/>
      <c r="P59" s="389">
        <v>-56</v>
      </c>
    </row>
    <row r="60" spans="1:16" ht="19.5" customHeight="1">
      <c r="A60" s="379" t="s">
        <v>1237</v>
      </c>
      <c r="B60" s="382">
        <v>45978</v>
      </c>
      <c r="C60" s="379" t="s">
        <v>31</v>
      </c>
      <c r="D60" s="379" t="s">
        <v>32</v>
      </c>
      <c r="E60" s="379" t="s">
        <v>236</v>
      </c>
      <c r="F60" s="379" t="s">
        <v>1064</v>
      </c>
      <c r="G60" s="379" t="s">
        <v>1133</v>
      </c>
      <c r="H60" s="383">
        <v>1</v>
      </c>
      <c r="I60" s="384">
        <v>3276</v>
      </c>
      <c r="J60" s="382">
        <v>45973</v>
      </c>
      <c r="K60" s="379" t="s">
        <v>957</v>
      </c>
      <c r="L60" s="379" t="s">
        <v>30</v>
      </c>
      <c r="M60" s="385">
        <v>0</v>
      </c>
      <c r="N60" s="383"/>
      <c r="O60" s="383"/>
      <c r="P60" s="389">
        <v>1146.53</v>
      </c>
    </row>
    <row r="61" spans="1:16" ht="19.5" customHeight="1">
      <c r="A61" s="379" t="s">
        <v>1237</v>
      </c>
      <c r="B61" s="382">
        <v>45978</v>
      </c>
      <c r="C61" s="379" t="s">
        <v>31</v>
      </c>
      <c r="D61" s="379" t="s">
        <v>33</v>
      </c>
      <c r="E61" s="379" t="s">
        <v>236</v>
      </c>
      <c r="F61" s="379" t="s">
        <v>1064</v>
      </c>
      <c r="G61" s="379" t="s">
        <v>1133</v>
      </c>
      <c r="H61" s="383">
        <v>1</v>
      </c>
      <c r="I61" s="384">
        <v>3276</v>
      </c>
      <c r="J61" s="382">
        <v>45973</v>
      </c>
      <c r="K61" s="379" t="s">
        <v>957</v>
      </c>
      <c r="L61" s="379" t="s">
        <v>30</v>
      </c>
      <c r="M61" s="385">
        <v>0</v>
      </c>
      <c r="N61" s="383"/>
      <c r="O61" s="383"/>
      <c r="P61" s="389">
        <v>11.47</v>
      </c>
    </row>
    <row r="62" spans="1:16" ht="19.5" customHeight="1">
      <c r="A62" s="379" t="s">
        <v>1237</v>
      </c>
      <c r="B62" s="382">
        <v>45978</v>
      </c>
      <c r="C62" s="379" t="s">
        <v>31</v>
      </c>
      <c r="D62" s="379" t="s">
        <v>34</v>
      </c>
      <c r="E62" s="379" t="s">
        <v>236</v>
      </c>
      <c r="F62" s="379" t="s">
        <v>1064</v>
      </c>
      <c r="G62" s="379" t="s">
        <v>1133</v>
      </c>
      <c r="H62" s="383">
        <v>1</v>
      </c>
      <c r="I62" s="384">
        <v>3276</v>
      </c>
      <c r="J62" s="382">
        <v>45973</v>
      </c>
      <c r="K62" s="379" t="s">
        <v>957</v>
      </c>
      <c r="L62" s="379" t="s">
        <v>30</v>
      </c>
      <c r="M62" s="385">
        <v>0</v>
      </c>
      <c r="N62" s="383"/>
      <c r="O62" s="383"/>
      <c r="P62" s="389">
        <v>2118</v>
      </c>
    </row>
    <row r="63" spans="1:16" ht="19.5" customHeight="1">
      <c r="A63" s="379" t="s">
        <v>1237</v>
      </c>
      <c r="B63" s="382">
        <v>45978</v>
      </c>
      <c r="C63" s="379" t="s">
        <v>35</v>
      </c>
      <c r="D63" s="379" t="s">
        <v>36</v>
      </c>
      <c r="E63" s="379" t="s">
        <v>236</v>
      </c>
      <c r="F63" s="379" t="s">
        <v>1064</v>
      </c>
      <c r="G63" s="379" t="s">
        <v>1133</v>
      </c>
      <c r="H63" s="383">
        <v>1</v>
      </c>
      <c r="I63" s="384">
        <v>3276</v>
      </c>
      <c r="J63" s="382">
        <v>45973</v>
      </c>
      <c r="K63" s="379" t="s">
        <v>957</v>
      </c>
      <c r="L63" s="379" t="s">
        <v>30</v>
      </c>
      <c r="M63" s="385">
        <v>0.43</v>
      </c>
      <c r="N63" s="383"/>
      <c r="O63" s="383"/>
      <c r="P63" s="389">
        <v>-1408.68</v>
      </c>
    </row>
    <row r="64" spans="1:16" ht="19.5" customHeight="1">
      <c r="A64" s="379" t="s">
        <v>1237</v>
      </c>
      <c r="B64" s="382">
        <v>45978</v>
      </c>
      <c r="C64" s="379" t="s">
        <v>17</v>
      </c>
      <c r="D64" s="379" t="s">
        <v>37</v>
      </c>
      <c r="E64" s="379" t="s">
        <v>236</v>
      </c>
      <c r="F64" s="379" t="s">
        <v>1064</v>
      </c>
      <c r="G64" s="379" t="s">
        <v>1133</v>
      </c>
      <c r="H64" s="383">
        <v>1</v>
      </c>
      <c r="I64" s="384">
        <v>3276</v>
      </c>
      <c r="J64" s="382">
        <v>45973</v>
      </c>
      <c r="K64" s="379" t="s">
        <v>957</v>
      </c>
      <c r="L64" s="379" t="s">
        <v>30</v>
      </c>
      <c r="M64" s="385">
        <v>0.43</v>
      </c>
      <c r="N64" s="383"/>
      <c r="O64" s="383"/>
      <c r="P64" s="389">
        <v>-10.029999999999999</v>
      </c>
    </row>
    <row r="65" spans="1:16" ht="19.5" customHeight="1">
      <c r="A65" s="379" t="s">
        <v>1237</v>
      </c>
      <c r="B65" s="382">
        <v>45978</v>
      </c>
      <c r="C65" s="379" t="s">
        <v>17</v>
      </c>
      <c r="D65" s="379" t="s">
        <v>18</v>
      </c>
      <c r="E65" s="379" t="s">
        <v>236</v>
      </c>
      <c r="F65" s="379" t="s">
        <v>1064</v>
      </c>
      <c r="G65" s="379" t="s">
        <v>1133</v>
      </c>
      <c r="H65" s="383">
        <v>1</v>
      </c>
      <c r="I65" s="384">
        <v>0</v>
      </c>
      <c r="J65" s="382">
        <v>45973</v>
      </c>
      <c r="K65" s="379" t="s">
        <v>22</v>
      </c>
      <c r="L65" s="379" t="s">
        <v>22</v>
      </c>
      <c r="M65" s="385">
        <v>0</v>
      </c>
      <c r="N65" s="383"/>
      <c r="O65" s="383"/>
      <c r="P65" s="389">
        <v>-21.78</v>
      </c>
    </row>
    <row r="66" spans="1:16" ht="19.5" customHeight="1">
      <c r="A66" s="379" t="s">
        <v>1238</v>
      </c>
      <c r="B66" s="382">
        <v>45978</v>
      </c>
      <c r="C66" s="379" t="s">
        <v>17</v>
      </c>
      <c r="D66" s="379" t="s">
        <v>18</v>
      </c>
      <c r="E66" s="379" t="s">
        <v>226</v>
      </c>
      <c r="F66" s="379" t="s">
        <v>428</v>
      </c>
      <c r="G66" s="379" t="s">
        <v>1229</v>
      </c>
      <c r="H66" s="383">
        <v>1</v>
      </c>
      <c r="I66" s="384">
        <v>0</v>
      </c>
      <c r="J66" s="382">
        <v>45978</v>
      </c>
      <c r="K66" s="379" t="s">
        <v>22</v>
      </c>
      <c r="L66" s="379" t="s">
        <v>22</v>
      </c>
      <c r="M66" s="385">
        <v>0</v>
      </c>
      <c r="N66" s="383"/>
      <c r="O66" s="383"/>
      <c r="P66" s="389">
        <v>-16.36</v>
      </c>
    </row>
    <row r="67" spans="1:16" ht="19.5" customHeight="1">
      <c r="A67" s="379" t="s">
        <v>1239</v>
      </c>
      <c r="B67" s="382">
        <v>45978</v>
      </c>
      <c r="C67" s="379" t="s">
        <v>28</v>
      </c>
      <c r="D67" s="379" t="s">
        <v>29</v>
      </c>
      <c r="E67" s="379" t="s">
        <v>240</v>
      </c>
      <c r="F67" s="379" t="s">
        <v>802</v>
      </c>
      <c r="G67" s="379" t="s">
        <v>1133</v>
      </c>
      <c r="H67" s="383">
        <v>1</v>
      </c>
      <c r="I67" s="384">
        <v>0</v>
      </c>
      <c r="J67" s="382">
        <v>45970</v>
      </c>
      <c r="K67" s="379" t="s">
        <v>957</v>
      </c>
      <c r="L67" s="379" t="s">
        <v>30</v>
      </c>
      <c r="M67" s="385">
        <v>0</v>
      </c>
      <c r="N67" s="383"/>
      <c r="O67" s="383"/>
      <c r="P67" s="389">
        <v>-56</v>
      </c>
    </row>
    <row r="68" spans="1:16" ht="19.5" customHeight="1">
      <c r="A68" s="379" t="s">
        <v>1239</v>
      </c>
      <c r="B68" s="382">
        <v>45978</v>
      </c>
      <c r="C68" s="379" t="s">
        <v>17</v>
      </c>
      <c r="D68" s="379" t="s">
        <v>37</v>
      </c>
      <c r="E68" s="379" t="s">
        <v>240</v>
      </c>
      <c r="F68" s="379" t="s">
        <v>802</v>
      </c>
      <c r="G68" s="379" t="s">
        <v>1133</v>
      </c>
      <c r="H68" s="383">
        <v>1</v>
      </c>
      <c r="I68" s="384">
        <v>0</v>
      </c>
      <c r="J68" s="382">
        <v>45970</v>
      </c>
      <c r="K68" s="379" t="s">
        <v>957</v>
      </c>
      <c r="L68" s="379" t="s">
        <v>30</v>
      </c>
      <c r="M68" s="385">
        <v>0</v>
      </c>
      <c r="N68" s="383"/>
      <c r="O68" s="383"/>
      <c r="P68" s="389">
        <v>-15.23</v>
      </c>
    </row>
    <row r="69" spans="1:16" ht="19.5" customHeight="1">
      <c r="A69" s="379" t="s">
        <v>1239</v>
      </c>
      <c r="B69" s="382">
        <v>45978</v>
      </c>
      <c r="C69" s="379" t="s">
        <v>28</v>
      </c>
      <c r="D69" s="379" t="s">
        <v>45</v>
      </c>
      <c r="E69" s="379" t="s">
        <v>240</v>
      </c>
      <c r="F69" s="379" t="s">
        <v>802</v>
      </c>
      <c r="G69" s="379" t="s">
        <v>1133</v>
      </c>
      <c r="H69" s="383">
        <v>1</v>
      </c>
      <c r="I69" s="384">
        <v>0</v>
      </c>
      <c r="J69" s="382">
        <v>45970</v>
      </c>
      <c r="K69" s="379" t="s">
        <v>957</v>
      </c>
      <c r="L69" s="379" t="s">
        <v>30</v>
      </c>
      <c r="M69" s="385">
        <v>0</v>
      </c>
      <c r="N69" s="383"/>
      <c r="O69" s="383"/>
      <c r="P69" s="389">
        <v>0</v>
      </c>
    </row>
    <row r="70" spans="1:16" ht="19.5" customHeight="1">
      <c r="A70" s="379" t="s">
        <v>1239</v>
      </c>
      <c r="B70" s="382">
        <v>45978</v>
      </c>
      <c r="C70" s="379" t="s">
        <v>28</v>
      </c>
      <c r="D70" s="379" t="s">
        <v>46</v>
      </c>
      <c r="E70" s="379" t="s">
        <v>240</v>
      </c>
      <c r="F70" s="379" t="s">
        <v>802</v>
      </c>
      <c r="G70" s="379" t="s">
        <v>1133</v>
      </c>
      <c r="H70" s="383">
        <v>1</v>
      </c>
      <c r="I70" s="384">
        <v>0</v>
      </c>
      <c r="J70" s="382">
        <v>45970</v>
      </c>
      <c r="K70" s="379" t="s">
        <v>957</v>
      </c>
      <c r="L70" s="379" t="s">
        <v>30</v>
      </c>
      <c r="M70" s="385">
        <v>0</v>
      </c>
      <c r="N70" s="383"/>
      <c r="O70" s="383"/>
      <c r="P70" s="389">
        <v>-56</v>
      </c>
    </row>
    <row r="71" spans="1:16" ht="19.5" customHeight="1">
      <c r="A71" s="379" t="s">
        <v>1239</v>
      </c>
      <c r="B71" s="382">
        <v>45978</v>
      </c>
      <c r="C71" s="379" t="s">
        <v>17</v>
      </c>
      <c r="D71" s="379" t="s">
        <v>47</v>
      </c>
      <c r="E71" s="379" t="s">
        <v>240</v>
      </c>
      <c r="F71" s="379" t="s">
        <v>802</v>
      </c>
      <c r="G71" s="379" t="s">
        <v>1133</v>
      </c>
      <c r="H71" s="383">
        <v>1</v>
      </c>
      <c r="I71" s="384">
        <v>0</v>
      </c>
      <c r="J71" s="382">
        <v>45970</v>
      </c>
      <c r="K71" s="379" t="s">
        <v>957</v>
      </c>
      <c r="L71" s="379" t="s">
        <v>30</v>
      </c>
      <c r="M71" s="385">
        <v>0</v>
      </c>
      <c r="N71" s="383"/>
      <c r="O71" s="383"/>
      <c r="P71" s="389">
        <v>-15</v>
      </c>
    </row>
    <row r="72" spans="1:16" ht="19.5" customHeight="1">
      <c r="A72" s="379" t="s">
        <v>22</v>
      </c>
      <c r="B72" s="382">
        <v>45978</v>
      </c>
      <c r="C72" s="379" t="s">
        <v>77</v>
      </c>
      <c r="D72" s="379" t="s">
        <v>78</v>
      </c>
      <c r="E72" s="379" t="s">
        <v>22</v>
      </c>
      <c r="F72" s="379" t="s">
        <v>22</v>
      </c>
      <c r="G72" s="379" t="s">
        <v>1240</v>
      </c>
      <c r="H72" s="383">
        <v>0</v>
      </c>
      <c r="I72" s="384">
        <v>0</v>
      </c>
      <c r="J72" s="382">
        <v>45978</v>
      </c>
      <c r="K72" s="379" t="s">
        <v>22</v>
      </c>
      <c r="L72" s="379" t="s">
        <v>22</v>
      </c>
      <c r="M72" s="385">
        <v>0</v>
      </c>
      <c r="N72" s="383"/>
      <c r="O72" s="383"/>
      <c r="P72" s="389">
        <v>-450</v>
      </c>
    </row>
    <row r="73" spans="1:16" ht="19.5" customHeight="1">
      <c r="A73" s="379" t="s">
        <v>1241</v>
      </c>
      <c r="B73" s="382">
        <v>45978</v>
      </c>
      <c r="C73" s="379" t="s">
        <v>17</v>
      </c>
      <c r="D73" s="379" t="s">
        <v>18</v>
      </c>
      <c r="E73" s="379" t="s">
        <v>223</v>
      </c>
      <c r="F73" s="379" t="s">
        <v>395</v>
      </c>
      <c r="G73" s="379" t="s">
        <v>1229</v>
      </c>
      <c r="H73" s="383">
        <v>1</v>
      </c>
      <c r="I73" s="384">
        <v>0</v>
      </c>
      <c r="J73" s="382">
        <v>45978</v>
      </c>
      <c r="K73" s="379" t="s">
        <v>22</v>
      </c>
      <c r="L73" s="379" t="s">
        <v>22</v>
      </c>
      <c r="M73" s="385">
        <v>0</v>
      </c>
      <c r="N73" s="383"/>
      <c r="O73" s="383"/>
      <c r="P73" s="389">
        <v>-11.12</v>
      </c>
    </row>
    <row r="74" spans="1:16" ht="19.5" customHeight="1">
      <c r="A74" s="379" t="s">
        <v>22</v>
      </c>
      <c r="B74" s="382">
        <v>45978</v>
      </c>
      <c r="C74" s="379" t="s">
        <v>77</v>
      </c>
      <c r="D74" s="379" t="s">
        <v>80</v>
      </c>
      <c r="E74" s="379" t="s">
        <v>22</v>
      </c>
      <c r="F74" s="379" t="s">
        <v>22</v>
      </c>
      <c r="G74" s="379" t="s">
        <v>22</v>
      </c>
      <c r="H74" s="383">
        <v>0</v>
      </c>
      <c r="I74" s="384">
        <v>0</v>
      </c>
      <c r="J74" s="382">
        <v>45978</v>
      </c>
      <c r="K74" s="379" t="s">
        <v>22</v>
      </c>
      <c r="L74" s="379" t="s">
        <v>22</v>
      </c>
      <c r="M74" s="385">
        <v>0</v>
      </c>
      <c r="N74" s="383"/>
      <c r="O74" s="383"/>
      <c r="P74" s="389">
        <v>-864</v>
      </c>
    </row>
    <row r="75" spans="1:16" ht="19.5" customHeight="1">
      <c r="A75" s="379" t="s">
        <v>1075</v>
      </c>
      <c r="B75" s="382">
        <v>45978</v>
      </c>
      <c r="C75" s="379" t="s">
        <v>77</v>
      </c>
      <c r="D75" s="379" t="s">
        <v>82</v>
      </c>
      <c r="E75" s="379" t="s">
        <v>22</v>
      </c>
      <c r="F75" s="379" t="s">
        <v>22</v>
      </c>
      <c r="G75" s="379" t="s">
        <v>22</v>
      </c>
      <c r="H75" s="383">
        <v>0</v>
      </c>
      <c r="I75" s="384">
        <v>0</v>
      </c>
      <c r="J75" s="382">
        <v>45978</v>
      </c>
      <c r="K75" s="379" t="s">
        <v>22</v>
      </c>
      <c r="L75" s="379" t="s">
        <v>22</v>
      </c>
      <c r="M75" s="385">
        <v>0</v>
      </c>
      <c r="N75" s="383"/>
      <c r="O75" s="383"/>
      <c r="P75" s="389">
        <v>-1068.19</v>
      </c>
    </row>
    <row r="76" spans="1:16" ht="19.5" customHeight="1">
      <c r="A76" s="379" t="s">
        <v>1169</v>
      </c>
      <c r="B76" s="382">
        <v>45978</v>
      </c>
      <c r="C76" s="379" t="s">
        <v>77</v>
      </c>
      <c r="D76" s="379" t="s">
        <v>82</v>
      </c>
      <c r="E76" s="379" t="s">
        <v>22</v>
      </c>
      <c r="F76" s="379" t="s">
        <v>22</v>
      </c>
      <c r="G76" s="379" t="s">
        <v>22</v>
      </c>
      <c r="H76" s="383">
        <v>0</v>
      </c>
      <c r="I76" s="384">
        <v>0</v>
      </c>
      <c r="J76" s="382">
        <v>45978</v>
      </c>
      <c r="K76" s="379" t="s">
        <v>22</v>
      </c>
      <c r="L76" s="379" t="s">
        <v>22</v>
      </c>
      <c r="M76" s="385">
        <v>0</v>
      </c>
      <c r="N76" s="383"/>
      <c r="O76" s="383"/>
      <c r="P76" s="389">
        <v>-283.92</v>
      </c>
    </row>
    <row r="77" spans="1:16" ht="19.5" customHeight="1">
      <c r="A77" s="379" t="s">
        <v>1183</v>
      </c>
      <c r="B77" s="382">
        <v>45978</v>
      </c>
      <c r="C77" s="379" t="s">
        <v>77</v>
      </c>
      <c r="D77" s="379" t="s">
        <v>82</v>
      </c>
      <c r="E77" s="379" t="s">
        <v>22</v>
      </c>
      <c r="F77" s="379" t="s">
        <v>22</v>
      </c>
      <c r="G77" s="379" t="s">
        <v>22</v>
      </c>
      <c r="H77" s="383">
        <v>0</v>
      </c>
      <c r="I77" s="384">
        <v>0</v>
      </c>
      <c r="J77" s="382">
        <v>45978</v>
      </c>
      <c r="K77" s="379" t="s">
        <v>22</v>
      </c>
      <c r="L77" s="379" t="s">
        <v>22</v>
      </c>
      <c r="M77" s="385">
        <v>0</v>
      </c>
      <c r="N77" s="383"/>
      <c r="O77" s="383"/>
      <c r="P77" s="389">
        <v>-299.74</v>
      </c>
    </row>
    <row r="78" spans="1:16" ht="19.5" customHeight="1">
      <c r="A78" s="379" t="s">
        <v>1242</v>
      </c>
      <c r="B78" s="382">
        <v>45978</v>
      </c>
      <c r="C78" s="379" t="s">
        <v>77</v>
      </c>
      <c r="D78" s="379" t="s">
        <v>82</v>
      </c>
      <c r="E78" s="379" t="s">
        <v>22</v>
      </c>
      <c r="F78" s="379" t="s">
        <v>22</v>
      </c>
      <c r="G78" s="379" t="s">
        <v>22</v>
      </c>
      <c r="H78" s="383">
        <v>0</v>
      </c>
      <c r="I78" s="384">
        <v>0</v>
      </c>
      <c r="J78" s="382">
        <v>45978</v>
      </c>
      <c r="K78" s="379" t="s">
        <v>22</v>
      </c>
      <c r="L78" s="379" t="s">
        <v>22</v>
      </c>
      <c r="M78" s="385">
        <v>0</v>
      </c>
      <c r="N78" s="383"/>
      <c r="O78" s="383"/>
      <c r="P78" s="389">
        <v>-269.67</v>
      </c>
    </row>
    <row r="79" spans="1:16" ht="19.5" customHeight="1">
      <c r="A79" s="379" t="s">
        <v>83</v>
      </c>
      <c r="B79" s="382">
        <v>45978</v>
      </c>
      <c r="C79" s="379" t="s">
        <v>77</v>
      </c>
      <c r="D79" s="379" t="s">
        <v>84</v>
      </c>
      <c r="E79" s="379" t="s">
        <v>22</v>
      </c>
      <c r="F79" s="379" t="s">
        <v>22</v>
      </c>
      <c r="G79" s="379" t="s">
        <v>22</v>
      </c>
      <c r="H79" s="383">
        <v>0</v>
      </c>
      <c r="I79" s="384">
        <v>0</v>
      </c>
      <c r="J79" s="382">
        <v>45978</v>
      </c>
      <c r="K79" s="379" t="s">
        <v>22</v>
      </c>
      <c r="L79" s="379" t="s">
        <v>22</v>
      </c>
      <c r="M79" s="385">
        <v>0</v>
      </c>
      <c r="N79" s="383"/>
      <c r="O79" s="383"/>
      <c r="P79" s="389">
        <v>-1818.18</v>
      </c>
    </row>
    <row r="80" spans="1:16" ht="19.5" customHeight="1">
      <c r="A80" s="379" t="s">
        <v>1105</v>
      </c>
      <c r="B80" s="382">
        <v>45978</v>
      </c>
      <c r="C80" s="379" t="s">
        <v>77</v>
      </c>
      <c r="D80" s="379" t="s">
        <v>82</v>
      </c>
      <c r="E80" s="379" t="s">
        <v>22</v>
      </c>
      <c r="F80" s="379" t="s">
        <v>22</v>
      </c>
      <c r="G80" s="379" t="s">
        <v>22</v>
      </c>
      <c r="H80" s="383">
        <v>0</v>
      </c>
      <c r="I80" s="384">
        <v>0</v>
      </c>
      <c r="J80" s="382">
        <v>45978</v>
      </c>
      <c r="K80" s="379" t="s">
        <v>22</v>
      </c>
      <c r="L80" s="379" t="s">
        <v>22</v>
      </c>
      <c r="M80" s="385">
        <v>0</v>
      </c>
      <c r="N80" s="383"/>
      <c r="O80" s="383"/>
      <c r="P80" s="389">
        <v>-576.86</v>
      </c>
    </row>
    <row r="81" spans="1:16" ht="19.5" customHeight="1">
      <c r="A81" s="379" t="s">
        <v>1106</v>
      </c>
      <c r="B81" s="382">
        <v>45978</v>
      </c>
      <c r="C81" s="379" t="s">
        <v>77</v>
      </c>
      <c r="D81" s="379" t="s">
        <v>82</v>
      </c>
      <c r="E81" s="379" t="s">
        <v>22</v>
      </c>
      <c r="F81" s="379" t="s">
        <v>22</v>
      </c>
      <c r="G81" s="379" t="s">
        <v>22</v>
      </c>
      <c r="H81" s="383">
        <v>0</v>
      </c>
      <c r="I81" s="384">
        <v>0</v>
      </c>
      <c r="J81" s="382">
        <v>45978</v>
      </c>
      <c r="K81" s="379" t="s">
        <v>22</v>
      </c>
      <c r="L81" s="379" t="s">
        <v>22</v>
      </c>
      <c r="M81" s="385">
        <v>0</v>
      </c>
      <c r="N81" s="383"/>
      <c r="O81" s="383"/>
      <c r="P81" s="389">
        <v>-273.72000000000003</v>
      </c>
    </row>
    <row r="82" spans="1:16" ht="19.5" customHeight="1">
      <c r="A82" s="379" t="s">
        <v>1127</v>
      </c>
      <c r="B82" s="382">
        <v>45978</v>
      </c>
      <c r="C82" s="379" t="s">
        <v>77</v>
      </c>
      <c r="D82" s="379" t="s">
        <v>82</v>
      </c>
      <c r="E82" s="379" t="s">
        <v>22</v>
      </c>
      <c r="F82" s="379" t="s">
        <v>22</v>
      </c>
      <c r="G82" s="379" t="s">
        <v>22</v>
      </c>
      <c r="H82" s="383">
        <v>0</v>
      </c>
      <c r="I82" s="384">
        <v>0</v>
      </c>
      <c r="J82" s="382">
        <v>45978</v>
      </c>
      <c r="K82" s="379" t="s">
        <v>22</v>
      </c>
      <c r="L82" s="379" t="s">
        <v>22</v>
      </c>
      <c r="M82" s="385">
        <v>0</v>
      </c>
      <c r="N82" s="383"/>
      <c r="O82" s="383"/>
      <c r="P82" s="389">
        <v>-92.66</v>
      </c>
    </row>
    <row r="83" spans="1:16" ht="19.5" customHeight="1">
      <c r="A83" s="379" t="s">
        <v>1243</v>
      </c>
      <c r="B83" s="382">
        <v>45979</v>
      </c>
      <c r="C83" s="379" t="s">
        <v>17</v>
      </c>
      <c r="D83" s="379" t="s">
        <v>18</v>
      </c>
      <c r="E83" s="379" t="s">
        <v>240</v>
      </c>
      <c r="F83" s="379" t="s">
        <v>802</v>
      </c>
      <c r="G83" s="379" t="s">
        <v>1133</v>
      </c>
      <c r="H83" s="383">
        <v>1</v>
      </c>
      <c r="I83" s="384">
        <v>0</v>
      </c>
      <c r="J83" s="382">
        <v>45979</v>
      </c>
      <c r="K83" s="379" t="s">
        <v>22</v>
      </c>
      <c r="L83" s="379" t="s">
        <v>22</v>
      </c>
      <c r="M83" s="385">
        <v>0</v>
      </c>
      <c r="N83" s="383"/>
      <c r="O83" s="383"/>
      <c r="P83" s="389">
        <v>-40.1</v>
      </c>
    </row>
    <row r="84" spans="1:16" ht="19.5" customHeight="1">
      <c r="A84" s="379" t="s">
        <v>1244</v>
      </c>
      <c r="B84" s="382">
        <v>45979</v>
      </c>
      <c r="C84" s="379" t="s">
        <v>17</v>
      </c>
      <c r="D84" s="379" t="s">
        <v>18</v>
      </c>
      <c r="E84" s="379" t="s">
        <v>223</v>
      </c>
      <c r="F84" s="379" t="s">
        <v>395</v>
      </c>
      <c r="G84" s="379" t="s">
        <v>1229</v>
      </c>
      <c r="H84" s="383">
        <v>1</v>
      </c>
      <c r="I84" s="384">
        <v>0</v>
      </c>
      <c r="J84" s="382">
        <v>45979</v>
      </c>
      <c r="K84" s="379" t="s">
        <v>22</v>
      </c>
      <c r="L84" s="379" t="s">
        <v>22</v>
      </c>
      <c r="M84" s="385">
        <v>0</v>
      </c>
      <c r="N84" s="383"/>
      <c r="O84" s="383"/>
      <c r="P84" s="389">
        <v>-11.33</v>
      </c>
    </row>
    <row r="85" spans="1:16" ht="19.5" customHeight="1">
      <c r="A85" s="379" t="s">
        <v>1245</v>
      </c>
      <c r="B85" s="382">
        <v>45979</v>
      </c>
      <c r="C85" s="379" t="s">
        <v>28</v>
      </c>
      <c r="D85" s="379" t="s">
        <v>29</v>
      </c>
      <c r="E85" s="379" t="s">
        <v>25</v>
      </c>
      <c r="F85" s="379" t="s">
        <v>26</v>
      </c>
      <c r="G85" s="379" t="s">
        <v>1229</v>
      </c>
      <c r="H85" s="383">
        <v>1</v>
      </c>
      <c r="I85" s="384">
        <v>0</v>
      </c>
      <c r="J85" s="382">
        <v>45971</v>
      </c>
      <c r="K85" s="379" t="s">
        <v>957</v>
      </c>
      <c r="L85" s="379" t="s">
        <v>30</v>
      </c>
      <c r="M85" s="385">
        <v>0</v>
      </c>
      <c r="N85" s="383"/>
      <c r="O85" s="383"/>
      <c r="P85" s="389">
        <v>-46</v>
      </c>
    </row>
    <row r="86" spans="1:16" ht="19.5" customHeight="1">
      <c r="A86" s="379" t="s">
        <v>1245</v>
      </c>
      <c r="B86" s="382">
        <v>45979</v>
      </c>
      <c r="C86" s="379" t="s">
        <v>17</v>
      </c>
      <c r="D86" s="379" t="s">
        <v>37</v>
      </c>
      <c r="E86" s="379" t="s">
        <v>25</v>
      </c>
      <c r="F86" s="379" t="s">
        <v>26</v>
      </c>
      <c r="G86" s="379" t="s">
        <v>1229</v>
      </c>
      <c r="H86" s="383">
        <v>1</v>
      </c>
      <c r="I86" s="384">
        <v>0</v>
      </c>
      <c r="J86" s="382">
        <v>45971</v>
      </c>
      <c r="K86" s="379" t="s">
        <v>957</v>
      </c>
      <c r="L86" s="379" t="s">
        <v>30</v>
      </c>
      <c r="M86" s="385">
        <v>0</v>
      </c>
      <c r="N86" s="383"/>
      <c r="O86" s="383"/>
      <c r="P86" s="389">
        <v>-5.68</v>
      </c>
    </row>
    <row r="87" spans="1:16" ht="19.5" customHeight="1">
      <c r="A87" s="379" t="s">
        <v>1245</v>
      </c>
      <c r="B87" s="382">
        <v>45979</v>
      </c>
      <c r="C87" s="379" t="s">
        <v>28</v>
      </c>
      <c r="D87" s="379" t="s">
        <v>45</v>
      </c>
      <c r="E87" s="379" t="s">
        <v>25</v>
      </c>
      <c r="F87" s="379" t="s">
        <v>26</v>
      </c>
      <c r="G87" s="379" t="s">
        <v>1229</v>
      </c>
      <c r="H87" s="383">
        <v>1</v>
      </c>
      <c r="I87" s="384">
        <v>0</v>
      </c>
      <c r="J87" s="382">
        <v>45971</v>
      </c>
      <c r="K87" s="379" t="s">
        <v>957</v>
      </c>
      <c r="L87" s="379" t="s">
        <v>30</v>
      </c>
      <c r="M87" s="385">
        <v>0</v>
      </c>
      <c r="N87" s="383"/>
      <c r="O87" s="383"/>
      <c r="P87" s="389">
        <v>0</v>
      </c>
    </row>
    <row r="88" spans="1:16" ht="19.5" customHeight="1">
      <c r="A88" s="379" t="s">
        <v>1245</v>
      </c>
      <c r="B88" s="382">
        <v>45979</v>
      </c>
      <c r="C88" s="379" t="s">
        <v>28</v>
      </c>
      <c r="D88" s="379" t="s">
        <v>46</v>
      </c>
      <c r="E88" s="379" t="s">
        <v>25</v>
      </c>
      <c r="F88" s="379" t="s">
        <v>26</v>
      </c>
      <c r="G88" s="379" t="s">
        <v>1229</v>
      </c>
      <c r="H88" s="383">
        <v>1</v>
      </c>
      <c r="I88" s="384">
        <v>0</v>
      </c>
      <c r="J88" s="382">
        <v>45971</v>
      </c>
      <c r="K88" s="379" t="s">
        <v>957</v>
      </c>
      <c r="L88" s="379" t="s">
        <v>30</v>
      </c>
      <c r="M88" s="385">
        <v>0</v>
      </c>
      <c r="N88" s="383"/>
      <c r="O88" s="383"/>
      <c r="P88" s="389">
        <v>-46</v>
      </c>
    </row>
    <row r="89" spans="1:16" ht="19.5" customHeight="1">
      <c r="A89" s="379" t="s">
        <v>1245</v>
      </c>
      <c r="B89" s="382">
        <v>45979</v>
      </c>
      <c r="C89" s="379" t="s">
        <v>17</v>
      </c>
      <c r="D89" s="379" t="s">
        <v>47</v>
      </c>
      <c r="E89" s="379" t="s">
        <v>25</v>
      </c>
      <c r="F89" s="379" t="s">
        <v>26</v>
      </c>
      <c r="G89" s="379" t="s">
        <v>1229</v>
      </c>
      <c r="H89" s="383">
        <v>1</v>
      </c>
      <c r="I89" s="384">
        <v>0</v>
      </c>
      <c r="J89" s="382">
        <v>45971</v>
      </c>
      <c r="K89" s="379" t="s">
        <v>957</v>
      </c>
      <c r="L89" s="379" t="s">
        <v>30</v>
      </c>
      <c r="M89" s="385">
        <v>0</v>
      </c>
      <c r="N89" s="383"/>
      <c r="O89" s="383"/>
      <c r="P89" s="389">
        <v>-15</v>
      </c>
    </row>
    <row r="90" spans="1:16" ht="19.5" customHeight="1">
      <c r="A90" s="379" t="s">
        <v>1246</v>
      </c>
      <c r="B90" s="382">
        <v>45979</v>
      </c>
      <c r="C90" s="379" t="s">
        <v>17</v>
      </c>
      <c r="D90" s="379" t="s">
        <v>18</v>
      </c>
      <c r="E90" s="379" t="s">
        <v>223</v>
      </c>
      <c r="F90" s="379" t="s">
        <v>395</v>
      </c>
      <c r="G90" s="379" t="s">
        <v>1229</v>
      </c>
      <c r="H90" s="383">
        <v>1</v>
      </c>
      <c r="I90" s="384">
        <v>0</v>
      </c>
      <c r="J90" s="382">
        <v>45979</v>
      </c>
      <c r="K90" s="379" t="s">
        <v>22</v>
      </c>
      <c r="L90" s="379" t="s">
        <v>22</v>
      </c>
      <c r="M90" s="385">
        <v>0</v>
      </c>
      <c r="N90" s="383"/>
      <c r="O90" s="383"/>
      <c r="P90" s="389">
        <v>-11.32</v>
      </c>
    </row>
    <row r="91" spans="1:16" ht="19.5" customHeight="1">
      <c r="A91" s="379" t="s">
        <v>1247</v>
      </c>
      <c r="B91" s="382">
        <v>45979</v>
      </c>
      <c r="C91" s="379" t="s">
        <v>28</v>
      </c>
      <c r="D91" s="379" t="s">
        <v>29</v>
      </c>
      <c r="E91" s="379" t="s">
        <v>223</v>
      </c>
      <c r="F91" s="379" t="s">
        <v>395</v>
      </c>
      <c r="G91" s="379" t="s">
        <v>1229</v>
      </c>
      <c r="H91" s="383">
        <v>1</v>
      </c>
      <c r="I91" s="384">
        <v>1687</v>
      </c>
      <c r="J91" s="382">
        <v>45977</v>
      </c>
      <c r="K91" s="379" t="s">
        <v>957</v>
      </c>
      <c r="L91" s="379" t="s">
        <v>30</v>
      </c>
      <c r="M91" s="385">
        <v>0.43</v>
      </c>
      <c r="N91" s="383"/>
      <c r="O91" s="383">
        <v>43</v>
      </c>
      <c r="P91" s="389">
        <v>-124.21</v>
      </c>
    </row>
    <row r="92" spans="1:16" ht="19.5" customHeight="1">
      <c r="A92" s="379" t="s">
        <v>1247</v>
      </c>
      <c r="B92" s="382">
        <v>45979</v>
      </c>
      <c r="C92" s="379" t="s">
        <v>31</v>
      </c>
      <c r="D92" s="379" t="s">
        <v>32</v>
      </c>
      <c r="E92" s="379" t="s">
        <v>223</v>
      </c>
      <c r="F92" s="379" t="s">
        <v>395</v>
      </c>
      <c r="G92" s="379" t="s">
        <v>1229</v>
      </c>
      <c r="H92" s="383">
        <v>1</v>
      </c>
      <c r="I92" s="384">
        <v>1687</v>
      </c>
      <c r="J92" s="382">
        <v>45977</v>
      </c>
      <c r="K92" s="379" t="s">
        <v>957</v>
      </c>
      <c r="L92" s="379" t="s">
        <v>30</v>
      </c>
      <c r="M92" s="385">
        <v>0</v>
      </c>
      <c r="N92" s="383"/>
      <c r="O92" s="383"/>
      <c r="P92" s="389">
        <v>659.37</v>
      </c>
    </row>
    <row r="93" spans="1:16" ht="19.5" customHeight="1">
      <c r="A93" s="379" t="s">
        <v>1247</v>
      </c>
      <c r="B93" s="382">
        <v>45979</v>
      </c>
      <c r="C93" s="379" t="s">
        <v>31</v>
      </c>
      <c r="D93" s="379" t="s">
        <v>33</v>
      </c>
      <c r="E93" s="379" t="s">
        <v>223</v>
      </c>
      <c r="F93" s="379" t="s">
        <v>395</v>
      </c>
      <c r="G93" s="379" t="s">
        <v>1229</v>
      </c>
      <c r="H93" s="383">
        <v>1</v>
      </c>
      <c r="I93" s="384">
        <v>1687</v>
      </c>
      <c r="J93" s="382">
        <v>45977</v>
      </c>
      <c r="K93" s="379" t="s">
        <v>957</v>
      </c>
      <c r="L93" s="379" t="s">
        <v>30</v>
      </c>
      <c r="M93" s="385">
        <v>0</v>
      </c>
      <c r="N93" s="383"/>
      <c r="O93" s="383"/>
      <c r="P93" s="389">
        <v>6.59</v>
      </c>
    </row>
    <row r="94" spans="1:16" ht="19.5" customHeight="1">
      <c r="A94" s="379" t="s">
        <v>1247</v>
      </c>
      <c r="B94" s="382">
        <v>45979</v>
      </c>
      <c r="C94" s="379" t="s">
        <v>31</v>
      </c>
      <c r="D94" s="379" t="s">
        <v>34</v>
      </c>
      <c r="E94" s="379" t="s">
        <v>223</v>
      </c>
      <c r="F94" s="379" t="s">
        <v>395</v>
      </c>
      <c r="G94" s="379" t="s">
        <v>1229</v>
      </c>
      <c r="H94" s="383">
        <v>1</v>
      </c>
      <c r="I94" s="384">
        <v>1687</v>
      </c>
      <c r="J94" s="382">
        <v>45977</v>
      </c>
      <c r="K94" s="379" t="s">
        <v>957</v>
      </c>
      <c r="L94" s="379" t="s">
        <v>30</v>
      </c>
      <c r="M94" s="385">
        <v>0</v>
      </c>
      <c r="N94" s="383"/>
      <c r="O94" s="383"/>
      <c r="P94" s="389">
        <v>1021.04</v>
      </c>
    </row>
    <row r="95" spans="1:16" ht="19.5" customHeight="1">
      <c r="A95" s="379" t="s">
        <v>1247</v>
      </c>
      <c r="B95" s="382">
        <v>45979</v>
      </c>
      <c r="C95" s="379" t="s">
        <v>35</v>
      </c>
      <c r="D95" s="379" t="s">
        <v>36</v>
      </c>
      <c r="E95" s="379" t="s">
        <v>223</v>
      </c>
      <c r="F95" s="379" t="s">
        <v>395</v>
      </c>
      <c r="G95" s="379" t="s">
        <v>1229</v>
      </c>
      <c r="H95" s="383">
        <v>1</v>
      </c>
      <c r="I95" s="384">
        <v>1687</v>
      </c>
      <c r="J95" s="382">
        <v>45977</v>
      </c>
      <c r="K95" s="379" t="s">
        <v>957</v>
      </c>
      <c r="L95" s="379" t="s">
        <v>30</v>
      </c>
      <c r="M95" s="385">
        <v>0.43</v>
      </c>
      <c r="N95" s="383"/>
      <c r="O95" s="383"/>
      <c r="P95" s="389">
        <v>-725.41</v>
      </c>
    </row>
    <row r="96" spans="1:16" ht="19.5" customHeight="1">
      <c r="A96" s="379" t="s">
        <v>1247</v>
      </c>
      <c r="B96" s="382">
        <v>45979</v>
      </c>
      <c r="C96" s="379" t="s">
        <v>17</v>
      </c>
      <c r="D96" s="379" t="s">
        <v>37</v>
      </c>
      <c r="E96" s="379" t="s">
        <v>223</v>
      </c>
      <c r="F96" s="379" t="s">
        <v>395</v>
      </c>
      <c r="G96" s="379" t="s">
        <v>1229</v>
      </c>
      <c r="H96" s="383">
        <v>1</v>
      </c>
      <c r="I96" s="384">
        <v>1687</v>
      </c>
      <c r="J96" s="382">
        <v>45977</v>
      </c>
      <c r="K96" s="379" t="s">
        <v>957</v>
      </c>
      <c r="L96" s="379" t="s">
        <v>30</v>
      </c>
      <c r="M96" s="385">
        <v>0.43</v>
      </c>
      <c r="N96" s="383"/>
      <c r="O96" s="383"/>
      <c r="P96" s="389">
        <v>-9.43</v>
      </c>
    </row>
    <row r="97" spans="1:16" ht="19.5" customHeight="1">
      <c r="A97" s="379" t="s">
        <v>1248</v>
      </c>
      <c r="B97" s="382">
        <v>45979</v>
      </c>
      <c r="C97" s="379" t="s">
        <v>17</v>
      </c>
      <c r="D97" s="379" t="s">
        <v>18</v>
      </c>
      <c r="E97" s="379" t="s">
        <v>25</v>
      </c>
      <c r="F97" s="379" t="s">
        <v>26</v>
      </c>
      <c r="G97" s="379" t="s">
        <v>1229</v>
      </c>
      <c r="H97" s="383">
        <v>1</v>
      </c>
      <c r="I97" s="384">
        <v>0</v>
      </c>
      <c r="J97" s="382">
        <v>45979</v>
      </c>
      <c r="K97" s="379" t="s">
        <v>22</v>
      </c>
      <c r="L97" s="379" t="s">
        <v>22</v>
      </c>
      <c r="M97" s="385">
        <v>0</v>
      </c>
      <c r="N97" s="383"/>
      <c r="O97" s="383"/>
      <c r="P97" s="389">
        <v>-13.64</v>
      </c>
    </row>
    <row r="98" spans="1:16" ht="19.5" customHeight="1">
      <c r="A98" s="379" t="s">
        <v>1249</v>
      </c>
      <c r="B98" s="382">
        <v>45979</v>
      </c>
      <c r="C98" s="379" t="s">
        <v>28</v>
      </c>
      <c r="D98" s="379" t="s">
        <v>29</v>
      </c>
      <c r="E98" s="379" t="s">
        <v>223</v>
      </c>
      <c r="F98" s="379" t="s">
        <v>395</v>
      </c>
      <c r="G98" s="379" t="s">
        <v>1229</v>
      </c>
      <c r="H98" s="383">
        <v>1</v>
      </c>
      <c r="I98" s="384">
        <v>0</v>
      </c>
      <c r="J98" s="382">
        <v>45974</v>
      </c>
      <c r="K98" s="379" t="s">
        <v>957</v>
      </c>
      <c r="L98" s="379" t="s">
        <v>30</v>
      </c>
      <c r="M98" s="385">
        <v>0</v>
      </c>
      <c r="N98" s="383"/>
      <c r="O98" s="383">
        <v>42</v>
      </c>
      <c r="P98" s="389">
        <v>-46</v>
      </c>
    </row>
    <row r="99" spans="1:16" ht="19.5" customHeight="1">
      <c r="A99" s="379" t="s">
        <v>1249</v>
      </c>
      <c r="B99" s="382">
        <v>45979</v>
      </c>
      <c r="C99" s="379" t="s">
        <v>17</v>
      </c>
      <c r="D99" s="379" t="s">
        <v>37</v>
      </c>
      <c r="E99" s="379" t="s">
        <v>223</v>
      </c>
      <c r="F99" s="379" t="s">
        <v>395</v>
      </c>
      <c r="G99" s="379" t="s">
        <v>1229</v>
      </c>
      <c r="H99" s="383">
        <v>1</v>
      </c>
      <c r="I99" s="384">
        <v>0</v>
      </c>
      <c r="J99" s="382">
        <v>45974</v>
      </c>
      <c r="K99" s="379" t="s">
        <v>957</v>
      </c>
      <c r="L99" s="379" t="s">
        <v>30</v>
      </c>
      <c r="M99" s="385">
        <v>0</v>
      </c>
      <c r="N99" s="383"/>
      <c r="O99" s="383"/>
      <c r="P99" s="389">
        <v>-12.88</v>
      </c>
    </row>
    <row r="100" spans="1:16" ht="19.5" customHeight="1">
      <c r="A100" s="379" t="s">
        <v>1249</v>
      </c>
      <c r="B100" s="382">
        <v>45979</v>
      </c>
      <c r="C100" s="379" t="s">
        <v>28</v>
      </c>
      <c r="D100" s="379" t="s">
        <v>45</v>
      </c>
      <c r="E100" s="379" t="s">
        <v>223</v>
      </c>
      <c r="F100" s="379" t="s">
        <v>395</v>
      </c>
      <c r="G100" s="379" t="s">
        <v>1229</v>
      </c>
      <c r="H100" s="383">
        <v>1</v>
      </c>
      <c r="I100" s="384">
        <v>0</v>
      </c>
      <c r="J100" s="382">
        <v>45974</v>
      </c>
      <c r="K100" s="379" t="s">
        <v>957</v>
      </c>
      <c r="L100" s="379" t="s">
        <v>30</v>
      </c>
      <c r="M100" s="385">
        <v>0</v>
      </c>
      <c r="N100" s="383"/>
      <c r="O100" s="383"/>
      <c r="P100" s="389">
        <v>0</v>
      </c>
    </row>
    <row r="101" spans="1:16" ht="19.5" customHeight="1">
      <c r="A101" s="379" t="s">
        <v>1249</v>
      </c>
      <c r="B101" s="382">
        <v>45979</v>
      </c>
      <c r="C101" s="379" t="s">
        <v>28</v>
      </c>
      <c r="D101" s="379" t="s">
        <v>46</v>
      </c>
      <c r="E101" s="379" t="s">
        <v>223</v>
      </c>
      <c r="F101" s="379" t="s">
        <v>395</v>
      </c>
      <c r="G101" s="379" t="s">
        <v>1229</v>
      </c>
      <c r="H101" s="383">
        <v>1</v>
      </c>
      <c r="I101" s="384">
        <v>0</v>
      </c>
      <c r="J101" s="382">
        <v>45974</v>
      </c>
      <c r="K101" s="379" t="s">
        <v>957</v>
      </c>
      <c r="L101" s="379" t="s">
        <v>30</v>
      </c>
      <c r="M101" s="385">
        <v>0</v>
      </c>
      <c r="N101" s="383"/>
      <c r="O101" s="383"/>
      <c r="P101" s="389">
        <v>-46</v>
      </c>
    </row>
    <row r="102" spans="1:16" ht="19.5" customHeight="1">
      <c r="A102" s="379" t="s">
        <v>1249</v>
      </c>
      <c r="B102" s="382">
        <v>45979</v>
      </c>
      <c r="C102" s="379" t="s">
        <v>17</v>
      </c>
      <c r="D102" s="379" t="s">
        <v>47</v>
      </c>
      <c r="E102" s="379" t="s">
        <v>223</v>
      </c>
      <c r="F102" s="379" t="s">
        <v>395</v>
      </c>
      <c r="G102" s="379" t="s">
        <v>1229</v>
      </c>
      <c r="H102" s="383">
        <v>1</v>
      </c>
      <c r="I102" s="384">
        <v>0</v>
      </c>
      <c r="J102" s="382">
        <v>45974</v>
      </c>
      <c r="K102" s="379" t="s">
        <v>957</v>
      </c>
      <c r="L102" s="379" t="s">
        <v>30</v>
      </c>
      <c r="M102" s="385">
        <v>0</v>
      </c>
      <c r="N102" s="383"/>
      <c r="O102" s="383"/>
      <c r="P102" s="389">
        <v>-15</v>
      </c>
    </row>
    <row r="103" spans="1:16" ht="19.5" customHeight="1">
      <c r="A103" s="379" t="s">
        <v>1195</v>
      </c>
      <c r="B103" s="382">
        <v>45979</v>
      </c>
      <c r="C103" s="379" t="s">
        <v>17</v>
      </c>
      <c r="D103" s="379" t="s">
        <v>18</v>
      </c>
      <c r="E103" s="379" t="s">
        <v>62</v>
      </c>
      <c r="F103" s="379" t="s">
        <v>63</v>
      </c>
      <c r="G103" s="379" t="s">
        <v>1133</v>
      </c>
      <c r="H103" s="383">
        <v>1</v>
      </c>
      <c r="I103" s="384">
        <v>0</v>
      </c>
      <c r="J103" s="382">
        <v>45975</v>
      </c>
      <c r="K103" s="379" t="s">
        <v>22</v>
      </c>
      <c r="L103" s="379" t="s">
        <v>22</v>
      </c>
      <c r="M103" s="385">
        <v>0</v>
      </c>
      <c r="N103" s="383"/>
      <c r="O103" s="383"/>
      <c r="P103" s="389">
        <v>39.82</v>
      </c>
    </row>
    <row r="104" spans="1:16" ht="19.5" customHeight="1">
      <c r="A104" s="379" t="s">
        <v>999</v>
      </c>
      <c r="B104" s="382">
        <v>45979</v>
      </c>
      <c r="C104" s="379" t="s">
        <v>126</v>
      </c>
      <c r="D104" s="379" t="s">
        <v>127</v>
      </c>
      <c r="E104" s="379" t="s">
        <v>43</v>
      </c>
      <c r="F104" s="379" t="s">
        <v>44</v>
      </c>
      <c r="G104" s="379" t="s">
        <v>1133</v>
      </c>
      <c r="H104" s="383">
        <v>1</v>
      </c>
      <c r="I104" s="384">
        <v>-5500</v>
      </c>
      <c r="J104" s="382">
        <v>45959</v>
      </c>
      <c r="K104" s="379" t="s">
        <v>957</v>
      </c>
      <c r="L104" s="379" t="s">
        <v>30</v>
      </c>
      <c r="M104" s="385">
        <v>0</v>
      </c>
      <c r="N104" s="383"/>
      <c r="O104" s="383"/>
      <c r="P104" s="389">
        <v>-3109.52</v>
      </c>
    </row>
    <row r="105" spans="1:16" ht="19.5" customHeight="1">
      <c r="A105" s="379" t="s">
        <v>999</v>
      </c>
      <c r="B105" s="382">
        <v>45979</v>
      </c>
      <c r="C105" s="379" t="s">
        <v>126</v>
      </c>
      <c r="D105" s="379" t="s">
        <v>33</v>
      </c>
      <c r="E105" s="379" t="s">
        <v>43</v>
      </c>
      <c r="F105" s="379" t="s">
        <v>44</v>
      </c>
      <c r="G105" s="379" t="s">
        <v>1133</v>
      </c>
      <c r="H105" s="383">
        <v>1</v>
      </c>
      <c r="I105" s="384">
        <v>-5500</v>
      </c>
      <c r="J105" s="382">
        <v>45959</v>
      </c>
      <c r="K105" s="379" t="s">
        <v>957</v>
      </c>
      <c r="L105" s="379" t="s">
        <v>30</v>
      </c>
      <c r="M105" s="385">
        <v>0</v>
      </c>
      <c r="N105" s="383"/>
      <c r="O105" s="383"/>
      <c r="P105" s="389">
        <v>0</v>
      </c>
    </row>
    <row r="106" spans="1:16" ht="19.5" customHeight="1">
      <c r="A106" s="379" t="s">
        <v>999</v>
      </c>
      <c r="B106" s="382">
        <v>45979</v>
      </c>
      <c r="C106" s="379" t="s">
        <v>126</v>
      </c>
      <c r="D106" s="379" t="s">
        <v>34</v>
      </c>
      <c r="E106" s="379" t="s">
        <v>43</v>
      </c>
      <c r="F106" s="379" t="s">
        <v>44</v>
      </c>
      <c r="G106" s="379" t="s">
        <v>1133</v>
      </c>
      <c r="H106" s="383">
        <v>1</v>
      </c>
      <c r="I106" s="384">
        <v>-5500</v>
      </c>
      <c r="J106" s="382">
        <v>45959</v>
      </c>
      <c r="K106" s="379" t="s">
        <v>957</v>
      </c>
      <c r="L106" s="379" t="s">
        <v>30</v>
      </c>
      <c r="M106" s="385">
        <v>0</v>
      </c>
      <c r="N106" s="383"/>
      <c r="O106" s="383"/>
      <c r="P106" s="389">
        <v>-2390.48</v>
      </c>
    </row>
    <row r="107" spans="1:16" ht="19.5" customHeight="1">
      <c r="A107" s="379" t="s">
        <v>999</v>
      </c>
      <c r="B107" s="382">
        <v>45979</v>
      </c>
      <c r="C107" s="379" t="s">
        <v>35</v>
      </c>
      <c r="D107" s="379" t="s">
        <v>128</v>
      </c>
      <c r="E107" s="379" t="s">
        <v>43</v>
      </c>
      <c r="F107" s="379" t="s">
        <v>44</v>
      </c>
      <c r="G107" s="379" t="s">
        <v>1133</v>
      </c>
      <c r="H107" s="383">
        <v>1</v>
      </c>
      <c r="I107" s="384">
        <v>-5500</v>
      </c>
      <c r="J107" s="382">
        <v>45959</v>
      </c>
      <c r="K107" s="379" t="s">
        <v>957</v>
      </c>
      <c r="L107" s="379" t="s">
        <v>30</v>
      </c>
      <c r="M107" s="385">
        <v>0.38</v>
      </c>
      <c r="N107" s="383"/>
      <c r="O107" s="383"/>
      <c r="P107" s="389">
        <v>2090</v>
      </c>
    </row>
    <row r="108" spans="1:16" ht="19.5" customHeight="1">
      <c r="A108" s="379" t="s">
        <v>1250</v>
      </c>
      <c r="B108" s="382">
        <v>45979</v>
      </c>
      <c r="C108" s="379" t="s">
        <v>28</v>
      </c>
      <c r="D108" s="379" t="s">
        <v>29</v>
      </c>
      <c r="E108" s="379" t="s">
        <v>25</v>
      </c>
      <c r="F108" s="379" t="s">
        <v>26</v>
      </c>
      <c r="G108" s="379" t="s">
        <v>1229</v>
      </c>
      <c r="H108" s="383">
        <v>1</v>
      </c>
      <c r="I108" s="384">
        <v>1738</v>
      </c>
      <c r="J108" s="382">
        <v>45973</v>
      </c>
      <c r="K108" s="379" t="s">
        <v>957</v>
      </c>
      <c r="L108" s="379" t="s">
        <v>30</v>
      </c>
      <c r="M108" s="385">
        <v>0.43</v>
      </c>
      <c r="N108" s="383"/>
      <c r="O108" s="383"/>
      <c r="P108" s="389">
        <v>-46</v>
      </c>
    </row>
    <row r="109" spans="1:16" ht="19.5" customHeight="1">
      <c r="A109" s="379" t="s">
        <v>1250</v>
      </c>
      <c r="B109" s="382">
        <v>45979</v>
      </c>
      <c r="C109" s="379" t="s">
        <v>31</v>
      </c>
      <c r="D109" s="379" t="s">
        <v>32</v>
      </c>
      <c r="E109" s="379" t="s">
        <v>25</v>
      </c>
      <c r="F109" s="379" t="s">
        <v>26</v>
      </c>
      <c r="G109" s="379" t="s">
        <v>1229</v>
      </c>
      <c r="H109" s="383">
        <v>1</v>
      </c>
      <c r="I109" s="384">
        <v>1738</v>
      </c>
      <c r="J109" s="382">
        <v>45973</v>
      </c>
      <c r="K109" s="379" t="s">
        <v>957</v>
      </c>
      <c r="L109" s="379" t="s">
        <v>30</v>
      </c>
      <c r="M109" s="385">
        <v>0</v>
      </c>
      <c r="N109" s="383"/>
      <c r="O109" s="383"/>
      <c r="P109" s="389">
        <v>896.29</v>
      </c>
    </row>
    <row r="110" spans="1:16" ht="19.5" customHeight="1">
      <c r="A110" s="379" t="s">
        <v>1250</v>
      </c>
      <c r="B110" s="382">
        <v>45979</v>
      </c>
      <c r="C110" s="379" t="s">
        <v>31</v>
      </c>
      <c r="D110" s="379" t="s">
        <v>33</v>
      </c>
      <c r="E110" s="379" t="s">
        <v>25</v>
      </c>
      <c r="F110" s="379" t="s">
        <v>26</v>
      </c>
      <c r="G110" s="379" t="s">
        <v>1229</v>
      </c>
      <c r="H110" s="383">
        <v>1</v>
      </c>
      <c r="I110" s="384">
        <v>1738</v>
      </c>
      <c r="J110" s="382">
        <v>45973</v>
      </c>
      <c r="K110" s="379" t="s">
        <v>957</v>
      </c>
      <c r="L110" s="379" t="s">
        <v>30</v>
      </c>
      <c r="M110" s="385">
        <v>0</v>
      </c>
      <c r="N110" s="383"/>
      <c r="O110" s="383"/>
      <c r="P110" s="389">
        <v>8.9600000000000009</v>
      </c>
    </row>
    <row r="111" spans="1:16" ht="19.5" customHeight="1">
      <c r="A111" s="379" t="s">
        <v>1250</v>
      </c>
      <c r="B111" s="382">
        <v>45979</v>
      </c>
      <c r="C111" s="379" t="s">
        <v>31</v>
      </c>
      <c r="D111" s="379" t="s">
        <v>34</v>
      </c>
      <c r="E111" s="379" t="s">
        <v>25</v>
      </c>
      <c r="F111" s="379" t="s">
        <v>26</v>
      </c>
      <c r="G111" s="379" t="s">
        <v>1229</v>
      </c>
      <c r="H111" s="383">
        <v>1</v>
      </c>
      <c r="I111" s="384">
        <v>1738</v>
      </c>
      <c r="J111" s="382">
        <v>45973</v>
      </c>
      <c r="K111" s="379" t="s">
        <v>957</v>
      </c>
      <c r="L111" s="379" t="s">
        <v>30</v>
      </c>
      <c r="M111" s="385">
        <v>0</v>
      </c>
      <c r="N111" s="383"/>
      <c r="O111" s="383"/>
      <c r="P111" s="389">
        <v>832.75</v>
      </c>
    </row>
    <row r="112" spans="1:16" ht="19.5" customHeight="1">
      <c r="A112" s="379" t="s">
        <v>1250</v>
      </c>
      <c r="B112" s="382">
        <v>45979</v>
      </c>
      <c r="C112" s="379" t="s">
        <v>35</v>
      </c>
      <c r="D112" s="379" t="s">
        <v>36</v>
      </c>
      <c r="E112" s="379" t="s">
        <v>25</v>
      </c>
      <c r="F112" s="379" t="s">
        <v>26</v>
      </c>
      <c r="G112" s="379" t="s">
        <v>1229</v>
      </c>
      <c r="H112" s="383">
        <v>1</v>
      </c>
      <c r="I112" s="384">
        <v>1738</v>
      </c>
      <c r="J112" s="382">
        <v>45973</v>
      </c>
      <c r="K112" s="379" t="s">
        <v>957</v>
      </c>
      <c r="L112" s="379" t="s">
        <v>30</v>
      </c>
      <c r="M112" s="385">
        <v>0.43</v>
      </c>
      <c r="N112" s="383"/>
      <c r="O112" s="383"/>
      <c r="P112" s="389">
        <v>-747.34</v>
      </c>
    </row>
    <row r="113" spans="1:16" ht="19.5" customHeight="1">
      <c r="A113" s="379" t="s">
        <v>1250</v>
      </c>
      <c r="B113" s="382">
        <v>45979</v>
      </c>
      <c r="C113" s="379" t="s">
        <v>17</v>
      </c>
      <c r="D113" s="379" t="s">
        <v>37</v>
      </c>
      <c r="E113" s="379" t="s">
        <v>25</v>
      </c>
      <c r="F113" s="379" t="s">
        <v>26</v>
      </c>
      <c r="G113" s="379" t="s">
        <v>1229</v>
      </c>
      <c r="H113" s="383">
        <v>1</v>
      </c>
      <c r="I113" s="384">
        <v>1738</v>
      </c>
      <c r="J113" s="382">
        <v>45973</v>
      </c>
      <c r="K113" s="379" t="s">
        <v>957</v>
      </c>
      <c r="L113" s="379" t="s">
        <v>30</v>
      </c>
      <c r="M113" s="385">
        <v>0.43</v>
      </c>
      <c r="N113" s="383"/>
      <c r="O113" s="383"/>
      <c r="P113" s="389">
        <v>-8.49</v>
      </c>
    </row>
    <row r="114" spans="1:16" ht="19.5" customHeight="1">
      <c r="A114" s="379" t="s">
        <v>999</v>
      </c>
      <c r="B114" s="382">
        <v>45979</v>
      </c>
      <c r="C114" s="379" t="s">
        <v>74</v>
      </c>
      <c r="D114" s="379" t="s">
        <v>75</v>
      </c>
      <c r="E114" s="379" t="s">
        <v>43</v>
      </c>
      <c r="F114" s="379" t="s">
        <v>44</v>
      </c>
      <c r="G114" s="379" t="s">
        <v>1133</v>
      </c>
      <c r="H114" s="383">
        <v>1</v>
      </c>
      <c r="I114" s="384">
        <v>0</v>
      </c>
      <c r="J114" s="382">
        <v>45959</v>
      </c>
      <c r="K114" s="379" t="s">
        <v>957</v>
      </c>
      <c r="L114" s="379" t="s">
        <v>30</v>
      </c>
      <c r="M114" s="385">
        <v>0</v>
      </c>
      <c r="N114" s="383"/>
      <c r="O114" s="383"/>
      <c r="P114" s="389">
        <v>-5</v>
      </c>
    </row>
    <row r="115" spans="1:16" ht="19.5" customHeight="1">
      <c r="A115" s="379" t="s">
        <v>999</v>
      </c>
      <c r="B115" s="382">
        <v>45979</v>
      </c>
      <c r="C115" s="379" t="s">
        <v>17</v>
      </c>
      <c r="D115" s="379" t="s">
        <v>76</v>
      </c>
      <c r="E115" s="379" t="s">
        <v>43</v>
      </c>
      <c r="F115" s="379" t="s">
        <v>44</v>
      </c>
      <c r="G115" s="379" t="s">
        <v>1133</v>
      </c>
      <c r="H115" s="383">
        <v>1</v>
      </c>
      <c r="I115" s="384">
        <v>0</v>
      </c>
      <c r="J115" s="382">
        <v>45959</v>
      </c>
      <c r="K115" s="379" t="s">
        <v>957</v>
      </c>
      <c r="L115" s="379" t="s">
        <v>30</v>
      </c>
      <c r="M115" s="385">
        <v>0</v>
      </c>
      <c r="N115" s="383"/>
      <c r="O115" s="383"/>
      <c r="P115" s="389">
        <v>-10</v>
      </c>
    </row>
    <row r="116" spans="1:16" ht="19.5" customHeight="1">
      <c r="A116" s="379" t="s">
        <v>991</v>
      </c>
      <c r="B116" s="382">
        <v>45979</v>
      </c>
      <c r="C116" s="379" t="s">
        <v>17</v>
      </c>
      <c r="D116" s="379" t="s">
        <v>18</v>
      </c>
      <c r="E116" s="379" t="s">
        <v>43</v>
      </c>
      <c r="F116" s="379" t="s">
        <v>44</v>
      </c>
      <c r="G116" s="379" t="s">
        <v>1133</v>
      </c>
      <c r="H116" s="383">
        <v>1</v>
      </c>
      <c r="I116" s="384">
        <v>0</v>
      </c>
      <c r="J116" s="382">
        <v>45959</v>
      </c>
      <c r="K116" s="379" t="s">
        <v>22</v>
      </c>
      <c r="L116" s="379" t="s">
        <v>22</v>
      </c>
      <c r="M116" s="385">
        <v>0</v>
      </c>
      <c r="N116" s="383"/>
      <c r="O116" s="383"/>
      <c r="P116" s="389">
        <v>17.100000000000001</v>
      </c>
    </row>
    <row r="117" spans="1:16" ht="19.5" customHeight="1">
      <c r="A117" s="379" t="s">
        <v>1251</v>
      </c>
      <c r="B117" s="382">
        <v>45979</v>
      </c>
      <c r="C117" s="379" t="s">
        <v>28</v>
      </c>
      <c r="D117" s="379" t="s">
        <v>29</v>
      </c>
      <c r="E117" s="379" t="s">
        <v>25</v>
      </c>
      <c r="F117" s="379" t="s">
        <v>26</v>
      </c>
      <c r="G117" s="379" t="s">
        <v>1229</v>
      </c>
      <c r="H117" s="383">
        <v>1</v>
      </c>
      <c r="I117" s="384">
        <v>1117</v>
      </c>
      <c r="J117" s="382">
        <v>45956</v>
      </c>
      <c r="K117" s="379" t="s">
        <v>957</v>
      </c>
      <c r="L117" s="379" t="s">
        <v>30</v>
      </c>
      <c r="M117" s="385">
        <v>0.34</v>
      </c>
      <c r="N117" s="383"/>
      <c r="O117" s="383"/>
      <c r="P117" s="389">
        <v>-46</v>
      </c>
    </row>
    <row r="118" spans="1:16" ht="19.5" customHeight="1">
      <c r="A118" s="379" t="s">
        <v>1251</v>
      </c>
      <c r="B118" s="382">
        <v>45979</v>
      </c>
      <c r="C118" s="379" t="s">
        <v>31</v>
      </c>
      <c r="D118" s="379" t="s">
        <v>32</v>
      </c>
      <c r="E118" s="379" t="s">
        <v>25</v>
      </c>
      <c r="F118" s="379" t="s">
        <v>26</v>
      </c>
      <c r="G118" s="379" t="s">
        <v>1229</v>
      </c>
      <c r="H118" s="383">
        <v>1</v>
      </c>
      <c r="I118" s="384">
        <v>1117</v>
      </c>
      <c r="J118" s="382">
        <v>45956</v>
      </c>
      <c r="K118" s="379" t="s">
        <v>957</v>
      </c>
      <c r="L118" s="379" t="s">
        <v>30</v>
      </c>
      <c r="M118" s="385">
        <v>0</v>
      </c>
      <c r="N118" s="383"/>
      <c r="O118" s="383"/>
      <c r="P118" s="389">
        <v>668.89</v>
      </c>
    </row>
    <row r="119" spans="1:16" ht="19.5" customHeight="1">
      <c r="A119" s="379" t="s">
        <v>1251</v>
      </c>
      <c r="B119" s="382">
        <v>45979</v>
      </c>
      <c r="C119" s="379" t="s">
        <v>31</v>
      </c>
      <c r="D119" s="379" t="s">
        <v>33</v>
      </c>
      <c r="E119" s="379" t="s">
        <v>25</v>
      </c>
      <c r="F119" s="379" t="s">
        <v>26</v>
      </c>
      <c r="G119" s="379" t="s">
        <v>1229</v>
      </c>
      <c r="H119" s="383">
        <v>1</v>
      </c>
      <c r="I119" s="384">
        <v>1117</v>
      </c>
      <c r="J119" s="382">
        <v>45956</v>
      </c>
      <c r="K119" s="379" t="s">
        <v>957</v>
      </c>
      <c r="L119" s="379" t="s">
        <v>30</v>
      </c>
      <c r="M119" s="385">
        <v>0</v>
      </c>
      <c r="N119" s="383"/>
      <c r="O119" s="383"/>
      <c r="P119" s="389">
        <v>6.69</v>
      </c>
    </row>
    <row r="120" spans="1:16" ht="19.5" customHeight="1">
      <c r="A120" s="379" t="s">
        <v>1251</v>
      </c>
      <c r="B120" s="382">
        <v>45979</v>
      </c>
      <c r="C120" s="379" t="s">
        <v>31</v>
      </c>
      <c r="D120" s="379" t="s">
        <v>34</v>
      </c>
      <c r="E120" s="379" t="s">
        <v>25</v>
      </c>
      <c r="F120" s="379" t="s">
        <v>26</v>
      </c>
      <c r="G120" s="379" t="s">
        <v>1229</v>
      </c>
      <c r="H120" s="383">
        <v>1</v>
      </c>
      <c r="I120" s="384">
        <v>1117</v>
      </c>
      <c r="J120" s="382">
        <v>45956</v>
      </c>
      <c r="K120" s="379" t="s">
        <v>957</v>
      </c>
      <c r="L120" s="379" t="s">
        <v>30</v>
      </c>
      <c r="M120" s="385">
        <v>0</v>
      </c>
      <c r="N120" s="383"/>
      <c r="O120" s="383"/>
      <c r="P120" s="389">
        <v>441.42</v>
      </c>
    </row>
    <row r="121" spans="1:16" ht="19.5" customHeight="1">
      <c r="A121" s="379" t="s">
        <v>1251</v>
      </c>
      <c r="B121" s="382">
        <v>45979</v>
      </c>
      <c r="C121" s="379" t="s">
        <v>35</v>
      </c>
      <c r="D121" s="379" t="s">
        <v>36</v>
      </c>
      <c r="E121" s="379" t="s">
        <v>25</v>
      </c>
      <c r="F121" s="379" t="s">
        <v>26</v>
      </c>
      <c r="G121" s="379" t="s">
        <v>1229</v>
      </c>
      <c r="H121" s="383">
        <v>1</v>
      </c>
      <c r="I121" s="384">
        <v>1117</v>
      </c>
      <c r="J121" s="382">
        <v>45956</v>
      </c>
      <c r="K121" s="379" t="s">
        <v>957</v>
      </c>
      <c r="L121" s="379" t="s">
        <v>30</v>
      </c>
      <c r="M121" s="385">
        <v>0.34</v>
      </c>
      <c r="N121" s="383"/>
      <c r="O121" s="383"/>
      <c r="P121" s="389">
        <v>-379.78</v>
      </c>
    </row>
    <row r="122" spans="1:16" ht="19.5" customHeight="1">
      <c r="A122" s="379" t="s">
        <v>1251</v>
      </c>
      <c r="B122" s="382">
        <v>45979</v>
      </c>
      <c r="C122" s="379" t="s">
        <v>17</v>
      </c>
      <c r="D122" s="379" t="s">
        <v>37</v>
      </c>
      <c r="E122" s="379" t="s">
        <v>25</v>
      </c>
      <c r="F122" s="379" t="s">
        <v>26</v>
      </c>
      <c r="G122" s="379" t="s">
        <v>1229</v>
      </c>
      <c r="H122" s="383">
        <v>1</v>
      </c>
      <c r="I122" s="384">
        <v>1117</v>
      </c>
      <c r="J122" s="382">
        <v>45956</v>
      </c>
      <c r="K122" s="379" t="s">
        <v>957</v>
      </c>
      <c r="L122" s="379" t="s">
        <v>30</v>
      </c>
      <c r="M122" s="385">
        <v>0.34</v>
      </c>
      <c r="N122" s="383"/>
      <c r="O122" s="383"/>
      <c r="P122" s="389">
        <v>-5.79</v>
      </c>
    </row>
    <row r="123" spans="1:16" ht="19.5" customHeight="1">
      <c r="A123" s="379" t="s">
        <v>1252</v>
      </c>
      <c r="B123" s="382">
        <v>45979</v>
      </c>
      <c r="C123" s="379" t="s">
        <v>28</v>
      </c>
      <c r="D123" s="379" t="s">
        <v>29</v>
      </c>
      <c r="E123" s="379" t="s">
        <v>228</v>
      </c>
      <c r="F123" s="379" t="s">
        <v>393</v>
      </c>
      <c r="G123" s="379" t="s">
        <v>1229</v>
      </c>
      <c r="H123" s="383">
        <v>1</v>
      </c>
      <c r="I123" s="384">
        <v>1420</v>
      </c>
      <c r="J123" s="382">
        <v>45977</v>
      </c>
      <c r="K123" s="379" t="s">
        <v>957</v>
      </c>
      <c r="L123" s="379" t="s">
        <v>30</v>
      </c>
      <c r="M123" s="385">
        <v>0.43</v>
      </c>
      <c r="N123" s="383"/>
      <c r="O123" s="383">
        <v>43</v>
      </c>
      <c r="P123" s="389">
        <v>-116.2</v>
      </c>
    </row>
    <row r="124" spans="1:16" ht="19.5" customHeight="1">
      <c r="A124" s="379" t="s">
        <v>1252</v>
      </c>
      <c r="B124" s="382">
        <v>45979</v>
      </c>
      <c r="C124" s="379" t="s">
        <v>31</v>
      </c>
      <c r="D124" s="379" t="s">
        <v>32</v>
      </c>
      <c r="E124" s="379" t="s">
        <v>228</v>
      </c>
      <c r="F124" s="379" t="s">
        <v>393</v>
      </c>
      <c r="G124" s="379" t="s">
        <v>1229</v>
      </c>
      <c r="H124" s="383">
        <v>1</v>
      </c>
      <c r="I124" s="384">
        <v>1420</v>
      </c>
      <c r="J124" s="382">
        <v>45977</v>
      </c>
      <c r="K124" s="379" t="s">
        <v>957</v>
      </c>
      <c r="L124" s="379" t="s">
        <v>30</v>
      </c>
      <c r="M124" s="385">
        <v>0</v>
      </c>
      <c r="N124" s="383"/>
      <c r="O124" s="383"/>
      <c r="P124" s="389">
        <v>537.88</v>
      </c>
    </row>
    <row r="125" spans="1:16" ht="19.5" customHeight="1">
      <c r="A125" s="379" t="s">
        <v>1252</v>
      </c>
      <c r="B125" s="382">
        <v>45979</v>
      </c>
      <c r="C125" s="379" t="s">
        <v>31</v>
      </c>
      <c r="D125" s="379" t="s">
        <v>33</v>
      </c>
      <c r="E125" s="379" t="s">
        <v>228</v>
      </c>
      <c r="F125" s="379" t="s">
        <v>393</v>
      </c>
      <c r="G125" s="379" t="s">
        <v>1229</v>
      </c>
      <c r="H125" s="383">
        <v>1</v>
      </c>
      <c r="I125" s="384">
        <v>1420</v>
      </c>
      <c r="J125" s="382">
        <v>45977</v>
      </c>
      <c r="K125" s="379" t="s">
        <v>957</v>
      </c>
      <c r="L125" s="379" t="s">
        <v>30</v>
      </c>
      <c r="M125" s="385">
        <v>0</v>
      </c>
      <c r="N125" s="383"/>
      <c r="O125" s="383"/>
      <c r="P125" s="389">
        <v>0</v>
      </c>
    </row>
    <row r="126" spans="1:16" ht="19.5" customHeight="1">
      <c r="A126" s="379" t="s">
        <v>1252</v>
      </c>
      <c r="B126" s="382">
        <v>45979</v>
      </c>
      <c r="C126" s="379" t="s">
        <v>31</v>
      </c>
      <c r="D126" s="379" t="s">
        <v>34</v>
      </c>
      <c r="E126" s="379" t="s">
        <v>228</v>
      </c>
      <c r="F126" s="379" t="s">
        <v>393</v>
      </c>
      <c r="G126" s="379" t="s">
        <v>1229</v>
      </c>
      <c r="H126" s="383">
        <v>1</v>
      </c>
      <c r="I126" s="384">
        <v>1420</v>
      </c>
      <c r="J126" s="382">
        <v>45977</v>
      </c>
      <c r="K126" s="379" t="s">
        <v>957</v>
      </c>
      <c r="L126" s="379" t="s">
        <v>30</v>
      </c>
      <c r="M126" s="385">
        <v>0</v>
      </c>
      <c r="N126" s="383"/>
      <c r="O126" s="383"/>
      <c r="P126" s="389">
        <v>882.12</v>
      </c>
    </row>
    <row r="127" spans="1:16" ht="19.5" customHeight="1">
      <c r="A127" s="379" t="s">
        <v>1252</v>
      </c>
      <c r="B127" s="382">
        <v>45979</v>
      </c>
      <c r="C127" s="379" t="s">
        <v>35</v>
      </c>
      <c r="D127" s="379" t="s">
        <v>36</v>
      </c>
      <c r="E127" s="379" t="s">
        <v>228</v>
      </c>
      <c r="F127" s="379" t="s">
        <v>393</v>
      </c>
      <c r="G127" s="379" t="s">
        <v>1229</v>
      </c>
      <c r="H127" s="383">
        <v>1</v>
      </c>
      <c r="I127" s="384">
        <v>1420</v>
      </c>
      <c r="J127" s="382">
        <v>45977</v>
      </c>
      <c r="K127" s="379" t="s">
        <v>957</v>
      </c>
      <c r="L127" s="379" t="s">
        <v>30</v>
      </c>
      <c r="M127" s="385">
        <v>0.43</v>
      </c>
      <c r="N127" s="383"/>
      <c r="O127" s="383"/>
      <c r="P127" s="389">
        <v>-610.6</v>
      </c>
    </row>
    <row r="128" spans="1:16" ht="19.5" customHeight="1">
      <c r="A128" s="379" t="s">
        <v>1252</v>
      </c>
      <c r="B128" s="382">
        <v>45979</v>
      </c>
      <c r="C128" s="379" t="s">
        <v>17</v>
      </c>
      <c r="D128" s="379" t="s">
        <v>37</v>
      </c>
      <c r="E128" s="379" t="s">
        <v>228</v>
      </c>
      <c r="F128" s="379" t="s">
        <v>393</v>
      </c>
      <c r="G128" s="379" t="s">
        <v>1229</v>
      </c>
      <c r="H128" s="383">
        <v>1</v>
      </c>
      <c r="I128" s="384">
        <v>1420</v>
      </c>
      <c r="J128" s="382">
        <v>45977</v>
      </c>
      <c r="K128" s="379" t="s">
        <v>957</v>
      </c>
      <c r="L128" s="379" t="s">
        <v>30</v>
      </c>
      <c r="M128" s="385">
        <v>0.43</v>
      </c>
      <c r="N128" s="383"/>
      <c r="O128" s="383"/>
      <c r="P128" s="389">
        <v>-6.44</v>
      </c>
    </row>
    <row r="129" spans="1:16" ht="19.5" customHeight="1">
      <c r="A129" s="379" t="s">
        <v>1253</v>
      </c>
      <c r="B129" s="382">
        <v>45979</v>
      </c>
      <c r="C129" s="379" t="s">
        <v>28</v>
      </c>
      <c r="D129" s="379" t="s">
        <v>29</v>
      </c>
      <c r="E129" s="379" t="s">
        <v>223</v>
      </c>
      <c r="F129" s="379" t="s">
        <v>395</v>
      </c>
      <c r="G129" s="379" t="s">
        <v>1229</v>
      </c>
      <c r="H129" s="383">
        <v>1</v>
      </c>
      <c r="I129" s="384">
        <v>1687</v>
      </c>
      <c r="J129" s="382">
        <v>45977</v>
      </c>
      <c r="K129" s="379" t="s">
        <v>957</v>
      </c>
      <c r="L129" s="379" t="s">
        <v>30</v>
      </c>
      <c r="M129" s="385">
        <v>0.43</v>
      </c>
      <c r="N129" s="383"/>
      <c r="O129" s="383">
        <v>43</v>
      </c>
      <c r="P129" s="389">
        <v>-124.21</v>
      </c>
    </row>
    <row r="130" spans="1:16" ht="19.5" customHeight="1">
      <c r="A130" s="379" t="s">
        <v>1253</v>
      </c>
      <c r="B130" s="382">
        <v>45979</v>
      </c>
      <c r="C130" s="379" t="s">
        <v>31</v>
      </c>
      <c r="D130" s="379" t="s">
        <v>32</v>
      </c>
      <c r="E130" s="379" t="s">
        <v>223</v>
      </c>
      <c r="F130" s="379" t="s">
        <v>395</v>
      </c>
      <c r="G130" s="379" t="s">
        <v>1229</v>
      </c>
      <c r="H130" s="383">
        <v>1</v>
      </c>
      <c r="I130" s="384">
        <v>1687</v>
      </c>
      <c r="J130" s="382">
        <v>45977</v>
      </c>
      <c r="K130" s="379" t="s">
        <v>957</v>
      </c>
      <c r="L130" s="379" t="s">
        <v>30</v>
      </c>
      <c r="M130" s="385">
        <v>0</v>
      </c>
      <c r="N130" s="383"/>
      <c r="O130" s="383"/>
      <c r="P130" s="389">
        <v>659.37</v>
      </c>
    </row>
    <row r="131" spans="1:16" ht="19.5" customHeight="1">
      <c r="A131" s="379" t="s">
        <v>1253</v>
      </c>
      <c r="B131" s="382">
        <v>45979</v>
      </c>
      <c r="C131" s="379" t="s">
        <v>31</v>
      </c>
      <c r="D131" s="379" t="s">
        <v>33</v>
      </c>
      <c r="E131" s="379" t="s">
        <v>223</v>
      </c>
      <c r="F131" s="379" t="s">
        <v>395</v>
      </c>
      <c r="G131" s="379" t="s">
        <v>1229</v>
      </c>
      <c r="H131" s="383">
        <v>1</v>
      </c>
      <c r="I131" s="384">
        <v>1687</v>
      </c>
      <c r="J131" s="382">
        <v>45977</v>
      </c>
      <c r="K131" s="379" t="s">
        <v>957</v>
      </c>
      <c r="L131" s="379" t="s">
        <v>30</v>
      </c>
      <c r="M131" s="385">
        <v>0</v>
      </c>
      <c r="N131" s="383"/>
      <c r="O131" s="383"/>
      <c r="P131" s="389">
        <v>6.59</v>
      </c>
    </row>
    <row r="132" spans="1:16" ht="19.5" customHeight="1">
      <c r="A132" s="379" t="s">
        <v>1253</v>
      </c>
      <c r="B132" s="382">
        <v>45979</v>
      </c>
      <c r="C132" s="379" t="s">
        <v>31</v>
      </c>
      <c r="D132" s="379" t="s">
        <v>34</v>
      </c>
      <c r="E132" s="379" t="s">
        <v>223</v>
      </c>
      <c r="F132" s="379" t="s">
        <v>395</v>
      </c>
      <c r="G132" s="379" t="s">
        <v>1229</v>
      </c>
      <c r="H132" s="383">
        <v>1</v>
      </c>
      <c r="I132" s="384">
        <v>1687</v>
      </c>
      <c r="J132" s="382">
        <v>45977</v>
      </c>
      <c r="K132" s="379" t="s">
        <v>957</v>
      </c>
      <c r="L132" s="379" t="s">
        <v>30</v>
      </c>
      <c r="M132" s="385">
        <v>0</v>
      </c>
      <c r="N132" s="383"/>
      <c r="O132" s="383"/>
      <c r="P132" s="389">
        <v>1021.04</v>
      </c>
    </row>
    <row r="133" spans="1:16" ht="19.5" customHeight="1">
      <c r="A133" s="379" t="s">
        <v>1253</v>
      </c>
      <c r="B133" s="382">
        <v>45979</v>
      </c>
      <c r="C133" s="379" t="s">
        <v>35</v>
      </c>
      <c r="D133" s="379" t="s">
        <v>36</v>
      </c>
      <c r="E133" s="379" t="s">
        <v>223</v>
      </c>
      <c r="F133" s="379" t="s">
        <v>395</v>
      </c>
      <c r="G133" s="379" t="s">
        <v>1229</v>
      </c>
      <c r="H133" s="383">
        <v>1</v>
      </c>
      <c r="I133" s="384">
        <v>1687</v>
      </c>
      <c r="J133" s="382">
        <v>45977</v>
      </c>
      <c r="K133" s="379" t="s">
        <v>957</v>
      </c>
      <c r="L133" s="379" t="s">
        <v>30</v>
      </c>
      <c r="M133" s="385">
        <v>0.43</v>
      </c>
      <c r="N133" s="383"/>
      <c r="O133" s="383"/>
      <c r="P133" s="389">
        <v>-725.41</v>
      </c>
    </row>
    <row r="134" spans="1:16" ht="19.5" customHeight="1">
      <c r="A134" s="379" t="s">
        <v>1253</v>
      </c>
      <c r="B134" s="382">
        <v>45979</v>
      </c>
      <c r="C134" s="379" t="s">
        <v>17</v>
      </c>
      <c r="D134" s="379" t="s">
        <v>37</v>
      </c>
      <c r="E134" s="379" t="s">
        <v>223</v>
      </c>
      <c r="F134" s="379" t="s">
        <v>395</v>
      </c>
      <c r="G134" s="379" t="s">
        <v>1229</v>
      </c>
      <c r="H134" s="383">
        <v>1</v>
      </c>
      <c r="I134" s="384">
        <v>1687</v>
      </c>
      <c r="J134" s="382">
        <v>45977</v>
      </c>
      <c r="K134" s="379" t="s">
        <v>957</v>
      </c>
      <c r="L134" s="379" t="s">
        <v>30</v>
      </c>
      <c r="M134" s="385">
        <v>0.43</v>
      </c>
      <c r="N134" s="383"/>
      <c r="O134" s="383"/>
      <c r="P134" s="389">
        <v>-15.18</v>
      </c>
    </row>
    <row r="135" spans="1:16" ht="19.5" customHeight="1">
      <c r="A135" s="379" t="s">
        <v>1253</v>
      </c>
      <c r="B135" s="382">
        <v>45979</v>
      </c>
      <c r="C135" s="379" t="s">
        <v>17</v>
      </c>
      <c r="D135" s="379" t="s">
        <v>18</v>
      </c>
      <c r="E135" s="379" t="s">
        <v>223</v>
      </c>
      <c r="F135" s="379" t="s">
        <v>395</v>
      </c>
      <c r="G135" s="379" t="s">
        <v>1229</v>
      </c>
      <c r="H135" s="383">
        <v>1</v>
      </c>
      <c r="I135" s="384">
        <v>0</v>
      </c>
      <c r="J135" s="382">
        <v>45977</v>
      </c>
      <c r="K135" s="379" t="s">
        <v>22</v>
      </c>
      <c r="L135" s="379" t="s">
        <v>22</v>
      </c>
      <c r="M135" s="385">
        <v>0</v>
      </c>
      <c r="N135" s="383"/>
      <c r="O135" s="383"/>
      <c r="P135" s="389">
        <v>-12.53</v>
      </c>
    </row>
    <row r="136" spans="1:16" ht="19.5" customHeight="1">
      <c r="A136" s="379" t="s">
        <v>1254</v>
      </c>
      <c r="B136" s="382">
        <v>45979</v>
      </c>
      <c r="C136" s="379" t="s">
        <v>28</v>
      </c>
      <c r="D136" s="379" t="s">
        <v>29</v>
      </c>
      <c r="E136" s="379" t="s">
        <v>51</v>
      </c>
      <c r="F136" s="379" t="s">
        <v>52</v>
      </c>
      <c r="G136" s="379" t="s">
        <v>1133</v>
      </c>
      <c r="H136" s="383">
        <v>1</v>
      </c>
      <c r="I136" s="384">
        <v>0</v>
      </c>
      <c r="J136" s="382">
        <v>45970</v>
      </c>
      <c r="K136" s="379" t="s">
        <v>957</v>
      </c>
      <c r="L136" s="379" t="s">
        <v>30</v>
      </c>
      <c r="M136" s="385">
        <v>0</v>
      </c>
      <c r="N136" s="383"/>
      <c r="O136" s="383"/>
      <c r="P136" s="389">
        <v>-56</v>
      </c>
    </row>
    <row r="137" spans="1:16" ht="19.5" customHeight="1">
      <c r="A137" s="379" t="s">
        <v>1254</v>
      </c>
      <c r="B137" s="382">
        <v>45979</v>
      </c>
      <c r="C137" s="379" t="s">
        <v>17</v>
      </c>
      <c r="D137" s="379" t="s">
        <v>37</v>
      </c>
      <c r="E137" s="379" t="s">
        <v>51</v>
      </c>
      <c r="F137" s="379" t="s">
        <v>52</v>
      </c>
      <c r="G137" s="379" t="s">
        <v>1133</v>
      </c>
      <c r="H137" s="383">
        <v>1</v>
      </c>
      <c r="I137" s="384">
        <v>0</v>
      </c>
      <c r="J137" s="382">
        <v>45970</v>
      </c>
      <c r="K137" s="379" t="s">
        <v>957</v>
      </c>
      <c r="L137" s="379" t="s">
        <v>30</v>
      </c>
      <c r="M137" s="385">
        <v>0</v>
      </c>
      <c r="N137" s="383"/>
      <c r="O137" s="383"/>
      <c r="P137" s="389">
        <v>-16.97</v>
      </c>
    </row>
    <row r="138" spans="1:16" ht="19.5" customHeight="1">
      <c r="A138" s="379" t="s">
        <v>1254</v>
      </c>
      <c r="B138" s="382">
        <v>45979</v>
      </c>
      <c r="C138" s="379" t="s">
        <v>28</v>
      </c>
      <c r="D138" s="379" t="s">
        <v>45</v>
      </c>
      <c r="E138" s="379" t="s">
        <v>51</v>
      </c>
      <c r="F138" s="379" t="s">
        <v>52</v>
      </c>
      <c r="G138" s="379" t="s">
        <v>1133</v>
      </c>
      <c r="H138" s="383">
        <v>1</v>
      </c>
      <c r="I138" s="384">
        <v>0</v>
      </c>
      <c r="J138" s="382">
        <v>45970</v>
      </c>
      <c r="K138" s="379" t="s">
        <v>957</v>
      </c>
      <c r="L138" s="379" t="s">
        <v>30</v>
      </c>
      <c r="M138" s="385">
        <v>0</v>
      </c>
      <c r="N138" s="383"/>
      <c r="O138" s="383"/>
      <c r="P138" s="389">
        <v>0</v>
      </c>
    </row>
    <row r="139" spans="1:16" ht="19.5" customHeight="1">
      <c r="A139" s="379" t="s">
        <v>1254</v>
      </c>
      <c r="B139" s="382">
        <v>45979</v>
      </c>
      <c r="C139" s="379" t="s">
        <v>28</v>
      </c>
      <c r="D139" s="379" t="s">
        <v>46</v>
      </c>
      <c r="E139" s="379" t="s">
        <v>51</v>
      </c>
      <c r="F139" s="379" t="s">
        <v>52</v>
      </c>
      <c r="G139" s="379" t="s">
        <v>1133</v>
      </c>
      <c r="H139" s="383">
        <v>1</v>
      </c>
      <c r="I139" s="384">
        <v>0</v>
      </c>
      <c r="J139" s="382">
        <v>45970</v>
      </c>
      <c r="K139" s="379" t="s">
        <v>957</v>
      </c>
      <c r="L139" s="379" t="s">
        <v>30</v>
      </c>
      <c r="M139" s="385">
        <v>0</v>
      </c>
      <c r="N139" s="383"/>
      <c r="O139" s="383"/>
      <c r="P139" s="389">
        <v>-56</v>
      </c>
    </row>
    <row r="140" spans="1:16" ht="19.5" customHeight="1">
      <c r="A140" s="379" t="s">
        <v>1254</v>
      </c>
      <c r="B140" s="382">
        <v>45979</v>
      </c>
      <c r="C140" s="379" t="s">
        <v>17</v>
      </c>
      <c r="D140" s="379" t="s">
        <v>47</v>
      </c>
      <c r="E140" s="379" t="s">
        <v>51</v>
      </c>
      <c r="F140" s="379" t="s">
        <v>52</v>
      </c>
      <c r="G140" s="379" t="s">
        <v>1133</v>
      </c>
      <c r="H140" s="383">
        <v>1</v>
      </c>
      <c r="I140" s="384">
        <v>0</v>
      </c>
      <c r="J140" s="382">
        <v>45970</v>
      </c>
      <c r="K140" s="379" t="s">
        <v>957</v>
      </c>
      <c r="L140" s="379" t="s">
        <v>30</v>
      </c>
      <c r="M140" s="385">
        <v>0</v>
      </c>
      <c r="N140" s="383"/>
      <c r="O140" s="383"/>
      <c r="P140" s="389">
        <v>-15</v>
      </c>
    </row>
    <row r="141" spans="1:16" ht="19.5" customHeight="1">
      <c r="A141" s="379" t="s">
        <v>1255</v>
      </c>
      <c r="B141" s="382">
        <v>45979</v>
      </c>
      <c r="C141" s="379" t="s">
        <v>28</v>
      </c>
      <c r="D141" s="379" t="s">
        <v>29</v>
      </c>
      <c r="E141" s="379" t="s">
        <v>223</v>
      </c>
      <c r="F141" s="379" t="s">
        <v>395</v>
      </c>
      <c r="G141" s="379" t="s">
        <v>1229</v>
      </c>
      <c r="H141" s="383">
        <v>1</v>
      </c>
      <c r="I141" s="384">
        <v>1687</v>
      </c>
      <c r="J141" s="382">
        <v>45978</v>
      </c>
      <c r="K141" s="379" t="s">
        <v>957</v>
      </c>
      <c r="L141" s="379" t="s">
        <v>30</v>
      </c>
      <c r="M141" s="385">
        <v>0.43</v>
      </c>
      <c r="N141" s="383"/>
      <c r="O141" s="383">
        <v>44</v>
      </c>
      <c r="P141" s="389">
        <v>-128.12</v>
      </c>
    </row>
    <row r="142" spans="1:16" ht="19.5" customHeight="1">
      <c r="A142" s="379" t="s">
        <v>1255</v>
      </c>
      <c r="B142" s="382">
        <v>45979</v>
      </c>
      <c r="C142" s="379" t="s">
        <v>31</v>
      </c>
      <c r="D142" s="379" t="s">
        <v>32</v>
      </c>
      <c r="E142" s="379" t="s">
        <v>223</v>
      </c>
      <c r="F142" s="379" t="s">
        <v>395</v>
      </c>
      <c r="G142" s="379" t="s">
        <v>1229</v>
      </c>
      <c r="H142" s="383">
        <v>1</v>
      </c>
      <c r="I142" s="384">
        <v>1687</v>
      </c>
      <c r="J142" s="382">
        <v>45978</v>
      </c>
      <c r="K142" s="379" t="s">
        <v>957</v>
      </c>
      <c r="L142" s="379" t="s">
        <v>30</v>
      </c>
      <c r="M142" s="385">
        <v>0</v>
      </c>
      <c r="N142" s="383"/>
      <c r="O142" s="383"/>
      <c r="P142" s="389">
        <v>585.16</v>
      </c>
    </row>
    <row r="143" spans="1:16" ht="19.5" customHeight="1">
      <c r="A143" s="379" t="s">
        <v>1255</v>
      </c>
      <c r="B143" s="382">
        <v>45979</v>
      </c>
      <c r="C143" s="379" t="s">
        <v>31</v>
      </c>
      <c r="D143" s="379" t="s">
        <v>33</v>
      </c>
      <c r="E143" s="379" t="s">
        <v>223</v>
      </c>
      <c r="F143" s="379" t="s">
        <v>395</v>
      </c>
      <c r="G143" s="379" t="s">
        <v>1229</v>
      </c>
      <c r="H143" s="383">
        <v>1</v>
      </c>
      <c r="I143" s="384">
        <v>1687</v>
      </c>
      <c r="J143" s="382">
        <v>45978</v>
      </c>
      <c r="K143" s="379" t="s">
        <v>957</v>
      </c>
      <c r="L143" s="379" t="s">
        <v>30</v>
      </c>
      <c r="M143" s="385">
        <v>0</v>
      </c>
      <c r="N143" s="383"/>
      <c r="O143" s="383"/>
      <c r="P143" s="389">
        <v>5.85</v>
      </c>
    </row>
    <row r="144" spans="1:16" ht="19.5" customHeight="1">
      <c r="A144" s="379" t="s">
        <v>1255</v>
      </c>
      <c r="B144" s="382">
        <v>45979</v>
      </c>
      <c r="C144" s="379" t="s">
        <v>31</v>
      </c>
      <c r="D144" s="379" t="s">
        <v>34</v>
      </c>
      <c r="E144" s="379" t="s">
        <v>223</v>
      </c>
      <c r="F144" s="379" t="s">
        <v>395</v>
      </c>
      <c r="G144" s="379" t="s">
        <v>1229</v>
      </c>
      <c r="H144" s="383">
        <v>1</v>
      </c>
      <c r="I144" s="384">
        <v>1687</v>
      </c>
      <c r="J144" s="382">
        <v>45978</v>
      </c>
      <c r="K144" s="379" t="s">
        <v>957</v>
      </c>
      <c r="L144" s="379" t="s">
        <v>30</v>
      </c>
      <c r="M144" s="385">
        <v>0</v>
      </c>
      <c r="N144" s="383"/>
      <c r="O144" s="383"/>
      <c r="P144" s="389">
        <v>1095.99</v>
      </c>
    </row>
    <row r="145" spans="1:16" ht="19.5" customHeight="1">
      <c r="A145" s="379" t="s">
        <v>1255</v>
      </c>
      <c r="B145" s="382">
        <v>45979</v>
      </c>
      <c r="C145" s="379" t="s">
        <v>35</v>
      </c>
      <c r="D145" s="379" t="s">
        <v>36</v>
      </c>
      <c r="E145" s="379" t="s">
        <v>223</v>
      </c>
      <c r="F145" s="379" t="s">
        <v>395</v>
      </c>
      <c r="G145" s="379" t="s">
        <v>1229</v>
      </c>
      <c r="H145" s="383">
        <v>1</v>
      </c>
      <c r="I145" s="384">
        <v>1687</v>
      </c>
      <c r="J145" s="382">
        <v>45978</v>
      </c>
      <c r="K145" s="379" t="s">
        <v>957</v>
      </c>
      <c r="L145" s="379" t="s">
        <v>30</v>
      </c>
      <c r="M145" s="385">
        <v>0.43</v>
      </c>
      <c r="N145" s="383"/>
      <c r="O145" s="383"/>
      <c r="P145" s="389">
        <v>-725.41</v>
      </c>
    </row>
    <row r="146" spans="1:16" ht="19.5" customHeight="1">
      <c r="A146" s="379" t="s">
        <v>1255</v>
      </c>
      <c r="B146" s="382">
        <v>45979</v>
      </c>
      <c r="C146" s="379" t="s">
        <v>17</v>
      </c>
      <c r="D146" s="379" t="s">
        <v>37</v>
      </c>
      <c r="E146" s="379" t="s">
        <v>223</v>
      </c>
      <c r="F146" s="379" t="s">
        <v>395</v>
      </c>
      <c r="G146" s="379" t="s">
        <v>1229</v>
      </c>
      <c r="H146" s="383">
        <v>1</v>
      </c>
      <c r="I146" s="384">
        <v>1687</v>
      </c>
      <c r="J146" s="382">
        <v>45978</v>
      </c>
      <c r="K146" s="379" t="s">
        <v>957</v>
      </c>
      <c r="L146" s="379" t="s">
        <v>30</v>
      </c>
      <c r="M146" s="385">
        <v>0.43</v>
      </c>
      <c r="N146" s="383"/>
      <c r="O146" s="383"/>
      <c r="P146" s="389">
        <v>-9.51</v>
      </c>
    </row>
    <row r="147" spans="1:16" ht="19.5" customHeight="1">
      <c r="A147" s="379" t="s">
        <v>1256</v>
      </c>
      <c r="B147" s="382">
        <v>45979</v>
      </c>
      <c r="C147" s="379" t="s">
        <v>28</v>
      </c>
      <c r="D147" s="379" t="s">
        <v>135</v>
      </c>
      <c r="E147" s="379" t="s">
        <v>231</v>
      </c>
      <c r="F147" s="379" t="s">
        <v>841</v>
      </c>
      <c r="G147" s="379" t="s">
        <v>1257</v>
      </c>
      <c r="H147" s="383">
        <v>1</v>
      </c>
      <c r="I147" s="384">
        <v>0</v>
      </c>
      <c r="J147" s="382">
        <v>45968</v>
      </c>
      <c r="K147" s="379" t="s">
        <v>957</v>
      </c>
      <c r="L147" s="379" t="s">
        <v>113</v>
      </c>
      <c r="M147" s="385">
        <v>0</v>
      </c>
      <c r="N147" s="383"/>
      <c r="O147" s="383"/>
      <c r="P147" s="389">
        <v>-10</v>
      </c>
    </row>
    <row r="148" spans="1:16" ht="19.5" customHeight="1">
      <c r="A148" s="379" t="s">
        <v>1256</v>
      </c>
      <c r="B148" s="382">
        <v>45979</v>
      </c>
      <c r="C148" s="379" t="s">
        <v>28</v>
      </c>
      <c r="D148" s="379" t="s">
        <v>29</v>
      </c>
      <c r="E148" s="379" t="s">
        <v>231</v>
      </c>
      <c r="F148" s="379" t="s">
        <v>841</v>
      </c>
      <c r="G148" s="379" t="s">
        <v>1257</v>
      </c>
      <c r="H148" s="383">
        <v>1</v>
      </c>
      <c r="I148" s="384">
        <v>0</v>
      </c>
      <c r="J148" s="382">
        <v>45968</v>
      </c>
      <c r="K148" s="379" t="s">
        <v>957</v>
      </c>
      <c r="L148" s="379" t="s">
        <v>113</v>
      </c>
      <c r="M148" s="385">
        <v>0</v>
      </c>
      <c r="N148" s="383"/>
      <c r="O148" s="383"/>
      <c r="P148" s="389">
        <v>-98</v>
      </c>
    </row>
    <row r="149" spans="1:16" ht="19.5" customHeight="1">
      <c r="A149" s="379" t="s">
        <v>1256</v>
      </c>
      <c r="B149" s="382">
        <v>45979</v>
      </c>
      <c r="C149" s="379" t="s">
        <v>17</v>
      </c>
      <c r="D149" s="379" t="s">
        <v>138</v>
      </c>
      <c r="E149" s="379" t="s">
        <v>231</v>
      </c>
      <c r="F149" s="379" t="s">
        <v>841</v>
      </c>
      <c r="G149" s="379" t="s">
        <v>1257</v>
      </c>
      <c r="H149" s="383">
        <v>1</v>
      </c>
      <c r="I149" s="384">
        <v>0</v>
      </c>
      <c r="J149" s="382">
        <v>45968</v>
      </c>
      <c r="K149" s="379" t="s">
        <v>957</v>
      </c>
      <c r="L149" s="379" t="s">
        <v>113</v>
      </c>
      <c r="M149" s="385">
        <v>0</v>
      </c>
      <c r="N149" s="383"/>
      <c r="O149" s="383"/>
      <c r="P149" s="389">
        <v>-20</v>
      </c>
    </row>
    <row r="150" spans="1:16" ht="19.5" customHeight="1">
      <c r="A150" s="379" t="s">
        <v>1256</v>
      </c>
      <c r="B150" s="382">
        <v>45979</v>
      </c>
      <c r="C150" s="379" t="s">
        <v>17</v>
      </c>
      <c r="D150" s="379" t="s">
        <v>37</v>
      </c>
      <c r="E150" s="379" t="s">
        <v>231</v>
      </c>
      <c r="F150" s="379" t="s">
        <v>841</v>
      </c>
      <c r="G150" s="379" t="s">
        <v>1257</v>
      </c>
      <c r="H150" s="383">
        <v>1</v>
      </c>
      <c r="I150" s="384">
        <v>0</v>
      </c>
      <c r="J150" s="382">
        <v>45968</v>
      </c>
      <c r="K150" s="379" t="s">
        <v>957</v>
      </c>
      <c r="L150" s="379" t="s">
        <v>113</v>
      </c>
      <c r="M150" s="385">
        <v>0</v>
      </c>
      <c r="N150" s="383"/>
      <c r="O150" s="383"/>
      <c r="P150" s="389">
        <v>-11.79</v>
      </c>
    </row>
    <row r="151" spans="1:16" ht="19.5" customHeight="1">
      <c r="A151" s="379" t="s">
        <v>1256</v>
      </c>
      <c r="B151" s="382">
        <v>45979</v>
      </c>
      <c r="C151" s="379" t="s">
        <v>28</v>
      </c>
      <c r="D151" s="379" t="s">
        <v>45</v>
      </c>
      <c r="E151" s="379" t="s">
        <v>231</v>
      </c>
      <c r="F151" s="379" t="s">
        <v>841</v>
      </c>
      <c r="G151" s="379" t="s">
        <v>1257</v>
      </c>
      <c r="H151" s="383">
        <v>1</v>
      </c>
      <c r="I151" s="384">
        <v>0</v>
      </c>
      <c r="J151" s="382">
        <v>45968</v>
      </c>
      <c r="K151" s="379" t="s">
        <v>957</v>
      </c>
      <c r="L151" s="379" t="s">
        <v>113</v>
      </c>
      <c r="M151" s="385">
        <v>0</v>
      </c>
      <c r="N151" s="383"/>
      <c r="O151" s="383"/>
      <c r="P151" s="389">
        <v>0</v>
      </c>
    </row>
    <row r="152" spans="1:16" ht="19.5" customHeight="1">
      <c r="A152" s="379" t="s">
        <v>1256</v>
      </c>
      <c r="B152" s="382">
        <v>45979</v>
      </c>
      <c r="C152" s="379" t="s">
        <v>28</v>
      </c>
      <c r="D152" s="379" t="s">
        <v>46</v>
      </c>
      <c r="E152" s="379" t="s">
        <v>231</v>
      </c>
      <c r="F152" s="379" t="s">
        <v>841</v>
      </c>
      <c r="G152" s="379" t="s">
        <v>1257</v>
      </c>
      <c r="H152" s="383">
        <v>1</v>
      </c>
      <c r="I152" s="384">
        <v>0</v>
      </c>
      <c r="J152" s="382">
        <v>45968</v>
      </c>
      <c r="K152" s="379" t="s">
        <v>957</v>
      </c>
      <c r="L152" s="379" t="s">
        <v>113</v>
      </c>
      <c r="M152" s="385">
        <v>0</v>
      </c>
      <c r="N152" s="383"/>
      <c r="O152" s="383"/>
      <c r="P152" s="389">
        <v>-56</v>
      </c>
    </row>
    <row r="153" spans="1:16" ht="19.5" customHeight="1">
      <c r="A153" s="379" t="s">
        <v>1256</v>
      </c>
      <c r="B153" s="382">
        <v>45979</v>
      </c>
      <c r="C153" s="379" t="s">
        <v>17</v>
      </c>
      <c r="D153" s="379" t="s">
        <v>47</v>
      </c>
      <c r="E153" s="379" t="s">
        <v>231</v>
      </c>
      <c r="F153" s="379" t="s">
        <v>841</v>
      </c>
      <c r="G153" s="379" t="s">
        <v>1257</v>
      </c>
      <c r="H153" s="383">
        <v>1</v>
      </c>
      <c r="I153" s="384">
        <v>0</v>
      </c>
      <c r="J153" s="382">
        <v>45968</v>
      </c>
      <c r="K153" s="379" t="s">
        <v>957</v>
      </c>
      <c r="L153" s="379" t="s">
        <v>113</v>
      </c>
      <c r="M153" s="385">
        <v>0</v>
      </c>
      <c r="N153" s="383"/>
      <c r="O153" s="383"/>
      <c r="P153" s="389">
        <v>-15</v>
      </c>
    </row>
    <row r="154" spans="1:16" ht="19.5" customHeight="1">
      <c r="A154" s="379" t="s">
        <v>1255</v>
      </c>
      <c r="B154" s="382">
        <v>45979</v>
      </c>
      <c r="C154" s="379" t="s">
        <v>17</v>
      </c>
      <c r="D154" s="379" t="s">
        <v>18</v>
      </c>
      <c r="E154" s="379" t="s">
        <v>223</v>
      </c>
      <c r="F154" s="379" t="s">
        <v>395</v>
      </c>
      <c r="G154" s="379" t="s">
        <v>1229</v>
      </c>
      <c r="H154" s="383">
        <v>1</v>
      </c>
      <c r="I154" s="384">
        <v>0</v>
      </c>
      <c r="J154" s="382">
        <v>45978</v>
      </c>
      <c r="K154" s="379" t="s">
        <v>22</v>
      </c>
      <c r="L154" s="379" t="s">
        <v>22</v>
      </c>
      <c r="M154" s="385">
        <v>0</v>
      </c>
      <c r="N154" s="383"/>
      <c r="O154" s="383"/>
      <c r="P154" s="389">
        <v>-11.12</v>
      </c>
    </row>
    <row r="155" spans="1:16" ht="19.5" customHeight="1">
      <c r="A155" s="379" t="s">
        <v>1202</v>
      </c>
      <c r="B155" s="382">
        <v>45979</v>
      </c>
      <c r="C155" s="379" t="s">
        <v>17</v>
      </c>
      <c r="D155" s="379" t="s">
        <v>18</v>
      </c>
      <c r="E155" s="379" t="s">
        <v>223</v>
      </c>
      <c r="F155" s="379" t="s">
        <v>395</v>
      </c>
      <c r="G155" s="379" t="s">
        <v>1229</v>
      </c>
      <c r="H155" s="383">
        <v>1</v>
      </c>
      <c r="I155" s="384">
        <v>0</v>
      </c>
      <c r="J155" s="382">
        <v>45976</v>
      </c>
      <c r="K155" s="379" t="s">
        <v>22</v>
      </c>
      <c r="L155" s="379" t="s">
        <v>22</v>
      </c>
      <c r="M155" s="385">
        <v>0</v>
      </c>
      <c r="N155" s="383"/>
      <c r="O155" s="383"/>
      <c r="P155" s="389">
        <v>11.84</v>
      </c>
    </row>
    <row r="156" spans="1:16" ht="19.5" customHeight="1">
      <c r="A156" s="379" t="s">
        <v>1258</v>
      </c>
      <c r="B156" s="382">
        <v>45979</v>
      </c>
      <c r="C156" s="379" t="s">
        <v>28</v>
      </c>
      <c r="D156" s="379" t="s">
        <v>29</v>
      </c>
      <c r="E156" s="379" t="s">
        <v>223</v>
      </c>
      <c r="F156" s="379" t="s">
        <v>395</v>
      </c>
      <c r="G156" s="379" t="s">
        <v>1229</v>
      </c>
      <c r="H156" s="383">
        <v>1</v>
      </c>
      <c r="I156" s="384">
        <v>1687</v>
      </c>
      <c r="J156" s="382">
        <v>45976</v>
      </c>
      <c r="K156" s="379" t="s">
        <v>957</v>
      </c>
      <c r="L156" s="379" t="s">
        <v>30</v>
      </c>
      <c r="M156" s="385">
        <v>0.43</v>
      </c>
      <c r="N156" s="383"/>
      <c r="O156" s="383">
        <v>43</v>
      </c>
      <c r="P156" s="389">
        <v>-124.21</v>
      </c>
    </row>
    <row r="157" spans="1:16" ht="19.5" customHeight="1">
      <c r="A157" s="379" t="s">
        <v>1258</v>
      </c>
      <c r="B157" s="382">
        <v>45979</v>
      </c>
      <c r="C157" s="379" t="s">
        <v>31</v>
      </c>
      <c r="D157" s="379" t="s">
        <v>32</v>
      </c>
      <c r="E157" s="379" t="s">
        <v>223</v>
      </c>
      <c r="F157" s="379" t="s">
        <v>395</v>
      </c>
      <c r="G157" s="379" t="s">
        <v>1229</v>
      </c>
      <c r="H157" s="383">
        <v>1</v>
      </c>
      <c r="I157" s="384">
        <v>1687</v>
      </c>
      <c r="J157" s="382">
        <v>45976</v>
      </c>
      <c r="K157" s="379" t="s">
        <v>957</v>
      </c>
      <c r="L157" s="379" t="s">
        <v>30</v>
      </c>
      <c r="M157" s="385">
        <v>0</v>
      </c>
      <c r="N157" s="383"/>
      <c r="O157" s="383"/>
      <c r="P157" s="389">
        <v>642.59</v>
      </c>
    </row>
    <row r="158" spans="1:16" ht="19.5" customHeight="1">
      <c r="A158" s="379" t="s">
        <v>1258</v>
      </c>
      <c r="B158" s="382">
        <v>45979</v>
      </c>
      <c r="C158" s="379" t="s">
        <v>31</v>
      </c>
      <c r="D158" s="379" t="s">
        <v>33</v>
      </c>
      <c r="E158" s="379" t="s">
        <v>223</v>
      </c>
      <c r="F158" s="379" t="s">
        <v>395</v>
      </c>
      <c r="G158" s="379" t="s">
        <v>1229</v>
      </c>
      <c r="H158" s="383">
        <v>1</v>
      </c>
      <c r="I158" s="384">
        <v>1687</v>
      </c>
      <c r="J158" s="382">
        <v>45976</v>
      </c>
      <c r="K158" s="379" t="s">
        <v>957</v>
      </c>
      <c r="L158" s="379" t="s">
        <v>30</v>
      </c>
      <c r="M158" s="385">
        <v>0</v>
      </c>
      <c r="N158" s="383"/>
      <c r="O158" s="383"/>
      <c r="P158" s="389">
        <v>0</v>
      </c>
    </row>
    <row r="159" spans="1:16" ht="19.5" customHeight="1">
      <c r="A159" s="379" t="s">
        <v>1258</v>
      </c>
      <c r="B159" s="382">
        <v>45979</v>
      </c>
      <c r="C159" s="379" t="s">
        <v>31</v>
      </c>
      <c r="D159" s="379" t="s">
        <v>34</v>
      </c>
      <c r="E159" s="379" t="s">
        <v>223</v>
      </c>
      <c r="F159" s="379" t="s">
        <v>395</v>
      </c>
      <c r="G159" s="379" t="s">
        <v>1229</v>
      </c>
      <c r="H159" s="383">
        <v>1</v>
      </c>
      <c r="I159" s="384">
        <v>1687</v>
      </c>
      <c r="J159" s="382">
        <v>45976</v>
      </c>
      <c r="K159" s="379" t="s">
        <v>957</v>
      </c>
      <c r="L159" s="379" t="s">
        <v>30</v>
      </c>
      <c r="M159" s="385">
        <v>0</v>
      </c>
      <c r="N159" s="383"/>
      <c r="O159" s="383"/>
      <c r="P159" s="389">
        <v>1044.4100000000001</v>
      </c>
    </row>
    <row r="160" spans="1:16" ht="19.5" customHeight="1">
      <c r="A160" s="379" t="s">
        <v>1258</v>
      </c>
      <c r="B160" s="382">
        <v>45979</v>
      </c>
      <c r="C160" s="379" t="s">
        <v>35</v>
      </c>
      <c r="D160" s="379" t="s">
        <v>36</v>
      </c>
      <c r="E160" s="379" t="s">
        <v>223</v>
      </c>
      <c r="F160" s="379" t="s">
        <v>395</v>
      </c>
      <c r="G160" s="379" t="s">
        <v>1229</v>
      </c>
      <c r="H160" s="383">
        <v>1</v>
      </c>
      <c r="I160" s="384">
        <v>1687</v>
      </c>
      <c r="J160" s="382">
        <v>45976</v>
      </c>
      <c r="K160" s="379" t="s">
        <v>957</v>
      </c>
      <c r="L160" s="379" t="s">
        <v>30</v>
      </c>
      <c r="M160" s="385">
        <v>0.43</v>
      </c>
      <c r="N160" s="383"/>
      <c r="O160" s="383"/>
      <c r="P160" s="389">
        <v>-725.41</v>
      </c>
    </row>
    <row r="161" spans="1:16" ht="19.5" customHeight="1">
      <c r="A161" s="379" t="s">
        <v>1258</v>
      </c>
      <c r="B161" s="382">
        <v>45979</v>
      </c>
      <c r="C161" s="379" t="s">
        <v>17</v>
      </c>
      <c r="D161" s="379" t="s">
        <v>37</v>
      </c>
      <c r="E161" s="379" t="s">
        <v>223</v>
      </c>
      <c r="F161" s="379" t="s">
        <v>395</v>
      </c>
      <c r="G161" s="379" t="s">
        <v>1229</v>
      </c>
      <c r="H161" s="383">
        <v>1</v>
      </c>
      <c r="I161" s="384">
        <v>1687</v>
      </c>
      <c r="J161" s="382">
        <v>45976</v>
      </c>
      <c r="K161" s="379" t="s">
        <v>957</v>
      </c>
      <c r="L161" s="379" t="s">
        <v>30</v>
      </c>
      <c r="M161" s="385">
        <v>0.43</v>
      </c>
      <c r="N161" s="383"/>
      <c r="O161" s="383"/>
      <c r="P161" s="389">
        <v>-11.64</v>
      </c>
    </row>
    <row r="162" spans="1:16" ht="19.5" customHeight="1">
      <c r="A162" s="379" t="s">
        <v>22</v>
      </c>
      <c r="B162" s="382">
        <v>45979</v>
      </c>
      <c r="C162" s="379" t="s">
        <v>77</v>
      </c>
      <c r="D162" s="379" t="s">
        <v>78</v>
      </c>
      <c r="E162" s="379" t="s">
        <v>22</v>
      </c>
      <c r="F162" s="379" t="s">
        <v>22</v>
      </c>
      <c r="G162" s="379" t="s">
        <v>1259</v>
      </c>
      <c r="H162" s="383">
        <v>0</v>
      </c>
      <c r="I162" s="384">
        <v>0</v>
      </c>
      <c r="J162" s="382">
        <v>45979</v>
      </c>
      <c r="K162" s="379" t="s">
        <v>22</v>
      </c>
      <c r="L162" s="379" t="s">
        <v>22</v>
      </c>
      <c r="M162" s="385">
        <v>0</v>
      </c>
      <c r="N162" s="383"/>
      <c r="O162" s="383"/>
      <c r="P162" s="389">
        <v>-450</v>
      </c>
    </row>
    <row r="163" spans="1:16" ht="19.5" customHeight="1">
      <c r="A163" s="379" t="s">
        <v>83</v>
      </c>
      <c r="B163" s="382">
        <v>45979</v>
      </c>
      <c r="C163" s="379" t="s">
        <v>77</v>
      </c>
      <c r="D163" s="379" t="s">
        <v>84</v>
      </c>
      <c r="E163" s="379" t="s">
        <v>22</v>
      </c>
      <c r="F163" s="379" t="s">
        <v>22</v>
      </c>
      <c r="G163" s="379" t="s">
        <v>22</v>
      </c>
      <c r="H163" s="383">
        <v>0</v>
      </c>
      <c r="I163" s="384">
        <v>0</v>
      </c>
      <c r="J163" s="382">
        <v>45979</v>
      </c>
      <c r="K163" s="379" t="s">
        <v>22</v>
      </c>
      <c r="L163" s="379" t="s">
        <v>22</v>
      </c>
      <c r="M163" s="385">
        <v>0</v>
      </c>
      <c r="N163" s="383"/>
      <c r="O163" s="383"/>
      <c r="P163" s="389">
        <v>-1793.24</v>
      </c>
    </row>
    <row r="164" spans="1:16" ht="19.5" customHeight="1">
      <c r="A164" s="379" t="s">
        <v>1105</v>
      </c>
      <c r="B164" s="382">
        <v>45979</v>
      </c>
      <c r="C164" s="379" t="s">
        <v>77</v>
      </c>
      <c r="D164" s="379" t="s">
        <v>82</v>
      </c>
      <c r="E164" s="379" t="s">
        <v>22</v>
      </c>
      <c r="F164" s="379" t="s">
        <v>22</v>
      </c>
      <c r="G164" s="379" t="s">
        <v>22</v>
      </c>
      <c r="H164" s="383">
        <v>0</v>
      </c>
      <c r="I164" s="384">
        <v>0</v>
      </c>
      <c r="J164" s="382">
        <v>45979</v>
      </c>
      <c r="K164" s="379" t="s">
        <v>22</v>
      </c>
      <c r="L164" s="379" t="s">
        <v>22</v>
      </c>
      <c r="M164" s="385">
        <v>0</v>
      </c>
      <c r="N164" s="383"/>
      <c r="O164" s="383"/>
      <c r="P164" s="389">
        <v>-546.37</v>
      </c>
    </row>
    <row r="165" spans="1:16" ht="19.5" customHeight="1">
      <c r="A165" s="379" t="s">
        <v>1242</v>
      </c>
      <c r="B165" s="382">
        <v>45979</v>
      </c>
      <c r="C165" s="379" t="s">
        <v>77</v>
      </c>
      <c r="D165" s="379" t="s">
        <v>82</v>
      </c>
      <c r="E165" s="379" t="s">
        <v>22</v>
      </c>
      <c r="F165" s="379" t="s">
        <v>22</v>
      </c>
      <c r="G165" s="379" t="s">
        <v>22</v>
      </c>
      <c r="H165" s="383">
        <v>0</v>
      </c>
      <c r="I165" s="384">
        <v>0</v>
      </c>
      <c r="J165" s="382">
        <v>45979</v>
      </c>
      <c r="K165" s="379" t="s">
        <v>22</v>
      </c>
      <c r="L165" s="379" t="s">
        <v>22</v>
      </c>
      <c r="M165" s="385">
        <v>0</v>
      </c>
      <c r="N165" s="383"/>
      <c r="O165" s="383"/>
      <c r="P165" s="389">
        <v>-53</v>
      </c>
    </row>
    <row r="166" spans="1:16" ht="19.5" customHeight="1">
      <c r="A166" s="379" t="s">
        <v>22</v>
      </c>
      <c r="B166" s="382">
        <v>45979</v>
      </c>
      <c r="C166" s="379" t="s">
        <v>77</v>
      </c>
      <c r="D166" s="379" t="s">
        <v>944</v>
      </c>
      <c r="E166" s="379" t="s">
        <v>22</v>
      </c>
      <c r="F166" s="379" t="s">
        <v>22</v>
      </c>
      <c r="G166" s="379" t="s">
        <v>1260</v>
      </c>
      <c r="H166" s="383">
        <v>0</v>
      </c>
      <c r="I166" s="384">
        <v>0</v>
      </c>
      <c r="J166" s="382">
        <v>45979</v>
      </c>
      <c r="K166" s="379" t="s">
        <v>22</v>
      </c>
      <c r="L166" s="379" t="s">
        <v>22</v>
      </c>
      <c r="M166" s="385">
        <v>0</v>
      </c>
      <c r="N166" s="383"/>
      <c r="O166" s="383"/>
      <c r="P166" s="389">
        <v>-333.29</v>
      </c>
    </row>
    <row r="167" spans="1:16" ht="19.5" customHeight="1">
      <c r="A167" s="379" t="s">
        <v>1075</v>
      </c>
      <c r="B167" s="382">
        <v>45979</v>
      </c>
      <c r="C167" s="379" t="s">
        <v>77</v>
      </c>
      <c r="D167" s="379" t="s">
        <v>82</v>
      </c>
      <c r="E167" s="379" t="s">
        <v>22</v>
      </c>
      <c r="F167" s="379" t="s">
        <v>22</v>
      </c>
      <c r="G167" s="379" t="s">
        <v>22</v>
      </c>
      <c r="H167" s="383">
        <v>0</v>
      </c>
      <c r="I167" s="384">
        <v>0</v>
      </c>
      <c r="J167" s="382">
        <v>45979</v>
      </c>
      <c r="K167" s="379" t="s">
        <v>22</v>
      </c>
      <c r="L167" s="379" t="s">
        <v>22</v>
      </c>
      <c r="M167" s="385">
        <v>0</v>
      </c>
      <c r="N167" s="383"/>
      <c r="O167" s="383"/>
      <c r="P167" s="389">
        <v>-632.19000000000005</v>
      </c>
    </row>
    <row r="168" spans="1:16" ht="19.5" customHeight="1">
      <c r="A168" s="379" t="s">
        <v>1106</v>
      </c>
      <c r="B168" s="382">
        <v>45979</v>
      </c>
      <c r="C168" s="379" t="s">
        <v>77</v>
      </c>
      <c r="D168" s="379" t="s">
        <v>82</v>
      </c>
      <c r="E168" s="379" t="s">
        <v>22</v>
      </c>
      <c r="F168" s="379" t="s">
        <v>22</v>
      </c>
      <c r="G168" s="379" t="s">
        <v>22</v>
      </c>
      <c r="H168" s="383">
        <v>0</v>
      </c>
      <c r="I168" s="384">
        <v>0</v>
      </c>
      <c r="J168" s="382">
        <v>45979</v>
      </c>
      <c r="K168" s="379" t="s">
        <v>22</v>
      </c>
      <c r="L168" s="379" t="s">
        <v>22</v>
      </c>
      <c r="M168" s="385">
        <v>0</v>
      </c>
      <c r="N168" s="383"/>
      <c r="O168" s="383"/>
      <c r="P168" s="389">
        <v>-287.5</v>
      </c>
    </row>
    <row r="169" spans="1:16" ht="19.5" customHeight="1">
      <c r="A169" s="379" t="s">
        <v>1169</v>
      </c>
      <c r="B169" s="382">
        <v>45979</v>
      </c>
      <c r="C169" s="379" t="s">
        <v>77</v>
      </c>
      <c r="D169" s="379" t="s">
        <v>82</v>
      </c>
      <c r="E169" s="379" t="s">
        <v>22</v>
      </c>
      <c r="F169" s="379" t="s">
        <v>22</v>
      </c>
      <c r="G169" s="379" t="s">
        <v>22</v>
      </c>
      <c r="H169" s="383">
        <v>0</v>
      </c>
      <c r="I169" s="384">
        <v>0</v>
      </c>
      <c r="J169" s="382">
        <v>45979</v>
      </c>
      <c r="K169" s="379" t="s">
        <v>22</v>
      </c>
      <c r="L169" s="379" t="s">
        <v>22</v>
      </c>
      <c r="M169" s="385">
        <v>0</v>
      </c>
      <c r="N169" s="383"/>
      <c r="O169" s="383"/>
      <c r="P169" s="389">
        <v>-297.61</v>
      </c>
    </row>
    <row r="170" spans="1:16" ht="19.5" customHeight="1">
      <c r="A170" s="379" t="s">
        <v>1183</v>
      </c>
      <c r="B170" s="382">
        <v>45979</v>
      </c>
      <c r="C170" s="379" t="s">
        <v>77</v>
      </c>
      <c r="D170" s="379" t="s">
        <v>82</v>
      </c>
      <c r="E170" s="379" t="s">
        <v>22</v>
      </c>
      <c r="F170" s="379" t="s">
        <v>22</v>
      </c>
      <c r="G170" s="379" t="s">
        <v>22</v>
      </c>
      <c r="H170" s="383">
        <v>0</v>
      </c>
      <c r="I170" s="384">
        <v>0</v>
      </c>
      <c r="J170" s="382">
        <v>45979</v>
      </c>
      <c r="K170" s="379" t="s">
        <v>22</v>
      </c>
      <c r="L170" s="379" t="s">
        <v>22</v>
      </c>
      <c r="M170" s="385">
        <v>0</v>
      </c>
      <c r="N170" s="383"/>
      <c r="O170" s="383"/>
      <c r="P170" s="389">
        <v>-258.64</v>
      </c>
    </row>
    <row r="171" spans="1:16" ht="19.5" customHeight="1">
      <c r="A171" s="379" t="s">
        <v>1261</v>
      </c>
      <c r="B171" s="382">
        <v>45980</v>
      </c>
      <c r="C171" s="379" t="s">
        <v>28</v>
      </c>
      <c r="D171" s="379" t="s">
        <v>29</v>
      </c>
      <c r="E171" s="379" t="s">
        <v>223</v>
      </c>
      <c r="F171" s="379" t="s">
        <v>395</v>
      </c>
      <c r="G171" s="379" t="s">
        <v>1229</v>
      </c>
      <c r="H171" s="383">
        <v>1</v>
      </c>
      <c r="I171" s="384">
        <v>1687</v>
      </c>
      <c r="J171" s="382">
        <v>45978</v>
      </c>
      <c r="K171" s="379" t="s">
        <v>957</v>
      </c>
      <c r="L171" s="379" t="s">
        <v>30</v>
      </c>
      <c r="M171" s="385">
        <v>0.43</v>
      </c>
      <c r="N171" s="383"/>
      <c r="O171" s="383">
        <v>44</v>
      </c>
      <c r="P171" s="389">
        <v>-128.12</v>
      </c>
    </row>
    <row r="172" spans="1:16" ht="19.5" customHeight="1">
      <c r="A172" s="379" t="s">
        <v>1261</v>
      </c>
      <c r="B172" s="382">
        <v>45980</v>
      </c>
      <c r="C172" s="379" t="s">
        <v>31</v>
      </c>
      <c r="D172" s="379" t="s">
        <v>32</v>
      </c>
      <c r="E172" s="379" t="s">
        <v>223</v>
      </c>
      <c r="F172" s="379" t="s">
        <v>395</v>
      </c>
      <c r="G172" s="379" t="s">
        <v>1229</v>
      </c>
      <c r="H172" s="383">
        <v>1</v>
      </c>
      <c r="I172" s="384">
        <v>1687</v>
      </c>
      <c r="J172" s="382">
        <v>45978</v>
      </c>
      <c r="K172" s="379" t="s">
        <v>957</v>
      </c>
      <c r="L172" s="379" t="s">
        <v>30</v>
      </c>
      <c r="M172" s="385">
        <v>0</v>
      </c>
      <c r="N172" s="383"/>
      <c r="O172" s="383"/>
      <c r="P172" s="389">
        <v>660</v>
      </c>
    </row>
    <row r="173" spans="1:16" ht="19.5" customHeight="1">
      <c r="A173" s="379" t="s">
        <v>1261</v>
      </c>
      <c r="B173" s="382">
        <v>45980</v>
      </c>
      <c r="C173" s="379" t="s">
        <v>31</v>
      </c>
      <c r="D173" s="379" t="s">
        <v>33</v>
      </c>
      <c r="E173" s="379" t="s">
        <v>223</v>
      </c>
      <c r="F173" s="379" t="s">
        <v>395</v>
      </c>
      <c r="G173" s="379" t="s">
        <v>1229</v>
      </c>
      <c r="H173" s="383">
        <v>1</v>
      </c>
      <c r="I173" s="384">
        <v>1687</v>
      </c>
      <c r="J173" s="382">
        <v>45978</v>
      </c>
      <c r="K173" s="379" t="s">
        <v>957</v>
      </c>
      <c r="L173" s="379" t="s">
        <v>30</v>
      </c>
      <c r="M173" s="385">
        <v>0</v>
      </c>
      <c r="N173" s="383"/>
      <c r="O173" s="383"/>
      <c r="P173" s="389">
        <v>6.6</v>
      </c>
    </row>
    <row r="174" spans="1:16" ht="19.5" customHeight="1">
      <c r="A174" s="379" t="s">
        <v>1261</v>
      </c>
      <c r="B174" s="382">
        <v>45980</v>
      </c>
      <c r="C174" s="379" t="s">
        <v>31</v>
      </c>
      <c r="D174" s="379" t="s">
        <v>34</v>
      </c>
      <c r="E174" s="379" t="s">
        <v>223</v>
      </c>
      <c r="F174" s="379" t="s">
        <v>395</v>
      </c>
      <c r="G174" s="379" t="s">
        <v>1229</v>
      </c>
      <c r="H174" s="383">
        <v>1</v>
      </c>
      <c r="I174" s="384">
        <v>1687</v>
      </c>
      <c r="J174" s="382">
        <v>45978</v>
      </c>
      <c r="K174" s="379" t="s">
        <v>957</v>
      </c>
      <c r="L174" s="379" t="s">
        <v>30</v>
      </c>
      <c r="M174" s="385">
        <v>0</v>
      </c>
      <c r="N174" s="383"/>
      <c r="O174" s="383"/>
      <c r="P174" s="389">
        <v>1020.4</v>
      </c>
    </row>
    <row r="175" spans="1:16" ht="19.5" customHeight="1">
      <c r="A175" s="379" t="s">
        <v>1261</v>
      </c>
      <c r="B175" s="382">
        <v>45980</v>
      </c>
      <c r="C175" s="379" t="s">
        <v>35</v>
      </c>
      <c r="D175" s="379" t="s">
        <v>36</v>
      </c>
      <c r="E175" s="379" t="s">
        <v>223</v>
      </c>
      <c r="F175" s="379" t="s">
        <v>395</v>
      </c>
      <c r="G175" s="379" t="s">
        <v>1229</v>
      </c>
      <c r="H175" s="383">
        <v>1</v>
      </c>
      <c r="I175" s="384">
        <v>1687</v>
      </c>
      <c r="J175" s="382">
        <v>45978</v>
      </c>
      <c r="K175" s="379" t="s">
        <v>957</v>
      </c>
      <c r="L175" s="379" t="s">
        <v>30</v>
      </c>
      <c r="M175" s="385">
        <v>0.43</v>
      </c>
      <c r="N175" s="383"/>
      <c r="O175" s="383"/>
      <c r="P175" s="389">
        <v>-725.41</v>
      </c>
    </row>
    <row r="176" spans="1:16" ht="19.5" customHeight="1">
      <c r="A176" s="379" t="s">
        <v>1261</v>
      </c>
      <c r="B176" s="382">
        <v>45980</v>
      </c>
      <c r="C176" s="379" t="s">
        <v>17</v>
      </c>
      <c r="D176" s="379" t="s">
        <v>37</v>
      </c>
      <c r="E176" s="379" t="s">
        <v>223</v>
      </c>
      <c r="F176" s="379" t="s">
        <v>395</v>
      </c>
      <c r="G176" s="379" t="s">
        <v>1229</v>
      </c>
      <c r="H176" s="383">
        <v>1</v>
      </c>
      <c r="I176" s="384">
        <v>1687</v>
      </c>
      <c r="J176" s="382">
        <v>45978</v>
      </c>
      <c r="K176" s="379" t="s">
        <v>957</v>
      </c>
      <c r="L176" s="379" t="s">
        <v>30</v>
      </c>
      <c r="M176" s="385">
        <v>0.43</v>
      </c>
      <c r="N176" s="383"/>
      <c r="O176" s="383"/>
      <c r="P176" s="389">
        <v>-13.62</v>
      </c>
    </row>
    <row r="177" spans="1:16" ht="19.5" customHeight="1">
      <c r="A177" s="379" t="s">
        <v>1262</v>
      </c>
      <c r="B177" s="382">
        <v>45980</v>
      </c>
      <c r="C177" s="379" t="s">
        <v>17</v>
      </c>
      <c r="D177" s="379" t="s">
        <v>18</v>
      </c>
      <c r="E177" s="379" t="s">
        <v>223</v>
      </c>
      <c r="F177" s="379" t="s">
        <v>395</v>
      </c>
      <c r="G177" s="379" t="s">
        <v>1229</v>
      </c>
      <c r="H177" s="383">
        <v>1</v>
      </c>
      <c r="I177" s="384">
        <v>0</v>
      </c>
      <c r="J177" s="382">
        <v>45980</v>
      </c>
      <c r="K177" s="379" t="s">
        <v>22</v>
      </c>
      <c r="L177" s="379" t="s">
        <v>22</v>
      </c>
      <c r="M177" s="385">
        <v>0</v>
      </c>
      <c r="N177" s="383"/>
      <c r="O177" s="383"/>
      <c r="P177" s="389">
        <v>-11.76</v>
      </c>
    </row>
    <row r="178" spans="1:16" ht="19.5" customHeight="1">
      <c r="A178" s="379" t="s">
        <v>1261</v>
      </c>
      <c r="B178" s="382">
        <v>45980</v>
      </c>
      <c r="C178" s="379" t="s">
        <v>17</v>
      </c>
      <c r="D178" s="379" t="s">
        <v>18</v>
      </c>
      <c r="E178" s="379" t="s">
        <v>223</v>
      </c>
      <c r="F178" s="379" t="s">
        <v>395</v>
      </c>
      <c r="G178" s="379" t="s">
        <v>1229</v>
      </c>
      <c r="H178" s="383">
        <v>1</v>
      </c>
      <c r="I178" s="384">
        <v>0</v>
      </c>
      <c r="J178" s="382">
        <v>45978</v>
      </c>
      <c r="K178" s="379" t="s">
        <v>22</v>
      </c>
      <c r="L178" s="379" t="s">
        <v>22</v>
      </c>
      <c r="M178" s="385">
        <v>0</v>
      </c>
      <c r="N178" s="383"/>
      <c r="O178" s="383"/>
      <c r="P178" s="389">
        <v>-12.54</v>
      </c>
    </row>
    <row r="179" spans="1:16" ht="19.5" customHeight="1">
      <c r="A179" s="379" t="s">
        <v>1263</v>
      </c>
      <c r="B179" s="382">
        <v>45980</v>
      </c>
      <c r="C179" s="379" t="s">
        <v>28</v>
      </c>
      <c r="D179" s="379" t="s">
        <v>29</v>
      </c>
      <c r="E179" s="379" t="s">
        <v>223</v>
      </c>
      <c r="F179" s="379" t="s">
        <v>395</v>
      </c>
      <c r="G179" s="379" t="s">
        <v>1229</v>
      </c>
      <c r="H179" s="383">
        <v>1</v>
      </c>
      <c r="I179" s="384">
        <v>1687</v>
      </c>
      <c r="J179" s="382">
        <v>45979</v>
      </c>
      <c r="K179" s="379" t="s">
        <v>957</v>
      </c>
      <c r="L179" s="379" t="s">
        <v>30</v>
      </c>
      <c r="M179" s="385">
        <v>0.43</v>
      </c>
      <c r="N179" s="383"/>
      <c r="O179" s="383">
        <v>46</v>
      </c>
      <c r="P179" s="389">
        <v>-135.94</v>
      </c>
    </row>
    <row r="180" spans="1:16" ht="19.5" customHeight="1">
      <c r="A180" s="379" t="s">
        <v>1263</v>
      </c>
      <c r="B180" s="382">
        <v>45980</v>
      </c>
      <c r="C180" s="379" t="s">
        <v>31</v>
      </c>
      <c r="D180" s="379" t="s">
        <v>32</v>
      </c>
      <c r="E180" s="379" t="s">
        <v>223</v>
      </c>
      <c r="F180" s="379" t="s">
        <v>395</v>
      </c>
      <c r="G180" s="379" t="s">
        <v>1229</v>
      </c>
      <c r="H180" s="383">
        <v>1</v>
      </c>
      <c r="I180" s="384">
        <v>1687</v>
      </c>
      <c r="J180" s="382">
        <v>45979</v>
      </c>
      <c r="K180" s="379" t="s">
        <v>957</v>
      </c>
      <c r="L180" s="379" t="s">
        <v>30</v>
      </c>
      <c r="M180" s="385">
        <v>0</v>
      </c>
      <c r="N180" s="383"/>
      <c r="O180" s="383"/>
      <c r="P180" s="389">
        <v>596.57000000000005</v>
      </c>
    </row>
    <row r="181" spans="1:16" ht="19.5" customHeight="1">
      <c r="A181" s="379" t="s">
        <v>1263</v>
      </c>
      <c r="B181" s="382">
        <v>45980</v>
      </c>
      <c r="C181" s="379" t="s">
        <v>31</v>
      </c>
      <c r="D181" s="379" t="s">
        <v>33</v>
      </c>
      <c r="E181" s="379" t="s">
        <v>223</v>
      </c>
      <c r="F181" s="379" t="s">
        <v>395</v>
      </c>
      <c r="G181" s="379" t="s">
        <v>1229</v>
      </c>
      <c r="H181" s="383">
        <v>1</v>
      </c>
      <c r="I181" s="384">
        <v>1687</v>
      </c>
      <c r="J181" s="382">
        <v>45979</v>
      </c>
      <c r="K181" s="379" t="s">
        <v>957</v>
      </c>
      <c r="L181" s="379" t="s">
        <v>30</v>
      </c>
      <c r="M181" s="385">
        <v>0</v>
      </c>
      <c r="N181" s="383"/>
      <c r="O181" s="383"/>
      <c r="P181" s="389">
        <v>5.97</v>
      </c>
    </row>
    <row r="182" spans="1:16" ht="19.5" customHeight="1">
      <c r="A182" s="379" t="s">
        <v>1263</v>
      </c>
      <c r="B182" s="382">
        <v>45980</v>
      </c>
      <c r="C182" s="379" t="s">
        <v>31</v>
      </c>
      <c r="D182" s="379" t="s">
        <v>34</v>
      </c>
      <c r="E182" s="379" t="s">
        <v>223</v>
      </c>
      <c r="F182" s="379" t="s">
        <v>395</v>
      </c>
      <c r="G182" s="379" t="s">
        <v>1229</v>
      </c>
      <c r="H182" s="383">
        <v>1</v>
      </c>
      <c r="I182" s="384">
        <v>1687</v>
      </c>
      <c r="J182" s="382">
        <v>45979</v>
      </c>
      <c r="K182" s="379" t="s">
        <v>957</v>
      </c>
      <c r="L182" s="379" t="s">
        <v>30</v>
      </c>
      <c r="M182" s="385">
        <v>0</v>
      </c>
      <c r="N182" s="383"/>
      <c r="O182" s="383"/>
      <c r="P182" s="389">
        <v>1084.46</v>
      </c>
    </row>
    <row r="183" spans="1:16" ht="19.5" customHeight="1">
      <c r="A183" s="379" t="s">
        <v>1263</v>
      </c>
      <c r="B183" s="382">
        <v>45980</v>
      </c>
      <c r="C183" s="379" t="s">
        <v>35</v>
      </c>
      <c r="D183" s="379" t="s">
        <v>36</v>
      </c>
      <c r="E183" s="379" t="s">
        <v>223</v>
      </c>
      <c r="F183" s="379" t="s">
        <v>395</v>
      </c>
      <c r="G183" s="379" t="s">
        <v>1229</v>
      </c>
      <c r="H183" s="383">
        <v>1</v>
      </c>
      <c r="I183" s="384">
        <v>1687</v>
      </c>
      <c r="J183" s="382">
        <v>45979</v>
      </c>
      <c r="K183" s="379" t="s">
        <v>957</v>
      </c>
      <c r="L183" s="379" t="s">
        <v>30</v>
      </c>
      <c r="M183" s="385">
        <v>0.43</v>
      </c>
      <c r="N183" s="383"/>
      <c r="O183" s="383"/>
      <c r="P183" s="389">
        <v>-725.41</v>
      </c>
    </row>
    <row r="184" spans="1:16" ht="19.5" customHeight="1">
      <c r="A184" s="379" t="s">
        <v>1263</v>
      </c>
      <c r="B184" s="382">
        <v>45980</v>
      </c>
      <c r="C184" s="379" t="s">
        <v>17</v>
      </c>
      <c r="D184" s="379" t="s">
        <v>37</v>
      </c>
      <c r="E184" s="379" t="s">
        <v>223</v>
      </c>
      <c r="F184" s="379" t="s">
        <v>395</v>
      </c>
      <c r="G184" s="379" t="s">
        <v>1229</v>
      </c>
      <c r="H184" s="383">
        <v>1</v>
      </c>
      <c r="I184" s="384">
        <v>1687</v>
      </c>
      <c r="J184" s="382">
        <v>45979</v>
      </c>
      <c r="K184" s="379" t="s">
        <v>957</v>
      </c>
      <c r="L184" s="379" t="s">
        <v>30</v>
      </c>
      <c r="M184" s="385">
        <v>0.43</v>
      </c>
      <c r="N184" s="383"/>
      <c r="O184" s="383"/>
      <c r="P184" s="389">
        <v>-17.13</v>
      </c>
    </row>
    <row r="185" spans="1:16" ht="19.5" customHeight="1">
      <c r="A185" s="379" t="s">
        <v>1264</v>
      </c>
      <c r="B185" s="382">
        <v>45980</v>
      </c>
      <c r="C185" s="379" t="s">
        <v>28</v>
      </c>
      <c r="D185" s="379" t="s">
        <v>29</v>
      </c>
      <c r="E185" s="379" t="s">
        <v>228</v>
      </c>
      <c r="F185" s="379" t="s">
        <v>393</v>
      </c>
      <c r="G185" s="379" t="s">
        <v>1229</v>
      </c>
      <c r="H185" s="383">
        <v>1</v>
      </c>
      <c r="I185" s="384">
        <v>1420</v>
      </c>
      <c r="J185" s="382">
        <v>45978</v>
      </c>
      <c r="K185" s="379" t="s">
        <v>957</v>
      </c>
      <c r="L185" s="379" t="s">
        <v>30</v>
      </c>
      <c r="M185" s="385">
        <v>0.43</v>
      </c>
      <c r="N185" s="383"/>
      <c r="O185" s="383">
        <v>44</v>
      </c>
      <c r="P185" s="389">
        <v>-119.71</v>
      </c>
    </row>
    <row r="186" spans="1:16" ht="19.5" customHeight="1">
      <c r="A186" s="379" t="s">
        <v>1264</v>
      </c>
      <c r="B186" s="382">
        <v>45980</v>
      </c>
      <c r="C186" s="379" t="s">
        <v>31</v>
      </c>
      <c r="D186" s="379" t="s">
        <v>32</v>
      </c>
      <c r="E186" s="379" t="s">
        <v>228</v>
      </c>
      <c r="F186" s="379" t="s">
        <v>393</v>
      </c>
      <c r="G186" s="379" t="s">
        <v>1229</v>
      </c>
      <c r="H186" s="383">
        <v>1</v>
      </c>
      <c r="I186" s="384">
        <v>1420</v>
      </c>
      <c r="J186" s="382">
        <v>45978</v>
      </c>
      <c r="K186" s="379" t="s">
        <v>957</v>
      </c>
      <c r="L186" s="379" t="s">
        <v>30</v>
      </c>
      <c r="M186" s="385">
        <v>0</v>
      </c>
      <c r="N186" s="383"/>
      <c r="O186" s="383"/>
      <c r="P186" s="389">
        <v>492.89</v>
      </c>
    </row>
    <row r="187" spans="1:16" ht="19.5" customHeight="1">
      <c r="A187" s="379" t="s">
        <v>1264</v>
      </c>
      <c r="B187" s="382">
        <v>45980</v>
      </c>
      <c r="C187" s="379" t="s">
        <v>31</v>
      </c>
      <c r="D187" s="379" t="s">
        <v>33</v>
      </c>
      <c r="E187" s="379" t="s">
        <v>228</v>
      </c>
      <c r="F187" s="379" t="s">
        <v>393</v>
      </c>
      <c r="G187" s="379" t="s">
        <v>1229</v>
      </c>
      <c r="H187" s="383">
        <v>1</v>
      </c>
      <c r="I187" s="384">
        <v>1420</v>
      </c>
      <c r="J187" s="382">
        <v>45978</v>
      </c>
      <c r="K187" s="379" t="s">
        <v>957</v>
      </c>
      <c r="L187" s="379" t="s">
        <v>30</v>
      </c>
      <c r="M187" s="385">
        <v>0</v>
      </c>
      <c r="N187" s="383"/>
      <c r="O187" s="383"/>
      <c r="P187" s="389">
        <v>4.93</v>
      </c>
    </row>
    <row r="188" spans="1:16" ht="19.5" customHeight="1">
      <c r="A188" s="379" t="s">
        <v>1264</v>
      </c>
      <c r="B188" s="382">
        <v>45980</v>
      </c>
      <c r="C188" s="379" t="s">
        <v>31</v>
      </c>
      <c r="D188" s="379" t="s">
        <v>34</v>
      </c>
      <c r="E188" s="379" t="s">
        <v>228</v>
      </c>
      <c r="F188" s="379" t="s">
        <v>393</v>
      </c>
      <c r="G188" s="379" t="s">
        <v>1229</v>
      </c>
      <c r="H188" s="383">
        <v>1</v>
      </c>
      <c r="I188" s="384">
        <v>1420</v>
      </c>
      <c r="J188" s="382">
        <v>45978</v>
      </c>
      <c r="K188" s="379" t="s">
        <v>957</v>
      </c>
      <c r="L188" s="379" t="s">
        <v>30</v>
      </c>
      <c r="M188" s="385">
        <v>0</v>
      </c>
      <c r="N188" s="383"/>
      <c r="O188" s="383"/>
      <c r="P188" s="389">
        <v>922.18</v>
      </c>
    </row>
    <row r="189" spans="1:16" ht="19.5" customHeight="1">
      <c r="A189" s="379" t="s">
        <v>1264</v>
      </c>
      <c r="B189" s="382">
        <v>45980</v>
      </c>
      <c r="C189" s="379" t="s">
        <v>35</v>
      </c>
      <c r="D189" s="379" t="s">
        <v>36</v>
      </c>
      <c r="E189" s="379" t="s">
        <v>228</v>
      </c>
      <c r="F189" s="379" t="s">
        <v>393</v>
      </c>
      <c r="G189" s="379" t="s">
        <v>1229</v>
      </c>
      <c r="H189" s="383">
        <v>1</v>
      </c>
      <c r="I189" s="384">
        <v>1420</v>
      </c>
      <c r="J189" s="382">
        <v>45978</v>
      </c>
      <c r="K189" s="379" t="s">
        <v>957</v>
      </c>
      <c r="L189" s="379" t="s">
        <v>30</v>
      </c>
      <c r="M189" s="385">
        <v>0.43</v>
      </c>
      <c r="N189" s="383"/>
      <c r="O189" s="383"/>
      <c r="P189" s="389">
        <v>-610.6</v>
      </c>
    </row>
    <row r="190" spans="1:16" ht="19.5" customHeight="1">
      <c r="A190" s="379" t="s">
        <v>1264</v>
      </c>
      <c r="B190" s="382">
        <v>45980</v>
      </c>
      <c r="C190" s="379" t="s">
        <v>17</v>
      </c>
      <c r="D190" s="379" t="s">
        <v>37</v>
      </c>
      <c r="E190" s="379" t="s">
        <v>228</v>
      </c>
      <c r="F190" s="379" t="s">
        <v>393</v>
      </c>
      <c r="G190" s="379" t="s">
        <v>1229</v>
      </c>
      <c r="H190" s="383">
        <v>1</v>
      </c>
      <c r="I190" s="384">
        <v>1420</v>
      </c>
      <c r="J190" s="382">
        <v>45978</v>
      </c>
      <c r="K190" s="379" t="s">
        <v>957</v>
      </c>
      <c r="L190" s="379" t="s">
        <v>30</v>
      </c>
      <c r="M190" s="385">
        <v>0.43</v>
      </c>
      <c r="N190" s="383"/>
      <c r="O190" s="383"/>
      <c r="P190" s="389">
        <v>-6.87</v>
      </c>
    </row>
    <row r="191" spans="1:16" ht="19.5" customHeight="1">
      <c r="A191" s="379" t="s">
        <v>1265</v>
      </c>
      <c r="B191" s="382">
        <v>45980</v>
      </c>
      <c r="C191" s="379" t="s">
        <v>17</v>
      </c>
      <c r="D191" s="379" t="s">
        <v>18</v>
      </c>
      <c r="E191" s="379" t="s">
        <v>223</v>
      </c>
      <c r="F191" s="379" t="s">
        <v>395</v>
      </c>
      <c r="G191" s="379" t="s">
        <v>1229</v>
      </c>
      <c r="H191" s="383">
        <v>1</v>
      </c>
      <c r="I191" s="384">
        <v>0</v>
      </c>
      <c r="J191" s="382">
        <v>45980</v>
      </c>
      <c r="K191" s="379" t="s">
        <v>22</v>
      </c>
      <c r="L191" s="379" t="s">
        <v>22</v>
      </c>
      <c r="M191" s="385">
        <v>0</v>
      </c>
      <c r="N191" s="383"/>
      <c r="O191" s="383"/>
      <c r="P191" s="389">
        <v>-3.53</v>
      </c>
    </row>
    <row r="192" spans="1:16" ht="19.5" customHeight="1">
      <c r="A192" s="379" t="s">
        <v>1266</v>
      </c>
      <c r="B192" s="382">
        <v>45980</v>
      </c>
      <c r="C192" s="379" t="s">
        <v>28</v>
      </c>
      <c r="D192" s="379" t="s">
        <v>29</v>
      </c>
      <c r="E192" s="379" t="s">
        <v>25</v>
      </c>
      <c r="F192" s="379" t="s">
        <v>26</v>
      </c>
      <c r="G192" s="379" t="s">
        <v>1229</v>
      </c>
      <c r="H192" s="383">
        <v>1</v>
      </c>
      <c r="I192" s="384">
        <v>1738</v>
      </c>
      <c r="J192" s="382">
        <v>45978</v>
      </c>
      <c r="K192" s="379" t="s">
        <v>957</v>
      </c>
      <c r="L192" s="379" t="s">
        <v>30</v>
      </c>
      <c r="M192" s="385">
        <v>0.43</v>
      </c>
      <c r="N192" s="383"/>
      <c r="O192" s="383">
        <v>44</v>
      </c>
      <c r="P192" s="389">
        <v>-129.72999999999999</v>
      </c>
    </row>
    <row r="193" spans="1:16" ht="19.5" customHeight="1">
      <c r="A193" s="379" t="s">
        <v>1266</v>
      </c>
      <c r="B193" s="382">
        <v>45980</v>
      </c>
      <c r="C193" s="379" t="s">
        <v>31</v>
      </c>
      <c r="D193" s="379" t="s">
        <v>32</v>
      </c>
      <c r="E193" s="379" t="s">
        <v>25</v>
      </c>
      <c r="F193" s="379" t="s">
        <v>26</v>
      </c>
      <c r="G193" s="379" t="s">
        <v>1229</v>
      </c>
      <c r="H193" s="383">
        <v>1</v>
      </c>
      <c r="I193" s="384">
        <v>1738</v>
      </c>
      <c r="J193" s="382">
        <v>45978</v>
      </c>
      <c r="K193" s="379" t="s">
        <v>957</v>
      </c>
      <c r="L193" s="379" t="s">
        <v>30</v>
      </c>
      <c r="M193" s="385">
        <v>0</v>
      </c>
      <c r="N193" s="383"/>
      <c r="O193" s="383"/>
      <c r="P193" s="389">
        <v>754.29</v>
      </c>
    </row>
    <row r="194" spans="1:16" ht="19.5" customHeight="1">
      <c r="A194" s="379" t="s">
        <v>1266</v>
      </c>
      <c r="B194" s="382">
        <v>45980</v>
      </c>
      <c r="C194" s="379" t="s">
        <v>31</v>
      </c>
      <c r="D194" s="379" t="s">
        <v>33</v>
      </c>
      <c r="E194" s="379" t="s">
        <v>25</v>
      </c>
      <c r="F194" s="379" t="s">
        <v>26</v>
      </c>
      <c r="G194" s="379" t="s">
        <v>1229</v>
      </c>
      <c r="H194" s="383">
        <v>1</v>
      </c>
      <c r="I194" s="384">
        <v>1738</v>
      </c>
      <c r="J194" s="382">
        <v>45978</v>
      </c>
      <c r="K194" s="379" t="s">
        <v>957</v>
      </c>
      <c r="L194" s="379" t="s">
        <v>30</v>
      </c>
      <c r="M194" s="385">
        <v>0</v>
      </c>
      <c r="N194" s="383"/>
      <c r="O194" s="383"/>
      <c r="P194" s="389">
        <v>7.54</v>
      </c>
    </row>
    <row r="195" spans="1:16" ht="19.5" customHeight="1">
      <c r="A195" s="379" t="s">
        <v>1266</v>
      </c>
      <c r="B195" s="382">
        <v>45980</v>
      </c>
      <c r="C195" s="379" t="s">
        <v>31</v>
      </c>
      <c r="D195" s="379" t="s">
        <v>34</v>
      </c>
      <c r="E195" s="379" t="s">
        <v>25</v>
      </c>
      <c r="F195" s="379" t="s">
        <v>26</v>
      </c>
      <c r="G195" s="379" t="s">
        <v>1229</v>
      </c>
      <c r="H195" s="383">
        <v>1</v>
      </c>
      <c r="I195" s="384">
        <v>1738</v>
      </c>
      <c r="J195" s="382">
        <v>45978</v>
      </c>
      <c r="K195" s="379" t="s">
        <v>957</v>
      </c>
      <c r="L195" s="379" t="s">
        <v>30</v>
      </c>
      <c r="M195" s="385">
        <v>0</v>
      </c>
      <c r="N195" s="383"/>
      <c r="O195" s="383"/>
      <c r="P195" s="389">
        <v>976.17</v>
      </c>
    </row>
    <row r="196" spans="1:16" ht="19.5" customHeight="1">
      <c r="A196" s="379" t="s">
        <v>1266</v>
      </c>
      <c r="B196" s="382">
        <v>45980</v>
      </c>
      <c r="C196" s="379" t="s">
        <v>35</v>
      </c>
      <c r="D196" s="379" t="s">
        <v>36</v>
      </c>
      <c r="E196" s="379" t="s">
        <v>25</v>
      </c>
      <c r="F196" s="379" t="s">
        <v>26</v>
      </c>
      <c r="G196" s="379" t="s">
        <v>1229</v>
      </c>
      <c r="H196" s="383">
        <v>1</v>
      </c>
      <c r="I196" s="384">
        <v>1738</v>
      </c>
      <c r="J196" s="382">
        <v>45978</v>
      </c>
      <c r="K196" s="379" t="s">
        <v>957</v>
      </c>
      <c r="L196" s="379" t="s">
        <v>30</v>
      </c>
      <c r="M196" s="385">
        <v>0.43</v>
      </c>
      <c r="N196" s="383"/>
      <c r="O196" s="383"/>
      <c r="P196" s="389">
        <v>-747.34</v>
      </c>
    </row>
    <row r="197" spans="1:16" ht="19.5" customHeight="1">
      <c r="A197" s="379" t="s">
        <v>1266</v>
      </c>
      <c r="B197" s="382">
        <v>45980</v>
      </c>
      <c r="C197" s="379" t="s">
        <v>17</v>
      </c>
      <c r="D197" s="379" t="s">
        <v>37</v>
      </c>
      <c r="E197" s="379" t="s">
        <v>25</v>
      </c>
      <c r="F197" s="379" t="s">
        <v>26</v>
      </c>
      <c r="G197" s="379" t="s">
        <v>1229</v>
      </c>
      <c r="H197" s="383">
        <v>1</v>
      </c>
      <c r="I197" s="384">
        <v>1738</v>
      </c>
      <c r="J197" s="382">
        <v>45978</v>
      </c>
      <c r="K197" s="379" t="s">
        <v>957</v>
      </c>
      <c r="L197" s="379" t="s">
        <v>30</v>
      </c>
      <c r="M197" s="385">
        <v>0.43</v>
      </c>
      <c r="N197" s="383"/>
      <c r="O197" s="383"/>
      <c r="P197" s="389">
        <v>-15.21</v>
      </c>
    </row>
    <row r="198" spans="1:16" ht="19.5" customHeight="1">
      <c r="A198" s="379" t="s">
        <v>1264</v>
      </c>
      <c r="B198" s="382">
        <v>45980</v>
      </c>
      <c r="C198" s="379" t="s">
        <v>17</v>
      </c>
      <c r="D198" s="379" t="s">
        <v>18</v>
      </c>
      <c r="E198" s="379" t="s">
        <v>228</v>
      </c>
      <c r="F198" s="379" t="s">
        <v>393</v>
      </c>
      <c r="G198" s="379" t="s">
        <v>1229</v>
      </c>
      <c r="H198" s="383">
        <v>1</v>
      </c>
      <c r="I198" s="384">
        <v>0</v>
      </c>
      <c r="J198" s="382">
        <v>45978</v>
      </c>
      <c r="K198" s="379" t="s">
        <v>22</v>
      </c>
      <c r="L198" s="379" t="s">
        <v>22</v>
      </c>
      <c r="M198" s="385">
        <v>0</v>
      </c>
      <c r="N198" s="383"/>
      <c r="O198" s="383"/>
      <c r="P198" s="389">
        <v>-9.36</v>
      </c>
    </row>
    <row r="199" spans="1:16" ht="19.5" customHeight="1">
      <c r="A199" s="379" t="s">
        <v>1266</v>
      </c>
      <c r="B199" s="382">
        <v>45980</v>
      </c>
      <c r="C199" s="379" t="s">
        <v>17</v>
      </c>
      <c r="D199" s="379" t="s">
        <v>18</v>
      </c>
      <c r="E199" s="379" t="s">
        <v>25</v>
      </c>
      <c r="F199" s="379" t="s">
        <v>26</v>
      </c>
      <c r="G199" s="379" t="s">
        <v>1229</v>
      </c>
      <c r="H199" s="383">
        <v>1</v>
      </c>
      <c r="I199" s="384">
        <v>0</v>
      </c>
      <c r="J199" s="382">
        <v>45978</v>
      </c>
      <c r="K199" s="379" t="s">
        <v>22</v>
      </c>
      <c r="L199" s="379" t="s">
        <v>22</v>
      </c>
      <c r="M199" s="385">
        <v>0</v>
      </c>
      <c r="N199" s="383"/>
      <c r="O199" s="383"/>
      <c r="P199" s="389">
        <v>-14.33</v>
      </c>
    </row>
    <row r="200" spans="1:16" ht="19.5" customHeight="1">
      <c r="A200" s="379" t="s">
        <v>1253</v>
      </c>
      <c r="B200" s="382">
        <v>45980</v>
      </c>
      <c r="C200" s="379" t="s">
        <v>126</v>
      </c>
      <c r="D200" s="379" t="s">
        <v>127</v>
      </c>
      <c r="E200" s="379" t="s">
        <v>223</v>
      </c>
      <c r="F200" s="379" t="s">
        <v>395</v>
      </c>
      <c r="G200" s="379" t="s">
        <v>1229</v>
      </c>
      <c r="H200" s="383">
        <v>1</v>
      </c>
      <c r="I200" s="384">
        <v>-1687</v>
      </c>
      <c r="J200" s="382">
        <v>45977</v>
      </c>
      <c r="K200" s="379" t="s">
        <v>957</v>
      </c>
      <c r="L200" s="379" t="s">
        <v>30</v>
      </c>
      <c r="M200" s="385">
        <v>0</v>
      </c>
      <c r="N200" s="383"/>
      <c r="O200" s="383"/>
      <c r="P200" s="389">
        <v>-659.37</v>
      </c>
    </row>
    <row r="201" spans="1:16" ht="19.5" customHeight="1">
      <c r="A201" s="379" t="s">
        <v>1253</v>
      </c>
      <c r="B201" s="382">
        <v>45980</v>
      </c>
      <c r="C201" s="379" t="s">
        <v>126</v>
      </c>
      <c r="D201" s="379" t="s">
        <v>33</v>
      </c>
      <c r="E201" s="379" t="s">
        <v>223</v>
      </c>
      <c r="F201" s="379" t="s">
        <v>395</v>
      </c>
      <c r="G201" s="379" t="s">
        <v>1229</v>
      </c>
      <c r="H201" s="383">
        <v>1</v>
      </c>
      <c r="I201" s="384">
        <v>-1687</v>
      </c>
      <c r="J201" s="382">
        <v>45977</v>
      </c>
      <c r="K201" s="379" t="s">
        <v>957</v>
      </c>
      <c r="L201" s="379" t="s">
        <v>30</v>
      </c>
      <c r="M201" s="385">
        <v>0</v>
      </c>
      <c r="N201" s="383"/>
      <c r="O201" s="383"/>
      <c r="P201" s="389">
        <v>-6.59</v>
      </c>
    </row>
    <row r="202" spans="1:16" ht="19.5" customHeight="1">
      <c r="A202" s="379" t="s">
        <v>1253</v>
      </c>
      <c r="B202" s="382">
        <v>45980</v>
      </c>
      <c r="C202" s="379" t="s">
        <v>126</v>
      </c>
      <c r="D202" s="379" t="s">
        <v>34</v>
      </c>
      <c r="E202" s="379" t="s">
        <v>223</v>
      </c>
      <c r="F202" s="379" t="s">
        <v>395</v>
      </c>
      <c r="G202" s="379" t="s">
        <v>1229</v>
      </c>
      <c r="H202" s="383">
        <v>1</v>
      </c>
      <c r="I202" s="384">
        <v>-1687</v>
      </c>
      <c r="J202" s="382">
        <v>45977</v>
      </c>
      <c r="K202" s="379" t="s">
        <v>957</v>
      </c>
      <c r="L202" s="379" t="s">
        <v>30</v>
      </c>
      <c r="M202" s="385">
        <v>0</v>
      </c>
      <c r="N202" s="383"/>
      <c r="O202" s="383"/>
      <c r="P202" s="389">
        <v>-1021.04</v>
      </c>
    </row>
    <row r="203" spans="1:16" ht="19.5" customHeight="1">
      <c r="A203" s="379" t="s">
        <v>1253</v>
      </c>
      <c r="B203" s="382">
        <v>45980</v>
      </c>
      <c r="C203" s="379" t="s">
        <v>35</v>
      </c>
      <c r="D203" s="379" t="s">
        <v>128</v>
      </c>
      <c r="E203" s="379" t="s">
        <v>223</v>
      </c>
      <c r="F203" s="379" t="s">
        <v>395</v>
      </c>
      <c r="G203" s="379" t="s">
        <v>1229</v>
      </c>
      <c r="H203" s="383">
        <v>1</v>
      </c>
      <c r="I203" s="384">
        <v>-1687</v>
      </c>
      <c r="J203" s="382">
        <v>45977</v>
      </c>
      <c r="K203" s="379" t="s">
        <v>957</v>
      </c>
      <c r="L203" s="379" t="s">
        <v>30</v>
      </c>
      <c r="M203" s="385">
        <v>0.43</v>
      </c>
      <c r="N203" s="383"/>
      <c r="O203" s="383"/>
      <c r="P203" s="389">
        <v>725.41</v>
      </c>
    </row>
    <row r="204" spans="1:16" ht="19.5" customHeight="1">
      <c r="A204" s="379" t="s">
        <v>1253</v>
      </c>
      <c r="B204" s="382">
        <v>45980</v>
      </c>
      <c r="C204" s="379" t="s">
        <v>17</v>
      </c>
      <c r="D204" s="379" t="s">
        <v>18</v>
      </c>
      <c r="E204" s="379" t="s">
        <v>223</v>
      </c>
      <c r="F204" s="379" t="s">
        <v>395</v>
      </c>
      <c r="G204" s="379" t="s">
        <v>1229</v>
      </c>
      <c r="H204" s="383">
        <v>1</v>
      </c>
      <c r="I204" s="384">
        <v>0</v>
      </c>
      <c r="J204" s="382">
        <v>45977</v>
      </c>
      <c r="K204" s="379" t="s">
        <v>22</v>
      </c>
      <c r="L204" s="379" t="s">
        <v>22</v>
      </c>
      <c r="M204" s="385">
        <v>0</v>
      </c>
      <c r="N204" s="383"/>
      <c r="O204" s="383"/>
      <c r="P204" s="389">
        <v>12.53</v>
      </c>
    </row>
    <row r="205" spans="1:16" ht="19.5" customHeight="1">
      <c r="A205" s="379" t="s">
        <v>1267</v>
      </c>
      <c r="B205" s="382">
        <v>45980</v>
      </c>
      <c r="C205" s="379" t="s">
        <v>17</v>
      </c>
      <c r="D205" s="379" t="s">
        <v>18</v>
      </c>
      <c r="E205" s="379" t="s">
        <v>223</v>
      </c>
      <c r="F205" s="379" t="s">
        <v>395</v>
      </c>
      <c r="G205" s="379" t="s">
        <v>1229</v>
      </c>
      <c r="H205" s="383">
        <v>1</v>
      </c>
      <c r="I205" s="384">
        <v>0</v>
      </c>
      <c r="J205" s="382">
        <v>45980</v>
      </c>
      <c r="K205" s="379" t="s">
        <v>22</v>
      </c>
      <c r="L205" s="379" t="s">
        <v>22</v>
      </c>
      <c r="M205" s="385">
        <v>0</v>
      </c>
      <c r="N205" s="383"/>
      <c r="O205" s="383"/>
      <c r="P205" s="389">
        <v>-11.76</v>
      </c>
    </row>
    <row r="206" spans="1:16" ht="19.5" customHeight="1">
      <c r="A206" s="379" t="s">
        <v>22</v>
      </c>
      <c r="B206" s="382">
        <v>45980</v>
      </c>
      <c r="C206" s="379" t="s">
        <v>77</v>
      </c>
      <c r="D206" s="379" t="s">
        <v>78</v>
      </c>
      <c r="E206" s="379" t="s">
        <v>22</v>
      </c>
      <c r="F206" s="379" t="s">
        <v>22</v>
      </c>
      <c r="G206" s="379" t="s">
        <v>1268</v>
      </c>
      <c r="H206" s="383">
        <v>0</v>
      </c>
      <c r="I206" s="384">
        <v>0</v>
      </c>
      <c r="J206" s="382">
        <v>45980</v>
      </c>
      <c r="K206" s="379" t="s">
        <v>22</v>
      </c>
      <c r="L206" s="379" t="s">
        <v>22</v>
      </c>
      <c r="M206" s="385">
        <v>0</v>
      </c>
      <c r="N206" s="383"/>
      <c r="O206" s="383"/>
      <c r="P206" s="389">
        <v>-450</v>
      </c>
    </row>
    <row r="207" spans="1:16" ht="19.5" customHeight="1">
      <c r="A207" s="379" t="s">
        <v>22</v>
      </c>
      <c r="B207" s="382">
        <v>45980</v>
      </c>
      <c r="C207" s="379" t="s">
        <v>77</v>
      </c>
      <c r="D207" s="379" t="s">
        <v>80</v>
      </c>
      <c r="E207" s="379" t="s">
        <v>22</v>
      </c>
      <c r="F207" s="379" t="s">
        <v>22</v>
      </c>
      <c r="G207" s="379" t="s">
        <v>22</v>
      </c>
      <c r="H207" s="383">
        <v>0</v>
      </c>
      <c r="I207" s="384">
        <v>0</v>
      </c>
      <c r="J207" s="382">
        <v>45980</v>
      </c>
      <c r="K207" s="379" t="s">
        <v>22</v>
      </c>
      <c r="L207" s="379" t="s">
        <v>22</v>
      </c>
      <c r="M207" s="385">
        <v>0</v>
      </c>
      <c r="N207" s="383"/>
      <c r="O207" s="383"/>
      <c r="P207" s="389">
        <v>-216</v>
      </c>
    </row>
    <row r="208" spans="1:16" ht="19.5" customHeight="1">
      <c r="A208" s="379" t="s">
        <v>83</v>
      </c>
      <c r="B208" s="382">
        <v>45980</v>
      </c>
      <c r="C208" s="379" t="s">
        <v>77</v>
      </c>
      <c r="D208" s="379" t="s">
        <v>84</v>
      </c>
      <c r="E208" s="379" t="s">
        <v>22</v>
      </c>
      <c r="F208" s="379" t="s">
        <v>22</v>
      </c>
      <c r="G208" s="379" t="s">
        <v>22</v>
      </c>
      <c r="H208" s="383">
        <v>0</v>
      </c>
      <c r="I208" s="384">
        <v>0</v>
      </c>
      <c r="J208" s="382">
        <v>45980</v>
      </c>
      <c r="K208" s="379" t="s">
        <v>22</v>
      </c>
      <c r="L208" s="379" t="s">
        <v>22</v>
      </c>
      <c r="M208" s="385">
        <v>0</v>
      </c>
      <c r="N208" s="383"/>
      <c r="O208" s="383"/>
      <c r="P208" s="389">
        <v>-1039.44</v>
      </c>
    </row>
    <row r="209" spans="1:16" ht="19.5" customHeight="1">
      <c r="A209" s="379" t="s">
        <v>1106</v>
      </c>
      <c r="B209" s="382">
        <v>45980</v>
      </c>
      <c r="C209" s="379" t="s">
        <v>77</v>
      </c>
      <c r="D209" s="379" t="s">
        <v>82</v>
      </c>
      <c r="E209" s="379" t="s">
        <v>22</v>
      </c>
      <c r="F209" s="379" t="s">
        <v>22</v>
      </c>
      <c r="G209" s="379" t="s">
        <v>22</v>
      </c>
      <c r="H209" s="383">
        <v>0</v>
      </c>
      <c r="I209" s="384">
        <v>0</v>
      </c>
      <c r="J209" s="382">
        <v>45980</v>
      </c>
      <c r="K209" s="379" t="s">
        <v>22</v>
      </c>
      <c r="L209" s="379" t="s">
        <v>22</v>
      </c>
      <c r="M209" s="385">
        <v>0</v>
      </c>
      <c r="N209" s="383"/>
      <c r="O209" s="383"/>
      <c r="P209" s="389">
        <v>-278.22000000000003</v>
      </c>
    </row>
    <row r="210" spans="1:16" ht="19.5" customHeight="1">
      <c r="A210" s="379" t="s">
        <v>1169</v>
      </c>
      <c r="B210" s="382">
        <v>45980</v>
      </c>
      <c r="C210" s="379" t="s">
        <v>77</v>
      </c>
      <c r="D210" s="379" t="s">
        <v>82</v>
      </c>
      <c r="E210" s="379" t="s">
        <v>22</v>
      </c>
      <c r="F210" s="379" t="s">
        <v>22</v>
      </c>
      <c r="G210" s="379" t="s">
        <v>22</v>
      </c>
      <c r="H210" s="383">
        <v>0</v>
      </c>
      <c r="I210" s="384">
        <v>0</v>
      </c>
      <c r="J210" s="382">
        <v>45980</v>
      </c>
      <c r="K210" s="379" t="s">
        <v>22</v>
      </c>
      <c r="L210" s="379" t="s">
        <v>22</v>
      </c>
      <c r="M210" s="385">
        <v>0</v>
      </c>
      <c r="N210" s="383"/>
      <c r="O210" s="383"/>
      <c r="P210" s="389">
        <v>-51.09</v>
      </c>
    </row>
    <row r="211" spans="1:16" ht="19.5" customHeight="1">
      <c r="A211" s="379" t="s">
        <v>1183</v>
      </c>
      <c r="B211" s="382">
        <v>45980</v>
      </c>
      <c r="C211" s="379" t="s">
        <v>77</v>
      </c>
      <c r="D211" s="379" t="s">
        <v>82</v>
      </c>
      <c r="E211" s="379" t="s">
        <v>22</v>
      </c>
      <c r="F211" s="379" t="s">
        <v>22</v>
      </c>
      <c r="G211" s="379" t="s">
        <v>22</v>
      </c>
      <c r="H211" s="383">
        <v>0</v>
      </c>
      <c r="I211" s="384">
        <v>0</v>
      </c>
      <c r="J211" s="382">
        <v>45980</v>
      </c>
      <c r="K211" s="379" t="s">
        <v>22</v>
      </c>
      <c r="L211" s="379" t="s">
        <v>22</v>
      </c>
      <c r="M211" s="385">
        <v>0</v>
      </c>
      <c r="N211" s="383"/>
      <c r="O211" s="383"/>
      <c r="P211" s="389">
        <v>-25.36</v>
      </c>
    </row>
    <row r="212" spans="1:16" ht="19.5" customHeight="1">
      <c r="A212" s="379" t="s">
        <v>22</v>
      </c>
      <c r="B212" s="382">
        <v>45980</v>
      </c>
      <c r="C212" s="379" t="s">
        <v>77</v>
      </c>
      <c r="D212" s="379" t="s">
        <v>944</v>
      </c>
      <c r="E212" s="379" t="s">
        <v>22</v>
      </c>
      <c r="F212" s="379" t="s">
        <v>22</v>
      </c>
      <c r="G212" s="379" t="s">
        <v>1269</v>
      </c>
      <c r="H212" s="383">
        <v>0</v>
      </c>
      <c r="I212" s="384">
        <v>0</v>
      </c>
      <c r="J212" s="382">
        <v>45980</v>
      </c>
      <c r="K212" s="379" t="s">
        <v>22</v>
      </c>
      <c r="L212" s="379" t="s">
        <v>22</v>
      </c>
      <c r="M212" s="385">
        <v>0</v>
      </c>
      <c r="N212" s="383"/>
      <c r="O212" s="383"/>
      <c r="P212" s="389">
        <v>-351.93</v>
      </c>
    </row>
    <row r="213" spans="1:16" ht="19.5" customHeight="1">
      <c r="A213" s="379" t="s">
        <v>1075</v>
      </c>
      <c r="B213" s="382">
        <v>45980</v>
      </c>
      <c r="C213" s="379" t="s">
        <v>77</v>
      </c>
      <c r="D213" s="379" t="s">
        <v>82</v>
      </c>
      <c r="E213" s="379" t="s">
        <v>22</v>
      </c>
      <c r="F213" s="379" t="s">
        <v>22</v>
      </c>
      <c r="G213" s="379" t="s">
        <v>22</v>
      </c>
      <c r="H213" s="383">
        <v>0</v>
      </c>
      <c r="I213" s="384">
        <v>0</v>
      </c>
      <c r="J213" s="382">
        <v>45980</v>
      </c>
      <c r="K213" s="379" t="s">
        <v>22</v>
      </c>
      <c r="L213" s="379" t="s">
        <v>22</v>
      </c>
      <c r="M213" s="385">
        <v>0</v>
      </c>
      <c r="N213" s="383"/>
      <c r="O213" s="383"/>
      <c r="P213" s="389">
        <v>-606.29</v>
      </c>
    </row>
    <row r="214" spans="1:16" ht="19.5" customHeight="1">
      <c r="A214" s="379" t="s">
        <v>1105</v>
      </c>
      <c r="B214" s="382">
        <v>45980</v>
      </c>
      <c r="C214" s="379" t="s">
        <v>77</v>
      </c>
      <c r="D214" s="379" t="s">
        <v>82</v>
      </c>
      <c r="E214" s="379" t="s">
        <v>22</v>
      </c>
      <c r="F214" s="379" t="s">
        <v>22</v>
      </c>
      <c r="G214" s="379" t="s">
        <v>22</v>
      </c>
      <c r="H214" s="383">
        <v>0</v>
      </c>
      <c r="I214" s="384">
        <v>0</v>
      </c>
      <c r="J214" s="382">
        <v>45980</v>
      </c>
      <c r="K214" s="379" t="s">
        <v>22</v>
      </c>
      <c r="L214" s="379" t="s">
        <v>22</v>
      </c>
      <c r="M214" s="385">
        <v>0</v>
      </c>
      <c r="N214" s="383"/>
      <c r="O214" s="383"/>
      <c r="P214" s="389">
        <v>-556.16</v>
      </c>
    </row>
    <row r="215" spans="1:16" ht="19.5" customHeight="1">
      <c r="A215" s="379" t="s">
        <v>1270</v>
      </c>
      <c r="B215" s="382">
        <v>45980</v>
      </c>
      <c r="C215" s="379" t="s">
        <v>77</v>
      </c>
      <c r="D215" s="379" t="s">
        <v>82</v>
      </c>
      <c r="E215" s="379" t="s">
        <v>22</v>
      </c>
      <c r="F215" s="379" t="s">
        <v>22</v>
      </c>
      <c r="G215" s="379" t="s">
        <v>22</v>
      </c>
      <c r="H215" s="383">
        <v>0</v>
      </c>
      <c r="I215" s="384">
        <v>0</v>
      </c>
      <c r="J215" s="382">
        <v>45980</v>
      </c>
      <c r="K215" s="379" t="s">
        <v>22</v>
      </c>
      <c r="L215" s="379" t="s">
        <v>22</v>
      </c>
      <c r="M215" s="385">
        <v>0</v>
      </c>
      <c r="N215" s="383"/>
      <c r="O215" s="383"/>
      <c r="P215" s="389">
        <v>-250.49</v>
      </c>
    </row>
    <row r="216" spans="1:16" ht="19.5" customHeight="1">
      <c r="A216" s="379" t="s">
        <v>1271</v>
      </c>
      <c r="B216" s="382">
        <v>45981</v>
      </c>
      <c r="C216" s="379" t="s">
        <v>28</v>
      </c>
      <c r="D216" s="379" t="s">
        <v>29</v>
      </c>
      <c r="E216" s="379" t="s">
        <v>242</v>
      </c>
      <c r="F216" s="379" t="s">
        <v>1101</v>
      </c>
      <c r="G216" s="379" t="s">
        <v>1133</v>
      </c>
      <c r="H216" s="383">
        <v>1</v>
      </c>
      <c r="I216" s="384">
        <v>0</v>
      </c>
      <c r="J216" s="382">
        <v>45977</v>
      </c>
      <c r="K216" s="379" t="s">
        <v>957</v>
      </c>
      <c r="L216" s="379" t="s">
        <v>30</v>
      </c>
      <c r="M216" s="385">
        <v>0</v>
      </c>
      <c r="N216" s="383"/>
      <c r="O216" s="383">
        <v>43</v>
      </c>
      <c r="P216" s="389">
        <v>-56</v>
      </c>
    </row>
    <row r="217" spans="1:16" ht="19.5" customHeight="1">
      <c r="A217" s="379" t="s">
        <v>1271</v>
      </c>
      <c r="B217" s="382">
        <v>45981</v>
      </c>
      <c r="C217" s="379" t="s">
        <v>17</v>
      </c>
      <c r="D217" s="379" t="s">
        <v>37</v>
      </c>
      <c r="E217" s="379" t="s">
        <v>242</v>
      </c>
      <c r="F217" s="379" t="s">
        <v>1101</v>
      </c>
      <c r="G217" s="379" t="s">
        <v>1133</v>
      </c>
      <c r="H217" s="383">
        <v>1</v>
      </c>
      <c r="I217" s="384">
        <v>0</v>
      </c>
      <c r="J217" s="382">
        <v>45977</v>
      </c>
      <c r="K217" s="379" t="s">
        <v>957</v>
      </c>
      <c r="L217" s="379" t="s">
        <v>30</v>
      </c>
      <c r="M217" s="385">
        <v>0</v>
      </c>
      <c r="N217" s="383"/>
      <c r="O217" s="383"/>
      <c r="P217" s="389">
        <v>-12.68</v>
      </c>
    </row>
    <row r="218" spans="1:16" ht="19.5" customHeight="1">
      <c r="A218" s="379" t="s">
        <v>1271</v>
      </c>
      <c r="B218" s="382">
        <v>45981</v>
      </c>
      <c r="C218" s="379" t="s">
        <v>28</v>
      </c>
      <c r="D218" s="379" t="s">
        <v>45</v>
      </c>
      <c r="E218" s="379" t="s">
        <v>242</v>
      </c>
      <c r="F218" s="379" t="s">
        <v>1101</v>
      </c>
      <c r="G218" s="379" t="s">
        <v>1133</v>
      </c>
      <c r="H218" s="383">
        <v>1</v>
      </c>
      <c r="I218" s="384">
        <v>0</v>
      </c>
      <c r="J218" s="382">
        <v>45977</v>
      </c>
      <c r="K218" s="379" t="s">
        <v>957</v>
      </c>
      <c r="L218" s="379" t="s">
        <v>30</v>
      </c>
      <c r="M218" s="385">
        <v>0</v>
      </c>
      <c r="N218" s="383"/>
      <c r="O218" s="383"/>
      <c r="P218" s="389">
        <v>0</v>
      </c>
    </row>
    <row r="219" spans="1:16" ht="19.5" customHeight="1">
      <c r="A219" s="379" t="s">
        <v>1271</v>
      </c>
      <c r="B219" s="382">
        <v>45981</v>
      </c>
      <c r="C219" s="379" t="s">
        <v>28</v>
      </c>
      <c r="D219" s="379" t="s">
        <v>46</v>
      </c>
      <c r="E219" s="379" t="s">
        <v>242</v>
      </c>
      <c r="F219" s="379" t="s">
        <v>1101</v>
      </c>
      <c r="G219" s="379" t="s">
        <v>1133</v>
      </c>
      <c r="H219" s="383">
        <v>1</v>
      </c>
      <c r="I219" s="384">
        <v>0</v>
      </c>
      <c r="J219" s="382">
        <v>45977</v>
      </c>
      <c r="K219" s="379" t="s">
        <v>957</v>
      </c>
      <c r="L219" s="379" t="s">
        <v>30</v>
      </c>
      <c r="M219" s="385">
        <v>0</v>
      </c>
      <c r="N219" s="383"/>
      <c r="O219" s="383"/>
      <c r="P219" s="389">
        <v>-56</v>
      </c>
    </row>
    <row r="220" spans="1:16" ht="19.5" customHeight="1">
      <c r="A220" s="379" t="s">
        <v>1271</v>
      </c>
      <c r="B220" s="382">
        <v>45981</v>
      </c>
      <c r="C220" s="379" t="s">
        <v>17</v>
      </c>
      <c r="D220" s="379" t="s">
        <v>47</v>
      </c>
      <c r="E220" s="379" t="s">
        <v>242</v>
      </c>
      <c r="F220" s="379" t="s">
        <v>1101</v>
      </c>
      <c r="G220" s="379" t="s">
        <v>1133</v>
      </c>
      <c r="H220" s="383">
        <v>1</v>
      </c>
      <c r="I220" s="384">
        <v>0</v>
      </c>
      <c r="J220" s="382">
        <v>45977</v>
      </c>
      <c r="K220" s="379" t="s">
        <v>957</v>
      </c>
      <c r="L220" s="379" t="s">
        <v>30</v>
      </c>
      <c r="M220" s="385">
        <v>0</v>
      </c>
      <c r="N220" s="383"/>
      <c r="O220" s="383"/>
      <c r="P220" s="389">
        <v>-15</v>
      </c>
    </row>
    <row r="221" spans="1:16" ht="19.5" customHeight="1">
      <c r="A221" s="379" t="s">
        <v>1156</v>
      </c>
      <c r="B221" s="382">
        <v>45981</v>
      </c>
      <c r="C221" s="379" t="s">
        <v>28</v>
      </c>
      <c r="D221" s="379" t="s">
        <v>60</v>
      </c>
      <c r="E221" s="379" t="s">
        <v>223</v>
      </c>
      <c r="F221" s="379" t="s">
        <v>395</v>
      </c>
      <c r="G221" s="379" t="s">
        <v>1229</v>
      </c>
      <c r="H221" s="383">
        <v>1</v>
      </c>
      <c r="I221" s="384">
        <v>0</v>
      </c>
      <c r="J221" s="382">
        <v>45971</v>
      </c>
      <c r="K221" s="379" t="s">
        <v>957</v>
      </c>
      <c r="L221" s="379" t="s">
        <v>30</v>
      </c>
      <c r="M221" s="385">
        <v>0</v>
      </c>
      <c r="N221" s="383"/>
      <c r="O221" s="383"/>
      <c r="P221" s="389">
        <v>0</v>
      </c>
    </row>
    <row r="222" spans="1:16" ht="19.5" customHeight="1">
      <c r="A222" s="379" t="s">
        <v>1156</v>
      </c>
      <c r="B222" s="382">
        <v>45981</v>
      </c>
      <c r="C222" s="379" t="s">
        <v>28</v>
      </c>
      <c r="D222" s="379" t="s">
        <v>46</v>
      </c>
      <c r="E222" s="379" t="s">
        <v>223</v>
      </c>
      <c r="F222" s="379" t="s">
        <v>395</v>
      </c>
      <c r="G222" s="379" t="s">
        <v>1229</v>
      </c>
      <c r="H222" s="383">
        <v>1</v>
      </c>
      <c r="I222" s="384">
        <v>0</v>
      </c>
      <c r="J222" s="382">
        <v>45971</v>
      </c>
      <c r="K222" s="379" t="s">
        <v>957</v>
      </c>
      <c r="L222" s="379" t="s">
        <v>30</v>
      </c>
      <c r="M222" s="385">
        <v>0</v>
      </c>
      <c r="N222" s="383"/>
      <c r="O222" s="383"/>
      <c r="P222" s="389">
        <v>-46</v>
      </c>
    </row>
    <row r="223" spans="1:16" ht="19.5" customHeight="1">
      <c r="A223" s="379" t="s">
        <v>1156</v>
      </c>
      <c r="B223" s="382">
        <v>45981</v>
      </c>
      <c r="C223" s="379" t="s">
        <v>17</v>
      </c>
      <c r="D223" s="379" t="s">
        <v>47</v>
      </c>
      <c r="E223" s="379" t="s">
        <v>223</v>
      </c>
      <c r="F223" s="379" t="s">
        <v>395</v>
      </c>
      <c r="G223" s="379" t="s">
        <v>1229</v>
      </c>
      <c r="H223" s="383">
        <v>1</v>
      </c>
      <c r="I223" s="384">
        <v>0</v>
      </c>
      <c r="J223" s="382">
        <v>45971</v>
      </c>
      <c r="K223" s="379" t="s">
        <v>957</v>
      </c>
      <c r="L223" s="379" t="s">
        <v>30</v>
      </c>
      <c r="M223" s="385">
        <v>0</v>
      </c>
      <c r="N223" s="383"/>
      <c r="O223" s="383"/>
      <c r="P223" s="389">
        <v>-15</v>
      </c>
    </row>
    <row r="224" spans="1:16" ht="19.5" customHeight="1">
      <c r="A224" s="379" t="s">
        <v>1272</v>
      </c>
      <c r="B224" s="382">
        <v>45981</v>
      </c>
      <c r="C224" s="379" t="s">
        <v>17</v>
      </c>
      <c r="D224" s="379" t="s">
        <v>18</v>
      </c>
      <c r="E224" s="379" t="s">
        <v>223</v>
      </c>
      <c r="F224" s="379" t="s">
        <v>395</v>
      </c>
      <c r="G224" s="379" t="s">
        <v>1229</v>
      </c>
      <c r="H224" s="383">
        <v>1</v>
      </c>
      <c r="I224" s="384">
        <v>0</v>
      </c>
      <c r="J224" s="382">
        <v>45981</v>
      </c>
      <c r="K224" s="379" t="s">
        <v>22</v>
      </c>
      <c r="L224" s="379" t="s">
        <v>22</v>
      </c>
      <c r="M224" s="385">
        <v>0</v>
      </c>
      <c r="N224" s="383"/>
      <c r="O224" s="383"/>
      <c r="P224" s="389">
        <v>-8.27</v>
      </c>
    </row>
    <row r="225" spans="1:16" ht="19.5" customHeight="1">
      <c r="A225" s="379" t="s">
        <v>999</v>
      </c>
      <c r="B225" s="382">
        <v>45981</v>
      </c>
      <c r="C225" s="379" t="s">
        <v>28</v>
      </c>
      <c r="D225" s="379" t="s">
        <v>60</v>
      </c>
      <c r="E225" s="379" t="s">
        <v>43</v>
      </c>
      <c r="F225" s="379" t="s">
        <v>44</v>
      </c>
      <c r="G225" s="379" t="s">
        <v>1133</v>
      </c>
      <c r="H225" s="383">
        <v>1</v>
      </c>
      <c r="I225" s="384">
        <v>0</v>
      </c>
      <c r="J225" s="382">
        <v>45959</v>
      </c>
      <c r="K225" s="379" t="s">
        <v>957</v>
      </c>
      <c r="L225" s="379" t="s">
        <v>30</v>
      </c>
      <c r="M225" s="385">
        <v>0</v>
      </c>
      <c r="N225" s="383"/>
      <c r="O225" s="383"/>
      <c r="P225" s="389">
        <v>0</v>
      </c>
    </row>
    <row r="226" spans="1:16" ht="19.5" customHeight="1">
      <c r="A226" s="379" t="s">
        <v>999</v>
      </c>
      <c r="B226" s="382">
        <v>45981</v>
      </c>
      <c r="C226" s="379" t="s">
        <v>28</v>
      </c>
      <c r="D226" s="379" t="s">
        <v>46</v>
      </c>
      <c r="E226" s="379" t="s">
        <v>43</v>
      </c>
      <c r="F226" s="379" t="s">
        <v>44</v>
      </c>
      <c r="G226" s="379" t="s">
        <v>1133</v>
      </c>
      <c r="H226" s="383">
        <v>1</v>
      </c>
      <c r="I226" s="384">
        <v>0</v>
      </c>
      <c r="J226" s="382">
        <v>45959</v>
      </c>
      <c r="K226" s="379" t="s">
        <v>957</v>
      </c>
      <c r="L226" s="379" t="s">
        <v>30</v>
      </c>
      <c r="M226" s="385">
        <v>0</v>
      </c>
      <c r="N226" s="383"/>
      <c r="O226" s="383"/>
      <c r="P226" s="389">
        <v>-56</v>
      </c>
    </row>
    <row r="227" spans="1:16" ht="19.5" customHeight="1">
      <c r="A227" s="379" t="s">
        <v>999</v>
      </c>
      <c r="B227" s="382">
        <v>45981</v>
      </c>
      <c r="C227" s="379" t="s">
        <v>17</v>
      </c>
      <c r="D227" s="379" t="s">
        <v>47</v>
      </c>
      <c r="E227" s="379" t="s">
        <v>43</v>
      </c>
      <c r="F227" s="379" t="s">
        <v>44</v>
      </c>
      <c r="G227" s="379" t="s">
        <v>1133</v>
      </c>
      <c r="H227" s="383">
        <v>1</v>
      </c>
      <c r="I227" s="384">
        <v>0</v>
      </c>
      <c r="J227" s="382">
        <v>45959</v>
      </c>
      <c r="K227" s="379" t="s">
        <v>957</v>
      </c>
      <c r="L227" s="379" t="s">
        <v>30</v>
      </c>
      <c r="M227" s="385">
        <v>0</v>
      </c>
      <c r="N227" s="383"/>
      <c r="O227" s="383"/>
      <c r="P227" s="389">
        <v>-15</v>
      </c>
    </row>
    <row r="228" spans="1:16" ht="19.5" customHeight="1">
      <c r="A228" s="379" t="s">
        <v>1246</v>
      </c>
      <c r="B228" s="382">
        <v>45981</v>
      </c>
      <c r="C228" s="379" t="s">
        <v>17</v>
      </c>
      <c r="D228" s="379" t="s">
        <v>18</v>
      </c>
      <c r="E228" s="379" t="s">
        <v>223</v>
      </c>
      <c r="F228" s="379" t="s">
        <v>395</v>
      </c>
      <c r="G228" s="379" t="s">
        <v>1229</v>
      </c>
      <c r="H228" s="383">
        <v>1</v>
      </c>
      <c r="I228" s="384">
        <v>0</v>
      </c>
      <c r="J228" s="382">
        <v>45979</v>
      </c>
      <c r="K228" s="379" t="s">
        <v>22</v>
      </c>
      <c r="L228" s="379" t="s">
        <v>22</v>
      </c>
      <c r="M228" s="385">
        <v>0</v>
      </c>
      <c r="N228" s="383"/>
      <c r="O228" s="383"/>
      <c r="P228" s="389">
        <v>11.32</v>
      </c>
    </row>
    <row r="229" spans="1:16" ht="19.5" customHeight="1">
      <c r="A229" s="379" t="s">
        <v>1273</v>
      </c>
      <c r="B229" s="382">
        <v>45981</v>
      </c>
      <c r="C229" s="379" t="s">
        <v>28</v>
      </c>
      <c r="D229" s="379" t="s">
        <v>29</v>
      </c>
      <c r="E229" s="379" t="s">
        <v>25</v>
      </c>
      <c r="F229" s="379" t="s">
        <v>26</v>
      </c>
      <c r="G229" s="379" t="s">
        <v>1229</v>
      </c>
      <c r="H229" s="383">
        <v>1</v>
      </c>
      <c r="I229" s="384">
        <v>1117</v>
      </c>
      <c r="J229" s="382">
        <v>45980</v>
      </c>
      <c r="K229" s="379" t="s">
        <v>957</v>
      </c>
      <c r="L229" s="379" t="s">
        <v>30</v>
      </c>
      <c r="M229" s="385">
        <v>0.43</v>
      </c>
      <c r="N229" s="383"/>
      <c r="O229" s="383">
        <v>45</v>
      </c>
      <c r="P229" s="389">
        <v>-113.22</v>
      </c>
    </row>
    <row r="230" spans="1:16" ht="19.5" customHeight="1">
      <c r="A230" s="379" t="s">
        <v>1273</v>
      </c>
      <c r="B230" s="382">
        <v>45981</v>
      </c>
      <c r="C230" s="379" t="s">
        <v>31</v>
      </c>
      <c r="D230" s="379" t="s">
        <v>32</v>
      </c>
      <c r="E230" s="379" t="s">
        <v>25</v>
      </c>
      <c r="F230" s="379" t="s">
        <v>26</v>
      </c>
      <c r="G230" s="379" t="s">
        <v>1229</v>
      </c>
      <c r="H230" s="383">
        <v>1</v>
      </c>
      <c r="I230" s="384">
        <v>1117</v>
      </c>
      <c r="J230" s="382">
        <v>45980</v>
      </c>
      <c r="K230" s="379" t="s">
        <v>957</v>
      </c>
      <c r="L230" s="379" t="s">
        <v>30</v>
      </c>
      <c r="M230" s="385">
        <v>0</v>
      </c>
      <c r="N230" s="383"/>
      <c r="O230" s="383"/>
      <c r="P230" s="389">
        <v>409.52</v>
      </c>
    </row>
    <row r="231" spans="1:16" ht="19.5" customHeight="1">
      <c r="A231" s="379" t="s">
        <v>1273</v>
      </c>
      <c r="B231" s="382">
        <v>45981</v>
      </c>
      <c r="C231" s="379" t="s">
        <v>31</v>
      </c>
      <c r="D231" s="379" t="s">
        <v>33</v>
      </c>
      <c r="E231" s="379" t="s">
        <v>25</v>
      </c>
      <c r="F231" s="379" t="s">
        <v>26</v>
      </c>
      <c r="G231" s="379" t="s">
        <v>1229</v>
      </c>
      <c r="H231" s="383">
        <v>1</v>
      </c>
      <c r="I231" s="384">
        <v>1117</v>
      </c>
      <c r="J231" s="382">
        <v>45980</v>
      </c>
      <c r="K231" s="379" t="s">
        <v>957</v>
      </c>
      <c r="L231" s="379" t="s">
        <v>30</v>
      </c>
      <c r="M231" s="385">
        <v>0</v>
      </c>
      <c r="N231" s="383"/>
      <c r="O231" s="383"/>
      <c r="P231" s="389">
        <v>4.0999999999999996</v>
      </c>
    </row>
    <row r="232" spans="1:16" ht="19.5" customHeight="1">
      <c r="A232" s="379" t="s">
        <v>1273</v>
      </c>
      <c r="B232" s="382">
        <v>45981</v>
      </c>
      <c r="C232" s="379" t="s">
        <v>31</v>
      </c>
      <c r="D232" s="379" t="s">
        <v>34</v>
      </c>
      <c r="E232" s="379" t="s">
        <v>25</v>
      </c>
      <c r="F232" s="379" t="s">
        <v>26</v>
      </c>
      <c r="G232" s="379" t="s">
        <v>1229</v>
      </c>
      <c r="H232" s="383">
        <v>1</v>
      </c>
      <c r="I232" s="384">
        <v>1117</v>
      </c>
      <c r="J232" s="382">
        <v>45980</v>
      </c>
      <c r="K232" s="379" t="s">
        <v>957</v>
      </c>
      <c r="L232" s="379" t="s">
        <v>30</v>
      </c>
      <c r="M232" s="385">
        <v>0</v>
      </c>
      <c r="N232" s="383"/>
      <c r="O232" s="383"/>
      <c r="P232" s="389">
        <v>703.38</v>
      </c>
    </row>
    <row r="233" spans="1:16" ht="19.5" customHeight="1">
      <c r="A233" s="379" t="s">
        <v>1273</v>
      </c>
      <c r="B233" s="382">
        <v>45981</v>
      </c>
      <c r="C233" s="379" t="s">
        <v>35</v>
      </c>
      <c r="D233" s="379" t="s">
        <v>36</v>
      </c>
      <c r="E233" s="379" t="s">
        <v>25</v>
      </c>
      <c r="F233" s="379" t="s">
        <v>26</v>
      </c>
      <c r="G233" s="379" t="s">
        <v>1229</v>
      </c>
      <c r="H233" s="383">
        <v>1</v>
      </c>
      <c r="I233" s="384">
        <v>1117</v>
      </c>
      <c r="J233" s="382">
        <v>45980</v>
      </c>
      <c r="K233" s="379" t="s">
        <v>957</v>
      </c>
      <c r="L233" s="379" t="s">
        <v>30</v>
      </c>
      <c r="M233" s="385">
        <v>0.43</v>
      </c>
      <c r="N233" s="383"/>
      <c r="O233" s="383"/>
      <c r="P233" s="389">
        <v>-480.31</v>
      </c>
    </row>
    <row r="234" spans="1:16" ht="19.5" customHeight="1">
      <c r="A234" s="379" t="s">
        <v>1273</v>
      </c>
      <c r="B234" s="382">
        <v>45981</v>
      </c>
      <c r="C234" s="379" t="s">
        <v>17</v>
      </c>
      <c r="D234" s="379" t="s">
        <v>37</v>
      </c>
      <c r="E234" s="379" t="s">
        <v>25</v>
      </c>
      <c r="F234" s="379" t="s">
        <v>26</v>
      </c>
      <c r="G234" s="379" t="s">
        <v>1229</v>
      </c>
      <c r="H234" s="383">
        <v>1</v>
      </c>
      <c r="I234" s="384">
        <v>1117</v>
      </c>
      <c r="J234" s="382">
        <v>45980</v>
      </c>
      <c r="K234" s="379" t="s">
        <v>957</v>
      </c>
      <c r="L234" s="379" t="s">
        <v>30</v>
      </c>
      <c r="M234" s="385">
        <v>0.43</v>
      </c>
      <c r="N234" s="383"/>
      <c r="O234" s="383"/>
      <c r="P234" s="389">
        <v>-6.79</v>
      </c>
    </row>
    <row r="235" spans="1:16" ht="19.5" customHeight="1">
      <c r="A235" s="379" t="s">
        <v>1273</v>
      </c>
      <c r="B235" s="382">
        <v>45981</v>
      </c>
      <c r="C235" s="379" t="s">
        <v>17</v>
      </c>
      <c r="D235" s="379" t="s">
        <v>18</v>
      </c>
      <c r="E235" s="379" t="s">
        <v>25</v>
      </c>
      <c r="F235" s="379" t="s">
        <v>26</v>
      </c>
      <c r="G235" s="379" t="s">
        <v>1229</v>
      </c>
      <c r="H235" s="383">
        <v>1</v>
      </c>
      <c r="I235" s="384">
        <v>0</v>
      </c>
      <c r="J235" s="382">
        <v>45980</v>
      </c>
      <c r="K235" s="379" t="s">
        <v>22</v>
      </c>
      <c r="L235" s="379" t="s">
        <v>22</v>
      </c>
      <c r="M235" s="385">
        <v>0</v>
      </c>
      <c r="N235" s="383"/>
      <c r="O235" s="383"/>
      <c r="P235" s="389">
        <v>-7.78</v>
      </c>
    </row>
    <row r="236" spans="1:16" ht="19.5" customHeight="1">
      <c r="A236" s="379" t="s">
        <v>1274</v>
      </c>
      <c r="B236" s="382">
        <v>45981</v>
      </c>
      <c r="C236" s="379" t="s">
        <v>28</v>
      </c>
      <c r="D236" s="379" t="s">
        <v>29</v>
      </c>
      <c r="E236" s="379" t="s">
        <v>226</v>
      </c>
      <c r="F236" s="379" t="s">
        <v>428</v>
      </c>
      <c r="G236" s="379" t="s">
        <v>1229</v>
      </c>
      <c r="H236" s="383">
        <v>1</v>
      </c>
      <c r="I236" s="384">
        <v>1800</v>
      </c>
      <c r="J236" s="382">
        <v>45980</v>
      </c>
      <c r="K236" s="379" t="s">
        <v>957</v>
      </c>
      <c r="L236" s="379" t="s">
        <v>30</v>
      </c>
      <c r="M236" s="385">
        <v>0.43</v>
      </c>
      <c r="N236" s="383"/>
      <c r="O236" s="383">
        <v>45</v>
      </c>
      <c r="P236" s="389">
        <v>-135.76</v>
      </c>
    </row>
    <row r="237" spans="1:16" ht="19.5" customHeight="1">
      <c r="A237" s="379" t="s">
        <v>1274</v>
      </c>
      <c r="B237" s="382">
        <v>45981</v>
      </c>
      <c r="C237" s="379" t="s">
        <v>31</v>
      </c>
      <c r="D237" s="379" t="s">
        <v>32</v>
      </c>
      <c r="E237" s="379" t="s">
        <v>226</v>
      </c>
      <c r="F237" s="379" t="s">
        <v>428</v>
      </c>
      <c r="G237" s="379" t="s">
        <v>1229</v>
      </c>
      <c r="H237" s="383">
        <v>1</v>
      </c>
      <c r="I237" s="384">
        <v>1800</v>
      </c>
      <c r="J237" s="382">
        <v>45980</v>
      </c>
      <c r="K237" s="379" t="s">
        <v>957</v>
      </c>
      <c r="L237" s="379" t="s">
        <v>30</v>
      </c>
      <c r="M237" s="385">
        <v>0</v>
      </c>
      <c r="N237" s="383"/>
      <c r="O237" s="383"/>
      <c r="P237" s="389">
        <v>1064.76</v>
      </c>
    </row>
    <row r="238" spans="1:16" ht="19.5" customHeight="1">
      <c r="A238" s="379" t="s">
        <v>1274</v>
      </c>
      <c r="B238" s="382">
        <v>45981</v>
      </c>
      <c r="C238" s="379" t="s">
        <v>31</v>
      </c>
      <c r="D238" s="379" t="s">
        <v>33</v>
      </c>
      <c r="E238" s="379" t="s">
        <v>226</v>
      </c>
      <c r="F238" s="379" t="s">
        <v>428</v>
      </c>
      <c r="G238" s="379" t="s">
        <v>1229</v>
      </c>
      <c r="H238" s="383">
        <v>1</v>
      </c>
      <c r="I238" s="384">
        <v>1800</v>
      </c>
      <c r="J238" s="382">
        <v>45980</v>
      </c>
      <c r="K238" s="379" t="s">
        <v>957</v>
      </c>
      <c r="L238" s="379" t="s">
        <v>30</v>
      </c>
      <c r="M238" s="385">
        <v>0</v>
      </c>
      <c r="N238" s="383"/>
      <c r="O238" s="383"/>
      <c r="P238" s="389">
        <v>10.65</v>
      </c>
    </row>
    <row r="239" spans="1:16" ht="19.5" customHeight="1">
      <c r="A239" s="379" t="s">
        <v>1274</v>
      </c>
      <c r="B239" s="382">
        <v>45981</v>
      </c>
      <c r="C239" s="379" t="s">
        <v>31</v>
      </c>
      <c r="D239" s="379" t="s">
        <v>34</v>
      </c>
      <c r="E239" s="379" t="s">
        <v>226</v>
      </c>
      <c r="F239" s="379" t="s">
        <v>428</v>
      </c>
      <c r="G239" s="379" t="s">
        <v>1229</v>
      </c>
      <c r="H239" s="383">
        <v>1</v>
      </c>
      <c r="I239" s="384">
        <v>1800</v>
      </c>
      <c r="J239" s="382">
        <v>45980</v>
      </c>
      <c r="K239" s="379" t="s">
        <v>957</v>
      </c>
      <c r="L239" s="379" t="s">
        <v>30</v>
      </c>
      <c r="M239" s="385">
        <v>0</v>
      </c>
      <c r="N239" s="383"/>
      <c r="O239" s="383"/>
      <c r="P239" s="389">
        <v>724.59</v>
      </c>
    </row>
    <row r="240" spans="1:16" ht="19.5" customHeight="1">
      <c r="A240" s="379" t="s">
        <v>1274</v>
      </c>
      <c r="B240" s="382">
        <v>45981</v>
      </c>
      <c r="C240" s="379" t="s">
        <v>35</v>
      </c>
      <c r="D240" s="379" t="s">
        <v>36</v>
      </c>
      <c r="E240" s="379" t="s">
        <v>226</v>
      </c>
      <c r="F240" s="379" t="s">
        <v>428</v>
      </c>
      <c r="G240" s="379" t="s">
        <v>1229</v>
      </c>
      <c r="H240" s="383">
        <v>1</v>
      </c>
      <c r="I240" s="384">
        <v>1800</v>
      </c>
      <c r="J240" s="382">
        <v>45980</v>
      </c>
      <c r="K240" s="379" t="s">
        <v>957</v>
      </c>
      <c r="L240" s="379" t="s">
        <v>30</v>
      </c>
      <c r="M240" s="385">
        <v>0.43</v>
      </c>
      <c r="N240" s="383"/>
      <c r="O240" s="383"/>
      <c r="P240" s="389">
        <v>-774</v>
      </c>
    </row>
    <row r="241" spans="1:16" ht="19.5" customHeight="1">
      <c r="A241" s="379" t="s">
        <v>1274</v>
      </c>
      <c r="B241" s="382">
        <v>45981</v>
      </c>
      <c r="C241" s="379" t="s">
        <v>17</v>
      </c>
      <c r="D241" s="379" t="s">
        <v>37</v>
      </c>
      <c r="E241" s="379" t="s">
        <v>226</v>
      </c>
      <c r="F241" s="379" t="s">
        <v>428</v>
      </c>
      <c r="G241" s="379" t="s">
        <v>1229</v>
      </c>
      <c r="H241" s="383">
        <v>1</v>
      </c>
      <c r="I241" s="384">
        <v>1800</v>
      </c>
      <c r="J241" s="382">
        <v>45980</v>
      </c>
      <c r="K241" s="379" t="s">
        <v>957</v>
      </c>
      <c r="L241" s="379" t="s">
        <v>30</v>
      </c>
      <c r="M241" s="385">
        <v>0.43</v>
      </c>
      <c r="N241" s="383"/>
      <c r="O241" s="383"/>
      <c r="P241" s="389">
        <v>-10.25</v>
      </c>
    </row>
    <row r="242" spans="1:16" ht="19.5" customHeight="1">
      <c r="A242" s="379" t="s">
        <v>1274</v>
      </c>
      <c r="B242" s="382">
        <v>45981</v>
      </c>
      <c r="C242" s="379" t="s">
        <v>17</v>
      </c>
      <c r="D242" s="379" t="s">
        <v>18</v>
      </c>
      <c r="E242" s="379" t="s">
        <v>226</v>
      </c>
      <c r="F242" s="379" t="s">
        <v>428</v>
      </c>
      <c r="G242" s="379" t="s">
        <v>1229</v>
      </c>
      <c r="H242" s="383">
        <v>1</v>
      </c>
      <c r="I242" s="384">
        <v>0</v>
      </c>
      <c r="J242" s="382">
        <v>45980</v>
      </c>
      <c r="K242" s="379" t="s">
        <v>22</v>
      </c>
      <c r="L242" s="379" t="s">
        <v>22</v>
      </c>
      <c r="M242" s="385">
        <v>0</v>
      </c>
      <c r="N242" s="383"/>
      <c r="O242" s="383"/>
      <c r="P242" s="389">
        <v>-20.23</v>
      </c>
    </row>
    <row r="243" spans="1:16" ht="19.5" customHeight="1">
      <c r="A243" s="379" t="s">
        <v>1275</v>
      </c>
      <c r="B243" s="382">
        <v>45981</v>
      </c>
      <c r="C243" s="379" t="s">
        <v>17</v>
      </c>
      <c r="D243" s="379" t="s">
        <v>18</v>
      </c>
      <c r="E243" s="379" t="s">
        <v>25</v>
      </c>
      <c r="F243" s="379" t="s">
        <v>26</v>
      </c>
      <c r="G243" s="379" t="s">
        <v>1229</v>
      </c>
      <c r="H243" s="383">
        <v>1</v>
      </c>
      <c r="I243" s="384">
        <v>0</v>
      </c>
      <c r="J243" s="382">
        <v>45981</v>
      </c>
      <c r="K243" s="379" t="s">
        <v>22</v>
      </c>
      <c r="L243" s="379" t="s">
        <v>22</v>
      </c>
      <c r="M243" s="385">
        <v>0</v>
      </c>
      <c r="N243" s="383"/>
      <c r="O243" s="383"/>
      <c r="P243" s="389">
        <v>-3.84</v>
      </c>
    </row>
    <row r="244" spans="1:16" ht="19.5" customHeight="1">
      <c r="A244" s="379" t="s">
        <v>1276</v>
      </c>
      <c r="B244" s="382">
        <v>45981</v>
      </c>
      <c r="C244" s="379" t="s">
        <v>17</v>
      </c>
      <c r="D244" s="379" t="s">
        <v>18</v>
      </c>
      <c r="E244" s="379" t="s">
        <v>228</v>
      </c>
      <c r="F244" s="379" t="s">
        <v>393</v>
      </c>
      <c r="G244" s="379" t="s">
        <v>1229</v>
      </c>
      <c r="H244" s="383">
        <v>1</v>
      </c>
      <c r="I244" s="384">
        <v>0</v>
      </c>
      <c r="J244" s="382">
        <v>45981</v>
      </c>
      <c r="K244" s="379" t="s">
        <v>22</v>
      </c>
      <c r="L244" s="379" t="s">
        <v>22</v>
      </c>
      <c r="M244" s="385">
        <v>0</v>
      </c>
      <c r="N244" s="383"/>
      <c r="O244" s="383"/>
      <c r="P244" s="389">
        <v>-3.14</v>
      </c>
    </row>
    <row r="245" spans="1:16" ht="19.5" customHeight="1">
      <c r="A245" s="379" t="s">
        <v>1277</v>
      </c>
      <c r="B245" s="382">
        <v>45981</v>
      </c>
      <c r="C245" s="379" t="s">
        <v>28</v>
      </c>
      <c r="D245" s="379" t="s">
        <v>29</v>
      </c>
      <c r="E245" s="379" t="s">
        <v>223</v>
      </c>
      <c r="F245" s="379" t="s">
        <v>395</v>
      </c>
      <c r="G245" s="379" t="s">
        <v>1229</v>
      </c>
      <c r="H245" s="383">
        <v>1</v>
      </c>
      <c r="I245" s="384">
        <v>1687</v>
      </c>
      <c r="J245" s="382">
        <v>45979</v>
      </c>
      <c r="K245" s="379" t="s">
        <v>957</v>
      </c>
      <c r="L245" s="379" t="s">
        <v>30</v>
      </c>
      <c r="M245" s="385">
        <v>0.43</v>
      </c>
      <c r="N245" s="383"/>
      <c r="O245" s="383">
        <v>46</v>
      </c>
      <c r="P245" s="389">
        <v>-135.94</v>
      </c>
    </row>
    <row r="246" spans="1:16" ht="19.5" customHeight="1">
      <c r="A246" s="379" t="s">
        <v>1277</v>
      </c>
      <c r="B246" s="382">
        <v>45981</v>
      </c>
      <c r="C246" s="379" t="s">
        <v>31</v>
      </c>
      <c r="D246" s="379" t="s">
        <v>32</v>
      </c>
      <c r="E246" s="379" t="s">
        <v>223</v>
      </c>
      <c r="F246" s="379" t="s">
        <v>395</v>
      </c>
      <c r="G246" s="379" t="s">
        <v>1229</v>
      </c>
      <c r="H246" s="383">
        <v>1</v>
      </c>
      <c r="I246" s="384">
        <v>1687</v>
      </c>
      <c r="J246" s="382">
        <v>45979</v>
      </c>
      <c r="K246" s="379" t="s">
        <v>957</v>
      </c>
      <c r="L246" s="379" t="s">
        <v>30</v>
      </c>
      <c r="M246" s="385">
        <v>0</v>
      </c>
      <c r="N246" s="383"/>
      <c r="O246" s="383"/>
      <c r="P246" s="389">
        <v>596.01</v>
      </c>
    </row>
    <row r="247" spans="1:16" ht="19.5" customHeight="1">
      <c r="A247" s="379" t="s">
        <v>1277</v>
      </c>
      <c r="B247" s="382">
        <v>45981</v>
      </c>
      <c r="C247" s="379" t="s">
        <v>31</v>
      </c>
      <c r="D247" s="379" t="s">
        <v>33</v>
      </c>
      <c r="E247" s="379" t="s">
        <v>223</v>
      </c>
      <c r="F247" s="379" t="s">
        <v>395</v>
      </c>
      <c r="G247" s="379" t="s">
        <v>1229</v>
      </c>
      <c r="H247" s="383">
        <v>1</v>
      </c>
      <c r="I247" s="384">
        <v>1687</v>
      </c>
      <c r="J247" s="382">
        <v>45979</v>
      </c>
      <c r="K247" s="379" t="s">
        <v>957</v>
      </c>
      <c r="L247" s="379" t="s">
        <v>30</v>
      </c>
      <c r="M247" s="385">
        <v>0</v>
      </c>
      <c r="N247" s="383"/>
      <c r="O247" s="383"/>
      <c r="P247" s="389">
        <v>5.96</v>
      </c>
    </row>
    <row r="248" spans="1:16" ht="19.5" customHeight="1">
      <c r="A248" s="379" t="s">
        <v>1277</v>
      </c>
      <c r="B248" s="382">
        <v>45981</v>
      </c>
      <c r="C248" s="379" t="s">
        <v>31</v>
      </c>
      <c r="D248" s="379" t="s">
        <v>34</v>
      </c>
      <c r="E248" s="379" t="s">
        <v>223</v>
      </c>
      <c r="F248" s="379" t="s">
        <v>395</v>
      </c>
      <c r="G248" s="379" t="s">
        <v>1229</v>
      </c>
      <c r="H248" s="383">
        <v>1</v>
      </c>
      <c r="I248" s="384">
        <v>1687</v>
      </c>
      <c r="J248" s="382">
        <v>45979</v>
      </c>
      <c r="K248" s="379" t="s">
        <v>957</v>
      </c>
      <c r="L248" s="379" t="s">
        <v>30</v>
      </c>
      <c r="M248" s="385">
        <v>0</v>
      </c>
      <c r="N248" s="383"/>
      <c r="O248" s="383"/>
      <c r="P248" s="389">
        <v>1085.03</v>
      </c>
    </row>
    <row r="249" spans="1:16" ht="19.5" customHeight="1">
      <c r="A249" s="379" t="s">
        <v>1277</v>
      </c>
      <c r="B249" s="382">
        <v>45981</v>
      </c>
      <c r="C249" s="379" t="s">
        <v>35</v>
      </c>
      <c r="D249" s="379" t="s">
        <v>36</v>
      </c>
      <c r="E249" s="379" t="s">
        <v>223</v>
      </c>
      <c r="F249" s="379" t="s">
        <v>395</v>
      </c>
      <c r="G249" s="379" t="s">
        <v>1229</v>
      </c>
      <c r="H249" s="383">
        <v>1</v>
      </c>
      <c r="I249" s="384">
        <v>1687</v>
      </c>
      <c r="J249" s="382">
        <v>45979</v>
      </c>
      <c r="K249" s="379" t="s">
        <v>957</v>
      </c>
      <c r="L249" s="379" t="s">
        <v>30</v>
      </c>
      <c r="M249" s="385">
        <v>0.43</v>
      </c>
      <c r="N249" s="383"/>
      <c r="O249" s="383"/>
      <c r="P249" s="389">
        <v>-725.41</v>
      </c>
    </row>
    <row r="250" spans="1:16" ht="19.5" customHeight="1">
      <c r="A250" s="379" t="s">
        <v>1277</v>
      </c>
      <c r="B250" s="382">
        <v>45981</v>
      </c>
      <c r="C250" s="379" t="s">
        <v>17</v>
      </c>
      <c r="D250" s="379" t="s">
        <v>37</v>
      </c>
      <c r="E250" s="379" t="s">
        <v>223</v>
      </c>
      <c r="F250" s="379" t="s">
        <v>395</v>
      </c>
      <c r="G250" s="379" t="s">
        <v>1229</v>
      </c>
      <c r="H250" s="383">
        <v>1</v>
      </c>
      <c r="I250" s="384">
        <v>1687</v>
      </c>
      <c r="J250" s="382">
        <v>45979</v>
      </c>
      <c r="K250" s="379" t="s">
        <v>957</v>
      </c>
      <c r="L250" s="379" t="s">
        <v>30</v>
      </c>
      <c r="M250" s="385">
        <v>0.43</v>
      </c>
      <c r="N250" s="383"/>
      <c r="O250" s="383"/>
      <c r="P250" s="389">
        <v>-9.02</v>
      </c>
    </row>
    <row r="251" spans="1:16" ht="19.5" customHeight="1">
      <c r="A251" s="379" t="s">
        <v>1278</v>
      </c>
      <c r="B251" s="382">
        <v>45981</v>
      </c>
      <c r="C251" s="379" t="s">
        <v>28</v>
      </c>
      <c r="D251" s="379" t="s">
        <v>29</v>
      </c>
      <c r="E251" s="379" t="s">
        <v>62</v>
      </c>
      <c r="F251" s="379" t="s">
        <v>63</v>
      </c>
      <c r="G251" s="379" t="s">
        <v>1133</v>
      </c>
      <c r="H251" s="383">
        <v>1</v>
      </c>
      <c r="I251" s="384">
        <v>0</v>
      </c>
      <c r="J251" s="382">
        <v>45975</v>
      </c>
      <c r="K251" s="379" t="s">
        <v>957</v>
      </c>
      <c r="L251" s="379" t="s">
        <v>30</v>
      </c>
      <c r="M251" s="385">
        <v>0</v>
      </c>
      <c r="N251" s="383"/>
      <c r="O251" s="383">
        <v>43</v>
      </c>
      <c r="P251" s="389">
        <v>-56</v>
      </c>
    </row>
    <row r="252" spans="1:16" ht="19.5" customHeight="1">
      <c r="A252" s="379" t="s">
        <v>1278</v>
      </c>
      <c r="B252" s="382">
        <v>45981</v>
      </c>
      <c r="C252" s="379" t="s">
        <v>17</v>
      </c>
      <c r="D252" s="379" t="s">
        <v>37</v>
      </c>
      <c r="E252" s="379" t="s">
        <v>62</v>
      </c>
      <c r="F252" s="379" t="s">
        <v>63</v>
      </c>
      <c r="G252" s="379" t="s">
        <v>1133</v>
      </c>
      <c r="H252" s="383">
        <v>1</v>
      </c>
      <c r="I252" s="384">
        <v>0</v>
      </c>
      <c r="J252" s="382">
        <v>45975</v>
      </c>
      <c r="K252" s="379" t="s">
        <v>957</v>
      </c>
      <c r="L252" s="379" t="s">
        <v>30</v>
      </c>
      <c r="M252" s="385">
        <v>0</v>
      </c>
      <c r="N252" s="383"/>
      <c r="O252" s="383"/>
      <c r="P252" s="389">
        <v>-10.8</v>
      </c>
    </row>
    <row r="253" spans="1:16" ht="19.5" customHeight="1">
      <c r="A253" s="379" t="s">
        <v>1277</v>
      </c>
      <c r="B253" s="382">
        <v>45981</v>
      </c>
      <c r="C253" s="379" t="s">
        <v>17</v>
      </c>
      <c r="D253" s="379" t="s">
        <v>18</v>
      </c>
      <c r="E253" s="379" t="s">
        <v>223</v>
      </c>
      <c r="F253" s="379" t="s">
        <v>395</v>
      </c>
      <c r="G253" s="379" t="s">
        <v>1229</v>
      </c>
      <c r="H253" s="383">
        <v>1</v>
      </c>
      <c r="I253" s="384">
        <v>0</v>
      </c>
      <c r="J253" s="382">
        <v>45979</v>
      </c>
      <c r="K253" s="379" t="s">
        <v>22</v>
      </c>
      <c r="L253" s="379" t="s">
        <v>22</v>
      </c>
      <c r="M253" s="385">
        <v>0</v>
      </c>
      <c r="N253" s="383"/>
      <c r="O253" s="383"/>
      <c r="P253" s="389">
        <v>-11.32</v>
      </c>
    </row>
    <row r="254" spans="1:16" ht="19.5" customHeight="1">
      <c r="A254" s="379" t="s">
        <v>1278</v>
      </c>
      <c r="B254" s="382">
        <v>45981</v>
      </c>
      <c r="C254" s="379" t="s">
        <v>28</v>
      </c>
      <c r="D254" s="379" t="s">
        <v>45</v>
      </c>
      <c r="E254" s="379" t="s">
        <v>62</v>
      </c>
      <c r="F254" s="379" t="s">
        <v>63</v>
      </c>
      <c r="G254" s="379" t="s">
        <v>1133</v>
      </c>
      <c r="H254" s="383">
        <v>1</v>
      </c>
      <c r="I254" s="384">
        <v>0</v>
      </c>
      <c r="J254" s="382">
        <v>45975</v>
      </c>
      <c r="K254" s="379" t="s">
        <v>957</v>
      </c>
      <c r="L254" s="379" t="s">
        <v>30</v>
      </c>
      <c r="M254" s="385">
        <v>0</v>
      </c>
      <c r="N254" s="383"/>
      <c r="O254" s="383"/>
      <c r="P254" s="389">
        <v>0</v>
      </c>
    </row>
    <row r="255" spans="1:16" ht="19.5" customHeight="1">
      <c r="A255" s="379" t="s">
        <v>1278</v>
      </c>
      <c r="B255" s="382">
        <v>45981</v>
      </c>
      <c r="C255" s="379" t="s">
        <v>28</v>
      </c>
      <c r="D255" s="379" t="s">
        <v>46</v>
      </c>
      <c r="E255" s="379" t="s">
        <v>62</v>
      </c>
      <c r="F255" s="379" t="s">
        <v>63</v>
      </c>
      <c r="G255" s="379" t="s">
        <v>1133</v>
      </c>
      <c r="H255" s="383">
        <v>1</v>
      </c>
      <c r="I255" s="384">
        <v>0</v>
      </c>
      <c r="J255" s="382">
        <v>45975</v>
      </c>
      <c r="K255" s="379" t="s">
        <v>957</v>
      </c>
      <c r="L255" s="379" t="s">
        <v>30</v>
      </c>
      <c r="M255" s="385">
        <v>0</v>
      </c>
      <c r="N255" s="383"/>
      <c r="O255" s="383"/>
      <c r="P255" s="389">
        <v>-56</v>
      </c>
    </row>
    <row r="256" spans="1:16" ht="19.5" customHeight="1">
      <c r="A256" s="379" t="s">
        <v>1278</v>
      </c>
      <c r="B256" s="382">
        <v>45981</v>
      </c>
      <c r="C256" s="379" t="s">
        <v>17</v>
      </c>
      <c r="D256" s="379" t="s">
        <v>47</v>
      </c>
      <c r="E256" s="379" t="s">
        <v>62</v>
      </c>
      <c r="F256" s="379" t="s">
        <v>63</v>
      </c>
      <c r="G256" s="379" t="s">
        <v>1133</v>
      </c>
      <c r="H256" s="383">
        <v>1</v>
      </c>
      <c r="I256" s="384">
        <v>0</v>
      </c>
      <c r="J256" s="382">
        <v>45975</v>
      </c>
      <c r="K256" s="379" t="s">
        <v>957</v>
      </c>
      <c r="L256" s="379" t="s">
        <v>30</v>
      </c>
      <c r="M256" s="385">
        <v>0</v>
      </c>
      <c r="N256" s="383"/>
      <c r="O256" s="383"/>
      <c r="P256" s="389">
        <v>-15</v>
      </c>
    </row>
    <row r="257" spans="1:16" ht="19.5" customHeight="1">
      <c r="A257" s="379" t="s">
        <v>22</v>
      </c>
      <c r="B257" s="382">
        <v>45981</v>
      </c>
      <c r="C257" s="379" t="s">
        <v>77</v>
      </c>
      <c r="D257" s="379" t="s">
        <v>78</v>
      </c>
      <c r="E257" s="379" t="s">
        <v>22</v>
      </c>
      <c r="F257" s="379" t="s">
        <v>22</v>
      </c>
      <c r="G257" s="379" t="s">
        <v>1279</v>
      </c>
      <c r="H257" s="383">
        <v>0</v>
      </c>
      <c r="I257" s="384">
        <v>0</v>
      </c>
      <c r="J257" s="382">
        <v>45981</v>
      </c>
      <c r="K257" s="379" t="s">
        <v>22</v>
      </c>
      <c r="L257" s="379" t="s">
        <v>22</v>
      </c>
      <c r="M257" s="385">
        <v>0</v>
      </c>
      <c r="N257" s="383"/>
      <c r="O257" s="383"/>
      <c r="P257" s="389">
        <v>-450</v>
      </c>
    </row>
    <row r="258" spans="1:16" ht="19.5" customHeight="1">
      <c r="A258" s="379" t="s">
        <v>1280</v>
      </c>
      <c r="B258" s="382">
        <v>45981</v>
      </c>
      <c r="C258" s="379" t="s">
        <v>17</v>
      </c>
      <c r="D258" s="379" t="s">
        <v>18</v>
      </c>
      <c r="E258" s="379" t="s">
        <v>25</v>
      </c>
      <c r="F258" s="379" t="s">
        <v>26</v>
      </c>
      <c r="G258" s="379" t="s">
        <v>1229</v>
      </c>
      <c r="H258" s="383">
        <v>1</v>
      </c>
      <c r="I258" s="384">
        <v>0</v>
      </c>
      <c r="J258" s="382">
        <v>45981</v>
      </c>
      <c r="K258" s="379" t="s">
        <v>22</v>
      </c>
      <c r="L258" s="379" t="s">
        <v>22</v>
      </c>
      <c r="M258" s="385">
        <v>0</v>
      </c>
      <c r="N258" s="383"/>
      <c r="O258" s="383"/>
      <c r="P258" s="389">
        <v>-9.34</v>
      </c>
    </row>
    <row r="259" spans="1:16" ht="19.5" customHeight="1">
      <c r="A259" s="379" t="s">
        <v>1281</v>
      </c>
      <c r="B259" s="382">
        <v>45981</v>
      </c>
      <c r="C259" s="379" t="s">
        <v>17</v>
      </c>
      <c r="D259" s="379" t="s">
        <v>18</v>
      </c>
      <c r="E259" s="379" t="s">
        <v>25</v>
      </c>
      <c r="F259" s="379" t="s">
        <v>26</v>
      </c>
      <c r="G259" s="379" t="s">
        <v>1229</v>
      </c>
      <c r="H259" s="383">
        <v>1</v>
      </c>
      <c r="I259" s="384">
        <v>0</v>
      </c>
      <c r="J259" s="382">
        <v>45981</v>
      </c>
      <c r="K259" s="379" t="s">
        <v>22</v>
      </c>
      <c r="L259" s="379" t="s">
        <v>22</v>
      </c>
      <c r="M259" s="385">
        <v>0</v>
      </c>
      <c r="N259" s="383"/>
      <c r="O259" s="383"/>
      <c r="P259" s="389">
        <v>-2.0099999999999998</v>
      </c>
    </row>
    <row r="260" spans="1:16" ht="19.5" customHeight="1">
      <c r="A260" s="379" t="s">
        <v>83</v>
      </c>
      <c r="B260" s="382">
        <v>45981</v>
      </c>
      <c r="C260" s="379" t="s">
        <v>77</v>
      </c>
      <c r="D260" s="379" t="s">
        <v>84</v>
      </c>
      <c r="E260" s="379" t="s">
        <v>22</v>
      </c>
      <c r="F260" s="379" t="s">
        <v>22</v>
      </c>
      <c r="G260" s="379" t="s">
        <v>22</v>
      </c>
      <c r="H260" s="383">
        <v>0</v>
      </c>
      <c r="I260" s="384">
        <v>0</v>
      </c>
      <c r="J260" s="382">
        <v>45981</v>
      </c>
      <c r="K260" s="379" t="s">
        <v>22</v>
      </c>
      <c r="L260" s="379" t="s">
        <v>22</v>
      </c>
      <c r="M260" s="385">
        <v>0</v>
      </c>
      <c r="N260" s="383"/>
      <c r="O260" s="383"/>
      <c r="P260" s="389">
        <v>-3470.08</v>
      </c>
    </row>
    <row r="261" spans="1:16" ht="19.5" customHeight="1">
      <c r="A261" s="379" t="s">
        <v>1075</v>
      </c>
      <c r="B261" s="382">
        <v>45981</v>
      </c>
      <c r="C261" s="379" t="s">
        <v>77</v>
      </c>
      <c r="D261" s="379" t="s">
        <v>82</v>
      </c>
      <c r="E261" s="379" t="s">
        <v>22</v>
      </c>
      <c r="F261" s="379" t="s">
        <v>22</v>
      </c>
      <c r="G261" s="379" t="s">
        <v>22</v>
      </c>
      <c r="H261" s="383">
        <v>0</v>
      </c>
      <c r="I261" s="384">
        <v>0</v>
      </c>
      <c r="J261" s="382">
        <v>45981</v>
      </c>
      <c r="K261" s="379" t="s">
        <v>22</v>
      </c>
      <c r="L261" s="379" t="s">
        <v>22</v>
      </c>
      <c r="M261" s="385">
        <v>0</v>
      </c>
      <c r="N261" s="383"/>
      <c r="O261" s="383"/>
      <c r="P261" s="389">
        <v>-635.9</v>
      </c>
    </row>
    <row r="262" spans="1:16" ht="19.5" customHeight="1">
      <c r="A262" s="379" t="s">
        <v>1105</v>
      </c>
      <c r="B262" s="382">
        <v>45981</v>
      </c>
      <c r="C262" s="379" t="s">
        <v>77</v>
      </c>
      <c r="D262" s="379" t="s">
        <v>82</v>
      </c>
      <c r="E262" s="379" t="s">
        <v>22</v>
      </c>
      <c r="F262" s="379" t="s">
        <v>22</v>
      </c>
      <c r="G262" s="379" t="s">
        <v>22</v>
      </c>
      <c r="H262" s="383">
        <v>0</v>
      </c>
      <c r="I262" s="384">
        <v>0</v>
      </c>
      <c r="J262" s="382">
        <v>45981</v>
      </c>
      <c r="K262" s="379" t="s">
        <v>22</v>
      </c>
      <c r="L262" s="379" t="s">
        <v>22</v>
      </c>
      <c r="M262" s="385">
        <v>0</v>
      </c>
      <c r="N262" s="383"/>
      <c r="O262" s="383"/>
      <c r="P262" s="389">
        <v>-631.48</v>
      </c>
    </row>
    <row r="263" spans="1:16" ht="19.5" customHeight="1">
      <c r="A263" s="379" t="s">
        <v>1270</v>
      </c>
      <c r="B263" s="382">
        <v>45981</v>
      </c>
      <c r="C263" s="379" t="s">
        <v>77</v>
      </c>
      <c r="D263" s="379" t="s">
        <v>82</v>
      </c>
      <c r="E263" s="379" t="s">
        <v>22</v>
      </c>
      <c r="F263" s="379" t="s">
        <v>22</v>
      </c>
      <c r="G263" s="379" t="s">
        <v>22</v>
      </c>
      <c r="H263" s="383">
        <v>0</v>
      </c>
      <c r="I263" s="384">
        <v>0</v>
      </c>
      <c r="J263" s="382">
        <v>45981</v>
      </c>
      <c r="K263" s="379" t="s">
        <v>22</v>
      </c>
      <c r="L263" s="379" t="s">
        <v>22</v>
      </c>
      <c r="M263" s="385">
        <v>0</v>
      </c>
      <c r="N263" s="383"/>
      <c r="O263" s="383"/>
      <c r="P263" s="389">
        <v>-291.92</v>
      </c>
    </row>
    <row r="264" spans="1:16" ht="19.5" customHeight="1">
      <c r="A264" s="379" t="s">
        <v>1282</v>
      </c>
      <c r="B264" s="382">
        <v>45981</v>
      </c>
      <c r="C264" s="379" t="s">
        <v>77</v>
      </c>
      <c r="D264" s="379" t="s">
        <v>82</v>
      </c>
      <c r="E264" s="379" t="s">
        <v>22</v>
      </c>
      <c r="F264" s="379" t="s">
        <v>22</v>
      </c>
      <c r="G264" s="379" t="s">
        <v>22</v>
      </c>
      <c r="H264" s="383">
        <v>0</v>
      </c>
      <c r="I264" s="384">
        <v>0</v>
      </c>
      <c r="J264" s="382">
        <v>45981</v>
      </c>
      <c r="K264" s="379" t="s">
        <v>22</v>
      </c>
      <c r="L264" s="379" t="s">
        <v>22</v>
      </c>
      <c r="M264" s="385">
        <v>0</v>
      </c>
      <c r="N264" s="383"/>
      <c r="O264" s="383"/>
      <c r="P264" s="389">
        <v>-183.08</v>
      </c>
    </row>
    <row r="265" spans="1:16" ht="19.5" customHeight="1">
      <c r="A265" s="379" t="s">
        <v>22</v>
      </c>
      <c r="B265" s="382">
        <v>45981</v>
      </c>
      <c r="C265" s="379" t="s">
        <v>77</v>
      </c>
      <c r="D265" s="379" t="s">
        <v>944</v>
      </c>
      <c r="E265" s="379" t="s">
        <v>22</v>
      </c>
      <c r="F265" s="379" t="s">
        <v>22</v>
      </c>
      <c r="G265" s="379" t="s">
        <v>1283</v>
      </c>
      <c r="H265" s="383">
        <v>0</v>
      </c>
      <c r="I265" s="384">
        <v>0</v>
      </c>
      <c r="J265" s="382">
        <v>45981</v>
      </c>
      <c r="K265" s="379" t="s">
        <v>22</v>
      </c>
      <c r="L265" s="379" t="s">
        <v>22</v>
      </c>
      <c r="M265" s="385">
        <v>0</v>
      </c>
      <c r="N265" s="383"/>
      <c r="O265" s="383"/>
      <c r="P265" s="389">
        <v>-111.2</v>
      </c>
    </row>
    <row r="266" spans="1:16" ht="19.5" customHeight="1">
      <c r="A266" s="379" t="s">
        <v>1284</v>
      </c>
      <c r="B266" s="382">
        <v>45982</v>
      </c>
      <c r="C266" s="379" t="s">
        <v>28</v>
      </c>
      <c r="D266" s="379" t="s">
        <v>29</v>
      </c>
      <c r="E266" s="379" t="s">
        <v>19</v>
      </c>
      <c r="F266" s="379" t="s">
        <v>20</v>
      </c>
      <c r="G266" s="379" t="s">
        <v>1229</v>
      </c>
      <c r="H266" s="383">
        <v>1</v>
      </c>
      <c r="I266" s="384">
        <v>0</v>
      </c>
      <c r="J266" s="382">
        <v>45976</v>
      </c>
      <c r="K266" s="379" t="s">
        <v>957</v>
      </c>
      <c r="L266" s="379" t="s">
        <v>30</v>
      </c>
      <c r="M266" s="385">
        <v>0</v>
      </c>
      <c r="N266" s="383"/>
      <c r="O266" s="383">
        <v>43</v>
      </c>
      <c r="P266" s="389">
        <v>-46</v>
      </c>
    </row>
    <row r="267" spans="1:16" ht="19.5" customHeight="1">
      <c r="A267" s="379" t="s">
        <v>1284</v>
      </c>
      <c r="B267" s="382">
        <v>45982</v>
      </c>
      <c r="C267" s="379" t="s">
        <v>17</v>
      </c>
      <c r="D267" s="379" t="s">
        <v>37</v>
      </c>
      <c r="E267" s="379" t="s">
        <v>19</v>
      </c>
      <c r="F267" s="379" t="s">
        <v>20</v>
      </c>
      <c r="G267" s="379" t="s">
        <v>1229</v>
      </c>
      <c r="H267" s="383">
        <v>1</v>
      </c>
      <c r="I267" s="384">
        <v>0</v>
      </c>
      <c r="J267" s="382">
        <v>45976</v>
      </c>
      <c r="K267" s="379" t="s">
        <v>957</v>
      </c>
      <c r="L267" s="379" t="s">
        <v>30</v>
      </c>
      <c r="M267" s="385">
        <v>0</v>
      </c>
      <c r="N267" s="383"/>
      <c r="O267" s="383"/>
      <c r="P267" s="389">
        <v>-6.16</v>
      </c>
    </row>
    <row r="268" spans="1:16" ht="19.5" customHeight="1">
      <c r="A268" s="379" t="s">
        <v>1284</v>
      </c>
      <c r="B268" s="382">
        <v>45982</v>
      </c>
      <c r="C268" s="379" t="s">
        <v>28</v>
      </c>
      <c r="D268" s="379" t="s">
        <v>45</v>
      </c>
      <c r="E268" s="379" t="s">
        <v>19</v>
      </c>
      <c r="F268" s="379" t="s">
        <v>20</v>
      </c>
      <c r="G268" s="379" t="s">
        <v>1229</v>
      </c>
      <c r="H268" s="383">
        <v>1</v>
      </c>
      <c r="I268" s="384">
        <v>0</v>
      </c>
      <c r="J268" s="382">
        <v>45976</v>
      </c>
      <c r="K268" s="379" t="s">
        <v>957</v>
      </c>
      <c r="L268" s="379" t="s">
        <v>30</v>
      </c>
      <c r="M268" s="385">
        <v>0</v>
      </c>
      <c r="N268" s="383"/>
      <c r="O268" s="383"/>
      <c r="P268" s="389">
        <v>0</v>
      </c>
    </row>
    <row r="269" spans="1:16" ht="19.5" customHeight="1">
      <c r="A269" s="379" t="s">
        <v>1284</v>
      </c>
      <c r="B269" s="382">
        <v>45982</v>
      </c>
      <c r="C269" s="379" t="s">
        <v>28</v>
      </c>
      <c r="D269" s="379" t="s">
        <v>46</v>
      </c>
      <c r="E269" s="379" t="s">
        <v>19</v>
      </c>
      <c r="F269" s="379" t="s">
        <v>20</v>
      </c>
      <c r="G269" s="379" t="s">
        <v>1229</v>
      </c>
      <c r="H269" s="383">
        <v>1</v>
      </c>
      <c r="I269" s="384">
        <v>0</v>
      </c>
      <c r="J269" s="382">
        <v>45976</v>
      </c>
      <c r="K269" s="379" t="s">
        <v>957</v>
      </c>
      <c r="L269" s="379" t="s">
        <v>30</v>
      </c>
      <c r="M269" s="385">
        <v>0</v>
      </c>
      <c r="N269" s="383"/>
      <c r="O269" s="383"/>
      <c r="P269" s="389">
        <v>-46</v>
      </c>
    </row>
    <row r="270" spans="1:16" ht="19.5" customHeight="1">
      <c r="A270" s="379" t="s">
        <v>1284</v>
      </c>
      <c r="B270" s="382">
        <v>45982</v>
      </c>
      <c r="C270" s="379" t="s">
        <v>17</v>
      </c>
      <c r="D270" s="379" t="s">
        <v>47</v>
      </c>
      <c r="E270" s="379" t="s">
        <v>19</v>
      </c>
      <c r="F270" s="379" t="s">
        <v>20</v>
      </c>
      <c r="G270" s="379" t="s">
        <v>1229</v>
      </c>
      <c r="H270" s="383">
        <v>1</v>
      </c>
      <c r="I270" s="384">
        <v>0</v>
      </c>
      <c r="J270" s="382">
        <v>45976</v>
      </c>
      <c r="K270" s="379" t="s">
        <v>957</v>
      </c>
      <c r="L270" s="379" t="s">
        <v>30</v>
      </c>
      <c r="M270" s="385">
        <v>0</v>
      </c>
      <c r="N270" s="383"/>
      <c r="O270" s="383"/>
      <c r="P270" s="389">
        <v>-15</v>
      </c>
    </row>
    <row r="271" spans="1:16" ht="19.5" customHeight="1">
      <c r="A271" s="379" t="s">
        <v>1285</v>
      </c>
      <c r="B271" s="382">
        <v>45982</v>
      </c>
      <c r="C271" s="379" t="s">
        <v>28</v>
      </c>
      <c r="D271" s="379" t="s">
        <v>29</v>
      </c>
      <c r="E271" s="379" t="s">
        <v>25</v>
      </c>
      <c r="F271" s="379" t="s">
        <v>26</v>
      </c>
      <c r="G271" s="379" t="s">
        <v>1229</v>
      </c>
      <c r="H271" s="383">
        <v>1</v>
      </c>
      <c r="I271" s="384">
        <v>0</v>
      </c>
      <c r="J271" s="382">
        <v>45972</v>
      </c>
      <c r="K271" s="379" t="s">
        <v>957</v>
      </c>
      <c r="L271" s="379" t="s">
        <v>30</v>
      </c>
      <c r="M271" s="385">
        <v>0</v>
      </c>
      <c r="N271" s="383"/>
      <c r="O271" s="383"/>
      <c r="P271" s="389">
        <v>-46</v>
      </c>
    </row>
    <row r="272" spans="1:16" ht="19.5" customHeight="1">
      <c r="A272" s="379" t="s">
        <v>1285</v>
      </c>
      <c r="B272" s="382">
        <v>45982</v>
      </c>
      <c r="C272" s="379" t="s">
        <v>17</v>
      </c>
      <c r="D272" s="379" t="s">
        <v>37</v>
      </c>
      <c r="E272" s="379" t="s">
        <v>25</v>
      </c>
      <c r="F272" s="379" t="s">
        <v>26</v>
      </c>
      <c r="G272" s="379" t="s">
        <v>1229</v>
      </c>
      <c r="H272" s="383">
        <v>1</v>
      </c>
      <c r="I272" s="384">
        <v>0</v>
      </c>
      <c r="J272" s="382">
        <v>45972</v>
      </c>
      <c r="K272" s="379" t="s">
        <v>957</v>
      </c>
      <c r="L272" s="379" t="s">
        <v>30</v>
      </c>
      <c r="M272" s="385">
        <v>0</v>
      </c>
      <c r="N272" s="383"/>
      <c r="O272" s="383"/>
      <c r="P272" s="389">
        <v>-5.42</v>
      </c>
    </row>
    <row r="273" spans="1:16" ht="19.5" customHeight="1">
      <c r="A273" s="379" t="s">
        <v>1285</v>
      </c>
      <c r="B273" s="382">
        <v>45982</v>
      </c>
      <c r="C273" s="379" t="s">
        <v>28</v>
      </c>
      <c r="D273" s="379" t="s">
        <v>45</v>
      </c>
      <c r="E273" s="379" t="s">
        <v>25</v>
      </c>
      <c r="F273" s="379" t="s">
        <v>26</v>
      </c>
      <c r="G273" s="379" t="s">
        <v>1229</v>
      </c>
      <c r="H273" s="383">
        <v>1</v>
      </c>
      <c r="I273" s="384">
        <v>0</v>
      </c>
      <c r="J273" s="382">
        <v>45972</v>
      </c>
      <c r="K273" s="379" t="s">
        <v>957</v>
      </c>
      <c r="L273" s="379" t="s">
        <v>30</v>
      </c>
      <c r="M273" s="385">
        <v>0</v>
      </c>
      <c r="N273" s="383"/>
      <c r="O273" s="383"/>
      <c r="P273" s="389">
        <v>0</v>
      </c>
    </row>
    <row r="274" spans="1:16" ht="19.5" customHeight="1">
      <c r="A274" s="379" t="s">
        <v>1285</v>
      </c>
      <c r="B274" s="382">
        <v>45982</v>
      </c>
      <c r="C274" s="379" t="s">
        <v>28</v>
      </c>
      <c r="D274" s="379" t="s">
        <v>46</v>
      </c>
      <c r="E274" s="379" t="s">
        <v>25</v>
      </c>
      <c r="F274" s="379" t="s">
        <v>26</v>
      </c>
      <c r="G274" s="379" t="s">
        <v>1229</v>
      </c>
      <c r="H274" s="383">
        <v>1</v>
      </c>
      <c r="I274" s="384">
        <v>0</v>
      </c>
      <c r="J274" s="382">
        <v>45972</v>
      </c>
      <c r="K274" s="379" t="s">
        <v>957</v>
      </c>
      <c r="L274" s="379" t="s">
        <v>30</v>
      </c>
      <c r="M274" s="385">
        <v>0</v>
      </c>
      <c r="N274" s="383"/>
      <c r="O274" s="383"/>
      <c r="P274" s="389">
        <v>-46</v>
      </c>
    </row>
    <row r="275" spans="1:16" ht="19.5" customHeight="1">
      <c r="A275" s="379" t="s">
        <v>1285</v>
      </c>
      <c r="B275" s="382">
        <v>45982</v>
      </c>
      <c r="C275" s="379" t="s">
        <v>17</v>
      </c>
      <c r="D275" s="379" t="s">
        <v>47</v>
      </c>
      <c r="E275" s="379" t="s">
        <v>25</v>
      </c>
      <c r="F275" s="379" t="s">
        <v>26</v>
      </c>
      <c r="G275" s="379" t="s">
        <v>1229</v>
      </c>
      <c r="H275" s="383">
        <v>1</v>
      </c>
      <c r="I275" s="384">
        <v>0</v>
      </c>
      <c r="J275" s="382">
        <v>45972</v>
      </c>
      <c r="K275" s="379" t="s">
        <v>957</v>
      </c>
      <c r="L275" s="379" t="s">
        <v>30</v>
      </c>
      <c r="M275" s="385">
        <v>0</v>
      </c>
      <c r="N275" s="383"/>
      <c r="O275" s="383"/>
      <c r="P275" s="389">
        <v>-15</v>
      </c>
    </row>
    <row r="276" spans="1:16" ht="19.5" customHeight="1">
      <c r="A276" s="379" t="s">
        <v>1286</v>
      </c>
      <c r="B276" s="382">
        <v>45982</v>
      </c>
      <c r="C276" s="379" t="s">
        <v>28</v>
      </c>
      <c r="D276" s="379" t="s">
        <v>29</v>
      </c>
      <c r="E276" s="379" t="s">
        <v>223</v>
      </c>
      <c r="F276" s="379" t="s">
        <v>395</v>
      </c>
      <c r="G276" s="379" t="s">
        <v>1229</v>
      </c>
      <c r="H276" s="383">
        <v>1</v>
      </c>
      <c r="I276" s="384">
        <v>0</v>
      </c>
      <c r="J276" s="382">
        <v>45977</v>
      </c>
      <c r="K276" s="379" t="s">
        <v>957</v>
      </c>
      <c r="L276" s="379" t="s">
        <v>30</v>
      </c>
      <c r="M276" s="385">
        <v>0</v>
      </c>
      <c r="N276" s="383"/>
      <c r="O276" s="383">
        <v>43</v>
      </c>
      <c r="P276" s="389">
        <v>-46</v>
      </c>
    </row>
    <row r="277" spans="1:16" ht="19.5" customHeight="1">
      <c r="A277" s="379" t="s">
        <v>1286</v>
      </c>
      <c r="B277" s="382">
        <v>45982</v>
      </c>
      <c r="C277" s="379" t="s">
        <v>17</v>
      </c>
      <c r="D277" s="379" t="s">
        <v>37</v>
      </c>
      <c r="E277" s="379" t="s">
        <v>223</v>
      </c>
      <c r="F277" s="379" t="s">
        <v>395</v>
      </c>
      <c r="G277" s="379" t="s">
        <v>1229</v>
      </c>
      <c r="H277" s="383">
        <v>1</v>
      </c>
      <c r="I277" s="384">
        <v>0</v>
      </c>
      <c r="J277" s="382">
        <v>45977</v>
      </c>
      <c r="K277" s="379" t="s">
        <v>957</v>
      </c>
      <c r="L277" s="379" t="s">
        <v>30</v>
      </c>
      <c r="M277" s="385">
        <v>0</v>
      </c>
      <c r="N277" s="383"/>
      <c r="O277" s="383"/>
      <c r="P277" s="389">
        <v>-10.34</v>
      </c>
    </row>
    <row r="278" spans="1:16" ht="19.5" customHeight="1">
      <c r="A278" s="379" t="s">
        <v>1286</v>
      </c>
      <c r="B278" s="382">
        <v>45982</v>
      </c>
      <c r="C278" s="379" t="s">
        <v>28</v>
      </c>
      <c r="D278" s="379" t="s">
        <v>45</v>
      </c>
      <c r="E278" s="379" t="s">
        <v>223</v>
      </c>
      <c r="F278" s="379" t="s">
        <v>395</v>
      </c>
      <c r="G278" s="379" t="s">
        <v>1229</v>
      </c>
      <c r="H278" s="383">
        <v>1</v>
      </c>
      <c r="I278" s="384">
        <v>0</v>
      </c>
      <c r="J278" s="382">
        <v>45977</v>
      </c>
      <c r="K278" s="379" t="s">
        <v>957</v>
      </c>
      <c r="L278" s="379" t="s">
        <v>30</v>
      </c>
      <c r="M278" s="385">
        <v>0</v>
      </c>
      <c r="N278" s="383"/>
      <c r="O278" s="383"/>
      <c r="P278" s="389">
        <v>0</v>
      </c>
    </row>
    <row r="279" spans="1:16" ht="19.5" customHeight="1">
      <c r="A279" s="379" t="s">
        <v>1286</v>
      </c>
      <c r="B279" s="382">
        <v>45982</v>
      </c>
      <c r="C279" s="379" t="s">
        <v>28</v>
      </c>
      <c r="D279" s="379" t="s">
        <v>46</v>
      </c>
      <c r="E279" s="379" t="s">
        <v>223</v>
      </c>
      <c r="F279" s="379" t="s">
        <v>395</v>
      </c>
      <c r="G279" s="379" t="s">
        <v>1229</v>
      </c>
      <c r="H279" s="383">
        <v>1</v>
      </c>
      <c r="I279" s="384">
        <v>0</v>
      </c>
      <c r="J279" s="382">
        <v>45977</v>
      </c>
      <c r="K279" s="379" t="s">
        <v>957</v>
      </c>
      <c r="L279" s="379" t="s">
        <v>30</v>
      </c>
      <c r="M279" s="385">
        <v>0</v>
      </c>
      <c r="N279" s="383"/>
      <c r="O279" s="383"/>
      <c r="P279" s="389">
        <v>-46</v>
      </c>
    </row>
    <row r="280" spans="1:16" ht="19.5" customHeight="1">
      <c r="A280" s="379" t="s">
        <v>1286</v>
      </c>
      <c r="B280" s="382">
        <v>45982</v>
      </c>
      <c r="C280" s="379" t="s">
        <v>17</v>
      </c>
      <c r="D280" s="379" t="s">
        <v>47</v>
      </c>
      <c r="E280" s="379" t="s">
        <v>223</v>
      </c>
      <c r="F280" s="379" t="s">
        <v>395</v>
      </c>
      <c r="G280" s="379" t="s">
        <v>1229</v>
      </c>
      <c r="H280" s="383">
        <v>1</v>
      </c>
      <c r="I280" s="384">
        <v>0</v>
      </c>
      <c r="J280" s="382">
        <v>45977</v>
      </c>
      <c r="K280" s="379" t="s">
        <v>957</v>
      </c>
      <c r="L280" s="379" t="s">
        <v>30</v>
      </c>
      <c r="M280" s="385">
        <v>0</v>
      </c>
      <c r="N280" s="383"/>
      <c r="O280" s="383"/>
      <c r="P280" s="389">
        <v>-15</v>
      </c>
    </row>
    <row r="281" spans="1:16" ht="19.5" customHeight="1">
      <c r="A281" s="379" t="s">
        <v>1287</v>
      </c>
      <c r="B281" s="382">
        <v>45982</v>
      </c>
      <c r="C281" s="379" t="s">
        <v>28</v>
      </c>
      <c r="D281" s="379" t="s">
        <v>45</v>
      </c>
      <c r="E281" s="379" t="s">
        <v>223</v>
      </c>
      <c r="F281" s="379" t="s">
        <v>395</v>
      </c>
      <c r="G281" s="379" t="s">
        <v>1229</v>
      </c>
      <c r="H281" s="383">
        <v>1</v>
      </c>
      <c r="I281" s="384">
        <v>0</v>
      </c>
      <c r="J281" s="382">
        <v>45967</v>
      </c>
      <c r="K281" s="379" t="s">
        <v>957</v>
      </c>
      <c r="L281" s="379" t="s">
        <v>30</v>
      </c>
      <c r="M281" s="385">
        <v>0</v>
      </c>
      <c r="N281" s="383"/>
      <c r="O281" s="383"/>
      <c r="P281" s="389">
        <v>0</v>
      </c>
    </row>
    <row r="282" spans="1:16" ht="19.5" customHeight="1">
      <c r="A282" s="379" t="s">
        <v>1287</v>
      </c>
      <c r="B282" s="382">
        <v>45982</v>
      </c>
      <c r="C282" s="379" t="s">
        <v>28</v>
      </c>
      <c r="D282" s="379" t="s">
        <v>46</v>
      </c>
      <c r="E282" s="379" t="s">
        <v>223</v>
      </c>
      <c r="F282" s="379" t="s">
        <v>395</v>
      </c>
      <c r="G282" s="379" t="s">
        <v>1229</v>
      </c>
      <c r="H282" s="383">
        <v>1</v>
      </c>
      <c r="I282" s="384">
        <v>0</v>
      </c>
      <c r="J282" s="382">
        <v>45967</v>
      </c>
      <c r="K282" s="379" t="s">
        <v>957</v>
      </c>
      <c r="L282" s="379" t="s">
        <v>30</v>
      </c>
      <c r="M282" s="385">
        <v>0</v>
      </c>
      <c r="N282" s="383"/>
      <c r="O282" s="383"/>
      <c r="P282" s="389">
        <v>-46</v>
      </c>
    </row>
    <row r="283" spans="1:16" ht="19.5" customHeight="1">
      <c r="A283" s="379" t="s">
        <v>1287</v>
      </c>
      <c r="B283" s="382">
        <v>45982</v>
      </c>
      <c r="C283" s="379" t="s">
        <v>17</v>
      </c>
      <c r="D283" s="379" t="s">
        <v>47</v>
      </c>
      <c r="E283" s="379" t="s">
        <v>223</v>
      </c>
      <c r="F283" s="379" t="s">
        <v>395</v>
      </c>
      <c r="G283" s="379" t="s">
        <v>1229</v>
      </c>
      <c r="H283" s="383">
        <v>1</v>
      </c>
      <c r="I283" s="384">
        <v>0</v>
      </c>
      <c r="J283" s="382">
        <v>45967</v>
      </c>
      <c r="K283" s="379" t="s">
        <v>957</v>
      </c>
      <c r="L283" s="379" t="s">
        <v>30</v>
      </c>
      <c r="M283" s="385">
        <v>0</v>
      </c>
      <c r="N283" s="383"/>
      <c r="O283" s="383"/>
      <c r="P283" s="389">
        <v>-15</v>
      </c>
    </row>
    <row r="284" spans="1:16" ht="19.5" customHeight="1">
      <c r="A284" s="379" t="s">
        <v>1287</v>
      </c>
      <c r="B284" s="382">
        <v>45982</v>
      </c>
      <c r="C284" s="379" t="s">
        <v>28</v>
      </c>
      <c r="D284" s="379" t="s">
        <v>29</v>
      </c>
      <c r="E284" s="379" t="s">
        <v>223</v>
      </c>
      <c r="F284" s="379" t="s">
        <v>395</v>
      </c>
      <c r="G284" s="379" t="s">
        <v>1229</v>
      </c>
      <c r="H284" s="383">
        <v>1</v>
      </c>
      <c r="I284" s="384">
        <v>0</v>
      </c>
      <c r="J284" s="382">
        <v>45967</v>
      </c>
      <c r="K284" s="379" t="s">
        <v>957</v>
      </c>
      <c r="L284" s="379" t="s">
        <v>30</v>
      </c>
      <c r="M284" s="385">
        <v>0</v>
      </c>
      <c r="N284" s="383"/>
      <c r="O284" s="383"/>
      <c r="P284" s="389">
        <v>-46</v>
      </c>
    </row>
    <row r="285" spans="1:16" ht="19.5" customHeight="1">
      <c r="A285" s="379" t="s">
        <v>1287</v>
      </c>
      <c r="B285" s="382">
        <v>45982</v>
      </c>
      <c r="C285" s="379" t="s">
        <v>17</v>
      </c>
      <c r="D285" s="379" t="s">
        <v>37</v>
      </c>
      <c r="E285" s="379" t="s">
        <v>223</v>
      </c>
      <c r="F285" s="379" t="s">
        <v>395</v>
      </c>
      <c r="G285" s="379" t="s">
        <v>1229</v>
      </c>
      <c r="H285" s="383">
        <v>1</v>
      </c>
      <c r="I285" s="384">
        <v>0</v>
      </c>
      <c r="J285" s="382">
        <v>45967</v>
      </c>
      <c r="K285" s="379" t="s">
        <v>957</v>
      </c>
      <c r="L285" s="379" t="s">
        <v>30</v>
      </c>
      <c r="M285" s="385">
        <v>0</v>
      </c>
      <c r="N285" s="383"/>
      <c r="O285" s="383"/>
      <c r="P285" s="389">
        <v>-9.11</v>
      </c>
    </row>
    <row r="286" spans="1:16" ht="19.5" customHeight="1">
      <c r="A286" s="379" t="s">
        <v>1288</v>
      </c>
      <c r="B286" s="382">
        <v>45982</v>
      </c>
      <c r="C286" s="379" t="s">
        <v>28</v>
      </c>
      <c r="D286" s="379" t="s">
        <v>29</v>
      </c>
      <c r="E286" s="379" t="s">
        <v>223</v>
      </c>
      <c r="F286" s="379" t="s">
        <v>395</v>
      </c>
      <c r="G286" s="379" t="s">
        <v>1229</v>
      </c>
      <c r="H286" s="383">
        <v>1</v>
      </c>
      <c r="I286" s="384">
        <v>1687</v>
      </c>
      <c r="J286" s="382">
        <v>45978</v>
      </c>
      <c r="K286" s="379" t="s">
        <v>957</v>
      </c>
      <c r="L286" s="379" t="s">
        <v>30</v>
      </c>
      <c r="M286" s="385">
        <v>0.43</v>
      </c>
      <c r="N286" s="383"/>
      <c r="O286" s="383">
        <v>44</v>
      </c>
      <c r="P286" s="389">
        <v>-128.12</v>
      </c>
    </row>
    <row r="287" spans="1:16" ht="19.5" customHeight="1">
      <c r="A287" s="379" t="s">
        <v>1288</v>
      </c>
      <c r="B287" s="382">
        <v>45982</v>
      </c>
      <c r="C287" s="379" t="s">
        <v>31</v>
      </c>
      <c r="D287" s="379" t="s">
        <v>32</v>
      </c>
      <c r="E287" s="379" t="s">
        <v>223</v>
      </c>
      <c r="F287" s="379" t="s">
        <v>395</v>
      </c>
      <c r="G287" s="379" t="s">
        <v>1229</v>
      </c>
      <c r="H287" s="383">
        <v>1</v>
      </c>
      <c r="I287" s="384">
        <v>1687</v>
      </c>
      <c r="J287" s="382">
        <v>45978</v>
      </c>
      <c r="K287" s="379" t="s">
        <v>957</v>
      </c>
      <c r="L287" s="379" t="s">
        <v>30</v>
      </c>
      <c r="M287" s="385">
        <v>0</v>
      </c>
      <c r="N287" s="383"/>
      <c r="O287" s="383"/>
      <c r="P287" s="389">
        <v>585.16</v>
      </c>
    </row>
    <row r="288" spans="1:16" ht="19.5" customHeight="1">
      <c r="A288" s="379" t="s">
        <v>1288</v>
      </c>
      <c r="B288" s="382">
        <v>45982</v>
      </c>
      <c r="C288" s="379" t="s">
        <v>31</v>
      </c>
      <c r="D288" s="379" t="s">
        <v>33</v>
      </c>
      <c r="E288" s="379" t="s">
        <v>223</v>
      </c>
      <c r="F288" s="379" t="s">
        <v>395</v>
      </c>
      <c r="G288" s="379" t="s">
        <v>1229</v>
      </c>
      <c r="H288" s="383">
        <v>1</v>
      </c>
      <c r="I288" s="384">
        <v>1687</v>
      </c>
      <c r="J288" s="382">
        <v>45978</v>
      </c>
      <c r="K288" s="379" t="s">
        <v>957</v>
      </c>
      <c r="L288" s="379" t="s">
        <v>30</v>
      </c>
      <c r="M288" s="385">
        <v>0</v>
      </c>
      <c r="N288" s="383"/>
      <c r="O288" s="383"/>
      <c r="P288" s="389">
        <v>5.85</v>
      </c>
    </row>
    <row r="289" spans="1:16" ht="19.5" customHeight="1">
      <c r="A289" s="379" t="s">
        <v>1288</v>
      </c>
      <c r="B289" s="382">
        <v>45982</v>
      </c>
      <c r="C289" s="379" t="s">
        <v>31</v>
      </c>
      <c r="D289" s="379" t="s">
        <v>34</v>
      </c>
      <c r="E289" s="379" t="s">
        <v>223</v>
      </c>
      <c r="F289" s="379" t="s">
        <v>395</v>
      </c>
      <c r="G289" s="379" t="s">
        <v>1229</v>
      </c>
      <c r="H289" s="383">
        <v>1</v>
      </c>
      <c r="I289" s="384">
        <v>1687</v>
      </c>
      <c r="J289" s="382">
        <v>45978</v>
      </c>
      <c r="K289" s="379" t="s">
        <v>957</v>
      </c>
      <c r="L289" s="379" t="s">
        <v>30</v>
      </c>
      <c r="M289" s="385">
        <v>0</v>
      </c>
      <c r="N289" s="383"/>
      <c r="O289" s="383"/>
      <c r="P289" s="389">
        <v>1095.99</v>
      </c>
    </row>
    <row r="290" spans="1:16" ht="19.5" customHeight="1">
      <c r="A290" s="379" t="s">
        <v>1288</v>
      </c>
      <c r="B290" s="382">
        <v>45982</v>
      </c>
      <c r="C290" s="379" t="s">
        <v>35</v>
      </c>
      <c r="D290" s="379" t="s">
        <v>36</v>
      </c>
      <c r="E290" s="379" t="s">
        <v>223</v>
      </c>
      <c r="F290" s="379" t="s">
        <v>395</v>
      </c>
      <c r="G290" s="379" t="s">
        <v>1229</v>
      </c>
      <c r="H290" s="383">
        <v>1</v>
      </c>
      <c r="I290" s="384">
        <v>1687</v>
      </c>
      <c r="J290" s="382">
        <v>45978</v>
      </c>
      <c r="K290" s="379" t="s">
        <v>957</v>
      </c>
      <c r="L290" s="379" t="s">
        <v>30</v>
      </c>
      <c r="M290" s="385">
        <v>0.43</v>
      </c>
      <c r="N290" s="383"/>
      <c r="O290" s="383"/>
      <c r="P290" s="389">
        <v>-725.41</v>
      </c>
    </row>
    <row r="291" spans="1:16" ht="19.5" customHeight="1">
      <c r="A291" s="379" t="s">
        <v>1288</v>
      </c>
      <c r="B291" s="382">
        <v>45982</v>
      </c>
      <c r="C291" s="379" t="s">
        <v>17</v>
      </c>
      <c r="D291" s="379" t="s">
        <v>37</v>
      </c>
      <c r="E291" s="379" t="s">
        <v>223</v>
      </c>
      <c r="F291" s="379" t="s">
        <v>395</v>
      </c>
      <c r="G291" s="379" t="s">
        <v>1229</v>
      </c>
      <c r="H291" s="383">
        <v>1</v>
      </c>
      <c r="I291" s="384">
        <v>1687</v>
      </c>
      <c r="J291" s="382">
        <v>45978</v>
      </c>
      <c r="K291" s="379" t="s">
        <v>957</v>
      </c>
      <c r="L291" s="379" t="s">
        <v>30</v>
      </c>
      <c r="M291" s="385">
        <v>0.43</v>
      </c>
      <c r="N291" s="383"/>
      <c r="O291" s="383"/>
      <c r="P291" s="389">
        <v>-7.11</v>
      </c>
    </row>
    <row r="292" spans="1:16" ht="19.5" customHeight="1">
      <c r="A292" s="379" t="s">
        <v>1289</v>
      </c>
      <c r="B292" s="382">
        <v>45982</v>
      </c>
      <c r="C292" s="379" t="s">
        <v>28</v>
      </c>
      <c r="D292" s="379" t="s">
        <v>29</v>
      </c>
      <c r="E292" s="379" t="s">
        <v>25</v>
      </c>
      <c r="F292" s="379" t="s">
        <v>26</v>
      </c>
      <c r="G292" s="379" t="s">
        <v>1229</v>
      </c>
      <c r="H292" s="383">
        <v>1</v>
      </c>
      <c r="I292" s="384">
        <v>1117</v>
      </c>
      <c r="J292" s="382">
        <v>45981</v>
      </c>
      <c r="K292" s="379" t="s">
        <v>957</v>
      </c>
      <c r="L292" s="379" t="s">
        <v>30</v>
      </c>
      <c r="M292" s="385">
        <v>0.43</v>
      </c>
      <c r="N292" s="383"/>
      <c r="O292" s="383">
        <v>44</v>
      </c>
      <c r="P292" s="389">
        <v>-110.17</v>
      </c>
    </row>
    <row r="293" spans="1:16" ht="19.5" customHeight="1">
      <c r="A293" s="379" t="s">
        <v>1289</v>
      </c>
      <c r="B293" s="382">
        <v>45982</v>
      </c>
      <c r="C293" s="379" t="s">
        <v>31</v>
      </c>
      <c r="D293" s="379" t="s">
        <v>32</v>
      </c>
      <c r="E293" s="379" t="s">
        <v>25</v>
      </c>
      <c r="F293" s="379" t="s">
        <v>26</v>
      </c>
      <c r="G293" s="379" t="s">
        <v>1229</v>
      </c>
      <c r="H293" s="383">
        <v>1</v>
      </c>
      <c r="I293" s="384">
        <v>1117</v>
      </c>
      <c r="J293" s="382">
        <v>45981</v>
      </c>
      <c r="K293" s="379" t="s">
        <v>957</v>
      </c>
      <c r="L293" s="379" t="s">
        <v>30</v>
      </c>
      <c r="M293" s="385">
        <v>0</v>
      </c>
      <c r="N293" s="383"/>
      <c r="O293" s="383"/>
      <c r="P293" s="389">
        <v>491.67</v>
      </c>
    </row>
    <row r="294" spans="1:16" ht="19.5" customHeight="1">
      <c r="A294" s="379" t="s">
        <v>1289</v>
      </c>
      <c r="B294" s="382">
        <v>45982</v>
      </c>
      <c r="C294" s="379" t="s">
        <v>31</v>
      </c>
      <c r="D294" s="379" t="s">
        <v>33</v>
      </c>
      <c r="E294" s="379" t="s">
        <v>25</v>
      </c>
      <c r="F294" s="379" t="s">
        <v>26</v>
      </c>
      <c r="G294" s="379" t="s">
        <v>1229</v>
      </c>
      <c r="H294" s="383">
        <v>1</v>
      </c>
      <c r="I294" s="384">
        <v>1117</v>
      </c>
      <c r="J294" s="382">
        <v>45981</v>
      </c>
      <c r="K294" s="379" t="s">
        <v>957</v>
      </c>
      <c r="L294" s="379" t="s">
        <v>30</v>
      </c>
      <c r="M294" s="385">
        <v>0</v>
      </c>
      <c r="N294" s="383"/>
      <c r="O294" s="383"/>
      <c r="P294" s="389">
        <v>4.92</v>
      </c>
    </row>
    <row r="295" spans="1:16" ht="19.5" customHeight="1">
      <c r="A295" s="379" t="s">
        <v>1289</v>
      </c>
      <c r="B295" s="382">
        <v>45982</v>
      </c>
      <c r="C295" s="379" t="s">
        <v>31</v>
      </c>
      <c r="D295" s="379" t="s">
        <v>34</v>
      </c>
      <c r="E295" s="379" t="s">
        <v>25</v>
      </c>
      <c r="F295" s="379" t="s">
        <v>26</v>
      </c>
      <c r="G295" s="379" t="s">
        <v>1229</v>
      </c>
      <c r="H295" s="383">
        <v>1</v>
      </c>
      <c r="I295" s="384">
        <v>1117</v>
      </c>
      <c r="J295" s="382">
        <v>45981</v>
      </c>
      <c r="K295" s="379" t="s">
        <v>957</v>
      </c>
      <c r="L295" s="379" t="s">
        <v>30</v>
      </c>
      <c r="M295" s="385">
        <v>0</v>
      </c>
      <c r="N295" s="383"/>
      <c r="O295" s="383"/>
      <c r="P295" s="389">
        <v>620.41</v>
      </c>
    </row>
    <row r="296" spans="1:16" ht="19.5" customHeight="1">
      <c r="A296" s="379" t="s">
        <v>1289</v>
      </c>
      <c r="B296" s="382">
        <v>45982</v>
      </c>
      <c r="C296" s="379" t="s">
        <v>35</v>
      </c>
      <c r="D296" s="379" t="s">
        <v>36</v>
      </c>
      <c r="E296" s="379" t="s">
        <v>25</v>
      </c>
      <c r="F296" s="379" t="s">
        <v>26</v>
      </c>
      <c r="G296" s="379" t="s">
        <v>1229</v>
      </c>
      <c r="H296" s="383">
        <v>1</v>
      </c>
      <c r="I296" s="384">
        <v>1117</v>
      </c>
      <c r="J296" s="382">
        <v>45981</v>
      </c>
      <c r="K296" s="379" t="s">
        <v>957</v>
      </c>
      <c r="L296" s="379" t="s">
        <v>30</v>
      </c>
      <c r="M296" s="385">
        <v>0.43</v>
      </c>
      <c r="N296" s="383"/>
      <c r="O296" s="383"/>
      <c r="P296" s="389">
        <v>-480.31</v>
      </c>
    </row>
    <row r="297" spans="1:16" ht="19.5" customHeight="1">
      <c r="A297" s="379" t="s">
        <v>1290</v>
      </c>
      <c r="B297" s="382">
        <v>45982</v>
      </c>
      <c r="C297" s="379" t="s">
        <v>28</v>
      </c>
      <c r="D297" s="379" t="s">
        <v>29</v>
      </c>
      <c r="E297" s="379" t="s">
        <v>223</v>
      </c>
      <c r="F297" s="379" t="s">
        <v>395</v>
      </c>
      <c r="G297" s="379" t="s">
        <v>1229</v>
      </c>
      <c r="H297" s="383">
        <v>1</v>
      </c>
      <c r="I297" s="384">
        <v>0</v>
      </c>
      <c r="J297" s="382">
        <v>45978</v>
      </c>
      <c r="K297" s="379" t="s">
        <v>957</v>
      </c>
      <c r="L297" s="379" t="s">
        <v>30</v>
      </c>
      <c r="M297" s="385">
        <v>0</v>
      </c>
      <c r="N297" s="383"/>
      <c r="O297" s="383">
        <v>44</v>
      </c>
      <c r="P297" s="389">
        <v>-46</v>
      </c>
    </row>
    <row r="298" spans="1:16" ht="19.5" customHeight="1">
      <c r="A298" s="379" t="s">
        <v>1290</v>
      </c>
      <c r="B298" s="382">
        <v>45982</v>
      </c>
      <c r="C298" s="379" t="s">
        <v>17</v>
      </c>
      <c r="D298" s="379" t="s">
        <v>37</v>
      </c>
      <c r="E298" s="379" t="s">
        <v>223</v>
      </c>
      <c r="F298" s="379" t="s">
        <v>395</v>
      </c>
      <c r="G298" s="379" t="s">
        <v>1229</v>
      </c>
      <c r="H298" s="383">
        <v>1</v>
      </c>
      <c r="I298" s="384">
        <v>0</v>
      </c>
      <c r="J298" s="382">
        <v>45978</v>
      </c>
      <c r="K298" s="379" t="s">
        <v>957</v>
      </c>
      <c r="L298" s="379" t="s">
        <v>30</v>
      </c>
      <c r="M298" s="385">
        <v>0</v>
      </c>
      <c r="N298" s="383"/>
      <c r="O298" s="383"/>
      <c r="P298" s="389">
        <v>-25</v>
      </c>
    </row>
    <row r="299" spans="1:16" ht="19.5" customHeight="1">
      <c r="A299" s="379" t="s">
        <v>1291</v>
      </c>
      <c r="B299" s="382">
        <v>45982</v>
      </c>
      <c r="C299" s="379" t="s">
        <v>28</v>
      </c>
      <c r="D299" s="379" t="s">
        <v>29</v>
      </c>
      <c r="E299" s="379" t="s">
        <v>223</v>
      </c>
      <c r="F299" s="379" t="s">
        <v>395</v>
      </c>
      <c r="G299" s="379" t="s">
        <v>1229</v>
      </c>
      <c r="H299" s="383">
        <v>1</v>
      </c>
      <c r="I299" s="384">
        <v>1687</v>
      </c>
      <c r="J299" s="382">
        <v>45980</v>
      </c>
      <c r="K299" s="379" t="s">
        <v>957</v>
      </c>
      <c r="L299" s="379" t="s">
        <v>30</v>
      </c>
      <c r="M299" s="385">
        <v>0.43</v>
      </c>
      <c r="N299" s="383"/>
      <c r="O299" s="383">
        <v>45</v>
      </c>
      <c r="P299" s="389">
        <v>-132.03</v>
      </c>
    </row>
    <row r="300" spans="1:16" ht="19.5" customHeight="1">
      <c r="A300" s="379" t="s">
        <v>1291</v>
      </c>
      <c r="B300" s="382">
        <v>45982</v>
      </c>
      <c r="C300" s="379" t="s">
        <v>31</v>
      </c>
      <c r="D300" s="379" t="s">
        <v>32</v>
      </c>
      <c r="E300" s="379" t="s">
        <v>223</v>
      </c>
      <c r="F300" s="379" t="s">
        <v>395</v>
      </c>
      <c r="G300" s="379" t="s">
        <v>1229</v>
      </c>
      <c r="H300" s="383">
        <v>1</v>
      </c>
      <c r="I300" s="384">
        <v>1687</v>
      </c>
      <c r="J300" s="382">
        <v>45980</v>
      </c>
      <c r="K300" s="379" t="s">
        <v>957</v>
      </c>
      <c r="L300" s="379" t="s">
        <v>30</v>
      </c>
      <c r="M300" s="385">
        <v>0</v>
      </c>
      <c r="N300" s="383"/>
      <c r="O300" s="383"/>
      <c r="P300" s="389">
        <v>619.04999999999995</v>
      </c>
    </row>
    <row r="301" spans="1:16" ht="19.5" customHeight="1">
      <c r="A301" s="379" t="s">
        <v>1291</v>
      </c>
      <c r="B301" s="382">
        <v>45982</v>
      </c>
      <c r="C301" s="379" t="s">
        <v>31</v>
      </c>
      <c r="D301" s="379" t="s">
        <v>33</v>
      </c>
      <c r="E301" s="379" t="s">
        <v>223</v>
      </c>
      <c r="F301" s="379" t="s">
        <v>395</v>
      </c>
      <c r="G301" s="379" t="s">
        <v>1229</v>
      </c>
      <c r="H301" s="383">
        <v>1</v>
      </c>
      <c r="I301" s="384">
        <v>1687</v>
      </c>
      <c r="J301" s="382">
        <v>45980</v>
      </c>
      <c r="K301" s="379" t="s">
        <v>957</v>
      </c>
      <c r="L301" s="379" t="s">
        <v>30</v>
      </c>
      <c r="M301" s="385">
        <v>0</v>
      </c>
      <c r="N301" s="383"/>
      <c r="O301" s="383"/>
      <c r="P301" s="389">
        <v>6.19</v>
      </c>
    </row>
    <row r="302" spans="1:16" ht="19.5" customHeight="1">
      <c r="A302" s="379" t="s">
        <v>1291</v>
      </c>
      <c r="B302" s="382">
        <v>45982</v>
      </c>
      <c r="C302" s="379" t="s">
        <v>31</v>
      </c>
      <c r="D302" s="379" t="s">
        <v>34</v>
      </c>
      <c r="E302" s="379" t="s">
        <v>223</v>
      </c>
      <c r="F302" s="379" t="s">
        <v>395</v>
      </c>
      <c r="G302" s="379" t="s">
        <v>1229</v>
      </c>
      <c r="H302" s="383">
        <v>1</v>
      </c>
      <c r="I302" s="384">
        <v>1687</v>
      </c>
      <c r="J302" s="382">
        <v>45980</v>
      </c>
      <c r="K302" s="379" t="s">
        <v>957</v>
      </c>
      <c r="L302" s="379" t="s">
        <v>30</v>
      </c>
      <c r="M302" s="385">
        <v>0</v>
      </c>
      <c r="N302" s="383"/>
      <c r="O302" s="383"/>
      <c r="P302" s="389">
        <v>1061.76</v>
      </c>
    </row>
    <row r="303" spans="1:16" ht="19.5" customHeight="1">
      <c r="A303" s="379" t="s">
        <v>1291</v>
      </c>
      <c r="B303" s="382">
        <v>45982</v>
      </c>
      <c r="C303" s="379" t="s">
        <v>35</v>
      </c>
      <c r="D303" s="379" t="s">
        <v>36</v>
      </c>
      <c r="E303" s="379" t="s">
        <v>223</v>
      </c>
      <c r="F303" s="379" t="s">
        <v>395</v>
      </c>
      <c r="G303" s="379" t="s">
        <v>1229</v>
      </c>
      <c r="H303" s="383">
        <v>1</v>
      </c>
      <c r="I303" s="384">
        <v>1687</v>
      </c>
      <c r="J303" s="382">
        <v>45980</v>
      </c>
      <c r="K303" s="379" t="s">
        <v>957</v>
      </c>
      <c r="L303" s="379" t="s">
        <v>30</v>
      </c>
      <c r="M303" s="385">
        <v>0.43</v>
      </c>
      <c r="N303" s="383"/>
      <c r="O303" s="383"/>
      <c r="P303" s="389">
        <v>-725.41</v>
      </c>
    </row>
    <row r="304" spans="1:16" ht="19.5" customHeight="1">
      <c r="A304" s="379" t="s">
        <v>1291</v>
      </c>
      <c r="B304" s="382">
        <v>45982</v>
      </c>
      <c r="C304" s="379" t="s">
        <v>17</v>
      </c>
      <c r="D304" s="379" t="s">
        <v>37</v>
      </c>
      <c r="E304" s="379" t="s">
        <v>223</v>
      </c>
      <c r="F304" s="379" t="s">
        <v>395</v>
      </c>
      <c r="G304" s="379" t="s">
        <v>1229</v>
      </c>
      <c r="H304" s="383">
        <v>1</v>
      </c>
      <c r="I304" s="384">
        <v>1687</v>
      </c>
      <c r="J304" s="382">
        <v>45980</v>
      </c>
      <c r="K304" s="379" t="s">
        <v>957</v>
      </c>
      <c r="L304" s="379" t="s">
        <v>30</v>
      </c>
      <c r="M304" s="385">
        <v>0.43</v>
      </c>
      <c r="N304" s="383"/>
      <c r="O304" s="383"/>
      <c r="P304" s="389">
        <v>-10.38</v>
      </c>
    </row>
    <row r="305" spans="1:16" ht="19.5" customHeight="1">
      <c r="A305" s="379" t="s">
        <v>1290</v>
      </c>
      <c r="B305" s="382">
        <v>45982</v>
      </c>
      <c r="C305" s="379" t="s">
        <v>28</v>
      </c>
      <c r="D305" s="379" t="s">
        <v>45</v>
      </c>
      <c r="E305" s="379" t="s">
        <v>223</v>
      </c>
      <c r="F305" s="379" t="s">
        <v>395</v>
      </c>
      <c r="G305" s="379" t="s">
        <v>1229</v>
      </c>
      <c r="H305" s="383">
        <v>1</v>
      </c>
      <c r="I305" s="384">
        <v>0</v>
      </c>
      <c r="J305" s="382">
        <v>45978</v>
      </c>
      <c r="K305" s="379" t="s">
        <v>957</v>
      </c>
      <c r="L305" s="379" t="s">
        <v>30</v>
      </c>
      <c r="M305" s="385">
        <v>0</v>
      </c>
      <c r="N305" s="383"/>
      <c r="O305" s="383"/>
      <c r="P305" s="389">
        <v>0</v>
      </c>
    </row>
    <row r="306" spans="1:16" ht="19.5" customHeight="1">
      <c r="A306" s="379" t="s">
        <v>1290</v>
      </c>
      <c r="B306" s="382">
        <v>45982</v>
      </c>
      <c r="C306" s="379" t="s">
        <v>28</v>
      </c>
      <c r="D306" s="379" t="s">
        <v>46</v>
      </c>
      <c r="E306" s="379" t="s">
        <v>223</v>
      </c>
      <c r="F306" s="379" t="s">
        <v>395</v>
      </c>
      <c r="G306" s="379" t="s">
        <v>1229</v>
      </c>
      <c r="H306" s="383">
        <v>1</v>
      </c>
      <c r="I306" s="384">
        <v>0</v>
      </c>
      <c r="J306" s="382">
        <v>45978</v>
      </c>
      <c r="K306" s="379" t="s">
        <v>957</v>
      </c>
      <c r="L306" s="379" t="s">
        <v>30</v>
      </c>
      <c r="M306" s="385">
        <v>0</v>
      </c>
      <c r="N306" s="383"/>
      <c r="O306" s="383"/>
      <c r="P306" s="389">
        <v>-46</v>
      </c>
    </row>
    <row r="307" spans="1:16" ht="19.5" customHeight="1">
      <c r="A307" s="379" t="s">
        <v>1290</v>
      </c>
      <c r="B307" s="382">
        <v>45982</v>
      </c>
      <c r="C307" s="379" t="s">
        <v>17</v>
      </c>
      <c r="D307" s="379" t="s">
        <v>47</v>
      </c>
      <c r="E307" s="379" t="s">
        <v>223</v>
      </c>
      <c r="F307" s="379" t="s">
        <v>395</v>
      </c>
      <c r="G307" s="379" t="s">
        <v>1229</v>
      </c>
      <c r="H307" s="383">
        <v>1</v>
      </c>
      <c r="I307" s="384">
        <v>0</v>
      </c>
      <c r="J307" s="382">
        <v>45978</v>
      </c>
      <c r="K307" s="379" t="s">
        <v>957</v>
      </c>
      <c r="L307" s="379" t="s">
        <v>30</v>
      </c>
      <c r="M307" s="385">
        <v>0</v>
      </c>
      <c r="N307" s="383"/>
      <c r="O307" s="383"/>
      <c r="P307" s="389">
        <v>-15</v>
      </c>
    </row>
    <row r="308" spans="1:16" ht="19.5" customHeight="1">
      <c r="A308" s="379" t="s">
        <v>1292</v>
      </c>
      <c r="B308" s="382">
        <v>45982</v>
      </c>
      <c r="C308" s="379" t="s">
        <v>28</v>
      </c>
      <c r="D308" s="379" t="s">
        <v>29</v>
      </c>
      <c r="E308" s="379" t="s">
        <v>25</v>
      </c>
      <c r="F308" s="379" t="s">
        <v>26</v>
      </c>
      <c r="G308" s="379" t="s">
        <v>1229</v>
      </c>
      <c r="H308" s="383">
        <v>1</v>
      </c>
      <c r="I308" s="384">
        <v>1117</v>
      </c>
      <c r="J308" s="382">
        <v>45980</v>
      </c>
      <c r="K308" s="379" t="s">
        <v>957</v>
      </c>
      <c r="L308" s="379" t="s">
        <v>30</v>
      </c>
      <c r="M308" s="385">
        <v>0.43</v>
      </c>
      <c r="N308" s="383"/>
      <c r="O308" s="383">
        <v>45</v>
      </c>
      <c r="P308" s="389">
        <v>-113.22</v>
      </c>
    </row>
    <row r="309" spans="1:16" ht="19.5" customHeight="1">
      <c r="A309" s="379" t="s">
        <v>1292</v>
      </c>
      <c r="B309" s="382">
        <v>45982</v>
      </c>
      <c r="C309" s="379" t="s">
        <v>31</v>
      </c>
      <c r="D309" s="379" t="s">
        <v>32</v>
      </c>
      <c r="E309" s="379" t="s">
        <v>25</v>
      </c>
      <c r="F309" s="379" t="s">
        <v>26</v>
      </c>
      <c r="G309" s="379" t="s">
        <v>1229</v>
      </c>
      <c r="H309" s="383">
        <v>1</v>
      </c>
      <c r="I309" s="384">
        <v>1117</v>
      </c>
      <c r="J309" s="382">
        <v>45980</v>
      </c>
      <c r="K309" s="379" t="s">
        <v>957</v>
      </c>
      <c r="L309" s="379" t="s">
        <v>30</v>
      </c>
      <c r="M309" s="385">
        <v>0</v>
      </c>
      <c r="N309" s="383"/>
      <c r="O309" s="383"/>
      <c r="P309" s="389">
        <v>389.52</v>
      </c>
    </row>
    <row r="310" spans="1:16" ht="19.5" customHeight="1">
      <c r="A310" s="379" t="s">
        <v>1292</v>
      </c>
      <c r="B310" s="382">
        <v>45982</v>
      </c>
      <c r="C310" s="379" t="s">
        <v>31</v>
      </c>
      <c r="D310" s="379" t="s">
        <v>33</v>
      </c>
      <c r="E310" s="379" t="s">
        <v>25</v>
      </c>
      <c r="F310" s="379" t="s">
        <v>26</v>
      </c>
      <c r="G310" s="379" t="s">
        <v>1229</v>
      </c>
      <c r="H310" s="383">
        <v>1</v>
      </c>
      <c r="I310" s="384">
        <v>1117</v>
      </c>
      <c r="J310" s="382">
        <v>45980</v>
      </c>
      <c r="K310" s="379" t="s">
        <v>957</v>
      </c>
      <c r="L310" s="379" t="s">
        <v>30</v>
      </c>
      <c r="M310" s="385">
        <v>0</v>
      </c>
      <c r="N310" s="383"/>
      <c r="O310" s="383"/>
      <c r="P310" s="389">
        <v>3.9</v>
      </c>
    </row>
    <row r="311" spans="1:16" ht="19.5" customHeight="1">
      <c r="A311" s="379" t="s">
        <v>1292</v>
      </c>
      <c r="B311" s="382">
        <v>45982</v>
      </c>
      <c r="C311" s="379" t="s">
        <v>31</v>
      </c>
      <c r="D311" s="379" t="s">
        <v>34</v>
      </c>
      <c r="E311" s="379" t="s">
        <v>25</v>
      </c>
      <c r="F311" s="379" t="s">
        <v>26</v>
      </c>
      <c r="G311" s="379" t="s">
        <v>1229</v>
      </c>
      <c r="H311" s="383">
        <v>1</v>
      </c>
      <c r="I311" s="384">
        <v>1117</v>
      </c>
      <c r="J311" s="382">
        <v>45980</v>
      </c>
      <c r="K311" s="379" t="s">
        <v>957</v>
      </c>
      <c r="L311" s="379" t="s">
        <v>30</v>
      </c>
      <c r="M311" s="385">
        <v>0</v>
      </c>
      <c r="N311" s="383"/>
      <c r="O311" s="383"/>
      <c r="P311" s="389">
        <v>723.58</v>
      </c>
    </row>
    <row r="312" spans="1:16" ht="19.5" customHeight="1">
      <c r="A312" s="379" t="s">
        <v>1292</v>
      </c>
      <c r="B312" s="382">
        <v>45982</v>
      </c>
      <c r="C312" s="379" t="s">
        <v>35</v>
      </c>
      <c r="D312" s="379" t="s">
        <v>36</v>
      </c>
      <c r="E312" s="379" t="s">
        <v>25</v>
      </c>
      <c r="F312" s="379" t="s">
        <v>26</v>
      </c>
      <c r="G312" s="379" t="s">
        <v>1229</v>
      </c>
      <c r="H312" s="383">
        <v>1</v>
      </c>
      <c r="I312" s="384">
        <v>1117</v>
      </c>
      <c r="J312" s="382">
        <v>45980</v>
      </c>
      <c r="K312" s="379" t="s">
        <v>957</v>
      </c>
      <c r="L312" s="379" t="s">
        <v>30</v>
      </c>
      <c r="M312" s="385">
        <v>0.43</v>
      </c>
      <c r="N312" s="383"/>
      <c r="O312" s="383"/>
      <c r="P312" s="389">
        <v>-480.31</v>
      </c>
    </row>
    <row r="313" spans="1:16" ht="19.5" customHeight="1">
      <c r="A313" s="379" t="s">
        <v>1292</v>
      </c>
      <c r="B313" s="382">
        <v>45982</v>
      </c>
      <c r="C313" s="379" t="s">
        <v>17</v>
      </c>
      <c r="D313" s="379" t="s">
        <v>37</v>
      </c>
      <c r="E313" s="379" t="s">
        <v>25</v>
      </c>
      <c r="F313" s="379" t="s">
        <v>26</v>
      </c>
      <c r="G313" s="379" t="s">
        <v>1229</v>
      </c>
      <c r="H313" s="383">
        <v>1</v>
      </c>
      <c r="I313" s="384">
        <v>1117</v>
      </c>
      <c r="J313" s="382">
        <v>45980</v>
      </c>
      <c r="K313" s="379" t="s">
        <v>957</v>
      </c>
      <c r="L313" s="379" t="s">
        <v>30</v>
      </c>
      <c r="M313" s="385">
        <v>0.43</v>
      </c>
      <c r="N313" s="383"/>
      <c r="O313" s="383"/>
      <c r="P313" s="389">
        <v>-6.49</v>
      </c>
    </row>
    <row r="314" spans="1:16" ht="19.5" customHeight="1">
      <c r="A314" s="379" t="s">
        <v>1292</v>
      </c>
      <c r="B314" s="382">
        <v>45982</v>
      </c>
      <c r="C314" s="379" t="s">
        <v>17</v>
      </c>
      <c r="D314" s="379" t="s">
        <v>18</v>
      </c>
      <c r="E314" s="379" t="s">
        <v>25</v>
      </c>
      <c r="F314" s="379" t="s">
        <v>26</v>
      </c>
      <c r="G314" s="379" t="s">
        <v>1229</v>
      </c>
      <c r="H314" s="383">
        <v>1</v>
      </c>
      <c r="I314" s="384">
        <v>0</v>
      </c>
      <c r="J314" s="382">
        <v>45980</v>
      </c>
      <c r="K314" s="379" t="s">
        <v>22</v>
      </c>
      <c r="L314" s="379" t="s">
        <v>22</v>
      </c>
      <c r="M314" s="385">
        <v>0</v>
      </c>
      <c r="N314" s="383"/>
      <c r="O314" s="383"/>
      <c r="P314" s="389">
        <v>-7.4</v>
      </c>
    </row>
    <row r="315" spans="1:16" ht="19.5" customHeight="1">
      <c r="A315" s="379" t="s">
        <v>1293</v>
      </c>
      <c r="B315" s="382">
        <v>45982</v>
      </c>
      <c r="C315" s="379" t="s">
        <v>28</v>
      </c>
      <c r="D315" s="379" t="s">
        <v>29</v>
      </c>
      <c r="E315" s="379" t="s">
        <v>223</v>
      </c>
      <c r="F315" s="379" t="s">
        <v>395</v>
      </c>
      <c r="G315" s="379" t="s">
        <v>1229</v>
      </c>
      <c r="H315" s="383">
        <v>1</v>
      </c>
      <c r="I315" s="384">
        <v>0</v>
      </c>
      <c r="J315" s="382">
        <v>45977</v>
      </c>
      <c r="K315" s="379" t="s">
        <v>957</v>
      </c>
      <c r="L315" s="379" t="s">
        <v>30</v>
      </c>
      <c r="M315" s="385">
        <v>0</v>
      </c>
      <c r="N315" s="383"/>
      <c r="O315" s="383">
        <v>43</v>
      </c>
      <c r="P315" s="389">
        <v>-46</v>
      </c>
    </row>
    <row r="316" spans="1:16" ht="19.5" customHeight="1">
      <c r="A316" s="379" t="s">
        <v>1293</v>
      </c>
      <c r="B316" s="382">
        <v>45982</v>
      </c>
      <c r="C316" s="379" t="s">
        <v>17</v>
      </c>
      <c r="D316" s="379" t="s">
        <v>37</v>
      </c>
      <c r="E316" s="379" t="s">
        <v>223</v>
      </c>
      <c r="F316" s="379" t="s">
        <v>395</v>
      </c>
      <c r="G316" s="379" t="s">
        <v>1229</v>
      </c>
      <c r="H316" s="383">
        <v>1</v>
      </c>
      <c r="I316" s="384">
        <v>0</v>
      </c>
      <c r="J316" s="382">
        <v>45977</v>
      </c>
      <c r="K316" s="379" t="s">
        <v>957</v>
      </c>
      <c r="L316" s="379" t="s">
        <v>30</v>
      </c>
      <c r="M316" s="385">
        <v>0</v>
      </c>
      <c r="N316" s="383"/>
      <c r="O316" s="383"/>
      <c r="P316" s="389">
        <v>-17.579999999999998</v>
      </c>
    </row>
    <row r="317" spans="1:16" ht="19.5" customHeight="1">
      <c r="A317" s="379" t="s">
        <v>1293</v>
      </c>
      <c r="B317" s="382">
        <v>45982</v>
      </c>
      <c r="C317" s="379" t="s">
        <v>28</v>
      </c>
      <c r="D317" s="379" t="s">
        <v>45</v>
      </c>
      <c r="E317" s="379" t="s">
        <v>223</v>
      </c>
      <c r="F317" s="379" t="s">
        <v>395</v>
      </c>
      <c r="G317" s="379" t="s">
        <v>1229</v>
      </c>
      <c r="H317" s="383">
        <v>1</v>
      </c>
      <c r="I317" s="384">
        <v>0</v>
      </c>
      <c r="J317" s="382">
        <v>45977</v>
      </c>
      <c r="K317" s="379" t="s">
        <v>957</v>
      </c>
      <c r="L317" s="379" t="s">
        <v>30</v>
      </c>
      <c r="M317" s="385">
        <v>0</v>
      </c>
      <c r="N317" s="383"/>
      <c r="O317" s="383"/>
      <c r="P317" s="389">
        <v>0</v>
      </c>
    </row>
    <row r="318" spans="1:16" ht="19.5" customHeight="1">
      <c r="A318" s="379" t="s">
        <v>1293</v>
      </c>
      <c r="B318" s="382">
        <v>45982</v>
      </c>
      <c r="C318" s="379" t="s">
        <v>28</v>
      </c>
      <c r="D318" s="379" t="s">
        <v>46</v>
      </c>
      <c r="E318" s="379" t="s">
        <v>223</v>
      </c>
      <c r="F318" s="379" t="s">
        <v>395</v>
      </c>
      <c r="G318" s="379" t="s">
        <v>1229</v>
      </c>
      <c r="H318" s="383">
        <v>1</v>
      </c>
      <c r="I318" s="384">
        <v>0</v>
      </c>
      <c r="J318" s="382">
        <v>45977</v>
      </c>
      <c r="K318" s="379" t="s">
        <v>957</v>
      </c>
      <c r="L318" s="379" t="s">
        <v>30</v>
      </c>
      <c r="M318" s="385">
        <v>0</v>
      </c>
      <c r="N318" s="383"/>
      <c r="O318" s="383"/>
      <c r="P318" s="389">
        <v>-46</v>
      </c>
    </row>
    <row r="319" spans="1:16" ht="19.5" customHeight="1">
      <c r="A319" s="379" t="s">
        <v>1293</v>
      </c>
      <c r="B319" s="382">
        <v>45982</v>
      </c>
      <c r="C319" s="379" t="s">
        <v>17</v>
      </c>
      <c r="D319" s="379" t="s">
        <v>47</v>
      </c>
      <c r="E319" s="379" t="s">
        <v>223</v>
      </c>
      <c r="F319" s="379" t="s">
        <v>395</v>
      </c>
      <c r="G319" s="379" t="s">
        <v>1229</v>
      </c>
      <c r="H319" s="383">
        <v>1</v>
      </c>
      <c r="I319" s="384">
        <v>0</v>
      </c>
      <c r="J319" s="382">
        <v>45977</v>
      </c>
      <c r="K319" s="379" t="s">
        <v>957</v>
      </c>
      <c r="L319" s="379" t="s">
        <v>30</v>
      </c>
      <c r="M319" s="385">
        <v>0</v>
      </c>
      <c r="N319" s="383"/>
      <c r="O319" s="383"/>
      <c r="P319" s="389">
        <v>-15</v>
      </c>
    </row>
    <row r="320" spans="1:16" ht="19.5" customHeight="1">
      <c r="A320" s="379" t="s">
        <v>1294</v>
      </c>
      <c r="B320" s="382">
        <v>45982</v>
      </c>
      <c r="C320" s="379" t="s">
        <v>17</v>
      </c>
      <c r="D320" s="379" t="s">
        <v>18</v>
      </c>
      <c r="E320" s="379" t="s">
        <v>25</v>
      </c>
      <c r="F320" s="379" t="s">
        <v>26</v>
      </c>
      <c r="G320" s="379" t="s">
        <v>1229</v>
      </c>
      <c r="H320" s="383">
        <v>1</v>
      </c>
      <c r="I320" s="384">
        <v>0</v>
      </c>
      <c r="J320" s="382">
        <v>45982</v>
      </c>
      <c r="K320" s="379" t="s">
        <v>22</v>
      </c>
      <c r="L320" s="379" t="s">
        <v>22</v>
      </c>
      <c r="M320" s="385">
        <v>0</v>
      </c>
      <c r="N320" s="383"/>
      <c r="O320" s="383"/>
      <c r="P320" s="389">
        <v>-16.649999999999999</v>
      </c>
    </row>
    <row r="321" spans="1:16" ht="19.5" customHeight="1">
      <c r="A321" s="379" t="s">
        <v>22</v>
      </c>
      <c r="B321" s="382">
        <v>45982</v>
      </c>
      <c r="C321" s="379" t="s">
        <v>77</v>
      </c>
      <c r="D321" s="379" t="s">
        <v>78</v>
      </c>
      <c r="E321" s="379" t="s">
        <v>22</v>
      </c>
      <c r="F321" s="379" t="s">
        <v>22</v>
      </c>
      <c r="G321" s="379" t="s">
        <v>1295</v>
      </c>
      <c r="H321" s="383">
        <v>0</v>
      </c>
      <c r="I321" s="384">
        <v>0</v>
      </c>
      <c r="J321" s="382">
        <v>45982</v>
      </c>
      <c r="K321" s="379" t="s">
        <v>22</v>
      </c>
      <c r="L321" s="379" t="s">
        <v>22</v>
      </c>
      <c r="M321" s="385">
        <v>0</v>
      </c>
      <c r="N321" s="383"/>
      <c r="O321" s="383"/>
      <c r="P321" s="389">
        <v>-450</v>
      </c>
    </row>
    <row r="322" spans="1:16" ht="19.5" customHeight="1">
      <c r="A322" s="379" t="s">
        <v>1296</v>
      </c>
      <c r="B322" s="382">
        <v>45982</v>
      </c>
      <c r="C322" s="379" t="s">
        <v>28</v>
      </c>
      <c r="D322" s="379" t="s">
        <v>45</v>
      </c>
      <c r="E322" s="379" t="s">
        <v>1054</v>
      </c>
      <c r="F322" s="379" t="s">
        <v>1297</v>
      </c>
      <c r="G322" s="379" t="s">
        <v>1298</v>
      </c>
      <c r="H322" s="383">
        <v>1</v>
      </c>
      <c r="I322" s="384">
        <v>0</v>
      </c>
      <c r="J322" s="382">
        <v>45978</v>
      </c>
      <c r="K322" s="379" t="s">
        <v>957</v>
      </c>
      <c r="L322" s="379" t="s">
        <v>30</v>
      </c>
      <c r="M322" s="385">
        <v>0</v>
      </c>
      <c r="N322" s="383"/>
      <c r="O322" s="383"/>
      <c r="P322" s="389">
        <v>0</v>
      </c>
    </row>
    <row r="323" spans="1:16" ht="19.5" customHeight="1">
      <c r="A323" s="379" t="s">
        <v>1296</v>
      </c>
      <c r="B323" s="382">
        <v>45982</v>
      </c>
      <c r="C323" s="379" t="s">
        <v>28</v>
      </c>
      <c r="D323" s="379" t="s">
        <v>46</v>
      </c>
      <c r="E323" s="379" t="s">
        <v>1054</v>
      </c>
      <c r="F323" s="379" t="s">
        <v>1297</v>
      </c>
      <c r="G323" s="379" t="s">
        <v>1298</v>
      </c>
      <c r="H323" s="383">
        <v>1</v>
      </c>
      <c r="I323" s="384">
        <v>0</v>
      </c>
      <c r="J323" s="382">
        <v>45978</v>
      </c>
      <c r="K323" s="379" t="s">
        <v>957</v>
      </c>
      <c r="L323" s="379" t="s">
        <v>30</v>
      </c>
      <c r="M323" s="385">
        <v>0</v>
      </c>
      <c r="N323" s="383"/>
      <c r="O323" s="383"/>
      <c r="P323" s="389">
        <v>-46</v>
      </c>
    </row>
    <row r="324" spans="1:16" ht="19.5" customHeight="1">
      <c r="A324" s="379" t="s">
        <v>1296</v>
      </c>
      <c r="B324" s="382">
        <v>45982</v>
      </c>
      <c r="C324" s="379" t="s">
        <v>17</v>
      </c>
      <c r="D324" s="379" t="s">
        <v>47</v>
      </c>
      <c r="E324" s="379" t="s">
        <v>1054</v>
      </c>
      <c r="F324" s="379" t="s">
        <v>1297</v>
      </c>
      <c r="G324" s="379" t="s">
        <v>1298</v>
      </c>
      <c r="H324" s="383">
        <v>1</v>
      </c>
      <c r="I324" s="384">
        <v>0</v>
      </c>
      <c r="J324" s="382">
        <v>45978</v>
      </c>
      <c r="K324" s="379" t="s">
        <v>957</v>
      </c>
      <c r="L324" s="379" t="s">
        <v>30</v>
      </c>
      <c r="M324" s="385">
        <v>0</v>
      </c>
      <c r="N324" s="383"/>
      <c r="O324" s="383"/>
      <c r="P324" s="389">
        <v>-15</v>
      </c>
    </row>
    <row r="325" spans="1:16" ht="19.5" customHeight="1">
      <c r="A325" s="379" t="s">
        <v>1296</v>
      </c>
      <c r="B325" s="382">
        <v>45982</v>
      </c>
      <c r="C325" s="379" t="s">
        <v>28</v>
      </c>
      <c r="D325" s="379" t="s">
        <v>29</v>
      </c>
      <c r="E325" s="379" t="s">
        <v>1054</v>
      </c>
      <c r="F325" s="379" t="s">
        <v>1297</v>
      </c>
      <c r="G325" s="379" t="s">
        <v>1298</v>
      </c>
      <c r="H325" s="383">
        <v>1</v>
      </c>
      <c r="I325" s="384">
        <v>0</v>
      </c>
      <c r="J325" s="382">
        <v>45978</v>
      </c>
      <c r="K325" s="379" t="s">
        <v>957</v>
      </c>
      <c r="L325" s="379" t="s">
        <v>30</v>
      </c>
      <c r="M325" s="385">
        <v>0</v>
      </c>
      <c r="N325" s="383"/>
      <c r="O325" s="383">
        <v>44</v>
      </c>
      <c r="P325" s="389">
        <v>-46</v>
      </c>
    </row>
    <row r="326" spans="1:16" ht="19.5" customHeight="1">
      <c r="A326" s="379" t="s">
        <v>1296</v>
      </c>
      <c r="B326" s="382">
        <v>45982</v>
      </c>
      <c r="C326" s="379" t="s">
        <v>17</v>
      </c>
      <c r="D326" s="379" t="s">
        <v>37</v>
      </c>
      <c r="E326" s="379" t="s">
        <v>1054</v>
      </c>
      <c r="F326" s="379" t="s">
        <v>1297</v>
      </c>
      <c r="G326" s="379" t="s">
        <v>1298</v>
      </c>
      <c r="H326" s="383">
        <v>1</v>
      </c>
      <c r="I326" s="384">
        <v>0</v>
      </c>
      <c r="J326" s="382">
        <v>45978</v>
      </c>
      <c r="K326" s="379" t="s">
        <v>957</v>
      </c>
      <c r="L326" s="379" t="s">
        <v>30</v>
      </c>
      <c r="M326" s="385">
        <v>0</v>
      </c>
      <c r="N326" s="383"/>
      <c r="O326" s="383"/>
      <c r="P326" s="389">
        <v>-8.1300000000000008</v>
      </c>
    </row>
    <row r="327" spans="1:16" ht="19.5" customHeight="1">
      <c r="A327" s="379" t="s">
        <v>1299</v>
      </c>
      <c r="B327" s="382">
        <v>45982</v>
      </c>
      <c r="C327" s="379" t="s">
        <v>17</v>
      </c>
      <c r="D327" s="379" t="s">
        <v>18</v>
      </c>
      <c r="E327" s="379" t="s">
        <v>25</v>
      </c>
      <c r="F327" s="379" t="s">
        <v>26</v>
      </c>
      <c r="G327" s="379" t="s">
        <v>1229</v>
      </c>
      <c r="H327" s="383">
        <v>1</v>
      </c>
      <c r="I327" s="384">
        <v>0</v>
      </c>
      <c r="J327" s="382">
        <v>45982</v>
      </c>
      <c r="K327" s="379" t="s">
        <v>22</v>
      </c>
      <c r="L327" s="379" t="s">
        <v>22</v>
      </c>
      <c r="M327" s="385">
        <v>0</v>
      </c>
      <c r="N327" s="383"/>
      <c r="O327" s="383"/>
      <c r="P327" s="389">
        <v>-16.649999999999999</v>
      </c>
    </row>
    <row r="328" spans="1:16" ht="19.5" customHeight="1">
      <c r="A328" s="379" t="s">
        <v>1075</v>
      </c>
      <c r="B328" s="382">
        <v>45982</v>
      </c>
      <c r="C328" s="379" t="s">
        <v>77</v>
      </c>
      <c r="D328" s="379" t="s">
        <v>82</v>
      </c>
      <c r="E328" s="379" t="s">
        <v>22</v>
      </c>
      <c r="F328" s="379" t="s">
        <v>22</v>
      </c>
      <c r="G328" s="379" t="s">
        <v>22</v>
      </c>
      <c r="H328" s="383">
        <v>0</v>
      </c>
      <c r="I328" s="384">
        <v>0</v>
      </c>
      <c r="J328" s="382">
        <v>45982</v>
      </c>
      <c r="K328" s="379" t="s">
        <v>22</v>
      </c>
      <c r="L328" s="379" t="s">
        <v>22</v>
      </c>
      <c r="M328" s="385">
        <v>0</v>
      </c>
      <c r="N328" s="383"/>
      <c r="O328" s="383"/>
      <c r="P328" s="389">
        <v>-652.17999999999995</v>
      </c>
    </row>
    <row r="329" spans="1:16" ht="19.5" customHeight="1">
      <c r="A329" s="379" t="s">
        <v>1105</v>
      </c>
      <c r="B329" s="382">
        <v>45982</v>
      </c>
      <c r="C329" s="379" t="s">
        <v>77</v>
      </c>
      <c r="D329" s="379" t="s">
        <v>82</v>
      </c>
      <c r="E329" s="379" t="s">
        <v>22</v>
      </c>
      <c r="F329" s="379" t="s">
        <v>22</v>
      </c>
      <c r="G329" s="379" t="s">
        <v>22</v>
      </c>
      <c r="H329" s="383">
        <v>0</v>
      </c>
      <c r="I329" s="384">
        <v>0</v>
      </c>
      <c r="J329" s="382">
        <v>45982</v>
      </c>
      <c r="K329" s="379" t="s">
        <v>22</v>
      </c>
      <c r="L329" s="379" t="s">
        <v>22</v>
      </c>
      <c r="M329" s="385">
        <v>0</v>
      </c>
      <c r="N329" s="383"/>
      <c r="O329" s="383"/>
      <c r="P329" s="389">
        <v>-82.51</v>
      </c>
    </row>
    <row r="330" spans="1:16" ht="19.5" customHeight="1">
      <c r="A330" s="379" t="s">
        <v>1270</v>
      </c>
      <c r="B330" s="382">
        <v>45982</v>
      </c>
      <c r="C330" s="379" t="s">
        <v>77</v>
      </c>
      <c r="D330" s="379" t="s">
        <v>82</v>
      </c>
      <c r="E330" s="379" t="s">
        <v>22</v>
      </c>
      <c r="F330" s="379" t="s">
        <v>22</v>
      </c>
      <c r="G330" s="379" t="s">
        <v>22</v>
      </c>
      <c r="H330" s="383">
        <v>0</v>
      </c>
      <c r="I330" s="384">
        <v>0</v>
      </c>
      <c r="J330" s="382">
        <v>45982</v>
      </c>
      <c r="K330" s="379" t="s">
        <v>22</v>
      </c>
      <c r="L330" s="379" t="s">
        <v>22</v>
      </c>
      <c r="M330" s="385">
        <v>0</v>
      </c>
      <c r="N330" s="383"/>
      <c r="O330" s="383"/>
      <c r="P330" s="389">
        <v>-296.99</v>
      </c>
    </row>
    <row r="331" spans="1:16" ht="19.5" customHeight="1">
      <c r="A331" s="379" t="s">
        <v>83</v>
      </c>
      <c r="B331" s="382">
        <v>45982</v>
      </c>
      <c r="C331" s="379" t="s">
        <v>77</v>
      </c>
      <c r="D331" s="379" t="s">
        <v>84</v>
      </c>
      <c r="E331" s="379" t="s">
        <v>22</v>
      </c>
      <c r="F331" s="379" t="s">
        <v>22</v>
      </c>
      <c r="G331" s="379" t="s">
        <v>22</v>
      </c>
      <c r="H331" s="383">
        <v>0</v>
      </c>
      <c r="I331" s="384">
        <v>0</v>
      </c>
      <c r="J331" s="382">
        <v>45982</v>
      </c>
      <c r="K331" s="379" t="s">
        <v>22</v>
      </c>
      <c r="L331" s="379" t="s">
        <v>22</v>
      </c>
      <c r="M331" s="385">
        <v>0</v>
      </c>
      <c r="N331" s="383"/>
      <c r="O331" s="383"/>
      <c r="P331" s="389">
        <v>-2835.21</v>
      </c>
    </row>
    <row r="332" spans="1:16" ht="19.5" customHeight="1">
      <c r="A332" s="379" t="s">
        <v>1282</v>
      </c>
      <c r="B332" s="382">
        <v>45982</v>
      </c>
      <c r="C332" s="379" t="s">
        <v>77</v>
      </c>
      <c r="D332" s="379" t="s">
        <v>82</v>
      </c>
      <c r="E332" s="379" t="s">
        <v>22</v>
      </c>
      <c r="F332" s="379" t="s">
        <v>22</v>
      </c>
      <c r="G332" s="379" t="s">
        <v>22</v>
      </c>
      <c r="H332" s="383">
        <v>0</v>
      </c>
      <c r="I332" s="384">
        <v>0</v>
      </c>
      <c r="J332" s="382">
        <v>45982</v>
      </c>
      <c r="K332" s="379" t="s">
        <v>22</v>
      </c>
      <c r="L332" s="379" t="s">
        <v>22</v>
      </c>
      <c r="M332" s="385">
        <v>0</v>
      </c>
      <c r="N332" s="383"/>
      <c r="O332" s="383"/>
      <c r="P332" s="389">
        <v>-301.82</v>
      </c>
    </row>
    <row r="333" spans="1:16" ht="19.5" customHeight="1">
      <c r="A333" s="379" t="s">
        <v>1300</v>
      </c>
      <c r="B333" s="382">
        <v>45983</v>
      </c>
      <c r="C333" s="379" t="s">
        <v>28</v>
      </c>
      <c r="D333" s="379" t="s">
        <v>29</v>
      </c>
      <c r="E333" s="379" t="s">
        <v>223</v>
      </c>
      <c r="F333" s="379" t="s">
        <v>395</v>
      </c>
      <c r="G333" s="379" t="s">
        <v>1229</v>
      </c>
      <c r="H333" s="383">
        <v>1</v>
      </c>
      <c r="I333" s="384">
        <v>0</v>
      </c>
      <c r="J333" s="382">
        <v>45977</v>
      </c>
      <c r="K333" s="379" t="s">
        <v>957</v>
      </c>
      <c r="L333" s="379" t="s">
        <v>30</v>
      </c>
      <c r="M333" s="385">
        <v>0</v>
      </c>
      <c r="N333" s="383"/>
      <c r="O333" s="383">
        <v>43</v>
      </c>
      <c r="P333" s="389">
        <v>-46</v>
      </c>
    </row>
    <row r="334" spans="1:16" ht="19.5" customHeight="1">
      <c r="A334" s="379" t="s">
        <v>1300</v>
      </c>
      <c r="B334" s="382">
        <v>45983</v>
      </c>
      <c r="C334" s="379" t="s">
        <v>28</v>
      </c>
      <c r="D334" s="379" t="s">
        <v>45</v>
      </c>
      <c r="E334" s="379" t="s">
        <v>223</v>
      </c>
      <c r="F334" s="379" t="s">
        <v>395</v>
      </c>
      <c r="G334" s="379" t="s">
        <v>1229</v>
      </c>
      <c r="H334" s="383">
        <v>1</v>
      </c>
      <c r="I334" s="384">
        <v>0</v>
      </c>
      <c r="J334" s="382">
        <v>45977</v>
      </c>
      <c r="K334" s="379" t="s">
        <v>957</v>
      </c>
      <c r="L334" s="379" t="s">
        <v>30</v>
      </c>
      <c r="M334" s="385">
        <v>0</v>
      </c>
      <c r="N334" s="383"/>
      <c r="O334" s="383"/>
      <c r="P334" s="389">
        <v>0</v>
      </c>
    </row>
    <row r="335" spans="1:16" ht="19.5" customHeight="1">
      <c r="A335" s="379" t="s">
        <v>1300</v>
      </c>
      <c r="B335" s="382">
        <v>45983</v>
      </c>
      <c r="C335" s="379" t="s">
        <v>28</v>
      </c>
      <c r="D335" s="379" t="s">
        <v>46</v>
      </c>
      <c r="E335" s="379" t="s">
        <v>223</v>
      </c>
      <c r="F335" s="379" t="s">
        <v>395</v>
      </c>
      <c r="G335" s="379" t="s">
        <v>1229</v>
      </c>
      <c r="H335" s="383">
        <v>1</v>
      </c>
      <c r="I335" s="384">
        <v>0</v>
      </c>
      <c r="J335" s="382">
        <v>45977</v>
      </c>
      <c r="K335" s="379" t="s">
        <v>957</v>
      </c>
      <c r="L335" s="379" t="s">
        <v>30</v>
      </c>
      <c r="M335" s="385">
        <v>0</v>
      </c>
      <c r="N335" s="383"/>
      <c r="O335" s="383"/>
      <c r="P335" s="389">
        <v>-46</v>
      </c>
    </row>
    <row r="336" spans="1:16" ht="19.5" customHeight="1">
      <c r="A336" s="379" t="s">
        <v>1301</v>
      </c>
      <c r="B336" s="382">
        <v>45983</v>
      </c>
      <c r="C336" s="379" t="s">
        <v>28</v>
      </c>
      <c r="D336" s="379" t="s">
        <v>29</v>
      </c>
      <c r="E336" s="379" t="s">
        <v>25</v>
      </c>
      <c r="F336" s="379" t="s">
        <v>26</v>
      </c>
      <c r="G336" s="379" t="s">
        <v>1229</v>
      </c>
      <c r="H336" s="383">
        <v>1</v>
      </c>
      <c r="I336" s="384">
        <v>0</v>
      </c>
      <c r="J336" s="382">
        <v>45977</v>
      </c>
      <c r="K336" s="379" t="s">
        <v>957</v>
      </c>
      <c r="L336" s="379" t="s">
        <v>30</v>
      </c>
      <c r="M336" s="385">
        <v>0</v>
      </c>
      <c r="N336" s="383"/>
      <c r="O336" s="383">
        <v>43</v>
      </c>
      <c r="P336" s="389">
        <v>-46</v>
      </c>
    </row>
    <row r="337" spans="1:16" ht="19.5" customHeight="1">
      <c r="A337" s="379" t="s">
        <v>1301</v>
      </c>
      <c r="B337" s="382">
        <v>45983</v>
      </c>
      <c r="C337" s="379" t="s">
        <v>17</v>
      </c>
      <c r="D337" s="379" t="s">
        <v>37</v>
      </c>
      <c r="E337" s="379" t="s">
        <v>25</v>
      </c>
      <c r="F337" s="379" t="s">
        <v>26</v>
      </c>
      <c r="G337" s="379" t="s">
        <v>1229</v>
      </c>
      <c r="H337" s="383">
        <v>1</v>
      </c>
      <c r="I337" s="384">
        <v>0</v>
      </c>
      <c r="J337" s="382">
        <v>45977</v>
      </c>
      <c r="K337" s="379" t="s">
        <v>957</v>
      </c>
      <c r="L337" s="379" t="s">
        <v>30</v>
      </c>
      <c r="M337" s="385">
        <v>0</v>
      </c>
      <c r="N337" s="383"/>
      <c r="O337" s="383"/>
      <c r="P337" s="389">
        <v>-7.11</v>
      </c>
    </row>
    <row r="338" spans="1:16" ht="19.5" customHeight="1">
      <c r="A338" s="379" t="s">
        <v>1301</v>
      </c>
      <c r="B338" s="382">
        <v>45983</v>
      </c>
      <c r="C338" s="379" t="s">
        <v>28</v>
      </c>
      <c r="D338" s="379" t="s">
        <v>45</v>
      </c>
      <c r="E338" s="379" t="s">
        <v>25</v>
      </c>
      <c r="F338" s="379" t="s">
        <v>26</v>
      </c>
      <c r="G338" s="379" t="s">
        <v>1229</v>
      </c>
      <c r="H338" s="383">
        <v>1</v>
      </c>
      <c r="I338" s="384">
        <v>0</v>
      </c>
      <c r="J338" s="382">
        <v>45977</v>
      </c>
      <c r="K338" s="379" t="s">
        <v>957</v>
      </c>
      <c r="L338" s="379" t="s">
        <v>30</v>
      </c>
      <c r="M338" s="385">
        <v>0</v>
      </c>
      <c r="N338" s="383"/>
      <c r="O338" s="383"/>
      <c r="P338" s="389">
        <v>0</v>
      </c>
    </row>
    <row r="339" spans="1:16" ht="19.5" customHeight="1">
      <c r="A339" s="379" t="s">
        <v>1301</v>
      </c>
      <c r="B339" s="382">
        <v>45983</v>
      </c>
      <c r="C339" s="379" t="s">
        <v>28</v>
      </c>
      <c r="D339" s="379" t="s">
        <v>46</v>
      </c>
      <c r="E339" s="379" t="s">
        <v>25</v>
      </c>
      <c r="F339" s="379" t="s">
        <v>26</v>
      </c>
      <c r="G339" s="379" t="s">
        <v>1229</v>
      </c>
      <c r="H339" s="383">
        <v>1</v>
      </c>
      <c r="I339" s="384">
        <v>0</v>
      </c>
      <c r="J339" s="382">
        <v>45977</v>
      </c>
      <c r="K339" s="379" t="s">
        <v>957</v>
      </c>
      <c r="L339" s="379" t="s">
        <v>30</v>
      </c>
      <c r="M339" s="385">
        <v>0</v>
      </c>
      <c r="N339" s="383"/>
      <c r="O339" s="383"/>
      <c r="P339" s="389">
        <v>-46</v>
      </c>
    </row>
    <row r="340" spans="1:16" ht="19.5" customHeight="1">
      <c r="A340" s="379" t="s">
        <v>1301</v>
      </c>
      <c r="B340" s="382">
        <v>45983</v>
      </c>
      <c r="C340" s="379" t="s">
        <v>17</v>
      </c>
      <c r="D340" s="379" t="s">
        <v>47</v>
      </c>
      <c r="E340" s="379" t="s">
        <v>25</v>
      </c>
      <c r="F340" s="379" t="s">
        <v>26</v>
      </c>
      <c r="G340" s="379" t="s">
        <v>1229</v>
      </c>
      <c r="H340" s="383">
        <v>1</v>
      </c>
      <c r="I340" s="384">
        <v>0</v>
      </c>
      <c r="J340" s="382">
        <v>45977</v>
      </c>
      <c r="K340" s="379" t="s">
        <v>957</v>
      </c>
      <c r="L340" s="379" t="s">
        <v>30</v>
      </c>
      <c r="M340" s="385">
        <v>0</v>
      </c>
      <c r="N340" s="383"/>
      <c r="O340" s="383"/>
      <c r="P340" s="389">
        <v>-15</v>
      </c>
    </row>
    <row r="341" spans="1:16" ht="19.5" customHeight="1">
      <c r="A341" s="379" t="s">
        <v>1253</v>
      </c>
      <c r="B341" s="382">
        <v>45983</v>
      </c>
      <c r="C341" s="379" t="s">
        <v>28</v>
      </c>
      <c r="D341" s="379" t="s">
        <v>60</v>
      </c>
      <c r="E341" s="379" t="s">
        <v>223</v>
      </c>
      <c r="F341" s="379" t="s">
        <v>395</v>
      </c>
      <c r="G341" s="379" t="s">
        <v>1229</v>
      </c>
      <c r="H341" s="383">
        <v>1</v>
      </c>
      <c r="I341" s="384">
        <v>0</v>
      </c>
      <c r="J341" s="382">
        <v>45977</v>
      </c>
      <c r="K341" s="379" t="s">
        <v>957</v>
      </c>
      <c r="L341" s="379" t="s">
        <v>30</v>
      </c>
      <c r="M341" s="385">
        <v>0</v>
      </c>
      <c r="N341" s="383"/>
      <c r="O341" s="383"/>
      <c r="P341" s="389">
        <v>0</v>
      </c>
    </row>
    <row r="342" spans="1:16" ht="19.5" customHeight="1">
      <c r="A342" s="379" t="s">
        <v>1253</v>
      </c>
      <c r="B342" s="382">
        <v>45983</v>
      </c>
      <c r="C342" s="379" t="s">
        <v>28</v>
      </c>
      <c r="D342" s="379" t="s">
        <v>46</v>
      </c>
      <c r="E342" s="379" t="s">
        <v>223</v>
      </c>
      <c r="F342" s="379" t="s">
        <v>395</v>
      </c>
      <c r="G342" s="379" t="s">
        <v>1229</v>
      </c>
      <c r="H342" s="383">
        <v>1</v>
      </c>
      <c r="I342" s="384">
        <v>0</v>
      </c>
      <c r="J342" s="382">
        <v>45977</v>
      </c>
      <c r="K342" s="379" t="s">
        <v>957</v>
      </c>
      <c r="L342" s="379" t="s">
        <v>30</v>
      </c>
      <c r="M342" s="385">
        <v>0</v>
      </c>
      <c r="N342" s="383"/>
      <c r="O342" s="383"/>
      <c r="P342" s="389">
        <v>-46</v>
      </c>
    </row>
    <row r="343" spans="1:16" ht="19.5" customHeight="1">
      <c r="A343" s="379" t="s">
        <v>1253</v>
      </c>
      <c r="B343" s="382">
        <v>45983</v>
      </c>
      <c r="C343" s="379" t="s">
        <v>17</v>
      </c>
      <c r="D343" s="379" t="s">
        <v>47</v>
      </c>
      <c r="E343" s="379" t="s">
        <v>223</v>
      </c>
      <c r="F343" s="379" t="s">
        <v>395</v>
      </c>
      <c r="G343" s="379" t="s">
        <v>1229</v>
      </c>
      <c r="H343" s="383">
        <v>1</v>
      </c>
      <c r="I343" s="384">
        <v>0</v>
      </c>
      <c r="J343" s="382">
        <v>45977</v>
      </c>
      <c r="K343" s="379" t="s">
        <v>957</v>
      </c>
      <c r="L343" s="379" t="s">
        <v>30</v>
      </c>
      <c r="M343" s="385">
        <v>0</v>
      </c>
      <c r="N343" s="383"/>
      <c r="O343" s="383"/>
      <c r="P343" s="389">
        <v>-15</v>
      </c>
    </row>
    <row r="344" spans="1:16" ht="19.5" customHeight="1">
      <c r="A344" s="379" t="s">
        <v>1302</v>
      </c>
      <c r="B344" s="382">
        <v>45983</v>
      </c>
      <c r="C344" s="379" t="s">
        <v>28</v>
      </c>
      <c r="D344" s="379" t="s">
        <v>29</v>
      </c>
      <c r="E344" s="379" t="s">
        <v>223</v>
      </c>
      <c r="F344" s="379" t="s">
        <v>395</v>
      </c>
      <c r="G344" s="379" t="s">
        <v>1229</v>
      </c>
      <c r="H344" s="383">
        <v>1</v>
      </c>
      <c r="I344" s="384">
        <v>1687</v>
      </c>
      <c r="J344" s="382">
        <v>45980</v>
      </c>
      <c r="K344" s="379" t="s">
        <v>957</v>
      </c>
      <c r="L344" s="379" t="s">
        <v>30</v>
      </c>
      <c r="M344" s="385">
        <v>0.43</v>
      </c>
      <c r="N344" s="383"/>
      <c r="O344" s="383">
        <v>45</v>
      </c>
      <c r="P344" s="389">
        <v>-132.03</v>
      </c>
    </row>
    <row r="345" spans="1:16" ht="19.5" customHeight="1">
      <c r="A345" s="379" t="s">
        <v>1302</v>
      </c>
      <c r="B345" s="382">
        <v>45983</v>
      </c>
      <c r="C345" s="379" t="s">
        <v>31</v>
      </c>
      <c r="D345" s="379" t="s">
        <v>32</v>
      </c>
      <c r="E345" s="379" t="s">
        <v>223</v>
      </c>
      <c r="F345" s="379" t="s">
        <v>395</v>
      </c>
      <c r="G345" s="379" t="s">
        <v>1229</v>
      </c>
      <c r="H345" s="383">
        <v>1</v>
      </c>
      <c r="I345" s="384">
        <v>1687</v>
      </c>
      <c r="J345" s="382">
        <v>45980</v>
      </c>
      <c r="K345" s="379" t="s">
        <v>957</v>
      </c>
      <c r="L345" s="379" t="s">
        <v>30</v>
      </c>
      <c r="M345" s="385">
        <v>0</v>
      </c>
      <c r="N345" s="383"/>
      <c r="O345" s="383"/>
      <c r="P345" s="389">
        <v>619.04999999999995</v>
      </c>
    </row>
    <row r="346" spans="1:16" ht="19.5" customHeight="1">
      <c r="A346" s="379" t="s">
        <v>1302</v>
      </c>
      <c r="B346" s="382">
        <v>45983</v>
      </c>
      <c r="C346" s="379" t="s">
        <v>31</v>
      </c>
      <c r="D346" s="379" t="s">
        <v>33</v>
      </c>
      <c r="E346" s="379" t="s">
        <v>223</v>
      </c>
      <c r="F346" s="379" t="s">
        <v>395</v>
      </c>
      <c r="G346" s="379" t="s">
        <v>1229</v>
      </c>
      <c r="H346" s="383">
        <v>1</v>
      </c>
      <c r="I346" s="384">
        <v>1687</v>
      </c>
      <c r="J346" s="382">
        <v>45980</v>
      </c>
      <c r="K346" s="379" t="s">
        <v>957</v>
      </c>
      <c r="L346" s="379" t="s">
        <v>30</v>
      </c>
      <c r="M346" s="385">
        <v>0</v>
      </c>
      <c r="N346" s="383"/>
      <c r="O346" s="383"/>
      <c r="P346" s="389">
        <v>6.19</v>
      </c>
    </row>
    <row r="347" spans="1:16" ht="19.5" customHeight="1">
      <c r="A347" s="379" t="s">
        <v>1302</v>
      </c>
      <c r="B347" s="382">
        <v>45983</v>
      </c>
      <c r="C347" s="379" t="s">
        <v>31</v>
      </c>
      <c r="D347" s="379" t="s">
        <v>34</v>
      </c>
      <c r="E347" s="379" t="s">
        <v>223</v>
      </c>
      <c r="F347" s="379" t="s">
        <v>395</v>
      </c>
      <c r="G347" s="379" t="s">
        <v>1229</v>
      </c>
      <c r="H347" s="383">
        <v>1</v>
      </c>
      <c r="I347" s="384">
        <v>1687</v>
      </c>
      <c r="J347" s="382">
        <v>45980</v>
      </c>
      <c r="K347" s="379" t="s">
        <v>957</v>
      </c>
      <c r="L347" s="379" t="s">
        <v>30</v>
      </c>
      <c r="M347" s="385">
        <v>0</v>
      </c>
      <c r="N347" s="383"/>
      <c r="O347" s="383"/>
      <c r="P347" s="389">
        <v>1061.76</v>
      </c>
    </row>
    <row r="348" spans="1:16" ht="19.5" customHeight="1">
      <c r="A348" s="379" t="s">
        <v>1302</v>
      </c>
      <c r="B348" s="382">
        <v>45983</v>
      </c>
      <c r="C348" s="379" t="s">
        <v>35</v>
      </c>
      <c r="D348" s="379" t="s">
        <v>36</v>
      </c>
      <c r="E348" s="379" t="s">
        <v>223</v>
      </c>
      <c r="F348" s="379" t="s">
        <v>395</v>
      </c>
      <c r="G348" s="379" t="s">
        <v>1229</v>
      </c>
      <c r="H348" s="383">
        <v>1</v>
      </c>
      <c r="I348" s="384">
        <v>1687</v>
      </c>
      <c r="J348" s="382">
        <v>45980</v>
      </c>
      <c r="K348" s="379" t="s">
        <v>957</v>
      </c>
      <c r="L348" s="379" t="s">
        <v>30</v>
      </c>
      <c r="M348" s="385">
        <v>0.43</v>
      </c>
      <c r="N348" s="383"/>
      <c r="O348" s="383"/>
      <c r="P348" s="389">
        <v>-725.41</v>
      </c>
    </row>
    <row r="349" spans="1:16" ht="19.5" customHeight="1">
      <c r="A349" s="379" t="s">
        <v>1302</v>
      </c>
      <c r="B349" s="382">
        <v>45983</v>
      </c>
      <c r="C349" s="379" t="s">
        <v>17</v>
      </c>
      <c r="D349" s="379" t="s">
        <v>37</v>
      </c>
      <c r="E349" s="379" t="s">
        <v>223</v>
      </c>
      <c r="F349" s="379" t="s">
        <v>395</v>
      </c>
      <c r="G349" s="379" t="s">
        <v>1229</v>
      </c>
      <c r="H349" s="383">
        <v>1</v>
      </c>
      <c r="I349" s="384">
        <v>1687</v>
      </c>
      <c r="J349" s="382">
        <v>45980</v>
      </c>
      <c r="K349" s="379" t="s">
        <v>957</v>
      </c>
      <c r="L349" s="379" t="s">
        <v>30</v>
      </c>
      <c r="M349" s="385">
        <v>0.43</v>
      </c>
      <c r="N349" s="383"/>
      <c r="O349" s="383"/>
      <c r="P349" s="389">
        <v>-11.38</v>
      </c>
    </row>
    <row r="350" spans="1:16" ht="19.5" customHeight="1">
      <c r="A350" s="379" t="s">
        <v>1303</v>
      </c>
      <c r="B350" s="382">
        <v>45983</v>
      </c>
      <c r="C350" s="379" t="s">
        <v>28</v>
      </c>
      <c r="D350" s="379" t="s">
        <v>29</v>
      </c>
      <c r="E350" s="379" t="s">
        <v>223</v>
      </c>
      <c r="F350" s="379" t="s">
        <v>395</v>
      </c>
      <c r="G350" s="379" t="s">
        <v>1229</v>
      </c>
      <c r="H350" s="383">
        <v>1</v>
      </c>
      <c r="I350" s="384">
        <v>1605</v>
      </c>
      <c r="J350" s="382">
        <v>45978</v>
      </c>
      <c r="K350" s="379" t="s">
        <v>957</v>
      </c>
      <c r="L350" s="379" t="s">
        <v>30</v>
      </c>
      <c r="M350" s="385">
        <v>0.43</v>
      </c>
      <c r="N350" s="383"/>
      <c r="O350" s="383">
        <v>44</v>
      </c>
      <c r="P350" s="389">
        <v>-125.54</v>
      </c>
    </row>
    <row r="351" spans="1:16" ht="19.5" customHeight="1">
      <c r="A351" s="379" t="s">
        <v>1303</v>
      </c>
      <c r="B351" s="382">
        <v>45983</v>
      </c>
      <c r="C351" s="379" t="s">
        <v>31</v>
      </c>
      <c r="D351" s="379" t="s">
        <v>32</v>
      </c>
      <c r="E351" s="379" t="s">
        <v>223</v>
      </c>
      <c r="F351" s="379" t="s">
        <v>395</v>
      </c>
      <c r="G351" s="379" t="s">
        <v>1229</v>
      </c>
      <c r="H351" s="383">
        <v>1</v>
      </c>
      <c r="I351" s="384">
        <v>1605</v>
      </c>
      <c r="J351" s="382">
        <v>45978</v>
      </c>
      <c r="K351" s="379" t="s">
        <v>957</v>
      </c>
      <c r="L351" s="379" t="s">
        <v>30</v>
      </c>
      <c r="M351" s="385">
        <v>0</v>
      </c>
      <c r="N351" s="383"/>
      <c r="O351" s="383"/>
      <c r="P351" s="389">
        <v>684.76</v>
      </c>
    </row>
    <row r="352" spans="1:16" ht="19.5" customHeight="1">
      <c r="A352" s="379" t="s">
        <v>1303</v>
      </c>
      <c r="B352" s="382">
        <v>45983</v>
      </c>
      <c r="C352" s="379" t="s">
        <v>31</v>
      </c>
      <c r="D352" s="379" t="s">
        <v>33</v>
      </c>
      <c r="E352" s="379" t="s">
        <v>223</v>
      </c>
      <c r="F352" s="379" t="s">
        <v>395</v>
      </c>
      <c r="G352" s="379" t="s">
        <v>1229</v>
      </c>
      <c r="H352" s="383">
        <v>1</v>
      </c>
      <c r="I352" s="384">
        <v>1605</v>
      </c>
      <c r="J352" s="382">
        <v>45978</v>
      </c>
      <c r="K352" s="379" t="s">
        <v>957</v>
      </c>
      <c r="L352" s="379" t="s">
        <v>30</v>
      </c>
      <c r="M352" s="385">
        <v>0</v>
      </c>
      <c r="N352" s="383"/>
      <c r="O352" s="383"/>
      <c r="P352" s="389">
        <v>0</v>
      </c>
    </row>
    <row r="353" spans="1:16" ht="19.5" customHeight="1">
      <c r="A353" s="379" t="s">
        <v>1303</v>
      </c>
      <c r="B353" s="382">
        <v>45983</v>
      </c>
      <c r="C353" s="379" t="s">
        <v>31</v>
      </c>
      <c r="D353" s="379" t="s">
        <v>34</v>
      </c>
      <c r="E353" s="379" t="s">
        <v>223</v>
      </c>
      <c r="F353" s="379" t="s">
        <v>395</v>
      </c>
      <c r="G353" s="379" t="s">
        <v>1229</v>
      </c>
      <c r="H353" s="383">
        <v>1</v>
      </c>
      <c r="I353" s="384">
        <v>1605</v>
      </c>
      <c r="J353" s="382">
        <v>45978</v>
      </c>
      <c r="K353" s="379" t="s">
        <v>957</v>
      </c>
      <c r="L353" s="379" t="s">
        <v>30</v>
      </c>
      <c r="M353" s="385">
        <v>0</v>
      </c>
      <c r="N353" s="383"/>
      <c r="O353" s="383"/>
      <c r="P353" s="389">
        <v>920.24</v>
      </c>
    </row>
    <row r="354" spans="1:16" ht="19.5" customHeight="1">
      <c r="A354" s="379" t="s">
        <v>1303</v>
      </c>
      <c r="B354" s="382">
        <v>45983</v>
      </c>
      <c r="C354" s="379" t="s">
        <v>35</v>
      </c>
      <c r="D354" s="379" t="s">
        <v>36</v>
      </c>
      <c r="E354" s="379" t="s">
        <v>223</v>
      </c>
      <c r="F354" s="379" t="s">
        <v>395</v>
      </c>
      <c r="G354" s="379" t="s">
        <v>1229</v>
      </c>
      <c r="H354" s="383">
        <v>1</v>
      </c>
      <c r="I354" s="384">
        <v>1605</v>
      </c>
      <c r="J354" s="382">
        <v>45978</v>
      </c>
      <c r="K354" s="379" t="s">
        <v>957</v>
      </c>
      <c r="L354" s="379" t="s">
        <v>30</v>
      </c>
      <c r="M354" s="385">
        <v>0.43</v>
      </c>
      <c r="N354" s="383"/>
      <c r="O354" s="383"/>
      <c r="P354" s="389">
        <v>-690.15</v>
      </c>
    </row>
    <row r="355" spans="1:16" ht="19.5" customHeight="1">
      <c r="A355" s="379" t="s">
        <v>1303</v>
      </c>
      <c r="B355" s="382">
        <v>45983</v>
      </c>
      <c r="C355" s="379" t="s">
        <v>17</v>
      </c>
      <c r="D355" s="379" t="s">
        <v>37</v>
      </c>
      <c r="E355" s="379" t="s">
        <v>223</v>
      </c>
      <c r="F355" s="379" t="s">
        <v>395</v>
      </c>
      <c r="G355" s="379" t="s">
        <v>1229</v>
      </c>
      <c r="H355" s="383">
        <v>1</v>
      </c>
      <c r="I355" s="384">
        <v>1605</v>
      </c>
      <c r="J355" s="382">
        <v>45978</v>
      </c>
      <c r="K355" s="379" t="s">
        <v>957</v>
      </c>
      <c r="L355" s="379" t="s">
        <v>30</v>
      </c>
      <c r="M355" s="385">
        <v>0.43</v>
      </c>
      <c r="N355" s="383"/>
      <c r="O355" s="383"/>
      <c r="P355" s="389">
        <v>-8.08</v>
      </c>
    </row>
    <row r="356" spans="1:16" ht="19.5" customHeight="1">
      <c r="A356" s="379" t="s">
        <v>1304</v>
      </c>
      <c r="B356" s="382">
        <v>45983</v>
      </c>
      <c r="C356" s="379" t="s">
        <v>28</v>
      </c>
      <c r="D356" s="379" t="s">
        <v>29</v>
      </c>
      <c r="E356" s="379" t="s">
        <v>54</v>
      </c>
      <c r="F356" s="379" t="s">
        <v>55</v>
      </c>
      <c r="G356" s="379" t="s">
        <v>1229</v>
      </c>
      <c r="H356" s="383">
        <v>1</v>
      </c>
      <c r="I356" s="384">
        <v>1568</v>
      </c>
      <c r="J356" s="382">
        <v>45978</v>
      </c>
      <c r="K356" s="379" t="s">
        <v>957</v>
      </c>
      <c r="L356" s="379" t="s">
        <v>30</v>
      </c>
      <c r="M356" s="385">
        <v>0.43</v>
      </c>
      <c r="N356" s="383"/>
      <c r="O356" s="383">
        <v>44</v>
      </c>
      <c r="P356" s="389">
        <v>-124.37</v>
      </c>
    </row>
    <row r="357" spans="1:16" ht="19.5" customHeight="1">
      <c r="A357" s="379" t="s">
        <v>1304</v>
      </c>
      <c r="B357" s="382">
        <v>45983</v>
      </c>
      <c r="C357" s="379" t="s">
        <v>31</v>
      </c>
      <c r="D357" s="379" t="s">
        <v>32</v>
      </c>
      <c r="E357" s="379" t="s">
        <v>54</v>
      </c>
      <c r="F357" s="379" t="s">
        <v>55</v>
      </c>
      <c r="G357" s="379" t="s">
        <v>1229</v>
      </c>
      <c r="H357" s="383">
        <v>1</v>
      </c>
      <c r="I357" s="384">
        <v>1568</v>
      </c>
      <c r="J357" s="382">
        <v>45978</v>
      </c>
      <c r="K357" s="379" t="s">
        <v>957</v>
      </c>
      <c r="L357" s="379" t="s">
        <v>30</v>
      </c>
      <c r="M357" s="385">
        <v>0</v>
      </c>
      <c r="N357" s="383"/>
      <c r="O357" s="383"/>
      <c r="P357" s="389">
        <v>674.29</v>
      </c>
    </row>
    <row r="358" spans="1:16" ht="19.5" customHeight="1">
      <c r="A358" s="379" t="s">
        <v>1304</v>
      </c>
      <c r="B358" s="382">
        <v>45983</v>
      </c>
      <c r="C358" s="379" t="s">
        <v>31</v>
      </c>
      <c r="D358" s="379" t="s">
        <v>33</v>
      </c>
      <c r="E358" s="379" t="s">
        <v>54</v>
      </c>
      <c r="F358" s="379" t="s">
        <v>55</v>
      </c>
      <c r="G358" s="379" t="s">
        <v>1229</v>
      </c>
      <c r="H358" s="383">
        <v>1</v>
      </c>
      <c r="I358" s="384">
        <v>1568</v>
      </c>
      <c r="J358" s="382">
        <v>45978</v>
      </c>
      <c r="K358" s="379" t="s">
        <v>957</v>
      </c>
      <c r="L358" s="379" t="s">
        <v>30</v>
      </c>
      <c r="M358" s="385">
        <v>0</v>
      </c>
      <c r="N358" s="383"/>
      <c r="O358" s="383"/>
      <c r="P358" s="389">
        <v>6.74</v>
      </c>
    </row>
    <row r="359" spans="1:16" ht="19.5" customHeight="1">
      <c r="A359" s="379" t="s">
        <v>1304</v>
      </c>
      <c r="B359" s="382">
        <v>45983</v>
      </c>
      <c r="C359" s="379" t="s">
        <v>31</v>
      </c>
      <c r="D359" s="379" t="s">
        <v>34</v>
      </c>
      <c r="E359" s="379" t="s">
        <v>54</v>
      </c>
      <c r="F359" s="379" t="s">
        <v>55</v>
      </c>
      <c r="G359" s="379" t="s">
        <v>1229</v>
      </c>
      <c r="H359" s="383">
        <v>1</v>
      </c>
      <c r="I359" s="384">
        <v>1568</v>
      </c>
      <c r="J359" s="382">
        <v>45978</v>
      </c>
      <c r="K359" s="379" t="s">
        <v>957</v>
      </c>
      <c r="L359" s="379" t="s">
        <v>30</v>
      </c>
      <c r="M359" s="385">
        <v>0</v>
      </c>
      <c r="N359" s="383"/>
      <c r="O359" s="383"/>
      <c r="P359" s="389">
        <v>886.97</v>
      </c>
    </row>
    <row r="360" spans="1:16" ht="19.5" customHeight="1">
      <c r="A360" s="379" t="s">
        <v>1304</v>
      </c>
      <c r="B360" s="382">
        <v>45983</v>
      </c>
      <c r="C360" s="379" t="s">
        <v>35</v>
      </c>
      <c r="D360" s="379" t="s">
        <v>36</v>
      </c>
      <c r="E360" s="379" t="s">
        <v>54</v>
      </c>
      <c r="F360" s="379" t="s">
        <v>55</v>
      </c>
      <c r="G360" s="379" t="s">
        <v>1229</v>
      </c>
      <c r="H360" s="383">
        <v>1</v>
      </c>
      <c r="I360" s="384">
        <v>1568</v>
      </c>
      <c r="J360" s="382">
        <v>45978</v>
      </c>
      <c r="K360" s="379" t="s">
        <v>957</v>
      </c>
      <c r="L360" s="379" t="s">
        <v>30</v>
      </c>
      <c r="M360" s="385">
        <v>0.43</v>
      </c>
      <c r="N360" s="383"/>
      <c r="O360" s="383"/>
      <c r="P360" s="389">
        <v>-674.24</v>
      </c>
    </row>
    <row r="361" spans="1:16" ht="19.5" customHeight="1">
      <c r="A361" s="379" t="s">
        <v>1304</v>
      </c>
      <c r="B361" s="382">
        <v>45983</v>
      </c>
      <c r="C361" s="379" t="s">
        <v>17</v>
      </c>
      <c r="D361" s="379" t="s">
        <v>37</v>
      </c>
      <c r="E361" s="379" t="s">
        <v>54</v>
      </c>
      <c r="F361" s="379" t="s">
        <v>55</v>
      </c>
      <c r="G361" s="379" t="s">
        <v>1229</v>
      </c>
      <c r="H361" s="383">
        <v>1</v>
      </c>
      <c r="I361" s="384">
        <v>1568</v>
      </c>
      <c r="J361" s="382">
        <v>45978</v>
      </c>
      <c r="K361" s="379" t="s">
        <v>957</v>
      </c>
      <c r="L361" s="379" t="s">
        <v>30</v>
      </c>
      <c r="M361" s="385">
        <v>0.43</v>
      </c>
      <c r="N361" s="383"/>
      <c r="O361" s="383"/>
      <c r="P361" s="389">
        <v>-6.59</v>
      </c>
    </row>
    <row r="362" spans="1:16" ht="19.5" customHeight="1">
      <c r="A362" s="379" t="s">
        <v>1303</v>
      </c>
      <c r="B362" s="382">
        <v>45983</v>
      </c>
      <c r="C362" s="379" t="s">
        <v>17</v>
      </c>
      <c r="D362" s="379" t="s">
        <v>18</v>
      </c>
      <c r="E362" s="379" t="s">
        <v>223</v>
      </c>
      <c r="F362" s="379" t="s">
        <v>395</v>
      </c>
      <c r="G362" s="379" t="s">
        <v>1229</v>
      </c>
      <c r="H362" s="383">
        <v>1</v>
      </c>
      <c r="I362" s="384">
        <v>0</v>
      </c>
      <c r="J362" s="382">
        <v>45978</v>
      </c>
      <c r="K362" s="379" t="s">
        <v>22</v>
      </c>
      <c r="L362" s="379" t="s">
        <v>22</v>
      </c>
      <c r="M362" s="385">
        <v>0</v>
      </c>
      <c r="N362" s="383"/>
      <c r="O362" s="383"/>
      <c r="P362" s="389">
        <v>-2.88</v>
      </c>
    </row>
    <row r="363" spans="1:16" ht="19.5" customHeight="1">
      <c r="A363" s="379" t="s">
        <v>1304</v>
      </c>
      <c r="B363" s="382">
        <v>45983</v>
      </c>
      <c r="C363" s="379" t="s">
        <v>17</v>
      </c>
      <c r="D363" s="379" t="s">
        <v>18</v>
      </c>
      <c r="E363" s="379" t="s">
        <v>54</v>
      </c>
      <c r="F363" s="379" t="s">
        <v>55</v>
      </c>
      <c r="G363" s="379" t="s">
        <v>1229</v>
      </c>
      <c r="H363" s="383">
        <v>1</v>
      </c>
      <c r="I363" s="384">
        <v>0</v>
      </c>
      <c r="J363" s="382">
        <v>45978</v>
      </c>
      <c r="K363" s="379" t="s">
        <v>22</v>
      </c>
      <c r="L363" s="379" t="s">
        <v>22</v>
      </c>
      <c r="M363" s="385">
        <v>0</v>
      </c>
      <c r="N363" s="383"/>
      <c r="O363" s="383"/>
      <c r="P363" s="389">
        <v>-12.81</v>
      </c>
    </row>
    <row r="364" spans="1:16" ht="19.5" customHeight="1">
      <c r="A364" s="379" t="s">
        <v>1305</v>
      </c>
      <c r="B364" s="382">
        <v>45983</v>
      </c>
      <c r="C364" s="379" t="s">
        <v>17</v>
      </c>
      <c r="D364" s="379" t="s">
        <v>18</v>
      </c>
      <c r="E364" s="379" t="s">
        <v>223</v>
      </c>
      <c r="F364" s="379" t="s">
        <v>395</v>
      </c>
      <c r="G364" s="379" t="s">
        <v>1229</v>
      </c>
      <c r="H364" s="383">
        <v>1</v>
      </c>
      <c r="I364" s="384">
        <v>0</v>
      </c>
      <c r="J364" s="382">
        <v>45983</v>
      </c>
      <c r="K364" s="379" t="s">
        <v>22</v>
      </c>
      <c r="L364" s="379" t="s">
        <v>22</v>
      </c>
      <c r="M364" s="385">
        <v>0</v>
      </c>
      <c r="N364" s="383"/>
      <c r="O364" s="383"/>
      <c r="P364" s="389">
        <v>-11.82</v>
      </c>
    </row>
    <row r="365" spans="1:16" ht="19.5" customHeight="1">
      <c r="A365" s="379" t="s">
        <v>1306</v>
      </c>
      <c r="B365" s="382">
        <v>45983</v>
      </c>
      <c r="C365" s="379" t="s">
        <v>28</v>
      </c>
      <c r="D365" s="379" t="s">
        <v>29</v>
      </c>
      <c r="E365" s="379" t="s">
        <v>226</v>
      </c>
      <c r="F365" s="379" t="s">
        <v>428</v>
      </c>
      <c r="G365" s="379" t="s">
        <v>1229</v>
      </c>
      <c r="H365" s="383">
        <v>1</v>
      </c>
      <c r="I365" s="384">
        <v>1800</v>
      </c>
      <c r="J365" s="382">
        <v>45978</v>
      </c>
      <c r="K365" s="379" t="s">
        <v>957</v>
      </c>
      <c r="L365" s="379" t="s">
        <v>30</v>
      </c>
      <c r="M365" s="385">
        <v>0.43</v>
      </c>
      <c r="N365" s="383"/>
      <c r="O365" s="383">
        <v>44</v>
      </c>
      <c r="P365" s="389">
        <v>-131.68</v>
      </c>
    </row>
    <row r="366" spans="1:16" ht="19.5" customHeight="1">
      <c r="A366" s="379" t="s">
        <v>1306</v>
      </c>
      <c r="B366" s="382">
        <v>45983</v>
      </c>
      <c r="C366" s="379" t="s">
        <v>31</v>
      </c>
      <c r="D366" s="379" t="s">
        <v>32</v>
      </c>
      <c r="E366" s="379" t="s">
        <v>226</v>
      </c>
      <c r="F366" s="379" t="s">
        <v>428</v>
      </c>
      <c r="G366" s="379" t="s">
        <v>1229</v>
      </c>
      <c r="H366" s="383">
        <v>1</v>
      </c>
      <c r="I366" s="384">
        <v>1800</v>
      </c>
      <c r="J366" s="382">
        <v>45978</v>
      </c>
      <c r="K366" s="379" t="s">
        <v>957</v>
      </c>
      <c r="L366" s="379" t="s">
        <v>30</v>
      </c>
      <c r="M366" s="385">
        <v>0</v>
      </c>
      <c r="N366" s="383"/>
      <c r="O366" s="383"/>
      <c r="P366" s="389">
        <v>860.95</v>
      </c>
    </row>
    <row r="367" spans="1:16" ht="19.5" customHeight="1">
      <c r="A367" s="379" t="s">
        <v>1306</v>
      </c>
      <c r="B367" s="382">
        <v>45983</v>
      </c>
      <c r="C367" s="379" t="s">
        <v>31</v>
      </c>
      <c r="D367" s="379" t="s">
        <v>33</v>
      </c>
      <c r="E367" s="379" t="s">
        <v>226</v>
      </c>
      <c r="F367" s="379" t="s">
        <v>428</v>
      </c>
      <c r="G367" s="379" t="s">
        <v>1229</v>
      </c>
      <c r="H367" s="383">
        <v>1</v>
      </c>
      <c r="I367" s="384">
        <v>1800</v>
      </c>
      <c r="J367" s="382">
        <v>45978</v>
      </c>
      <c r="K367" s="379" t="s">
        <v>957</v>
      </c>
      <c r="L367" s="379" t="s">
        <v>30</v>
      </c>
      <c r="M367" s="385">
        <v>0</v>
      </c>
      <c r="N367" s="383"/>
      <c r="O367" s="383"/>
      <c r="P367" s="389">
        <v>8.61</v>
      </c>
    </row>
    <row r="368" spans="1:16" ht="19.5" customHeight="1">
      <c r="A368" s="379" t="s">
        <v>1306</v>
      </c>
      <c r="B368" s="382">
        <v>45983</v>
      </c>
      <c r="C368" s="379" t="s">
        <v>31</v>
      </c>
      <c r="D368" s="379" t="s">
        <v>34</v>
      </c>
      <c r="E368" s="379" t="s">
        <v>226</v>
      </c>
      <c r="F368" s="379" t="s">
        <v>428</v>
      </c>
      <c r="G368" s="379" t="s">
        <v>1229</v>
      </c>
      <c r="H368" s="383">
        <v>1</v>
      </c>
      <c r="I368" s="384">
        <v>1800</v>
      </c>
      <c r="J368" s="382">
        <v>45978</v>
      </c>
      <c r="K368" s="379" t="s">
        <v>957</v>
      </c>
      <c r="L368" s="379" t="s">
        <v>30</v>
      </c>
      <c r="M368" s="385">
        <v>0</v>
      </c>
      <c r="N368" s="383"/>
      <c r="O368" s="383"/>
      <c r="P368" s="389">
        <v>930.44</v>
      </c>
    </row>
    <row r="369" spans="1:16" ht="19.5" customHeight="1">
      <c r="A369" s="379" t="s">
        <v>1306</v>
      </c>
      <c r="B369" s="382">
        <v>45983</v>
      </c>
      <c r="C369" s="379" t="s">
        <v>35</v>
      </c>
      <c r="D369" s="379" t="s">
        <v>36</v>
      </c>
      <c r="E369" s="379" t="s">
        <v>226</v>
      </c>
      <c r="F369" s="379" t="s">
        <v>428</v>
      </c>
      <c r="G369" s="379" t="s">
        <v>1229</v>
      </c>
      <c r="H369" s="383">
        <v>1</v>
      </c>
      <c r="I369" s="384">
        <v>1800</v>
      </c>
      <c r="J369" s="382">
        <v>45978</v>
      </c>
      <c r="K369" s="379" t="s">
        <v>957</v>
      </c>
      <c r="L369" s="379" t="s">
        <v>30</v>
      </c>
      <c r="M369" s="385">
        <v>0.43</v>
      </c>
      <c r="N369" s="383"/>
      <c r="O369" s="383"/>
      <c r="P369" s="389">
        <v>-774</v>
      </c>
    </row>
    <row r="370" spans="1:16" ht="19.5" customHeight="1">
      <c r="A370" s="379" t="s">
        <v>1306</v>
      </c>
      <c r="B370" s="382">
        <v>45983</v>
      </c>
      <c r="C370" s="379" t="s">
        <v>17</v>
      </c>
      <c r="D370" s="379" t="s">
        <v>37</v>
      </c>
      <c r="E370" s="379" t="s">
        <v>226</v>
      </c>
      <c r="F370" s="379" t="s">
        <v>428</v>
      </c>
      <c r="G370" s="379" t="s">
        <v>1229</v>
      </c>
      <c r="H370" s="383">
        <v>1</v>
      </c>
      <c r="I370" s="384">
        <v>1800</v>
      </c>
      <c r="J370" s="382">
        <v>45978</v>
      </c>
      <c r="K370" s="379" t="s">
        <v>957</v>
      </c>
      <c r="L370" s="379" t="s">
        <v>30</v>
      </c>
      <c r="M370" s="385">
        <v>0.43</v>
      </c>
      <c r="N370" s="383"/>
      <c r="O370" s="383"/>
      <c r="P370" s="389">
        <v>-14.21</v>
      </c>
    </row>
    <row r="371" spans="1:16" ht="19.5" customHeight="1">
      <c r="A371" s="379" t="s">
        <v>1307</v>
      </c>
      <c r="B371" s="382">
        <v>45983</v>
      </c>
      <c r="C371" s="379" t="s">
        <v>28</v>
      </c>
      <c r="D371" s="379" t="s">
        <v>29</v>
      </c>
      <c r="E371" s="379" t="s">
        <v>228</v>
      </c>
      <c r="F371" s="379" t="s">
        <v>393</v>
      </c>
      <c r="G371" s="379" t="s">
        <v>1229</v>
      </c>
      <c r="H371" s="383">
        <v>1</v>
      </c>
      <c r="I371" s="384">
        <v>1420</v>
      </c>
      <c r="J371" s="382">
        <v>45979</v>
      </c>
      <c r="K371" s="379" t="s">
        <v>957</v>
      </c>
      <c r="L371" s="379" t="s">
        <v>30</v>
      </c>
      <c r="M371" s="385">
        <v>0.43</v>
      </c>
      <c r="N371" s="383"/>
      <c r="O371" s="383">
        <v>46</v>
      </c>
      <c r="P371" s="389">
        <v>-126.73</v>
      </c>
    </row>
    <row r="372" spans="1:16" ht="19.5" customHeight="1">
      <c r="A372" s="379" t="s">
        <v>1307</v>
      </c>
      <c r="B372" s="382">
        <v>45983</v>
      </c>
      <c r="C372" s="379" t="s">
        <v>31</v>
      </c>
      <c r="D372" s="379" t="s">
        <v>32</v>
      </c>
      <c r="E372" s="379" t="s">
        <v>228</v>
      </c>
      <c r="F372" s="379" t="s">
        <v>393</v>
      </c>
      <c r="G372" s="379" t="s">
        <v>1229</v>
      </c>
      <c r="H372" s="383">
        <v>1</v>
      </c>
      <c r="I372" s="384">
        <v>1420</v>
      </c>
      <c r="J372" s="382">
        <v>45979</v>
      </c>
      <c r="K372" s="379" t="s">
        <v>957</v>
      </c>
      <c r="L372" s="379" t="s">
        <v>30</v>
      </c>
      <c r="M372" s="385">
        <v>0</v>
      </c>
      <c r="N372" s="383"/>
      <c r="O372" s="383"/>
      <c r="P372" s="389">
        <v>494.3</v>
      </c>
    </row>
    <row r="373" spans="1:16" ht="19.5" customHeight="1">
      <c r="A373" s="379" t="s">
        <v>1307</v>
      </c>
      <c r="B373" s="382">
        <v>45983</v>
      </c>
      <c r="C373" s="379" t="s">
        <v>31</v>
      </c>
      <c r="D373" s="379" t="s">
        <v>33</v>
      </c>
      <c r="E373" s="379" t="s">
        <v>228</v>
      </c>
      <c r="F373" s="379" t="s">
        <v>393</v>
      </c>
      <c r="G373" s="379" t="s">
        <v>1229</v>
      </c>
      <c r="H373" s="383">
        <v>1</v>
      </c>
      <c r="I373" s="384">
        <v>1420</v>
      </c>
      <c r="J373" s="382">
        <v>45979</v>
      </c>
      <c r="K373" s="379" t="s">
        <v>957</v>
      </c>
      <c r="L373" s="379" t="s">
        <v>30</v>
      </c>
      <c r="M373" s="385">
        <v>0</v>
      </c>
      <c r="N373" s="383"/>
      <c r="O373" s="383"/>
      <c r="P373" s="389">
        <v>4.9400000000000004</v>
      </c>
    </row>
    <row r="374" spans="1:16" ht="19.5" customHeight="1">
      <c r="A374" s="379" t="s">
        <v>1307</v>
      </c>
      <c r="B374" s="382">
        <v>45983</v>
      </c>
      <c r="C374" s="379" t="s">
        <v>31</v>
      </c>
      <c r="D374" s="379" t="s">
        <v>34</v>
      </c>
      <c r="E374" s="379" t="s">
        <v>228</v>
      </c>
      <c r="F374" s="379" t="s">
        <v>393</v>
      </c>
      <c r="G374" s="379" t="s">
        <v>1229</v>
      </c>
      <c r="H374" s="383">
        <v>1</v>
      </c>
      <c r="I374" s="384">
        <v>1420</v>
      </c>
      <c r="J374" s="382">
        <v>45979</v>
      </c>
      <c r="K374" s="379" t="s">
        <v>957</v>
      </c>
      <c r="L374" s="379" t="s">
        <v>30</v>
      </c>
      <c r="M374" s="385">
        <v>0</v>
      </c>
      <c r="N374" s="383"/>
      <c r="O374" s="383"/>
      <c r="P374" s="389">
        <v>920.76</v>
      </c>
    </row>
    <row r="375" spans="1:16" ht="19.5" customHeight="1">
      <c r="A375" s="379" t="s">
        <v>1307</v>
      </c>
      <c r="B375" s="382">
        <v>45983</v>
      </c>
      <c r="C375" s="379" t="s">
        <v>35</v>
      </c>
      <c r="D375" s="379" t="s">
        <v>36</v>
      </c>
      <c r="E375" s="379" t="s">
        <v>228</v>
      </c>
      <c r="F375" s="379" t="s">
        <v>393</v>
      </c>
      <c r="G375" s="379" t="s">
        <v>1229</v>
      </c>
      <c r="H375" s="383">
        <v>1</v>
      </c>
      <c r="I375" s="384">
        <v>1420</v>
      </c>
      <c r="J375" s="382">
        <v>45979</v>
      </c>
      <c r="K375" s="379" t="s">
        <v>957</v>
      </c>
      <c r="L375" s="379" t="s">
        <v>30</v>
      </c>
      <c r="M375" s="385">
        <v>0.43</v>
      </c>
      <c r="N375" s="383"/>
      <c r="O375" s="383"/>
      <c r="P375" s="389">
        <v>-610.6</v>
      </c>
    </row>
    <row r="376" spans="1:16" ht="19.5" customHeight="1">
      <c r="A376" s="379" t="s">
        <v>1307</v>
      </c>
      <c r="B376" s="382">
        <v>45983</v>
      </c>
      <c r="C376" s="379" t="s">
        <v>17</v>
      </c>
      <c r="D376" s="379" t="s">
        <v>37</v>
      </c>
      <c r="E376" s="379" t="s">
        <v>228</v>
      </c>
      <c r="F376" s="379" t="s">
        <v>393</v>
      </c>
      <c r="G376" s="379" t="s">
        <v>1229</v>
      </c>
      <c r="H376" s="383">
        <v>1</v>
      </c>
      <c r="I376" s="384">
        <v>1420</v>
      </c>
      <c r="J376" s="382">
        <v>45979</v>
      </c>
      <c r="K376" s="379" t="s">
        <v>957</v>
      </c>
      <c r="L376" s="379" t="s">
        <v>30</v>
      </c>
      <c r="M376" s="385">
        <v>0.43</v>
      </c>
      <c r="N376" s="383"/>
      <c r="O376" s="383"/>
      <c r="P376" s="389">
        <v>-6.07</v>
      </c>
    </row>
    <row r="377" spans="1:16" ht="19.5" customHeight="1">
      <c r="A377" s="379" t="s">
        <v>1308</v>
      </c>
      <c r="B377" s="382">
        <v>45983</v>
      </c>
      <c r="C377" s="379" t="s">
        <v>28</v>
      </c>
      <c r="D377" s="379" t="s">
        <v>29</v>
      </c>
      <c r="E377" s="379" t="s">
        <v>1054</v>
      </c>
      <c r="F377" s="379" t="s">
        <v>1297</v>
      </c>
      <c r="G377" s="379" t="s">
        <v>1298</v>
      </c>
      <c r="H377" s="383">
        <v>1</v>
      </c>
      <c r="I377" s="384">
        <v>1800</v>
      </c>
      <c r="J377" s="382">
        <v>45981</v>
      </c>
      <c r="K377" s="379" t="s">
        <v>957</v>
      </c>
      <c r="L377" s="379" t="s">
        <v>30</v>
      </c>
      <c r="M377" s="385">
        <v>0.43</v>
      </c>
      <c r="N377" s="383"/>
      <c r="O377" s="383">
        <v>44</v>
      </c>
      <c r="P377" s="389">
        <v>-131.68</v>
      </c>
    </row>
    <row r="378" spans="1:16" ht="19.5" customHeight="1">
      <c r="A378" s="379" t="s">
        <v>1308</v>
      </c>
      <c r="B378" s="382">
        <v>45983</v>
      </c>
      <c r="C378" s="379" t="s">
        <v>31</v>
      </c>
      <c r="D378" s="379" t="s">
        <v>32</v>
      </c>
      <c r="E378" s="379" t="s">
        <v>1054</v>
      </c>
      <c r="F378" s="379" t="s">
        <v>1297</v>
      </c>
      <c r="G378" s="379" t="s">
        <v>1298</v>
      </c>
      <c r="H378" s="383">
        <v>1</v>
      </c>
      <c r="I378" s="384">
        <v>1800</v>
      </c>
      <c r="J378" s="382">
        <v>45981</v>
      </c>
      <c r="K378" s="379" t="s">
        <v>957</v>
      </c>
      <c r="L378" s="379" t="s">
        <v>30</v>
      </c>
      <c r="M378" s="385">
        <v>0</v>
      </c>
      <c r="N378" s="383"/>
      <c r="O378" s="383"/>
      <c r="P378" s="389">
        <v>1006.66</v>
      </c>
    </row>
    <row r="379" spans="1:16" ht="19.5" customHeight="1">
      <c r="A379" s="379" t="s">
        <v>1308</v>
      </c>
      <c r="B379" s="382">
        <v>45983</v>
      </c>
      <c r="C379" s="379" t="s">
        <v>31</v>
      </c>
      <c r="D379" s="379" t="s">
        <v>33</v>
      </c>
      <c r="E379" s="379" t="s">
        <v>1054</v>
      </c>
      <c r="F379" s="379" t="s">
        <v>1297</v>
      </c>
      <c r="G379" s="379" t="s">
        <v>1298</v>
      </c>
      <c r="H379" s="383">
        <v>1</v>
      </c>
      <c r="I379" s="384">
        <v>1800</v>
      </c>
      <c r="J379" s="382">
        <v>45981</v>
      </c>
      <c r="K379" s="379" t="s">
        <v>957</v>
      </c>
      <c r="L379" s="379" t="s">
        <v>30</v>
      </c>
      <c r="M379" s="385">
        <v>0</v>
      </c>
      <c r="N379" s="383"/>
      <c r="O379" s="383"/>
      <c r="P379" s="389">
        <v>10.07</v>
      </c>
    </row>
    <row r="380" spans="1:16" ht="19.5" customHeight="1">
      <c r="A380" s="379" t="s">
        <v>1308</v>
      </c>
      <c r="B380" s="382">
        <v>45983</v>
      </c>
      <c r="C380" s="379" t="s">
        <v>31</v>
      </c>
      <c r="D380" s="379" t="s">
        <v>34</v>
      </c>
      <c r="E380" s="379" t="s">
        <v>1054</v>
      </c>
      <c r="F380" s="379" t="s">
        <v>1297</v>
      </c>
      <c r="G380" s="379" t="s">
        <v>1298</v>
      </c>
      <c r="H380" s="383">
        <v>1</v>
      </c>
      <c r="I380" s="384">
        <v>1800</v>
      </c>
      <c r="J380" s="382">
        <v>45981</v>
      </c>
      <c r="K380" s="379" t="s">
        <v>957</v>
      </c>
      <c r="L380" s="379" t="s">
        <v>30</v>
      </c>
      <c r="M380" s="385">
        <v>0</v>
      </c>
      <c r="N380" s="383"/>
      <c r="O380" s="383"/>
      <c r="P380" s="389">
        <v>783.27</v>
      </c>
    </row>
    <row r="381" spans="1:16" ht="19.5" customHeight="1">
      <c r="A381" s="379" t="s">
        <v>1308</v>
      </c>
      <c r="B381" s="382">
        <v>45983</v>
      </c>
      <c r="C381" s="379" t="s">
        <v>35</v>
      </c>
      <c r="D381" s="379" t="s">
        <v>36</v>
      </c>
      <c r="E381" s="379" t="s">
        <v>1054</v>
      </c>
      <c r="F381" s="379" t="s">
        <v>1297</v>
      </c>
      <c r="G381" s="379" t="s">
        <v>1298</v>
      </c>
      <c r="H381" s="383">
        <v>1</v>
      </c>
      <c r="I381" s="384">
        <v>1800</v>
      </c>
      <c r="J381" s="382">
        <v>45981</v>
      </c>
      <c r="K381" s="379" t="s">
        <v>957</v>
      </c>
      <c r="L381" s="379" t="s">
        <v>30</v>
      </c>
      <c r="M381" s="385">
        <v>0.43</v>
      </c>
      <c r="N381" s="383"/>
      <c r="O381" s="383"/>
      <c r="P381" s="389">
        <v>-774</v>
      </c>
    </row>
    <row r="382" spans="1:16" ht="19.5" customHeight="1">
      <c r="A382" s="379" t="s">
        <v>1308</v>
      </c>
      <c r="B382" s="382">
        <v>45983</v>
      </c>
      <c r="C382" s="379" t="s">
        <v>17</v>
      </c>
      <c r="D382" s="379" t="s">
        <v>37</v>
      </c>
      <c r="E382" s="379" t="s">
        <v>1054</v>
      </c>
      <c r="F382" s="379" t="s">
        <v>1297</v>
      </c>
      <c r="G382" s="379" t="s">
        <v>1298</v>
      </c>
      <c r="H382" s="383">
        <v>1</v>
      </c>
      <c r="I382" s="384">
        <v>1800</v>
      </c>
      <c r="J382" s="382">
        <v>45981</v>
      </c>
      <c r="K382" s="379" t="s">
        <v>957</v>
      </c>
      <c r="L382" s="379" t="s">
        <v>30</v>
      </c>
      <c r="M382" s="385">
        <v>0.43</v>
      </c>
      <c r="N382" s="383"/>
      <c r="O382" s="383"/>
      <c r="P382" s="389">
        <v>-14.38</v>
      </c>
    </row>
    <row r="383" spans="1:16" ht="19.5" customHeight="1">
      <c r="A383" s="379" t="s">
        <v>1307</v>
      </c>
      <c r="B383" s="382">
        <v>45983</v>
      </c>
      <c r="C383" s="379" t="s">
        <v>17</v>
      </c>
      <c r="D383" s="379" t="s">
        <v>18</v>
      </c>
      <c r="E383" s="379" t="s">
        <v>228</v>
      </c>
      <c r="F383" s="379" t="s">
        <v>393</v>
      </c>
      <c r="G383" s="379" t="s">
        <v>1229</v>
      </c>
      <c r="H383" s="383">
        <v>1</v>
      </c>
      <c r="I383" s="384">
        <v>0</v>
      </c>
      <c r="J383" s="382">
        <v>45979</v>
      </c>
      <c r="K383" s="379" t="s">
        <v>22</v>
      </c>
      <c r="L383" s="379" t="s">
        <v>22</v>
      </c>
      <c r="M383" s="385">
        <v>0</v>
      </c>
      <c r="N383" s="383"/>
      <c r="O383" s="383"/>
      <c r="P383" s="389">
        <v>-9.39</v>
      </c>
    </row>
    <row r="384" spans="1:16" ht="19.5" customHeight="1">
      <c r="A384" s="379" t="s">
        <v>1308</v>
      </c>
      <c r="B384" s="382">
        <v>45983</v>
      </c>
      <c r="C384" s="379" t="s">
        <v>17</v>
      </c>
      <c r="D384" s="379" t="s">
        <v>18</v>
      </c>
      <c r="E384" s="379" t="s">
        <v>1054</v>
      </c>
      <c r="F384" s="379" t="s">
        <v>1297</v>
      </c>
      <c r="G384" s="379" t="s">
        <v>1298</v>
      </c>
      <c r="H384" s="383">
        <v>1</v>
      </c>
      <c r="I384" s="384">
        <v>0</v>
      </c>
      <c r="J384" s="382">
        <v>45981</v>
      </c>
      <c r="K384" s="379" t="s">
        <v>22</v>
      </c>
      <c r="L384" s="379" t="s">
        <v>22</v>
      </c>
      <c r="M384" s="385">
        <v>0</v>
      </c>
      <c r="N384" s="383"/>
      <c r="O384" s="383"/>
      <c r="P384" s="389">
        <v>-19.13</v>
      </c>
    </row>
    <row r="385" spans="1:16" ht="19.5" customHeight="1">
      <c r="A385" s="379" t="s">
        <v>1309</v>
      </c>
      <c r="B385" s="382">
        <v>45983</v>
      </c>
      <c r="C385" s="379" t="s">
        <v>28</v>
      </c>
      <c r="D385" s="379" t="s">
        <v>29</v>
      </c>
      <c r="E385" s="379" t="s">
        <v>235</v>
      </c>
      <c r="F385" s="379" t="s">
        <v>528</v>
      </c>
      <c r="G385" s="379" t="s">
        <v>1133</v>
      </c>
      <c r="H385" s="383">
        <v>1</v>
      </c>
      <c r="I385" s="384">
        <v>0</v>
      </c>
      <c r="J385" s="382">
        <v>45973</v>
      </c>
      <c r="K385" s="379" t="s">
        <v>957</v>
      </c>
      <c r="L385" s="379" t="s">
        <v>30</v>
      </c>
      <c r="M385" s="385">
        <v>0</v>
      </c>
      <c r="N385" s="383"/>
      <c r="O385" s="383"/>
      <c r="P385" s="389">
        <v>-56</v>
      </c>
    </row>
    <row r="386" spans="1:16" ht="19.5" customHeight="1">
      <c r="A386" s="379" t="s">
        <v>1309</v>
      </c>
      <c r="B386" s="382">
        <v>45983</v>
      </c>
      <c r="C386" s="379" t="s">
        <v>17</v>
      </c>
      <c r="D386" s="379" t="s">
        <v>37</v>
      </c>
      <c r="E386" s="379" t="s">
        <v>235</v>
      </c>
      <c r="F386" s="379" t="s">
        <v>528</v>
      </c>
      <c r="G386" s="379" t="s">
        <v>1133</v>
      </c>
      <c r="H386" s="383">
        <v>1</v>
      </c>
      <c r="I386" s="384">
        <v>0</v>
      </c>
      <c r="J386" s="382">
        <v>45973</v>
      </c>
      <c r="K386" s="379" t="s">
        <v>957</v>
      </c>
      <c r="L386" s="379" t="s">
        <v>30</v>
      </c>
      <c r="M386" s="385">
        <v>0</v>
      </c>
      <c r="N386" s="383"/>
      <c r="O386" s="383"/>
      <c r="P386" s="389">
        <v>-14.33</v>
      </c>
    </row>
    <row r="387" spans="1:16" ht="19.5" customHeight="1">
      <c r="A387" s="379" t="s">
        <v>1309</v>
      </c>
      <c r="B387" s="382">
        <v>45983</v>
      </c>
      <c r="C387" s="379" t="s">
        <v>28</v>
      </c>
      <c r="D387" s="379" t="s">
        <v>356</v>
      </c>
      <c r="E387" s="379" t="s">
        <v>235</v>
      </c>
      <c r="F387" s="379" t="s">
        <v>528</v>
      </c>
      <c r="G387" s="379" t="s">
        <v>1133</v>
      </c>
      <c r="H387" s="383">
        <v>1</v>
      </c>
      <c r="I387" s="384">
        <v>0</v>
      </c>
      <c r="J387" s="382">
        <v>45973</v>
      </c>
      <c r="K387" s="379" t="s">
        <v>957</v>
      </c>
      <c r="L387" s="379" t="s">
        <v>30</v>
      </c>
      <c r="M387" s="385">
        <v>0</v>
      </c>
      <c r="N387" s="383"/>
      <c r="O387" s="383"/>
      <c r="P387" s="389">
        <v>0</v>
      </c>
    </row>
    <row r="388" spans="1:16" ht="19.5" customHeight="1">
      <c r="A388" s="379" t="s">
        <v>1309</v>
      </c>
      <c r="B388" s="382">
        <v>45983</v>
      </c>
      <c r="C388" s="379" t="s">
        <v>28</v>
      </c>
      <c r="D388" s="379" t="s">
        <v>46</v>
      </c>
      <c r="E388" s="379" t="s">
        <v>235</v>
      </c>
      <c r="F388" s="379" t="s">
        <v>528</v>
      </c>
      <c r="G388" s="379" t="s">
        <v>1133</v>
      </c>
      <c r="H388" s="383">
        <v>1</v>
      </c>
      <c r="I388" s="384">
        <v>0</v>
      </c>
      <c r="J388" s="382">
        <v>45973</v>
      </c>
      <c r="K388" s="379" t="s">
        <v>957</v>
      </c>
      <c r="L388" s="379" t="s">
        <v>30</v>
      </c>
      <c r="M388" s="385">
        <v>0</v>
      </c>
      <c r="N388" s="383"/>
      <c r="O388" s="383"/>
      <c r="P388" s="389">
        <v>-56</v>
      </c>
    </row>
    <row r="389" spans="1:16" ht="19.5" customHeight="1">
      <c r="A389" s="379" t="s">
        <v>1309</v>
      </c>
      <c r="B389" s="382">
        <v>45983</v>
      </c>
      <c r="C389" s="379" t="s">
        <v>17</v>
      </c>
      <c r="D389" s="379" t="s">
        <v>47</v>
      </c>
      <c r="E389" s="379" t="s">
        <v>235</v>
      </c>
      <c r="F389" s="379" t="s">
        <v>528</v>
      </c>
      <c r="G389" s="379" t="s">
        <v>1133</v>
      </c>
      <c r="H389" s="383">
        <v>1</v>
      </c>
      <c r="I389" s="384">
        <v>0</v>
      </c>
      <c r="J389" s="382">
        <v>45973</v>
      </c>
      <c r="K389" s="379" t="s">
        <v>957</v>
      </c>
      <c r="L389" s="379" t="s">
        <v>30</v>
      </c>
      <c r="M389" s="385">
        <v>0</v>
      </c>
      <c r="N389" s="383"/>
      <c r="O389" s="383"/>
      <c r="P389" s="389">
        <v>-15</v>
      </c>
    </row>
    <row r="390" spans="1:16" ht="19.5" customHeight="1">
      <c r="A390" s="379" t="s">
        <v>1310</v>
      </c>
      <c r="B390" s="382">
        <v>45983</v>
      </c>
      <c r="C390" s="379" t="s">
        <v>28</v>
      </c>
      <c r="D390" s="379" t="s">
        <v>29</v>
      </c>
      <c r="E390" s="379" t="s">
        <v>223</v>
      </c>
      <c r="F390" s="379" t="s">
        <v>395</v>
      </c>
      <c r="G390" s="379" t="s">
        <v>1229</v>
      </c>
      <c r="H390" s="383">
        <v>1</v>
      </c>
      <c r="I390" s="384">
        <v>1687</v>
      </c>
      <c r="J390" s="382">
        <v>45982</v>
      </c>
      <c r="K390" s="379" t="s">
        <v>957</v>
      </c>
      <c r="L390" s="379" t="s">
        <v>30</v>
      </c>
      <c r="M390" s="385">
        <v>0.43</v>
      </c>
      <c r="N390" s="383"/>
      <c r="O390" s="383">
        <v>43</v>
      </c>
      <c r="P390" s="389">
        <v>-124.21</v>
      </c>
    </row>
    <row r="391" spans="1:16" ht="19.5" customHeight="1">
      <c r="A391" s="379" t="s">
        <v>1310</v>
      </c>
      <c r="B391" s="382">
        <v>45983</v>
      </c>
      <c r="C391" s="379" t="s">
        <v>31</v>
      </c>
      <c r="D391" s="379" t="s">
        <v>32</v>
      </c>
      <c r="E391" s="379" t="s">
        <v>223</v>
      </c>
      <c r="F391" s="379" t="s">
        <v>395</v>
      </c>
      <c r="G391" s="379" t="s">
        <v>1229</v>
      </c>
      <c r="H391" s="383">
        <v>1</v>
      </c>
      <c r="I391" s="384">
        <v>1687</v>
      </c>
      <c r="J391" s="382">
        <v>45982</v>
      </c>
      <c r="K391" s="379" t="s">
        <v>957</v>
      </c>
      <c r="L391" s="379" t="s">
        <v>30</v>
      </c>
      <c r="M391" s="385">
        <v>0</v>
      </c>
      <c r="N391" s="383"/>
      <c r="O391" s="383"/>
      <c r="P391" s="389">
        <v>680</v>
      </c>
    </row>
    <row r="392" spans="1:16" ht="19.5" customHeight="1">
      <c r="A392" s="379" t="s">
        <v>1310</v>
      </c>
      <c r="B392" s="382">
        <v>45983</v>
      </c>
      <c r="C392" s="379" t="s">
        <v>31</v>
      </c>
      <c r="D392" s="379" t="s">
        <v>33</v>
      </c>
      <c r="E392" s="379" t="s">
        <v>223</v>
      </c>
      <c r="F392" s="379" t="s">
        <v>395</v>
      </c>
      <c r="G392" s="379" t="s">
        <v>1229</v>
      </c>
      <c r="H392" s="383">
        <v>1</v>
      </c>
      <c r="I392" s="384">
        <v>1687</v>
      </c>
      <c r="J392" s="382">
        <v>45982</v>
      </c>
      <c r="K392" s="379" t="s">
        <v>957</v>
      </c>
      <c r="L392" s="379" t="s">
        <v>30</v>
      </c>
      <c r="M392" s="385">
        <v>0</v>
      </c>
      <c r="N392" s="383"/>
      <c r="O392" s="383"/>
      <c r="P392" s="389">
        <v>6.8</v>
      </c>
    </row>
    <row r="393" spans="1:16" ht="19.5" customHeight="1">
      <c r="A393" s="379" t="s">
        <v>1310</v>
      </c>
      <c r="B393" s="382">
        <v>45983</v>
      </c>
      <c r="C393" s="379" t="s">
        <v>31</v>
      </c>
      <c r="D393" s="379" t="s">
        <v>34</v>
      </c>
      <c r="E393" s="379" t="s">
        <v>223</v>
      </c>
      <c r="F393" s="379" t="s">
        <v>395</v>
      </c>
      <c r="G393" s="379" t="s">
        <v>1229</v>
      </c>
      <c r="H393" s="383">
        <v>1</v>
      </c>
      <c r="I393" s="384">
        <v>1687</v>
      </c>
      <c r="J393" s="382">
        <v>45982</v>
      </c>
      <c r="K393" s="379" t="s">
        <v>957</v>
      </c>
      <c r="L393" s="379" t="s">
        <v>30</v>
      </c>
      <c r="M393" s="385">
        <v>0</v>
      </c>
      <c r="N393" s="383"/>
      <c r="O393" s="383"/>
      <c r="P393" s="389">
        <v>1000.2</v>
      </c>
    </row>
    <row r="394" spans="1:16" ht="19.5" customHeight="1">
      <c r="A394" s="379" t="s">
        <v>1310</v>
      </c>
      <c r="B394" s="382">
        <v>45983</v>
      </c>
      <c r="C394" s="379" t="s">
        <v>35</v>
      </c>
      <c r="D394" s="379" t="s">
        <v>36</v>
      </c>
      <c r="E394" s="379" t="s">
        <v>223</v>
      </c>
      <c r="F394" s="379" t="s">
        <v>395</v>
      </c>
      <c r="G394" s="379" t="s">
        <v>1229</v>
      </c>
      <c r="H394" s="383">
        <v>1</v>
      </c>
      <c r="I394" s="384">
        <v>1687</v>
      </c>
      <c r="J394" s="382">
        <v>45982</v>
      </c>
      <c r="K394" s="379" t="s">
        <v>957</v>
      </c>
      <c r="L394" s="379" t="s">
        <v>30</v>
      </c>
      <c r="M394" s="385">
        <v>0.43</v>
      </c>
      <c r="N394" s="383"/>
      <c r="O394" s="383"/>
      <c r="P394" s="389">
        <v>-725.41</v>
      </c>
    </row>
    <row r="395" spans="1:16" ht="19.5" customHeight="1">
      <c r="A395" s="379" t="s">
        <v>1310</v>
      </c>
      <c r="B395" s="382">
        <v>45983</v>
      </c>
      <c r="C395" s="379" t="s">
        <v>17</v>
      </c>
      <c r="D395" s="379" t="s">
        <v>37</v>
      </c>
      <c r="E395" s="379" t="s">
        <v>223</v>
      </c>
      <c r="F395" s="379" t="s">
        <v>395</v>
      </c>
      <c r="G395" s="379" t="s">
        <v>1229</v>
      </c>
      <c r="H395" s="383">
        <v>1</v>
      </c>
      <c r="I395" s="384">
        <v>1687</v>
      </c>
      <c r="J395" s="382">
        <v>45982</v>
      </c>
      <c r="K395" s="379" t="s">
        <v>957</v>
      </c>
      <c r="L395" s="379" t="s">
        <v>30</v>
      </c>
      <c r="M395" s="385">
        <v>0.43</v>
      </c>
      <c r="N395" s="383"/>
      <c r="O395" s="383"/>
      <c r="P395" s="389">
        <v>-13.84</v>
      </c>
    </row>
    <row r="396" spans="1:16" ht="19.5" customHeight="1">
      <c r="A396" s="379" t="s">
        <v>1311</v>
      </c>
      <c r="B396" s="382">
        <v>45983</v>
      </c>
      <c r="C396" s="379" t="s">
        <v>28</v>
      </c>
      <c r="D396" s="379" t="s">
        <v>29</v>
      </c>
      <c r="E396" s="379" t="s">
        <v>223</v>
      </c>
      <c r="F396" s="379" t="s">
        <v>395</v>
      </c>
      <c r="G396" s="379" t="s">
        <v>1229</v>
      </c>
      <c r="H396" s="383">
        <v>1</v>
      </c>
      <c r="I396" s="384">
        <v>1687</v>
      </c>
      <c r="J396" s="382">
        <v>45982</v>
      </c>
      <c r="K396" s="379" t="s">
        <v>957</v>
      </c>
      <c r="L396" s="379" t="s">
        <v>30</v>
      </c>
      <c r="M396" s="385">
        <v>0.43</v>
      </c>
      <c r="N396" s="383"/>
      <c r="O396" s="383">
        <v>43</v>
      </c>
      <c r="P396" s="389">
        <v>-124.21</v>
      </c>
    </row>
    <row r="397" spans="1:16" ht="19.5" customHeight="1">
      <c r="A397" s="379" t="s">
        <v>1311</v>
      </c>
      <c r="B397" s="382">
        <v>45983</v>
      </c>
      <c r="C397" s="379" t="s">
        <v>31</v>
      </c>
      <c r="D397" s="379" t="s">
        <v>32</v>
      </c>
      <c r="E397" s="379" t="s">
        <v>223</v>
      </c>
      <c r="F397" s="379" t="s">
        <v>395</v>
      </c>
      <c r="G397" s="379" t="s">
        <v>1229</v>
      </c>
      <c r="H397" s="383">
        <v>1</v>
      </c>
      <c r="I397" s="384">
        <v>1687</v>
      </c>
      <c r="J397" s="382">
        <v>45982</v>
      </c>
      <c r="K397" s="379" t="s">
        <v>957</v>
      </c>
      <c r="L397" s="379" t="s">
        <v>30</v>
      </c>
      <c r="M397" s="385">
        <v>0</v>
      </c>
      <c r="N397" s="383"/>
      <c r="O397" s="383"/>
      <c r="P397" s="389">
        <v>680</v>
      </c>
    </row>
    <row r="398" spans="1:16" ht="19.5" customHeight="1">
      <c r="A398" s="379" t="s">
        <v>1311</v>
      </c>
      <c r="B398" s="382">
        <v>45983</v>
      </c>
      <c r="C398" s="379" t="s">
        <v>31</v>
      </c>
      <c r="D398" s="379" t="s">
        <v>33</v>
      </c>
      <c r="E398" s="379" t="s">
        <v>223</v>
      </c>
      <c r="F398" s="379" t="s">
        <v>395</v>
      </c>
      <c r="G398" s="379" t="s">
        <v>1229</v>
      </c>
      <c r="H398" s="383">
        <v>1</v>
      </c>
      <c r="I398" s="384">
        <v>1687</v>
      </c>
      <c r="J398" s="382">
        <v>45982</v>
      </c>
      <c r="K398" s="379" t="s">
        <v>957</v>
      </c>
      <c r="L398" s="379" t="s">
        <v>30</v>
      </c>
      <c r="M398" s="385">
        <v>0</v>
      </c>
      <c r="N398" s="383"/>
      <c r="O398" s="383"/>
      <c r="P398" s="389">
        <v>6.8</v>
      </c>
    </row>
    <row r="399" spans="1:16" ht="19.5" customHeight="1">
      <c r="A399" s="379" t="s">
        <v>1311</v>
      </c>
      <c r="B399" s="382">
        <v>45983</v>
      </c>
      <c r="C399" s="379" t="s">
        <v>31</v>
      </c>
      <c r="D399" s="379" t="s">
        <v>34</v>
      </c>
      <c r="E399" s="379" t="s">
        <v>223</v>
      </c>
      <c r="F399" s="379" t="s">
        <v>395</v>
      </c>
      <c r="G399" s="379" t="s">
        <v>1229</v>
      </c>
      <c r="H399" s="383">
        <v>1</v>
      </c>
      <c r="I399" s="384">
        <v>1687</v>
      </c>
      <c r="J399" s="382">
        <v>45982</v>
      </c>
      <c r="K399" s="379" t="s">
        <v>957</v>
      </c>
      <c r="L399" s="379" t="s">
        <v>30</v>
      </c>
      <c r="M399" s="385">
        <v>0</v>
      </c>
      <c r="N399" s="383"/>
      <c r="O399" s="383"/>
      <c r="P399" s="389">
        <v>1000.2</v>
      </c>
    </row>
    <row r="400" spans="1:16" ht="19.5" customHeight="1">
      <c r="A400" s="379" t="s">
        <v>1311</v>
      </c>
      <c r="B400" s="382">
        <v>45983</v>
      </c>
      <c r="C400" s="379" t="s">
        <v>35</v>
      </c>
      <c r="D400" s="379" t="s">
        <v>36</v>
      </c>
      <c r="E400" s="379" t="s">
        <v>223</v>
      </c>
      <c r="F400" s="379" t="s">
        <v>395</v>
      </c>
      <c r="G400" s="379" t="s">
        <v>1229</v>
      </c>
      <c r="H400" s="383">
        <v>1</v>
      </c>
      <c r="I400" s="384">
        <v>1687</v>
      </c>
      <c r="J400" s="382">
        <v>45982</v>
      </c>
      <c r="K400" s="379" t="s">
        <v>957</v>
      </c>
      <c r="L400" s="379" t="s">
        <v>30</v>
      </c>
      <c r="M400" s="385">
        <v>0.43</v>
      </c>
      <c r="N400" s="383"/>
      <c r="O400" s="383"/>
      <c r="P400" s="389">
        <v>-725.41</v>
      </c>
    </row>
    <row r="401" spans="1:16" ht="19.5" customHeight="1">
      <c r="A401" s="379" t="s">
        <v>1311</v>
      </c>
      <c r="B401" s="382">
        <v>45983</v>
      </c>
      <c r="C401" s="379" t="s">
        <v>17</v>
      </c>
      <c r="D401" s="379" t="s">
        <v>37</v>
      </c>
      <c r="E401" s="379" t="s">
        <v>223</v>
      </c>
      <c r="F401" s="379" t="s">
        <v>395</v>
      </c>
      <c r="G401" s="379" t="s">
        <v>1229</v>
      </c>
      <c r="H401" s="383">
        <v>1</v>
      </c>
      <c r="I401" s="384">
        <v>1687</v>
      </c>
      <c r="J401" s="382">
        <v>45982</v>
      </c>
      <c r="K401" s="379" t="s">
        <v>957</v>
      </c>
      <c r="L401" s="379" t="s">
        <v>30</v>
      </c>
      <c r="M401" s="385">
        <v>0.43</v>
      </c>
      <c r="N401" s="383"/>
      <c r="O401" s="383"/>
      <c r="P401" s="389">
        <v>-13.84</v>
      </c>
    </row>
    <row r="402" spans="1:16" ht="19.5" customHeight="1">
      <c r="A402" s="379" t="s">
        <v>1310</v>
      </c>
      <c r="B402" s="382">
        <v>45983</v>
      </c>
      <c r="C402" s="379" t="s">
        <v>17</v>
      </c>
      <c r="D402" s="379" t="s">
        <v>18</v>
      </c>
      <c r="E402" s="379" t="s">
        <v>223</v>
      </c>
      <c r="F402" s="379" t="s">
        <v>395</v>
      </c>
      <c r="G402" s="379" t="s">
        <v>1229</v>
      </c>
      <c r="H402" s="383">
        <v>1</v>
      </c>
      <c r="I402" s="384">
        <v>0</v>
      </c>
      <c r="J402" s="382">
        <v>45982</v>
      </c>
      <c r="K402" s="379" t="s">
        <v>22</v>
      </c>
      <c r="L402" s="379" t="s">
        <v>22</v>
      </c>
      <c r="M402" s="385">
        <v>0</v>
      </c>
      <c r="N402" s="383"/>
      <c r="O402" s="383"/>
      <c r="P402" s="389">
        <v>-12.92</v>
      </c>
    </row>
    <row r="403" spans="1:16" ht="19.5" customHeight="1">
      <c r="A403" s="379" t="s">
        <v>1311</v>
      </c>
      <c r="B403" s="382">
        <v>45983</v>
      </c>
      <c r="C403" s="379" t="s">
        <v>17</v>
      </c>
      <c r="D403" s="379" t="s">
        <v>18</v>
      </c>
      <c r="E403" s="379" t="s">
        <v>223</v>
      </c>
      <c r="F403" s="379" t="s">
        <v>395</v>
      </c>
      <c r="G403" s="379" t="s">
        <v>1229</v>
      </c>
      <c r="H403" s="383">
        <v>1</v>
      </c>
      <c r="I403" s="384">
        <v>0</v>
      </c>
      <c r="J403" s="382">
        <v>45982</v>
      </c>
      <c r="K403" s="379" t="s">
        <v>22</v>
      </c>
      <c r="L403" s="379" t="s">
        <v>22</v>
      </c>
      <c r="M403" s="385">
        <v>0</v>
      </c>
      <c r="N403" s="383"/>
      <c r="O403" s="383"/>
      <c r="P403" s="389">
        <v>-12.92</v>
      </c>
    </row>
    <row r="404" spans="1:16" ht="19.5" customHeight="1">
      <c r="A404" s="379" t="s">
        <v>1312</v>
      </c>
      <c r="B404" s="382">
        <v>45983</v>
      </c>
      <c r="C404" s="379" t="s">
        <v>28</v>
      </c>
      <c r="D404" s="379" t="s">
        <v>29</v>
      </c>
      <c r="E404" s="379" t="s">
        <v>223</v>
      </c>
      <c r="F404" s="379" t="s">
        <v>395</v>
      </c>
      <c r="G404" s="379" t="s">
        <v>1229</v>
      </c>
      <c r="H404" s="383">
        <v>1</v>
      </c>
      <c r="I404" s="384">
        <v>0</v>
      </c>
      <c r="J404" s="382">
        <v>45978</v>
      </c>
      <c r="K404" s="379" t="s">
        <v>957</v>
      </c>
      <c r="L404" s="379" t="s">
        <v>30</v>
      </c>
      <c r="M404" s="385">
        <v>0</v>
      </c>
      <c r="N404" s="383"/>
      <c r="O404" s="383">
        <v>44</v>
      </c>
      <c r="P404" s="389">
        <v>-46</v>
      </c>
    </row>
    <row r="405" spans="1:16" ht="19.5" customHeight="1">
      <c r="A405" s="379" t="s">
        <v>1312</v>
      </c>
      <c r="B405" s="382">
        <v>45983</v>
      </c>
      <c r="C405" s="379" t="s">
        <v>17</v>
      </c>
      <c r="D405" s="379" t="s">
        <v>37</v>
      </c>
      <c r="E405" s="379" t="s">
        <v>223</v>
      </c>
      <c r="F405" s="379" t="s">
        <v>395</v>
      </c>
      <c r="G405" s="379" t="s">
        <v>1229</v>
      </c>
      <c r="H405" s="383">
        <v>1</v>
      </c>
      <c r="I405" s="384">
        <v>0</v>
      </c>
      <c r="J405" s="382">
        <v>45978</v>
      </c>
      <c r="K405" s="379" t="s">
        <v>957</v>
      </c>
      <c r="L405" s="379" t="s">
        <v>30</v>
      </c>
      <c r="M405" s="385">
        <v>0</v>
      </c>
      <c r="N405" s="383"/>
      <c r="O405" s="383"/>
      <c r="P405" s="389">
        <v>-9.81</v>
      </c>
    </row>
    <row r="406" spans="1:16" ht="19.5" customHeight="1">
      <c r="A406" s="379" t="s">
        <v>1313</v>
      </c>
      <c r="B406" s="382">
        <v>45983</v>
      </c>
      <c r="C406" s="379" t="s">
        <v>28</v>
      </c>
      <c r="D406" s="379" t="s">
        <v>29</v>
      </c>
      <c r="E406" s="379" t="s">
        <v>223</v>
      </c>
      <c r="F406" s="379" t="s">
        <v>395</v>
      </c>
      <c r="G406" s="379" t="s">
        <v>1229</v>
      </c>
      <c r="H406" s="383">
        <v>1</v>
      </c>
      <c r="I406" s="384">
        <v>0</v>
      </c>
      <c r="J406" s="382">
        <v>45976</v>
      </c>
      <c r="K406" s="379" t="s">
        <v>957</v>
      </c>
      <c r="L406" s="379" t="s">
        <v>30</v>
      </c>
      <c r="M406" s="385">
        <v>0</v>
      </c>
      <c r="N406" s="383"/>
      <c r="O406" s="383">
        <v>43</v>
      </c>
      <c r="P406" s="389">
        <v>-46</v>
      </c>
    </row>
    <row r="407" spans="1:16" ht="19.5" customHeight="1">
      <c r="A407" s="379" t="s">
        <v>1313</v>
      </c>
      <c r="B407" s="382">
        <v>45983</v>
      </c>
      <c r="C407" s="379" t="s">
        <v>17</v>
      </c>
      <c r="D407" s="379" t="s">
        <v>37</v>
      </c>
      <c r="E407" s="379" t="s">
        <v>223</v>
      </c>
      <c r="F407" s="379" t="s">
        <v>395</v>
      </c>
      <c r="G407" s="379" t="s">
        <v>1229</v>
      </c>
      <c r="H407" s="383">
        <v>1</v>
      </c>
      <c r="I407" s="384">
        <v>0</v>
      </c>
      <c r="J407" s="382">
        <v>45976</v>
      </c>
      <c r="K407" s="379" t="s">
        <v>957</v>
      </c>
      <c r="L407" s="379" t="s">
        <v>30</v>
      </c>
      <c r="M407" s="385">
        <v>0</v>
      </c>
      <c r="N407" s="383"/>
      <c r="O407" s="383"/>
      <c r="P407" s="389">
        <v>-16.940000000000001</v>
      </c>
    </row>
    <row r="408" spans="1:16" ht="19.5" customHeight="1">
      <c r="A408" s="379" t="s">
        <v>1312</v>
      </c>
      <c r="B408" s="382">
        <v>45983</v>
      </c>
      <c r="C408" s="379" t="s">
        <v>28</v>
      </c>
      <c r="D408" s="379" t="s">
        <v>45</v>
      </c>
      <c r="E408" s="379" t="s">
        <v>223</v>
      </c>
      <c r="F408" s="379" t="s">
        <v>395</v>
      </c>
      <c r="G408" s="379" t="s">
        <v>1229</v>
      </c>
      <c r="H408" s="383">
        <v>1</v>
      </c>
      <c r="I408" s="384">
        <v>0</v>
      </c>
      <c r="J408" s="382">
        <v>45978</v>
      </c>
      <c r="K408" s="379" t="s">
        <v>957</v>
      </c>
      <c r="L408" s="379" t="s">
        <v>30</v>
      </c>
      <c r="M408" s="385">
        <v>0</v>
      </c>
      <c r="N408" s="383"/>
      <c r="O408" s="383"/>
      <c r="P408" s="389">
        <v>0</v>
      </c>
    </row>
    <row r="409" spans="1:16" ht="19.5" customHeight="1">
      <c r="A409" s="379" t="s">
        <v>1312</v>
      </c>
      <c r="B409" s="382">
        <v>45983</v>
      </c>
      <c r="C409" s="379" t="s">
        <v>28</v>
      </c>
      <c r="D409" s="379" t="s">
        <v>46</v>
      </c>
      <c r="E409" s="379" t="s">
        <v>223</v>
      </c>
      <c r="F409" s="379" t="s">
        <v>395</v>
      </c>
      <c r="G409" s="379" t="s">
        <v>1229</v>
      </c>
      <c r="H409" s="383">
        <v>1</v>
      </c>
      <c r="I409" s="384">
        <v>0</v>
      </c>
      <c r="J409" s="382">
        <v>45978</v>
      </c>
      <c r="K409" s="379" t="s">
        <v>957</v>
      </c>
      <c r="L409" s="379" t="s">
        <v>30</v>
      </c>
      <c r="M409" s="385">
        <v>0</v>
      </c>
      <c r="N409" s="383"/>
      <c r="O409" s="383"/>
      <c r="P409" s="389">
        <v>-46</v>
      </c>
    </row>
    <row r="410" spans="1:16" ht="19.5" customHeight="1">
      <c r="A410" s="379" t="s">
        <v>1312</v>
      </c>
      <c r="B410" s="382">
        <v>45983</v>
      </c>
      <c r="C410" s="379" t="s">
        <v>17</v>
      </c>
      <c r="D410" s="379" t="s">
        <v>47</v>
      </c>
      <c r="E410" s="379" t="s">
        <v>223</v>
      </c>
      <c r="F410" s="379" t="s">
        <v>395</v>
      </c>
      <c r="G410" s="379" t="s">
        <v>1229</v>
      </c>
      <c r="H410" s="383">
        <v>1</v>
      </c>
      <c r="I410" s="384">
        <v>0</v>
      </c>
      <c r="J410" s="382">
        <v>45978</v>
      </c>
      <c r="K410" s="379" t="s">
        <v>957</v>
      </c>
      <c r="L410" s="379" t="s">
        <v>30</v>
      </c>
      <c r="M410" s="385">
        <v>0</v>
      </c>
      <c r="N410" s="383"/>
      <c r="O410" s="383"/>
      <c r="P410" s="389">
        <v>-15</v>
      </c>
    </row>
    <row r="411" spans="1:16" ht="19.5" customHeight="1">
      <c r="A411" s="379" t="s">
        <v>1313</v>
      </c>
      <c r="B411" s="382">
        <v>45983</v>
      </c>
      <c r="C411" s="379" t="s">
        <v>28</v>
      </c>
      <c r="D411" s="379" t="s">
        <v>45</v>
      </c>
      <c r="E411" s="379" t="s">
        <v>223</v>
      </c>
      <c r="F411" s="379" t="s">
        <v>395</v>
      </c>
      <c r="G411" s="379" t="s">
        <v>1229</v>
      </c>
      <c r="H411" s="383">
        <v>1</v>
      </c>
      <c r="I411" s="384">
        <v>0</v>
      </c>
      <c r="J411" s="382">
        <v>45976</v>
      </c>
      <c r="K411" s="379" t="s">
        <v>957</v>
      </c>
      <c r="L411" s="379" t="s">
        <v>30</v>
      </c>
      <c r="M411" s="385">
        <v>0</v>
      </c>
      <c r="N411" s="383"/>
      <c r="O411" s="383"/>
      <c r="P411" s="389">
        <v>0</v>
      </c>
    </row>
    <row r="412" spans="1:16" ht="19.5" customHeight="1">
      <c r="A412" s="379" t="s">
        <v>1313</v>
      </c>
      <c r="B412" s="382">
        <v>45983</v>
      </c>
      <c r="C412" s="379" t="s">
        <v>28</v>
      </c>
      <c r="D412" s="379" t="s">
        <v>46</v>
      </c>
      <c r="E412" s="379" t="s">
        <v>223</v>
      </c>
      <c r="F412" s="379" t="s">
        <v>395</v>
      </c>
      <c r="G412" s="379" t="s">
        <v>1229</v>
      </c>
      <c r="H412" s="383">
        <v>1</v>
      </c>
      <c r="I412" s="384">
        <v>0</v>
      </c>
      <c r="J412" s="382">
        <v>45976</v>
      </c>
      <c r="K412" s="379" t="s">
        <v>957</v>
      </c>
      <c r="L412" s="379" t="s">
        <v>30</v>
      </c>
      <c r="M412" s="385">
        <v>0</v>
      </c>
      <c r="N412" s="383"/>
      <c r="O412" s="383"/>
      <c r="P412" s="389">
        <v>-46</v>
      </c>
    </row>
    <row r="413" spans="1:16" ht="19.5" customHeight="1">
      <c r="A413" s="379" t="s">
        <v>1313</v>
      </c>
      <c r="B413" s="382">
        <v>45983</v>
      </c>
      <c r="C413" s="379" t="s">
        <v>17</v>
      </c>
      <c r="D413" s="379" t="s">
        <v>47</v>
      </c>
      <c r="E413" s="379" t="s">
        <v>223</v>
      </c>
      <c r="F413" s="379" t="s">
        <v>395</v>
      </c>
      <c r="G413" s="379" t="s">
        <v>1229</v>
      </c>
      <c r="H413" s="383">
        <v>1</v>
      </c>
      <c r="I413" s="384">
        <v>0</v>
      </c>
      <c r="J413" s="382">
        <v>45976</v>
      </c>
      <c r="K413" s="379" t="s">
        <v>957</v>
      </c>
      <c r="L413" s="379" t="s">
        <v>30</v>
      </c>
      <c r="M413" s="385">
        <v>0</v>
      </c>
      <c r="N413" s="383"/>
      <c r="O413" s="383"/>
      <c r="P413" s="389">
        <v>-15</v>
      </c>
    </row>
    <row r="414" spans="1:16" ht="19.5" customHeight="1">
      <c r="A414" s="379" t="s">
        <v>22</v>
      </c>
      <c r="B414" s="382">
        <v>45983</v>
      </c>
      <c r="C414" s="379" t="s">
        <v>77</v>
      </c>
      <c r="D414" s="379" t="s">
        <v>78</v>
      </c>
      <c r="E414" s="379" t="s">
        <v>22</v>
      </c>
      <c r="F414" s="379" t="s">
        <v>22</v>
      </c>
      <c r="G414" s="379" t="s">
        <v>1314</v>
      </c>
      <c r="H414" s="383">
        <v>0</v>
      </c>
      <c r="I414" s="384">
        <v>0</v>
      </c>
      <c r="J414" s="382">
        <v>45983</v>
      </c>
      <c r="K414" s="379" t="s">
        <v>22</v>
      </c>
      <c r="L414" s="379" t="s">
        <v>22</v>
      </c>
      <c r="M414" s="385">
        <v>0</v>
      </c>
      <c r="N414" s="383"/>
      <c r="O414" s="383"/>
      <c r="P414" s="389">
        <v>-450</v>
      </c>
    </row>
    <row r="415" spans="1:16" ht="19.5" customHeight="1">
      <c r="A415" s="379" t="s">
        <v>1282</v>
      </c>
      <c r="B415" s="382">
        <v>45983</v>
      </c>
      <c r="C415" s="379" t="s">
        <v>77</v>
      </c>
      <c r="D415" s="379" t="s">
        <v>82</v>
      </c>
      <c r="E415" s="379" t="s">
        <v>22</v>
      </c>
      <c r="F415" s="379" t="s">
        <v>22</v>
      </c>
      <c r="G415" s="379" t="s">
        <v>22</v>
      </c>
      <c r="H415" s="383">
        <v>0</v>
      </c>
      <c r="I415" s="384">
        <v>0</v>
      </c>
      <c r="J415" s="382">
        <v>45983</v>
      </c>
      <c r="K415" s="379" t="s">
        <v>22</v>
      </c>
      <c r="L415" s="379" t="s">
        <v>22</v>
      </c>
      <c r="M415" s="385">
        <v>0</v>
      </c>
      <c r="N415" s="383"/>
      <c r="O415" s="383"/>
      <c r="P415" s="389">
        <v>-290.39999999999998</v>
      </c>
    </row>
    <row r="416" spans="1:16" ht="19.5" customHeight="1">
      <c r="A416" s="379" t="s">
        <v>83</v>
      </c>
      <c r="B416" s="382">
        <v>45983</v>
      </c>
      <c r="C416" s="379" t="s">
        <v>77</v>
      </c>
      <c r="D416" s="379" t="s">
        <v>84</v>
      </c>
      <c r="E416" s="379" t="s">
        <v>22</v>
      </c>
      <c r="F416" s="379" t="s">
        <v>22</v>
      </c>
      <c r="G416" s="379" t="s">
        <v>22</v>
      </c>
      <c r="H416" s="383">
        <v>0</v>
      </c>
      <c r="I416" s="384">
        <v>0</v>
      </c>
      <c r="J416" s="382">
        <v>45983</v>
      </c>
      <c r="K416" s="379" t="s">
        <v>22</v>
      </c>
      <c r="L416" s="379" t="s">
        <v>22</v>
      </c>
      <c r="M416" s="385">
        <v>0</v>
      </c>
      <c r="N416" s="383"/>
      <c r="O416" s="383"/>
      <c r="P416" s="389">
        <v>-1145.4000000000001</v>
      </c>
    </row>
    <row r="417" spans="1:16" ht="19.5" customHeight="1">
      <c r="A417" s="379" t="s">
        <v>1075</v>
      </c>
      <c r="B417" s="382">
        <v>45983</v>
      </c>
      <c r="C417" s="379" t="s">
        <v>77</v>
      </c>
      <c r="D417" s="379" t="s">
        <v>82</v>
      </c>
      <c r="E417" s="379" t="s">
        <v>22</v>
      </c>
      <c r="F417" s="379" t="s">
        <v>22</v>
      </c>
      <c r="G417" s="379" t="s">
        <v>22</v>
      </c>
      <c r="H417" s="383">
        <v>0</v>
      </c>
      <c r="I417" s="384">
        <v>0</v>
      </c>
      <c r="J417" s="382">
        <v>45983</v>
      </c>
      <c r="K417" s="379" t="s">
        <v>22</v>
      </c>
      <c r="L417" s="379" t="s">
        <v>22</v>
      </c>
      <c r="M417" s="385">
        <v>0</v>
      </c>
      <c r="N417" s="383"/>
      <c r="O417" s="383"/>
      <c r="P417" s="389">
        <v>-648.6</v>
      </c>
    </row>
    <row r="418" spans="1:16" ht="19.5" customHeight="1">
      <c r="A418" s="379" t="s">
        <v>1270</v>
      </c>
      <c r="B418" s="382">
        <v>45983</v>
      </c>
      <c r="C418" s="379" t="s">
        <v>77</v>
      </c>
      <c r="D418" s="379" t="s">
        <v>82</v>
      </c>
      <c r="E418" s="379" t="s">
        <v>22</v>
      </c>
      <c r="F418" s="379" t="s">
        <v>22</v>
      </c>
      <c r="G418" s="379" t="s">
        <v>22</v>
      </c>
      <c r="H418" s="383">
        <v>0</v>
      </c>
      <c r="I418" s="384">
        <v>0</v>
      </c>
      <c r="J418" s="382">
        <v>45983</v>
      </c>
      <c r="K418" s="379" t="s">
        <v>22</v>
      </c>
      <c r="L418" s="379" t="s">
        <v>22</v>
      </c>
      <c r="M418" s="385">
        <v>0</v>
      </c>
      <c r="N418" s="383"/>
      <c r="O418" s="383"/>
      <c r="P418" s="389">
        <v>-276.60000000000002</v>
      </c>
    </row>
    <row r="419" spans="1:16" ht="19.5" customHeight="1">
      <c r="A419" s="379" t="s">
        <v>1315</v>
      </c>
      <c r="B419" s="382">
        <v>45984</v>
      </c>
      <c r="C419" s="379" t="s">
        <v>28</v>
      </c>
      <c r="D419" s="379" t="s">
        <v>45</v>
      </c>
      <c r="E419" s="379" t="s">
        <v>223</v>
      </c>
      <c r="F419" s="379" t="s">
        <v>395</v>
      </c>
      <c r="G419" s="379" t="s">
        <v>1229</v>
      </c>
      <c r="H419" s="383">
        <v>1</v>
      </c>
      <c r="I419" s="384">
        <v>0</v>
      </c>
      <c r="J419" s="382">
        <v>45963</v>
      </c>
      <c r="K419" s="379" t="s">
        <v>957</v>
      </c>
      <c r="L419" s="379" t="s">
        <v>30</v>
      </c>
      <c r="M419" s="385">
        <v>0</v>
      </c>
      <c r="N419" s="383"/>
      <c r="O419" s="383"/>
      <c r="P419" s="389">
        <v>0</v>
      </c>
    </row>
    <row r="420" spans="1:16" ht="19.5" customHeight="1">
      <c r="A420" s="379" t="s">
        <v>1315</v>
      </c>
      <c r="B420" s="382">
        <v>45984</v>
      </c>
      <c r="C420" s="379" t="s">
        <v>28</v>
      </c>
      <c r="D420" s="379" t="s">
        <v>46</v>
      </c>
      <c r="E420" s="379" t="s">
        <v>223</v>
      </c>
      <c r="F420" s="379" t="s">
        <v>395</v>
      </c>
      <c r="G420" s="379" t="s">
        <v>1229</v>
      </c>
      <c r="H420" s="383">
        <v>1</v>
      </c>
      <c r="I420" s="384">
        <v>0</v>
      </c>
      <c r="J420" s="382">
        <v>45963</v>
      </c>
      <c r="K420" s="379" t="s">
        <v>957</v>
      </c>
      <c r="L420" s="379" t="s">
        <v>30</v>
      </c>
      <c r="M420" s="385">
        <v>0</v>
      </c>
      <c r="N420" s="383"/>
      <c r="O420" s="383"/>
      <c r="P420" s="389">
        <v>-46</v>
      </c>
    </row>
    <row r="421" spans="1:16" ht="19.5" customHeight="1">
      <c r="A421" s="379" t="s">
        <v>1315</v>
      </c>
      <c r="B421" s="382">
        <v>45984</v>
      </c>
      <c r="C421" s="379" t="s">
        <v>28</v>
      </c>
      <c r="D421" s="379" t="s">
        <v>29</v>
      </c>
      <c r="E421" s="379" t="s">
        <v>223</v>
      </c>
      <c r="F421" s="379" t="s">
        <v>395</v>
      </c>
      <c r="G421" s="379" t="s">
        <v>1229</v>
      </c>
      <c r="H421" s="383">
        <v>1</v>
      </c>
      <c r="I421" s="384">
        <v>0</v>
      </c>
      <c r="J421" s="382">
        <v>45963</v>
      </c>
      <c r="K421" s="379" t="s">
        <v>957</v>
      </c>
      <c r="L421" s="379" t="s">
        <v>30</v>
      </c>
      <c r="M421" s="385">
        <v>0</v>
      </c>
      <c r="N421" s="383"/>
      <c r="O421" s="383"/>
      <c r="P421" s="389">
        <v>-46</v>
      </c>
    </row>
    <row r="422" spans="1:16" ht="19.5" customHeight="1">
      <c r="A422" s="379" t="s">
        <v>1315</v>
      </c>
      <c r="B422" s="382">
        <v>45984</v>
      </c>
      <c r="C422" s="379" t="s">
        <v>17</v>
      </c>
      <c r="D422" s="379" t="s">
        <v>37</v>
      </c>
      <c r="E422" s="379" t="s">
        <v>223</v>
      </c>
      <c r="F422" s="379" t="s">
        <v>395</v>
      </c>
      <c r="G422" s="379" t="s">
        <v>1229</v>
      </c>
      <c r="H422" s="383">
        <v>1</v>
      </c>
      <c r="I422" s="384">
        <v>0</v>
      </c>
      <c r="J422" s="382">
        <v>45963</v>
      </c>
      <c r="K422" s="379" t="s">
        <v>957</v>
      </c>
      <c r="L422" s="379" t="s">
        <v>30</v>
      </c>
      <c r="M422" s="385">
        <v>0</v>
      </c>
      <c r="N422" s="383"/>
      <c r="O422" s="383"/>
      <c r="P422" s="389">
        <v>-6.25</v>
      </c>
    </row>
    <row r="423" spans="1:16" ht="19.5" customHeight="1">
      <c r="A423" s="379" t="s">
        <v>1316</v>
      </c>
      <c r="B423" s="382">
        <v>45984</v>
      </c>
      <c r="C423" s="379" t="s">
        <v>17</v>
      </c>
      <c r="D423" s="379" t="s">
        <v>18</v>
      </c>
      <c r="E423" s="379" t="s">
        <v>1055</v>
      </c>
      <c r="F423" s="379" t="s">
        <v>1317</v>
      </c>
      <c r="G423" s="379" t="s">
        <v>1298</v>
      </c>
      <c r="H423" s="383">
        <v>1</v>
      </c>
      <c r="I423" s="384">
        <v>0</v>
      </c>
      <c r="J423" s="382">
        <v>45984</v>
      </c>
      <c r="K423" s="379" t="s">
        <v>22</v>
      </c>
      <c r="L423" s="379" t="s">
        <v>22</v>
      </c>
      <c r="M423" s="385">
        <v>0</v>
      </c>
      <c r="N423" s="383"/>
      <c r="O423" s="383"/>
      <c r="P423" s="389">
        <v>-15.16</v>
      </c>
    </row>
    <row r="424" spans="1:16" ht="19.5" customHeight="1">
      <c r="A424" s="379" t="s">
        <v>1318</v>
      </c>
      <c r="B424" s="382">
        <v>45984</v>
      </c>
      <c r="C424" s="379" t="s">
        <v>17</v>
      </c>
      <c r="D424" s="379" t="s">
        <v>18</v>
      </c>
      <c r="E424" s="379" t="s">
        <v>1055</v>
      </c>
      <c r="F424" s="379" t="s">
        <v>1317</v>
      </c>
      <c r="G424" s="379" t="s">
        <v>1298</v>
      </c>
      <c r="H424" s="383">
        <v>1</v>
      </c>
      <c r="I424" s="384">
        <v>0</v>
      </c>
      <c r="J424" s="382">
        <v>45984</v>
      </c>
      <c r="K424" s="379" t="s">
        <v>22</v>
      </c>
      <c r="L424" s="379" t="s">
        <v>22</v>
      </c>
      <c r="M424" s="385">
        <v>0</v>
      </c>
      <c r="N424" s="383"/>
      <c r="O424" s="383"/>
      <c r="P424" s="389">
        <v>-15.16</v>
      </c>
    </row>
    <row r="425" spans="1:16" ht="19.5" customHeight="1">
      <c r="A425" s="379" t="s">
        <v>1319</v>
      </c>
      <c r="B425" s="382">
        <v>45984</v>
      </c>
      <c r="C425" s="379" t="s">
        <v>28</v>
      </c>
      <c r="D425" s="379" t="s">
        <v>29</v>
      </c>
      <c r="E425" s="379" t="s">
        <v>223</v>
      </c>
      <c r="F425" s="379" t="s">
        <v>395</v>
      </c>
      <c r="G425" s="379" t="s">
        <v>1229</v>
      </c>
      <c r="H425" s="383">
        <v>1</v>
      </c>
      <c r="I425" s="384">
        <v>0</v>
      </c>
      <c r="J425" s="382">
        <v>45979</v>
      </c>
      <c r="K425" s="379" t="s">
        <v>957</v>
      </c>
      <c r="L425" s="379" t="s">
        <v>30</v>
      </c>
      <c r="M425" s="385">
        <v>0</v>
      </c>
      <c r="N425" s="383"/>
      <c r="O425" s="383">
        <v>46</v>
      </c>
      <c r="P425" s="389">
        <v>-46</v>
      </c>
    </row>
    <row r="426" spans="1:16" ht="19.5" customHeight="1">
      <c r="A426" s="379" t="s">
        <v>1319</v>
      </c>
      <c r="B426" s="382">
        <v>45984</v>
      </c>
      <c r="C426" s="379" t="s">
        <v>17</v>
      </c>
      <c r="D426" s="379" t="s">
        <v>37</v>
      </c>
      <c r="E426" s="379" t="s">
        <v>223</v>
      </c>
      <c r="F426" s="379" t="s">
        <v>395</v>
      </c>
      <c r="G426" s="379" t="s">
        <v>1229</v>
      </c>
      <c r="H426" s="383">
        <v>1</v>
      </c>
      <c r="I426" s="384">
        <v>0</v>
      </c>
      <c r="J426" s="382">
        <v>45979</v>
      </c>
      <c r="K426" s="379" t="s">
        <v>957</v>
      </c>
      <c r="L426" s="379" t="s">
        <v>30</v>
      </c>
      <c r="M426" s="385">
        <v>0</v>
      </c>
      <c r="N426" s="383"/>
      <c r="O426" s="383"/>
      <c r="P426" s="389">
        <v>-16.079999999999998</v>
      </c>
    </row>
    <row r="427" spans="1:16" ht="19.5" customHeight="1">
      <c r="A427" s="379" t="s">
        <v>1319</v>
      </c>
      <c r="B427" s="382">
        <v>45984</v>
      </c>
      <c r="C427" s="379" t="s">
        <v>28</v>
      </c>
      <c r="D427" s="379" t="s">
        <v>45</v>
      </c>
      <c r="E427" s="379" t="s">
        <v>223</v>
      </c>
      <c r="F427" s="379" t="s">
        <v>395</v>
      </c>
      <c r="G427" s="379" t="s">
        <v>1229</v>
      </c>
      <c r="H427" s="383">
        <v>1</v>
      </c>
      <c r="I427" s="384">
        <v>0</v>
      </c>
      <c r="J427" s="382">
        <v>45979</v>
      </c>
      <c r="K427" s="379" t="s">
        <v>957</v>
      </c>
      <c r="L427" s="379" t="s">
        <v>30</v>
      </c>
      <c r="M427" s="385">
        <v>0</v>
      </c>
      <c r="N427" s="383"/>
      <c r="O427" s="383"/>
      <c r="P427" s="389">
        <v>0</v>
      </c>
    </row>
    <row r="428" spans="1:16" ht="19.5" customHeight="1">
      <c r="A428" s="379" t="s">
        <v>1319</v>
      </c>
      <c r="B428" s="382">
        <v>45984</v>
      </c>
      <c r="C428" s="379" t="s">
        <v>28</v>
      </c>
      <c r="D428" s="379" t="s">
        <v>46</v>
      </c>
      <c r="E428" s="379" t="s">
        <v>223</v>
      </c>
      <c r="F428" s="379" t="s">
        <v>395</v>
      </c>
      <c r="G428" s="379" t="s">
        <v>1229</v>
      </c>
      <c r="H428" s="383">
        <v>1</v>
      </c>
      <c r="I428" s="384">
        <v>0</v>
      </c>
      <c r="J428" s="382">
        <v>45979</v>
      </c>
      <c r="K428" s="379" t="s">
        <v>957</v>
      </c>
      <c r="L428" s="379" t="s">
        <v>30</v>
      </c>
      <c r="M428" s="385">
        <v>0</v>
      </c>
      <c r="N428" s="383"/>
      <c r="O428" s="383"/>
      <c r="P428" s="389">
        <v>-46</v>
      </c>
    </row>
    <row r="429" spans="1:16" ht="19.5" customHeight="1">
      <c r="A429" s="379" t="s">
        <v>1319</v>
      </c>
      <c r="B429" s="382">
        <v>45984</v>
      </c>
      <c r="C429" s="379" t="s">
        <v>17</v>
      </c>
      <c r="D429" s="379" t="s">
        <v>47</v>
      </c>
      <c r="E429" s="379" t="s">
        <v>223</v>
      </c>
      <c r="F429" s="379" t="s">
        <v>395</v>
      </c>
      <c r="G429" s="379" t="s">
        <v>1229</v>
      </c>
      <c r="H429" s="383">
        <v>1</v>
      </c>
      <c r="I429" s="384">
        <v>0</v>
      </c>
      <c r="J429" s="382">
        <v>45979</v>
      </c>
      <c r="K429" s="379" t="s">
        <v>957</v>
      </c>
      <c r="L429" s="379" t="s">
        <v>30</v>
      </c>
      <c r="M429" s="385">
        <v>0</v>
      </c>
      <c r="N429" s="383"/>
      <c r="O429" s="383"/>
      <c r="P429" s="389">
        <v>-15</v>
      </c>
    </row>
    <row r="430" spans="1:16" ht="19.5" customHeight="1">
      <c r="A430" s="379" t="s">
        <v>1320</v>
      </c>
      <c r="B430" s="382">
        <v>45984</v>
      </c>
      <c r="C430" s="379" t="s">
        <v>28</v>
      </c>
      <c r="D430" s="379" t="s">
        <v>29</v>
      </c>
      <c r="E430" s="379" t="s">
        <v>240</v>
      </c>
      <c r="F430" s="379" t="s">
        <v>802</v>
      </c>
      <c r="G430" s="379" t="s">
        <v>1133</v>
      </c>
      <c r="H430" s="383">
        <v>1</v>
      </c>
      <c r="I430" s="384">
        <v>5500</v>
      </c>
      <c r="J430" s="382">
        <v>45979</v>
      </c>
      <c r="K430" s="379" t="s">
        <v>957</v>
      </c>
      <c r="L430" s="379" t="s">
        <v>30</v>
      </c>
      <c r="M430" s="385">
        <v>0.43</v>
      </c>
      <c r="N430" s="383"/>
      <c r="O430" s="383">
        <v>46</v>
      </c>
      <c r="P430" s="389">
        <v>-284.39</v>
      </c>
    </row>
    <row r="431" spans="1:16" ht="19.5" customHeight="1">
      <c r="A431" s="379" t="s">
        <v>1320</v>
      </c>
      <c r="B431" s="382">
        <v>45984</v>
      </c>
      <c r="C431" s="379" t="s">
        <v>31</v>
      </c>
      <c r="D431" s="379" t="s">
        <v>32</v>
      </c>
      <c r="E431" s="379" t="s">
        <v>240</v>
      </c>
      <c r="F431" s="379" t="s">
        <v>802</v>
      </c>
      <c r="G431" s="379" t="s">
        <v>1133</v>
      </c>
      <c r="H431" s="383">
        <v>1</v>
      </c>
      <c r="I431" s="384">
        <v>5500</v>
      </c>
      <c r="J431" s="382">
        <v>45979</v>
      </c>
      <c r="K431" s="379" t="s">
        <v>957</v>
      </c>
      <c r="L431" s="379" t="s">
        <v>30</v>
      </c>
      <c r="M431" s="385">
        <v>0</v>
      </c>
      <c r="N431" s="383"/>
      <c r="O431" s="383"/>
      <c r="P431" s="389">
        <v>2110.48</v>
      </c>
    </row>
    <row r="432" spans="1:16" ht="19.5" customHeight="1">
      <c r="A432" s="379" t="s">
        <v>1320</v>
      </c>
      <c r="B432" s="382">
        <v>45984</v>
      </c>
      <c r="C432" s="379" t="s">
        <v>31</v>
      </c>
      <c r="D432" s="379" t="s">
        <v>33</v>
      </c>
      <c r="E432" s="379" t="s">
        <v>240</v>
      </c>
      <c r="F432" s="379" t="s">
        <v>802</v>
      </c>
      <c r="G432" s="379" t="s">
        <v>1133</v>
      </c>
      <c r="H432" s="383">
        <v>1</v>
      </c>
      <c r="I432" s="384">
        <v>5500</v>
      </c>
      <c r="J432" s="382">
        <v>45979</v>
      </c>
      <c r="K432" s="379" t="s">
        <v>957</v>
      </c>
      <c r="L432" s="379" t="s">
        <v>30</v>
      </c>
      <c r="M432" s="385">
        <v>0</v>
      </c>
      <c r="N432" s="383"/>
      <c r="O432" s="383"/>
      <c r="P432" s="389">
        <v>21.1</v>
      </c>
    </row>
    <row r="433" spans="1:16" ht="19.5" customHeight="1">
      <c r="A433" s="379" t="s">
        <v>1320</v>
      </c>
      <c r="B433" s="382">
        <v>45984</v>
      </c>
      <c r="C433" s="379" t="s">
        <v>31</v>
      </c>
      <c r="D433" s="379" t="s">
        <v>34</v>
      </c>
      <c r="E433" s="379" t="s">
        <v>240</v>
      </c>
      <c r="F433" s="379" t="s">
        <v>802</v>
      </c>
      <c r="G433" s="379" t="s">
        <v>1133</v>
      </c>
      <c r="H433" s="383">
        <v>1</v>
      </c>
      <c r="I433" s="384">
        <v>5500</v>
      </c>
      <c r="J433" s="382">
        <v>45979</v>
      </c>
      <c r="K433" s="379" t="s">
        <v>957</v>
      </c>
      <c r="L433" s="379" t="s">
        <v>30</v>
      </c>
      <c r="M433" s="385">
        <v>0</v>
      </c>
      <c r="N433" s="383"/>
      <c r="O433" s="383"/>
      <c r="P433" s="389">
        <v>3368.42</v>
      </c>
    </row>
    <row r="434" spans="1:16" ht="19.5" customHeight="1">
      <c r="A434" s="379" t="s">
        <v>1320</v>
      </c>
      <c r="B434" s="382">
        <v>45984</v>
      </c>
      <c r="C434" s="379" t="s">
        <v>35</v>
      </c>
      <c r="D434" s="379" t="s">
        <v>36</v>
      </c>
      <c r="E434" s="379" t="s">
        <v>240</v>
      </c>
      <c r="F434" s="379" t="s">
        <v>802</v>
      </c>
      <c r="G434" s="379" t="s">
        <v>1133</v>
      </c>
      <c r="H434" s="383">
        <v>1</v>
      </c>
      <c r="I434" s="384">
        <v>5500</v>
      </c>
      <c r="J434" s="382">
        <v>45979</v>
      </c>
      <c r="K434" s="379" t="s">
        <v>957</v>
      </c>
      <c r="L434" s="379" t="s">
        <v>30</v>
      </c>
      <c r="M434" s="385">
        <v>0.43</v>
      </c>
      <c r="N434" s="383"/>
      <c r="O434" s="383"/>
      <c r="P434" s="389">
        <v>-2365</v>
      </c>
    </row>
    <row r="435" spans="1:16" ht="19.5" customHeight="1">
      <c r="A435" s="379" t="s">
        <v>1321</v>
      </c>
      <c r="B435" s="382">
        <v>45984</v>
      </c>
      <c r="C435" s="379" t="s">
        <v>28</v>
      </c>
      <c r="D435" s="379" t="s">
        <v>29</v>
      </c>
      <c r="E435" s="379" t="s">
        <v>223</v>
      </c>
      <c r="F435" s="379" t="s">
        <v>395</v>
      </c>
      <c r="G435" s="379" t="s">
        <v>1229</v>
      </c>
      <c r="H435" s="383">
        <v>1</v>
      </c>
      <c r="I435" s="384">
        <v>0</v>
      </c>
      <c r="J435" s="382">
        <v>45979</v>
      </c>
      <c r="K435" s="379" t="s">
        <v>957</v>
      </c>
      <c r="L435" s="379" t="s">
        <v>30</v>
      </c>
      <c r="M435" s="385">
        <v>0</v>
      </c>
      <c r="N435" s="383"/>
      <c r="O435" s="383">
        <v>46</v>
      </c>
      <c r="P435" s="389">
        <v>-46</v>
      </c>
    </row>
    <row r="436" spans="1:16" ht="19.5" customHeight="1">
      <c r="A436" s="379" t="s">
        <v>1321</v>
      </c>
      <c r="B436" s="382">
        <v>45984</v>
      </c>
      <c r="C436" s="379" t="s">
        <v>17</v>
      </c>
      <c r="D436" s="379" t="s">
        <v>37</v>
      </c>
      <c r="E436" s="379" t="s">
        <v>223</v>
      </c>
      <c r="F436" s="379" t="s">
        <v>395</v>
      </c>
      <c r="G436" s="379" t="s">
        <v>1229</v>
      </c>
      <c r="H436" s="383">
        <v>1</v>
      </c>
      <c r="I436" s="384">
        <v>0</v>
      </c>
      <c r="J436" s="382">
        <v>45979</v>
      </c>
      <c r="K436" s="379" t="s">
        <v>957</v>
      </c>
      <c r="L436" s="379" t="s">
        <v>30</v>
      </c>
      <c r="M436" s="385">
        <v>0</v>
      </c>
      <c r="N436" s="383"/>
      <c r="O436" s="383"/>
      <c r="P436" s="389">
        <v>-12.93</v>
      </c>
    </row>
    <row r="437" spans="1:16" ht="19.5" customHeight="1">
      <c r="A437" s="379" t="s">
        <v>1321</v>
      </c>
      <c r="B437" s="382">
        <v>45984</v>
      </c>
      <c r="C437" s="379" t="s">
        <v>28</v>
      </c>
      <c r="D437" s="379" t="s">
        <v>45</v>
      </c>
      <c r="E437" s="379" t="s">
        <v>223</v>
      </c>
      <c r="F437" s="379" t="s">
        <v>395</v>
      </c>
      <c r="G437" s="379" t="s">
        <v>1229</v>
      </c>
      <c r="H437" s="383">
        <v>1</v>
      </c>
      <c r="I437" s="384">
        <v>0</v>
      </c>
      <c r="J437" s="382">
        <v>45979</v>
      </c>
      <c r="K437" s="379" t="s">
        <v>957</v>
      </c>
      <c r="L437" s="379" t="s">
        <v>30</v>
      </c>
      <c r="M437" s="385">
        <v>0</v>
      </c>
      <c r="N437" s="383"/>
      <c r="O437" s="383"/>
      <c r="P437" s="389">
        <v>0</v>
      </c>
    </row>
    <row r="438" spans="1:16" ht="19.5" customHeight="1">
      <c r="A438" s="379" t="s">
        <v>1321</v>
      </c>
      <c r="B438" s="382">
        <v>45984</v>
      </c>
      <c r="C438" s="379" t="s">
        <v>28</v>
      </c>
      <c r="D438" s="379" t="s">
        <v>46</v>
      </c>
      <c r="E438" s="379" t="s">
        <v>223</v>
      </c>
      <c r="F438" s="379" t="s">
        <v>395</v>
      </c>
      <c r="G438" s="379" t="s">
        <v>1229</v>
      </c>
      <c r="H438" s="383">
        <v>1</v>
      </c>
      <c r="I438" s="384">
        <v>0</v>
      </c>
      <c r="J438" s="382">
        <v>45979</v>
      </c>
      <c r="K438" s="379" t="s">
        <v>957</v>
      </c>
      <c r="L438" s="379" t="s">
        <v>30</v>
      </c>
      <c r="M438" s="385">
        <v>0</v>
      </c>
      <c r="N438" s="383"/>
      <c r="O438" s="383"/>
      <c r="P438" s="389">
        <v>-46</v>
      </c>
    </row>
    <row r="439" spans="1:16" ht="19.5" customHeight="1">
      <c r="A439" s="379" t="s">
        <v>1321</v>
      </c>
      <c r="B439" s="382">
        <v>45984</v>
      </c>
      <c r="C439" s="379" t="s">
        <v>17</v>
      </c>
      <c r="D439" s="379" t="s">
        <v>47</v>
      </c>
      <c r="E439" s="379" t="s">
        <v>223</v>
      </c>
      <c r="F439" s="379" t="s">
        <v>395</v>
      </c>
      <c r="G439" s="379" t="s">
        <v>1229</v>
      </c>
      <c r="H439" s="383">
        <v>1</v>
      </c>
      <c r="I439" s="384">
        <v>0</v>
      </c>
      <c r="J439" s="382">
        <v>45979</v>
      </c>
      <c r="K439" s="379" t="s">
        <v>957</v>
      </c>
      <c r="L439" s="379" t="s">
        <v>30</v>
      </c>
      <c r="M439" s="385">
        <v>0</v>
      </c>
      <c r="N439" s="383"/>
      <c r="O439" s="383"/>
      <c r="P439" s="389">
        <v>-15</v>
      </c>
    </row>
    <row r="440" spans="1:16" ht="19.5" customHeight="1">
      <c r="A440" s="379" t="s">
        <v>1322</v>
      </c>
      <c r="B440" s="382">
        <v>45984</v>
      </c>
      <c r="C440" s="379" t="s">
        <v>28</v>
      </c>
      <c r="D440" s="379" t="s">
        <v>29</v>
      </c>
      <c r="E440" s="379" t="s">
        <v>223</v>
      </c>
      <c r="F440" s="379" t="s">
        <v>395</v>
      </c>
      <c r="G440" s="379" t="s">
        <v>1229</v>
      </c>
      <c r="H440" s="383">
        <v>1</v>
      </c>
      <c r="I440" s="384">
        <v>1687</v>
      </c>
      <c r="J440" s="382">
        <v>45983</v>
      </c>
      <c r="K440" s="379" t="s">
        <v>957</v>
      </c>
      <c r="L440" s="379" t="s">
        <v>30</v>
      </c>
      <c r="M440" s="385">
        <v>0.43</v>
      </c>
      <c r="N440" s="383"/>
      <c r="O440" s="383">
        <v>42</v>
      </c>
      <c r="P440" s="389">
        <v>-120.3</v>
      </c>
    </row>
    <row r="441" spans="1:16" ht="19.5" customHeight="1">
      <c r="A441" s="379" t="s">
        <v>1322</v>
      </c>
      <c r="B441" s="382">
        <v>45984</v>
      </c>
      <c r="C441" s="379" t="s">
        <v>31</v>
      </c>
      <c r="D441" s="379" t="s">
        <v>32</v>
      </c>
      <c r="E441" s="379" t="s">
        <v>223</v>
      </c>
      <c r="F441" s="379" t="s">
        <v>395</v>
      </c>
      <c r="G441" s="379" t="s">
        <v>1229</v>
      </c>
      <c r="H441" s="383">
        <v>1</v>
      </c>
      <c r="I441" s="384">
        <v>1687</v>
      </c>
      <c r="J441" s="382">
        <v>45983</v>
      </c>
      <c r="K441" s="379" t="s">
        <v>957</v>
      </c>
      <c r="L441" s="379" t="s">
        <v>30</v>
      </c>
      <c r="M441" s="385">
        <v>0</v>
      </c>
      <c r="N441" s="383"/>
      <c r="O441" s="383"/>
      <c r="P441" s="389">
        <v>621.9</v>
      </c>
    </row>
    <row r="442" spans="1:16" ht="19.5" customHeight="1">
      <c r="A442" s="379" t="s">
        <v>1322</v>
      </c>
      <c r="B442" s="382">
        <v>45984</v>
      </c>
      <c r="C442" s="379" t="s">
        <v>31</v>
      </c>
      <c r="D442" s="379" t="s">
        <v>33</v>
      </c>
      <c r="E442" s="379" t="s">
        <v>223</v>
      </c>
      <c r="F442" s="379" t="s">
        <v>395</v>
      </c>
      <c r="G442" s="379" t="s">
        <v>1229</v>
      </c>
      <c r="H442" s="383">
        <v>1</v>
      </c>
      <c r="I442" s="384">
        <v>1687</v>
      </c>
      <c r="J442" s="382">
        <v>45983</v>
      </c>
      <c r="K442" s="379" t="s">
        <v>957</v>
      </c>
      <c r="L442" s="379" t="s">
        <v>30</v>
      </c>
      <c r="M442" s="385">
        <v>0</v>
      </c>
      <c r="N442" s="383"/>
      <c r="O442" s="383"/>
      <c r="P442" s="389">
        <v>6.22</v>
      </c>
    </row>
    <row r="443" spans="1:16" ht="19.5" customHeight="1">
      <c r="A443" s="379" t="s">
        <v>1322</v>
      </c>
      <c r="B443" s="382">
        <v>45984</v>
      </c>
      <c r="C443" s="379" t="s">
        <v>31</v>
      </c>
      <c r="D443" s="379" t="s">
        <v>34</v>
      </c>
      <c r="E443" s="379" t="s">
        <v>223</v>
      </c>
      <c r="F443" s="379" t="s">
        <v>395</v>
      </c>
      <c r="G443" s="379" t="s">
        <v>1229</v>
      </c>
      <c r="H443" s="383">
        <v>1</v>
      </c>
      <c r="I443" s="384">
        <v>1687</v>
      </c>
      <c r="J443" s="382">
        <v>45983</v>
      </c>
      <c r="K443" s="379" t="s">
        <v>957</v>
      </c>
      <c r="L443" s="379" t="s">
        <v>30</v>
      </c>
      <c r="M443" s="385">
        <v>0</v>
      </c>
      <c r="N443" s="383"/>
      <c r="O443" s="383"/>
      <c r="P443" s="389">
        <v>1058.8800000000001</v>
      </c>
    </row>
    <row r="444" spans="1:16" ht="19.5" customHeight="1">
      <c r="A444" s="379" t="s">
        <v>1322</v>
      </c>
      <c r="B444" s="382">
        <v>45984</v>
      </c>
      <c r="C444" s="379" t="s">
        <v>35</v>
      </c>
      <c r="D444" s="379" t="s">
        <v>36</v>
      </c>
      <c r="E444" s="379" t="s">
        <v>223</v>
      </c>
      <c r="F444" s="379" t="s">
        <v>395</v>
      </c>
      <c r="G444" s="379" t="s">
        <v>1229</v>
      </c>
      <c r="H444" s="383">
        <v>1</v>
      </c>
      <c r="I444" s="384">
        <v>1687</v>
      </c>
      <c r="J444" s="382">
        <v>45983</v>
      </c>
      <c r="K444" s="379" t="s">
        <v>957</v>
      </c>
      <c r="L444" s="379" t="s">
        <v>30</v>
      </c>
      <c r="M444" s="385">
        <v>0.43</v>
      </c>
      <c r="N444" s="383"/>
      <c r="O444" s="383"/>
      <c r="P444" s="389">
        <v>-725.41</v>
      </c>
    </row>
    <row r="445" spans="1:16" ht="19.5" customHeight="1">
      <c r="A445" s="379" t="s">
        <v>1322</v>
      </c>
      <c r="B445" s="382">
        <v>45984</v>
      </c>
      <c r="C445" s="379" t="s">
        <v>17</v>
      </c>
      <c r="D445" s="379" t="s">
        <v>37</v>
      </c>
      <c r="E445" s="379" t="s">
        <v>223</v>
      </c>
      <c r="F445" s="379" t="s">
        <v>395</v>
      </c>
      <c r="G445" s="379" t="s">
        <v>1229</v>
      </c>
      <c r="H445" s="383">
        <v>1</v>
      </c>
      <c r="I445" s="384">
        <v>1687</v>
      </c>
      <c r="J445" s="382">
        <v>45983</v>
      </c>
      <c r="K445" s="379" t="s">
        <v>957</v>
      </c>
      <c r="L445" s="379" t="s">
        <v>30</v>
      </c>
      <c r="M445" s="385">
        <v>0.43</v>
      </c>
      <c r="N445" s="383"/>
      <c r="O445" s="383"/>
      <c r="P445" s="389">
        <v>-17.420000000000002</v>
      </c>
    </row>
    <row r="446" spans="1:16" ht="19.5" customHeight="1">
      <c r="A446" s="379" t="s">
        <v>1323</v>
      </c>
      <c r="B446" s="382">
        <v>45984</v>
      </c>
      <c r="C446" s="379" t="s">
        <v>17</v>
      </c>
      <c r="D446" s="379" t="s">
        <v>18</v>
      </c>
      <c r="E446" s="379" t="s">
        <v>228</v>
      </c>
      <c r="F446" s="379" t="s">
        <v>393</v>
      </c>
      <c r="G446" s="379" t="s">
        <v>1229</v>
      </c>
      <c r="H446" s="383">
        <v>1</v>
      </c>
      <c r="I446" s="384">
        <v>0</v>
      </c>
      <c r="J446" s="382">
        <v>45984</v>
      </c>
      <c r="K446" s="379" t="s">
        <v>22</v>
      </c>
      <c r="L446" s="379" t="s">
        <v>22</v>
      </c>
      <c r="M446" s="385">
        <v>0</v>
      </c>
      <c r="N446" s="383"/>
      <c r="O446" s="383"/>
      <c r="P446" s="389">
        <v>-9.36</v>
      </c>
    </row>
    <row r="447" spans="1:16" ht="19.5" customHeight="1">
      <c r="A447" s="379" t="s">
        <v>1324</v>
      </c>
      <c r="B447" s="382">
        <v>45984</v>
      </c>
      <c r="C447" s="379" t="s">
        <v>28</v>
      </c>
      <c r="D447" s="379" t="s">
        <v>29</v>
      </c>
      <c r="E447" s="379" t="s">
        <v>25</v>
      </c>
      <c r="F447" s="379" t="s">
        <v>26</v>
      </c>
      <c r="G447" s="379" t="s">
        <v>1229</v>
      </c>
      <c r="H447" s="383">
        <v>1</v>
      </c>
      <c r="I447" s="384">
        <v>1738</v>
      </c>
      <c r="J447" s="382">
        <v>45982</v>
      </c>
      <c r="K447" s="379" t="s">
        <v>957</v>
      </c>
      <c r="L447" s="379" t="s">
        <v>30</v>
      </c>
      <c r="M447" s="385">
        <v>0.43</v>
      </c>
      <c r="N447" s="383"/>
      <c r="O447" s="383">
        <v>43</v>
      </c>
      <c r="P447" s="389">
        <v>-125.74</v>
      </c>
    </row>
    <row r="448" spans="1:16" ht="19.5" customHeight="1">
      <c r="A448" s="379" t="s">
        <v>1324</v>
      </c>
      <c r="B448" s="382">
        <v>45984</v>
      </c>
      <c r="C448" s="379" t="s">
        <v>31</v>
      </c>
      <c r="D448" s="379" t="s">
        <v>32</v>
      </c>
      <c r="E448" s="379" t="s">
        <v>25</v>
      </c>
      <c r="F448" s="379" t="s">
        <v>26</v>
      </c>
      <c r="G448" s="379" t="s">
        <v>1229</v>
      </c>
      <c r="H448" s="383">
        <v>1</v>
      </c>
      <c r="I448" s="384">
        <v>1738</v>
      </c>
      <c r="J448" s="382">
        <v>45982</v>
      </c>
      <c r="K448" s="379" t="s">
        <v>957</v>
      </c>
      <c r="L448" s="379" t="s">
        <v>30</v>
      </c>
      <c r="M448" s="385">
        <v>0</v>
      </c>
      <c r="N448" s="383"/>
      <c r="O448" s="383"/>
      <c r="P448" s="389">
        <v>876.19</v>
      </c>
    </row>
    <row r="449" spans="1:16" ht="19.5" customHeight="1">
      <c r="A449" s="379" t="s">
        <v>1324</v>
      </c>
      <c r="B449" s="382">
        <v>45984</v>
      </c>
      <c r="C449" s="379" t="s">
        <v>31</v>
      </c>
      <c r="D449" s="379" t="s">
        <v>33</v>
      </c>
      <c r="E449" s="379" t="s">
        <v>25</v>
      </c>
      <c r="F449" s="379" t="s">
        <v>26</v>
      </c>
      <c r="G449" s="379" t="s">
        <v>1229</v>
      </c>
      <c r="H449" s="383">
        <v>1</v>
      </c>
      <c r="I449" s="384">
        <v>1738</v>
      </c>
      <c r="J449" s="382">
        <v>45982</v>
      </c>
      <c r="K449" s="379" t="s">
        <v>957</v>
      </c>
      <c r="L449" s="379" t="s">
        <v>30</v>
      </c>
      <c r="M449" s="385">
        <v>0</v>
      </c>
      <c r="N449" s="383"/>
      <c r="O449" s="383"/>
      <c r="P449" s="389">
        <v>8.76</v>
      </c>
    </row>
    <row r="450" spans="1:16" ht="19.5" customHeight="1">
      <c r="A450" s="379" t="s">
        <v>1324</v>
      </c>
      <c r="B450" s="382">
        <v>45984</v>
      </c>
      <c r="C450" s="379" t="s">
        <v>31</v>
      </c>
      <c r="D450" s="379" t="s">
        <v>34</v>
      </c>
      <c r="E450" s="379" t="s">
        <v>25</v>
      </c>
      <c r="F450" s="379" t="s">
        <v>26</v>
      </c>
      <c r="G450" s="379" t="s">
        <v>1229</v>
      </c>
      <c r="H450" s="383">
        <v>1</v>
      </c>
      <c r="I450" s="384">
        <v>1738</v>
      </c>
      <c r="J450" s="382">
        <v>45982</v>
      </c>
      <c r="K450" s="379" t="s">
        <v>957</v>
      </c>
      <c r="L450" s="379" t="s">
        <v>30</v>
      </c>
      <c r="M450" s="385">
        <v>0</v>
      </c>
      <c r="N450" s="383"/>
      <c r="O450" s="383"/>
      <c r="P450" s="389">
        <v>853.05</v>
      </c>
    </row>
    <row r="451" spans="1:16" ht="19.5" customHeight="1">
      <c r="A451" s="379" t="s">
        <v>1324</v>
      </c>
      <c r="B451" s="382">
        <v>45984</v>
      </c>
      <c r="C451" s="379" t="s">
        <v>35</v>
      </c>
      <c r="D451" s="379" t="s">
        <v>36</v>
      </c>
      <c r="E451" s="379" t="s">
        <v>25</v>
      </c>
      <c r="F451" s="379" t="s">
        <v>26</v>
      </c>
      <c r="G451" s="379" t="s">
        <v>1229</v>
      </c>
      <c r="H451" s="383">
        <v>1</v>
      </c>
      <c r="I451" s="384">
        <v>1738</v>
      </c>
      <c r="J451" s="382">
        <v>45982</v>
      </c>
      <c r="K451" s="379" t="s">
        <v>957</v>
      </c>
      <c r="L451" s="379" t="s">
        <v>30</v>
      </c>
      <c r="M451" s="385">
        <v>0.43</v>
      </c>
      <c r="N451" s="383"/>
      <c r="O451" s="383"/>
      <c r="P451" s="389">
        <v>-747.34</v>
      </c>
    </row>
    <row r="452" spans="1:16" ht="19.5" customHeight="1">
      <c r="A452" s="379" t="s">
        <v>1324</v>
      </c>
      <c r="B452" s="382">
        <v>45984</v>
      </c>
      <c r="C452" s="379" t="s">
        <v>17</v>
      </c>
      <c r="D452" s="379" t="s">
        <v>37</v>
      </c>
      <c r="E452" s="379" t="s">
        <v>25</v>
      </c>
      <c r="F452" s="379" t="s">
        <v>26</v>
      </c>
      <c r="G452" s="379" t="s">
        <v>1229</v>
      </c>
      <c r="H452" s="383">
        <v>1</v>
      </c>
      <c r="I452" s="384">
        <v>1738</v>
      </c>
      <c r="J452" s="382">
        <v>45982</v>
      </c>
      <c r="K452" s="379" t="s">
        <v>957</v>
      </c>
      <c r="L452" s="379" t="s">
        <v>30</v>
      </c>
      <c r="M452" s="385">
        <v>0.43</v>
      </c>
      <c r="N452" s="383"/>
      <c r="O452" s="383"/>
      <c r="P452" s="389">
        <v>-13.71</v>
      </c>
    </row>
    <row r="453" spans="1:16" ht="19.5" customHeight="1">
      <c r="A453" s="379" t="s">
        <v>1325</v>
      </c>
      <c r="B453" s="382">
        <v>45984</v>
      </c>
      <c r="C453" s="379" t="s">
        <v>28</v>
      </c>
      <c r="D453" s="379" t="s">
        <v>29</v>
      </c>
      <c r="E453" s="379" t="s">
        <v>223</v>
      </c>
      <c r="F453" s="379" t="s">
        <v>395</v>
      </c>
      <c r="G453" s="379" t="s">
        <v>1229</v>
      </c>
      <c r="H453" s="383">
        <v>1</v>
      </c>
      <c r="I453" s="384">
        <v>1687</v>
      </c>
      <c r="J453" s="382">
        <v>45981</v>
      </c>
      <c r="K453" s="379" t="s">
        <v>957</v>
      </c>
      <c r="L453" s="379" t="s">
        <v>30</v>
      </c>
      <c r="M453" s="385">
        <v>0.43</v>
      </c>
      <c r="N453" s="383"/>
      <c r="O453" s="383">
        <v>44</v>
      </c>
      <c r="P453" s="389">
        <v>-128.12</v>
      </c>
    </row>
    <row r="454" spans="1:16" ht="19.5" customHeight="1">
      <c r="A454" s="379" t="s">
        <v>1325</v>
      </c>
      <c r="B454" s="382">
        <v>45984</v>
      </c>
      <c r="C454" s="379" t="s">
        <v>31</v>
      </c>
      <c r="D454" s="379" t="s">
        <v>32</v>
      </c>
      <c r="E454" s="379" t="s">
        <v>223</v>
      </c>
      <c r="F454" s="379" t="s">
        <v>395</v>
      </c>
      <c r="G454" s="379" t="s">
        <v>1229</v>
      </c>
      <c r="H454" s="383">
        <v>1</v>
      </c>
      <c r="I454" s="384">
        <v>1687</v>
      </c>
      <c r="J454" s="382">
        <v>45981</v>
      </c>
      <c r="K454" s="379" t="s">
        <v>957</v>
      </c>
      <c r="L454" s="379" t="s">
        <v>30</v>
      </c>
      <c r="M454" s="385">
        <v>0</v>
      </c>
      <c r="N454" s="383"/>
      <c r="O454" s="383"/>
      <c r="P454" s="389">
        <v>618.46</v>
      </c>
    </row>
    <row r="455" spans="1:16" ht="19.5" customHeight="1">
      <c r="A455" s="379" t="s">
        <v>1325</v>
      </c>
      <c r="B455" s="382">
        <v>45984</v>
      </c>
      <c r="C455" s="379" t="s">
        <v>31</v>
      </c>
      <c r="D455" s="379" t="s">
        <v>33</v>
      </c>
      <c r="E455" s="379" t="s">
        <v>223</v>
      </c>
      <c r="F455" s="379" t="s">
        <v>395</v>
      </c>
      <c r="G455" s="379" t="s">
        <v>1229</v>
      </c>
      <c r="H455" s="383">
        <v>1</v>
      </c>
      <c r="I455" s="384">
        <v>1687</v>
      </c>
      <c r="J455" s="382">
        <v>45981</v>
      </c>
      <c r="K455" s="379" t="s">
        <v>957</v>
      </c>
      <c r="L455" s="379" t="s">
        <v>30</v>
      </c>
      <c r="M455" s="385">
        <v>0</v>
      </c>
      <c r="N455" s="383"/>
      <c r="O455" s="383"/>
      <c r="P455" s="389">
        <v>6.18</v>
      </c>
    </row>
    <row r="456" spans="1:16" ht="19.5" customHeight="1">
      <c r="A456" s="379" t="s">
        <v>1325</v>
      </c>
      <c r="B456" s="382">
        <v>45984</v>
      </c>
      <c r="C456" s="379" t="s">
        <v>31</v>
      </c>
      <c r="D456" s="379" t="s">
        <v>34</v>
      </c>
      <c r="E456" s="379" t="s">
        <v>223</v>
      </c>
      <c r="F456" s="379" t="s">
        <v>395</v>
      </c>
      <c r="G456" s="379" t="s">
        <v>1229</v>
      </c>
      <c r="H456" s="383">
        <v>1</v>
      </c>
      <c r="I456" s="384">
        <v>1687</v>
      </c>
      <c r="J456" s="382">
        <v>45981</v>
      </c>
      <c r="K456" s="379" t="s">
        <v>957</v>
      </c>
      <c r="L456" s="379" t="s">
        <v>30</v>
      </c>
      <c r="M456" s="385">
        <v>0</v>
      </c>
      <c r="N456" s="383"/>
      <c r="O456" s="383"/>
      <c r="P456" s="389">
        <v>1062.3599999999999</v>
      </c>
    </row>
    <row r="457" spans="1:16" ht="19.5" customHeight="1">
      <c r="A457" s="379" t="s">
        <v>1325</v>
      </c>
      <c r="B457" s="382">
        <v>45984</v>
      </c>
      <c r="C457" s="379" t="s">
        <v>35</v>
      </c>
      <c r="D457" s="379" t="s">
        <v>36</v>
      </c>
      <c r="E457" s="379" t="s">
        <v>223</v>
      </c>
      <c r="F457" s="379" t="s">
        <v>395</v>
      </c>
      <c r="G457" s="379" t="s">
        <v>1229</v>
      </c>
      <c r="H457" s="383">
        <v>1</v>
      </c>
      <c r="I457" s="384">
        <v>1687</v>
      </c>
      <c r="J457" s="382">
        <v>45981</v>
      </c>
      <c r="K457" s="379" t="s">
        <v>957</v>
      </c>
      <c r="L457" s="379" t="s">
        <v>30</v>
      </c>
      <c r="M457" s="385">
        <v>0.43</v>
      </c>
      <c r="N457" s="383"/>
      <c r="O457" s="383"/>
      <c r="P457" s="389">
        <v>-725.41</v>
      </c>
    </row>
    <row r="458" spans="1:16" ht="19.5" customHeight="1">
      <c r="A458" s="379" t="s">
        <v>1325</v>
      </c>
      <c r="B458" s="382">
        <v>45984</v>
      </c>
      <c r="C458" s="379" t="s">
        <v>17</v>
      </c>
      <c r="D458" s="379" t="s">
        <v>37</v>
      </c>
      <c r="E458" s="379" t="s">
        <v>223</v>
      </c>
      <c r="F458" s="379" t="s">
        <v>395</v>
      </c>
      <c r="G458" s="379" t="s">
        <v>1229</v>
      </c>
      <c r="H458" s="383">
        <v>1</v>
      </c>
      <c r="I458" s="384">
        <v>1687</v>
      </c>
      <c r="J458" s="382">
        <v>45981</v>
      </c>
      <c r="K458" s="379" t="s">
        <v>957</v>
      </c>
      <c r="L458" s="379" t="s">
        <v>30</v>
      </c>
      <c r="M458" s="385">
        <v>0.43</v>
      </c>
      <c r="N458" s="383"/>
      <c r="O458" s="383"/>
      <c r="P458" s="389">
        <v>-10.53</v>
      </c>
    </row>
    <row r="459" spans="1:16" ht="19.5" customHeight="1">
      <c r="A459" s="379" t="s">
        <v>1325</v>
      </c>
      <c r="B459" s="382">
        <v>45984</v>
      </c>
      <c r="C459" s="379" t="s">
        <v>17</v>
      </c>
      <c r="D459" s="379" t="s">
        <v>18</v>
      </c>
      <c r="E459" s="379" t="s">
        <v>223</v>
      </c>
      <c r="F459" s="379" t="s">
        <v>395</v>
      </c>
      <c r="G459" s="379" t="s">
        <v>1229</v>
      </c>
      <c r="H459" s="383">
        <v>1</v>
      </c>
      <c r="I459" s="384">
        <v>0</v>
      </c>
      <c r="J459" s="382">
        <v>45981</v>
      </c>
      <c r="K459" s="379" t="s">
        <v>22</v>
      </c>
      <c r="L459" s="379" t="s">
        <v>22</v>
      </c>
      <c r="M459" s="385">
        <v>0</v>
      </c>
      <c r="N459" s="383"/>
      <c r="O459" s="383"/>
      <c r="P459" s="389">
        <v>-11.75</v>
      </c>
    </row>
    <row r="460" spans="1:16" ht="19.5" customHeight="1">
      <c r="A460" s="379" t="s">
        <v>1326</v>
      </c>
      <c r="B460" s="382">
        <v>45984</v>
      </c>
      <c r="C460" s="379" t="s">
        <v>17</v>
      </c>
      <c r="D460" s="379" t="s">
        <v>18</v>
      </c>
      <c r="E460" s="379" t="s">
        <v>223</v>
      </c>
      <c r="F460" s="379" t="s">
        <v>395</v>
      </c>
      <c r="G460" s="379" t="s">
        <v>1229</v>
      </c>
      <c r="H460" s="383">
        <v>1</v>
      </c>
      <c r="I460" s="384">
        <v>0</v>
      </c>
      <c r="J460" s="382">
        <v>45984</v>
      </c>
      <c r="K460" s="379" t="s">
        <v>22</v>
      </c>
      <c r="L460" s="379" t="s">
        <v>22</v>
      </c>
      <c r="M460" s="385">
        <v>0</v>
      </c>
      <c r="N460" s="383"/>
      <c r="O460" s="383"/>
      <c r="P460" s="389">
        <v>-11.42</v>
      </c>
    </row>
    <row r="461" spans="1:16" ht="19.5" customHeight="1">
      <c r="A461" s="379" t="s">
        <v>22</v>
      </c>
      <c r="B461" s="382">
        <v>45984</v>
      </c>
      <c r="C461" s="379" t="s">
        <v>77</v>
      </c>
      <c r="D461" s="379" t="s">
        <v>78</v>
      </c>
      <c r="E461" s="379" t="s">
        <v>22</v>
      </c>
      <c r="F461" s="379" t="s">
        <v>22</v>
      </c>
      <c r="G461" s="379" t="s">
        <v>1327</v>
      </c>
      <c r="H461" s="383">
        <v>0</v>
      </c>
      <c r="I461" s="384">
        <v>0</v>
      </c>
      <c r="J461" s="382">
        <v>45984</v>
      </c>
      <c r="K461" s="379" t="s">
        <v>22</v>
      </c>
      <c r="L461" s="379" t="s">
        <v>22</v>
      </c>
      <c r="M461" s="385">
        <v>0</v>
      </c>
      <c r="N461" s="383"/>
      <c r="O461" s="383"/>
      <c r="P461" s="389">
        <v>-450</v>
      </c>
    </row>
    <row r="462" spans="1:16" ht="19.5" customHeight="1">
      <c r="A462" s="379" t="s">
        <v>1075</v>
      </c>
      <c r="B462" s="382">
        <v>45984</v>
      </c>
      <c r="C462" s="379" t="s">
        <v>77</v>
      </c>
      <c r="D462" s="379" t="s">
        <v>82</v>
      </c>
      <c r="E462" s="379" t="s">
        <v>22</v>
      </c>
      <c r="F462" s="379" t="s">
        <v>22</v>
      </c>
      <c r="G462" s="379" t="s">
        <v>22</v>
      </c>
      <c r="H462" s="383">
        <v>0</v>
      </c>
      <c r="I462" s="384">
        <v>0</v>
      </c>
      <c r="J462" s="382">
        <v>45984</v>
      </c>
      <c r="K462" s="379" t="s">
        <v>22</v>
      </c>
      <c r="L462" s="379" t="s">
        <v>22</v>
      </c>
      <c r="M462" s="385">
        <v>0</v>
      </c>
      <c r="N462" s="383"/>
      <c r="O462" s="383"/>
      <c r="P462" s="389">
        <v>-669.6</v>
      </c>
    </row>
    <row r="463" spans="1:16" ht="19.5" customHeight="1">
      <c r="A463" s="379" t="s">
        <v>1270</v>
      </c>
      <c r="B463" s="382">
        <v>45984</v>
      </c>
      <c r="C463" s="379" t="s">
        <v>77</v>
      </c>
      <c r="D463" s="379" t="s">
        <v>82</v>
      </c>
      <c r="E463" s="379" t="s">
        <v>22</v>
      </c>
      <c r="F463" s="379" t="s">
        <v>22</v>
      </c>
      <c r="G463" s="379" t="s">
        <v>22</v>
      </c>
      <c r="H463" s="383">
        <v>0</v>
      </c>
      <c r="I463" s="384">
        <v>0</v>
      </c>
      <c r="J463" s="382">
        <v>45984</v>
      </c>
      <c r="K463" s="379" t="s">
        <v>22</v>
      </c>
      <c r="L463" s="379" t="s">
        <v>22</v>
      </c>
      <c r="M463" s="385">
        <v>0</v>
      </c>
      <c r="N463" s="383"/>
      <c r="O463" s="383"/>
      <c r="P463" s="389">
        <v>-274.82</v>
      </c>
    </row>
    <row r="464" spans="1:16" ht="19.5" customHeight="1">
      <c r="A464" s="379" t="s">
        <v>1282</v>
      </c>
      <c r="B464" s="382">
        <v>45984</v>
      </c>
      <c r="C464" s="379" t="s">
        <v>77</v>
      </c>
      <c r="D464" s="379" t="s">
        <v>82</v>
      </c>
      <c r="E464" s="379" t="s">
        <v>22</v>
      </c>
      <c r="F464" s="379" t="s">
        <v>22</v>
      </c>
      <c r="G464" s="379" t="s">
        <v>22</v>
      </c>
      <c r="H464" s="383">
        <v>0</v>
      </c>
      <c r="I464" s="384">
        <v>0</v>
      </c>
      <c r="J464" s="382">
        <v>45984</v>
      </c>
      <c r="K464" s="379" t="s">
        <v>22</v>
      </c>
      <c r="L464" s="379" t="s">
        <v>22</v>
      </c>
      <c r="M464" s="385">
        <v>0</v>
      </c>
      <c r="N464" s="383"/>
      <c r="O464" s="383"/>
      <c r="P464" s="389">
        <v>-303.60000000000002</v>
      </c>
    </row>
    <row r="465" spans="1:16" ht="19.5" customHeight="1">
      <c r="A465" s="379" t="s">
        <v>83</v>
      </c>
      <c r="B465" s="382">
        <v>45984</v>
      </c>
      <c r="C465" s="379" t="s">
        <v>77</v>
      </c>
      <c r="D465" s="379" t="s">
        <v>84</v>
      </c>
      <c r="E465" s="379" t="s">
        <v>22</v>
      </c>
      <c r="F465" s="379" t="s">
        <v>22</v>
      </c>
      <c r="G465" s="379" t="s">
        <v>22</v>
      </c>
      <c r="H465" s="383">
        <v>0</v>
      </c>
      <c r="I465" s="384">
        <v>0</v>
      </c>
      <c r="J465" s="382">
        <v>45984</v>
      </c>
      <c r="K465" s="379" t="s">
        <v>22</v>
      </c>
      <c r="L465" s="379" t="s">
        <v>22</v>
      </c>
      <c r="M465" s="385">
        <v>0</v>
      </c>
      <c r="N465" s="383"/>
      <c r="O465" s="383"/>
      <c r="P465" s="389">
        <v>-1084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2F31-D0C2-4114-ACD0-721C26733BF5}">
  <dimension ref="A1:P464"/>
  <sheetViews>
    <sheetView topLeftCell="H1" zoomScale="80" zoomScaleNormal="80" workbookViewId="0">
      <selection activeCell="Q9" sqref="Q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6" width="20.7265625" customWidth="1"/>
  </cols>
  <sheetData>
    <row r="1" spans="1:16" ht="19.5" customHeight="1">
      <c r="A1" s="379" t="s">
        <v>1131</v>
      </c>
    </row>
    <row r="2" spans="1:16" ht="78.75" customHeight="1">
      <c r="A2" s="380" t="s">
        <v>1</v>
      </c>
      <c r="B2" s="380" t="s">
        <v>2</v>
      </c>
      <c r="C2" s="380" t="s">
        <v>3</v>
      </c>
      <c r="D2" s="380" t="s">
        <v>4</v>
      </c>
      <c r="E2" s="380" t="s">
        <v>5</v>
      </c>
      <c r="F2" s="380" t="s">
        <v>6</v>
      </c>
      <c r="G2" s="380" t="s">
        <v>7</v>
      </c>
      <c r="H2" s="380" t="s">
        <v>8</v>
      </c>
      <c r="I2" s="380" t="s">
        <v>9</v>
      </c>
      <c r="J2" s="380" t="s">
        <v>10</v>
      </c>
      <c r="K2" s="380" t="s">
        <v>955</v>
      </c>
      <c r="L2" s="380" t="s">
        <v>11</v>
      </c>
      <c r="M2" s="380" t="s">
        <v>12</v>
      </c>
      <c r="N2" s="380" t="s">
        <v>13</v>
      </c>
      <c r="O2" s="380" t="s">
        <v>14</v>
      </c>
      <c r="P2" s="381" t="s">
        <v>15</v>
      </c>
    </row>
    <row r="3" spans="1:16" ht="19.5" customHeight="1">
      <c r="A3" s="379" t="s">
        <v>1132</v>
      </c>
      <c r="B3" s="382">
        <v>45971</v>
      </c>
      <c r="C3" s="379" t="s">
        <v>17</v>
      </c>
      <c r="D3" s="379" t="s">
        <v>18</v>
      </c>
      <c r="E3" s="379" t="s">
        <v>223</v>
      </c>
      <c r="F3" s="379" t="s">
        <v>395</v>
      </c>
      <c r="G3" s="379" t="s">
        <v>21</v>
      </c>
      <c r="H3" s="383">
        <v>1</v>
      </c>
      <c r="I3" s="384">
        <v>0</v>
      </c>
      <c r="J3" s="382">
        <v>45970</v>
      </c>
      <c r="K3" s="379" t="s">
        <v>22</v>
      </c>
      <c r="L3" s="379" t="s">
        <v>22</v>
      </c>
      <c r="M3" s="385">
        <v>0</v>
      </c>
      <c r="N3" s="383"/>
      <c r="O3" s="383"/>
      <c r="P3" s="384">
        <v>-13.03</v>
      </c>
    </row>
    <row r="4" spans="1:16" ht="19.5" customHeight="1">
      <c r="A4" s="379" t="s">
        <v>1081</v>
      </c>
      <c r="B4" s="382">
        <v>45971</v>
      </c>
      <c r="C4" s="379" t="s">
        <v>28</v>
      </c>
      <c r="D4" s="379" t="s">
        <v>60</v>
      </c>
      <c r="E4" s="379" t="s">
        <v>70</v>
      </c>
      <c r="F4" s="379" t="s">
        <v>71</v>
      </c>
      <c r="G4" s="379" t="s">
        <v>1133</v>
      </c>
      <c r="H4" s="383">
        <v>1</v>
      </c>
      <c r="I4" s="384">
        <v>0</v>
      </c>
      <c r="J4" s="382">
        <v>45964</v>
      </c>
      <c r="K4" s="379" t="s">
        <v>957</v>
      </c>
      <c r="L4" s="379" t="s">
        <v>30</v>
      </c>
      <c r="M4" s="385">
        <v>0</v>
      </c>
      <c r="N4" s="383"/>
      <c r="O4" s="383"/>
      <c r="P4" s="384">
        <v>0</v>
      </c>
    </row>
    <row r="5" spans="1:16" ht="19.5" customHeight="1">
      <c r="A5" s="379" t="s">
        <v>1081</v>
      </c>
      <c r="B5" s="382">
        <v>45971</v>
      </c>
      <c r="C5" s="379" t="s">
        <v>28</v>
      </c>
      <c r="D5" s="379" t="s">
        <v>46</v>
      </c>
      <c r="E5" s="379" t="s">
        <v>70</v>
      </c>
      <c r="F5" s="379" t="s">
        <v>71</v>
      </c>
      <c r="G5" s="379" t="s">
        <v>1133</v>
      </c>
      <c r="H5" s="383">
        <v>1</v>
      </c>
      <c r="I5" s="384">
        <v>0</v>
      </c>
      <c r="J5" s="382">
        <v>45964</v>
      </c>
      <c r="K5" s="379" t="s">
        <v>957</v>
      </c>
      <c r="L5" s="379" t="s">
        <v>30</v>
      </c>
      <c r="M5" s="385">
        <v>0</v>
      </c>
      <c r="N5" s="383"/>
      <c r="O5" s="383"/>
      <c r="P5" s="384">
        <v>-56</v>
      </c>
    </row>
    <row r="6" spans="1:16" ht="19.5" customHeight="1">
      <c r="A6" s="379" t="s">
        <v>1081</v>
      </c>
      <c r="B6" s="382">
        <v>45971</v>
      </c>
      <c r="C6" s="379" t="s">
        <v>17</v>
      </c>
      <c r="D6" s="379" t="s">
        <v>47</v>
      </c>
      <c r="E6" s="379" t="s">
        <v>70</v>
      </c>
      <c r="F6" s="379" t="s">
        <v>71</v>
      </c>
      <c r="G6" s="379" t="s">
        <v>1133</v>
      </c>
      <c r="H6" s="383">
        <v>1</v>
      </c>
      <c r="I6" s="384">
        <v>0</v>
      </c>
      <c r="J6" s="382">
        <v>45964</v>
      </c>
      <c r="K6" s="379" t="s">
        <v>957</v>
      </c>
      <c r="L6" s="379" t="s">
        <v>30</v>
      </c>
      <c r="M6" s="385">
        <v>0</v>
      </c>
      <c r="N6" s="383"/>
      <c r="O6" s="383"/>
      <c r="P6" s="384">
        <v>-15</v>
      </c>
    </row>
    <row r="7" spans="1:16" ht="19.5" customHeight="1">
      <c r="A7" s="379" t="s">
        <v>1134</v>
      </c>
      <c r="B7" s="382">
        <v>45971</v>
      </c>
      <c r="C7" s="379" t="s">
        <v>28</v>
      </c>
      <c r="D7" s="379" t="s">
        <v>29</v>
      </c>
      <c r="E7" s="379" t="s">
        <v>223</v>
      </c>
      <c r="F7" s="379" t="s">
        <v>395</v>
      </c>
      <c r="G7" s="379" t="s">
        <v>21</v>
      </c>
      <c r="H7" s="383">
        <v>1</v>
      </c>
      <c r="I7" s="384">
        <v>0</v>
      </c>
      <c r="J7" s="382">
        <v>45967</v>
      </c>
      <c r="K7" s="379" t="s">
        <v>957</v>
      </c>
      <c r="L7" s="379" t="s">
        <v>30</v>
      </c>
      <c r="M7" s="385">
        <v>0</v>
      </c>
      <c r="N7" s="383"/>
      <c r="O7" s="383"/>
      <c r="P7" s="384">
        <v>-46</v>
      </c>
    </row>
    <row r="8" spans="1:16" ht="19.5" customHeight="1">
      <c r="A8" s="379" t="s">
        <v>1134</v>
      </c>
      <c r="B8" s="382">
        <v>45971</v>
      </c>
      <c r="C8" s="379" t="s">
        <v>17</v>
      </c>
      <c r="D8" s="379" t="s">
        <v>37</v>
      </c>
      <c r="E8" s="379" t="s">
        <v>223</v>
      </c>
      <c r="F8" s="379" t="s">
        <v>395</v>
      </c>
      <c r="G8" s="379" t="s">
        <v>21</v>
      </c>
      <c r="H8" s="383">
        <v>1</v>
      </c>
      <c r="I8" s="384">
        <v>0</v>
      </c>
      <c r="J8" s="382">
        <v>45967</v>
      </c>
      <c r="K8" s="379" t="s">
        <v>957</v>
      </c>
      <c r="L8" s="379" t="s">
        <v>30</v>
      </c>
      <c r="M8" s="385">
        <v>0</v>
      </c>
      <c r="N8" s="383"/>
      <c r="O8" s="383"/>
      <c r="P8" s="384">
        <v>-6.33</v>
      </c>
    </row>
    <row r="9" spans="1:16" ht="19.5" customHeight="1">
      <c r="A9" s="379" t="s">
        <v>1134</v>
      </c>
      <c r="B9" s="382">
        <v>45971</v>
      </c>
      <c r="C9" s="379" t="s">
        <v>28</v>
      </c>
      <c r="D9" s="379" t="s">
        <v>45</v>
      </c>
      <c r="E9" s="379" t="s">
        <v>223</v>
      </c>
      <c r="F9" s="379" t="s">
        <v>395</v>
      </c>
      <c r="G9" s="379" t="s">
        <v>21</v>
      </c>
      <c r="H9" s="383">
        <v>1</v>
      </c>
      <c r="I9" s="384">
        <v>0</v>
      </c>
      <c r="J9" s="382">
        <v>45967</v>
      </c>
      <c r="K9" s="379" t="s">
        <v>957</v>
      </c>
      <c r="L9" s="379" t="s">
        <v>30</v>
      </c>
      <c r="M9" s="385">
        <v>0</v>
      </c>
      <c r="N9" s="383"/>
      <c r="O9" s="383"/>
      <c r="P9" s="384">
        <v>0</v>
      </c>
    </row>
    <row r="10" spans="1:16" ht="19.5" customHeight="1">
      <c r="A10" s="379" t="s">
        <v>1134</v>
      </c>
      <c r="B10" s="382">
        <v>45971</v>
      </c>
      <c r="C10" s="379" t="s">
        <v>28</v>
      </c>
      <c r="D10" s="379" t="s">
        <v>46</v>
      </c>
      <c r="E10" s="379" t="s">
        <v>223</v>
      </c>
      <c r="F10" s="379" t="s">
        <v>395</v>
      </c>
      <c r="G10" s="379" t="s">
        <v>21</v>
      </c>
      <c r="H10" s="383">
        <v>1</v>
      </c>
      <c r="I10" s="384">
        <v>0</v>
      </c>
      <c r="J10" s="382">
        <v>45967</v>
      </c>
      <c r="K10" s="379" t="s">
        <v>957</v>
      </c>
      <c r="L10" s="379" t="s">
        <v>30</v>
      </c>
      <c r="M10" s="385">
        <v>0</v>
      </c>
      <c r="N10" s="383"/>
      <c r="O10" s="383"/>
      <c r="P10" s="384">
        <v>-46</v>
      </c>
    </row>
    <row r="11" spans="1:16" ht="19.5" customHeight="1">
      <c r="A11" s="379" t="s">
        <v>1134</v>
      </c>
      <c r="B11" s="382">
        <v>45971</v>
      </c>
      <c r="C11" s="379" t="s">
        <v>17</v>
      </c>
      <c r="D11" s="379" t="s">
        <v>47</v>
      </c>
      <c r="E11" s="379" t="s">
        <v>223</v>
      </c>
      <c r="F11" s="379" t="s">
        <v>395</v>
      </c>
      <c r="G11" s="379" t="s">
        <v>21</v>
      </c>
      <c r="H11" s="383">
        <v>1</v>
      </c>
      <c r="I11" s="384">
        <v>0</v>
      </c>
      <c r="J11" s="382">
        <v>45967</v>
      </c>
      <c r="K11" s="379" t="s">
        <v>957</v>
      </c>
      <c r="L11" s="379" t="s">
        <v>30</v>
      </c>
      <c r="M11" s="385">
        <v>0</v>
      </c>
      <c r="N11" s="383"/>
      <c r="O11" s="383"/>
      <c r="P11" s="384">
        <v>-15</v>
      </c>
    </row>
    <row r="12" spans="1:16" ht="19.5" customHeight="1">
      <c r="A12" s="379" t="s">
        <v>1135</v>
      </c>
      <c r="B12" s="382">
        <v>45971</v>
      </c>
      <c r="C12" s="379" t="s">
        <v>28</v>
      </c>
      <c r="D12" s="379" t="s">
        <v>45</v>
      </c>
      <c r="E12" s="379" t="s">
        <v>25</v>
      </c>
      <c r="F12" s="379" t="s">
        <v>26</v>
      </c>
      <c r="G12" s="379" t="s">
        <v>21</v>
      </c>
      <c r="H12" s="383">
        <v>1</v>
      </c>
      <c r="I12" s="384">
        <v>0</v>
      </c>
      <c r="J12" s="382">
        <v>45965</v>
      </c>
      <c r="K12" s="379" t="s">
        <v>957</v>
      </c>
      <c r="L12" s="379" t="s">
        <v>30</v>
      </c>
      <c r="M12" s="385">
        <v>0</v>
      </c>
      <c r="N12" s="383"/>
      <c r="O12" s="383"/>
      <c r="P12" s="384">
        <v>0</v>
      </c>
    </row>
    <row r="13" spans="1:16" ht="19.5" customHeight="1">
      <c r="A13" s="379" t="s">
        <v>1135</v>
      </c>
      <c r="B13" s="382">
        <v>45971</v>
      </c>
      <c r="C13" s="379" t="s">
        <v>28</v>
      </c>
      <c r="D13" s="379" t="s">
        <v>46</v>
      </c>
      <c r="E13" s="379" t="s">
        <v>25</v>
      </c>
      <c r="F13" s="379" t="s">
        <v>26</v>
      </c>
      <c r="G13" s="379" t="s">
        <v>21</v>
      </c>
      <c r="H13" s="383">
        <v>1</v>
      </c>
      <c r="I13" s="384">
        <v>0</v>
      </c>
      <c r="J13" s="382">
        <v>45965</v>
      </c>
      <c r="K13" s="379" t="s">
        <v>957</v>
      </c>
      <c r="L13" s="379" t="s">
        <v>30</v>
      </c>
      <c r="M13" s="385">
        <v>0</v>
      </c>
      <c r="N13" s="383"/>
      <c r="O13" s="383"/>
      <c r="P13" s="384">
        <v>-46</v>
      </c>
    </row>
    <row r="14" spans="1:16" ht="19.5" customHeight="1">
      <c r="A14" s="379" t="s">
        <v>1135</v>
      </c>
      <c r="B14" s="382">
        <v>45971</v>
      </c>
      <c r="C14" s="379" t="s">
        <v>17</v>
      </c>
      <c r="D14" s="379" t="s">
        <v>47</v>
      </c>
      <c r="E14" s="379" t="s">
        <v>25</v>
      </c>
      <c r="F14" s="379" t="s">
        <v>26</v>
      </c>
      <c r="G14" s="379" t="s">
        <v>21</v>
      </c>
      <c r="H14" s="383">
        <v>1</v>
      </c>
      <c r="I14" s="384">
        <v>0</v>
      </c>
      <c r="J14" s="382">
        <v>45965</v>
      </c>
      <c r="K14" s="379" t="s">
        <v>957</v>
      </c>
      <c r="L14" s="379" t="s">
        <v>30</v>
      </c>
      <c r="M14" s="385">
        <v>0</v>
      </c>
      <c r="N14" s="383"/>
      <c r="O14" s="383"/>
      <c r="P14" s="384">
        <v>-15</v>
      </c>
    </row>
    <row r="15" spans="1:16" ht="19.5" customHeight="1">
      <c r="A15" s="379" t="s">
        <v>1135</v>
      </c>
      <c r="B15" s="382">
        <v>45971</v>
      </c>
      <c r="C15" s="379" t="s">
        <v>28</v>
      </c>
      <c r="D15" s="379" t="s">
        <v>29</v>
      </c>
      <c r="E15" s="379" t="s">
        <v>25</v>
      </c>
      <c r="F15" s="379" t="s">
        <v>26</v>
      </c>
      <c r="G15" s="379" t="s">
        <v>21</v>
      </c>
      <c r="H15" s="383">
        <v>1</v>
      </c>
      <c r="I15" s="384">
        <v>0</v>
      </c>
      <c r="J15" s="382">
        <v>45965</v>
      </c>
      <c r="K15" s="379" t="s">
        <v>957</v>
      </c>
      <c r="L15" s="379" t="s">
        <v>30</v>
      </c>
      <c r="M15" s="385">
        <v>0</v>
      </c>
      <c r="N15" s="383"/>
      <c r="O15" s="383"/>
      <c r="P15" s="384">
        <v>-46</v>
      </c>
    </row>
    <row r="16" spans="1:16" ht="19.5" customHeight="1">
      <c r="A16" s="379" t="s">
        <v>1135</v>
      </c>
      <c r="B16" s="382">
        <v>45971</v>
      </c>
      <c r="C16" s="379" t="s">
        <v>17</v>
      </c>
      <c r="D16" s="379" t="s">
        <v>37</v>
      </c>
      <c r="E16" s="379" t="s">
        <v>25</v>
      </c>
      <c r="F16" s="379" t="s">
        <v>26</v>
      </c>
      <c r="G16" s="379" t="s">
        <v>21</v>
      </c>
      <c r="H16" s="383">
        <v>1</v>
      </c>
      <c r="I16" s="384">
        <v>0</v>
      </c>
      <c r="J16" s="382">
        <v>45965</v>
      </c>
      <c r="K16" s="379" t="s">
        <v>957</v>
      </c>
      <c r="L16" s="379" t="s">
        <v>30</v>
      </c>
      <c r="M16" s="385">
        <v>0</v>
      </c>
      <c r="N16" s="383"/>
      <c r="O16" s="383"/>
      <c r="P16" s="384">
        <v>-10.35</v>
      </c>
    </row>
    <row r="17" spans="1:16" ht="19.5" customHeight="1">
      <c r="A17" s="379" t="s">
        <v>1136</v>
      </c>
      <c r="B17" s="382">
        <v>45971</v>
      </c>
      <c r="C17" s="379" t="s">
        <v>17</v>
      </c>
      <c r="D17" s="379" t="s">
        <v>18</v>
      </c>
      <c r="E17" s="379" t="s">
        <v>25</v>
      </c>
      <c r="F17" s="379" t="s">
        <v>26</v>
      </c>
      <c r="G17" s="379" t="s">
        <v>21</v>
      </c>
      <c r="H17" s="383">
        <v>1</v>
      </c>
      <c r="I17" s="384">
        <v>0</v>
      </c>
      <c r="J17" s="382">
        <v>45971</v>
      </c>
      <c r="K17" s="379" t="s">
        <v>22</v>
      </c>
      <c r="L17" s="379" t="s">
        <v>22</v>
      </c>
      <c r="M17" s="385">
        <v>0</v>
      </c>
      <c r="N17" s="383"/>
      <c r="O17" s="383"/>
      <c r="P17" s="384">
        <v>-11.28</v>
      </c>
    </row>
    <row r="18" spans="1:16" ht="19.5" customHeight="1">
      <c r="A18" s="379" t="s">
        <v>1137</v>
      </c>
      <c r="B18" s="382">
        <v>45971</v>
      </c>
      <c r="C18" s="379" t="s">
        <v>17</v>
      </c>
      <c r="D18" s="379" t="s">
        <v>18</v>
      </c>
      <c r="E18" s="379" t="s">
        <v>223</v>
      </c>
      <c r="F18" s="379" t="s">
        <v>395</v>
      </c>
      <c r="G18" s="379" t="s">
        <v>21</v>
      </c>
      <c r="H18" s="383">
        <v>1</v>
      </c>
      <c r="I18" s="384">
        <v>0</v>
      </c>
      <c r="J18" s="382">
        <v>45971</v>
      </c>
      <c r="K18" s="379" t="s">
        <v>22</v>
      </c>
      <c r="L18" s="379" t="s">
        <v>22</v>
      </c>
      <c r="M18" s="385">
        <v>0</v>
      </c>
      <c r="N18" s="383"/>
      <c r="O18" s="383"/>
      <c r="P18" s="384">
        <v>-14.42</v>
      </c>
    </row>
    <row r="19" spans="1:16" ht="19.5" customHeight="1">
      <c r="A19" s="379" t="s">
        <v>1113</v>
      </c>
      <c r="B19" s="382">
        <v>45971</v>
      </c>
      <c r="C19" s="379" t="s">
        <v>28</v>
      </c>
      <c r="D19" s="379" t="s">
        <v>29</v>
      </c>
      <c r="E19" s="379" t="s">
        <v>51</v>
      </c>
      <c r="F19" s="379" t="s">
        <v>52</v>
      </c>
      <c r="G19" s="379" t="s">
        <v>1133</v>
      </c>
      <c r="H19" s="383">
        <v>1</v>
      </c>
      <c r="I19" s="384">
        <v>0</v>
      </c>
      <c r="J19" s="382">
        <v>45963</v>
      </c>
      <c r="K19" s="379" t="s">
        <v>957</v>
      </c>
      <c r="L19" s="379" t="s">
        <v>30</v>
      </c>
      <c r="M19" s="385">
        <v>0</v>
      </c>
      <c r="N19" s="383"/>
      <c r="O19" s="383"/>
      <c r="P19" s="384">
        <v>-56</v>
      </c>
    </row>
    <row r="20" spans="1:16" ht="19.5" customHeight="1">
      <c r="A20" s="379" t="s">
        <v>1113</v>
      </c>
      <c r="B20" s="382">
        <v>45971</v>
      </c>
      <c r="C20" s="379" t="s">
        <v>17</v>
      </c>
      <c r="D20" s="379" t="s">
        <v>37</v>
      </c>
      <c r="E20" s="379" t="s">
        <v>51</v>
      </c>
      <c r="F20" s="379" t="s">
        <v>52</v>
      </c>
      <c r="G20" s="379" t="s">
        <v>1133</v>
      </c>
      <c r="H20" s="383">
        <v>1</v>
      </c>
      <c r="I20" s="384">
        <v>0</v>
      </c>
      <c r="J20" s="382">
        <v>45963</v>
      </c>
      <c r="K20" s="379" t="s">
        <v>957</v>
      </c>
      <c r="L20" s="379" t="s">
        <v>30</v>
      </c>
      <c r="M20" s="385">
        <v>0</v>
      </c>
      <c r="N20" s="383"/>
      <c r="O20" s="383"/>
      <c r="P20" s="384">
        <v>-11.63</v>
      </c>
    </row>
    <row r="21" spans="1:16" ht="19.5" customHeight="1">
      <c r="A21" s="379" t="s">
        <v>1113</v>
      </c>
      <c r="B21" s="382">
        <v>45971</v>
      </c>
      <c r="C21" s="379" t="s">
        <v>28</v>
      </c>
      <c r="D21" s="379" t="s">
        <v>45</v>
      </c>
      <c r="E21" s="379" t="s">
        <v>51</v>
      </c>
      <c r="F21" s="379" t="s">
        <v>52</v>
      </c>
      <c r="G21" s="379" t="s">
        <v>1133</v>
      </c>
      <c r="H21" s="383">
        <v>1</v>
      </c>
      <c r="I21" s="384">
        <v>0</v>
      </c>
      <c r="J21" s="382">
        <v>45963</v>
      </c>
      <c r="K21" s="379" t="s">
        <v>957</v>
      </c>
      <c r="L21" s="379" t="s">
        <v>30</v>
      </c>
      <c r="M21" s="385">
        <v>0</v>
      </c>
      <c r="N21" s="383"/>
      <c r="O21" s="383"/>
      <c r="P21" s="384">
        <v>0</v>
      </c>
    </row>
    <row r="22" spans="1:16" ht="19.5" customHeight="1">
      <c r="A22" s="379" t="s">
        <v>1113</v>
      </c>
      <c r="B22" s="382">
        <v>45971</v>
      </c>
      <c r="C22" s="379" t="s">
        <v>28</v>
      </c>
      <c r="D22" s="379" t="s">
        <v>46</v>
      </c>
      <c r="E22" s="379" t="s">
        <v>51</v>
      </c>
      <c r="F22" s="379" t="s">
        <v>52</v>
      </c>
      <c r="G22" s="379" t="s">
        <v>1133</v>
      </c>
      <c r="H22" s="383">
        <v>1</v>
      </c>
      <c r="I22" s="384">
        <v>0</v>
      </c>
      <c r="J22" s="382">
        <v>45963</v>
      </c>
      <c r="K22" s="379" t="s">
        <v>957</v>
      </c>
      <c r="L22" s="379" t="s">
        <v>30</v>
      </c>
      <c r="M22" s="385">
        <v>0</v>
      </c>
      <c r="N22" s="383"/>
      <c r="O22" s="383"/>
      <c r="P22" s="384">
        <v>-56</v>
      </c>
    </row>
    <row r="23" spans="1:16" ht="19.5" customHeight="1">
      <c r="A23" s="379" t="s">
        <v>1113</v>
      </c>
      <c r="B23" s="382">
        <v>45971</v>
      </c>
      <c r="C23" s="379" t="s">
        <v>17</v>
      </c>
      <c r="D23" s="379" t="s">
        <v>47</v>
      </c>
      <c r="E23" s="379" t="s">
        <v>51</v>
      </c>
      <c r="F23" s="379" t="s">
        <v>52</v>
      </c>
      <c r="G23" s="379" t="s">
        <v>1133</v>
      </c>
      <c r="H23" s="383">
        <v>1</v>
      </c>
      <c r="I23" s="384">
        <v>0</v>
      </c>
      <c r="J23" s="382">
        <v>45963</v>
      </c>
      <c r="K23" s="379" t="s">
        <v>957</v>
      </c>
      <c r="L23" s="379" t="s">
        <v>30</v>
      </c>
      <c r="M23" s="385">
        <v>0</v>
      </c>
      <c r="N23" s="383"/>
      <c r="O23" s="383"/>
      <c r="P23" s="384">
        <v>-15</v>
      </c>
    </row>
    <row r="24" spans="1:16" ht="19.5" customHeight="1">
      <c r="A24" s="379" t="s">
        <v>1120</v>
      </c>
      <c r="B24" s="382">
        <v>45971</v>
      </c>
      <c r="C24" s="379" t="s">
        <v>126</v>
      </c>
      <c r="D24" s="379" t="s">
        <v>127</v>
      </c>
      <c r="E24" s="379" t="s">
        <v>62</v>
      </c>
      <c r="F24" s="379" t="s">
        <v>63</v>
      </c>
      <c r="G24" s="379" t="s">
        <v>1133</v>
      </c>
      <c r="H24" s="383">
        <v>1</v>
      </c>
      <c r="I24" s="384">
        <v>-5500</v>
      </c>
      <c r="J24" s="382">
        <v>45965</v>
      </c>
      <c r="K24" s="379" t="s">
        <v>957</v>
      </c>
      <c r="L24" s="379" t="s">
        <v>30</v>
      </c>
      <c r="M24" s="385">
        <v>0</v>
      </c>
      <c r="N24" s="383"/>
      <c r="O24" s="383"/>
      <c r="P24" s="384">
        <v>-2889.52</v>
      </c>
    </row>
    <row r="25" spans="1:16" ht="19.5" customHeight="1">
      <c r="A25" s="379" t="s">
        <v>1120</v>
      </c>
      <c r="B25" s="382">
        <v>45971</v>
      </c>
      <c r="C25" s="379" t="s">
        <v>126</v>
      </c>
      <c r="D25" s="379" t="s">
        <v>33</v>
      </c>
      <c r="E25" s="379" t="s">
        <v>62</v>
      </c>
      <c r="F25" s="379" t="s">
        <v>63</v>
      </c>
      <c r="G25" s="379" t="s">
        <v>1133</v>
      </c>
      <c r="H25" s="383">
        <v>1</v>
      </c>
      <c r="I25" s="384">
        <v>-5500</v>
      </c>
      <c r="J25" s="382">
        <v>45965</v>
      </c>
      <c r="K25" s="379" t="s">
        <v>957</v>
      </c>
      <c r="L25" s="379" t="s">
        <v>30</v>
      </c>
      <c r="M25" s="385">
        <v>0</v>
      </c>
      <c r="N25" s="383"/>
      <c r="O25" s="383"/>
      <c r="P25" s="384">
        <v>-28.9</v>
      </c>
    </row>
    <row r="26" spans="1:16" ht="19.5" customHeight="1">
      <c r="A26" s="379" t="s">
        <v>1120</v>
      </c>
      <c r="B26" s="382">
        <v>45971</v>
      </c>
      <c r="C26" s="379" t="s">
        <v>126</v>
      </c>
      <c r="D26" s="379" t="s">
        <v>34</v>
      </c>
      <c r="E26" s="379" t="s">
        <v>62</v>
      </c>
      <c r="F26" s="379" t="s">
        <v>63</v>
      </c>
      <c r="G26" s="379" t="s">
        <v>1133</v>
      </c>
      <c r="H26" s="383">
        <v>1</v>
      </c>
      <c r="I26" s="384">
        <v>-5500</v>
      </c>
      <c r="J26" s="382">
        <v>45965</v>
      </c>
      <c r="K26" s="379" t="s">
        <v>957</v>
      </c>
      <c r="L26" s="379" t="s">
        <v>30</v>
      </c>
      <c r="M26" s="385">
        <v>0</v>
      </c>
      <c r="N26" s="383"/>
      <c r="O26" s="383"/>
      <c r="P26" s="386">
        <v>-2581.58</v>
      </c>
    </row>
    <row r="27" spans="1:16" ht="19.5" customHeight="1">
      <c r="A27" s="379" t="s">
        <v>1120</v>
      </c>
      <c r="B27" s="382">
        <v>45971</v>
      </c>
      <c r="C27" s="379" t="s">
        <v>35</v>
      </c>
      <c r="D27" s="379" t="s">
        <v>128</v>
      </c>
      <c r="E27" s="379" t="s">
        <v>62</v>
      </c>
      <c r="F27" s="379" t="s">
        <v>63</v>
      </c>
      <c r="G27" s="379" t="s">
        <v>1133</v>
      </c>
      <c r="H27" s="383">
        <v>1</v>
      </c>
      <c r="I27" s="384">
        <v>-5500</v>
      </c>
      <c r="J27" s="382">
        <v>45965</v>
      </c>
      <c r="K27" s="379" t="s">
        <v>957</v>
      </c>
      <c r="L27" s="379" t="s">
        <v>30</v>
      </c>
      <c r="M27" s="385">
        <v>0.38</v>
      </c>
      <c r="N27" s="383"/>
      <c r="O27" s="383"/>
      <c r="P27" s="384">
        <v>2090</v>
      </c>
    </row>
    <row r="28" spans="1:16" ht="19.5" customHeight="1">
      <c r="A28" s="379" t="s">
        <v>1120</v>
      </c>
      <c r="B28" s="382">
        <v>45971</v>
      </c>
      <c r="C28" s="379" t="s">
        <v>17</v>
      </c>
      <c r="D28" s="379" t="s">
        <v>18</v>
      </c>
      <c r="E28" s="379" t="s">
        <v>62</v>
      </c>
      <c r="F28" s="379" t="s">
        <v>63</v>
      </c>
      <c r="G28" s="379" t="s">
        <v>1133</v>
      </c>
      <c r="H28" s="383">
        <v>1</v>
      </c>
      <c r="I28" s="384">
        <v>0</v>
      </c>
      <c r="J28" s="382">
        <v>45965</v>
      </c>
      <c r="K28" s="379" t="s">
        <v>22</v>
      </c>
      <c r="L28" s="379" t="s">
        <v>22</v>
      </c>
      <c r="M28" s="385">
        <v>0</v>
      </c>
      <c r="N28" s="383"/>
      <c r="O28" s="383"/>
      <c r="P28" s="384">
        <v>54.9</v>
      </c>
    </row>
    <row r="29" spans="1:16" ht="19.5" customHeight="1">
      <c r="A29" s="379" t="s">
        <v>1138</v>
      </c>
      <c r="B29" s="382">
        <v>45971</v>
      </c>
      <c r="C29" s="379" t="s">
        <v>261</v>
      </c>
      <c r="D29" s="379" t="s">
        <v>326</v>
      </c>
      <c r="E29" s="379" t="s">
        <v>22</v>
      </c>
      <c r="F29" s="379" t="s">
        <v>22</v>
      </c>
      <c r="G29" s="379" t="s">
        <v>22</v>
      </c>
      <c r="H29" s="383">
        <v>0</v>
      </c>
      <c r="I29" s="384">
        <v>0</v>
      </c>
      <c r="J29" s="382">
        <v>45965</v>
      </c>
      <c r="K29" s="379" t="s">
        <v>22</v>
      </c>
      <c r="L29" s="379" t="s">
        <v>22</v>
      </c>
      <c r="M29" s="385">
        <v>0</v>
      </c>
      <c r="N29" s="383"/>
      <c r="O29" s="383"/>
      <c r="P29" s="384">
        <v>-756.9</v>
      </c>
    </row>
    <row r="30" spans="1:16" ht="19.5" customHeight="1">
      <c r="A30" s="379" t="s">
        <v>1138</v>
      </c>
      <c r="B30" s="382">
        <v>45971</v>
      </c>
      <c r="C30" s="379" t="s">
        <v>261</v>
      </c>
      <c r="D30" s="379" t="s">
        <v>326</v>
      </c>
      <c r="E30" s="379" t="s">
        <v>22</v>
      </c>
      <c r="F30" s="379" t="s">
        <v>22</v>
      </c>
      <c r="G30" s="379" t="s">
        <v>22</v>
      </c>
      <c r="H30" s="383">
        <v>0</v>
      </c>
      <c r="I30" s="384">
        <v>0</v>
      </c>
      <c r="J30" s="382">
        <v>45965</v>
      </c>
      <c r="K30" s="379" t="s">
        <v>22</v>
      </c>
      <c r="L30" s="379" t="s">
        <v>22</v>
      </c>
      <c r="M30" s="385">
        <v>0</v>
      </c>
      <c r="N30" s="383"/>
      <c r="O30" s="383"/>
      <c r="P30" s="384">
        <v>-748.2</v>
      </c>
    </row>
    <row r="31" spans="1:16" ht="19.5" customHeight="1">
      <c r="A31" s="379" t="s">
        <v>1139</v>
      </c>
      <c r="B31" s="382">
        <v>45971</v>
      </c>
      <c r="C31" s="379" t="s">
        <v>17</v>
      </c>
      <c r="D31" s="379" t="s">
        <v>18</v>
      </c>
      <c r="E31" s="379" t="s">
        <v>224</v>
      </c>
      <c r="F31" s="379" t="s">
        <v>461</v>
      </c>
      <c r="G31" s="379" t="s">
        <v>21</v>
      </c>
      <c r="H31" s="383">
        <v>1</v>
      </c>
      <c r="I31" s="384">
        <v>0</v>
      </c>
      <c r="J31" s="382">
        <v>45971</v>
      </c>
      <c r="K31" s="379" t="s">
        <v>22</v>
      </c>
      <c r="L31" s="379" t="s">
        <v>22</v>
      </c>
      <c r="M31" s="385">
        <v>0</v>
      </c>
      <c r="N31" s="383"/>
      <c r="O31" s="383"/>
      <c r="P31" s="384">
        <v>-20.48</v>
      </c>
    </row>
    <row r="32" spans="1:16" ht="19.5" customHeight="1">
      <c r="A32" s="379" t="s">
        <v>1140</v>
      </c>
      <c r="B32" s="382">
        <v>45971</v>
      </c>
      <c r="C32" s="379" t="s">
        <v>17</v>
      </c>
      <c r="D32" s="379" t="s">
        <v>18</v>
      </c>
      <c r="E32" s="379" t="s">
        <v>223</v>
      </c>
      <c r="F32" s="379" t="s">
        <v>395</v>
      </c>
      <c r="G32" s="379" t="s">
        <v>21</v>
      </c>
      <c r="H32" s="383">
        <v>1</v>
      </c>
      <c r="I32" s="384">
        <v>0</v>
      </c>
      <c r="J32" s="382">
        <v>45971</v>
      </c>
      <c r="K32" s="379" t="s">
        <v>22</v>
      </c>
      <c r="L32" s="379" t="s">
        <v>22</v>
      </c>
      <c r="M32" s="385">
        <v>0</v>
      </c>
      <c r="N32" s="383"/>
      <c r="O32" s="383"/>
      <c r="P32" s="384">
        <v>-16.36</v>
      </c>
    </row>
    <row r="33" spans="1:16" ht="19.5" customHeight="1">
      <c r="A33" s="379" t="s">
        <v>1141</v>
      </c>
      <c r="B33" s="382">
        <v>45971</v>
      </c>
      <c r="C33" s="379" t="s">
        <v>28</v>
      </c>
      <c r="D33" s="379" t="s">
        <v>29</v>
      </c>
      <c r="E33" s="379" t="s">
        <v>223</v>
      </c>
      <c r="F33" s="379" t="s">
        <v>395</v>
      </c>
      <c r="G33" s="379" t="s">
        <v>21</v>
      </c>
      <c r="H33" s="383">
        <v>1</v>
      </c>
      <c r="I33" s="384">
        <v>1364</v>
      </c>
      <c r="J33" s="382">
        <v>45970</v>
      </c>
      <c r="K33" s="379" t="s">
        <v>957</v>
      </c>
      <c r="L33" s="379" t="s">
        <v>30</v>
      </c>
      <c r="M33" s="385">
        <v>0.38</v>
      </c>
      <c r="N33" s="383"/>
      <c r="O33" s="383"/>
      <c r="P33" s="384">
        <v>-46</v>
      </c>
    </row>
    <row r="34" spans="1:16" ht="19.5" customHeight="1">
      <c r="A34" s="379" t="s">
        <v>1141</v>
      </c>
      <c r="B34" s="382">
        <v>45971</v>
      </c>
      <c r="C34" s="379" t="s">
        <v>31</v>
      </c>
      <c r="D34" s="379" t="s">
        <v>32</v>
      </c>
      <c r="E34" s="379" t="s">
        <v>223</v>
      </c>
      <c r="F34" s="379" t="s">
        <v>395</v>
      </c>
      <c r="G34" s="379" t="s">
        <v>21</v>
      </c>
      <c r="H34" s="383">
        <v>1</v>
      </c>
      <c r="I34" s="384">
        <v>1364</v>
      </c>
      <c r="J34" s="382">
        <v>45970</v>
      </c>
      <c r="K34" s="379" t="s">
        <v>957</v>
      </c>
      <c r="L34" s="379" t="s">
        <v>30</v>
      </c>
      <c r="M34" s="385">
        <v>0</v>
      </c>
      <c r="N34" s="383"/>
      <c r="O34" s="383"/>
      <c r="P34" s="384">
        <v>698.67</v>
      </c>
    </row>
    <row r="35" spans="1:16" ht="19.5" customHeight="1">
      <c r="A35" s="379" t="s">
        <v>1141</v>
      </c>
      <c r="B35" s="382">
        <v>45971</v>
      </c>
      <c r="C35" s="379" t="s">
        <v>31</v>
      </c>
      <c r="D35" s="379" t="s">
        <v>33</v>
      </c>
      <c r="E35" s="379" t="s">
        <v>223</v>
      </c>
      <c r="F35" s="379" t="s">
        <v>395</v>
      </c>
      <c r="G35" s="379" t="s">
        <v>21</v>
      </c>
      <c r="H35" s="383">
        <v>1</v>
      </c>
      <c r="I35" s="384">
        <v>1364</v>
      </c>
      <c r="J35" s="382">
        <v>45970</v>
      </c>
      <c r="K35" s="379" t="s">
        <v>957</v>
      </c>
      <c r="L35" s="379" t="s">
        <v>30</v>
      </c>
      <c r="M35" s="385">
        <v>0</v>
      </c>
      <c r="N35" s="383"/>
      <c r="O35" s="383"/>
      <c r="P35" s="384">
        <v>6.99</v>
      </c>
    </row>
    <row r="36" spans="1:16" ht="19.5" customHeight="1">
      <c r="A36" s="379" t="s">
        <v>1141</v>
      </c>
      <c r="B36" s="382">
        <v>45971</v>
      </c>
      <c r="C36" s="379" t="s">
        <v>31</v>
      </c>
      <c r="D36" s="379" t="s">
        <v>34</v>
      </c>
      <c r="E36" s="379" t="s">
        <v>223</v>
      </c>
      <c r="F36" s="379" t="s">
        <v>395</v>
      </c>
      <c r="G36" s="379" t="s">
        <v>21</v>
      </c>
      <c r="H36" s="383">
        <v>1</v>
      </c>
      <c r="I36" s="384">
        <v>1364</v>
      </c>
      <c r="J36" s="382">
        <v>45970</v>
      </c>
      <c r="K36" s="379" t="s">
        <v>957</v>
      </c>
      <c r="L36" s="379" t="s">
        <v>30</v>
      </c>
      <c r="M36" s="385">
        <v>0</v>
      </c>
      <c r="N36" s="383"/>
      <c r="O36" s="383"/>
      <c r="P36" s="386">
        <v>658.34</v>
      </c>
    </row>
    <row r="37" spans="1:16" ht="19.5" customHeight="1">
      <c r="A37" s="379" t="s">
        <v>1141</v>
      </c>
      <c r="B37" s="382">
        <v>45971</v>
      </c>
      <c r="C37" s="379" t="s">
        <v>35</v>
      </c>
      <c r="D37" s="379" t="s">
        <v>36</v>
      </c>
      <c r="E37" s="379" t="s">
        <v>223</v>
      </c>
      <c r="F37" s="379" t="s">
        <v>395</v>
      </c>
      <c r="G37" s="379" t="s">
        <v>21</v>
      </c>
      <c r="H37" s="383">
        <v>1</v>
      </c>
      <c r="I37" s="384">
        <v>1364</v>
      </c>
      <c r="J37" s="382">
        <v>45970</v>
      </c>
      <c r="K37" s="379" t="s">
        <v>957</v>
      </c>
      <c r="L37" s="379" t="s">
        <v>30</v>
      </c>
      <c r="M37" s="385">
        <v>0.38</v>
      </c>
      <c r="N37" s="383"/>
      <c r="O37" s="383"/>
      <c r="P37" s="384">
        <v>-518.32000000000005</v>
      </c>
    </row>
    <row r="38" spans="1:16" ht="19.5" customHeight="1">
      <c r="A38" s="379" t="s">
        <v>1141</v>
      </c>
      <c r="B38" s="382">
        <v>45971</v>
      </c>
      <c r="C38" s="379" t="s">
        <v>17</v>
      </c>
      <c r="D38" s="379" t="s">
        <v>37</v>
      </c>
      <c r="E38" s="379" t="s">
        <v>223</v>
      </c>
      <c r="F38" s="379" t="s">
        <v>395</v>
      </c>
      <c r="G38" s="379" t="s">
        <v>21</v>
      </c>
      <c r="H38" s="383">
        <v>1</v>
      </c>
      <c r="I38" s="384">
        <v>1364</v>
      </c>
      <c r="J38" s="382">
        <v>45970</v>
      </c>
      <c r="K38" s="379" t="s">
        <v>957</v>
      </c>
      <c r="L38" s="379" t="s">
        <v>30</v>
      </c>
      <c r="M38" s="385">
        <v>0.38</v>
      </c>
      <c r="N38" s="383"/>
      <c r="O38" s="383"/>
      <c r="P38" s="384">
        <v>-7.49</v>
      </c>
    </row>
    <row r="39" spans="1:16" ht="19.5" customHeight="1">
      <c r="A39" s="379" t="s">
        <v>1142</v>
      </c>
      <c r="B39" s="382">
        <v>45971</v>
      </c>
      <c r="C39" s="379" t="s">
        <v>28</v>
      </c>
      <c r="D39" s="379" t="s">
        <v>29</v>
      </c>
      <c r="E39" s="379" t="s">
        <v>226</v>
      </c>
      <c r="F39" s="379" t="s">
        <v>428</v>
      </c>
      <c r="G39" s="379" t="s">
        <v>21</v>
      </c>
      <c r="H39" s="383">
        <v>1</v>
      </c>
      <c r="I39" s="384">
        <v>1800</v>
      </c>
      <c r="J39" s="382">
        <v>45965</v>
      </c>
      <c r="K39" s="379" t="s">
        <v>957</v>
      </c>
      <c r="L39" s="379" t="s">
        <v>30</v>
      </c>
      <c r="M39" s="385">
        <v>0.38</v>
      </c>
      <c r="N39" s="383"/>
      <c r="O39" s="383"/>
      <c r="P39" s="384">
        <v>-46</v>
      </c>
    </row>
    <row r="40" spans="1:16" ht="19.5" customHeight="1">
      <c r="A40" s="379" t="s">
        <v>1142</v>
      </c>
      <c r="B40" s="382">
        <v>45971</v>
      </c>
      <c r="C40" s="379" t="s">
        <v>31</v>
      </c>
      <c r="D40" s="379" t="s">
        <v>32</v>
      </c>
      <c r="E40" s="379" t="s">
        <v>226</v>
      </c>
      <c r="F40" s="379" t="s">
        <v>428</v>
      </c>
      <c r="G40" s="379" t="s">
        <v>21</v>
      </c>
      <c r="H40" s="383">
        <v>1</v>
      </c>
      <c r="I40" s="384">
        <v>1800</v>
      </c>
      <c r="J40" s="382">
        <v>45965</v>
      </c>
      <c r="K40" s="379" t="s">
        <v>957</v>
      </c>
      <c r="L40" s="379" t="s">
        <v>30</v>
      </c>
      <c r="M40" s="385">
        <v>0</v>
      </c>
      <c r="N40" s="383"/>
      <c r="O40" s="383"/>
      <c r="P40" s="384">
        <v>1002.86</v>
      </c>
    </row>
    <row r="41" spans="1:16" ht="19.5" customHeight="1">
      <c r="A41" s="379" t="s">
        <v>1142</v>
      </c>
      <c r="B41" s="382">
        <v>45971</v>
      </c>
      <c r="C41" s="379" t="s">
        <v>31</v>
      </c>
      <c r="D41" s="379" t="s">
        <v>33</v>
      </c>
      <c r="E41" s="379" t="s">
        <v>226</v>
      </c>
      <c r="F41" s="379" t="s">
        <v>428</v>
      </c>
      <c r="G41" s="379" t="s">
        <v>21</v>
      </c>
      <c r="H41" s="383">
        <v>1</v>
      </c>
      <c r="I41" s="384">
        <v>1800</v>
      </c>
      <c r="J41" s="382">
        <v>45965</v>
      </c>
      <c r="K41" s="379" t="s">
        <v>957</v>
      </c>
      <c r="L41" s="379" t="s">
        <v>30</v>
      </c>
      <c r="M41" s="385">
        <v>0</v>
      </c>
      <c r="N41" s="383"/>
      <c r="O41" s="383"/>
      <c r="P41" s="384">
        <v>10.029999999999999</v>
      </c>
    </row>
    <row r="42" spans="1:16" ht="19.5" customHeight="1">
      <c r="A42" s="379" t="s">
        <v>1142</v>
      </c>
      <c r="B42" s="382">
        <v>45971</v>
      </c>
      <c r="C42" s="379" t="s">
        <v>31</v>
      </c>
      <c r="D42" s="379" t="s">
        <v>34</v>
      </c>
      <c r="E42" s="379" t="s">
        <v>226</v>
      </c>
      <c r="F42" s="379" t="s">
        <v>428</v>
      </c>
      <c r="G42" s="379" t="s">
        <v>21</v>
      </c>
      <c r="H42" s="383">
        <v>1</v>
      </c>
      <c r="I42" s="384">
        <v>1800</v>
      </c>
      <c r="J42" s="382">
        <v>45965</v>
      </c>
      <c r="K42" s="379" t="s">
        <v>957</v>
      </c>
      <c r="L42" s="379" t="s">
        <v>30</v>
      </c>
      <c r="M42" s="385">
        <v>0</v>
      </c>
      <c r="N42" s="383"/>
      <c r="O42" s="383"/>
      <c r="P42" s="386">
        <v>787.11</v>
      </c>
    </row>
    <row r="43" spans="1:16" ht="19.5" customHeight="1">
      <c r="A43" s="379" t="s">
        <v>1142</v>
      </c>
      <c r="B43" s="382">
        <v>45971</v>
      </c>
      <c r="C43" s="379" t="s">
        <v>35</v>
      </c>
      <c r="D43" s="379" t="s">
        <v>36</v>
      </c>
      <c r="E43" s="379" t="s">
        <v>226</v>
      </c>
      <c r="F43" s="379" t="s">
        <v>428</v>
      </c>
      <c r="G43" s="379" t="s">
        <v>21</v>
      </c>
      <c r="H43" s="383">
        <v>1</v>
      </c>
      <c r="I43" s="384">
        <v>1800</v>
      </c>
      <c r="J43" s="382">
        <v>45965</v>
      </c>
      <c r="K43" s="379" t="s">
        <v>957</v>
      </c>
      <c r="L43" s="379" t="s">
        <v>30</v>
      </c>
      <c r="M43" s="385">
        <v>0.38</v>
      </c>
      <c r="N43" s="383"/>
      <c r="O43" s="383"/>
      <c r="P43" s="384">
        <v>-684</v>
      </c>
    </row>
    <row r="44" spans="1:16" ht="19.5" customHeight="1">
      <c r="A44" s="379" t="s">
        <v>1142</v>
      </c>
      <c r="B44" s="382">
        <v>45971</v>
      </c>
      <c r="C44" s="379" t="s">
        <v>17</v>
      </c>
      <c r="D44" s="379" t="s">
        <v>37</v>
      </c>
      <c r="E44" s="379" t="s">
        <v>226</v>
      </c>
      <c r="F44" s="379" t="s">
        <v>428</v>
      </c>
      <c r="G44" s="379" t="s">
        <v>21</v>
      </c>
      <c r="H44" s="383">
        <v>1</v>
      </c>
      <c r="I44" s="384">
        <v>1800</v>
      </c>
      <c r="J44" s="382">
        <v>45965</v>
      </c>
      <c r="K44" s="379" t="s">
        <v>957</v>
      </c>
      <c r="L44" s="379" t="s">
        <v>30</v>
      </c>
      <c r="M44" s="385">
        <v>0.38</v>
      </c>
      <c r="N44" s="383"/>
      <c r="O44" s="383"/>
      <c r="P44" s="384">
        <v>-24.83</v>
      </c>
    </row>
    <row r="45" spans="1:16" ht="19.5" customHeight="1">
      <c r="A45" s="379" t="s">
        <v>1143</v>
      </c>
      <c r="B45" s="382">
        <v>45971</v>
      </c>
      <c r="C45" s="379" t="s">
        <v>28</v>
      </c>
      <c r="D45" s="379" t="s">
        <v>29</v>
      </c>
      <c r="E45" s="379" t="s">
        <v>25</v>
      </c>
      <c r="F45" s="379" t="s">
        <v>26</v>
      </c>
      <c r="G45" s="379" t="s">
        <v>21</v>
      </c>
      <c r="H45" s="383">
        <v>1</v>
      </c>
      <c r="I45" s="384">
        <v>1738</v>
      </c>
      <c r="J45" s="382">
        <v>45967</v>
      </c>
      <c r="K45" s="379" t="s">
        <v>957</v>
      </c>
      <c r="L45" s="379" t="s">
        <v>30</v>
      </c>
      <c r="M45" s="385">
        <v>0.38</v>
      </c>
      <c r="N45" s="383"/>
      <c r="O45" s="383"/>
      <c r="P45" s="384">
        <v>-46</v>
      </c>
    </row>
    <row r="46" spans="1:16" ht="19.5" customHeight="1">
      <c r="A46" s="379" t="s">
        <v>1143</v>
      </c>
      <c r="B46" s="382">
        <v>45971</v>
      </c>
      <c r="C46" s="379" t="s">
        <v>31</v>
      </c>
      <c r="D46" s="379" t="s">
        <v>32</v>
      </c>
      <c r="E46" s="379" t="s">
        <v>25</v>
      </c>
      <c r="F46" s="379" t="s">
        <v>26</v>
      </c>
      <c r="G46" s="379" t="s">
        <v>21</v>
      </c>
      <c r="H46" s="383">
        <v>1</v>
      </c>
      <c r="I46" s="384">
        <v>1738</v>
      </c>
      <c r="J46" s="382">
        <v>45967</v>
      </c>
      <c r="K46" s="379" t="s">
        <v>957</v>
      </c>
      <c r="L46" s="379" t="s">
        <v>30</v>
      </c>
      <c r="M46" s="385">
        <v>0</v>
      </c>
      <c r="N46" s="383"/>
      <c r="O46" s="383"/>
      <c r="P46" s="384">
        <v>908.66</v>
      </c>
    </row>
    <row r="47" spans="1:16" ht="19.5" customHeight="1">
      <c r="A47" s="379" t="s">
        <v>1143</v>
      </c>
      <c r="B47" s="382">
        <v>45971</v>
      </c>
      <c r="C47" s="379" t="s">
        <v>31</v>
      </c>
      <c r="D47" s="379" t="s">
        <v>33</v>
      </c>
      <c r="E47" s="379" t="s">
        <v>25</v>
      </c>
      <c r="F47" s="379" t="s">
        <v>26</v>
      </c>
      <c r="G47" s="379" t="s">
        <v>21</v>
      </c>
      <c r="H47" s="383">
        <v>1</v>
      </c>
      <c r="I47" s="384">
        <v>1738</v>
      </c>
      <c r="J47" s="382">
        <v>45967</v>
      </c>
      <c r="K47" s="379" t="s">
        <v>957</v>
      </c>
      <c r="L47" s="379" t="s">
        <v>30</v>
      </c>
      <c r="M47" s="385">
        <v>0</v>
      </c>
      <c r="N47" s="383"/>
      <c r="O47" s="383"/>
      <c r="P47" s="384">
        <v>9.09</v>
      </c>
    </row>
    <row r="48" spans="1:16" ht="19.5" customHeight="1">
      <c r="A48" s="379" t="s">
        <v>1143</v>
      </c>
      <c r="B48" s="382">
        <v>45971</v>
      </c>
      <c r="C48" s="379" t="s">
        <v>31</v>
      </c>
      <c r="D48" s="379" t="s">
        <v>34</v>
      </c>
      <c r="E48" s="379" t="s">
        <v>25</v>
      </c>
      <c r="F48" s="379" t="s">
        <v>26</v>
      </c>
      <c r="G48" s="379" t="s">
        <v>21</v>
      </c>
      <c r="H48" s="383">
        <v>1</v>
      </c>
      <c r="I48" s="384">
        <v>1738</v>
      </c>
      <c r="J48" s="382">
        <v>45967</v>
      </c>
      <c r="K48" s="379" t="s">
        <v>957</v>
      </c>
      <c r="L48" s="379" t="s">
        <v>30</v>
      </c>
      <c r="M48" s="385">
        <v>0</v>
      </c>
      <c r="N48" s="383"/>
      <c r="O48" s="383"/>
      <c r="P48" s="386">
        <v>820.25</v>
      </c>
    </row>
    <row r="49" spans="1:16" ht="19.5" customHeight="1">
      <c r="A49" s="379" t="s">
        <v>1143</v>
      </c>
      <c r="B49" s="382">
        <v>45971</v>
      </c>
      <c r="C49" s="379" t="s">
        <v>35</v>
      </c>
      <c r="D49" s="379" t="s">
        <v>36</v>
      </c>
      <c r="E49" s="379" t="s">
        <v>25</v>
      </c>
      <c r="F49" s="379" t="s">
        <v>26</v>
      </c>
      <c r="G49" s="379" t="s">
        <v>21</v>
      </c>
      <c r="H49" s="383">
        <v>1</v>
      </c>
      <c r="I49" s="384">
        <v>1738</v>
      </c>
      <c r="J49" s="382">
        <v>45967</v>
      </c>
      <c r="K49" s="379" t="s">
        <v>957</v>
      </c>
      <c r="L49" s="379" t="s">
        <v>30</v>
      </c>
      <c r="M49" s="385">
        <v>0.38</v>
      </c>
      <c r="N49" s="383"/>
      <c r="O49" s="383"/>
      <c r="P49" s="384">
        <v>-660.44</v>
      </c>
    </row>
    <row r="50" spans="1:16" ht="19.5" customHeight="1">
      <c r="A50" s="379" t="s">
        <v>1143</v>
      </c>
      <c r="B50" s="382">
        <v>45971</v>
      </c>
      <c r="C50" s="379" t="s">
        <v>17</v>
      </c>
      <c r="D50" s="379" t="s">
        <v>37</v>
      </c>
      <c r="E50" s="379" t="s">
        <v>25</v>
      </c>
      <c r="F50" s="379" t="s">
        <v>26</v>
      </c>
      <c r="G50" s="379" t="s">
        <v>21</v>
      </c>
      <c r="H50" s="383">
        <v>1</v>
      </c>
      <c r="I50" s="384">
        <v>1738</v>
      </c>
      <c r="J50" s="382">
        <v>45967</v>
      </c>
      <c r="K50" s="379" t="s">
        <v>957</v>
      </c>
      <c r="L50" s="379" t="s">
        <v>30</v>
      </c>
      <c r="M50" s="385">
        <v>0.38</v>
      </c>
      <c r="N50" s="383"/>
      <c r="O50" s="383"/>
      <c r="P50" s="384">
        <v>-11.25</v>
      </c>
    </row>
    <row r="51" spans="1:16" ht="19.5" customHeight="1">
      <c r="A51" s="379" t="s">
        <v>1142</v>
      </c>
      <c r="B51" s="382">
        <v>45971</v>
      </c>
      <c r="C51" s="379" t="s">
        <v>17</v>
      </c>
      <c r="D51" s="379" t="s">
        <v>18</v>
      </c>
      <c r="E51" s="379" t="s">
        <v>226</v>
      </c>
      <c r="F51" s="379" t="s">
        <v>428</v>
      </c>
      <c r="G51" s="379" t="s">
        <v>21</v>
      </c>
      <c r="H51" s="383">
        <v>1</v>
      </c>
      <c r="I51" s="384">
        <v>0</v>
      </c>
      <c r="J51" s="382">
        <v>45965</v>
      </c>
      <c r="K51" s="379" t="s">
        <v>22</v>
      </c>
      <c r="L51" s="379" t="s">
        <v>22</v>
      </c>
      <c r="M51" s="385">
        <v>0</v>
      </c>
      <c r="N51" s="383"/>
      <c r="O51" s="383"/>
      <c r="P51" s="384">
        <v>-19.05</v>
      </c>
    </row>
    <row r="52" spans="1:16" ht="19.5" customHeight="1">
      <c r="A52" s="379" t="s">
        <v>1143</v>
      </c>
      <c r="B52" s="382">
        <v>45971</v>
      </c>
      <c r="C52" s="379" t="s">
        <v>17</v>
      </c>
      <c r="D52" s="379" t="s">
        <v>18</v>
      </c>
      <c r="E52" s="379" t="s">
        <v>25</v>
      </c>
      <c r="F52" s="379" t="s">
        <v>26</v>
      </c>
      <c r="G52" s="379" t="s">
        <v>21</v>
      </c>
      <c r="H52" s="383">
        <v>1</v>
      </c>
      <c r="I52" s="384">
        <v>0</v>
      </c>
      <c r="J52" s="382">
        <v>45967</v>
      </c>
      <c r="K52" s="379" t="s">
        <v>22</v>
      </c>
      <c r="L52" s="379" t="s">
        <v>22</v>
      </c>
      <c r="M52" s="385">
        <v>0</v>
      </c>
      <c r="N52" s="383"/>
      <c r="O52" s="383"/>
      <c r="P52" s="384">
        <v>-17.260000000000002</v>
      </c>
    </row>
    <row r="53" spans="1:16" ht="19.5" customHeight="1">
      <c r="A53" s="379" t="s">
        <v>1144</v>
      </c>
      <c r="B53" s="382">
        <v>45971</v>
      </c>
      <c r="C53" s="379" t="s">
        <v>28</v>
      </c>
      <c r="D53" s="379" t="s">
        <v>29</v>
      </c>
      <c r="E53" s="379" t="s">
        <v>223</v>
      </c>
      <c r="F53" s="379" t="s">
        <v>395</v>
      </c>
      <c r="G53" s="379" t="s">
        <v>21</v>
      </c>
      <c r="H53" s="383">
        <v>1</v>
      </c>
      <c r="I53" s="384">
        <v>1364</v>
      </c>
      <c r="J53" s="382">
        <v>45970</v>
      </c>
      <c r="K53" s="379" t="s">
        <v>957</v>
      </c>
      <c r="L53" s="379" t="s">
        <v>30</v>
      </c>
      <c r="M53" s="385">
        <v>0.38</v>
      </c>
      <c r="N53" s="383"/>
      <c r="O53" s="383"/>
      <c r="P53" s="384">
        <v>-46</v>
      </c>
    </row>
    <row r="54" spans="1:16" ht="19.5" customHeight="1">
      <c r="A54" s="379" t="s">
        <v>1144</v>
      </c>
      <c r="B54" s="382">
        <v>45971</v>
      </c>
      <c r="C54" s="379" t="s">
        <v>31</v>
      </c>
      <c r="D54" s="379" t="s">
        <v>32</v>
      </c>
      <c r="E54" s="379" t="s">
        <v>223</v>
      </c>
      <c r="F54" s="379" t="s">
        <v>395</v>
      </c>
      <c r="G54" s="379" t="s">
        <v>21</v>
      </c>
      <c r="H54" s="383">
        <v>1</v>
      </c>
      <c r="I54" s="384">
        <v>1364</v>
      </c>
      <c r="J54" s="382">
        <v>45970</v>
      </c>
      <c r="K54" s="379" t="s">
        <v>957</v>
      </c>
      <c r="L54" s="379" t="s">
        <v>30</v>
      </c>
      <c r="M54" s="385">
        <v>0</v>
      </c>
      <c r="N54" s="383"/>
      <c r="O54" s="383"/>
      <c r="P54" s="384">
        <v>759.05</v>
      </c>
    </row>
    <row r="55" spans="1:16" ht="19.5" customHeight="1">
      <c r="A55" s="379" t="s">
        <v>1144</v>
      </c>
      <c r="B55" s="382">
        <v>45971</v>
      </c>
      <c r="C55" s="379" t="s">
        <v>31</v>
      </c>
      <c r="D55" s="379" t="s">
        <v>33</v>
      </c>
      <c r="E55" s="379" t="s">
        <v>223</v>
      </c>
      <c r="F55" s="379" t="s">
        <v>395</v>
      </c>
      <c r="G55" s="379" t="s">
        <v>21</v>
      </c>
      <c r="H55" s="383">
        <v>1</v>
      </c>
      <c r="I55" s="384">
        <v>1364</v>
      </c>
      <c r="J55" s="382">
        <v>45970</v>
      </c>
      <c r="K55" s="379" t="s">
        <v>957</v>
      </c>
      <c r="L55" s="379" t="s">
        <v>30</v>
      </c>
      <c r="M55" s="385">
        <v>0</v>
      </c>
      <c r="N55" s="383"/>
      <c r="O55" s="383"/>
      <c r="P55" s="384">
        <v>7.59</v>
      </c>
    </row>
    <row r="56" spans="1:16" ht="19.5" customHeight="1">
      <c r="A56" s="379" t="s">
        <v>1144</v>
      </c>
      <c r="B56" s="382">
        <v>45971</v>
      </c>
      <c r="C56" s="379" t="s">
        <v>31</v>
      </c>
      <c r="D56" s="379" t="s">
        <v>34</v>
      </c>
      <c r="E56" s="379" t="s">
        <v>223</v>
      </c>
      <c r="F56" s="379" t="s">
        <v>395</v>
      </c>
      <c r="G56" s="379" t="s">
        <v>21</v>
      </c>
      <c r="H56" s="383">
        <v>1</v>
      </c>
      <c r="I56" s="384">
        <v>1364</v>
      </c>
      <c r="J56" s="382">
        <v>45970</v>
      </c>
      <c r="K56" s="379" t="s">
        <v>957</v>
      </c>
      <c r="L56" s="379" t="s">
        <v>30</v>
      </c>
      <c r="M56" s="385">
        <v>0</v>
      </c>
      <c r="N56" s="383"/>
      <c r="O56" s="383"/>
      <c r="P56" s="386">
        <v>597.36</v>
      </c>
    </row>
    <row r="57" spans="1:16" ht="19.5" customHeight="1">
      <c r="A57" s="379" t="s">
        <v>1144</v>
      </c>
      <c r="B57" s="382">
        <v>45971</v>
      </c>
      <c r="C57" s="379" t="s">
        <v>35</v>
      </c>
      <c r="D57" s="379" t="s">
        <v>36</v>
      </c>
      <c r="E57" s="379" t="s">
        <v>223</v>
      </c>
      <c r="F57" s="379" t="s">
        <v>395</v>
      </c>
      <c r="G57" s="379" t="s">
        <v>21</v>
      </c>
      <c r="H57" s="383">
        <v>1</v>
      </c>
      <c r="I57" s="384">
        <v>1364</v>
      </c>
      <c r="J57" s="382">
        <v>45970</v>
      </c>
      <c r="K57" s="379" t="s">
        <v>957</v>
      </c>
      <c r="L57" s="379" t="s">
        <v>30</v>
      </c>
      <c r="M57" s="385">
        <v>0.38</v>
      </c>
      <c r="N57" s="383"/>
      <c r="O57" s="383"/>
      <c r="P57" s="384">
        <v>-518.32000000000005</v>
      </c>
    </row>
    <row r="58" spans="1:16" ht="19.5" customHeight="1">
      <c r="A58" s="379" t="s">
        <v>1144</v>
      </c>
      <c r="B58" s="382">
        <v>45971</v>
      </c>
      <c r="C58" s="379" t="s">
        <v>17</v>
      </c>
      <c r="D58" s="379" t="s">
        <v>37</v>
      </c>
      <c r="E58" s="379" t="s">
        <v>223</v>
      </c>
      <c r="F58" s="379" t="s">
        <v>395</v>
      </c>
      <c r="G58" s="379" t="s">
        <v>21</v>
      </c>
      <c r="H58" s="383">
        <v>1</v>
      </c>
      <c r="I58" s="384">
        <v>1364</v>
      </c>
      <c r="J58" s="382">
        <v>45970</v>
      </c>
      <c r="K58" s="379" t="s">
        <v>957</v>
      </c>
      <c r="L58" s="379" t="s">
        <v>30</v>
      </c>
      <c r="M58" s="385">
        <v>0.38</v>
      </c>
      <c r="N58" s="383"/>
      <c r="O58" s="383"/>
      <c r="P58" s="384">
        <v>-5.98</v>
      </c>
    </row>
    <row r="59" spans="1:16" ht="19.5" customHeight="1">
      <c r="A59" s="379" t="s">
        <v>1144</v>
      </c>
      <c r="B59" s="382">
        <v>45971</v>
      </c>
      <c r="C59" s="379" t="s">
        <v>17</v>
      </c>
      <c r="D59" s="379" t="s">
        <v>18</v>
      </c>
      <c r="E59" s="379" t="s">
        <v>223</v>
      </c>
      <c r="F59" s="379" t="s">
        <v>395</v>
      </c>
      <c r="G59" s="379" t="s">
        <v>21</v>
      </c>
      <c r="H59" s="383">
        <v>1</v>
      </c>
      <c r="I59" s="384">
        <v>0</v>
      </c>
      <c r="J59" s="382">
        <v>45970</v>
      </c>
      <c r="K59" s="379" t="s">
        <v>22</v>
      </c>
      <c r="L59" s="379" t="s">
        <v>22</v>
      </c>
      <c r="M59" s="385">
        <v>0</v>
      </c>
      <c r="N59" s="383"/>
      <c r="O59" s="383"/>
      <c r="P59" s="384">
        <v>-14.42</v>
      </c>
    </row>
    <row r="60" spans="1:16" ht="19.5" customHeight="1">
      <c r="A60" s="379" t="s">
        <v>22</v>
      </c>
      <c r="B60" s="382">
        <v>45971</v>
      </c>
      <c r="C60" s="379" t="s">
        <v>77</v>
      </c>
      <c r="D60" s="379" t="s">
        <v>78</v>
      </c>
      <c r="E60" s="379" t="s">
        <v>22</v>
      </c>
      <c r="F60" s="379" t="s">
        <v>22</v>
      </c>
      <c r="G60" s="379" t="s">
        <v>1145</v>
      </c>
      <c r="H60" s="383">
        <v>0</v>
      </c>
      <c r="I60" s="384">
        <v>0</v>
      </c>
      <c r="J60" s="382">
        <v>45971</v>
      </c>
      <c r="K60" s="379" t="s">
        <v>22</v>
      </c>
      <c r="L60" s="379" t="s">
        <v>22</v>
      </c>
      <c r="M60" s="385">
        <v>0</v>
      </c>
      <c r="N60" s="383"/>
      <c r="O60" s="383"/>
      <c r="P60" s="384">
        <v>-200</v>
      </c>
    </row>
    <row r="61" spans="1:16" ht="19.5" customHeight="1">
      <c r="A61" s="379" t="s">
        <v>1075</v>
      </c>
      <c r="B61" s="382">
        <v>45971</v>
      </c>
      <c r="C61" s="379" t="s">
        <v>77</v>
      </c>
      <c r="D61" s="379" t="s">
        <v>82</v>
      </c>
      <c r="E61" s="379" t="s">
        <v>22</v>
      </c>
      <c r="F61" s="379" t="s">
        <v>22</v>
      </c>
      <c r="G61" s="379" t="s">
        <v>22</v>
      </c>
      <c r="H61" s="383">
        <v>0</v>
      </c>
      <c r="I61" s="384">
        <v>0</v>
      </c>
      <c r="J61" s="382">
        <v>45971</v>
      </c>
      <c r="K61" s="379" t="s">
        <v>22</v>
      </c>
      <c r="L61" s="379" t="s">
        <v>22</v>
      </c>
      <c r="M61" s="385">
        <v>0</v>
      </c>
      <c r="N61" s="383"/>
      <c r="O61" s="383"/>
      <c r="P61" s="384">
        <v>-1000</v>
      </c>
    </row>
    <row r="62" spans="1:16" ht="19.5" customHeight="1">
      <c r="A62" s="379" t="s">
        <v>1106</v>
      </c>
      <c r="B62" s="382">
        <v>45971</v>
      </c>
      <c r="C62" s="379" t="s">
        <v>77</v>
      </c>
      <c r="D62" s="379" t="s">
        <v>82</v>
      </c>
      <c r="E62" s="379" t="s">
        <v>22</v>
      </c>
      <c r="F62" s="379" t="s">
        <v>22</v>
      </c>
      <c r="G62" s="379" t="s">
        <v>22</v>
      </c>
      <c r="H62" s="383">
        <v>0</v>
      </c>
      <c r="I62" s="384">
        <v>0</v>
      </c>
      <c r="J62" s="382">
        <v>45971</v>
      </c>
      <c r="K62" s="379" t="s">
        <v>22</v>
      </c>
      <c r="L62" s="379" t="s">
        <v>22</v>
      </c>
      <c r="M62" s="385">
        <v>0</v>
      </c>
      <c r="N62" s="383"/>
      <c r="O62" s="383"/>
      <c r="P62" s="384">
        <v>-305.42</v>
      </c>
    </row>
    <row r="63" spans="1:16" ht="19.5" customHeight="1">
      <c r="A63" s="379" t="s">
        <v>1127</v>
      </c>
      <c r="B63" s="382">
        <v>45971</v>
      </c>
      <c r="C63" s="379" t="s">
        <v>77</v>
      </c>
      <c r="D63" s="379" t="s">
        <v>82</v>
      </c>
      <c r="E63" s="379" t="s">
        <v>22</v>
      </c>
      <c r="F63" s="379" t="s">
        <v>22</v>
      </c>
      <c r="G63" s="379" t="s">
        <v>22</v>
      </c>
      <c r="H63" s="383">
        <v>0</v>
      </c>
      <c r="I63" s="384">
        <v>0</v>
      </c>
      <c r="J63" s="382">
        <v>45971</v>
      </c>
      <c r="K63" s="379" t="s">
        <v>22</v>
      </c>
      <c r="L63" s="379" t="s">
        <v>22</v>
      </c>
      <c r="M63" s="385">
        <v>0</v>
      </c>
      <c r="N63" s="383"/>
      <c r="O63" s="383"/>
      <c r="P63" s="384">
        <v>-306.11</v>
      </c>
    </row>
    <row r="64" spans="1:16" ht="19.5" customHeight="1">
      <c r="A64" s="379" t="s">
        <v>83</v>
      </c>
      <c r="B64" s="382">
        <v>45971</v>
      </c>
      <c r="C64" s="379" t="s">
        <v>77</v>
      </c>
      <c r="D64" s="379" t="s">
        <v>84</v>
      </c>
      <c r="E64" s="379" t="s">
        <v>22</v>
      </c>
      <c r="F64" s="379" t="s">
        <v>22</v>
      </c>
      <c r="G64" s="379" t="s">
        <v>22</v>
      </c>
      <c r="H64" s="383">
        <v>0</v>
      </c>
      <c r="I64" s="384">
        <v>0</v>
      </c>
      <c r="J64" s="382">
        <v>45971</v>
      </c>
      <c r="K64" s="379" t="s">
        <v>22</v>
      </c>
      <c r="L64" s="379" t="s">
        <v>22</v>
      </c>
      <c r="M64" s="385">
        <v>0</v>
      </c>
      <c r="N64" s="383"/>
      <c r="O64" s="383"/>
      <c r="P64" s="384">
        <v>-1411.75</v>
      </c>
    </row>
    <row r="65" spans="1:16" ht="19.5" customHeight="1">
      <c r="A65" s="379" t="s">
        <v>1105</v>
      </c>
      <c r="B65" s="382">
        <v>45971</v>
      </c>
      <c r="C65" s="379" t="s">
        <v>77</v>
      </c>
      <c r="D65" s="379" t="s">
        <v>82</v>
      </c>
      <c r="E65" s="379" t="s">
        <v>22</v>
      </c>
      <c r="F65" s="379" t="s">
        <v>22</v>
      </c>
      <c r="G65" s="379" t="s">
        <v>22</v>
      </c>
      <c r="H65" s="383">
        <v>0</v>
      </c>
      <c r="I65" s="384">
        <v>0</v>
      </c>
      <c r="J65" s="382">
        <v>45971</v>
      </c>
      <c r="K65" s="379" t="s">
        <v>22</v>
      </c>
      <c r="L65" s="379" t="s">
        <v>22</v>
      </c>
      <c r="M65" s="385">
        <v>0</v>
      </c>
      <c r="N65" s="383"/>
      <c r="O65" s="383"/>
      <c r="P65" s="384">
        <v>-589.15</v>
      </c>
    </row>
    <row r="66" spans="1:16" ht="19.5" customHeight="1">
      <c r="A66" s="379" t="s">
        <v>1107</v>
      </c>
      <c r="B66" s="382">
        <v>45971</v>
      </c>
      <c r="C66" s="379" t="s">
        <v>77</v>
      </c>
      <c r="D66" s="379" t="s">
        <v>82</v>
      </c>
      <c r="E66" s="379" t="s">
        <v>22</v>
      </c>
      <c r="F66" s="379" t="s">
        <v>22</v>
      </c>
      <c r="G66" s="379" t="s">
        <v>22</v>
      </c>
      <c r="H66" s="383">
        <v>0</v>
      </c>
      <c r="I66" s="384">
        <v>0</v>
      </c>
      <c r="J66" s="382">
        <v>45971</v>
      </c>
      <c r="K66" s="379" t="s">
        <v>22</v>
      </c>
      <c r="L66" s="379" t="s">
        <v>22</v>
      </c>
      <c r="M66" s="385">
        <v>0</v>
      </c>
      <c r="N66" s="383"/>
      <c r="O66" s="383"/>
      <c r="P66" s="384">
        <v>-296.37</v>
      </c>
    </row>
    <row r="67" spans="1:16" ht="19.5" customHeight="1">
      <c r="A67" s="379" t="s">
        <v>1146</v>
      </c>
      <c r="B67" s="382">
        <v>45972</v>
      </c>
      <c r="C67" s="379" t="s">
        <v>261</v>
      </c>
      <c r="D67" s="379" t="s">
        <v>326</v>
      </c>
      <c r="E67" s="379" t="s">
        <v>22</v>
      </c>
      <c r="F67" s="379" t="s">
        <v>22</v>
      </c>
      <c r="G67" s="379" t="s">
        <v>22</v>
      </c>
      <c r="H67" s="383">
        <v>0</v>
      </c>
      <c r="I67" s="384">
        <v>0</v>
      </c>
      <c r="J67" s="382">
        <v>45965</v>
      </c>
      <c r="K67" s="379" t="s">
        <v>22</v>
      </c>
      <c r="L67" s="379" t="s">
        <v>22</v>
      </c>
      <c r="M67" s="385">
        <v>0</v>
      </c>
      <c r="N67" s="383"/>
      <c r="O67" s="383"/>
      <c r="P67" s="384">
        <v>-1026.5999999999999</v>
      </c>
    </row>
    <row r="68" spans="1:16" ht="19.5" customHeight="1">
      <c r="A68" s="379" t="s">
        <v>1146</v>
      </c>
      <c r="B68" s="382">
        <v>45972</v>
      </c>
      <c r="C68" s="379" t="s">
        <v>261</v>
      </c>
      <c r="D68" s="379" t="s">
        <v>326</v>
      </c>
      <c r="E68" s="379" t="s">
        <v>22</v>
      </c>
      <c r="F68" s="379" t="s">
        <v>22</v>
      </c>
      <c r="G68" s="379" t="s">
        <v>22</v>
      </c>
      <c r="H68" s="383">
        <v>0</v>
      </c>
      <c r="I68" s="384">
        <v>0</v>
      </c>
      <c r="J68" s="382">
        <v>45965</v>
      </c>
      <c r="K68" s="379" t="s">
        <v>22</v>
      </c>
      <c r="L68" s="379" t="s">
        <v>22</v>
      </c>
      <c r="M68" s="385">
        <v>0</v>
      </c>
      <c r="N68" s="383"/>
      <c r="O68" s="383"/>
      <c r="P68" s="384">
        <v>-1026.5999999999999</v>
      </c>
    </row>
    <row r="69" spans="1:16" ht="19.5" customHeight="1">
      <c r="A69" s="379" t="s">
        <v>1138</v>
      </c>
      <c r="B69" s="382">
        <v>45972</v>
      </c>
      <c r="C69" s="379" t="s">
        <v>261</v>
      </c>
      <c r="D69" s="379" t="s">
        <v>329</v>
      </c>
      <c r="E69" s="379" t="s">
        <v>22</v>
      </c>
      <c r="F69" s="379" t="s">
        <v>22</v>
      </c>
      <c r="G69" s="379" t="s">
        <v>22</v>
      </c>
      <c r="H69" s="383">
        <v>0</v>
      </c>
      <c r="I69" s="384">
        <v>0</v>
      </c>
      <c r="J69" s="382">
        <v>45972</v>
      </c>
      <c r="K69" s="379" t="s">
        <v>22</v>
      </c>
      <c r="L69" s="379" t="s">
        <v>22</v>
      </c>
      <c r="M69" s="385">
        <v>0</v>
      </c>
      <c r="N69" s="383"/>
      <c r="O69" s="383"/>
      <c r="P69" s="384">
        <v>-5</v>
      </c>
    </row>
    <row r="70" spans="1:16" ht="19.5" customHeight="1">
      <c r="A70" s="379" t="s">
        <v>1147</v>
      </c>
      <c r="B70" s="382">
        <v>45972</v>
      </c>
      <c r="C70" s="379" t="s">
        <v>17</v>
      </c>
      <c r="D70" s="379" t="s">
        <v>18</v>
      </c>
      <c r="E70" s="379" t="s">
        <v>223</v>
      </c>
      <c r="F70" s="379" t="s">
        <v>395</v>
      </c>
      <c r="G70" s="379" t="s">
        <v>21</v>
      </c>
      <c r="H70" s="383">
        <v>1</v>
      </c>
      <c r="I70" s="384">
        <v>0</v>
      </c>
      <c r="J70" s="382">
        <v>45972</v>
      </c>
      <c r="K70" s="379" t="s">
        <v>22</v>
      </c>
      <c r="L70" s="379" t="s">
        <v>22</v>
      </c>
      <c r="M70" s="385">
        <v>0</v>
      </c>
      <c r="N70" s="383"/>
      <c r="O70" s="383"/>
      <c r="P70" s="384">
        <v>-10.86</v>
      </c>
    </row>
    <row r="71" spans="1:16" ht="19.5" customHeight="1">
      <c r="A71" s="379" t="s">
        <v>1148</v>
      </c>
      <c r="B71" s="382">
        <v>45972</v>
      </c>
      <c r="C71" s="379" t="s">
        <v>28</v>
      </c>
      <c r="D71" s="379" t="s">
        <v>29</v>
      </c>
      <c r="E71" s="379" t="s">
        <v>70</v>
      </c>
      <c r="F71" s="379" t="s">
        <v>71</v>
      </c>
      <c r="G71" s="379" t="s">
        <v>1133</v>
      </c>
      <c r="H71" s="383">
        <v>1</v>
      </c>
      <c r="I71" s="384">
        <v>0</v>
      </c>
      <c r="J71" s="382">
        <v>45967</v>
      </c>
      <c r="K71" s="379" t="s">
        <v>957</v>
      </c>
      <c r="L71" s="379" t="s">
        <v>30</v>
      </c>
      <c r="M71" s="385">
        <v>0</v>
      </c>
      <c r="N71" s="383"/>
      <c r="O71" s="383"/>
      <c r="P71" s="384">
        <v>-56</v>
      </c>
    </row>
    <row r="72" spans="1:16" ht="19.5" customHeight="1">
      <c r="A72" s="379" t="s">
        <v>1148</v>
      </c>
      <c r="B72" s="382">
        <v>45972</v>
      </c>
      <c r="C72" s="379" t="s">
        <v>17</v>
      </c>
      <c r="D72" s="379" t="s">
        <v>37</v>
      </c>
      <c r="E72" s="379" t="s">
        <v>70</v>
      </c>
      <c r="F72" s="379" t="s">
        <v>71</v>
      </c>
      <c r="G72" s="379" t="s">
        <v>1133</v>
      </c>
      <c r="H72" s="383">
        <v>1</v>
      </c>
      <c r="I72" s="384">
        <v>0</v>
      </c>
      <c r="J72" s="382">
        <v>45967</v>
      </c>
      <c r="K72" s="379" t="s">
        <v>957</v>
      </c>
      <c r="L72" s="379" t="s">
        <v>30</v>
      </c>
      <c r="M72" s="385">
        <v>0</v>
      </c>
      <c r="N72" s="383"/>
      <c r="O72" s="383"/>
      <c r="P72" s="384">
        <v>-10.93</v>
      </c>
    </row>
    <row r="73" spans="1:16" ht="19.5" customHeight="1">
      <c r="A73" s="379" t="s">
        <v>1148</v>
      </c>
      <c r="B73" s="382">
        <v>45972</v>
      </c>
      <c r="C73" s="379" t="s">
        <v>28</v>
      </c>
      <c r="D73" s="379" t="s">
        <v>45</v>
      </c>
      <c r="E73" s="379" t="s">
        <v>70</v>
      </c>
      <c r="F73" s="379" t="s">
        <v>71</v>
      </c>
      <c r="G73" s="379" t="s">
        <v>1133</v>
      </c>
      <c r="H73" s="383">
        <v>1</v>
      </c>
      <c r="I73" s="384">
        <v>0</v>
      </c>
      <c r="J73" s="382">
        <v>45967</v>
      </c>
      <c r="K73" s="379" t="s">
        <v>957</v>
      </c>
      <c r="L73" s="379" t="s">
        <v>30</v>
      </c>
      <c r="M73" s="385">
        <v>0</v>
      </c>
      <c r="N73" s="383"/>
      <c r="O73" s="383"/>
      <c r="P73" s="384">
        <v>0</v>
      </c>
    </row>
    <row r="74" spans="1:16" ht="19.5" customHeight="1">
      <c r="A74" s="379" t="s">
        <v>1148</v>
      </c>
      <c r="B74" s="382">
        <v>45972</v>
      </c>
      <c r="C74" s="379" t="s">
        <v>28</v>
      </c>
      <c r="D74" s="379" t="s">
        <v>46</v>
      </c>
      <c r="E74" s="379" t="s">
        <v>70</v>
      </c>
      <c r="F74" s="379" t="s">
        <v>71</v>
      </c>
      <c r="G74" s="379" t="s">
        <v>1133</v>
      </c>
      <c r="H74" s="383">
        <v>1</v>
      </c>
      <c r="I74" s="384">
        <v>0</v>
      </c>
      <c r="J74" s="382">
        <v>45967</v>
      </c>
      <c r="K74" s="379" t="s">
        <v>957</v>
      </c>
      <c r="L74" s="379" t="s">
        <v>30</v>
      </c>
      <c r="M74" s="385">
        <v>0</v>
      </c>
      <c r="N74" s="383"/>
      <c r="O74" s="383"/>
      <c r="P74" s="384">
        <v>-56</v>
      </c>
    </row>
    <row r="75" spans="1:16" ht="19.5" customHeight="1">
      <c r="A75" s="379" t="s">
        <v>1148</v>
      </c>
      <c r="B75" s="382">
        <v>45972</v>
      </c>
      <c r="C75" s="379" t="s">
        <v>17</v>
      </c>
      <c r="D75" s="379" t="s">
        <v>47</v>
      </c>
      <c r="E75" s="379" t="s">
        <v>70</v>
      </c>
      <c r="F75" s="379" t="s">
        <v>71</v>
      </c>
      <c r="G75" s="379" t="s">
        <v>1133</v>
      </c>
      <c r="H75" s="383">
        <v>1</v>
      </c>
      <c r="I75" s="384">
        <v>0</v>
      </c>
      <c r="J75" s="382">
        <v>45967</v>
      </c>
      <c r="K75" s="379" t="s">
        <v>957</v>
      </c>
      <c r="L75" s="379" t="s">
        <v>30</v>
      </c>
      <c r="M75" s="385">
        <v>0</v>
      </c>
      <c r="N75" s="383"/>
      <c r="O75" s="383"/>
      <c r="P75" s="384">
        <v>-15</v>
      </c>
    </row>
    <row r="76" spans="1:16" ht="19.5" customHeight="1">
      <c r="A76" s="379" t="s">
        <v>1149</v>
      </c>
      <c r="B76" s="382">
        <v>45972</v>
      </c>
      <c r="C76" s="379" t="s">
        <v>17</v>
      </c>
      <c r="D76" s="379" t="s">
        <v>18</v>
      </c>
      <c r="E76" s="379" t="s">
        <v>51</v>
      </c>
      <c r="F76" s="379" t="s">
        <v>52</v>
      </c>
      <c r="G76" s="379" t="s">
        <v>1133</v>
      </c>
      <c r="H76" s="383">
        <v>1</v>
      </c>
      <c r="I76" s="384">
        <v>0</v>
      </c>
      <c r="J76" s="382">
        <v>45972</v>
      </c>
      <c r="K76" s="379" t="s">
        <v>22</v>
      </c>
      <c r="L76" s="379" t="s">
        <v>22</v>
      </c>
      <c r="M76" s="385">
        <v>0</v>
      </c>
      <c r="N76" s="383"/>
      <c r="O76" s="383"/>
      <c r="P76" s="384">
        <v>-45.73</v>
      </c>
    </row>
    <row r="77" spans="1:16" ht="19.5" customHeight="1">
      <c r="A77" s="379" t="s">
        <v>1150</v>
      </c>
      <c r="B77" s="382">
        <v>45972</v>
      </c>
      <c r="C77" s="379" t="s">
        <v>17</v>
      </c>
      <c r="D77" s="379" t="s">
        <v>18</v>
      </c>
      <c r="E77" s="379" t="s">
        <v>25</v>
      </c>
      <c r="F77" s="379" t="s">
        <v>26</v>
      </c>
      <c r="G77" s="379" t="s">
        <v>21</v>
      </c>
      <c r="H77" s="383">
        <v>1</v>
      </c>
      <c r="I77" s="384">
        <v>0</v>
      </c>
      <c r="J77" s="382">
        <v>45972</v>
      </c>
      <c r="K77" s="379" t="s">
        <v>22</v>
      </c>
      <c r="L77" s="379" t="s">
        <v>22</v>
      </c>
      <c r="M77" s="385">
        <v>0</v>
      </c>
      <c r="N77" s="383"/>
      <c r="O77" s="383"/>
      <c r="P77" s="384">
        <v>-9.32</v>
      </c>
    </row>
    <row r="78" spans="1:16" ht="19.5" customHeight="1">
      <c r="A78" s="379" t="s">
        <v>1150</v>
      </c>
      <c r="B78" s="382">
        <v>45972</v>
      </c>
      <c r="C78" s="379" t="s">
        <v>17</v>
      </c>
      <c r="D78" s="379" t="s">
        <v>18</v>
      </c>
      <c r="E78" s="379" t="s">
        <v>25</v>
      </c>
      <c r="F78" s="379" t="s">
        <v>26</v>
      </c>
      <c r="G78" s="379" t="s">
        <v>21</v>
      </c>
      <c r="H78" s="383">
        <v>1</v>
      </c>
      <c r="I78" s="384">
        <v>0</v>
      </c>
      <c r="J78" s="382">
        <v>45972</v>
      </c>
      <c r="K78" s="379" t="s">
        <v>22</v>
      </c>
      <c r="L78" s="379" t="s">
        <v>22</v>
      </c>
      <c r="M78" s="385">
        <v>0</v>
      </c>
      <c r="N78" s="383"/>
      <c r="O78" s="383"/>
      <c r="P78" s="384">
        <v>9.32</v>
      </c>
    </row>
    <row r="79" spans="1:16" ht="19.5" customHeight="1">
      <c r="A79" s="379" t="s">
        <v>1151</v>
      </c>
      <c r="B79" s="382">
        <v>45972</v>
      </c>
      <c r="C79" s="379" t="s">
        <v>17</v>
      </c>
      <c r="D79" s="379" t="s">
        <v>18</v>
      </c>
      <c r="E79" s="379" t="s">
        <v>240</v>
      </c>
      <c r="F79" s="379" t="s">
        <v>802</v>
      </c>
      <c r="G79" s="379" t="s">
        <v>1133</v>
      </c>
      <c r="H79" s="383">
        <v>1</v>
      </c>
      <c r="I79" s="384">
        <v>0</v>
      </c>
      <c r="J79" s="382">
        <v>45972</v>
      </c>
      <c r="K79" s="379" t="s">
        <v>22</v>
      </c>
      <c r="L79" s="379" t="s">
        <v>22</v>
      </c>
      <c r="M79" s="385">
        <v>0</v>
      </c>
      <c r="N79" s="383"/>
      <c r="O79" s="383"/>
      <c r="P79" s="384">
        <v>-37.28</v>
      </c>
    </row>
    <row r="80" spans="1:16" ht="19.5" customHeight="1">
      <c r="A80" s="379" t="s">
        <v>1152</v>
      </c>
      <c r="B80" s="382">
        <v>45972</v>
      </c>
      <c r="C80" s="379" t="s">
        <v>28</v>
      </c>
      <c r="D80" s="379" t="s">
        <v>29</v>
      </c>
      <c r="E80" s="379" t="s">
        <v>25</v>
      </c>
      <c r="F80" s="379" t="s">
        <v>26</v>
      </c>
      <c r="G80" s="379" t="s">
        <v>21</v>
      </c>
      <c r="H80" s="383">
        <v>1</v>
      </c>
      <c r="I80" s="384">
        <v>0</v>
      </c>
      <c r="J80" s="382">
        <v>45970</v>
      </c>
      <c r="K80" s="379" t="s">
        <v>957</v>
      </c>
      <c r="L80" s="379" t="s">
        <v>30</v>
      </c>
      <c r="M80" s="385">
        <v>0</v>
      </c>
      <c r="N80" s="383"/>
      <c r="O80" s="383"/>
      <c r="P80" s="384">
        <v>-46</v>
      </c>
    </row>
    <row r="81" spans="1:16" ht="19.5" customHeight="1">
      <c r="A81" s="379" t="s">
        <v>1152</v>
      </c>
      <c r="B81" s="382">
        <v>45972</v>
      </c>
      <c r="C81" s="379" t="s">
        <v>17</v>
      </c>
      <c r="D81" s="379" t="s">
        <v>37</v>
      </c>
      <c r="E81" s="379" t="s">
        <v>25</v>
      </c>
      <c r="F81" s="379" t="s">
        <v>26</v>
      </c>
      <c r="G81" s="379" t="s">
        <v>21</v>
      </c>
      <c r="H81" s="383">
        <v>1</v>
      </c>
      <c r="I81" s="384">
        <v>0</v>
      </c>
      <c r="J81" s="382">
        <v>45970</v>
      </c>
      <c r="K81" s="379" t="s">
        <v>957</v>
      </c>
      <c r="L81" s="379" t="s">
        <v>30</v>
      </c>
      <c r="M81" s="385">
        <v>0</v>
      </c>
      <c r="N81" s="383"/>
      <c r="O81" s="383"/>
      <c r="P81" s="384">
        <v>-9.43</v>
      </c>
    </row>
    <row r="82" spans="1:16" ht="19.5" customHeight="1">
      <c r="A82" s="379" t="s">
        <v>1152</v>
      </c>
      <c r="B82" s="382">
        <v>45972</v>
      </c>
      <c r="C82" s="379" t="s">
        <v>28</v>
      </c>
      <c r="D82" s="379" t="s">
        <v>45</v>
      </c>
      <c r="E82" s="379" t="s">
        <v>25</v>
      </c>
      <c r="F82" s="379" t="s">
        <v>26</v>
      </c>
      <c r="G82" s="379" t="s">
        <v>21</v>
      </c>
      <c r="H82" s="383">
        <v>1</v>
      </c>
      <c r="I82" s="384">
        <v>0</v>
      </c>
      <c r="J82" s="382">
        <v>45970</v>
      </c>
      <c r="K82" s="379" t="s">
        <v>957</v>
      </c>
      <c r="L82" s="379" t="s">
        <v>30</v>
      </c>
      <c r="M82" s="385">
        <v>0</v>
      </c>
      <c r="N82" s="383"/>
      <c r="O82" s="383"/>
      <c r="P82" s="384">
        <v>0</v>
      </c>
    </row>
    <row r="83" spans="1:16" ht="19.5" customHeight="1">
      <c r="A83" s="379" t="s">
        <v>1152</v>
      </c>
      <c r="B83" s="382">
        <v>45972</v>
      </c>
      <c r="C83" s="379" t="s">
        <v>28</v>
      </c>
      <c r="D83" s="379" t="s">
        <v>46</v>
      </c>
      <c r="E83" s="379" t="s">
        <v>25</v>
      </c>
      <c r="F83" s="379" t="s">
        <v>26</v>
      </c>
      <c r="G83" s="379" t="s">
        <v>21</v>
      </c>
      <c r="H83" s="383">
        <v>1</v>
      </c>
      <c r="I83" s="384">
        <v>0</v>
      </c>
      <c r="J83" s="382">
        <v>45970</v>
      </c>
      <c r="K83" s="379" t="s">
        <v>957</v>
      </c>
      <c r="L83" s="379" t="s">
        <v>30</v>
      </c>
      <c r="M83" s="385">
        <v>0</v>
      </c>
      <c r="N83" s="383"/>
      <c r="O83" s="383"/>
      <c r="P83" s="384">
        <v>-46</v>
      </c>
    </row>
    <row r="84" spans="1:16" ht="19.5" customHeight="1">
      <c r="A84" s="379" t="s">
        <v>1152</v>
      </c>
      <c r="B84" s="382">
        <v>45972</v>
      </c>
      <c r="C84" s="379" t="s">
        <v>17</v>
      </c>
      <c r="D84" s="379" t="s">
        <v>47</v>
      </c>
      <c r="E84" s="379" t="s">
        <v>25</v>
      </c>
      <c r="F84" s="379" t="s">
        <v>26</v>
      </c>
      <c r="G84" s="379" t="s">
        <v>21</v>
      </c>
      <c r="H84" s="383">
        <v>1</v>
      </c>
      <c r="I84" s="384">
        <v>0</v>
      </c>
      <c r="J84" s="382">
        <v>45970</v>
      </c>
      <c r="K84" s="379" t="s">
        <v>957</v>
      </c>
      <c r="L84" s="379" t="s">
        <v>30</v>
      </c>
      <c r="M84" s="385">
        <v>0</v>
      </c>
      <c r="N84" s="383"/>
      <c r="O84" s="383"/>
      <c r="P84" s="384">
        <v>-15</v>
      </c>
    </row>
    <row r="85" spans="1:16" ht="19.5" customHeight="1">
      <c r="A85" s="379" t="s">
        <v>1153</v>
      </c>
      <c r="B85" s="382">
        <v>45972</v>
      </c>
      <c r="C85" s="379" t="s">
        <v>17</v>
      </c>
      <c r="D85" s="379" t="s">
        <v>18</v>
      </c>
      <c r="E85" s="379" t="s">
        <v>25</v>
      </c>
      <c r="F85" s="379" t="s">
        <v>26</v>
      </c>
      <c r="G85" s="379" t="s">
        <v>21</v>
      </c>
      <c r="H85" s="383">
        <v>1</v>
      </c>
      <c r="I85" s="384">
        <v>0</v>
      </c>
      <c r="J85" s="382">
        <v>45972</v>
      </c>
      <c r="K85" s="379" t="s">
        <v>22</v>
      </c>
      <c r="L85" s="379" t="s">
        <v>22</v>
      </c>
      <c r="M85" s="385">
        <v>0</v>
      </c>
      <c r="N85" s="383"/>
      <c r="O85" s="383"/>
      <c r="P85" s="384">
        <v>-8.08</v>
      </c>
    </row>
    <row r="86" spans="1:16" ht="19.5" customHeight="1">
      <c r="A86" s="379" t="s">
        <v>22</v>
      </c>
      <c r="B86" s="382">
        <v>45972</v>
      </c>
      <c r="C86" s="379" t="s">
        <v>77</v>
      </c>
      <c r="D86" s="379" t="s">
        <v>78</v>
      </c>
      <c r="E86" s="379" t="s">
        <v>22</v>
      </c>
      <c r="F86" s="379" t="s">
        <v>22</v>
      </c>
      <c r="G86" s="379" t="s">
        <v>1154</v>
      </c>
      <c r="H86" s="383">
        <v>0</v>
      </c>
      <c r="I86" s="384">
        <v>0</v>
      </c>
      <c r="J86" s="382">
        <v>45972</v>
      </c>
      <c r="K86" s="379" t="s">
        <v>22</v>
      </c>
      <c r="L86" s="379" t="s">
        <v>22</v>
      </c>
      <c r="M86" s="385">
        <v>0</v>
      </c>
      <c r="N86" s="383"/>
      <c r="O86" s="383"/>
      <c r="P86" s="384">
        <v>-300</v>
      </c>
    </row>
    <row r="87" spans="1:16" ht="19.5" customHeight="1">
      <c r="A87" s="379" t="s">
        <v>1120</v>
      </c>
      <c r="B87" s="382">
        <v>45972</v>
      </c>
      <c r="C87" s="379" t="s">
        <v>28</v>
      </c>
      <c r="D87" s="379" t="s">
        <v>60</v>
      </c>
      <c r="E87" s="379" t="s">
        <v>62</v>
      </c>
      <c r="F87" s="379" t="s">
        <v>63</v>
      </c>
      <c r="G87" s="379" t="s">
        <v>1133</v>
      </c>
      <c r="H87" s="383">
        <v>1</v>
      </c>
      <c r="I87" s="384">
        <v>0</v>
      </c>
      <c r="J87" s="382">
        <v>45965</v>
      </c>
      <c r="K87" s="379" t="s">
        <v>957</v>
      </c>
      <c r="L87" s="379" t="s">
        <v>30</v>
      </c>
      <c r="M87" s="385">
        <v>0</v>
      </c>
      <c r="N87" s="383"/>
      <c r="O87" s="383"/>
      <c r="P87" s="384">
        <v>0</v>
      </c>
    </row>
    <row r="88" spans="1:16" ht="19.5" customHeight="1">
      <c r="A88" s="379" t="s">
        <v>1120</v>
      </c>
      <c r="B88" s="382">
        <v>45972</v>
      </c>
      <c r="C88" s="379" t="s">
        <v>28</v>
      </c>
      <c r="D88" s="379" t="s">
        <v>46</v>
      </c>
      <c r="E88" s="379" t="s">
        <v>62</v>
      </c>
      <c r="F88" s="379" t="s">
        <v>63</v>
      </c>
      <c r="G88" s="379" t="s">
        <v>1133</v>
      </c>
      <c r="H88" s="383">
        <v>1</v>
      </c>
      <c r="I88" s="384">
        <v>0</v>
      </c>
      <c r="J88" s="382">
        <v>45965</v>
      </c>
      <c r="K88" s="379" t="s">
        <v>957</v>
      </c>
      <c r="L88" s="379" t="s">
        <v>30</v>
      </c>
      <c r="M88" s="385">
        <v>0</v>
      </c>
      <c r="N88" s="383"/>
      <c r="O88" s="383"/>
      <c r="P88" s="384">
        <v>-56</v>
      </c>
    </row>
    <row r="89" spans="1:16" ht="19.5" customHeight="1">
      <c r="A89" s="379" t="s">
        <v>1120</v>
      </c>
      <c r="B89" s="382">
        <v>45972</v>
      </c>
      <c r="C89" s="379" t="s">
        <v>17</v>
      </c>
      <c r="D89" s="379" t="s">
        <v>47</v>
      </c>
      <c r="E89" s="379" t="s">
        <v>62</v>
      </c>
      <c r="F89" s="379" t="s">
        <v>63</v>
      </c>
      <c r="G89" s="379" t="s">
        <v>1133</v>
      </c>
      <c r="H89" s="383">
        <v>1</v>
      </c>
      <c r="I89" s="384">
        <v>0</v>
      </c>
      <c r="J89" s="382">
        <v>45965</v>
      </c>
      <c r="K89" s="379" t="s">
        <v>957</v>
      </c>
      <c r="L89" s="379" t="s">
        <v>30</v>
      </c>
      <c r="M89" s="385">
        <v>0</v>
      </c>
      <c r="N89" s="383"/>
      <c r="O89" s="383"/>
      <c r="P89" s="384">
        <v>-15</v>
      </c>
    </row>
    <row r="90" spans="1:16" ht="19.5" customHeight="1">
      <c r="A90" s="379" t="s">
        <v>83</v>
      </c>
      <c r="B90" s="382">
        <v>45972</v>
      </c>
      <c r="C90" s="379" t="s">
        <v>77</v>
      </c>
      <c r="D90" s="379" t="s">
        <v>84</v>
      </c>
      <c r="E90" s="379" t="s">
        <v>22</v>
      </c>
      <c r="F90" s="379" t="s">
        <v>22</v>
      </c>
      <c r="G90" s="379" t="s">
        <v>22</v>
      </c>
      <c r="H90" s="383">
        <v>0</v>
      </c>
      <c r="I90" s="384">
        <v>0</v>
      </c>
      <c r="J90" s="382">
        <v>45972</v>
      </c>
      <c r="K90" s="379" t="s">
        <v>22</v>
      </c>
      <c r="L90" s="379" t="s">
        <v>22</v>
      </c>
      <c r="M90" s="385">
        <v>0</v>
      </c>
      <c r="N90" s="383"/>
      <c r="O90" s="383"/>
      <c r="P90" s="384">
        <v>-1875.62</v>
      </c>
    </row>
    <row r="91" spans="1:16" ht="19.5" customHeight="1">
      <c r="A91" s="379" t="s">
        <v>1075</v>
      </c>
      <c r="B91" s="382">
        <v>45972</v>
      </c>
      <c r="C91" s="379" t="s">
        <v>77</v>
      </c>
      <c r="D91" s="379" t="s">
        <v>82</v>
      </c>
      <c r="E91" s="379" t="s">
        <v>22</v>
      </c>
      <c r="F91" s="379" t="s">
        <v>22</v>
      </c>
      <c r="G91" s="379" t="s">
        <v>22</v>
      </c>
      <c r="H91" s="383">
        <v>0</v>
      </c>
      <c r="I91" s="384">
        <v>0</v>
      </c>
      <c r="J91" s="382">
        <v>45972</v>
      </c>
      <c r="K91" s="379" t="s">
        <v>22</v>
      </c>
      <c r="L91" s="379" t="s">
        <v>22</v>
      </c>
      <c r="M91" s="385">
        <v>0</v>
      </c>
      <c r="N91" s="383"/>
      <c r="O91" s="383"/>
      <c r="P91" s="384">
        <v>-583.12</v>
      </c>
    </row>
    <row r="92" spans="1:16" ht="19.5" customHeight="1">
      <c r="A92" s="379" t="s">
        <v>1107</v>
      </c>
      <c r="B92" s="382">
        <v>45972</v>
      </c>
      <c r="C92" s="379" t="s">
        <v>77</v>
      </c>
      <c r="D92" s="379" t="s">
        <v>82</v>
      </c>
      <c r="E92" s="379" t="s">
        <v>22</v>
      </c>
      <c r="F92" s="379" t="s">
        <v>22</v>
      </c>
      <c r="G92" s="379" t="s">
        <v>22</v>
      </c>
      <c r="H92" s="383">
        <v>0</v>
      </c>
      <c r="I92" s="384">
        <v>0</v>
      </c>
      <c r="J92" s="382">
        <v>45972</v>
      </c>
      <c r="K92" s="379" t="s">
        <v>22</v>
      </c>
      <c r="L92" s="379" t="s">
        <v>22</v>
      </c>
      <c r="M92" s="385">
        <v>0</v>
      </c>
      <c r="N92" s="383"/>
      <c r="O92" s="383"/>
      <c r="P92" s="384">
        <v>-282.91000000000003</v>
      </c>
    </row>
    <row r="93" spans="1:16" ht="19.5" customHeight="1">
      <c r="A93" s="379" t="s">
        <v>1106</v>
      </c>
      <c r="B93" s="382">
        <v>45972</v>
      </c>
      <c r="C93" s="379" t="s">
        <v>77</v>
      </c>
      <c r="D93" s="379" t="s">
        <v>82</v>
      </c>
      <c r="E93" s="379" t="s">
        <v>22</v>
      </c>
      <c r="F93" s="379" t="s">
        <v>22</v>
      </c>
      <c r="G93" s="379" t="s">
        <v>22</v>
      </c>
      <c r="H93" s="383">
        <v>0</v>
      </c>
      <c r="I93" s="384">
        <v>0</v>
      </c>
      <c r="J93" s="382">
        <v>45972</v>
      </c>
      <c r="K93" s="379" t="s">
        <v>22</v>
      </c>
      <c r="L93" s="379" t="s">
        <v>22</v>
      </c>
      <c r="M93" s="385">
        <v>0</v>
      </c>
      <c r="N93" s="383"/>
      <c r="O93" s="383"/>
      <c r="P93" s="384">
        <v>-300.36</v>
      </c>
    </row>
    <row r="94" spans="1:16" ht="19.5" customHeight="1">
      <c r="A94" s="379" t="s">
        <v>1105</v>
      </c>
      <c r="B94" s="382">
        <v>45972</v>
      </c>
      <c r="C94" s="379" t="s">
        <v>77</v>
      </c>
      <c r="D94" s="379" t="s">
        <v>82</v>
      </c>
      <c r="E94" s="379" t="s">
        <v>22</v>
      </c>
      <c r="F94" s="379" t="s">
        <v>22</v>
      </c>
      <c r="G94" s="379" t="s">
        <v>22</v>
      </c>
      <c r="H94" s="383">
        <v>0</v>
      </c>
      <c r="I94" s="384">
        <v>0</v>
      </c>
      <c r="J94" s="382">
        <v>45972</v>
      </c>
      <c r="K94" s="379" t="s">
        <v>22</v>
      </c>
      <c r="L94" s="379" t="s">
        <v>22</v>
      </c>
      <c r="M94" s="385">
        <v>0</v>
      </c>
      <c r="N94" s="383"/>
      <c r="O94" s="383"/>
      <c r="P94" s="384">
        <v>-469.91</v>
      </c>
    </row>
    <row r="95" spans="1:16" ht="19.5" customHeight="1">
      <c r="A95" s="379" t="s">
        <v>1127</v>
      </c>
      <c r="B95" s="382">
        <v>45972</v>
      </c>
      <c r="C95" s="379" t="s">
        <v>77</v>
      </c>
      <c r="D95" s="379" t="s">
        <v>82</v>
      </c>
      <c r="E95" s="379" t="s">
        <v>22</v>
      </c>
      <c r="F95" s="379" t="s">
        <v>22</v>
      </c>
      <c r="G95" s="379" t="s">
        <v>22</v>
      </c>
      <c r="H95" s="383">
        <v>0</v>
      </c>
      <c r="I95" s="384">
        <v>0</v>
      </c>
      <c r="J95" s="382">
        <v>45972</v>
      </c>
      <c r="K95" s="379" t="s">
        <v>22</v>
      </c>
      <c r="L95" s="379" t="s">
        <v>22</v>
      </c>
      <c r="M95" s="385">
        <v>0</v>
      </c>
      <c r="N95" s="383"/>
      <c r="O95" s="383"/>
      <c r="P95" s="384">
        <v>-238.59</v>
      </c>
    </row>
    <row r="96" spans="1:16" ht="19.5" customHeight="1">
      <c r="A96" s="379" t="s">
        <v>1155</v>
      </c>
      <c r="B96" s="382">
        <v>45973</v>
      </c>
      <c r="C96" s="379" t="s">
        <v>28</v>
      </c>
      <c r="D96" s="379" t="s">
        <v>29</v>
      </c>
      <c r="E96" s="379" t="s">
        <v>70</v>
      </c>
      <c r="F96" s="379" t="s">
        <v>71</v>
      </c>
      <c r="G96" s="379" t="s">
        <v>1133</v>
      </c>
      <c r="H96" s="383">
        <v>1</v>
      </c>
      <c r="I96" s="384">
        <v>0</v>
      </c>
      <c r="J96" s="382">
        <v>45962</v>
      </c>
      <c r="K96" s="379" t="s">
        <v>957</v>
      </c>
      <c r="L96" s="379" t="s">
        <v>30</v>
      </c>
      <c r="M96" s="385">
        <v>0</v>
      </c>
      <c r="N96" s="383"/>
      <c r="O96" s="383"/>
      <c r="P96" s="384">
        <v>-56</v>
      </c>
    </row>
    <row r="97" spans="1:16" ht="19.5" customHeight="1">
      <c r="A97" s="379" t="s">
        <v>1155</v>
      </c>
      <c r="B97" s="382">
        <v>45973</v>
      </c>
      <c r="C97" s="379" t="s">
        <v>17</v>
      </c>
      <c r="D97" s="379" t="s">
        <v>37</v>
      </c>
      <c r="E97" s="379" t="s">
        <v>70</v>
      </c>
      <c r="F97" s="379" t="s">
        <v>71</v>
      </c>
      <c r="G97" s="379" t="s">
        <v>1133</v>
      </c>
      <c r="H97" s="383">
        <v>1</v>
      </c>
      <c r="I97" s="384">
        <v>0</v>
      </c>
      <c r="J97" s="382">
        <v>45962</v>
      </c>
      <c r="K97" s="379" t="s">
        <v>957</v>
      </c>
      <c r="L97" s="379" t="s">
        <v>30</v>
      </c>
      <c r="M97" s="385">
        <v>0</v>
      </c>
      <c r="N97" s="383"/>
      <c r="O97" s="383"/>
      <c r="P97" s="384">
        <v>-23.45</v>
      </c>
    </row>
    <row r="98" spans="1:16" ht="19.5" customHeight="1">
      <c r="A98" s="379" t="s">
        <v>1155</v>
      </c>
      <c r="B98" s="382">
        <v>45973</v>
      </c>
      <c r="C98" s="379" t="s">
        <v>28</v>
      </c>
      <c r="D98" s="379" t="s">
        <v>45</v>
      </c>
      <c r="E98" s="379" t="s">
        <v>70</v>
      </c>
      <c r="F98" s="379" t="s">
        <v>71</v>
      </c>
      <c r="G98" s="379" t="s">
        <v>1133</v>
      </c>
      <c r="H98" s="383">
        <v>1</v>
      </c>
      <c r="I98" s="384">
        <v>0</v>
      </c>
      <c r="J98" s="382">
        <v>45962</v>
      </c>
      <c r="K98" s="379" t="s">
        <v>957</v>
      </c>
      <c r="L98" s="379" t="s">
        <v>30</v>
      </c>
      <c r="M98" s="385">
        <v>0</v>
      </c>
      <c r="N98" s="383"/>
      <c r="O98" s="383"/>
      <c r="P98" s="384">
        <v>0</v>
      </c>
    </row>
    <row r="99" spans="1:16" ht="19.5" customHeight="1">
      <c r="A99" s="379" t="s">
        <v>1155</v>
      </c>
      <c r="B99" s="382">
        <v>45973</v>
      </c>
      <c r="C99" s="379" t="s">
        <v>28</v>
      </c>
      <c r="D99" s="379" t="s">
        <v>46</v>
      </c>
      <c r="E99" s="379" t="s">
        <v>70</v>
      </c>
      <c r="F99" s="379" t="s">
        <v>71</v>
      </c>
      <c r="G99" s="379" t="s">
        <v>1133</v>
      </c>
      <c r="H99" s="383">
        <v>1</v>
      </c>
      <c r="I99" s="384">
        <v>0</v>
      </c>
      <c r="J99" s="382">
        <v>45962</v>
      </c>
      <c r="K99" s="379" t="s">
        <v>957</v>
      </c>
      <c r="L99" s="379" t="s">
        <v>30</v>
      </c>
      <c r="M99" s="385">
        <v>0</v>
      </c>
      <c r="N99" s="383"/>
      <c r="O99" s="383"/>
      <c r="P99" s="384">
        <v>-56</v>
      </c>
    </row>
    <row r="100" spans="1:16" ht="19.5" customHeight="1">
      <c r="A100" s="379" t="s">
        <v>1155</v>
      </c>
      <c r="B100" s="382">
        <v>45973</v>
      </c>
      <c r="C100" s="379" t="s">
        <v>17</v>
      </c>
      <c r="D100" s="379" t="s">
        <v>47</v>
      </c>
      <c r="E100" s="379" t="s">
        <v>70</v>
      </c>
      <c r="F100" s="379" t="s">
        <v>71</v>
      </c>
      <c r="G100" s="379" t="s">
        <v>1133</v>
      </c>
      <c r="H100" s="383">
        <v>1</v>
      </c>
      <c r="I100" s="384">
        <v>0</v>
      </c>
      <c r="J100" s="382">
        <v>45962</v>
      </c>
      <c r="K100" s="379" t="s">
        <v>957</v>
      </c>
      <c r="L100" s="379" t="s">
        <v>30</v>
      </c>
      <c r="M100" s="385">
        <v>0</v>
      </c>
      <c r="N100" s="383"/>
      <c r="O100" s="383"/>
      <c r="P100" s="384">
        <v>-15</v>
      </c>
    </row>
    <row r="101" spans="1:16" ht="19.5" customHeight="1">
      <c r="A101" s="379" t="s">
        <v>1156</v>
      </c>
      <c r="B101" s="382">
        <v>45973</v>
      </c>
      <c r="C101" s="379" t="s">
        <v>28</v>
      </c>
      <c r="D101" s="379" t="s">
        <v>29</v>
      </c>
      <c r="E101" s="379" t="s">
        <v>223</v>
      </c>
      <c r="F101" s="379" t="s">
        <v>395</v>
      </c>
      <c r="G101" s="379" t="s">
        <v>21</v>
      </c>
      <c r="H101" s="383">
        <v>1</v>
      </c>
      <c r="I101" s="384">
        <v>1364</v>
      </c>
      <c r="J101" s="382">
        <v>45971</v>
      </c>
      <c r="K101" s="379" t="s">
        <v>957</v>
      </c>
      <c r="L101" s="379" t="s">
        <v>30</v>
      </c>
      <c r="M101" s="385">
        <v>0.43</v>
      </c>
      <c r="N101" s="383"/>
      <c r="O101" s="383"/>
      <c r="P101" s="384">
        <v>-46</v>
      </c>
    </row>
    <row r="102" spans="1:16" ht="19.5" customHeight="1">
      <c r="A102" s="379" t="s">
        <v>1156</v>
      </c>
      <c r="B102" s="382">
        <v>45973</v>
      </c>
      <c r="C102" s="379" t="s">
        <v>31</v>
      </c>
      <c r="D102" s="379" t="s">
        <v>32</v>
      </c>
      <c r="E102" s="379" t="s">
        <v>223</v>
      </c>
      <c r="F102" s="379" t="s">
        <v>395</v>
      </c>
      <c r="G102" s="379" t="s">
        <v>21</v>
      </c>
      <c r="H102" s="383">
        <v>1</v>
      </c>
      <c r="I102" s="384">
        <v>1364</v>
      </c>
      <c r="J102" s="382">
        <v>45971</v>
      </c>
      <c r="K102" s="379" t="s">
        <v>957</v>
      </c>
      <c r="L102" s="379" t="s">
        <v>30</v>
      </c>
      <c r="M102" s="385">
        <v>0</v>
      </c>
      <c r="N102" s="383"/>
      <c r="O102" s="383"/>
      <c r="P102" s="384">
        <v>759.05</v>
      </c>
    </row>
    <row r="103" spans="1:16" ht="19.5" customHeight="1">
      <c r="A103" s="379" t="s">
        <v>1156</v>
      </c>
      <c r="B103" s="382">
        <v>45973</v>
      </c>
      <c r="C103" s="379" t="s">
        <v>31</v>
      </c>
      <c r="D103" s="379" t="s">
        <v>33</v>
      </c>
      <c r="E103" s="379" t="s">
        <v>223</v>
      </c>
      <c r="F103" s="379" t="s">
        <v>395</v>
      </c>
      <c r="G103" s="379" t="s">
        <v>21</v>
      </c>
      <c r="H103" s="383">
        <v>1</v>
      </c>
      <c r="I103" s="384">
        <v>1364</v>
      </c>
      <c r="J103" s="382">
        <v>45971</v>
      </c>
      <c r="K103" s="379" t="s">
        <v>957</v>
      </c>
      <c r="L103" s="379" t="s">
        <v>30</v>
      </c>
      <c r="M103" s="385">
        <v>0</v>
      </c>
      <c r="N103" s="383"/>
      <c r="O103" s="383"/>
      <c r="P103" s="384">
        <v>7.59</v>
      </c>
    </row>
    <row r="104" spans="1:16" ht="19.5" customHeight="1">
      <c r="A104" s="379" t="s">
        <v>1156</v>
      </c>
      <c r="B104" s="382">
        <v>45973</v>
      </c>
      <c r="C104" s="379" t="s">
        <v>31</v>
      </c>
      <c r="D104" s="379" t="s">
        <v>34</v>
      </c>
      <c r="E104" s="379" t="s">
        <v>223</v>
      </c>
      <c r="F104" s="379" t="s">
        <v>395</v>
      </c>
      <c r="G104" s="379" t="s">
        <v>21</v>
      </c>
      <c r="H104" s="383">
        <v>1</v>
      </c>
      <c r="I104" s="384">
        <v>1364</v>
      </c>
      <c r="J104" s="382">
        <v>45971</v>
      </c>
      <c r="K104" s="379" t="s">
        <v>957</v>
      </c>
      <c r="L104" s="379" t="s">
        <v>30</v>
      </c>
      <c r="M104" s="385">
        <v>0</v>
      </c>
      <c r="N104" s="383"/>
      <c r="O104" s="383"/>
      <c r="P104" s="386">
        <v>597.36</v>
      </c>
    </row>
    <row r="105" spans="1:16" ht="19.5" customHeight="1">
      <c r="A105" s="379" t="s">
        <v>1156</v>
      </c>
      <c r="B105" s="382">
        <v>45973</v>
      </c>
      <c r="C105" s="379" t="s">
        <v>35</v>
      </c>
      <c r="D105" s="379" t="s">
        <v>36</v>
      </c>
      <c r="E105" s="379" t="s">
        <v>223</v>
      </c>
      <c r="F105" s="379" t="s">
        <v>395</v>
      </c>
      <c r="G105" s="379" t="s">
        <v>21</v>
      </c>
      <c r="H105" s="383">
        <v>1</v>
      </c>
      <c r="I105" s="384">
        <v>1364</v>
      </c>
      <c r="J105" s="382">
        <v>45971</v>
      </c>
      <c r="K105" s="379" t="s">
        <v>957</v>
      </c>
      <c r="L105" s="379" t="s">
        <v>30</v>
      </c>
      <c r="M105" s="385">
        <v>0.43</v>
      </c>
      <c r="N105" s="383"/>
      <c r="O105" s="383"/>
      <c r="P105" s="384">
        <v>-586.52</v>
      </c>
    </row>
    <row r="106" spans="1:16" ht="19.5" customHeight="1">
      <c r="A106" s="379" t="s">
        <v>1157</v>
      </c>
      <c r="B106" s="382">
        <v>45973</v>
      </c>
      <c r="C106" s="379" t="s">
        <v>28</v>
      </c>
      <c r="D106" s="379" t="s">
        <v>29</v>
      </c>
      <c r="E106" s="379" t="s">
        <v>25</v>
      </c>
      <c r="F106" s="379" t="s">
        <v>26</v>
      </c>
      <c r="G106" s="379" t="s">
        <v>21</v>
      </c>
      <c r="H106" s="383">
        <v>1</v>
      </c>
      <c r="I106" s="384">
        <v>1738</v>
      </c>
      <c r="J106" s="382">
        <v>45968</v>
      </c>
      <c r="K106" s="379" t="s">
        <v>957</v>
      </c>
      <c r="L106" s="379" t="s">
        <v>30</v>
      </c>
      <c r="M106" s="385">
        <v>0.38</v>
      </c>
      <c r="N106" s="383"/>
      <c r="O106" s="383"/>
      <c r="P106" s="384">
        <v>-46</v>
      </c>
    </row>
    <row r="107" spans="1:16" ht="19.5" customHeight="1">
      <c r="A107" s="379" t="s">
        <v>1157</v>
      </c>
      <c r="B107" s="382">
        <v>45973</v>
      </c>
      <c r="C107" s="379" t="s">
        <v>31</v>
      </c>
      <c r="D107" s="379" t="s">
        <v>32</v>
      </c>
      <c r="E107" s="379" t="s">
        <v>25</v>
      </c>
      <c r="F107" s="379" t="s">
        <v>26</v>
      </c>
      <c r="G107" s="379" t="s">
        <v>21</v>
      </c>
      <c r="H107" s="383">
        <v>1</v>
      </c>
      <c r="I107" s="384">
        <v>1738</v>
      </c>
      <c r="J107" s="382">
        <v>45968</v>
      </c>
      <c r="K107" s="379" t="s">
        <v>957</v>
      </c>
      <c r="L107" s="379" t="s">
        <v>30</v>
      </c>
      <c r="M107" s="385">
        <v>0</v>
      </c>
      <c r="N107" s="383"/>
      <c r="O107" s="383"/>
      <c r="P107" s="384">
        <v>957.18</v>
      </c>
    </row>
    <row r="108" spans="1:16" ht="19.5" customHeight="1">
      <c r="A108" s="379" t="s">
        <v>1157</v>
      </c>
      <c r="B108" s="382">
        <v>45973</v>
      </c>
      <c r="C108" s="379" t="s">
        <v>31</v>
      </c>
      <c r="D108" s="379" t="s">
        <v>33</v>
      </c>
      <c r="E108" s="379" t="s">
        <v>25</v>
      </c>
      <c r="F108" s="379" t="s">
        <v>26</v>
      </c>
      <c r="G108" s="379" t="s">
        <v>21</v>
      </c>
      <c r="H108" s="383">
        <v>1</v>
      </c>
      <c r="I108" s="384">
        <v>1738</v>
      </c>
      <c r="J108" s="382">
        <v>45968</v>
      </c>
      <c r="K108" s="379" t="s">
        <v>957</v>
      </c>
      <c r="L108" s="379" t="s">
        <v>30</v>
      </c>
      <c r="M108" s="385">
        <v>0</v>
      </c>
      <c r="N108" s="383"/>
      <c r="O108" s="383"/>
      <c r="P108" s="384">
        <v>9.57</v>
      </c>
    </row>
    <row r="109" spans="1:16" ht="19.5" customHeight="1">
      <c r="A109" s="379" t="s">
        <v>1157</v>
      </c>
      <c r="B109" s="382">
        <v>45973</v>
      </c>
      <c r="C109" s="379" t="s">
        <v>31</v>
      </c>
      <c r="D109" s="379" t="s">
        <v>34</v>
      </c>
      <c r="E109" s="379" t="s">
        <v>25</v>
      </c>
      <c r="F109" s="379" t="s">
        <v>26</v>
      </c>
      <c r="G109" s="379" t="s">
        <v>21</v>
      </c>
      <c r="H109" s="383">
        <v>1</v>
      </c>
      <c r="I109" s="384">
        <v>1738</v>
      </c>
      <c r="J109" s="382">
        <v>45968</v>
      </c>
      <c r="K109" s="379" t="s">
        <v>957</v>
      </c>
      <c r="L109" s="379" t="s">
        <v>30</v>
      </c>
      <c r="M109" s="385">
        <v>0</v>
      </c>
      <c r="N109" s="383"/>
      <c r="O109" s="383"/>
      <c r="P109" s="386">
        <v>771.25</v>
      </c>
    </row>
    <row r="110" spans="1:16" ht="19.5" customHeight="1">
      <c r="A110" s="379" t="s">
        <v>1157</v>
      </c>
      <c r="B110" s="382">
        <v>45973</v>
      </c>
      <c r="C110" s="379" t="s">
        <v>35</v>
      </c>
      <c r="D110" s="379" t="s">
        <v>36</v>
      </c>
      <c r="E110" s="379" t="s">
        <v>25</v>
      </c>
      <c r="F110" s="379" t="s">
        <v>26</v>
      </c>
      <c r="G110" s="379" t="s">
        <v>21</v>
      </c>
      <c r="H110" s="383">
        <v>1</v>
      </c>
      <c r="I110" s="384">
        <v>1738</v>
      </c>
      <c r="J110" s="382">
        <v>45968</v>
      </c>
      <c r="K110" s="379" t="s">
        <v>957</v>
      </c>
      <c r="L110" s="379" t="s">
        <v>30</v>
      </c>
      <c r="M110" s="385">
        <v>0.38</v>
      </c>
      <c r="N110" s="383"/>
      <c r="O110" s="383"/>
      <c r="P110" s="384">
        <v>-660.44</v>
      </c>
    </row>
    <row r="111" spans="1:16" ht="19.5" customHeight="1">
      <c r="A111" s="379" t="s">
        <v>1157</v>
      </c>
      <c r="B111" s="382">
        <v>45973</v>
      </c>
      <c r="C111" s="379" t="s">
        <v>17</v>
      </c>
      <c r="D111" s="379" t="s">
        <v>37</v>
      </c>
      <c r="E111" s="379" t="s">
        <v>25</v>
      </c>
      <c r="F111" s="379" t="s">
        <v>26</v>
      </c>
      <c r="G111" s="379" t="s">
        <v>21</v>
      </c>
      <c r="H111" s="383">
        <v>1</v>
      </c>
      <c r="I111" s="384">
        <v>1738</v>
      </c>
      <c r="J111" s="382">
        <v>45968</v>
      </c>
      <c r="K111" s="379" t="s">
        <v>957</v>
      </c>
      <c r="L111" s="379" t="s">
        <v>30</v>
      </c>
      <c r="M111" s="385">
        <v>0.38</v>
      </c>
      <c r="N111" s="383"/>
      <c r="O111" s="383"/>
      <c r="P111" s="384">
        <v>-7.64</v>
      </c>
    </row>
    <row r="112" spans="1:16" ht="19.5" customHeight="1">
      <c r="A112" s="379" t="s">
        <v>1158</v>
      </c>
      <c r="B112" s="382">
        <v>45973</v>
      </c>
      <c r="C112" s="379" t="s">
        <v>28</v>
      </c>
      <c r="D112" s="379" t="s">
        <v>29</v>
      </c>
      <c r="E112" s="379" t="s">
        <v>224</v>
      </c>
      <c r="F112" s="379" t="s">
        <v>461</v>
      </c>
      <c r="G112" s="379" t="s">
        <v>21</v>
      </c>
      <c r="H112" s="383">
        <v>1</v>
      </c>
      <c r="I112" s="384">
        <v>1800</v>
      </c>
      <c r="J112" s="382">
        <v>45971</v>
      </c>
      <c r="K112" s="379" t="s">
        <v>957</v>
      </c>
      <c r="L112" s="379" t="s">
        <v>30</v>
      </c>
      <c r="M112" s="385">
        <v>0.43</v>
      </c>
      <c r="N112" s="383"/>
      <c r="O112" s="383"/>
      <c r="P112" s="384">
        <v>-46</v>
      </c>
    </row>
    <row r="113" spans="1:16" ht="19.5" customHeight="1">
      <c r="A113" s="379" t="s">
        <v>1158</v>
      </c>
      <c r="B113" s="382">
        <v>45973</v>
      </c>
      <c r="C113" s="379" t="s">
        <v>31</v>
      </c>
      <c r="D113" s="379" t="s">
        <v>32</v>
      </c>
      <c r="E113" s="379" t="s">
        <v>224</v>
      </c>
      <c r="F113" s="379" t="s">
        <v>461</v>
      </c>
      <c r="G113" s="379" t="s">
        <v>21</v>
      </c>
      <c r="H113" s="383">
        <v>1</v>
      </c>
      <c r="I113" s="384">
        <v>1800</v>
      </c>
      <c r="J113" s="382">
        <v>45971</v>
      </c>
      <c r="K113" s="379" t="s">
        <v>957</v>
      </c>
      <c r="L113" s="379" t="s">
        <v>30</v>
      </c>
      <c r="M113" s="385">
        <v>0</v>
      </c>
      <c r="N113" s="383"/>
      <c r="O113" s="383"/>
      <c r="P113" s="384">
        <v>1078.02</v>
      </c>
    </row>
    <row r="114" spans="1:16" ht="19.5" customHeight="1">
      <c r="A114" s="379" t="s">
        <v>1158</v>
      </c>
      <c r="B114" s="382">
        <v>45973</v>
      </c>
      <c r="C114" s="379" t="s">
        <v>31</v>
      </c>
      <c r="D114" s="379" t="s">
        <v>33</v>
      </c>
      <c r="E114" s="379" t="s">
        <v>224</v>
      </c>
      <c r="F114" s="379" t="s">
        <v>461</v>
      </c>
      <c r="G114" s="379" t="s">
        <v>21</v>
      </c>
      <c r="H114" s="383">
        <v>1</v>
      </c>
      <c r="I114" s="384">
        <v>1800</v>
      </c>
      <c r="J114" s="382">
        <v>45971</v>
      </c>
      <c r="K114" s="379" t="s">
        <v>957</v>
      </c>
      <c r="L114" s="379" t="s">
        <v>30</v>
      </c>
      <c r="M114" s="385">
        <v>0</v>
      </c>
      <c r="N114" s="383"/>
      <c r="O114" s="383"/>
      <c r="P114" s="384">
        <v>10.78</v>
      </c>
    </row>
    <row r="115" spans="1:16" ht="19.5" customHeight="1">
      <c r="A115" s="379" t="s">
        <v>1158</v>
      </c>
      <c r="B115" s="382">
        <v>45973</v>
      </c>
      <c r="C115" s="379" t="s">
        <v>31</v>
      </c>
      <c r="D115" s="379" t="s">
        <v>34</v>
      </c>
      <c r="E115" s="379" t="s">
        <v>224</v>
      </c>
      <c r="F115" s="379" t="s">
        <v>461</v>
      </c>
      <c r="G115" s="379" t="s">
        <v>21</v>
      </c>
      <c r="H115" s="383">
        <v>1</v>
      </c>
      <c r="I115" s="384">
        <v>1800</v>
      </c>
      <c r="J115" s="382">
        <v>45971</v>
      </c>
      <c r="K115" s="379" t="s">
        <v>957</v>
      </c>
      <c r="L115" s="379" t="s">
        <v>30</v>
      </c>
      <c r="M115" s="385">
        <v>0</v>
      </c>
      <c r="N115" s="383"/>
      <c r="O115" s="383"/>
      <c r="P115" s="386">
        <v>711.2</v>
      </c>
    </row>
    <row r="116" spans="1:16" ht="19.5" customHeight="1">
      <c r="A116" s="379" t="s">
        <v>1158</v>
      </c>
      <c r="B116" s="382">
        <v>45973</v>
      </c>
      <c r="C116" s="379" t="s">
        <v>35</v>
      </c>
      <c r="D116" s="379" t="s">
        <v>36</v>
      </c>
      <c r="E116" s="379" t="s">
        <v>224</v>
      </c>
      <c r="F116" s="379" t="s">
        <v>461</v>
      </c>
      <c r="G116" s="379" t="s">
        <v>21</v>
      </c>
      <c r="H116" s="383">
        <v>1</v>
      </c>
      <c r="I116" s="384">
        <v>1800</v>
      </c>
      <c r="J116" s="382">
        <v>45971</v>
      </c>
      <c r="K116" s="379" t="s">
        <v>957</v>
      </c>
      <c r="L116" s="379" t="s">
        <v>30</v>
      </c>
      <c r="M116" s="385">
        <v>0.43</v>
      </c>
      <c r="N116" s="383"/>
      <c r="O116" s="383"/>
      <c r="P116" s="384">
        <v>-774</v>
      </c>
    </row>
    <row r="117" spans="1:16" ht="19.5" customHeight="1">
      <c r="A117" s="379" t="s">
        <v>1158</v>
      </c>
      <c r="B117" s="382">
        <v>45973</v>
      </c>
      <c r="C117" s="379" t="s">
        <v>17</v>
      </c>
      <c r="D117" s="379" t="s">
        <v>37</v>
      </c>
      <c r="E117" s="379" t="s">
        <v>224</v>
      </c>
      <c r="F117" s="379" t="s">
        <v>461</v>
      </c>
      <c r="G117" s="379" t="s">
        <v>21</v>
      </c>
      <c r="H117" s="383">
        <v>1</v>
      </c>
      <c r="I117" s="384">
        <v>1800</v>
      </c>
      <c r="J117" s="382">
        <v>45971</v>
      </c>
      <c r="K117" s="379" t="s">
        <v>957</v>
      </c>
      <c r="L117" s="379" t="s">
        <v>30</v>
      </c>
      <c r="M117" s="385">
        <v>0.43</v>
      </c>
      <c r="N117" s="383"/>
      <c r="O117" s="383"/>
      <c r="P117" s="384">
        <v>-9.4</v>
      </c>
    </row>
    <row r="118" spans="1:16" ht="19.5" customHeight="1">
      <c r="A118" s="379" t="s">
        <v>1159</v>
      </c>
      <c r="B118" s="382">
        <v>45973</v>
      </c>
      <c r="C118" s="379" t="s">
        <v>17</v>
      </c>
      <c r="D118" s="379" t="s">
        <v>18</v>
      </c>
      <c r="E118" s="379" t="s">
        <v>235</v>
      </c>
      <c r="F118" s="379" t="s">
        <v>528</v>
      </c>
      <c r="G118" s="379" t="s">
        <v>1133</v>
      </c>
      <c r="H118" s="383">
        <v>1</v>
      </c>
      <c r="I118" s="384">
        <v>0</v>
      </c>
      <c r="J118" s="382">
        <v>45973</v>
      </c>
      <c r="K118" s="379" t="s">
        <v>22</v>
      </c>
      <c r="L118" s="379" t="s">
        <v>22</v>
      </c>
      <c r="M118" s="385">
        <v>0</v>
      </c>
      <c r="N118" s="383"/>
      <c r="O118" s="383"/>
      <c r="P118" s="384">
        <v>-47.17</v>
      </c>
    </row>
    <row r="119" spans="1:16" ht="19.5" customHeight="1">
      <c r="A119" s="379" t="s">
        <v>1160</v>
      </c>
      <c r="B119" s="382">
        <v>45973</v>
      </c>
      <c r="C119" s="379" t="s">
        <v>17</v>
      </c>
      <c r="D119" s="379" t="s">
        <v>18</v>
      </c>
      <c r="E119" s="379" t="s">
        <v>25</v>
      </c>
      <c r="F119" s="379" t="s">
        <v>26</v>
      </c>
      <c r="G119" s="379" t="s">
        <v>21</v>
      </c>
      <c r="H119" s="383">
        <v>1</v>
      </c>
      <c r="I119" s="384">
        <v>0</v>
      </c>
      <c r="J119" s="382">
        <v>45973</v>
      </c>
      <c r="K119" s="379" t="s">
        <v>22</v>
      </c>
      <c r="L119" s="379" t="s">
        <v>22</v>
      </c>
      <c r="M119" s="385">
        <v>0</v>
      </c>
      <c r="N119" s="383"/>
      <c r="O119" s="383"/>
      <c r="P119" s="384">
        <v>-17.03</v>
      </c>
    </row>
    <row r="120" spans="1:16" ht="19.5" customHeight="1">
      <c r="A120" s="379" t="s">
        <v>1161</v>
      </c>
      <c r="B120" s="382">
        <v>45973</v>
      </c>
      <c r="C120" s="379" t="s">
        <v>28</v>
      </c>
      <c r="D120" s="379" t="s">
        <v>29</v>
      </c>
      <c r="E120" s="379" t="s">
        <v>228</v>
      </c>
      <c r="F120" s="379" t="s">
        <v>393</v>
      </c>
      <c r="G120" s="379" t="s">
        <v>21</v>
      </c>
      <c r="H120" s="383">
        <v>1</v>
      </c>
      <c r="I120" s="384">
        <v>1800</v>
      </c>
      <c r="J120" s="382">
        <v>45970</v>
      </c>
      <c r="K120" s="379" t="s">
        <v>957</v>
      </c>
      <c r="L120" s="379" t="s">
        <v>30</v>
      </c>
      <c r="M120" s="385">
        <v>0.38</v>
      </c>
      <c r="N120" s="383"/>
      <c r="O120" s="383"/>
      <c r="P120" s="384">
        <v>-46</v>
      </c>
    </row>
    <row r="121" spans="1:16" ht="19.5" customHeight="1">
      <c r="A121" s="379" t="s">
        <v>1161</v>
      </c>
      <c r="B121" s="382">
        <v>45973</v>
      </c>
      <c r="C121" s="379" t="s">
        <v>31</v>
      </c>
      <c r="D121" s="379" t="s">
        <v>32</v>
      </c>
      <c r="E121" s="379" t="s">
        <v>228</v>
      </c>
      <c r="F121" s="379" t="s">
        <v>393</v>
      </c>
      <c r="G121" s="379" t="s">
        <v>21</v>
      </c>
      <c r="H121" s="383">
        <v>1</v>
      </c>
      <c r="I121" s="384">
        <v>1800</v>
      </c>
      <c r="J121" s="382">
        <v>45970</v>
      </c>
      <c r="K121" s="379" t="s">
        <v>957</v>
      </c>
      <c r="L121" s="379" t="s">
        <v>30</v>
      </c>
      <c r="M121" s="385">
        <v>0</v>
      </c>
      <c r="N121" s="383"/>
      <c r="O121" s="383"/>
      <c r="P121" s="384">
        <v>987.62</v>
      </c>
    </row>
    <row r="122" spans="1:16" ht="19.5" customHeight="1">
      <c r="A122" s="379" t="s">
        <v>1161</v>
      </c>
      <c r="B122" s="382">
        <v>45973</v>
      </c>
      <c r="C122" s="379" t="s">
        <v>31</v>
      </c>
      <c r="D122" s="379" t="s">
        <v>33</v>
      </c>
      <c r="E122" s="379" t="s">
        <v>228</v>
      </c>
      <c r="F122" s="379" t="s">
        <v>393</v>
      </c>
      <c r="G122" s="379" t="s">
        <v>21</v>
      </c>
      <c r="H122" s="383">
        <v>1</v>
      </c>
      <c r="I122" s="384">
        <v>1800</v>
      </c>
      <c r="J122" s="382">
        <v>45970</v>
      </c>
      <c r="K122" s="379" t="s">
        <v>957</v>
      </c>
      <c r="L122" s="379" t="s">
        <v>30</v>
      </c>
      <c r="M122" s="385">
        <v>0</v>
      </c>
      <c r="N122" s="383"/>
      <c r="O122" s="383"/>
      <c r="P122" s="384">
        <v>9.8800000000000008</v>
      </c>
    </row>
    <row r="123" spans="1:16" ht="19.5" customHeight="1">
      <c r="A123" s="379" t="s">
        <v>1161</v>
      </c>
      <c r="B123" s="382">
        <v>45973</v>
      </c>
      <c r="C123" s="379" t="s">
        <v>31</v>
      </c>
      <c r="D123" s="379" t="s">
        <v>34</v>
      </c>
      <c r="E123" s="379" t="s">
        <v>228</v>
      </c>
      <c r="F123" s="379" t="s">
        <v>393</v>
      </c>
      <c r="G123" s="379" t="s">
        <v>21</v>
      </c>
      <c r="H123" s="383">
        <v>1</v>
      </c>
      <c r="I123" s="384">
        <v>1800</v>
      </c>
      <c r="J123" s="382">
        <v>45970</v>
      </c>
      <c r="K123" s="379" t="s">
        <v>957</v>
      </c>
      <c r="L123" s="379" t="s">
        <v>30</v>
      </c>
      <c r="M123" s="385">
        <v>0</v>
      </c>
      <c r="N123" s="383"/>
      <c r="O123" s="383"/>
      <c r="P123" s="386">
        <v>802.5</v>
      </c>
    </row>
    <row r="124" spans="1:16" ht="19.5" customHeight="1">
      <c r="A124" s="379" t="s">
        <v>1161</v>
      </c>
      <c r="B124" s="382">
        <v>45973</v>
      </c>
      <c r="C124" s="379" t="s">
        <v>35</v>
      </c>
      <c r="D124" s="379" t="s">
        <v>36</v>
      </c>
      <c r="E124" s="379" t="s">
        <v>228</v>
      </c>
      <c r="F124" s="379" t="s">
        <v>393</v>
      </c>
      <c r="G124" s="379" t="s">
        <v>21</v>
      </c>
      <c r="H124" s="383">
        <v>1</v>
      </c>
      <c r="I124" s="384">
        <v>1800</v>
      </c>
      <c r="J124" s="382">
        <v>45970</v>
      </c>
      <c r="K124" s="379" t="s">
        <v>957</v>
      </c>
      <c r="L124" s="379" t="s">
        <v>30</v>
      </c>
      <c r="M124" s="385">
        <v>0.38</v>
      </c>
      <c r="N124" s="383"/>
      <c r="O124" s="383"/>
      <c r="P124" s="384">
        <v>-684</v>
      </c>
    </row>
    <row r="125" spans="1:16" ht="19.5" customHeight="1">
      <c r="A125" s="379" t="s">
        <v>1102</v>
      </c>
      <c r="B125" s="382">
        <v>45973</v>
      </c>
      <c r="C125" s="379" t="s">
        <v>28</v>
      </c>
      <c r="D125" s="379" t="s">
        <v>60</v>
      </c>
      <c r="E125" s="379" t="s">
        <v>43</v>
      </c>
      <c r="F125" s="379" t="s">
        <v>44</v>
      </c>
      <c r="G125" s="379" t="s">
        <v>1133</v>
      </c>
      <c r="H125" s="383">
        <v>1</v>
      </c>
      <c r="I125" s="384">
        <v>0</v>
      </c>
      <c r="J125" s="382">
        <v>45967</v>
      </c>
      <c r="K125" s="379" t="s">
        <v>957</v>
      </c>
      <c r="L125" s="379" t="s">
        <v>30</v>
      </c>
      <c r="M125" s="385">
        <v>0</v>
      </c>
      <c r="N125" s="383"/>
      <c r="O125" s="383"/>
      <c r="P125" s="384">
        <v>0</v>
      </c>
    </row>
    <row r="126" spans="1:16" ht="19.5" customHeight="1">
      <c r="A126" s="379" t="s">
        <v>1102</v>
      </c>
      <c r="B126" s="382">
        <v>45973</v>
      </c>
      <c r="C126" s="379" t="s">
        <v>28</v>
      </c>
      <c r="D126" s="379" t="s">
        <v>46</v>
      </c>
      <c r="E126" s="379" t="s">
        <v>43</v>
      </c>
      <c r="F126" s="379" t="s">
        <v>44</v>
      </c>
      <c r="G126" s="379" t="s">
        <v>1133</v>
      </c>
      <c r="H126" s="383">
        <v>1</v>
      </c>
      <c r="I126" s="384">
        <v>0</v>
      </c>
      <c r="J126" s="382">
        <v>45967</v>
      </c>
      <c r="K126" s="379" t="s">
        <v>957</v>
      </c>
      <c r="L126" s="379" t="s">
        <v>30</v>
      </c>
      <c r="M126" s="385">
        <v>0</v>
      </c>
      <c r="N126" s="383"/>
      <c r="O126" s="383"/>
      <c r="P126" s="384">
        <v>-56</v>
      </c>
    </row>
    <row r="127" spans="1:16" ht="19.5" customHeight="1">
      <c r="A127" s="379" t="s">
        <v>1102</v>
      </c>
      <c r="B127" s="382">
        <v>45973</v>
      </c>
      <c r="C127" s="379" t="s">
        <v>17</v>
      </c>
      <c r="D127" s="379" t="s">
        <v>47</v>
      </c>
      <c r="E127" s="379" t="s">
        <v>43</v>
      </c>
      <c r="F127" s="379" t="s">
        <v>44</v>
      </c>
      <c r="G127" s="379" t="s">
        <v>1133</v>
      </c>
      <c r="H127" s="383">
        <v>1</v>
      </c>
      <c r="I127" s="384">
        <v>0</v>
      </c>
      <c r="J127" s="382">
        <v>45967</v>
      </c>
      <c r="K127" s="379" t="s">
        <v>957</v>
      </c>
      <c r="L127" s="379" t="s">
        <v>30</v>
      </c>
      <c r="M127" s="385">
        <v>0</v>
      </c>
      <c r="N127" s="383"/>
      <c r="O127" s="383"/>
      <c r="P127" s="384">
        <v>-15</v>
      </c>
    </row>
    <row r="128" spans="1:16" ht="19.5" customHeight="1">
      <c r="A128" s="379" t="s">
        <v>1100</v>
      </c>
      <c r="B128" s="382">
        <v>45973</v>
      </c>
      <c r="C128" s="379" t="s">
        <v>28</v>
      </c>
      <c r="D128" s="379" t="s">
        <v>60</v>
      </c>
      <c r="E128" s="379" t="s">
        <v>242</v>
      </c>
      <c r="F128" s="379" t="s">
        <v>1101</v>
      </c>
      <c r="G128" s="379" t="s">
        <v>1133</v>
      </c>
      <c r="H128" s="383">
        <v>1</v>
      </c>
      <c r="I128" s="384">
        <v>0</v>
      </c>
      <c r="J128" s="382">
        <v>45967</v>
      </c>
      <c r="K128" s="379" t="s">
        <v>957</v>
      </c>
      <c r="L128" s="379" t="s">
        <v>30</v>
      </c>
      <c r="M128" s="385">
        <v>0</v>
      </c>
      <c r="N128" s="383"/>
      <c r="O128" s="383"/>
      <c r="P128" s="384">
        <v>0</v>
      </c>
    </row>
    <row r="129" spans="1:16" ht="19.5" customHeight="1">
      <c r="A129" s="379" t="s">
        <v>1100</v>
      </c>
      <c r="B129" s="382">
        <v>45973</v>
      </c>
      <c r="C129" s="379" t="s">
        <v>28</v>
      </c>
      <c r="D129" s="379" t="s">
        <v>46</v>
      </c>
      <c r="E129" s="379" t="s">
        <v>242</v>
      </c>
      <c r="F129" s="379" t="s">
        <v>1101</v>
      </c>
      <c r="G129" s="379" t="s">
        <v>1133</v>
      </c>
      <c r="H129" s="383">
        <v>1</v>
      </c>
      <c r="I129" s="384">
        <v>0</v>
      </c>
      <c r="J129" s="382">
        <v>45967</v>
      </c>
      <c r="K129" s="379" t="s">
        <v>957</v>
      </c>
      <c r="L129" s="379" t="s">
        <v>30</v>
      </c>
      <c r="M129" s="385">
        <v>0</v>
      </c>
      <c r="N129" s="383"/>
      <c r="O129" s="383"/>
      <c r="P129" s="384">
        <v>-56</v>
      </c>
    </row>
    <row r="130" spans="1:16" ht="19.5" customHeight="1">
      <c r="A130" s="379" t="s">
        <v>1100</v>
      </c>
      <c r="B130" s="382">
        <v>45973</v>
      </c>
      <c r="C130" s="379" t="s">
        <v>17</v>
      </c>
      <c r="D130" s="379" t="s">
        <v>47</v>
      </c>
      <c r="E130" s="379" t="s">
        <v>242</v>
      </c>
      <c r="F130" s="379" t="s">
        <v>1101</v>
      </c>
      <c r="G130" s="379" t="s">
        <v>1133</v>
      </c>
      <c r="H130" s="383">
        <v>1</v>
      </c>
      <c r="I130" s="384">
        <v>0</v>
      </c>
      <c r="J130" s="382">
        <v>45967</v>
      </c>
      <c r="K130" s="379" t="s">
        <v>957</v>
      </c>
      <c r="L130" s="379" t="s">
        <v>30</v>
      </c>
      <c r="M130" s="385">
        <v>0</v>
      </c>
      <c r="N130" s="383"/>
      <c r="O130" s="383"/>
      <c r="P130" s="384">
        <v>-15</v>
      </c>
    </row>
    <row r="131" spans="1:16" ht="19.5" customHeight="1">
      <c r="A131" s="379" t="s">
        <v>1162</v>
      </c>
      <c r="B131" s="382">
        <v>45973</v>
      </c>
      <c r="C131" s="379" t="s">
        <v>17</v>
      </c>
      <c r="D131" s="379" t="s">
        <v>18</v>
      </c>
      <c r="E131" s="379" t="s">
        <v>223</v>
      </c>
      <c r="F131" s="379" t="s">
        <v>395</v>
      </c>
      <c r="G131" s="379" t="s">
        <v>21</v>
      </c>
      <c r="H131" s="383">
        <v>1</v>
      </c>
      <c r="I131" s="384">
        <v>0</v>
      </c>
      <c r="J131" s="382">
        <v>45973</v>
      </c>
      <c r="K131" s="379" t="s">
        <v>22</v>
      </c>
      <c r="L131" s="379" t="s">
        <v>22</v>
      </c>
      <c r="M131" s="385">
        <v>0</v>
      </c>
      <c r="N131" s="383"/>
      <c r="O131" s="383"/>
      <c r="P131" s="384">
        <v>-14.44</v>
      </c>
    </row>
    <row r="132" spans="1:16" ht="19.5" customHeight="1">
      <c r="A132" s="379" t="s">
        <v>1161</v>
      </c>
      <c r="B132" s="382">
        <v>45973</v>
      </c>
      <c r="C132" s="379" t="s">
        <v>17</v>
      </c>
      <c r="D132" s="379" t="s">
        <v>18</v>
      </c>
      <c r="E132" s="379" t="s">
        <v>228</v>
      </c>
      <c r="F132" s="379" t="s">
        <v>393</v>
      </c>
      <c r="G132" s="379" t="s">
        <v>21</v>
      </c>
      <c r="H132" s="383">
        <v>1</v>
      </c>
      <c r="I132" s="384">
        <v>0</v>
      </c>
      <c r="J132" s="382">
        <v>45970</v>
      </c>
      <c r="K132" s="379" t="s">
        <v>22</v>
      </c>
      <c r="L132" s="379" t="s">
        <v>22</v>
      </c>
      <c r="M132" s="385">
        <v>0</v>
      </c>
      <c r="N132" s="383"/>
      <c r="O132" s="383"/>
      <c r="P132" s="384">
        <v>-18.760000000000002</v>
      </c>
    </row>
    <row r="133" spans="1:16" ht="19.5" customHeight="1">
      <c r="A133" s="379" t="s">
        <v>1163</v>
      </c>
      <c r="B133" s="382">
        <v>45973</v>
      </c>
      <c r="C133" s="379" t="s">
        <v>28</v>
      </c>
      <c r="D133" s="379" t="s">
        <v>29</v>
      </c>
      <c r="E133" s="379" t="s">
        <v>223</v>
      </c>
      <c r="F133" s="379" t="s">
        <v>395</v>
      </c>
      <c r="G133" s="379" t="s">
        <v>21</v>
      </c>
      <c r="H133" s="383">
        <v>1</v>
      </c>
      <c r="I133" s="384">
        <v>1687</v>
      </c>
      <c r="J133" s="382">
        <v>45971</v>
      </c>
      <c r="K133" s="379" t="s">
        <v>957</v>
      </c>
      <c r="L133" s="379" t="s">
        <v>30</v>
      </c>
      <c r="M133" s="385">
        <v>0.43</v>
      </c>
      <c r="N133" s="383"/>
      <c r="O133" s="383"/>
      <c r="P133" s="384">
        <v>-46</v>
      </c>
    </row>
    <row r="134" spans="1:16" ht="19.5" customHeight="1">
      <c r="A134" s="379" t="s">
        <v>1163</v>
      </c>
      <c r="B134" s="382">
        <v>45973</v>
      </c>
      <c r="C134" s="379" t="s">
        <v>31</v>
      </c>
      <c r="D134" s="379" t="s">
        <v>32</v>
      </c>
      <c r="E134" s="379" t="s">
        <v>223</v>
      </c>
      <c r="F134" s="379" t="s">
        <v>395</v>
      </c>
      <c r="G134" s="379" t="s">
        <v>21</v>
      </c>
      <c r="H134" s="383">
        <v>1</v>
      </c>
      <c r="I134" s="384">
        <v>1687</v>
      </c>
      <c r="J134" s="382">
        <v>45971</v>
      </c>
      <c r="K134" s="379" t="s">
        <v>957</v>
      </c>
      <c r="L134" s="379" t="s">
        <v>30</v>
      </c>
      <c r="M134" s="385">
        <v>0</v>
      </c>
      <c r="N134" s="383"/>
      <c r="O134" s="383"/>
      <c r="P134" s="384">
        <v>860.95</v>
      </c>
    </row>
    <row r="135" spans="1:16" ht="19.5" customHeight="1">
      <c r="A135" s="379" t="s">
        <v>1163</v>
      </c>
      <c r="B135" s="382">
        <v>45973</v>
      </c>
      <c r="C135" s="379" t="s">
        <v>31</v>
      </c>
      <c r="D135" s="379" t="s">
        <v>33</v>
      </c>
      <c r="E135" s="379" t="s">
        <v>223</v>
      </c>
      <c r="F135" s="379" t="s">
        <v>395</v>
      </c>
      <c r="G135" s="379" t="s">
        <v>21</v>
      </c>
      <c r="H135" s="383">
        <v>1</v>
      </c>
      <c r="I135" s="384">
        <v>1687</v>
      </c>
      <c r="J135" s="382">
        <v>45971</v>
      </c>
      <c r="K135" s="379" t="s">
        <v>957</v>
      </c>
      <c r="L135" s="379" t="s">
        <v>30</v>
      </c>
      <c r="M135" s="385">
        <v>0</v>
      </c>
      <c r="N135" s="383"/>
      <c r="O135" s="383"/>
      <c r="P135" s="384">
        <v>8.61</v>
      </c>
    </row>
    <row r="136" spans="1:16" ht="19.5" customHeight="1">
      <c r="A136" s="379" t="s">
        <v>1163</v>
      </c>
      <c r="B136" s="382">
        <v>45973</v>
      </c>
      <c r="C136" s="379" t="s">
        <v>31</v>
      </c>
      <c r="D136" s="379" t="s">
        <v>34</v>
      </c>
      <c r="E136" s="379" t="s">
        <v>223</v>
      </c>
      <c r="F136" s="379" t="s">
        <v>395</v>
      </c>
      <c r="G136" s="379" t="s">
        <v>21</v>
      </c>
      <c r="H136" s="383">
        <v>1</v>
      </c>
      <c r="I136" s="384">
        <v>1687</v>
      </c>
      <c r="J136" s="382">
        <v>45971</v>
      </c>
      <c r="K136" s="379" t="s">
        <v>957</v>
      </c>
      <c r="L136" s="379" t="s">
        <v>30</v>
      </c>
      <c r="M136" s="385">
        <v>0</v>
      </c>
      <c r="N136" s="383"/>
      <c r="O136" s="383"/>
      <c r="P136" s="386">
        <v>817.44</v>
      </c>
    </row>
    <row r="137" spans="1:16" ht="19.5" customHeight="1">
      <c r="A137" s="379" t="s">
        <v>1163</v>
      </c>
      <c r="B137" s="382">
        <v>45973</v>
      </c>
      <c r="C137" s="379" t="s">
        <v>35</v>
      </c>
      <c r="D137" s="379" t="s">
        <v>36</v>
      </c>
      <c r="E137" s="379" t="s">
        <v>223</v>
      </c>
      <c r="F137" s="379" t="s">
        <v>395</v>
      </c>
      <c r="G137" s="379" t="s">
        <v>21</v>
      </c>
      <c r="H137" s="383">
        <v>1</v>
      </c>
      <c r="I137" s="384">
        <v>1687</v>
      </c>
      <c r="J137" s="382">
        <v>45971</v>
      </c>
      <c r="K137" s="379" t="s">
        <v>957</v>
      </c>
      <c r="L137" s="379" t="s">
        <v>30</v>
      </c>
      <c r="M137" s="385">
        <v>0.43</v>
      </c>
      <c r="N137" s="383"/>
      <c r="O137" s="383"/>
      <c r="P137" s="384">
        <v>-725.41</v>
      </c>
    </row>
    <row r="138" spans="1:16" ht="19.5" customHeight="1">
      <c r="A138" s="379" t="s">
        <v>1163</v>
      </c>
      <c r="B138" s="382">
        <v>45973</v>
      </c>
      <c r="C138" s="379" t="s">
        <v>17</v>
      </c>
      <c r="D138" s="379" t="s">
        <v>37</v>
      </c>
      <c r="E138" s="379" t="s">
        <v>223</v>
      </c>
      <c r="F138" s="379" t="s">
        <v>395</v>
      </c>
      <c r="G138" s="379" t="s">
        <v>21</v>
      </c>
      <c r="H138" s="383">
        <v>1</v>
      </c>
      <c r="I138" s="384">
        <v>1687</v>
      </c>
      <c r="J138" s="382">
        <v>45971</v>
      </c>
      <c r="K138" s="379" t="s">
        <v>957</v>
      </c>
      <c r="L138" s="379" t="s">
        <v>30</v>
      </c>
      <c r="M138" s="385">
        <v>0.43</v>
      </c>
      <c r="N138" s="383"/>
      <c r="O138" s="383"/>
      <c r="P138" s="384">
        <v>-8.84</v>
      </c>
    </row>
    <row r="139" spans="1:16" ht="19.5" customHeight="1">
      <c r="A139" s="379" t="s">
        <v>1163</v>
      </c>
      <c r="B139" s="382">
        <v>45973</v>
      </c>
      <c r="C139" s="379" t="s">
        <v>17</v>
      </c>
      <c r="D139" s="379" t="s">
        <v>18</v>
      </c>
      <c r="E139" s="379" t="s">
        <v>223</v>
      </c>
      <c r="F139" s="379" t="s">
        <v>395</v>
      </c>
      <c r="G139" s="379" t="s">
        <v>21</v>
      </c>
      <c r="H139" s="383">
        <v>1</v>
      </c>
      <c r="I139" s="384">
        <v>0</v>
      </c>
      <c r="J139" s="382">
        <v>45971</v>
      </c>
      <c r="K139" s="379" t="s">
        <v>22</v>
      </c>
      <c r="L139" s="379" t="s">
        <v>22</v>
      </c>
      <c r="M139" s="385">
        <v>0</v>
      </c>
      <c r="N139" s="383"/>
      <c r="O139" s="383"/>
      <c r="P139" s="384">
        <v>-16.36</v>
      </c>
    </row>
    <row r="140" spans="1:16" ht="19.5" customHeight="1">
      <c r="A140" s="379" t="s">
        <v>1122</v>
      </c>
      <c r="B140" s="382">
        <v>45973</v>
      </c>
      <c r="C140" s="379" t="s">
        <v>126</v>
      </c>
      <c r="D140" s="379" t="s">
        <v>127</v>
      </c>
      <c r="E140" s="379" t="s">
        <v>88</v>
      </c>
      <c r="F140" s="379" t="s">
        <v>89</v>
      </c>
      <c r="G140" s="379" t="s">
        <v>21</v>
      </c>
      <c r="H140" s="383">
        <v>1</v>
      </c>
      <c r="I140" s="384">
        <v>-1364</v>
      </c>
      <c r="J140" s="382">
        <v>45965</v>
      </c>
      <c r="K140" s="379" t="s">
        <v>957</v>
      </c>
      <c r="L140" s="379" t="s">
        <v>30</v>
      </c>
      <c r="M140" s="385">
        <v>0</v>
      </c>
      <c r="N140" s="383"/>
      <c r="O140" s="383"/>
      <c r="P140" s="384">
        <v>-695.24</v>
      </c>
    </row>
    <row r="141" spans="1:16" ht="19.5" customHeight="1">
      <c r="A141" s="379" t="s">
        <v>1122</v>
      </c>
      <c r="B141" s="382">
        <v>45973</v>
      </c>
      <c r="C141" s="379" t="s">
        <v>126</v>
      </c>
      <c r="D141" s="379" t="s">
        <v>33</v>
      </c>
      <c r="E141" s="379" t="s">
        <v>88</v>
      </c>
      <c r="F141" s="379" t="s">
        <v>89</v>
      </c>
      <c r="G141" s="379" t="s">
        <v>21</v>
      </c>
      <c r="H141" s="383">
        <v>1</v>
      </c>
      <c r="I141" s="384">
        <v>-1364</v>
      </c>
      <c r="J141" s="382">
        <v>45965</v>
      </c>
      <c r="K141" s="379" t="s">
        <v>957</v>
      </c>
      <c r="L141" s="379" t="s">
        <v>30</v>
      </c>
      <c r="M141" s="385">
        <v>0</v>
      </c>
      <c r="N141" s="383"/>
      <c r="O141" s="383"/>
      <c r="P141" s="384">
        <v>-6.95</v>
      </c>
    </row>
    <row r="142" spans="1:16" ht="19.5" customHeight="1">
      <c r="A142" s="379" t="s">
        <v>1122</v>
      </c>
      <c r="B142" s="382">
        <v>45973</v>
      </c>
      <c r="C142" s="379" t="s">
        <v>126</v>
      </c>
      <c r="D142" s="379" t="s">
        <v>34</v>
      </c>
      <c r="E142" s="379" t="s">
        <v>88</v>
      </c>
      <c r="F142" s="379" t="s">
        <v>89</v>
      </c>
      <c r="G142" s="379" t="s">
        <v>21</v>
      </c>
      <c r="H142" s="383">
        <v>1</v>
      </c>
      <c r="I142" s="384">
        <v>-1364</v>
      </c>
      <c r="J142" s="382">
        <v>45965</v>
      </c>
      <c r="K142" s="379" t="s">
        <v>957</v>
      </c>
      <c r="L142" s="379" t="s">
        <v>30</v>
      </c>
      <c r="M142" s="385">
        <v>0</v>
      </c>
      <c r="N142" s="383"/>
      <c r="O142" s="383"/>
      <c r="P142" s="386">
        <v>-661.81</v>
      </c>
    </row>
    <row r="143" spans="1:16" ht="19.5" customHeight="1">
      <c r="A143" s="379" t="s">
        <v>1122</v>
      </c>
      <c r="B143" s="382">
        <v>45973</v>
      </c>
      <c r="C143" s="379" t="s">
        <v>35</v>
      </c>
      <c r="D143" s="379" t="s">
        <v>128</v>
      </c>
      <c r="E143" s="379" t="s">
        <v>88</v>
      </c>
      <c r="F143" s="379" t="s">
        <v>89</v>
      </c>
      <c r="G143" s="379" t="s">
        <v>21</v>
      </c>
      <c r="H143" s="383">
        <v>1</v>
      </c>
      <c r="I143" s="384">
        <v>-1364</v>
      </c>
      <c r="J143" s="382">
        <v>45965</v>
      </c>
      <c r="K143" s="379" t="s">
        <v>957</v>
      </c>
      <c r="L143" s="379" t="s">
        <v>30</v>
      </c>
      <c r="M143" s="385">
        <v>0.38</v>
      </c>
      <c r="N143" s="383"/>
      <c r="O143" s="383"/>
      <c r="P143" s="384">
        <v>518.32000000000005</v>
      </c>
    </row>
    <row r="144" spans="1:16" ht="19.5" customHeight="1">
      <c r="A144" s="379" t="s">
        <v>1164</v>
      </c>
      <c r="B144" s="382">
        <v>45973</v>
      </c>
      <c r="C144" s="379" t="s">
        <v>28</v>
      </c>
      <c r="D144" s="379" t="s">
        <v>29</v>
      </c>
      <c r="E144" s="379" t="s">
        <v>25</v>
      </c>
      <c r="F144" s="379" t="s">
        <v>26</v>
      </c>
      <c r="G144" s="379" t="s">
        <v>21</v>
      </c>
      <c r="H144" s="383">
        <v>1</v>
      </c>
      <c r="I144" s="384">
        <v>1117</v>
      </c>
      <c r="J144" s="382">
        <v>45972</v>
      </c>
      <c r="K144" s="379" t="s">
        <v>957</v>
      </c>
      <c r="L144" s="379" t="s">
        <v>30</v>
      </c>
      <c r="M144" s="385">
        <v>0.43</v>
      </c>
      <c r="N144" s="383"/>
      <c r="O144" s="383"/>
      <c r="P144" s="384">
        <v>-46</v>
      </c>
    </row>
    <row r="145" spans="1:16" ht="19.5" customHeight="1">
      <c r="A145" s="379" t="s">
        <v>1164</v>
      </c>
      <c r="B145" s="382">
        <v>45973</v>
      </c>
      <c r="C145" s="379" t="s">
        <v>31</v>
      </c>
      <c r="D145" s="379" t="s">
        <v>32</v>
      </c>
      <c r="E145" s="379" t="s">
        <v>25</v>
      </c>
      <c r="F145" s="379" t="s">
        <v>26</v>
      </c>
      <c r="G145" s="379" t="s">
        <v>21</v>
      </c>
      <c r="H145" s="383">
        <v>1</v>
      </c>
      <c r="I145" s="384">
        <v>1117</v>
      </c>
      <c r="J145" s="382">
        <v>45972</v>
      </c>
      <c r="K145" s="379" t="s">
        <v>957</v>
      </c>
      <c r="L145" s="379" t="s">
        <v>30</v>
      </c>
      <c r="M145" s="385">
        <v>0</v>
      </c>
      <c r="N145" s="383"/>
      <c r="O145" s="383"/>
      <c r="P145" s="384">
        <v>425.31</v>
      </c>
    </row>
    <row r="146" spans="1:16" ht="19.5" customHeight="1">
      <c r="A146" s="379" t="s">
        <v>1164</v>
      </c>
      <c r="B146" s="382">
        <v>45973</v>
      </c>
      <c r="C146" s="379" t="s">
        <v>31</v>
      </c>
      <c r="D146" s="379" t="s">
        <v>33</v>
      </c>
      <c r="E146" s="379" t="s">
        <v>25</v>
      </c>
      <c r="F146" s="379" t="s">
        <v>26</v>
      </c>
      <c r="G146" s="379" t="s">
        <v>21</v>
      </c>
      <c r="H146" s="383">
        <v>1</v>
      </c>
      <c r="I146" s="384">
        <v>1117</v>
      </c>
      <c r="J146" s="382">
        <v>45972</v>
      </c>
      <c r="K146" s="379" t="s">
        <v>957</v>
      </c>
      <c r="L146" s="379" t="s">
        <v>30</v>
      </c>
      <c r="M146" s="385">
        <v>0</v>
      </c>
      <c r="N146" s="383"/>
      <c r="O146" s="383"/>
      <c r="P146" s="384">
        <v>4.25</v>
      </c>
    </row>
    <row r="147" spans="1:16" ht="19.5" customHeight="1">
      <c r="A147" s="379" t="s">
        <v>1164</v>
      </c>
      <c r="B147" s="382">
        <v>45973</v>
      </c>
      <c r="C147" s="379" t="s">
        <v>31</v>
      </c>
      <c r="D147" s="379" t="s">
        <v>34</v>
      </c>
      <c r="E147" s="379" t="s">
        <v>25</v>
      </c>
      <c r="F147" s="379" t="s">
        <v>26</v>
      </c>
      <c r="G147" s="379" t="s">
        <v>21</v>
      </c>
      <c r="H147" s="383">
        <v>1</v>
      </c>
      <c r="I147" s="384">
        <v>1117</v>
      </c>
      <c r="J147" s="382">
        <v>45972</v>
      </c>
      <c r="K147" s="379" t="s">
        <v>957</v>
      </c>
      <c r="L147" s="379" t="s">
        <v>30</v>
      </c>
      <c r="M147" s="385">
        <v>0</v>
      </c>
      <c r="N147" s="383"/>
      <c r="O147" s="383"/>
      <c r="P147" s="386">
        <v>687.44</v>
      </c>
    </row>
    <row r="148" spans="1:16" ht="19.5" customHeight="1">
      <c r="A148" s="379" t="s">
        <v>1164</v>
      </c>
      <c r="B148" s="382">
        <v>45973</v>
      </c>
      <c r="C148" s="379" t="s">
        <v>35</v>
      </c>
      <c r="D148" s="379" t="s">
        <v>36</v>
      </c>
      <c r="E148" s="379" t="s">
        <v>25</v>
      </c>
      <c r="F148" s="379" t="s">
        <v>26</v>
      </c>
      <c r="G148" s="379" t="s">
        <v>21</v>
      </c>
      <c r="H148" s="383">
        <v>1</v>
      </c>
      <c r="I148" s="384">
        <v>1117</v>
      </c>
      <c r="J148" s="382">
        <v>45972</v>
      </c>
      <c r="K148" s="379" t="s">
        <v>957</v>
      </c>
      <c r="L148" s="379" t="s">
        <v>30</v>
      </c>
      <c r="M148" s="385">
        <v>0.43</v>
      </c>
      <c r="N148" s="383"/>
      <c r="O148" s="383"/>
      <c r="P148" s="384">
        <v>-480.31</v>
      </c>
    </row>
    <row r="149" spans="1:16" ht="19.5" customHeight="1">
      <c r="A149" s="379" t="s">
        <v>1164</v>
      </c>
      <c r="B149" s="382">
        <v>45973</v>
      </c>
      <c r="C149" s="379" t="s">
        <v>17</v>
      </c>
      <c r="D149" s="379" t="s">
        <v>37</v>
      </c>
      <c r="E149" s="379" t="s">
        <v>25</v>
      </c>
      <c r="F149" s="379" t="s">
        <v>26</v>
      </c>
      <c r="G149" s="379" t="s">
        <v>21</v>
      </c>
      <c r="H149" s="383">
        <v>1</v>
      </c>
      <c r="I149" s="384">
        <v>1117</v>
      </c>
      <c r="J149" s="382">
        <v>45972</v>
      </c>
      <c r="K149" s="379" t="s">
        <v>957</v>
      </c>
      <c r="L149" s="379" t="s">
        <v>30</v>
      </c>
      <c r="M149" s="385">
        <v>0.43</v>
      </c>
      <c r="N149" s="383"/>
      <c r="O149" s="383"/>
      <c r="P149" s="384">
        <v>-5.93</v>
      </c>
    </row>
    <row r="150" spans="1:16" ht="19.5" customHeight="1">
      <c r="A150" s="379" t="s">
        <v>1122</v>
      </c>
      <c r="B150" s="382">
        <v>45973</v>
      </c>
      <c r="C150" s="379" t="s">
        <v>17</v>
      </c>
      <c r="D150" s="379" t="s">
        <v>18</v>
      </c>
      <c r="E150" s="379" t="s">
        <v>88</v>
      </c>
      <c r="F150" s="379" t="s">
        <v>89</v>
      </c>
      <c r="G150" s="379" t="s">
        <v>21</v>
      </c>
      <c r="H150" s="383">
        <v>1</v>
      </c>
      <c r="I150" s="384">
        <v>0</v>
      </c>
      <c r="J150" s="382">
        <v>45965</v>
      </c>
      <c r="K150" s="379" t="s">
        <v>22</v>
      </c>
      <c r="L150" s="379" t="s">
        <v>22</v>
      </c>
      <c r="M150" s="385">
        <v>0</v>
      </c>
      <c r="N150" s="383"/>
      <c r="O150" s="383"/>
      <c r="P150" s="384">
        <v>13.21</v>
      </c>
    </row>
    <row r="151" spans="1:16" ht="19.5" customHeight="1">
      <c r="A151" s="379" t="s">
        <v>958</v>
      </c>
      <c r="B151" s="382">
        <v>45973</v>
      </c>
      <c r="C151" s="379" t="s">
        <v>17</v>
      </c>
      <c r="D151" s="379" t="s">
        <v>18</v>
      </c>
      <c r="E151" s="379" t="s">
        <v>171</v>
      </c>
      <c r="F151" s="379" t="s">
        <v>172</v>
      </c>
      <c r="G151" s="379" t="s">
        <v>1133</v>
      </c>
      <c r="H151" s="383">
        <v>1</v>
      </c>
      <c r="I151" s="384">
        <v>0</v>
      </c>
      <c r="J151" s="382">
        <v>45957</v>
      </c>
      <c r="K151" s="379" t="s">
        <v>22</v>
      </c>
      <c r="L151" s="379" t="s">
        <v>22</v>
      </c>
      <c r="M151" s="385">
        <v>0</v>
      </c>
      <c r="N151" s="383"/>
      <c r="O151" s="383"/>
      <c r="P151" s="384">
        <v>54.03</v>
      </c>
    </row>
    <row r="152" spans="1:16" ht="19.5" customHeight="1">
      <c r="A152" s="379" t="s">
        <v>1165</v>
      </c>
      <c r="B152" s="382">
        <v>45973</v>
      </c>
      <c r="C152" s="379" t="s">
        <v>28</v>
      </c>
      <c r="D152" s="379" t="s">
        <v>29</v>
      </c>
      <c r="E152" s="379" t="s">
        <v>51</v>
      </c>
      <c r="F152" s="379" t="s">
        <v>52</v>
      </c>
      <c r="G152" s="379" t="s">
        <v>1133</v>
      </c>
      <c r="H152" s="383">
        <v>1</v>
      </c>
      <c r="I152" s="384">
        <v>5500</v>
      </c>
      <c r="J152" s="382">
        <v>45972</v>
      </c>
      <c r="K152" s="379" t="s">
        <v>957</v>
      </c>
      <c r="L152" s="379" t="s">
        <v>30</v>
      </c>
      <c r="M152" s="385">
        <v>0.43</v>
      </c>
      <c r="N152" s="383"/>
      <c r="O152" s="383"/>
      <c r="P152" s="384">
        <v>-56</v>
      </c>
    </row>
    <row r="153" spans="1:16" ht="19.5" customHeight="1">
      <c r="A153" s="379" t="s">
        <v>1165</v>
      </c>
      <c r="B153" s="382">
        <v>45973</v>
      </c>
      <c r="C153" s="379" t="s">
        <v>31</v>
      </c>
      <c r="D153" s="379" t="s">
        <v>32</v>
      </c>
      <c r="E153" s="379" t="s">
        <v>51</v>
      </c>
      <c r="F153" s="379" t="s">
        <v>52</v>
      </c>
      <c r="G153" s="379" t="s">
        <v>1133</v>
      </c>
      <c r="H153" s="383">
        <v>1</v>
      </c>
      <c r="I153" s="384">
        <v>5500</v>
      </c>
      <c r="J153" s="382">
        <v>45972</v>
      </c>
      <c r="K153" s="379" t="s">
        <v>957</v>
      </c>
      <c r="L153" s="379" t="s">
        <v>30</v>
      </c>
      <c r="M153" s="385">
        <v>0</v>
      </c>
      <c r="N153" s="383"/>
      <c r="O153" s="383"/>
      <c r="P153" s="384">
        <v>2406.67</v>
      </c>
    </row>
    <row r="154" spans="1:16" ht="19.5" customHeight="1">
      <c r="A154" s="379" t="s">
        <v>1165</v>
      </c>
      <c r="B154" s="382">
        <v>45973</v>
      </c>
      <c r="C154" s="379" t="s">
        <v>31</v>
      </c>
      <c r="D154" s="379" t="s">
        <v>33</v>
      </c>
      <c r="E154" s="379" t="s">
        <v>51</v>
      </c>
      <c r="F154" s="379" t="s">
        <v>52</v>
      </c>
      <c r="G154" s="379" t="s">
        <v>1133</v>
      </c>
      <c r="H154" s="383">
        <v>1</v>
      </c>
      <c r="I154" s="384">
        <v>5500</v>
      </c>
      <c r="J154" s="382">
        <v>45972</v>
      </c>
      <c r="K154" s="379" t="s">
        <v>957</v>
      </c>
      <c r="L154" s="379" t="s">
        <v>30</v>
      </c>
      <c r="M154" s="385">
        <v>0</v>
      </c>
      <c r="N154" s="383"/>
      <c r="O154" s="383"/>
      <c r="P154" s="384">
        <v>24.07</v>
      </c>
    </row>
    <row r="155" spans="1:16" ht="19.5" customHeight="1">
      <c r="A155" s="379" t="s">
        <v>1165</v>
      </c>
      <c r="B155" s="382">
        <v>45973</v>
      </c>
      <c r="C155" s="379" t="s">
        <v>31</v>
      </c>
      <c r="D155" s="379" t="s">
        <v>34</v>
      </c>
      <c r="E155" s="379" t="s">
        <v>51</v>
      </c>
      <c r="F155" s="379" t="s">
        <v>52</v>
      </c>
      <c r="G155" s="379" t="s">
        <v>1133</v>
      </c>
      <c r="H155" s="383">
        <v>1</v>
      </c>
      <c r="I155" s="384">
        <v>5500</v>
      </c>
      <c r="J155" s="382">
        <v>45972</v>
      </c>
      <c r="K155" s="379" t="s">
        <v>957</v>
      </c>
      <c r="L155" s="379" t="s">
        <v>30</v>
      </c>
      <c r="M155" s="385">
        <v>0</v>
      </c>
      <c r="N155" s="383"/>
      <c r="O155" s="383"/>
      <c r="P155" s="386">
        <v>3069.26</v>
      </c>
    </row>
    <row r="156" spans="1:16" ht="19.5" customHeight="1">
      <c r="A156" s="379" t="s">
        <v>1165</v>
      </c>
      <c r="B156" s="382">
        <v>45973</v>
      </c>
      <c r="C156" s="379" t="s">
        <v>35</v>
      </c>
      <c r="D156" s="379" t="s">
        <v>36</v>
      </c>
      <c r="E156" s="379" t="s">
        <v>51</v>
      </c>
      <c r="F156" s="379" t="s">
        <v>52</v>
      </c>
      <c r="G156" s="379" t="s">
        <v>1133</v>
      </c>
      <c r="H156" s="383">
        <v>1</v>
      </c>
      <c r="I156" s="384">
        <v>5500</v>
      </c>
      <c r="J156" s="382">
        <v>45972</v>
      </c>
      <c r="K156" s="379" t="s">
        <v>957</v>
      </c>
      <c r="L156" s="379" t="s">
        <v>30</v>
      </c>
      <c r="M156" s="385">
        <v>0.43</v>
      </c>
      <c r="N156" s="383"/>
      <c r="O156" s="383"/>
      <c r="P156" s="384">
        <v>-2365</v>
      </c>
    </row>
    <row r="157" spans="1:16" ht="19.5" customHeight="1">
      <c r="A157" s="379" t="s">
        <v>1165</v>
      </c>
      <c r="B157" s="382">
        <v>45973</v>
      </c>
      <c r="C157" s="379" t="s">
        <v>17</v>
      </c>
      <c r="D157" s="379" t="s">
        <v>37</v>
      </c>
      <c r="E157" s="379" t="s">
        <v>51</v>
      </c>
      <c r="F157" s="379" t="s">
        <v>52</v>
      </c>
      <c r="G157" s="379" t="s">
        <v>1133</v>
      </c>
      <c r="H157" s="383">
        <v>1</v>
      </c>
      <c r="I157" s="384">
        <v>5500</v>
      </c>
      <c r="J157" s="382">
        <v>45972</v>
      </c>
      <c r="K157" s="379" t="s">
        <v>957</v>
      </c>
      <c r="L157" s="379" t="s">
        <v>30</v>
      </c>
      <c r="M157" s="385">
        <v>0.43</v>
      </c>
      <c r="N157" s="383"/>
      <c r="O157" s="383"/>
      <c r="P157" s="384">
        <v>-12.7</v>
      </c>
    </row>
    <row r="158" spans="1:16" ht="19.5" customHeight="1">
      <c r="A158" s="379" t="s">
        <v>1166</v>
      </c>
      <c r="B158" s="382">
        <v>45973</v>
      </c>
      <c r="C158" s="379" t="s">
        <v>28</v>
      </c>
      <c r="D158" s="379" t="s">
        <v>45</v>
      </c>
      <c r="E158" s="379" t="s">
        <v>62</v>
      </c>
      <c r="F158" s="379" t="s">
        <v>63</v>
      </c>
      <c r="G158" s="379" t="s">
        <v>1133</v>
      </c>
      <c r="H158" s="383">
        <v>1</v>
      </c>
      <c r="I158" s="384">
        <v>0</v>
      </c>
      <c r="J158" s="382">
        <v>45967</v>
      </c>
      <c r="K158" s="379" t="s">
        <v>957</v>
      </c>
      <c r="L158" s="379" t="s">
        <v>30</v>
      </c>
      <c r="M158" s="385">
        <v>0</v>
      </c>
      <c r="N158" s="383"/>
      <c r="O158" s="383"/>
      <c r="P158" s="384">
        <v>0</v>
      </c>
    </row>
    <row r="159" spans="1:16" ht="19.5" customHeight="1">
      <c r="A159" s="379" t="s">
        <v>1166</v>
      </c>
      <c r="B159" s="382">
        <v>45973</v>
      </c>
      <c r="C159" s="379" t="s">
        <v>28</v>
      </c>
      <c r="D159" s="379" t="s">
        <v>46</v>
      </c>
      <c r="E159" s="379" t="s">
        <v>62</v>
      </c>
      <c r="F159" s="379" t="s">
        <v>63</v>
      </c>
      <c r="G159" s="379" t="s">
        <v>1133</v>
      </c>
      <c r="H159" s="383">
        <v>1</v>
      </c>
      <c r="I159" s="384">
        <v>0</v>
      </c>
      <c r="J159" s="382">
        <v>45967</v>
      </c>
      <c r="K159" s="379" t="s">
        <v>957</v>
      </c>
      <c r="L159" s="379" t="s">
        <v>30</v>
      </c>
      <c r="M159" s="385">
        <v>0</v>
      </c>
      <c r="N159" s="383"/>
      <c r="O159" s="383"/>
      <c r="P159" s="384">
        <v>-56</v>
      </c>
    </row>
    <row r="160" spans="1:16" ht="19.5" customHeight="1">
      <c r="A160" s="379" t="s">
        <v>1166</v>
      </c>
      <c r="B160" s="382">
        <v>45973</v>
      </c>
      <c r="C160" s="379" t="s">
        <v>17</v>
      </c>
      <c r="D160" s="379" t="s">
        <v>47</v>
      </c>
      <c r="E160" s="379" t="s">
        <v>62</v>
      </c>
      <c r="F160" s="379" t="s">
        <v>63</v>
      </c>
      <c r="G160" s="379" t="s">
        <v>1133</v>
      </c>
      <c r="H160" s="383">
        <v>1</v>
      </c>
      <c r="I160" s="384">
        <v>0</v>
      </c>
      <c r="J160" s="382">
        <v>45967</v>
      </c>
      <c r="K160" s="379" t="s">
        <v>957</v>
      </c>
      <c r="L160" s="379" t="s">
        <v>30</v>
      </c>
      <c r="M160" s="385">
        <v>0</v>
      </c>
      <c r="N160" s="383"/>
      <c r="O160" s="383"/>
      <c r="P160" s="384">
        <v>-15</v>
      </c>
    </row>
    <row r="161" spans="1:16" ht="19.5" customHeight="1">
      <c r="A161" s="379" t="s">
        <v>1166</v>
      </c>
      <c r="B161" s="382">
        <v>45973</v>
      </c>
      <c r="C161" s="379" t="s">
        <v>28</v>
      </c>
      <c r="D161" s="379" t="s">
        <v>29</v>
      </c>
      <c r="E161" s="379" t="s">
        <v>62</v>
      </c>
      <c r="F161" s="379" t="s">
        <v>63</v>
      </c>
      <c r="G161" s="379" t="s">
        <v>1133</v>
      </c>
      <c r="H161" s="383">
        <v>1</v>
      </c>
      <c r="I161" s="384">
        <v>0</v>
      </c>
      <c r="J161" s="382">
        <v>45967</v>
      </c>
      <c r="K161" s="379" t="s">
        <v>957</v>
      </c>
      <c r="L161" s="379" t="s">
        <v>30</v>
      </c>
      <c r="M161" s="385">
        <v>0</v>
      </c>
      <c r="N161" s="383"/>
      <c r="O161" s="383"/>
      <c r="P161" s="384">
        <v>-56</v>
      </c>
    </row>
    <row r="162" spans="1:16" ht="19.5" customHeight="1">
      <c r="A162" s="379" t="s">
        <v>1166</v>
      </c>
      <c r="B162" s="382">
        <v>45973</v>
      </c>
      <c r="C162" s="379" t="s">
        <v>17</v>
      </c>
      <c r="D162" s="379" t="s">
        <v>37</v>
      </c>
      <c r="E162" s="379" t="s">
        <v>62</v>
      </c>
      <c r="F162" s="379" t="s">
        <v>63</v>
      </c>
      <c r="G162" s="379" t="s">
        <v>1133</v>
      </c>
      <c r="H162" s="383">
        <v>1</v>
      </c>
      <c r="I162" s="384">
        <v>0</v>
      </c>
      <c r="J162" s="382">
        <v>45967</v>
      </c>
      <c r="K162" s="379" t="s">
        <v>957</v>
      </c>
      <c r="L162" s="379" t="s">
        <v>30</v>
      </c>
      <c r="M162" s="385">
        <v>0</v>
      </c>
      <c r="N162" s="383"/>
      <c r="O162" s="383"/>
      <c r="P162" s="384">
        <v>-11.14</v>
      </c>
    </row>
    <row r="163" spans="1:16" ht="19.5" customHeight="1">
      <c r="A163" s="379" t="s">
        <v>22</v>
      </c>
      <c r="B163" s="382">
        <v>45973</v>
      </c>
      <c r="C163" s="379" t="s">
        <v>77</v>
      </c>
      <c r="D163" s="379" t="s">
        <v>78</v>
      </c>
      <c r="E163" s="379" t="s">
        <v>22</v>
      </c>
      <c r="F163" s="379" t="s">
        <v>22</v>
      </c>
      <c r="G163" s="379" t="s">
        <v>1167</v>
      </c>
      <c r="H163" s="383">
        <v>0</v>
      </c>
      <c r="I163" s="384">
        <v>0</v>
      </c>
      <c r="J163" s="382">
        <v>45973</v>
      </c>
      <c r="K163" s="379" t="s">
        <v>22</v>
      </c>
      <c r="L163" s="379" t="s">
        <v>22</v>
      </c>
      <c r="M163" s="385">
        <v>0</v>
      </c>
      <c r="N163" s="383"/>
      <c r="O163" s="383"/>
      <c r="P163" s="384">
        <v>-300</v>
      </c>
    </row>
    <row r="164" spans="1:16" ht="19.5" customHeight="1">
      <c r="A164" s="379" t="s">
        <v>1168</v>
      </c>
      <c r="B164" s="382">
        <v>45973</v>
      </c>
      <c r="C164" s="379" t="s">
        <v>28</v>
      </c>
      <c r="D164" s="379" t="s">
        <v>29</v>
      </c>
      <c r="E164" s="379" t="s">
        <v>223</v>
      </c>
      <c r="F164" s="379" t="s">
        <v>395</v>
      </c>
      <c r="G164" s="379" t="s">
        <v>21</v>
      </c>
      <c r="H164" s="383">
        <v>1</v>
      </c>
      <c r="I164" s="384">
        <v>1336</v>
      </c>
      <c r="J164" s="382">
        <v>45969</v>
      </c>
      <c r="K164" s="379" t="s">
        <v>957</v>
      </c>
      <c r="L164" s="379" t="s">
        <v>30</v>
      </c>
      <c r="M164" s="385">
        <v>0.38</v>
      </c>
      <c r="N164" s="383"/>
      <c r="O164" s="383"/>
      <c r="P164" s="384">
        <v>-46</v>
      </c>
    </row>
    <row r="165" spans="1:16" ht="19.5" customHeight="1">
      <c r="A165" s="379" t="s">
        <v>1168</v>
      </c>
      <c r="B165" s="382">
        <v>45973</v>
      </c>
      <c r="C165" s="379" t="s">
        <v>31</v>
      </c>
      <c r="D165" s="379" t="s">
        <v>32</v>
      </c>
      <c r="E165" s="379" t="s">
        <v>223</v>
      </c>
      <c r="F165" s="379" t="s">
        <v>395</v>
      </c>
      <c r="G165" s="379" t="s">
        <v>21</v>
      </c>
      <c r="H165" s="383">
        <v>1</v>
      </c>
      <c r="I165" s="384">
        <v>1336</v>
      </c>
      <c r="J165" s="382">
        <v>45969</v>
      </c>
      <c r="K165" s="379" t="s">
        <v>957</v>
      </c>
      <c r="L165" s="379" t="s">
        <v>30</v>
      </c>
      <c r="M165" s="385">
        <v>0</v>
      </c>
      <c r="N165" s="383"/>
      <c r="O165" s="383"/>
      <c r="P165" s="384">
        <v>489.2</v>
      </c>
    </row>
    <row r="166" spans="1:16" ht="19.5" customHeight="1">
      <c r="A166" s="379" t="s">
        <v>1168</v>
      </c>
      <c r="B166" s="382">
        <v>45973</v>
      </c>
      <c r="C166" s="379" t="s">
        <v>31</v>
      </c>
      <c r="D166" s="379" t="s">
        <v>33</v>
      </c>
      <c r="E166" s="379" t="s">
        <v>223</v>
      </c>
      <c r="F166" s="379" t="s">
        <v>395</v>
      </c>
      <c r="G166" s="379" t="s">
        <v>21</v>
      </c>
      <c r="H166" s="383">
        <v>1</v>
      </c>
      <c r="I166" s="384">
        <v>1336</v>
      </c>
      <c r="J166" s="382">
        <v>45969</v>
      </c>
      <c r="K166" s="379" t="s">
        <v>957</v>
      </c>
      <c r="L166" s="379" t="s">
        <v>30</v>
      </c>
      <c r="M166" s="385">
        <v>0</v>
      </c>
      <c r="N166" s="383"/>
      <c r="O166" s="383"/>
      <c r="P166" s="384">
        <v>4.8899999999999997</v>
      </c>
    </row>
    <row r="167" spans="1:16" ht="19.5" customHeight="1">
      <c r="A167" s="379" t="s">
        <v>1168</v>
      </c>
      <c r="B167" s="382">
        <v>45973</v>
      </c>
      <c r="C167" s="379" t="s">
        <v>31</v>
      </c>
      <c r="D167" s="379" t="s">
        <v>34</v>
      </c>
      <c r="E167" s="379" t="s">
        <v>223</v>
      </c>
      <c r="F167" s="379" t="s">
        <v>395</v>
      </c>
      <c r="G167" s="379" t="s">
        <v>21</v>
      </c>
      <c r="H167" s="383">
        <v>1</v>
      </c>
      <c r="I167" s="384">
        <v>1336</v>
      </c>
      <c r="J167" s="382">
        <v>45969</v>
      </c>
      <c r="K167" s="379" t="s">
        <v>957</v>
      </c>
      <c r="L167" s="379" t="s">
        <v>30</v>
      </c>
      <c r="M167" s="385">
        <v>0</v>
      </c>
      <c r="N167" s="383"/>
      <c r="O167" s="383"/>
      <c r="P167" s="386">
        <v>841.91</v>
      </c>
    </row>
    <row r="168" spans="1:16" ht="19.5" customHeight="1">
      <c r="A168" s="379" t="s">
        <v>1168</v>
      </c>
      <c r="B168" s="382">
        <v>45973</v>
      </c>
      <c r="C168" s="379" t="s">
        <v>35</v>
      </c>
      <c r="D168" s="379" t="s">
        <v>36</v>
      </c>
      <c r="E168" s="379" t="s">
        <v>223</v>
      </c>
      <c r="F168" s="379" t="s">
        <v>395</v>
      </c>
      <c r="G168" s="379" t="s">
        <v>21</v>
      </c>
      <c r="H168" s="383">
        <v>1</v>
      </c>
      <c r="I168" s="384">
        <v>1336</v>
      </c>
      <c r="J168" s="382">
        <v>45969</v>
      </c>
      <c r="K168" s="379" t="s">
        <v>957</v>
      </c>
      <c r="L168" s="379" t="s">
        <v>30</v>
      </c>
      <c r="M168" s="385">
        <v>0.38</v>
      </c>
      <c r="N168" s="383"/>
      <c r="O168" s="383"/>
      <c r="P168" s="384">
        <v>-507.68</v>
      </c>
    </row>
    <row r="169" spans="1:16" ht="19.5" customHeight="1">
      <c r="A169" s="379" t="s">
        <v>1168</v>
      </c>
      <c r="B169" s="382">
        <v>45973</v>
      </c>
      <c r="C169" s="379" t="s">
        <v>17</v>
      </c>
      <c r="D169" s="379" t="s">
        <v>37</v>
      </c>
      <c r="E169" s="379" t="s">
        <v>223</v>
      </c>
      <c r="F169" s="379" t="s">
        <v>395</v>
      </c>
      <c r="G169" s="379" t="s">
        <v>21</v>
      </c>
      <c r="H169" s="383">
        <v>1</v>
      </c>
      <c r="I169" s="384">
        <v>1336</v>
      </c>
      <c r="J169" s="382">
        <v>45969</v>
      </c>
      <c r="K169" s="379" t="s">
        <v>957</v>
      </c>
      <c r="L169" s="379" t="s">
        <v>30</v>
      </c>
      <c r="M169" s="385">
        <v>0.38</v>
      </c>
      <c r="N169" s="383"/>
      <c r="O169" s="383"/>
      <c r="P169" s="384">
        <v>-7.58</v>
      </c>
    </row>
    <row r="170" spans="1:16" ht="19.5" customHeight="1">
      <c r="A170" s="379" t="s">
        <v>1168</v>
      </c>
      <c r="B170" s="382">
        <v>45973</v>
      </c>
      <c r="C170" s="379" t="s">
        <v>17</v>
      </c>
      <c r="D170" s="379" t="s">
        <v>18</v>
      </c>
      <c r="E170" s="379" t="s">
        <v>223</v>
      </c>
      <c r="F170" s="379" t="s">
        <v>395</v>
      </c>
      <c r="G170" s="379" t="s">
        <v>21</v>
      </c>
      <c r="H170" s="383">
        <v>1</v>
      </c>
      <c r="I170" s="384">
        <v>0</v>
      </c>
      <c r="J170" s="382">
        <v>45969</v>
      </c>
      <c r="K170" s="379" t="s">
        <v>22</v>
      </c>
      <c r="L170" s="379" t="s">
        <v>22</v>
      </c>
      <c r="M170" s="385">
        <v>0</v>
      </c>
      <c r="N170" s="383"/>
      <c r="O170" s="383"/>
      <c r="P170" s="384">
        <v>-9.2899999999999991</v>
      </c>
    </row>
    <row r="171" spans="1:16" ht="19.5" customHeight="1">
      <c r="A171" s="379" t="s">
        <v>83</v>
      </c>
      <c r="B171" s="382">
        <v>45973</v>
      </c>
      <c r="C171" s="379" t="s">
        <v>77</v>
      </c>
      <c r="D171" s="379" t="s">
        <v>84</v>
      </c>
      <c r="E171" s="379" t="s">
        <v>22</v>
      </c>
      <c r="F171" s="379" t="s">
        <v>22</v>
      </c>
      <c r="G171" s="379" t="s">
        <v>22</v>
      </c>
      <c r="H171" s="383">
        <v>0</v>
      </c>
      <c r="I171" s="384">
        <v>0</v>
      </c>
      <c r="J171" s="382">
        <v>45973</v>
      </c>
      <c r="K171" s="379" t="s">
        <v>22</v>
      </c>
      <c r="L171" s="379" t="s">
        <v>22</v>
      </c>
      <c r="M171" s="385">
        <v>0</v>
      </c>
      <c r="N171" s="383"/>
      <c r="O171" s="383"/>
      <c r="P171" s="384">
        <v>-1019.92</v>
      </c>
    </row>
    <row r="172" spans="1:16" ht="19.5" customHeight="1">
      <c r="A172" s="379" t="s">
        <v>1075</v>
      </c>
      <c r="B172" s="382">
        <v>45973</v>
      </c>
      <c r="C172" s="379" t="s">
        <v>77</v>
      </c>
      <c r="D172" s="379" t="s">
        <v>82</v>
      </c>
      <c r="E172" s="379" t="s">
        <v>22</v>
      </c>
      <c r="F172" s="379" t="s">
        <v>22</v>
      </c>
      <c r="G172" s="379" t="s">
        <v>22</v>
      </c>
      <c r="H172" s="383">
        <v>0</v>
      </c>
      <c r="I172" s="384">
        <v>0</v>
      </c>
      <c r="J172" s="382">
        <v>45973</v>
      </c>
      <c r="K172" s="379" t="s">
        <v>22</v>
      </c>
      <c r="L172" s="379" t="s">
        <v>22</v>
      </c>
      <c r="M172" s="385">
        <v>0</v>
      </c>
      <c r="N172" s="383"/>
      <c r="O172" s="383"/>
      <c r="P172" s="384">
        <v>-553.55999999999995</v>
      </c>
    </row>
    <row r="173" spans="1:16" ht="19.5" customHeight="1">
      <c r="A173" s="379" t="s">
        <v>1107</v>
      </c>
      <c r="B173" s="382">
        <v>45973</v>
      </c>
      <c r="C173" s="379" t="s">
        <v>77</v>
      </c>
      <c r="D173" s="379" t="s">
        <v>82</v>
      </c>
      <c r="E173" s="379" t="s">
        <v>22</v>
      </c>
      <c r="F173" s="379" t="s">
        <v>22</v>
      </c>
      <c r="G173" s="379" t="s">
        <v>22</v>
      </c>
      <c r="H173" s="383">
        <v>0</v>
      </c>
      <c r="I173" s="384">
        <v>0</v>
      </c>
      <c r="J173" s="382">
        <v>45973</v>
      </c>
      <c r="K173" s="379" t="s">
        <v>22</v>
      </c>
      <c r="L173" s="379" t="s">
        <v>22</v>
      </c>
      <c r="M173" s="385">
        <v>0</v>
      </c>
      <c r="N173" s="383"/>
      <c r="O173" s="383"/>
      <c r="P173" s="384">
        <v>-274.51</v>
      </c>
    </row>
    <row r="174" spans="1:16" ht="19.5" customHeight="1">
      <c r="A174" s="379" t="s">
        <v>1127</v>
      </c>
      <c r="B174" s="382">
        <v>45973</v>
      </c>
      <c r="C174" s="379" t="s">
        <v>77</v>
      </c>
      <c r="D174" s="379" t="s">
        <v>82</v>
      </c>
      <c r="E174" s="379" t="s">
        <v>22</v>
      </c>
      <c r="F174" s="379" t="s">
        <v>22</v>
      </c>
      <c r="G174" s="379" t="s">
        <v>22</v>
      </c>
      <c r="H174" s="383">
        <v>0</v>
      </c>
      <c r="I174" s="384">
        <v>0</v>
      </c>
      <c r="J174" s="382">
        <v>45973</v>
      </c>
      <c r="K174" s="379" t="s">
        <v>22</v>
      </c>
      <c r="L174" s="379" t="s">
        <v>22</v>
      </c>
      <c r="M174" s="385">
        <v>0</v>
      </c>
      <c r="N174" s="383"/>
      <c r="O174" s="383"/>
      <c r="P174" s="384">
        <v>-314.04000000000002</v>
      </c>
    </row>
    <row r="175" spans="1:16" ht="19.5" customHeight="1">
      <c r="A175" s="379" t="s">
        <v>1169</v>
      </c>
      <c r="B175" s="382">
        <v>45973</v>
      </c>
      <c r="C175" s="379" t="s">
        <v>77</v>
      </c>
      <c r="D175" s="379" t="s">
        <v>82</v>
      </c>
      <c r="E175" s="379" t="s">
        <v>22</v>
      </c>
      <c r="F175" s="379" t="s">
        <v>22</v>
      </c>
      <c r="G175" s="379" t="s">
        <v>22</v>
      </c>
      <c r="H175" s="383">
        <v>0</v>
      </c>
      <c r="I175" s="384">
        <v>0</v>
      </c>
      <c r="J175" s="382">
        <v>45973</v>
      </c>
      <c r="K175" s="379" t="s">
        <v>22</v>
      </c>
      <c r="L175" s="379" t="s">
        <v>22</v>
      </c>
      <c r="M175" s="385">
        <v>0</v>
      </c>
      <c r="N175" s="383"/>
      <c r="O175" s="383"/>
      <c r="P175" s="384">
        <v>-239.15</v>
      </c>
    </row>
    <row r="176" spans="1:16" ht="19.5" customHeight="1">
      <c r="A176" s="379" t="s">
        <v>1105</v>
      </c>
      <c r="B176" s="382">
        <v>45973</v>
      </c>
      <c r="C176" s="379" t="s">
        <v>77</v>
      </c>
      <c r="D176" s="379" t="s">
        <v>82</v>
      </c>
      <c r="E176" s="379" t="s">
        <v>22</v>
      </c>
      <c r="F176" s="379" t="s">
        <v>22</v>
      </c>
      <c r="G176" s="379" t="s">
        <v>22</v>
      </c>
      <c r="H176" s="383">
        <v>0</v>
      </c>
      <c r="I176" s="384">
        <v>0</v>
      </c>
      <c r="J176" s="382">
        <v>45973</v>
      </c>
      <c r="K176" s="379" t="s">
        <v>22</v>
      </c>
      <c r="L176" s="379" t="s">
        <v>22</v>
      </c>
      <c r="M176" s="385">
        <v>0</v>
      </c>
      <c r="N176" s="383"/>
      <c r="O176" s="383"/>
      <c r="P176" s="384">
        <v>-652.39</v>
      </c>
    </row>
    <row r="177" spans="1:16" ht="19.5" customHeight="1">
      <c r="A177" s="379" t="s">
        <v>1106</v>
      </c>
      <c r="B177" s="382">
        <v>45973</v>
      </c>
      <c r="C177" s="379" t="s">
        <v>77</v>
      </c>
      <c r="D177" s="379" t="s">
        <v>82</v>
      </c>
      <c r="E177" s="379" t="s">
        <v>22</v>
      </c>
      <c r="F177" s="379" t="s">
        <v>22</v>
      </c>
      <c r="G177" s="379" t="s">
        <v>22</v>
      </c>
      <c r="H177" s="383">
        <v>0</v>
      </c>
      <c r="I177" s="384">
        <v>0</v>
      </c>
      <c r="J177" s="382">
        <v>45973</v>
      </c>
      <c r="K177" s="379" t="s">
        <v>22</v>
      </c>
      <c r="L177" s="379" t="s">
        <v>22</v>
      </c>
      <c r="M177" s="385">
        <v>0</v>
      </c>
      <c r="N177" s="383"/>
      <c r="O177" s="383"/>
      <c r="P177" s="384">
        <v>-296.77</v>
      </c>
    </row>
    <row r="178" spans="1:16" ht="19.5" customHeight="1">
      <c r="A178" s="379" t="s">
        <v>1170</v>
      </c>
      <c r="B178" s="382">
        <v>45974</v>
      </c>
      <c r="C178" s="379" t="s">
        <v>17</v>
      </c>
      <c r="D178" s="379" t="s">
        <v>18</v>
      </c>
      <c r="E178" s="379" t="s">
        <v>240</v>
      </c>
      <c r="F178" s="379" t="s">
        <v>802</v>
      </c>
      <c r="G178" s="379" t="s">
        <v>1133</v>
      </c>
      <c r="H178" s="383">
        <v>1</v>
      </c>
      <c r="I178" s="384">
        <v>0</v>
      </c>
      <c r="J178" s="382">
        <v>45974</v>
      </c>
      <c r="K178" s="379" t="s">
        <v>22</v>
      </c>
      <c r="L178" s="379" t="s">
        <v>22</v>
      </c>
      <c r="M178" s="385">
        <v>0</v>
      </c>
      <c r="N178" s="383"/>
      <c r="O178" s="383"/>
      <c r="P178" s="384">
        <v>-11.2</v>
      </c>
    </row>
    <row r="179" spans="1:16" ht="19.5" customHeight="1">
      <c r="A179" s="379" t="s">
        <v>1171</v>
      </c>
      <c r="B179" s="382">
        <v>45974</v>
      </c>
      <c r="C179" s="379" t="s">
        <v>28</v>
      </c>
      <c r="D179" s="379" t="s">
        <v>29</v>
      </c>
      <c r="E179" s="379" t="s">
        <v>239</v>
      </c>
      <c r="F179" s="379" t="s">
        <v>733</v>
      </c>
      <c r="G179" s="379" t="s">
        <v>1133</v>
      </c>
      <c r="H179" s="383">
        <v>1</v>
      </c>
      <c r="I179" s="384">
        <v>0</v>
      </c>
      <c r="J179" s="382">
        <v>45958</v>
      </c>
      <c r="K179" s="379" t="s">
        <v>957</v>
      </c>
      <c r="L179" s="379" t="s">
        <v>30</v>
      </c>
      <c r="M179" s="385">
        <v>0</v>
      </c>
      <c r="N179" s="383"/>
      <c r="O179" s="383"/>
      <c r="P179" s="384">
        <v>-56</v>
      </c>
    </row>
    <row r="180" spans="1:16" ht="19.5" customHeight="1">
      <c r="A180" s="379" t="s">
        <v>1171</v>
      </c>
      <c r="B180" s="382">
        <v>45974</v>
      </c>
      <c r="C180" s="379" t="s">
        <v>17</v>
      </c>
      <c r="D180" s="379" t="s">
        <v>37</v>
      </c>
      <c r="E180" s="379" t="s">
        <v>239</v>
      </c>
      <c r="F180" s="379" t="s">
        <v>733</v>
      </c>
      <c r="G180" s="379" t="s">
        <v>1133</v>
      </c>
      <c r="H180" s="383">
        <v>1</v>
      </c>
      <c r="I180" s="384">
        <v>0</v>
      </c>
      <c r="J180" s="382">
        <v>45958</v>
      </c>
      <c r="K180" s="379" t="s">
        <v>957</v>
      </c>
      <c r="L180" s="379" t="s">
        <v>30</v>
      </c>
      <c r="M180" s="385">
        <v>0</v>
      </c>
      <c r="N180" s="383"/>
      <c r="O180" s="383"/>
      <c r="P180" s="384">
        <v>-13.59</v>
      </c>
    </row>
    <row r="181" spans="1:16" ht="19.5" customHeight="1">
      <c r="A181" s="379" t="s">
        <v>1171</v>
      </c>
      <c r="B181" s="382">
        <v>45974</v>
      </c>
      <c r="C181" s="379" t="s">
        <v>28</v>
      </c>
      <c r="D181" s="379" t="s">
        <v>45</v>
      </c>
      <c r="E181" s="379" t="s">
        <v>239</v>
      </c>
      <c r="F181" s="379" t="s">
        <v>733</v>
      </c>
      <c r="G181" s="379" t="s">
        <v>1133</v>
      </c>
      <c r="H181" s="383">
        <v>1</v>
      </c>
      <c r="I181" s="384">
        <v>0</v>
      </c>
      <c r="J181" s="382">
        <v>45958</v>
      </c>
      <c r="K181" s="379" t="s">
        <v>957</v>
      </c>
      <c r="L181" s="379" t="s">
        <v>30</v>
      </c>
      <c r="M181" s="385">
        <v>0</v>
      </c>
      <c r="N181" s="383"/>
      <c r="O181" s="383"/>
      <c r="P181" s="384">
        <v>0</v>
      </c>
    </row>
    <row r="182" spans="1:16" ht="19.5" customHeight="1">
      <c r="A182" s="379" t="s">
        <v>1171</v>
      </c>
      <c r="B182" s="382">
        <v>45974</v>
      </c>
      <c r="C182" s="379" t="s">
        <v>28</v>
      </c>
      <c r="D182" s="379" t="s">
        <v>46</v>
      </c>
      <c r="E182" s="379" t="s">
        <v>239</v>
      </c>
      <c r="F182" s="379" t="s">
        <v>733</v>
      </c>
      <c r="G182" s="379" t="s">
        <v>1133</v>
      </c>
      <c r="H182" s="383">
        <v>1</v>
      </c>
      <c r="I182" s="384">
        <v>0</v>
      </c>
      <c r="J182" s="382">
        <v>45958</v>
      </c>
      <c r="K182" s="379" t="s">
        <v>957</v>
      </c>
      <c r="L182" s="379" t="s">
        <v>30</v>
      </c>
      <c r="M182" s="385">
        <v>0</v>
      </c>
      <c r="N182" s="383"/>
      <c r="O182" s="383"/>
      <c r="P182" s="384">
        <v>-56</v>
      </c>
    </row>
    <row r="183" spans="1:16" ht="19.5" customHeight="1">
      <c r="A183" s="379" t="s">
        <v>1171</v>
      </c>
      <c r="B183" s="382">
        <v>45974</v>
      </c>
      <c r="C183" s="379" t="s">
        <v>17</v>
      </c>
      <c r="D183" s="379" t="s">
        <v>47</v>
      </c>
      <c r="E183" s="379" t="s">
        <v>239</v>
      </c>
      <c r="F183" s="379" t="s">
        <v>733</v>
      </c>
      <c r="G183" s="379" t="s">
        <v>1133</v>
      </c>
      <c r="H183" s="383">
        <v>1</v>
      </c>
      <c r="I183" s="384">
        <v>0</v>
      </c>
      <c r="J183" s="382">
        <v>45958</v>
      </c>
      <c r="K183" s="379" t="s">
        <v>957</v>
      </c>
      <c r="L183" s="379" t="s">
        <v>30</v>
      </c>
      <c r="M183" s="385">
        <v>0</v>
      </c>
      <c r="N183" s="383"/>
      <c r="O183" s="383"/>
      <c r="P183" s="384">
        <v>-15</v>
      </c>
    </row>
    <row r="184" spans="1:16" ht="19.5" customHeight="1">
      <c r="A184" s="379" t="s">
        <v>1172</v>
      </c>
      <c r="B184" s="382">
        <v>45974</v>
      </c>
      <c r="C184" s="379" t="s">
        <v>28</v>
      </c>
      <c r="D184" s="379" t="s">
        <v>29</v>
      </c>
      <c r="E184" s="379" t="s">
        <v>25</v>
      </c>
      <c r="F184" s="379" t="s">
        <v>26</v>
      </c>
      <c r="G184" s="379" t="s">
        <v>21</v>
      </c>
      <c r="H184" s="383">
        <v>1</v>
      </c>
      <c r="I184" s="384">
        <v>1117</v>
      </c>
      <c r="J184" s="382">
        <v>45972</v>
      </c>
      <c r="K184" s="379" t="s">
        <v>957</v>
      </c>
      <c r="L184" s="379" t="s">
        <v>30</v>
      </c>
      <c r="M184" s="385">
        <v>0.43</v>
      </c>
      <c r="N184" s="383"/>
      <c r="O184" s="383"/>
      <c r="P184" s="384">
        <v>-46</v>
      </c>
    </row>
    <row r="185" spans="1:16" ht="19.5" customHeight="1">
      <c r="A185" s="379" t="s">
        <v>1172</v>
      </c>
      <c r="B185" s="382">
        <v>45974</v>
      </c>
      <c r="C185" s="379" t="s">
        <v>31</v>
      </c>
      <c r="D185" s="379" t="s">
        <v>32</v>
      </c>
      <c r="E185" s="379" t="s">
        <v>25</v>
      </c>
      <c r="F185" s="379" t="s">
        <v>26</v>
      </c>
      <c r="G185" s="379" t="s">
        <v>21</v>
      </c>
      <c r="H185" s="383">
        <v>1</v>
      </c>
      <c r="I185" s="384">
        <v>1117</v>
      </c>
      <c r="J185" s="382">
        <v>45972</v>
      </c>
      <c r="K185" s="379" t="s">
        <v>957</v>
      </c>
      <c r="L185" s="379" t="s">
        <v>30</v>
      </c>
      <c r="M185" s="385">
        <v>0</v>
      </c>
      <c r="N185" s="383"/>
      <c r="O185" s="383"/>
      <c r="P185" s="384">
        <v>483.9</v>
      </c>
    </row>
    <row r="186" spans="1:16" ht="19.5" customHeight="1">
      <c r="A186" s="379" t="s">
        <v>1172</v>
      </c>
      <c r="B186" s="382">
        <v>45974</v>
      </c>
      <c r="C186" s="379" t="s">
        <v>31</v>
      </c>
      <c r="D186" s="379" t="s">
        <v>33</v>
      </c>
      <c r="E186" s="379" t="s">
        <v>25</v>
      </c>
      <c r="F186" s="379" t="s">
        <v>26</v>
      </c>
      <c r="G186" s="379" t="s">
        <v>21</v>
      </c>
      <c r="H186" s="383">
        <v>1</v>
      </c>
      <c r="I186" s="384">
        <v>1117</v>
      </c>
      <c r="J186" s="382">
        <v>45972</v>
      </c>
      <c r="K186" s="379" t="s">
        <v>957</v>
      </c>
      <c r="L186" s="379" t="s">
        <v>30</v>
      </c>
      <c r="M186" s="385">
        <v>0</v>
      </c>
      <c r="N186" s="383"/>
      <c r="O186" s="383"/>
      <c r="P186" s="384">
        <v>4.84</v>
      </c>
    </row>
    <row r="187" spans="1:16" ht="19.5" customHeight="1">
      <c r="A187" s="379" t="s">
        <v>1172</v>
      </c>
      <c r="B187" s="382">
        <v>45974</v>
      </c>
      <c r="C187" s="379" t="s">
        <v>31</v>
      </c>
      <c r="D187" s="379" t="s">
        <v>34</v>
      </c>
      <c r="E187" s="379" t="s">
        <v>25</v>
      </c>
      <c r="F187" s="379" t="s">
        <v>26</v>
      </c>
      <c r="G187" s="379" t="s">
        <v>21</v>
      </c>
      <c r="H187" s="383">
        <v>1</v>
      </c>
      <c r="I187" s="384">
        <v>1117</v>
      </c>
      <c r="J187" s="382">
        <v>45972</v>
      </c>
      <c r="K187" s="379" t="s">
        <v>957</v>
      </c>
      <c r="L187" s="379" t="s">
        <v>30</v>
      </c>
      <c r="M187" s="385">
        <v>0</v>
      </c>
      <c r="N187" s="383"/>
      <c r="O187" s="383"/>
      <c r="P187" s="386">
        <v>628.26</v>
      </c>
    </row>
    <row r="188" spans="1:16" ht="19.5" customHeight="1">
      <c r="A188" s="379" t="s">
        <v>1172</v>
      </c>
      <c r="B188" s="382">
        <v>45974</v>
      </c>
      <c r="C188" s="379" t="s">
        <v>35</v>
      </c>
      <c r="D188" s="379" t="s">
        <v>36</v>
      </c>
      <c r="E188" s="379" t="s">
        <v>25</v>
      </c>
      <c r="F188" s="379" t="s">
        <v>26</v>
      </c>
      <c r="G188" s="379" t="s">
        <v>21</v>
      </c>
      <c r="H188" s="383">
        <v>1</v>
      </c>
      <c r="I188" s="384">
        <v>1117</v>
      </c>
      <c r="J188" s="382">
        <v>45972</v>
      </c>
      <c r="K188" s="379" t="s">
        <v>957</v>
      </c>
      <c r="L188" s="379" t="s">
        <v>30</v>
      </c>
      <c r="M188" s="385">
        <v>0.43</v>
      </c>
      <c r="N188" s="383"/>
      <c r="O188" s="383"/>
      <c r="P188" s="384">
        <v>-480.31</v>
      </c>
    </row>
    <row r="189" spans="1:16" ht="19.5" customHeight="1">
      <c r="A189" s="379" t="s">
        <v>1172</v>
      </c>
      <c r="B189" s="382">
        <v>45974</v>
      </c>
      <c r="C189" s="379" t="s">
        <v>17</v>
      </c>
      <c r="D189" s="379" t="s">
        <v>37</v>
      </c>
      <c r="E189" s="379" t="s">
        <v>25</v>
      </c>
      <c r="F189" s="379" t="s">
        <v>26</v>
      </c>
      <c r="G189" s="379" t="s">
        <v>21</v>
      </c>
      <c r="H189" s="383">
        <v>1</v>
      </c>
      <c r="I189" s="384">
        <v>1117</v>
      </c>
      <c r="J189" s="382">
        <v>45972</v>
      </c>
      <c r="K189" s="379" t="s">
        <v>957</v>
      </c>
      <c r="L189" s="379" t="s">
        <v>30</v>
      </c>
      <c r="M189" s="385">
        <v>0.43</v>
      </c>
      <c r="N189" s="383"/>
      <c r="O189" s="383"/>
      <c r="P189" s="384">
        <v>-5.38</v>
      </c>
    </row>
    <row r="190" spans="1:16" ht="19.5" customHeight="1">
      <c r="A190" s="379" t="s">
        <v>1172</v>
      </c>
      <c r="B190" s="382">
        <v>45974</v>
      </c>
      <c r="C190" s="379" t="s">
        <v>17</v>
      </c>
      <c r="D190" s="379" t="s">
        <v>18</v>
      </c>
      <c r="E190" s="379" t="s">
        <v>25</v>
      </c>
      <c r="F190" s="379" t="s">
        <v>26</v>
      </c>
      <c r="G190" s="379" t="s">
        <v>21</v>
      </c>
      <c r="H190" s="383">
        <v>1</v>
      </c>
      <c r="I190" s="384">
        <v>0</v>
      </c>
      <c r="J190" s="382">
        <v>45972</v>
      </c>
      <c r="K190" s="379" t="s">
        <v>22</v>
      </c>
      <c r="L190" s="379" t="s">
        <v>22</v>
      </c>
      <c r="M190" s="385">
        <v>0</v>
      </c>
      <c r="N190" s="383"/>
      <c r="O190" s="383"/>
      <c r="P190" s="384">
        <v>-9.19</v>
      </c>
    </row>
    <row r="191" spans="1:16" ht="19.5" customHeight="1">
      <c r="A191" s="379" t="s">
        <v>1173</v>
      </c>
      <c r="B191" s="382">
        <v>45974</v>
      </c>
      <c r="C191" s="379" t="s">
        <v>28</v>
      </c>
      <c r="D191" s="379" t="s">
        <v>29</v>
      </c>
      <c r="E191" s="379" t="s">
        <v>223</v>
      </c>
      <c r="F191" s="379" t="s">
        <v>395</v>
      </c>
      <c r="G191" s="379" t="s">
        <v>21</v>
      </c>
      <c r="H191" s="383">
        <v>1</v>
      </c>
      <c r="I191" s="384">
        <v>1336</v>
      </c>
      <c r="J191" s="382">
        <v>45970</v>
      </c>
      <c r="K191" s="379" t="s">
        <v>957</v>
      </c>
      <c r="L191" s="379" t="s">
        <v>30</v>
      </c>
      <c r="M191" s="385">
        <v>0.38</v>
      </c>
      <c r="N191" s="383"/>
      <c r="O191" s="383"/>
      <c r="P191" s="384">
        <v>-46</v>
      </c>
    </row>
    <row r="192" spans="1:16" ht="19.5" customHeight="1">
      <c r="A192" s="379" t="s">
        <v>1173</v>
      </c>
      <c r="B192" s="382">
        <v>45974</v>
      </c>
      <c r="C192" s="379" t="s">
        <v>31</v>
      </c>
      <c r="D192" s="379" t="s">
        <v>32</v>
      </c>
      <c r="E192" s="379" t="s">
        <v>223</v>
      </c>
      <c r="F192" s="379" t="s">
        <v>395</v>
      </c>
      <c r="G192" s="379" t="s">
        <v>21</v>
      </c>
      <c r="H192" s="383">
        <v>1</v>
      </c>
      <c r="I192" s="384">
        <v>1336</v>
      </c>
      <c r="J192" s="382">
        <v>45970</v>
      </c>
      <c r="K192" s="379" t="s">
        <v>957</v>
      </c>
      <c r="L192" s="379" t="s">
        <v>30</v>
      </c>
      <c r="M192" s="385">
        <v>0</v>
      </c>
      <c r="N192" s="383"/>
      <c r="O192" s="383"/>
      <c r="P192" s="384">
        <v>685.71</v>
      </c>
    </row>
    <row r="193" spans="1:16" ht="19.5" customHeight="1">
      <c r="A193" s="379" t="s">
        <v>1173</v>
      </c>
      <c r="B193" s="382">
        <v>45974</v>
      </c>
      <c r="C193" s="379" t="s">
        <v>31</v>
      </c>
      <c r="D193" s="379" t="s">
        <v>33</v>
      </c>
      <c r="E193" s="379" t="s">
        <v>223</v>
      </c>
      <c r="F193" s="379" t="s">
        <v>395</v>
      </c>
      <c r="G193" s="379" t="s">
        <v>21</v>
      </c>
      <c r="H193" s="383">
        <v>1</v>
      </c>
      <c r="I193" s="384">
        <v>1336</v>
      </c>
      <c r="J193" s="382">
        <v>45970</v>
      </c>
      <c r="K193" s="379" t="s">
        <v>957</v>
      </c>
      <c r="L193" s="379" t="s">
        <v>30</v>
      </c>
      <c r="M193" s="385">
        <v>0</v>
      </c>
      <c r="N193" s="383"/>
      <c r="O193" s="383"/>
      <c r="P193" s="384">
        <v>6.86</v>
      </c>
    </row>
    <row r="194" spans="1:16" ht="19.5" customHeight="1">
      <c r="A194" s="379" t="s">
        <v>1173</v>
      </c>
      <c r="B194" s="382">
        <v>45974</v>
      </c>
      <c r="C194" s="379" t="s">
        <v>31</v>
      </c>
      <c r="D194" s="379" t="s">
        <v>34</v>
      </c>
      <c r="E194" s="379" t="s">
        <v>223</v>
      </c>
      <c r="F194" s="379" t="s">
        <v>395</v>
      </c>
      <c r="G194" s="379" t="s">
        <v>21</v>
      </c>
      <c r="H194" s="383">
        <v>1</v>
      </c>
      <c r="I194" s="384">
        <v>1336</v>
      </c>
      <c r="J194" s="382">
        <v>45970</v>
      </c>
      <c r="K194" s="379" t="s">
        <v>957</v>
      </c>
      <c r="L194" s="379" t="s">
        <v>30</v>
      </c>
      <c r="M194" s="385">
        <v>0</v>
      </c>
      <c r="N194" s="383"/>
      <c r="O194" s="383"/>
      <c r="P194" s="386">
        <v>643.42999999999995</v>
      </c>
    </row>
    <row r="195" spans="1:16" ht="19.5" customHeight="1">
      <c r="A195" s="379" t="s">
        <v>1173</v>
      </c>
      <c r="B195" s="382">
        <v>45974</v>
      </c>
      <c r="C195" s="379" t="s">
        <v>35</v>
      </c>
      <c r="D195" s="379" t="s">
        <v>36</v>
      </c>
      <c r="E195" s="379" t="s">
        <v>223</v>
      </c>
      <c r="F195" s="379" t="s">
        <v>395</v>
      </c>
      <c r="G195" s="379" t="s">
        <v>21</v>
      </c>
      <c r="H195" s="383">
        <v>1</v>
      </c>
      <c r="I195" s="384">
        <v>1336</v>
      </c>
      <c r="J195" s="382">
        <v>45970</v>
      </c>
      <c r="K195" s="379" t="s">
        <v>957</v>
      </c>
      <c r="L195" s="379" t="s">
        <v>30</v>
      </c>
      <c r="M195" s="385">
        <v>0.38</v>
      </c>
      <c r="N195" s="383"/>
      <c r="O195" s="383"/>
      <c r="P195" s="384">
        <v>-507.68</v>
      </c>
    </row>
    <row r="196" spans="1:16" ht="19.5" customHeight="1">
      <c r="A196" s="379" t="s">
        <v>1173</v>
      </c>
      <c r="B196" s="382">
        <v>45974</v>
      </c>
      <c r="C196" s="379" t="s">
        <v>17</v>
      </c>
      <c r="D196" s="379" t="s">
        <v>37</v>
      </c>
      <c r="E196" s="379" t="s">
        <v>223</v>
      </c>
      <c r="F196" s="379" t="s">
        <v>395</v>
      </c>
      <c r="G196" s="379" t="s">
        <v>21</v>
      </c>
      <c r="H196" s="383">
        <v>1</v>
      </c>
      <c r="I196" s="384">
        <v>1336</v>
      </c>
      <c r="J196" s="382">
        <v>45970</v>
      </c>
      <c r="K196" s="379" t="s">
        <v>957</v>
      </c>
      <c r="L196" s="379" t="s">
        <v>30</v>
      </c>
      <c r="M196" s="385">
        <v>0.38</v>
      </c>
      <c r="N196" s="383"/>
      <c r="O196" s="383"/>
      <c r="P196" s="384">
        <v>-8.91</v>
      </c>
    </row>
    <row r="197" spans="1:16" ht="19.5" customHeight="1">
      <c r="A197" s="379" t="s">
        <v>1174</v>
      </c>
      <c r="B197" s="382">
        <v>45974</v>
      </c>
      <c r="C197" s="379" t="s">
        <v>28</v>
      </c>
      <c r="D197" s="379" t="s">
        <v>29</v>
      </c>
      <c r="E197" s="379" t="s">
        <v>223</v>
      </c>
      <c r="F197" s="379" t="s">
        <v>395</v>
      </c>
      <c r="G197" s="379" t="s">
        <v>21</v>
      </c>
      <c r="H197" s="383">
        <v>1</v>
      </c>
      <c r="I197" s="384">
        <v>1364</v>
      </c>
      <c r="J197" s="382">
        <v>45971</v>
      </c>
      <c r="K197" s="379" t="s">
        <v>957</v>
      </c>
      <c r="L197" s="379" t="s">
        <v>30</v>
      </c>
      <c r="M197" s="385">
        <v>0.43</v>
      </c>
      <c r="N197" s="383"/>
      <c r="O197" s="383"/>
      <c r="P197" s="384">
        <v>-46</v>
      </c>
    </row>
    <row r="198" spans="1:16" ht="19.5" customHeight="1">
      <c r="A198" s="379" t="s">
        <v>1174</v>
      </c>
      <c r="B198" s="382">
        <v>45974</v>
      </c>
      <c r="C198" s="379" t="s">
        <v>31</v>
      </c>
      <c r="D198" s="379" t="s">
        <v>32</v>
      </c>
      <c r="E198" s="379" t="s">
        <v>223</v>
      </c>
      <c r="F198" s="379" t="s">
        <v>395</v>
      </c>
      <c r="G198" s="379" t="s">
        <v>21</v>
      </c>
      <c r="H198" s="383">
        <v>1</v>
      </c>
      <c r="I198" s="384">
        <v>1364</v>
      </c>
      <c r="J198" s="382">
        <v>45971</v>
      </c>
      <c r="K198" s="379" t="s">
        <v>957</v>
      </c>
      <c r="L198" s="379" t="s">
        <v>30</v>
      </c>
      <c r="M198" s="385">
        <v>0</v>
      </c>
      <c r="N198" s="383"/>
      <c r="O198" s="383"/>
      <c r="P198" s="384">
        <v>827.78</v>
      </c>
    </row>
    <row r="199" spans="1:16" ht="19.5" customHeight="1">
      <c r="A199" s="379" t="s">
        <v>1174</v>
      </c>
      <c r="B199" s="382">
        <v>45974</v>
      </c>
      <c r="C199" s="379" t="s">
        <v>31</v>
      </c>
      <c r="D199" s="379" t="s">
        <v>33</v>
      </c>
      <c r="E199" s="379" t="s">
        <v>223</v>
      </c>
      <c r="F199" s="379" t="s">
        <v>395</v>
      </c>
      <c r="G199" s="379" t="s">
        <v>21</v>
      </c>
      <c r="H199" s="383">
        <v>1</v>
      </c>
      <c r="I199" s="384">
        <v>1364</v>
      </c>
      <c r="J199" s="382">
        <v>45971</v>
      </c>
      <c r="K199" s="379" t="s">
        <v>957</v>
      </c>
      <c r="L199" s="379" t="s">
        <v>30</v>
      </c>
      <c r="M199" s="385">
        <v>0</v>
      </c>
      <c r="N199" s="383"/>
      <c r="O199" s="383"/>
      <c r="P199" s="384">
        <v>0</v>
      </c>
    </row>
    <row r="200" spans="1:16" ht="19.5" customHeight="1">
      <c r="A200" s="379" t="s">
        <v>1174</v>
      </c>
      <c r="B200" s="382">
        <v>45974</v>
      </c>
      <c r="C200" s="379" t="s">
        <v>31</v>
      </c>
      <c r="D200" s="379" t="s">
        <v>34</v>
      </c>
      <c r="E200" s="379" t="s">
        <v>223</v>
      </c>
      <c r="F200" s="379" t="s">
        <v>395</v>
      </c>
      <c r="G200" s="379" t="s">
        <v>21</v>
      </c>
      <c r="H200" s="383">
        <v>1</v>
      </c>
      <c r="I200" s="384">
        <v>1364</v>
      </c>
      <c r="J200" s="382">
        <v>45971</v>
      </c>
      <c r="K200" s="379" t="s">
        <v>957</v>
      </c>
      <c r="L200" s="379" t="s">
        <v>30</v>
      </c>
      <c r="M200" s="385">
        <v>0</v>
      </c>
      <c r="N200" s="383"/>
      <c r="O200" s="383"/>
      <c r="P200" s="386">
        <v>536.22</v>
      </c>
    </row>
    <row r="201" spans="1:16" ht="19.5" customHeight="1">
      <c r="A201" s="379" t="s">
        <v>1174</v>
      </c>
      <c r="B201" s="382">
        <v>45974</v>
      </c>
      <c r="C201" s="379" t="s">
        <v>35</v>
      </c>
      <c r="D201" s="379" t="s">
        <v>36</v>
      </c>
      <c r="E201" s="379" t="s">
        <v>223</v>
      </c>
      <c r="F201" s="379" t="s">
        <v>395</v>
      </c>
      <c r="G201" s="379" t="s">
        <v>21</v>
      </c>
      <c r="H201" s="383">
        <v>1</v>
      </c>
      <c r="I201" s="384">
        <v>1364</v>
      </c>
      <c r="J201" s="382">
        <v>45971</v>
      </c>
      <c r="K201" s="379" t="s">
        <v>957</v>
      </c>
      <c r="L201" s="379" t="s">
        <v>30</v>
      </c>
      <c r="M201" s="385">
        <v>0.43</v>
      </c>
      <c r="N201" s="383"/>
      <c r="O201" s="383"/>
      <c r="P201" s="384">
        <v>-586.52</v>
      </c>
    </row>
    <row r="202" spans="1:16" ht="19.5" customHeight="1">
      <c r="A202" s="379" t="s">
        <v>1174</v>
      </c>
      <c r="B202" s="382">
        <v>45974</v>
      </c>
      <c r="C202" s="379" t="s">
        <v>17</v>
      </c>
      <c r="D202" s="379" t="s">
        <v>18</v>
      </c>
      <c r="E202" s="379" t="s">
        <v>223</v>
      </c>
      <c r="F202" s="379" t="s">
        <v>395</v>
      </c>
      <c r="G202" s="379" t="s">
        <v>21</v>
      </c>
      <c r="H202" s="383">
        <v>1</v>
      </c>
      <c r="I202" s="384">
        <v>0</v>
      </c>
      <c r="J202" s="382">
        <v>45971</v>
      </c>
      <c r="K202" s="379" t="s">
        <v>22</v>
      </c>
      <c r="L202" s="379" t="s">
        <v>22</v>
      </c>
      <c r="M202" s="385">
        <v>0</v>
      </c>
      <c r="N202" s="383"/>
      <c r="O202" s="383"/>
      <c r="P202" s="384">
        <v>-6.04</v>
      </c>
    </row>
    <row r="203" spans="1:16" ht="19.5" customHeight="1">
      <c r="A203" s="379" t="s">
        <v>1175</v>
      </c>
      <c r="B203" s="382">
        <v>45974</v>
      </c>
      <c r="C203" s="379" t="s">
        <v>28</v>
      </c>
      <c r="D203" s="379" t="s">
        <v>29</v>
      </c>
      <c r="E203" s="379" t="s">
        <v>25</v>
      </c>
      <c r="F203" s="379" t="s">
        <v>26</v>
      </c>
      <c r="G203" s="379" t="s">
        <v>21</v>
      </c>
      <c r="H203" s="383">
        <v>1</v>
      </c>
      <c r="I203" s="384">
        <v>1117</v>
      </c>
      <c r="J203" s="382">
        <v>45971</v>
      </c>
      <c r="K203" s="379" t="s">
        <v>957</v>
      </c>
      <c r="L203" s="379" t="s">
        <v>30</v>
      </c>
      <c r="M203" s="385">
        <v>0.43</v>
      </c>
      <c r="N203" s="383"/>
      <c r="O203" s="383"/>
      <c r="P203" s="384">
        <v>-46</v>
      </c>
    </row>
    <row r="204" spans="1:16" ht="19.5" customHeight="1">
      <c r="A204" s="379" t="s">
        <v>1175</v>
      </c>
      <c r="B204" s="382">
        <v>45974</v>
      </c>
      <c r="C204" s="379" t="s">
        <v>31</v>
      </c>
      <c r="D204" s="379" t="s">
        <v>32</v>
      </c>
      <c r="E204" s="379" t="s">
        <v>25</v>
      </c>
      <c r="F204" s="379" t="s">
        <v>26</v>
      </c>
      <c r="G204" s="379" t="s">
        <v>21</v>
      </c>
      <c r="H204" s="383">
        <v>1</v>
      </c>
      <c r="I204" s="384">
        <v>1117</v>
      </c>
      <c r="J204" s="382">
        <v>45971</v>
      </c>
      <c r="K204" s="379" t="s">
        <v>957</v>
      </c>
      <c r="L204" s="379" t="s">
        <v>30</v>
      </c>
      <c r="M204" s="385">
        <v>0</v>
      </c>
      <c r="N204" s="383"/>
      <c r="O204" s="383"/>
      <c r="P204" s="384">
        <v>593.72</v>
      </c>
    </row>
    <row r="205" spans="1:16" ht="19.5" customHeight="1">
      <c r="A205" s="379" t="s">
        <v>1175</v>
      </c>
      <c r="B205" s="382">
        <v>45974</v>
      </c>
      <c r="C205" s="379" t="s">
        <v>31</v>
      </c>
      <c r="D205" s="379" t="s">
        <v>33</v>
      </c>
      <c r="E205" s="379" t="s">
        <v>25</v>
      </c>
      <c r="F205" s="379" t="s">
        <v>26</v>
      </c>
      <c r="G205" s="379" t="s">
        <v>21</v>
      </c>
      <c r="H205" s="383">
        <v>1</v>
      </c>
      <c r="I205" s="384">
        <v>1117</v>
      </c>
      <c r="J205" s="382">
        <v>45971</v>
      </c>
      <c r="K205" s="379" t="s">
        <v>957</v>
      </c>
      <c r="L205" s="379" t="s">
        <v>30</v>
      </c>
      <c r="M205" s="385">
        <v>0</v>
      </c>
      <c r="N205" s="383"/>
      <c r="O205" s="383"/>
      <c r="P205" s="384">
        <v>5.94</v>
      </c>
    </row>
    <row r="206" spans="1:16" ht="19.5" customHeight="1">
      <c r="A206" s="379" t="s">
        <v>1175</v>
      </c>
      <c r="B206" s="382">
        <v>45974</v>
      </c>
      <c r="C206" s="379" t="s">
        <v>31</v>
      </c>
      <c r="D206" s="379" t="s">
        <v>34</v>
      </c>
      <c r="E206" s="379" t="s">
        <v>25</v>
      </c>
      <c r="F206" s="379" t="s">
        <v>26</v>
      </c>
      <c r="G206" s="379" t="s">
        <v>21</v>
      </c>
      <c r="H206" s="383">
        <v>1</v>
      </c>
      <c r="I206" s="384">
        <v>1117</v>
      </c>
      <c r="J206" s="382">
        <v>45971</v>
      </c>
      <c r="K206" s="379" t="s">
        <v>957</v>
      </c>
      <c r="L206" s="379" t="s">
        <v>30</v>
      </c>
      <c r="M206" s="385">
        <v>0</v>
      </c>
      <c r="N206" s="383"/>
      <c r="O206" s="383"/>
      <c r="P206" s="386">
        <v>517.34</v>
      </c>
    </row>
    <row r="207" spans="1:16" ht="19.5" customHeight="1">
      <c r="A207" s="379" t="s">
        <v>1175</v>
      </c>
      <c r="B207" s="382">
        <v>45974</v>
      </c>
      <c r="C207" s="379" t="s">
        <v>35</v>
      </c>
      <c r="D207" s="379" t="s">
        <v>36</v>
      </c>
      <c r="E207" s="379" t="s">
        <v>25</v>
      </c>
      <c r="F207" s="379" t="s">
        <v>26</v>
      </c>
      <c r="G207" s="379" t="s">
        <v>21</v>
      </c>
      <c r="H207" s="383">
        <v>1</v>
      </c>
      <c r="I207" s="384">
        <v>1117</v>
      </c>
      <c r="J207" s="382">
        <v>45971</v>
      </c>
      <c r="K207" s="379" t="s">
        <v>957</v>
      </c>
      <c r="L207" s="379" t="s">
        <v>30</v>
      </c>
      <c r="M207" s="385">
        <v>0.43</v>
      </c>
      <c r="N207" s="383"/>
      <c r="O207" s="383"/>
      <c r="P207" s="384">
        <v>-480.31</v>
      </c>
    </row>
    <row r="208" spans="1:16" ht="19.5" customHeight="1">
      <c r="A208" s="379" t="s">
        <v>1175</v>
      </c>
      <c r="B208" s="382">
        <v>45974</v>
      </c>
      <c r="C208" s="379" t="s">
        <v>17</v>
      </c>
      <c r="D208" s="379" t="s">
        <v>37</v>
      </c>
      <c r="E208" s="379" t="s">
        <v>25</v>
      </c>
      <c r="F208" s="379" t="s">
        <v>26</v>
      </c>
      <c r="G208" s="379" t="s">
        <v>21</v>
      </c>
      <c r="H208" s="383">
        <v>1</v>
      </c>
      <c r="I208" s="384">
        <v>1117</v>
      </c>
      <c r="J208" s="382">
        <v>45971</v>
      </c>
      <c r="K208" s="379" t="s">
        <v>957</v>
      </c>
      <c r="L208" s="379" t="s">
        <v>30</v>
      </c>
      <c r="M208" s="385">
        <v>0.43</v>
      </c>
      <c r="N208" s="383"/>
      <c r="O208" s="383"/>
      <c r="P208" s="384">
        <v>-8.73</v>
      </c>
    </row>
    <row r="209" spans="1:16" ht="19.5" customHeight="1">
      <c r="A209" s="379" t="s">
        <v>1176</v>
      </c>
      <c r="B209" s="382">
        <v>45974</v>
      </c>
      <c r="C209" s="379" t="s">
        <v>28</v>
      </c>
      <c r="D209" s="379" t="s">
        <v>29</v>
      </c>
      <c r="E209" s="379" t="s">
        <v>54</v>
      </c>
      <c r="F209" s="379" t="s">
        <v>55</v>
      </c>
      <c r="G209" s="379" t="s">
        <v>21</v>
      </c>
      <c r="H209" s="383">
        <v>1</v>
      </c>
      <c r="I209" s="384">
        <v>0</v>
      </c>
      <c r="J209" s="382">
        <v>45964</v>
      </c>
      <c r="K209" s="379" t="s">
        <v>957</v>
      </c>
      <c r="L209" s="379" t="s">
        <v>30</v>
      </c>
      <c r="M209" s="385">
        <v>0</v>
      </c>
      <c r="N209" s="383"/>
      <c r="O209" s="383"/>
      <c r="P209" s="384">
        <v>-46</v>
      </c>
    </row>
    <row r="210" spans="1:16" ht="19.5" customHeight="1">
      <c r="A210" s="379" t="s">
        <v>1176</v>
      </c>
      <c r="B210" s="382">
        <v>45974</v>
      </c>
      <c r="C210" s="379" t="s">
        <v>17</v>
      </c>
      <c r="D210" s="379" t="s">
        <v>37</v>
      </c>
      <c r="E210" s="379" t="s">
        <v>54</v>
      </c>
      <c r="F210" s="379" t="s">
        <v>55</v>
      </c>
      <c r="G210" s="379" t="s">
        <v>21</v>
      </c>
      <c r="H210" s="383">
        <v>1</v>
      </c>
      <c r="I210" s="384">
        <v>0</v>
      </c>
      <c r="J210" s="382">
        <v>45964</v>
      </c>
      <c r="K210" s="379" t="s">
        <v>957</v>
      </c>
      <c r="L210" s="379" t="s">
        <v>30</v>
      </c>
      <c r="M210" s="385">
        <v>0</v>
      </c>
      <c r="N210" s="383"/>
      <c r="O210" s="383"/>
      <c r="P210" s="384">
        <v>-10.9</v>
      </c>
    </row>
    <row r="211" spans="1:16" ht="19.5" customHeight="1">
      <c r="A211" s="379" t="s">
        <v>1176</v>
      </c>
      <c r="B211" s="382">
        <v>45974</v>
      </c>
      <c r="C211" s="379" t="s">
        <v>28</v>
      </c>
      <c r="D211" s="379" t="s">
        <v>45</v>
      </c>
      <c r="E211" s="379" t="s">
        <v>54</v>
      </c>
      <c r="F211" s="379" t="s">
        <v>55</v>
      </c>
      <c r="G211" s="379" t="s">
        <v>21</v>
      </c>
      <c r="H211" s="383">
        <v>1</v>
      </c>
      <c r="I211" s="384">
        <v>0</v>
      </c>
      <c r="J211" s="382">
        <v>45964</v>
      </c>
      <c r="K211" s="379" t="s">
        <v>957</v>
      </c>
      <c r="L211" s="379" t="s">
        <v>30</v>
      </c>
      <c r="M211" s="385">
        <v>0</v>
      </c>
      <c r="N211" s="383"/>
      <c r="O211" s="383"/>
      <c r="P211" s="384">
        <v>0</v>
      </c>
    </row>
    <row r="212" spans="1:16" ht="19.5" customHeight="1">
      <c r="A212" s="379" t="s">
        <v>1176</v>
      </c>
      <c r="B212" s="382">
        <v>45974</v>
      </c>
      <c r="C212" s="379" t="s">
        <v>28</v>
      </c>
      <c r="D212" s="379" t="s">
        <v>46</v>
      </c>
      <c r="E212" s="379" t="s">
        <v>54</v>
      </c>
      <c r="F212" s="379" t="s">
        <v>55</v>
      </c>
      <c r="G212" s="379" t="s">
        <v>21</v>
      </c>
      <c r="H212" s="383">
        <v>1</v>
      </c>
      <c r="I212" s="384">
        <v>0</v>
      </c>
      <c r="J212" s="382">
        <v>45964</v>
      </c>
      <c r="K212" s="379" t="s">
        <v>957</v>
      </c>
      <c r="L212" s="379" t="s">
        <v>30</v>
      </c>
      <c r="M212" s="385">
        <v>0</v>
      </c>
      <c r="N212" s="383"/>
      <c r="O212" s="383"/>
      <c r="P212" s="384">
        <v>-46</v>
      </c>
    </row>
    <row r="213" spans="1:16" ht="19.5" customHeight="1">
      <c r="A213" s="379" t="s">
        <v>1177</v>
      </c>
      <c r="B213" s="382">
        <v>45974</v>
      </c>
      <c r="C213" s="379" t="s">
        <v>17</v>
      </c>
      <c r="D213" s="379" t="s">
        <v>18</v>
      </c>
      <c r="E213" s="379" t="s">
        <v>88</v>
      </c>
      <c r="F213" s="379" t="s">
        <v>89</v>
      </c>
      <c r="G213" s="379" t="s">
        <v>21</v>
      </c>
      <c r="H213" s="383">
        <v>1</v>
      </c>
      <c r="I213" s="384">
        <v>0</v>
      </c>
      <c r="J213" s="382">
        <v>45974</v>
      </c>
      <c r="K213" s="379" t="s">
        <v>22</v>
      </c>
      <c r="L213" s="379" t="s">
        <v>22</v>
      </c>
      <c r="M213" s="385">
        <v>0</v>
      </c>
      <c r="N213" s="383"/>
      <c r="O213" s="383"/>
      <c r="P213" s="384">
        <v>-8.8699999999999992</v>
      </c>
    </row>
    <row r="214" spans="1:16" ht="19.5" customHeight="1">
      <c r="A214" s="379" t="s">
        <v>1178</v>
      </c>
      <c r="B214" s="382">
        <v>45974</v>
      </c>
      <c r="C214" s="379" t="s">
        <v>28</v>
      </c>
      <c r="D214" s="379" t="s">
        <v>29</v>
      </c>
      <c r="E214" s="379" t="s">
        <v>223</v>
      </c>
      <c r="F214" s="379" t="s">
        <v>395</v>
      </c>
      <c r="G214" s="379" t="s">
        <v>21</v>
      </c>
      <c r="H214" s="383">
        <v>1</v>
      </c>
      <c r="I214" s="384">
        <v>1309</v>
      </c>
      <c r="J214" s="382">
        <v>45972</v>
      </c>
      <c r="K214" s="379" t="s">
        <v>957</v>
      </c>
      <c r="L214" s="379" t="s">
        <v>30</v>
      </c>
      <c r="M214" s="385">
        <v>0.43</v>
      </c>
      <c r="N214" s="383"/>
      <c r="O214" s="383"/>
      <c r="P214" s="384">
        <v>-46</v>
      </c>
    </row>
    <row r="215" spans="1:16" ht="19.5" customHeight="1">
      <c r="A215" s="379" t="s">
        <v>1178</v>
      </c>
      <c r="B215" s="382">
        <v>45974</v>
      </c>
      <c r="C215" s="379" t="s">
        <v>31</v>
      </c>
      <c r="D215" s="379" t="s">
        <v>32</v>
      </c>
      <c r="E215" s="379" t="s">
        <v>223</v>
      </c>
      <c r="F215" s="379" t="s">
        <v>395</v>
      </c>
      <c r="G215" s="379" t="s">
        <v>21</v>
      </c>
      <c r="H215" s="383">
        <v>1</v>
      </c>
      <c r="I215" s="384">
        <v>1309</v>
      </c>
      <c r="J215" s="382">
        <v>45972</v>
      </c>
      <c r="K215" s="379" t="s">
        <v>957</v>
      </c>
      <c r="L215" s="379" t="s">
        <v>30</v>
      </c>
      <c r="M215" s="385">
        <v>0</v>
      </c>
      <c r="N215" s="383"/>
      <c r="O215" s="383"/>
      <c r="P215" s="384">
        <v>570.88</v>
      </c>
    </row>
    <row r="216" spans="1:16" ht="19.5" customHeight="1">
      <c r="A216" s="379" t="s">
        <v>1178</v>
      </c>
      <c r="B216" s="382">
        <v>45974</v>
      </c>
      <c r="C216" s="379" t="s">
        <v>31</v>
      </c>
      <c r="D216" s="379" t="s">
        <v>33</v>
      </c>
      <c r="E216" s="379" t="s">
        <v>223</v>
      </c>
      <c r="F216" s="379" t="s">
        <v>395</v>
      </c>
      <c r="G216" s="379" t="s">
        <v>21</v>
      </c>
      <c r="H216" s="383">
        <v>1</v>
      </c>
      <c r="I216" s="384">
        <v>1309</v>
      </c>
      <c r="J216" s="382">
        <v>45972</v>
      </c>
      <c r="K216" s="379" t="s">
        <v>957</v>
      </c>
      <c r="L216" s="379" t="s">
        <v>30</v>
      </c>
      <c r="M216" s="385">
        <v>0</v>
      </c>
      <c r="N216" s="383"/>
      <c r="O216" s="383"/>
      <c r="P216" s="384">
        <v>5.71</v>
      </c>
    </row>
    <row r="217" spans="1:16" ht="19.5" customHeight="1">
      <c r="A217" s="379" t="s">
        <v>1178</v>
      </c>
      <c r="B217" s="382">
        <v>45974</v>
      </c>
      <c r="C217" s="379" t="s">
        <v>31</v>
      </c>
      <c r="D217" s="379" t="s">
        <v>34</v>
      </c>
      <c r="E217" s="379" t="s">
        <v>223</v>
      </c>
      <c r="F217" s="379" t="s">
        <v>395</v>
      </c>
      <c r="G217" s="379" t="s">
        <v>21</v>
      </c>
      <c r="H217" s="383">
        <v>1</v>
      </c>
      <c r="I217" s="384">
        <v>1309</v>
      </c>
      <c r="J217" s="382">
        <v>45972</v>
      </c>
      <c r="K217" s="379" t="s">
        <v>957</v>
      </c>
      <c r="L217" s="379" t="s">
        <v>30</v>
      </c>
      <c r="M217" s="385">
        <v>0</v>
      </c>
      <c r="N217" s="383"/>
      <c r="O217" s="383"/>
      <c r="P217" s="386">
        <v>732.41</v>
      </c>
    </row>
    <row r="218" spans="1:16" ht="19.5" customHeight="1">
      <c r="A218" s="379" t="s">
        <v>1178</v>
      </c>
      <c r="B218" s="382">
        <v>45974</v>
      </c>
      <c r="C218" s="379" t="s">
        <v>35</v>
      </c>
      <c r="D218" s="379" t="s">
        <v>36</v>
      </c>
      <c r="E218" s="379" t="s">
        <v>223</v>
      </c>
      <c r="F218" s="379" t="s">
        <v>395</v>
      </c>
      <c r="G218" s="379" t="s">
        <v>21</v>
      </c>
      <c r="H218" s="383">
        <v>1</v>
      </c>
      <c r="I218" s="384">
        <v>1309</v>
      </c>
      <c r="J218" s="382">
        <v>45972</v>
      </c>
      <c r="K218" s="379" t="s">
        <v>957</v>
      </c>
      <c r="L218" s="379" t="s">
        <v>30</v>
      </c>
      <c r="M218" s="385">
        <v>0.43</v>
      </c>
      <c r="N218" s="383"/>
      <c r="O218" s="383"/>
      <c r="P218" s="384">
        <v>-562.87</v>
      </c>
    </row>
    <row r="219" spans="1:16" ht="19.5" customHeight="1">
      <c r="A219" s="379" t="s">
        <v>1178</v>
      </c>
      <c r="B219" s="382">
        <v>45974</v>
      </c>
      <c r="C219" s="379" t="s">
        <v>17</v>
      </c>
      <c r="D219" s="379" t="s">
        <v>37</v>
      </c>
      <c r="E219" s="379" t="s">
        <v>223</v>
      </c>
      <c r="F219" s="379" t="s">
        <v>395</v>
      </c>
      <c r="G219" s="379" t="s">
        <v>21</v>
      </c>
      <c r="H219" s="383">
        <v>1</v>
      </c>
      <c r="I219" s="384">
        <v>1309</v>
      </c>
      <c r="J219" s="382">
        <v>45972</v>
      </c>
      <c r="K219" s="379" t="s">
        <v>957</v>
      </c>
      <c r="L219" s="379" t="s">
        <v>30</v>
      </c>
      <c r="M219" s="385">
        <v>0.43</v>
      </c>
      <c r="N219" s="383"/>
      <c r="O219" s="383"/>
      <c r="P219" s="384">
        <v>-8.23</v>
      </c>
    </row>
    <row r="220" spans="1:16" ht="19.5" customHeight="1">
      <c r="A220" s="379" t="s">
        <v>1178</v>
      </c>
      <c r="B220" s="382">
        <v>45974</v>
      </c>
      <c r="C220" s="379" t="s">
        <v>17</v>
      </c>
      <c r="D220" s="379" t="s">
        <v>18</v>
      </c>
      <c r="E220" s="379" t="s">
        <v>223</v>
      </c>
      <c r="F220" s="379" t="s">
        <v>395</v>
      </c>
      <c r="G220" s="379" t="s">
        <v>21</v>
      </c>
      <c r="H220" s="383">
        <v>1</v>
      </c>
      <c r="I220" s="384">
        <v>0</v>
      </c>
      <c r="J220" s="382">
        <v>45972</v>
      </c>
      <c r="K220" s="379" t="s">
        <v>22</v>
      </c>
      <c r="L220" s="379" t="s">
        <v>22</v>
      </c>
      <c r="M220" s="385">
        <v>0</v>
      </c>
      <c r="N220" s="383"/>
      <c r="O220" s="383"/>
      <c r="P220" s="384">
        <v>-10.85</v>
      </c>
    </row>
    <row r="221" spans="1:16" ht="19.5" customHeight="1">
      <c r="A221" s="379" t="s">
        <v>1179</v>
      </c>
      <c r="B221" s="382">
        <v>45974</v>
      </c>
      <c r="C221" s="379" t="s">
        <v>74</v>
      </c>
      <c r="D221" s="379" t="s">
        <v>75</v>
      </c>
      <c r="E221" s="379" t="s">
        <v>51</v>
      </c>
      <c r="F221" s="379" t="s">
        <v>52</v>
      </c>
      <c r="G221" s="379" t="s">
        <v>1133</v>
      </c>
      <c r="H221" s="383">
        <v>1</v>
      </c>
      <c r="I221" s="384">
        <v>0</v>
      </c>
      <c r="J221" s="382">
        <v>45973</v>
      </c>
      <c r="K221" s="379" t="s">
        <v>957</v>
      </c>
      <c r="L221" s="379" t="s">
        <v>30</v>
      </c>
      <c r="M221" s="385">
        <v>0</v>
      </c>
      <c r="N221" s="383"/>
      <c r="O221" s="383"/>
      <c r="P221" s="384">
        <v>-5</v>
      </c>
    </row>
    <row r="222" spans="1:16" ht="19.5" customHeight="1">
      <c r="A222" s="379" t="s">
        <v>1179</v>
      </c>
      <c r="B222" s="382">
        <v>45974</v>
      </c>
      <c r="C222" s="379" t="s">
        <v>17</v>
      </c>
      <c r="D222" s="379" t="s">
        <v>76</v>
      </c>
      <c r="E222" s="379" t="s">
        <v>51</v>
      </c>
      <c r="F222" s="379" t="s">
        <v>52</v>
      </c>
      <c r="G222" s="379" t="s">
        <v>1133</v>
      </c>
      <c r="H222" s="383">
        <v>1</v>
      </c>
      <c r="I222" s="384">
        <v>0</v>
      </c>
      <c r="J222" s="382">
        <v>45973</v>
      </c>
      <c r="K222" s="379" t="s">
        <v>957</v>
      </c>
      <c r="L222" s="379" t="s">
        <v>30</v>
      </c>
      <c r="M222" s="385">
        <v>0</v>
      </c>
      <c r="N222" s="383"/>
      <c r="O222" s="383"/>
      <c r="P222" s="384">
        <v>-10</v>
      </c>
    </row>
    <row r="223" spans="1:16" ht="19.5" customHeight="1">
      <c r="A223" s="379" t="s">
        <v>1180</v>
      </c>
      <c r="B223" s="382">
        <v>45974</v>
      </c>
      <c r="C223" s="379" t="s">
        <v>28</v>
      </c>
      <c r="D223" s="379" t="s">
        <v>29</v>
      </c>
      <c r="E223" s="379" t="s">
        <v>223</v>
      </c>
      <c r="F223" s="379" t="s">
        <v>395</v>
      </c>
      <c r="G223" s="379" t="s">
        <v>21</v>
      </c>
      <c r="H223" s="383">
        <v>1</v>
      </c>
      <c r="I223" s="384">
        <v>0</v>
      </c>
      <c r="J223" s="382">
        <v>45972</v>
      </c>
      <c r="K223" s="379" t="s">
        <v>957</v>
      </c>
      <c r="L223" s="379" t="s">
        <v>30</v>
      </c>
      <c r="M223" s="385">
        <v>0</v>
      </c>
      <c r="N223" s="383"/>
      <c r="O223" s="383"/>
      <c r="P223" s="384">
        <v>-46</v>
      </c>
    </row>
    <row r="224" spans="1:16" ht="19.5" customHeight="1">
      <c r="A224" s="379" t="s">
        <v>22</v>
      </c>
      <c r="B224" s="382">
        <v>45974</v>
      </c>
      <c r="C224" s="379" t="s">
        <v>77</v>
      </c>
      <c r="D224" s="379" t="s">
        <v>78</v>
      </c>
      <c r="E224" s="379" t="s">
        <v>22</v>
      </c>
      <c r="F224" s="379" t="s">
        <v>22</v>
      </c>
      <c r="G224" s="379" t="s">
        <v>1181</v>
      </c>
      <c r="H224" s="383">
        <v>0</v>
      </c>
      <c r="I224" s="384">
        <v>0</v>
      </c>
      <c r="J224" s="382">
        <v>45974</v>
      </c>
      <c r="K224" s="379" t="s">
        <v>22</v>
      </c>
      <c r="L224" s="379" t="s">
        <v>22</v>
      </c>
      <c r="M224" s="385">
        <v>0</v>
      </c>
      <c r="N224" s="383"/>
      <c r="O224" s="383"/>
      <c r="P224" s="384">
        <v>-300</v>
      </c>
    </row>
    <row r="225" spans="1:16" ht="19.5" customHeight="1">
      <c r="A225" s="379" t="s">
        <v>1182</v>
      </c>
      <c r="B225" s="382">
        <v>45974</v>
      </c>
      <c r="C225" s="379" t="s">
        <v>17</v>
      </c>
      <c r="D225" s="379" t="s">
        <v>18</v>
      </c>
      <c r="E225" s="379" t="s">
        <v>235</v>
      </c>
      <c r="F225" s="379" t="s">
        <v>528</v>
      </c>
      <c r="G225" s="379" t="s">
        <v>1133</v>
      </c>
      <c r="H225" s="383">
        <v>1</v>
      </c>
      <c r="I225" s="384">
        <v>0</v>
      </c>
      <c r="J225" s="382">
        <v>45974</v>
      </c>
      <c r="K225" s="379" t="s">
        <v>22</v>
      </c>
      <c r="L225" s="379" t="s">
        <v>22</v>
      </c>
      <c r="M225" s="385">
        <v>0</v>
      </c>
      <c r="N225" s="383"/>
      <c r="O225" s="383"/>
      <c r="P225" s="384">
        <v>-55.21</v>
      </c>
    </row>
    <row r="226" spans="1:16" ht="19.5" customHeight="1">
      <c r="A226" s="379" t="s">
        <v>22</v>
      </c>
      <c r="B226" s="382">
        <v>45974</v>
      </c>
      <c r="C226" s="379" t="s">
        <v>77</v>
      </c>
      <c r="D226" s="379" t="s">
        <v>80</v>
      </c>
      <c r="E226" s="379" t="s">
        <v>22</v>
      </c>
      <c r="F226" s="379" t="s">
        <v>22</v>
      </c>
      <c r="G226" s="379" t="s">
        <v>22</v>
      </c>
      <c r="H226" s="383">
        <v>0</v>
      </c>
      <c r="I226" s="384">
        <v>0</v>
      </c>
      <c r="J226" s="382">
        <v>45974</v>
      </c>
      <c r="K226" s="379" t="s">
        <v>22</v>
      </c>
      <c r="L226" s="379" t="s">
        <v>22</v>
      </c>
      <c r="M226" s="385">
        <v>0</v>
      </c>
      <c r="N226" s="383"/>
      <c r="O226" s="383"/>
      <c r="P226" s="384">
        <v>-576</v>
      </c>
    </row>
    <row r="227" spans="1:16" ht="19.5" customHeight="1">
      <c r="A227" s="379" t="s">
        <v>1075</v>
      </c>
      <c r="B227" s="382">
        <v>45974</v>
      </c>
      <c r="C227" s="379" t="s">
        <v>77</v>
      </c>
      <c r="D227" s="379" t="s">
        <v>82</v>
      </c>
      <c r="E227" s="379" t="s">
        <v>22</v>
      </c>
      <c r="F227" s="379" t="s">
        <v>22</v>
      </c>
      <c r="G227" s="379" t="s">
        <v>22</v>
      </c>
      <c r="H227" s="383">
        <v>0</v>
      </c>
      <c r="I227" s="384">
        <v>0</v>
      </c>
      <c r="J227" s="382">
        <v>45974</v>
      </c>
      <c r="K227" s="379" t="s">
        <v>22</v>
      </c>
      <c r="L227" s="379" t="s">
        <v>22</v>
      </c>
      <c r="M227" s="385">
        <v>0</v>
      </c>
      <c r="N227" s="383"/>
      <c r="O227" s="383"/>
      <c r="P227" s="384">
        <v>-575.74</v>
      </c>
    </row>
    <row r="228" spans="1:16" ht="19.5" customHeight="1">
      <c r="A228" s="379" t="s">
        <v>1106</v>
      </c>
      <c r="B228" s="382">
        <v>45974</v>
      </c>
      <c r="C228" s="379" t="s">
        <v>77</v>
      </c>
      <c r="D228" s="379" t="s">
        <v>82</v>
      </c>
      <c r="E228" s="379" t="s">
        <v>22</v>
      </c>
      <c r="F228" s="379" t="s">
        <v>22</v>
      </c>
      <c r="G228" s="379" t="s">
        <v>22</v>
      </c>
      <c r="H228" s="383">
        <v>0</v>
      </c>
      <c r="I228" s="384">
        <v>0</v>
      </c>
      <c r="J228" s="382">
        <v>45974</v>
      </c>
      <c r="K228" s="379" t="s">
        <v>22</v>
      </c>
      <c r="L228" s="379" t="s">
        <v>22</v>
      </c>
      <c r="M228" s="385">
        <v>0</v>
      </c>
      <c r="N228" s="383"/>
      <c r="O228" s="383"/>
      <c r="P228" s="384">
        <v>-289.14</v>
      </c>
    </row>
    <row r="229" spans="1:16" ht="19.5" customHeight="1">
      <c r="A229" s="379" t="s">
        <v>1127</v>
      </c>
      <c r="B229" s="382">
        <v>45974</v>
      </c>
      <c r="C229" s="379" t="s">
        <v>77</v>
      </c>
      <c r="D229" s="379" t="s">
        <v>82</v>
      </c>
      <c r="E229" s="379" t="s">
        <v>22</v>
      </c>
      <c r="F229" s="379" t="s">
        <v>22</v>
      </c>
      <c r="G229" s="379" t="s">
        <v>22</v>
      </c>
      <c r="H229" s="383">
        <v>0</v>
      </c>
      <c r="I229" s="384">
        <v>0</v>
      </c>
      <c r="J229" s="382">
        <v>45974</v>
      </c>
      <c r="K229" s="379" t="s">
        <v>22</v>
      </c>
      <c r="L229" s="379" t="s">
        <v>22</v>
      </c>
      <c r="M229" s="385">
        <v>0</v>
      </c>
      <c r="N229" s="383"/>
      <c r="O229" s="383"/>
      <c r="P229" s="384">
        <v>-210.12</v>
      </c>
    </row>
    <row r="230" spans="1:16" ht="19.5" customHeight="1">
      <c r="A230" s="379" t="s">
        <v>1169</v>
      </c>
      <c r="B230" s="382">
        <v>45974</v>
      </c>
      <c r="C230" s="379" t="s">
        <v>77</v>
      </c>
      <c r="D230" s="379" t="s">
        <v>82</v>
      </c>
      <c r="E230" s="379" t="s">
        <v>22</v>
      </c>
      <c r="F230" s="379" t="s">
        <v>22</v>
      </c>
      <c r="G230" s="379" t="s">
        <v>22</v>
      </c>
      <c r="H230" s="383">
        <v>0</v>
      </c>
      <c r="I230" s="384">
        <v>0</v>
      </c>
      <c r="J230" s="382">
        <v>45974</v>
      </c>
      <c r="K230" s="379" t="s">
        <v>22</v>
      </c>
      <c r="L230" s="379" t="s">
        <v>22</v>
      </c>
      <c r="M230" s="385">
        <v>0</v>
      </c>
      <c r="N230" s="383"/>
      <c r="O230" s="383"/>
      <c r="P230" s="384">
        <v>-285.79000000000002</v>
      </c>
    </row>
    <row r="231" spans="1:16" ht="19.5" customHeight="1">
      <c r="A231" s="379" t="s">
        <v>1183</v>
      </c>
      <c r="B231" s="382">
        <v>45974</v>
      </c>
      <c r="C231" s="379" t="s">
        <v>77</v>
      </c>
      <c r="D231" s="379" t="s">
        <v>82</v>
      </c>
      <c r="E231" s="379" t="s">
        <v>22</v>
      </c>
      <c r="F231" s="379" t="s">
        <v>22</v>
      </c>
      <c r="G231" s="379" t="s">
        <v>22</v>
      </c>
      <c r="H231" s="383">
        <v>0</v>
      </c>
      <c r="I231" s="384">
        <v>0</v>
      </c>
      <c r="J231" s="382">
        <v>45974</v>
      </c>
      <c r="K231" s="379" t="s">
        <v>22</v>
      </c>
      <c r="L231" s="379" t="s">
        <v>22</v>
      </c>
      <c r="M231" s="385">
        <v>0</v>
      </c>
      <c r="N231" s="383"/>
      <c r="O231" s="383"/>
      <c r="P231" s="384">
        <v>-235.84</v>
      </c>
    </row>
    <row r="232" spans="1:16" ht="19.5" customHeight="1">
      <c r="A232" s="379" t="s">
        <v>83</v>
      </c>
      <c r="B232" s="382">
        <v>45974</v>
      </c>
      <c r="C232" s="379" t="s">
        <v>77</v>
      </c>
      <c r="D232" s="379" t="s">
        <v>84</v>
      </c>
      <c r="E232" s="379" t="s">
        <v>22</v>
      </c>
      <c r="F232" s="379" t="s">
        <v>22</v>
      </c>
      <c r="G232" s="379" t="s">
        <v>22</v>
      </c>
      <c r="H232" s="383">
        <v>0</v>
      </c>
      <c r="I232" s="384">
        <v>0</v>
      </c>
      <c r="J232" s="382">
        <v>45974</v>
      </c>
      <c r="K232" s="379" t="s">
        <v>22</v>
      </c>
      <c r="L232" s="379" t="s">
        <v>22</v>
      </c>
      <c r="M232" s="385">
        <v>0</v>
      </c>
      <c r="N232" s="383"/>
      <c r="O232" s="383"/>
      <c r="P232" s="384">
        <v>-1071.4100000000001</v>
      </c>
    </row>
    <row r="233" spans="1:16" ht="19.5" customHeight="1">
      <c r="A233" s="379" t="s">
        <v>1105</v>
      </c>
      <c r="B233" s="382">
        <v>45974</v>
      </c>
      <c r="C233" s="379" t="s">
        <v>77</v>
      </c>
      <c r="D233" s="379" t="s">
        <v>82</v>
      </c>
      <c r="E233" s="379" t="s">
        <v>22</v>
      </c>
      <c r="F233" s="379" t="s">
        <v>22</v>
      </c>
      <c r="G233" s="379" t="s">
        <v>22</v>
      </c>
      <c r="H233" s="383">
        <v>0</v>
      </c>
      <c r="I233" s="384">
        <v>0</v>
      </c>
      <c r="J233" s="382">
        <v>45974</v>
      </c>
      <c r="K233" s="379" t="s">
        <v>22</v>
      </c>
      <c r="L233" s="379" t="s">
        <v>22</v>
      </c>
      <c r="M233" s="385">
        <v>0</v>
      </c>
      <c r="N233" s="383"/>
      <c r="O233" s="383"/>
      <c r="P233" s="384">
        <v>-570.44000000000005</v>
      </c>
    </row>
    <row r="234" spans="1:16" ht="19.5" customHeight="1">
      <c r="A234" s="379" t="s">
        <v>1107</v>
      </c>
      <c r="B234" s="382">
        <v>45974</v>
      </c>
      <c r="C234" s="379" t="s">
        <v>77</v>
      </c>
      <c r="D234" s="379" t="s">
        <v>82</v>
      </c>
      <c r="E234" s="379" t="s">
        <v>22</v>
      </c>
      <c r="F234" s="379" t="s">
        <v>22</v>
      </c>
      <c r="G234" s="379" t="s">
        <v>22</v>
      </c>
      <c r="H234" s="383">
        <v>0</v>
      </c>
      <c r="I234" s="384">
        <v>0</v>
      </c>
      <c r="J234" s="382">
        <v>45974</v>
      </c>
      <c r="K234" s="379" t="s">
        <v>22</v>
      </c>
      <c r="L234" s="379" t="s">
        <v>22</v>
      </c>
      <c r="M234" s="385">
        <v>0</v>
      </c>
      <c r="N234" s="383"/>
      <c r="O234" s="383"/>
      <c r="P234" s="384">
        <v>-235.58</v>
      </c>
    </row>
    <row r="235" spans="1:16" ht="19.5" customHeight="1">
      <c r="A235" s="379" t="s">
        <v>1122</v>
      </c>
      <c r="B235" s="382">
        <v>45975</v>
      </c>
      <c r="C235" s="379" t="s">
        <v>28</v>
      </c>
      <c r="D235" s="379" t="s">
        <v>60</v>
      </c>
      <c r="E235" s="379" t="s">
        <v>88</v>
      </c>
      <c r="F235" s="379" t="s">
        <v>89</v>
      </c>
      <c r="G235" s="379" t="s">
        <v>21</v>
      </c>
      <c r="H235" s="383">
        <v>1</v>
      </c>
      <c r="I235" s="384">
        <v>0</v>
      </c>
      <c r="J235" s="382">
        <v>45965</v>
      </c>
      <c r="K235" s="379" t="s">
        <v>957</v>
      </c>
      <c r="L235" s="379" t="s">
        <v>30</v>
      </c>
      <c r="M235" s="385">
        <v>0</v>
      </c>
      <c r="N235" s="383"/>
      <c r="O235" s="383"/>
      <c r="P235" s="384">
        <v>0</v>
      </c>
    </row>
    <row r="236" spans="1:16" ht="19.5" customHeight="1">
      <c r="A236" s="379" t="s">
        <v>1122</v>
      </c>
      <c r="B236" s="382">
        <v>45975</v>
      </c>
      <c r="C236" s="379" t="s">
        <v>28</v>
      </c>
      <c r="D236" s="379" t="s">
        <v>46</v>
      </c>
      <c r="E236" s="379" t="s">
        <v>88</v>
      </c>
      <c r="F236" s="379" t="s">
        <v>89</v>
      </c>
      <c r="G236" s="379" t="s">
        <v>21</v>
      </c>
      <c r="H236" s="383">
        <v>1</v>
      </c>
      <c r="I236" s="384">
        <v>0</v>
      </c>
      <c r="J236" s="382">
        <v>45965</v>
      </c>
      <c r="K236" s="379" t="s">
        <v>957</v>
      </c>
      <c r="L236" s="379" t="s">
        <v>30</v>
      </c>
      <c r="M236" s="385">
        <v>0</v>
      </c>
      <c r="N236" s="383"/>
      <c r="O236" s="383"/>
      <c r="P236" s="384">
        <v>-46</v>
      </c>
    </row>
    <row r="237" spans="1:16" ht="19.5" customHeight="1">
      <c r="A237" s="379" t="s">
        <v>1122</v>
      </c>
      <c r="B237" s="382">
        <v>45975</v>
      </c>
      <c r="C237" s="379" t="s">
        <v>17</v>
      </c>
      <c r="D237" s="379" t="s">
        <v>47</v>
      </c>
      <c r="E237" s="379" t="s">
        <v>88</v>
      </c>
      <c r="F237" s="379" t="s">
        <v>89</v>
      </c>
      <c r="G237" s="379" t="s">
        <v>21</v>
      </c>
      <c r="H237" s="383">
        <v>1</v>
      </c>
      <c r="I237" s="384">
        <v>0</v>
      </c>
      <c r="J237" s="382">
        <v>45965</v>
      </c>
      <c r="K237" s="379" t="s">
        <v>957</v>
      </c>
      <c r="L237" s="379" t="s">
        <v>30</v>
      </c>
      <c r="M237" s="385">
        <v>0</v>
      </c>
      <c r="N237" s="383"/>
      <c r="O237" s="383"/>
      <c r="P237" s="384">
        <v>-15</v>
      </c>
    </row>
    <row r="238" spans="1:16" ht="19.5" customHeight="1">
      <c r="A238" s="379" t="s">
        <v>1184</v>
      </c>
      <c r="B238" s="382">
        <v>45975</v>
      </c>
      <c r="C238" s="379" t="s">
        <v>28</v>
      </c>
      <c r="D238" s="379" t="s">
        <v>29</v>
      </c>
      <c r="E238" s="379" t="s">
        <v>223</v>
      </c>
      <c r="F238" s="379" t="s">
        <v>395</v>
      </c>
      <c r="G238" s="379" t="s">
        <v>21</v>
      </c>
      <c r="H238" s="383">
        <v>1</v>
      </c>
      <c r="I238" s="384">
        <v>0</v>
      </c>
      <c r="J238" s="382">
        <v>45966</v>
      </c>
      <c r="K238" s="379" t="s">
        <v>957</v>
      </c>
      <c r="L238" s="379" t="s">
        <v>30</v>
      </c>
      <c r="M238" s="385">
        <v>0</v>
      </c>
      <c r="N238" s="383"/>
      <c r="O238" s="383"/>
      <c r="P238" s="384">
        <v>-46</v>
      </c>
    </row>
    <row r="239" spans="1:16" ht="19.5" customHeight="1">
      <c r="A239" s="379" t="s">
        <v>1184</v>
      </c>
      <c r="B239" s="382">
        <v>45975</v>
      </c>
      <c r="C239" s="379" t="s">
        <v>17</v>
      </c>
      <c r="D239" s="379" t="s">
        <v>37</v>
      </c>
      <c r="E239" s="379" t="s">
        <v>223</v>
      </c>
      <c r="F239" s="379" t="s">
        <v>395</v>
      </c>
      <c r="G239" s="379" t="s">
        <v>21</v>
      </c>
      <c r="H239" s="383">
        <v>1</v>
      </c>
      <c r="I239" s="384">
        <v>0</v>
      </c>
      <c r="J239" s="382">
        <v>45966</v>
      </c>
      <c r="K239" s="379" t="s">
        <v>957</v>
      </c>
      <c r="L239" s="379" t="s">
        <v>30</v>
      </c>
      <c r="M239" s="385">
        <v>0</v>
      </c>
      <c r="N239" s="383"/>
      <c r="O239" s="383"/>
      <c r="P239" s="384">
        <v>-8.01</v>
      </c>
    </row>
    <row r="240" spans="1:16" ht="19.5" customHeight="1">
      <c r="A240" s="379" t="s">
        <v>1184</v>
      </c>
      <c r="B240" s="382">
        <v>45975</v>
      </c>
      <c r="C240" s="379" t="s">
        <v>28</v>
      </c>
      <c r="D240" s="379" t="s">
        <v>45</v>
      </c>
      <c r="E240" s="379" t="s">
        <v>223</v>
      </c>
      <c r="F240" s="379" t="s">
        <v>395</v>
      </c>
      <c r="G240" s="379" t="s">
        <v>21</v>
      </c>
      <c r="H240" s="383">
        <v>1</v>
      </c>
      <c r="I240" s="384">
        <v>0</v>
      </c>
      <c r="J240" s="382">
        <v>45966</v>
      </c>
      <c r="K240" s="379" t="s">
        <v>957</v>
      </c>
      <c r="L240" s="379" t="s">
        <v>30</v>
      </c>
      <c r="M240" s="385">
        <v>0</v>
      </c>
      <c r="N240" s="383"/>
      <c r="O240" s="383"/>
      <c r="P240" s="384">
        <v>0</v>
      </c>
    </row>
    <row r="241" spans="1:16" ht="19.5" customHeight="1">
      <c r="A241" s="379" t="s">
        <v>1184</v>
      </c>
      <c r="B241" s="382">
        <v>45975</v>
      </c>
      <c r="C241" s="379" t="s">
        <v>28</v>
      </c>
      <c r="D241" s="379" t="s">
        <v>46</v>
      </c>
      <c r="E241" s="379" t="s">
        <v>223</v>
      </c>
      <c r="F241" s="379" t="s">
        <v>395</v>
      </c>
      <c r="G241" s="379" t="s">
        <v>21</v>
      </c>
      <c r="H241" s="383">
        <v>1</v>
      </c>
      <c r="I241" s="384">
        <v>0</v>
      </c>
      <c r="J241" s="382">
        <v>45966</v>
      </c>
      <c r="K241" s="379" t="s">
        <v>957</v>
      </c>
      <c r="L241" s="379" t="s">
        <v>30</v>
      </c>
      <c r="M241" s="385">
        <v>0</v>
      </c>
      <c r="N241" s="383"/>
      <c r="O241" s="383"/>
      <c r="P241" s="384">
        <v>-46</v>
      </c>
    </row>
    <row r="242" spans="1:16" ht="19.5" customHeight="1">
      <c r="A242" s="379" t="s">
        <v>1184</v>
      </c>
      <c r="B242" s="382">
        <v>45975</v>
      </c>
      <c r="C242" s="379" t="s">
        <v>17</v>
      </c>
      <c r="D242" s="379" t="s">
        <v>47</v>
      </c>
      <c r="E242" s="379" t="s">
        <v>223</v>
      </c>
      <c r="F242" s="379" t="s">
        <v>395</v>
      </c>
      <c r="G242" s="379" t="s">
        <v>21</v>
      </c>
      <c r="H242" s="383">
        <v>1</v>
      </c>
      <c r="I242" s="384">
        <v>0</v>
      </c>
      <c r="J242" s="382">
        <v>45966</v>
      </c>
      <c r="K242" s="379" t="s">
        <v>957</v>
      </c>
      <c r="L242" s="379" t="s">
        <v>30</v>
      </c>
      <c r="M242" s="385">
        <v>0</v>
      </c>
      <c r="N242" s="383"/>
      <c r="O242" s="383"/>
      <c r="P242" s="384">
        <v>-15</v>
      </c>
    </row>
    <row r="243" spans="1:16" ht="19.5" customHeight="1">
      <c r="A243" s="379" t="s">
        <v>1185</v>
      </c>
      <c r="B243" s="382">
        <v>45975</v>
      </c>
      <c r="C243" s="379" t="s">
        <v>28</v>
      </c>
      <c r="D243" s="379" t="s">
        <v>29</v>
      </c>
      <c r="E243" s="379" t="s">
        <v>223</v>
      </c>
      <c r="F243" s="379" t="s">
        <v>395</v>
      </c>
      <c r="G243" s="379" t="s">
        <v>21</v>
      </c>
      <c r="H243" s="383">
        <v>1</v>
      </c>
      <c r="I243" s="384">
        <v>1687</v>
      </c>
      <c r="J243" s="382">
        <v>45971</v>
      </c>
      <c r="K243" s="379" t="s">
        <v>957</v>
      </c>
      <c r="L243" s="379" t="s">
        <v>30</v>
      </c>
      <c r="M243" s="385">
        <v>0.43</v>
      </c>
      <c r="N243" s="383"/>
      <c r="O243" s="383"/>
      <c r="P243" s="384">
        <v>-46</v>
      </c>
    </row>
    <row r="244" spans="1:16" ht="19.5" customHeight="1">
      <c r="A244" s="379" t="s">
        <v>1185</v>
      </c>
      <c r="B244" s="382">
        <v>45975</v>
      </c>
      <c r="C244" s="379" t="s">
        <v>31</v>
      </c>
      <c r="D244" s="379" t="s">
        <v>32</v>
      </c>
      <c r="E244" s="379" t="s">
        <v>223</v>
      </c>
      <c r="F244" s="379" t="s">
        <v>395</v>
      </c>
      <c r="G244" s="379" t="s">
        <v>21</v>
      </c>
      <c r="H244" s="383">
        <v>1</v>
      </c>
      <c r="I244" s="384">
        <v>1687</v>
      </c>
      <c r="J244" s="382">
        <v>45971</v>
      </c>
      <c r="K244" s="379" t="s">
        <v>957</v>
      </c>
      <c r="L244" s="379" t="s">
        <v>30</v>
      </c>
      <c r="M244" s="385">
        <v>0</v>
      </c>
      <c r="N244" s="383"/>
      <c r="O244" s="383"/>
      <c r="P244" s="384">
        <v>860.95</v>
      </c>
    </row>
    <row r="245" spans="1:16" ht="19.5" customHeight="1">
      <c r="A245" s="379" t="s">
        <v>1185</v>
      </c>
      <c r="B245" s="382">
        <v>45975</v>
      </c>
      <c r="C245" s="379" t="s">
        <v>31</v>
      </c>
      <c r="D245" s="379" t="s">
        <v>33</v>
      </c>
      <c r="E245" s="379" t="s">
        <v>223</v>
      </c>
      <c r="F245" s="379" t="s">
        <v>395</v>
      </c>
      <c r="G245" s="379" t="s">
        <v>21</v>
      </c>
      <c r="H245" s="383">
        <v>1</v>
      </c>
      <c r="I245" s="384">
        <v>1687</v>
      </c>
      <c r="J245" s="382">
        <v>45971</v>
      </c>
      <c r="K245" s="379" t="s">
        <v>957</v>
      </c>
      <c r="L245" s="379" t="s">
        <v>30</v>
      </c>
      <c r="M245" s="385">
        <v>0</v>
      </c>
      <c r="N245" s="383"/>
      <c r="O245" s="383"/>
      <c r="P245" s="384">
        <v>8.61</v>
      </c>
    </row>
    <row r="246" spans="1:16" ht="19.5" customHeight="1">
      <c r="A246" s="379" t="s">
        <v>1185</v>
      </c>
      <c r="B246" s="382">
        <v>45975</v>
      </c>
      <c r="C246" s="379" t="s">
        <v>31</v>
      </c>
      <c r="D246" s="379" t="s">
        <v>34</v>
      </c>
      <c r="E246" s="379" t="s">
        <v>223</v>
      </c>
      <c r="F246" s="379" t="s">
        <v>395</v>
      </c>
      <c r="G246" s="379" t="s">
        <v>21</v>
      </c>
      <c r="H246" s="383">
        <v>1</v>
      </c>
      <c r="I246" s="384">
        <v>1687</v>
      </c>
      <c r="J246" s="382">
        <v>45971</v>
      </c>
      <c r="K246" s="379" t="s">
        <v>957</v>
      </c>
      <c r="L246" s="379" t="s">
        <v>30</v>
      </c>
      <c r="M246" s="385">
        <v>0</v>
      </c>
      <c r="N246" s="383"/>
      <c r="O246" s="383"/>
      <c r="P246" s="386">
        <v>817.44</v>
      </c>
    </row>
    <row r="247" spans="1:16" ht="19.5" customHeight="1">
      <c r="A247" s="379" t="s">
        <v>1185</v>
      </c>
      <c r="B247" s="382">
        <v>45975</v>
      </c>
      <c r="C247" s="379" t="s">
        <v>35</v>
      </c>
      <c r="D247" s="379" t="s">
        <v>36</v>
      </c>
      <c r="E247" s="379" t="s">
        <v>223</v>
      </c>
      <c r="F247" s="379" t="s">
        <v>395</v>
      </c>
      <c r="G247" s="379" t="s">
        <v>21</v>
      </c>
      <c r="H247" s="383">
        <v>1</v>
      </c>
      <c r="I247" s="384">
        <v>1687</v>
      </c>
      <c r="J247" s="382">
        <v>45971</v>
      </c>
      <c r="K247" s="379" t="s">
        <v>957</v>
      </c>
      <c r="L247" s="379" t="s">
        <v>30</v>
      </c>
      <c r="M247" s="385">
        <v>0.43</v>
      </c>
      <c r="N247" s="383"/>
      <c r="O247" s="383"/>
      <c r="P247" s="384">
        <v>-725.41</v>
      </c>
    </row>
    <row r="248" spans="1:16" ht="19.5" customHeight="1">
      <c r="A248" s="379" t="s">
        <v>1185</v>
      </c>
      <c r="B248" s="382">
        <v>45975</v>
      </c>
      <c r="C248" s="379" t="s">
        <v>17</v>
      </c>
      <c r="D248" s="379" t="s">
        <v>37</v>
      </c>
      <c r="E248" s="379" t="s">
        <v>223</v>
      </c>
      <c r="F248" s="379" t="s">
        <v>395</v>
      </c>
      <c r="G248" s="379" t="s">
        <v>21</v>
      </c>
      <c r="H248" s="383">
        <v>1</v>
      </c>
      <c r="I248" s="384">
        <v>1687</v>
      </c>
      <c r="J248" s="382">
        <v>45971</v>
      </c>
      <c r="K248" s="379" t="s">
        <v>957</v>
      </c>
      <c r="L248" s="379" t="s">
        <v>30</v>
      </c>
      <c r="M248" s="385">
        <v>0.43</v>
      </c>
      <c r="N248" s="383"/>
      <c r="O248" s="383"/>
      <c r="P248" s="384">
        <v>-25</v>
      </c>
    </row>
    <row r="249" spans="1:16" ht="19.5" customHeight="1">
      <c r="A249" s="379" t="s">
        <v>1186</v>
      </c>
      <c r="B249" s="382">
        <v>45975</v>
      </c>
      <c r="C249" s="379" t="s">
        <v>17</v>
      </c>
      <c r="D249" s="379" t="s">
        <v>18</v>
      </c>
      <c r="E249" s="379" t="s">
        <v>226</v>
      </c>
      <c r="F249" s="379" t="s">
        <v>428</v>
      </c>
      <c r="G249" s="379" t="s">
        <v>21</v>
      </c>
      <c r="H249" s="383">
        <v>1</v>
      </c>
      <c r="I249" s="384">
        <v>0</v>
      </c>
      <c r="J249" s="382">
        <v>45975</v>
      </c>
      <c r="K249" s="379" t="s">
        <v>22</v>
      </c>
      <c r="L249" s="379" t="s">
        <v>22</v>
      </c>
      <c r="M249" s="385">
        <v>0</v>
      </c>
      <c r="N249" s="383"/>
      <c r="O249" s="383"/>
      <c r="P249" s="384">
        <v>-3.81</v>
      </c>
    </row>
    <row r="250" spans="1:16" ht="19.5" customHeight="1">
      <c r="A250" s="379" t="s">
        <v>1187</v>
      </c>
      <c r="B250" s="382">
        <v>45975</v>
      </c>
      <c r="C250" s="379" t="s">
        <v>28</v>
      </c>
      <c r="D250" s="379" t="s">
        <v>29</v>
      </c>
      <c r="E250" s="379" t="s">
        <v>223</v>
      </c>
      <c r="F250" s="379" t="s">
        <v>395</v>
      </c>
      <c r="G250" s="379" t="s">
        <v>21</v>
      </c>
      <c r="H250" s="383">
        <v>1</v>
      </c>
      <c r="I250" s="384">
        <v>1309</v>
      </c>
      <c r="J250" s="382">
        <v>45972</v>
      </c>
      <c r="K250" s="379" t="s">
        <v>957</v>
      </c>
      <c r="L250" s="379" t="s">
        <v>30</v>
      </c>
      <c r="M250" s="385">
        <v>0.43</v>
      </c>
      <c r="N250" s="383"/>
      <c r="O250" s="383"/>
      <c r="P250" s="384">
        <v>-46</v>
      </c>
    </row>
    <row r="251" spans="1:16" ht="19.5" customHeight="1">
      <c r="A251" s="379" t="s">
        <v>1187</v>
      </c>
      <c r="B251" s="382">
        <v>45975</v>
      </c>
      <c r="C251" s="379" t="s">
        <v>31</v>
      </c>
      <c r="D251" s="379" t="s">
        <v>32</v>
      </c>
      <c r="E251" s="379" t="s">
        <v>223</v>
      </c>
      <c r="F251" s="379" t="s">
        <v>395</v>
      </c>
      <c r="G251" s="379" t="s">
        <v>21</v>
      </c>
      <c r="H251" s="383">
        <v>1</v>
      </c>
      <c r="I251" s="384">
        <v>1309</v>
      </c>
      <c r="J251" s="382">
        <v>45972</v>
      </c>
      <c r="K251" s="379" t="s">
        <v>957</v>
      </c>
      <c r="L251" s="379" t="s">
        <v>30</v>
      </c>
      <c r="M251" s="385">
        <v>0</v>
      </c>
      <c r="N251" s="383"/>
      <c r="O251" s="383"/>
      <c r="P251" s="384">
        <v>571.42999999999995</v>
      </c>
    </row>
    <row r="252" spans="1:16" ht="19.5" customHeight="1">
      <c r="A252" s="379" t="s">
        <v>1187</v>
      </c>
      <c r="B252" s="382">
        <v>45975</v>
      </c>
      <c r="C252" s="379" t="s">
        <v>31</v>
      </c>
      <c r="D252" s="379" t="s">
        <v>33</v>
      </c>
      <c r="E252" s="379" t="s">
        <v>223</v>
      </c>
      <c r="F252" s="379" t="s">
        <v>395</v>
      </c>
      <c r="G252" s="379" t="s">
        <v>21</v>
      </c>
      <c r="H252" s="383">
        <v>1</v>
      </c>
      <c r="I252" s="384">
        <v>1309</v>
      </c>
      <c r="J252" s="382">
        <v>45972</v>
      </c>
      <c r="K252" s="379" t="s">
        <v>957</v>
      </c>
      <c r="L252" s="379" t="s">
        <v>30</v>
      </c>
      <c r="M252" s="385">
        <v>0</v>
      </c>
      <c r="N252" s="383"/>
      <c r="O252" s="383"/>
      <c r="P252" s="384">
        <v>5.71</v>
      </c>
    </row>
    <row r="253" spans="1:16" ht="19.5" customHeight="1">
      <c r="A253" s="379" t="s">
        <v>1187</v>
      </c>
      <c r="B253" s="382">
        <v>45975</v>
      </c>
      <c r="C253" s="379" t="s">
        <v>31</v>
      </c>
      <c r="D253" s="379" t="s">
        <v>34</v>
      </c>
      <c r="E253" s="379" t="s">
        <v>223</v>
      </c>
      <c r="F253" s="379" t="s">
        <v>395</v>
      </c>
      <c r="G253" s="379" t="s">
        <v>21</v>
      </c>
      <c r="H253" s="383">
        <v>1</v>
      </c>
      <c r="I253" s="384">
        <v>1309</v>
      </c>
      <c r="J253" s="382">
        <v>45972</v>
      </c>
      <c r="K253" s="379" t="s">
        <v>957</v>
      </c>
      <c r="L253" s="379" t="s">
        <v>30</v>
      </c>
      <c r="M253" s="385">
        <v>0</v>
      </c>
      <c r="N253" s="383"/>
      <c r="O253" s="383"/>
      <c r="P253" s="386">
        <v>731.86</v>
      </c>
    </row>
    <row r="254" spans="1:16" ht="19.5" customHeight="1">
      <c r="A254" s="379" t="s">
        <v>1187</v>
      </c>
      <c r="B254" s="382">
        <v>45975</v>
      </c>
      <c r="C254" s="379" t="s">
        <v>35</v>
      </c>
      <c r="D254" s="379" t="s">
        <v>36</v>
      </c>
      <c r="E254" s="379" t="s">
        <v>223</v>
      </c>
      <c r="F254" s="379" t="s">
        <v>395</v>
      </c>
      <c r="G254" s="379" t="s">
        <v>21</v>
      </c>
      <c r="H254" s="383">
        <v>1</v>
      </c>
      <c r="I254" s="384">
        <v>1309</v>
      </c>
      <c r="J254" s="382">
        <v>45972</v>
      </c>
      <c r="K254" s="379" t="s">
        <v>957</v>
      </c>
      <c r="L254" s="379" t="s">
        <v>30</v>
      </c>
      <c r="M254" s="385">
        <v>0.43</v>
      </c>
      <c r="N254" s="383"/>
      <c r="O254" s="383"/>
      <c r="P254" s="384">
        <v>-562.87</v>
      </c>
    </row>
    <row r="255" spans="1:16" ht="19.5" customHeight="1">
      <c r="A255" s="379" t="s">
        <v>1187</v>
      </c>
      <c r="B255" s="382">
        <v>45975</v>
      </c>
      <c r="C255" s="379" t="s">
        <v>17</v>
      </c>
      <c r="D255" s="379" t="s">
        <v>37</v>
      </c>
      <c r="E255" s="379" t="s">
        <v>223</v>
      </c>
      <c r="F255" s="379" t="s">
        <v>395</v>
      </c>
      <c r="G255" s="379" t="s">
        <v>21</v>
      </c>
      <c r="H255" s="383">
        <v>1</v>
      </c>
      <c r="I255" s="384">
        <v>1309</v>
      </c>
      <c r="J255" s="382">
        <v>45972</v>
      </c>
      <c r="K255" s="379" t="s">
        <v>957</v>
      </c>
      <c r="L255" s="379" t="s">
        <v>30</v>
      </c>
      <c r="M255" s="385">
        <v>0.43</v>
      </c>
      <c r="N255" s="383"/>
      <c r="O255" s="383"/>
      <c r="P255" s="384">
        <v>-6.51</v>
      </c>
    </row>
    <row r="256" spans="1:16" ht="19.5" customHeight="1">
      <c r="A256" s="379" t="s">
        <v>1188</v>
      </c>
      <c r="B256" s="382">
        <v>45975</v>
      </c>
      <c r="C256" s="379" t="s">
        <v>28</v>
      </c>
      <c r="D256" s="379" t="s">
        <v>29</v>
      </c>
      <c r="E256" s="379" t="s">
        <v>240</v>
      </c>
      <c r="F256" s="379" t="s">
        <v>802</v>
      </c>
      <c r="G256" s="379" t="s">
        <v>1133</v>
      </c>
      <c r="H256" s="383">
        <v>1</v>
      </c>
      <c r="I256" s="384">
        <v>5500</v>
      </c>
      <c r="J256" s="382">
        <v>45972</v>
      </c>
      <c r="K256" s="379" t="s">
        <v>957</v>
      </c>
      <c r="L256" s="379" t="s">
        <v>30</v>
      </c>
      <c r="M256" s="385">
        <v>0.43</v>
      </c>
      <c r="N256" s="383"/>
      <c r="O256" s="383"/>
      <c r="P256" s="384">
        <v>-56</v>
      </c>
    </row>
    <row r="257" spans="1:16" ht="19.5" customHeight="1">
      <c r="A257" s="379" t="s">
        <v>1188</v>
      </c>
      <c r="B257" s="382">
        <v>45975</v>
      </c>
      <c r="C257" s="379" t="s">
        <v>31</v>
      </c>
      <c r="D257" s="379" t="s">
        <v>32</v>
      </c>
      <c r="E257" s="379" t="s">
        <v>240</v>
      </c>
      <c r="F257" s="379" t="s">
        <v>802</v>
      </c>
      <c r="G257" s="379" t="s">
        <v>1133</v>
      </c>
      <c r="H257" s="383">
        <v>1</v>
      </c>
      <c r="I257" s="384">
        <v>5500</v>
      </c>
      <c r="J257" s="382">
        <v>45972</v>
      </c>
      <c r="K257" s="379" t="s">
        <v>957</v>
      </c>
      <c r="L257" s="379" t="s">
        <v>30</v>
      </c>
      <c r="M257" s="385">
        <v>0</v>
      </c>
      <c r="N257" s="383"/>
      <c r="O257" s="383"/>
      <c r="P257" s="384">
        <v>1961.9</v>
      </c>
    </row>
    <row r="258" spans="1:16" ht="19.5" customHeight="1">
      <c r="A258" s="379" t="s">
        <v>1188</v>
      </c>
      <c r="B258" s="382">
        <v>45975</v>
      </c>
      <c r="C258" s="379" t="s">
        <v>31</v>
      </c>
      <c r="D258" s="379" t="s">
        <v>33</v>
      </c>
      <c r="E258" s="379" t="s">
        <v>240</v>
      </c>
      <c r="F258" s="379" t="s">
        <v>802</v>
      </c>
      <c r="G258" s="379" t="s">
        <v>1133</v>
      </c>
      <c r="H258" s="383">
        <v>1</v>
      </c>
      <c r="I258" s="384">
        <v>5500</v>
      </c>
      <c r="J258" s="382">
        <v>45972</v>
      </c>
      <c r="K258" s="379" t="s">
        <v>957</v>
      </c>
      <c r="L258" s="379" t="s">
        <v>30</v>
      </c>
      <c r="M258" s="385">
        <v>0</v>
      </c>
      <c r="N258" s="383"/>
      <c r="O258" s="383"/>
      <c r="P258" s="384">
        <v>19.62</v>
      </c>
    </row>
    <row r="259" spans="1:16" ht="19.5" customHeight="1">
      <c r="A259" s="379" t="s">
        <v>1188</v>
      </c>
      <c r="B259" s="382">
        <v>45975</v>
      </c>
      <c r="C259" s="379" t="s">
        <v>31</v>
      </c>
      <c r="D259" s="379" t="s">
        <v>34</v>
      </c>
      <c r="E259" s="379" t="s">
        <v>240</v>
      </c>
      <c r="F259" s="379" t="s">
        <v>802</v>
      </c>
      <c r="G259" s="379" t="s">
        <v>1133</v>
      </c>
      <c r="H259" s="383">
        <v>1</v>
      </c>
      <c r="I259" s="384">
        <v>5500</v>
      </c>
      <c r="J259" s="382">
        <v>45972</v>
      </c>
      <c r="K259" s="379" t="s">
        <v>957</v>
      </c>
      <c r="L259" s="379" t="s">
        <v>30</v>
      </c>
      <c r="M259" s="385">
        <v>0</v>
      </c>
      <c r="N259" s="383"/>
      <c r="O259" s="383"/>
      <c r="P259" s="386">
        <v>3518.48</v>
      </c>
    </row>
    <row r="260" spans="1:16" ht="19.5" customHeight="1">
      <c r="A260" s="379" t="s">
        <v>1188</v>
      </c>
      <c r="B260" s="382">
        <v>45975</v>
      </c>
      <c r="C260" s="379" t="s">
        <v>35</v>
      </c>
      <c r="D260" s="379" t="s">
        <v>36</v>
      </c>
      <c r="E260" s="379" t="s">
        <v>240</v>
      </c>
      <c r="F260" s="379" t="s">
        <v>802</v>
      </c>
      <c r="G260" s="379" t="s">
        <v>1133</v>
      </c>
      <c r="H260" s="383">
        <v>1</v>
      </c>
      <c r="I260" s="384">
        <v>5500</v>
      </c>
      <c r="J260" s="382">
        <v>45972</v>
      </c>
      <c r="K260" s="379" t="s">
        <v>957</v>
      </c>
      <c r="L260" s="379" t="s">
        <v>30</v>
      </c>
      <c r="M260" s="385">
        <v>0.43</v>
      </c>
      <c r="N260" s="383"/>
      <c r="O260" s="383"/>
      <c r="P260" s="384">
        <v>-2365</v>
      </c>
    </row>
    <row r="261" spans="1:16" ht="19.5" customHeight="1">
      <c r="A261" s="379" t="s">
        <v>1188</v>
      </c>
      <c r="B261" s="382">
        <v>45975</v>
      </c>
      <c r="C261" s="379" t="s">
        <v>17</v>
      </c>
      <c r="D261" s="379" t="s">
        <v>37</v>
      </c>
      <c r="E261" s="379" t="s">
        <v>240</v>
      </c>
      <c r="F261" s="379" t="s">
        <v>802</v>
      </c>
      <c r="G261" s="379" t="s">
        <v>1133</v>
      </c>
      <c r="H261" s="383">
        <v>1</v>
      </c>
      <c r="I261" s="384">
        <v>5500</v>
      </c>
      <c r="J261" s="382">
        <v>45972</v>
      </c>
      <c r="K261" s="379" t="s">
        <v>957</v>
      </c>
      <c r="L261" s="379" t="s">
        <v>30</v>
      </c>
      <c r="M261" s="385">
        <v>0.43</v>
      </c>
      <c r="N261" s="383"/>
      <c r="O261" s="383"/>
      <c r="P261" s="384">
        <v>-11.1</v>
      </c>
    </row>
    <row r="262" spans="1:16" ht="19.5" customHeight="1">
      <c r="A262" s="379" t="s">
        <v>1189</v>
      </c>
      <c r="B262" s="382">
        <v>45975</v>
      </c>
      <c r="C262" s="379" t="s">
        <v>28</v>
      </c>
      <c r="D262" s="379" t="s">
        <v>29</v>
      </c>
      <c r="E262" s="379" t="s">
        <v>223</v>
      </c>
      <c r="F262" s="379" t="s">
        <v>395</v>
      </c>
      <c r="G262" s="379" t="s">
        <v>21</v>
      </c>
      <c r="H262" s="383">
        <v>1</v>
      </c>
      <c r="I262" s="384">
        <v>1075</v>
      </c>
      <c r="J262" s="382">
        <v>45974</v>
      </c>
      <c r="K262" s="379" t="s">
        <v>957</v>
      </c>
      <c r="L262" s="379" t="s">
        <v>30</v>
      </c>
      <c r="M262" s="385">
        <v>0.43</v>
      </c>
      <c r="N262" s="383"/>
      <c r="O262" s="383">
        <v>42</v>
      </c>
      <c r="P262" s="384">
        <v>-102.86</v>
      </c>
    </row>
    <row r="263" spans="1:16" ht="19.5" customHeight="1">
      <c r="A263" s="379" t="s">
        <v>1189</v>
      </c>
      <c r="B263" s="382">
        <v>45975</v>
      </c>
      <c r="C263" s="379" t="s">
        <v>31</v>
      </c>
      <c r="D263" s="379" t="s">
        <v>32</v>
      </c>
      <c r="E263" s="379" t="s">
        <v>223</v>
      </c>
      <c r="F263" s="379" t="s">
        <v>395</v>
      </c>
      <c r="G263" s="379" t="s">
        <v>21</v>
      </c>
      <c r="H263" s="383">
        <v>1</v>
      </c>
      <c r="I263" s="384">
        <v>1075</v>
      </c>
      <c r="J263" s="382">
        <v>45974</v>
      </c>
      <c r="K263" s="379" t="s">
        <v>957</v>
      </c>
      <c r="L263" s="379" t="s">
        <v>30</v>
      </c>
      <c r="M263" s="385">
        <v>0</v>
      </c>
      <c r="N263" s="383"/>
      <c r="O263" s="383"/>
      <c r="P263" s="384">
        <v>373.46</v>
      </c>
    </row>
    <row r="264" spans="1:16" ht="19.5" customHeight="1">
      <c r="A264" s="379" t="s">
        <v>1189</v>
      </c>
      <c r="B264" s="382">
        <v>45975</v>
      </c>
      <c r="C264" s="379" t="s">
        <v>31</v>
      </c>
      <c r="D264" s="379" t="s">
        <v>33</v>
      </c>
      <c r="E264" s="379" t="s">
        <v>223</v>
      </c>
      <c r="F264" s="379" t="s">
        <v>395</v>
      </c>
      <c r="G264" s="379" t="s">
        <v>21</v>
      </c>
      <c r="H264" s="383">
        <v>1</v>
      </c>
      <c r="I264" s="384">
        <v>1075</v>
      </c>
      <c r="J264" s="382">
        <v>45974</v>
      </c>
      <c r="K264" s="379" t="s">
        <v>957</v>
      </c>
      <c r="L264" s="379" t="s">
        <v>30</v>
      </c>
      <c r="M264" s="385">
        <v>0</v>
      </c>
      <c r="N264" s="383"/>
      <c r="O264" s="383"/>
      <c r="P264" s="384">
        <v>3.73</v>
      </c>
    </row>
    <row r="265" spans="1:16" ht="19.5" customHeight="1">
      <c r="A265" s="379" t="s">
        <v>1189</v>
      </c>
      <c r="B265" s="382">
        <v>45975</v>
      </c>
      <c r="C265" s="379" t="s">
        <v>31</v>
      </c>
      <c r="D265" s="379" t="s">
        <v>34</v>
      </c>
      <c r="E265" s="379" t="s">
        <v>223</v>
      </c>
      <c r="F265" s="379" t="s">
        <v>395</v>
      </c>
      <c r="G265" s="379" t="s">
        <v>21</v>
      </c>
      <c r="H265" s="383">
        <v>1</v>
      </c>
      <c r="I265" s="384">
        <v>1075</v>
      </c>
      <c r="J265" s="382">
        <v>45974</v>
      </c>
      <c r="K265" s="379" t="s">
        <v>957</v>
      </c>
      <c r="L265" s="379" t="s">
        <v>30</v>
      </c>
      <c r="M265" s="385">
        <v>0</v>
      </c>
      <c r="N265" s="383"/>
      <c r="O265" s="383"/>
      <c r="P265" s="386">
        <v>697.81</v>
      </c>
    </row>
    <row r="266" spans="1:16" ht="19.5" customHeight="1">
      <c r="A266" s="379" t="s">
        <v>1189</v>
      </c>
      <c r="B266" s="382">
        <v>45975</v>
      </c>
      <c r="C266" s="379" t="s">
        <v>35</v>
      </c>
      <c r="D266" s="379" t="s">
        <v>36</v>
      </c>
      <c r="E266" s="379" t="s">
        <v>223</v>
      </c>
      <c r="F266" s="379" t="s">
        <v>395</v>
      </c>
      <c r="G266" s="379" t="s">
        <v>21</v>
      </c>
      <c r="H266" s="383">
        <v>1</v>
      </c>
      <c r="I266" s="384">
        <v>1075</v>
      </c>
      <c r="J266" s="382">
        <v>45974</v>
      </c>
      <c r="K266" s="379" t="s">
        <v>957</v>
      </c>
      <c r="L266" s="379" t="s">
        <v>30</v>
      </c>
      <c r="M266" s="385">
        <v>0.43</v>
      </c>
      <c r="N266" s="383"/>
      <c r="O266" s="383"/>
      <c r="P266" s="384">
        <v>-462.25</v>
      </c>
    </row>
    <row r="267" spans="1:16" ht="19.5" customHeight="1">
      <c r="A267" s="379" t="s">
        <v>1189</v>
      </c>
      <c r="B267" s="382">
        <v>45975</v>
      </c>
      <c r="C267" s="379" t="s">
        <v>17</v>
      </c>
      <c r="D267" s="379" t="s">
        <v>37</v>
      </c>
      <c r="E267" s="379" t="s">
        <v>223</v>
      </c>
      <c r="F267" s="379" t="s">
        <v>395</v>
      </c>
      <c r="G267" s="379" t="s">
        <v>21</v>
      </c>
      <c r="H267" s="383">
        <v>1</v>
      </c>
      <c r="I267" s="384">
        <v>1075</v>
      </c>
      <c r="J267" s="382">
        <v>45974</v>
      </c>
      <c r="K267" s="379" t="s">
        <v>957</v>
      </c>
      <c r="L267" s="379" t="s">
        <v>30</v>
      </c>
      <c r="M267" s="385">
        <v>0.43</v>
      </c>
      <c r="N267" s="383"/>
      <c r="O267" s="383"/>
      <c r="P267" s="384">
        <v>-5.29</v>
      </c>
    </row>
    <row r="268" spans="1:16" ht="19.5" customHeight="1">
      <c r="A268" s="379" t="s">
        <v>1189</v>
      </c>
      <c r="B268" s="382">
        <v>45975</v>
      </c>
      <c r="C268" s="379" t="s">
        <v>17</v>
      </c>
      <c r="D268" s="379" t="s">
        <v>18</v>
      </c>
      <c r="E268" s="379" t="s">
        <v>223</v>
      </c>
      <c r="F268" s="379" t="s">
        <v>395</v>
      </c>
      <c r="G268" s="379" t="s">
        <v>21</v>
      </c>
      <c r="H268" s="383">
        <v>1</v>
      </c>
      <c r="I268" s="384">
        <v>0</v>
      </c>
      <c r="J268" s="382">
        <v>45974</v>
      </c>
      <c r="K268" s="379" t="s">
        <v>22</v>
      </c>
      <c r="L268" s="379" t="s">
        <v>22</v>
      </c>
      <c r="M268" s="385">
        <v>0</v>
      </c>
      <c r="N268" s="383"/>
      <c r="O268" s="383"/>
      <c r="P268" s="384">
        <v>-7.1</v>
      </c>
    </row>
    <row r="269" spans="1:16" ht="19.5" customHeight="1">
      <c r="A269" s="379" t="s">
        <v>1190</v>
      </c>
      <c r="B269" s="382">
        <v>45975</v>
      </c>
      <c r="C269" s="379" t="s">
        <v>28</v>
      </c>
      <c r="D269" s="379" t="s">
        <v>29</v>
      </c>
      <c r="E269" s="379" t="s">
        <v>223</v>
      </c>
      <c r="F269" s="379" t="s">
        <v>395</v>
      </c>
      <c r="G269" s="379" t="s">
        <v>21</v>
      </c>
      <c r="H269" s="383">
        <v>1</v>
      </c>
      <c r="I269" s="384">
        <v>1687</v>
      </c>
      <c r="J269" s="382">
        <v>45974</v>
      </c>
      <c r="K269" s="379" t="s">
        <v>957</v>
      </c>
      <c r="L269" s="379" t="s">
        <v>30</v>
      </c>
      <c r="M269" s="385">
        <v>0.43</v>
      </c>
      <c r="N269" s="383"/>
      <c r="O269" s="383">
        <v>42</v>
      </c>
      <c r="P269" s="384">
        <v>-120.3</v>
      </c>
    </row>
    <row r="270" spans="1:16" ht="19.5" customHeight="1">
      <c r="A270" s="379" t="s">
        <v>1190</v>
      </c>
      <c r="B270" s="382">
        <v>45975</v>
      </c>
      <c r="C270" s="379" t="s">
        <v>31</v>
      </c>
      <c r="D270" s="379" t="s">
        <v>32</v>
      </c>
      <c r="E270" s="379" t="s">
        <v>223</v>
      </c>
      <c r="F270" s="379" t="s">
        <v>395</v>
      </c>
      <c r="G270" s="379" t="s">
        <v>21</v>
      </c>
      <c r="H270" s="383">
        <v>1</v>
      </c>
      <c r="I270" s="384">
        <v>1687</v>
      </c>
      <c r="J270" s="382">
        <v>45974</v>
      </c>
      <c r="K270" s="379" t="s">
        <v>957</v>
      </c>
      <c r="L270" s="379" t="s">
        <v>30</v>
      </c>
      <c r="M270" s="385">
        <v>0</v>
      </c>
      <c r="N270" s="383"/>
      <c r="O270" s="383"/>
      <c r="P270" s="384">
        <v>763.81</v>
      </c>
    </row>
    <row r="271" spans="1:16" ht="19.5" customHeight="1">
      <c r="A271" s="379" t="s">
        <v>1190</v>
      </c>
      <c r="B271" s="382">
        <v>45975</v>
      </c>
      <c r="C271" s="379" t="s">
        <v>31</v>
      </c>
      <c r="D271" s="379" t="s">
        <v>33</v>
      </c>
      <c r="E271" s="379" t="s">
        <v>223</v>
      </c>
      <c r="F271" s="379" t="s">
        <v>395</v>
      </c>
      <c r="G271" s="379" t="s">
        <v>21</v>
      </c>
      <c r="H271" s="383">
        <v>1</v>
      </c>
      <c r="I271" s="384">
        <v>1687</v>
      </c>
      <c r="J271" s="382">
        <v>45974</v>
      </c>
      <c r="K271" s="379" t="s">
        <v>957</v>
      </c>
      <c r="L271" s="379" t="s">
        <v>30</v>
      </c>
      <c r="M271" s="385">
        <v>0</v>
      </c>
      <c r="N271" s="383"/>
      <c r="O271" s="383"/>
      <c r="P271" s="384">
        <v>7.64</v>
      </c>
    </row>
    <row r="272" spans="1:16" ht="19.5" customHeight="1">
      <c r="A272" s="379" t="s">
        <v>1190</v>
      </c>
      <c r="B272" s="382">
        <v>45975</v>
      </c>
      <c r="C272" s="379" t="s">
        <v>31</v>
      </c>
      <c r="D272" s="379" t="s">
        <v>34</v>
      </c>
      <c r="E272" s="379" t="s">
        <v>223</v>
      </c>
      <c r="F272" s="379" t="s">
        <v>395</v>
      </c>
      <c r="G272" s="379" t="s">
        <v>21</v>
      </c>
      <c r="H272" s="383">
        <v>1</v>
      </c>
      <c r="I272" s="384">
        <v>1687</v>
      </c>
      <c r="J272" s="382">
        <v>45974</v>
      </c>
      <c r="K272" s="379" t="s">
        <v>957</v>
      </c>
      <c r="L272" s="379" t="s">
        <v>30</v>
      </c>
      <c r="M272" s="385">
        <v>0</v>
      </c>
      <c r="N272" s="383"/>
      <c r="O272" s="383"/>
      <c r="P272" s="386">
        <v>915.55</v>
      </c>
    </row>
    <row r="273" spans="1:16" ht="19.5" customHeight="1">
      <c r="A273" s="379" t="s">
        <v>1190</v>
      </c>
      <c r="B273" s="382">
        <v>45975</v>
      </c>
      <c r="C273" s="379" t="s">
        <v>35</v>
      </c>
      <c r="D273" s="379" t="s">
        <v>36</v>
      </c>
      <c r="E273" s="379" t="s">
        <v>223</v>
      </c>
      <c r="F273" s="379" t="s">
        <v>395</v>
      </c>
      <c r="G273" s="379" t="s">
        <v>21</v>
      </c>
      <c r="H273" s="383">
        <v>1</v>
      </c>
      <c r="I273" s="384">
        <v>1687</v>
      </c>
      <c r="J273" s="382">
        <v>45974</v>
      </c>
      <c r="K273" s="379" t="s">
        <v>957</v>
      </c>
      <c r="L273" s="379" t="s">
        <v>30</v>
      </c>
      <c r="M273" s="385">
        <v>0.43</v>
      </c>
      <c r="N273" s="383"/>
      <c r="O273" s="383"/>
      <c r="P273" s="384">
        <v>-725.41</v>
      </c>
    </row>
    <row r="274" spans="1:16" ht="19.5" customHeight="1">
      <c r="A274" s="379" t="s">
        <v>1190</v>
      </c>
      <c r="B274" s="382">
        <v>45975</v>
      </c>
      <c r="C274" s="379" t="s">
        <v>17</v>
      </c>
      <c r="D274" s="379" t="s">
        <v>37</v>
      </c>
      <c r="E274" s="379" t="s">
        <v>223</v>
      </c>
      <c r="F274" s="379" t="s">
        <v>395</v>
      </c>
      <c r="G274" s="379" t="s">
        <v>21</v>
      </c>
      <c r="H274" s="383">
        <v>1</v>
      </c>
      <c r="I274" s="384">
        <v>1687</v>
      </c>
      <c r="J274" s="382">
        <v>45974</v>
      </c>
      <c r="K274" s="379" t="s">
        <v>957</v>
      </c>
      <c r="L274" s="379" t="s">
        <v>30</v>
      </c>
      <c r="M274" s="385">
        <v>0.43</v>
      </c>
      <c r="N274" s="383"/>
      <c r="O274" s="383"/>
      <c r="P274" s="384">
        <v>-13.83</v>
      </c>
    </row>
    <row r="275" spans="1:16" ht="19.5" customHeight="1">
      <c r="A275" s="379" t="s">
        <v>1190</v>
      </c>
      <c r="B275" s="382">
        <v>45975</v>
      </c>
      <c r="C275" s="379" t="s">
        <v>17</v>
      </c>
      <c r="D275" s="379" t="s">
        <v>18</v>
      </c>
      <c r="E275" s="379" t="s">
        <v>223</v>
      </c>
      <c r="F275" s="379" t="s">
        <v>395</v>
      </c>
      <c r="G275" s="379" t="s">
        <v>21</v>
      </c>
      <c r="H275" s="383">
        <v>1</v>
      </c>
      <c r="I275" s="384">
        <v>0</v>
      </c>
      <c r="J275" s="382">
        <v>45974</v>
      </c>
      <c r="K275" s="379" t="s">
        <v>22</v>
      </c>
      <c r="L275" s="379" t="s">
        <v>22</v>
      </c>
      <c r="M275" s="385">
        <v>0</v>
      </c>
      <c r="N275" s="383"/>
      <c r="O275" s="383"/>
      <c r="P275" s="384">
        <v>-14.51</v>
      </c>
    </row>
    <row r="276" spans="1:16" ht="19.5" customHeight="1">
      <c r="A276" s="379" t="s">
        <v>1191</v>
      </c>
      <c r="B276" s="382">
        <v>45975</v>
      </c>
      <c r="C276" s="379" t="s">
        <v>28</v>
      </c>
      <c r="D276" s="379" t="s">
        <v>29</v>
      </c>
      <c r="E276" s="379" t="s">
        <v>223</v>
      </c>
      <c r="F276" s="379" t="s">
        <v>395</v>
      </c>
      <c r="G276" s="379" t="s">
        <v>21</v>
      </c>
      <c r="H276" s="383">
        <v>1</v>
      </c>
      <c r="I276" s="384">
        <v>1687</v>
      </c>
      <c r="J276" s="382">
        <v>45971</v>
      </c>
      <c r="K276" s="379" t="s">
        <v>957</v>
      </c>
      <c r="L276" s="379" t="s">
        <v>30</v>
      </c>
      <c r="M276" s="385">
        <v>0.43</v>
      </c>
      <c r="N276" s="383"/>
      <c r="O276" s="383"/>
      <c r="P276" s="384">
        <v>-46</v>
      </c>
    </row>
    <row r="277" spans="1:16" ht="19.5" customHeight="1">
      <c r="A277" s="379" t="s">
        <v>1191</v>
      </c>
      <c r="B277" s="382">
        <v>45975</v>
      </c>
      <c r="C277" s="379" t="s">
        <v>31</v>
      </c>
      <c r="D277" s="379" t="s">
        <v>32</v>
      </c>
      <c r="E277" s="379" t="s">
        <v>223</v>
      </c>
      <c r="F277" s="379" t="s">
        <v>395</v>
      </c>
      <c r="G277" s="379" t="s">
        <v>21</v>
      </c>
      <c r="H277" s="383">
        <v>1</v>
      </c>
      <c r="I277" s="384">
        <v>1687</v>
      </c>
      <c r="J277" s="382">
        <v>45971</v>
      </c>
      <c r="K277" s="379" t="s">
        <v>957</v>
      </c>
      <c r="L277" s="379" t="s">
        <v>30</v>
      </c>
      <c r="M277" s="385">
        <v>0</v>
      </c>
      <c r="N277" s="383"/>
      <c r="O277" s="383"/>
      <c r="P277" s="384">
        <v>860.95</v>
      </c>
    </row>
    <row r="278" spans="1:16" ht="19.5" customHeight="1">
      <c r="A278" s="379" t="s">
        <v>1191</v>
      </c>
      <c r="B278" s="382">
        <v>45975</v>
      </c>
      <c r="C278" s="379" t="s">
        <v>31</v>
      </c>
      <c r="D278" s="379" t="s">
        <v>33</v>
      </c>
      <c r="E278" s="379" t="s">
        <v>223</v>
      </c>
      <c r="F278" s="379" t="s">
        <v>395</v>
      </c>
      <c r="G278" s="379" t="s">
        <v>21</v>
      </c>
      <c r="H278" s="383">
        <v>1</v>
      </c>
      <c r="I278" s="384">
        <v>1687</v>
      </c>
      <c r="J278" s="382">
        <v>45971</v>
      </c>
      <c r="K278" s="379" t="s">
        <v>957</v>
      </c>
      <c r="L278" s="379" t="s">
        <v>30</v>
      </c>
      <c r="M278" s="385">
        <v>0</v>
      </c>
      <c r="N278" s="383"/>
      <c r="O278" s="383"/>
      <c r="P278" s="384">
        <v>8.61</v>
      </c>
    </row>
    <row r="279" spans="1:16" ht="19.5" customHeight="1">
      <c r="A279" s="379" t="s">
        <v>1191</v>
      </c>
      <c r="B279" s="382">
        <v>45975</v>
      </c>
      <c r="C279" s="379" t="s">
        <v>31</v>
      </c>
      <c r="D279" s="379" t="s">
        <v>34</v>
      </c>
      <c r="E279" s="379" t="s">
        <v>223</v>
      </c>
      <c r="F279" s="379" t="s">
        <v>395</v>
      </c>
      <c r="G279" s="379" t="s">
        <v>21</v>
      </c>
      <c r="H279" s="383">
        <v>1</v>
      </c>
      <c r="I279" s="384">
        <v>1687</v>
      </c>
      <c r="J279" s="382">
        <v>45971</v>
      </c>
      <c r="K279" s="379" t="s">
        <v>957</v>
      </c>
      <c r="L279" s="379" t="s">
        <v>30</v>
      </c>
      <c r="M279" s="385">
        <v>0</v>
      </c>
      <c r="N279" s="383"/>
      <c r="O279" s="383"/>
      <c r="P279" s="386">
        <v>817.44</v>
      </c>
    </row>
    <row r="280" spans="1:16" ht="19.5" customHeight="1">
      <c r="A280" s="379" t="s">
        <v>1191</v>
      </c>
      <c r="B280" s="382">
        <v>45975</v>
      </c>
      <c r="C280" s="379" t="s">
        <v>35</v>
      </c>
      <c r="D280" s="379" t="s">
        <v>36</v>
      </c>
      <c r="E280" s="379" t="s">
        <v>223</v>
      </c>
      <c r="F280" s="379" t="s">
        <v>395</v>
      </c>
      <c r="G280" s="379" t="s">
        <v>21</v>
      </c>
      <c r="H280" s="383">
        <v>1</v>
      </c>
      <c r="I280" s="384">
        <v>1687</v>
      </c>
      <c r="J280" s="382">
        <v>45971</v>
      </c>
      <c r="K280" s="379" t="s">
        <v>957</v>
      </c>
      <c r="L280" s="379" t="s">
        <v>30</v>
      </c>
      <c r="M280" s="385">
        <v>0.43</v>
      </c>
      <c r="N280" s="383"/>
      <c r="O280" s="383"/>
      <c r="P280" s="384">
        <v>-725.41</v>
      </c>
    </row>
    <row r="281" spans="1:16" ht="19.5" customHeight="1">
      <c r="A281" s="379" t="s">
        <v>1191</v>
      </c>
      <c r="B281" s="382">
        <v>45975</v>
      </c>
      <c r="C281" s="379" t="s">
        <v>17</v>
      </c>
      <c r="D281" s="379" t="s">
        <v>18</v>
      </c>
      <c r="E281" s="379" t="s">
        <v>223</v>
      </c>
      <c r="F281" s="379" t="s">
        <v>395</v>
      </c>
      <c r="G281" s="379" t="s">
        <v>21</v>
      </c>
      <c r="H281" s="383">
        <v>1</v>
      </c>
      <c r="I281" s="384">
        <v>0</v>
      </c>
      <c r="J281" s="382">
        <v>45971</v>
      </c>
      <c r="K281" s="379" t="s">
        <v>22</v>
      </c>
      <c r="L281" s="379" t="s">
        <v>22</v>
      </c>
      <c r="M281" s="385">
        <v>0</v>
      </c>
      <c r="N281" s="383"/>
      <c r="O281" s="383"/>
      <c r="P281" s="384">
        <v>-16.36</v>
      </c>
    </row>
    <row r="282" spans="1:16" ht="19.5" customHeight="1">
      <c r="A282" s="379" t="s">
        <v>1192</v>
      </c>
      <c r="B282" s="382">
        <v>45975</v>
      </c>
      <c r="C282" s="379" t="s">
        <v>28</v>
      </c>
      <c r="D282" s="379" t="s">
        <v>29</v>
      </c>
      <c r="E282" s="379" t="s">
        <v>227</v>
      </c>
      <c r="F282" s="379" t="s">
        <v>402</v>
      </c>
      <c r="G282" s="379" t="s">
        <v>21</v>
      </c>
      <c r="H282" s="383">
        <v>1</v>
      </c>
      <c r="I282" s="384">
        <v>1800</v>
      </c>
      <c r="J282" s="382">
        <v>45973</v>
      </c>
      <c r="K282" s="379" t="s">
        <v>957</v>
      </c>
      <c r="L282" s="379" t="s">
        <v>30</v>
      </c>
      <c r="M282" s="385">
        <v>0.43</v>
      </c>
      <c r="N282" s="383"/>
      <c r="O282" s="383"/>
      <c r="P282" s="384">
        <v>-46</v>
      </c>
    </row>
    <row r="283" spans="1:16" ht="19.5" customHeight="1">
      <c r="A283" s="379" t="s">
        <v>1192</v>
      </c>
      <c r="B283" s="382">
        <v>45975</v>
      </c>
      <c r="C283" s="379" t="s">
        <v>31</v>
      </c>
      <c r="D283" s="379" t="s">
        <v>32</v>
      </c>
      <c r="E283" s="379" t="s">
        <v>227</v>
      </c>
      <c r="F283" s="379" t="s">
        <v>402</v>
      </c>
      <c r="G283" s="379" t="s">
        <v>21</v>
      </c>
      <c r="H283" s="383">
        <v>1</v>
      </c>
      <c r="I283" s="384">
        <v>1800</v>
      </c>
      <c r="J283" s="382">
        <v>45973</v>
      </c>
      <c r="K283" s="379" t="s">
        <v>957</v>
      </c>
      <c r="L283" s="379" t="s">
        <v>30</v>
      </c>
      <c r="M283" s="385">
        <v>0</v>
      </c>
      <c r="N283" s="383"/>
      <c r="O283" s="383"/>
      <c r="P283" s="384">
        <v>694.29</v>
      </c>
    </row>
    <row r="284" spans="1:16" ht="19.5" customHeight="1">
      <c r="A284" s="379" t="s">
        <v>1192</v>
      </c>
      <c r="B284" s="382">
        <v>45975</v>
      </c>
      <c r="C284" s="379" t="s">
        <v>31</v>
      </c>
      <c r="D284" s="379" t="s">
        <v>33</v>
      </c>
      <c r="E284" s="379" t="s">
        <v>227</v>
      </c>
      <c r="F284" s="379" t="s">
        <v>402</v>
      </c>
      <c r="G284" s="379" t="s">
        <v>21</v>
      </c>
      <c r="H284" s="383">
        <v>1</v>
      </c>
      <c r="I284" s="384">
        <v>1800</v>
      </c>
      <c r="J284" s="382">
        <v>45973</v>
      </c>
      <c r="K284" s="379" t="s">
        <v>957</v>
      </c>
      <c r="L284" s="379" t="s">
        <v>30</v>
      </c>
      <c r="M284" s="385">
        <v>0</v>
      </c>
      <c r="N284" s="383"/>
      <c r="O284" s="383"/>
      <c r="P284" s="384">
        <v>6.94</v>
      </c>
    </row>
    <row r="285" spans="1:16" ht="19.5" customHeight="1">
      <c r="A285" s="379" t="s">
        <v>1192</v>
      </c>
      <c r="B285" s="382">
        <v>45975</v>
      </c>
      <c r="C285" s="379" t="s">
        <v>31</v>
      </c>
      <c r="D285" s="379" t="s">
        <v>34</v>
      </c>
      <c r="E285" s="379" t="s">
        <v>227</v>
      </c>
      <c r="F285" s="379" t="s">
        <v>402</v>
      </c>
      <c r="G285" s="379" t="s">
        <v>21</v>
      </c>
      <c r="H285" s="383">
        <v>1</v>
      </c>
      <c r="I285" s="384">
        <v>1800</v>
      </c>
      <c r="J285" s="382">
        <v>45973</v>
      </c>
      <c r="K285" s="379" t="s">
        <v>957</v>
      </c>
      <c r="L285" s="379" t="s">
        <v>30</v>
      </c>
      <c r="M285" s="385">
        <v>0</v>
      </c>
      <c r="N285" s="383"/>
      <c r="O285" s="383"/>
      <c r="P285" s="386">
        <v>1098.77</v>
      </c>
    </row>
    <row r="286" spans="1:16" ht="19.5" customHeight="1">
      <c r="A286" s="379" t="s">
        <v>1192</v>
      </c>
      <c r="B286" s="382">
        <v>45975</v>
      </c>
      <c r="C286" s="379" t="s">
        <v>35</v>
      </c>
      <c r="D286" s="379" t="s">
        <v>36</v>
      </c>
      <c r="E286" s="379" t="s">
        <v>227</v>
      </c>
      <c r="F286" s="379" t="s">
        <v>402</v>
      </c>
      <c r="G286" s="379" t="s">
        <v>21</v>
      </c>
      <c r="H286" s="383">
        <v>1</v>
      </c>
      <c r="I286" s="384">
        <v>1800</v>
      </c>
      <c r="J286" s="382">
        <v>45973</v>
      </c>
      <c r="K286" s="379" t="s">
        <v>957</v>
      </c>
      <c r="L286" s="379" t="s">
        <v>30</v>
      </c>
      <c r="M286" s="385">
        <v>0.43</v>
      </c>
      <c r="N286" s="383"/>
      <c r="O286" s="383"/>
      <c r="P286" s="384">
        <v>-774</v>
      </c>
    </row>
    <row r="287" spans="1:16" ht="19.5" customHeight="1">
      <c r="A287" s="379" t="s">
        <v>1192</v>
      </c>
      <c r="B287" s="382">
        <v>45975</v>
      </c>
      <c r="C287" s="379" t="s">
        <v>17</v>
      </c>
      <c r="D287" s="379" t="s">
        <v>37</v>
      </c>
      <c r="E287" s="379" t="s">
        <v>227</v>
      </c>
      <c r="F287" s="379" t="s">
        <v>402</v>
      </c>
      <c r="G287" s="379" t="s">
        <v>21</v>
      </c>
      <c r="H287" s="383">
        <v>1</v>
      </c>
      <c r="I287" s="384">
        <v>1800</v>
      </c>
      <c r="J287" s="382">
        <v>45973</v>
      </c>
      <c r="K287" s="379" t="s">
        <v>957</v>
      </c>
      <c r="L287" s="379" t="s">
        <v>30</v>
      </c>
      <c r="M287" s="385">
        <v>0.43</v>
      </c>
      <c r="N287" s="383"/>
      <c r="O287" s="383"/>
      <c r="P287" s="384">
        <v>-7.9</v>
      </c>
    </row>
    <row r="288" spans="1:16" ht="19.5" customHeight="1">
      <c r="A288" s="379" t="s">
        <v>1192</v>
      </c>
      <c r="B288" s="382">
        <v>45975</v>
      </c>
      <c r="C288" s="379" t="s">
        <v>17</v>
      </c>
      <c r="D288" s="379" t="s">
        <v>18</v>
      </c>
      <c r="E288" s="379" t="s">
        <v>227</v>
      </c>
      <c r="F288" s="379" t="s">
        <v>402</v>
      </c>
      <c r="G288" s="379" t="s">
        <v>21</v>
      </c>
      <c r="H288" s="383">
        <v>1</v>
      </c>
      <c r="I288" s="384">
        <v>0</v>
      </c>
      <c r="J288" s="382">
        <v>45973</v>
      </c>
      <c r="K288" s="379" t="s">
        <v>22</v>
      </c>
      <c r="L288" s="379" t="s">
        <v>22</v>
      </c>
      <c r="M288" s="385">
        <v>0</v>
      </c>
      <c r="N288" s="383"/>
      <c r="O288" s="383"/>
      <c r="P288" s="384">
        <v>-13.19</v>
      </c>
    </row>
    <row r="289" spans="1:16" ht="19.5" customHeight="1">
      <c r="A289" s="379" t="s">
        <v>1193</v>
      </c>
      <c r="B289" s="382">
        <v>45975</v>
      </c>
      <c r="C289" s="379" t="s">
        <v>28</v>
      </c>
      <c r="D289" s="379" t="s">
        <v>29</v>
      </c>
      <c r="E289" s="379" t="s">
        <v>223</v>
      </c>
      <c r="F289" s="379" t="s">
        <v>395</v>
      </c>
      <c r="G289" s="379" t="s">
        <v>21</v>
      </c>
      <c r="H289" s="383">
        <v>1</v>
      </c>
      <c r="I289" s="384">
        <v>1687</v>
      </c>
      <c r="J289" s="382">
        <v>45973</v>
      </c>
      <c r="K289" s="379" t="s">
        <v>957</v>
      </c>
      <c r="L289" s="379" t="s">
        <v>30</v>
      </c>
      <c r="M289" s="385">
        <v>0.43</v>
      </c>
      <c r="N289" s="383"/>
      <c r="O289" s="383"/>
      <c r="P289" s="384">
        <v>-46</v>
      </c>
    </row>
    <row r="290" spans="1:16" ht="19.5" customHeight="1">
      <c r="A290" s="379" t="s">
        <v>1193</v>
      </c>
      <c r="B290" s="382">
        <v>45975</v>
      </c>
      <c r="C290" s="379" t="s">
        <v>31</v>
      </c>
      <c r="D290" s="379" t="s">
        <v>32</v>
      </c>
      <c r="E290" s="379" t="s">
        <v>223</v>
      </c>
      <c r="F290" s="379" t="s">
        <v>395</v>
      </c>
      <c r="G290" s="379" t="s">
        <v>21</v>
      </c>
      <c r="H290" s="383">
        <v>1</v>
      </c>
      <c r="I290" s="384">
        <v>1687</v>
      </c>
      <c r="J290" s="382">
        <v>45973</v>
      </c>
      <c r="K290" s="379" t="s">
        <v>957</v>
      </c>
      <c r="L290" s="379" t="s">
        <v>30</v>
      </c>
      <c r="M290" s="385">
        <v>0</v>
      </c>
      <c r="N290" s="383"/>
      <c r="O290" s="383"/>
      <c r="P290" s="384">
        <v>760.19</v>
      </c>
    </row>
    <row r="291" spans="1:16" ht="19.5" customHeight="1">
      <c r="A291" s="379" t="s">
        <v>1193</v>
      </c>
      <c r="B291" s="382">
        <v>45975</v>
      </c>
      <c r="C291" s="379" t="s">
        <v>31</v>
      </c>
      <c r="D291" s="379" t="s">
        <v>33</v>
      </c>
      <c r="E291" s="379" t="s">
        <v>223</v>
      </c>
      <c r="F291" s="379" t="s">
        <v>395</v>
      </c>
      <c r="G291" s="379" t="s">
        <v>21</v>
      </c>
      <c r="H291" s="383">
        <v>1</v>
      </c>
      <c r="I291" s="384">
        <v>1687</v>
      </c>
      <c r="J291" s="382">
        <v>45973</v>
      </c>
      <c r="K291" s="379" t="s">
        <v>957</v>
      </c>
      <c r="L291" s="379" t="s">
        <v>30</v>
      </c>
      <c r="M291" s="385">
        <v>0</v>
      </c>
      <c r="N291" s="383"/>
      <c r="O291" s="383"/>
      <c r="P291" s="384">
        <v>7.6</v>
      </c>
    </row>
    <row r="292" spans="1:16" ht="19.5" customHeight="1">
      <c r="A292" s="379" t="s">
        <v>1193</v>
      </c>
      <c r="B292" s="382">
        <v>45975</v>
      </c>
      <c r="C292" s="379" t="s">
        <v>31</v>
      </c>
      <c r="D292" s="379" t="s">
        <v>34</v>
      </c>
      <c r="E292" s="379" t="s">
        <v>223</v>
      </c>
      <c r="F292" s="379" t="s">
        <v>395</v>
      </c>
      <c r="G292" s="379" t="s">
        <v>21</v>
      </c>
      <c r="H292" s="383">
        <v>1</v>
      </c>
      <c r="I292" s="384">
        <v>1687</v>
      </c>
      <c r="J292" s="382">
        <v>45973</v>
      </c>
      <c r="K292" s="379" t="s">
        <v>957</v>
      </c>
      <c r="L292" s="379" t="s">
        <v>30</v>
      </c>
      <c r="M292" s="385">
        <v>0</v>
      </c>
      <c r="N292" s="383"/>
      <c r="O292" s="383"/>
      <c r="P292" s="386">
        <v>919.21</v>
      </c>
    </row>
    <row r="293" spans="1:16" ht="19.5" customHeight="1">
      <c r="A293" s="379" t="s">
        <v>1193</v>
      </c>
      <c r="B293" s="382">
        <v>45975</v>
      </c>
      <c r="C293" s="379" t="s">
        <v>35</v>
      </c>
      <c r="D293" s="379" t="s">
        <v>36</v>
      </c>
      <c r="E293" s="379" t="s">
        <v>223</v>
      </c>
      <c r="F293" s="379" t="s">
        <v>395</v>
      </c>
      <c r="G293" s="379" t="s">
        <v>21</v>
      </c>
      <c r="H293" s="383">
        <v>1</v>
      </c>
      <c r="I293" s="384">
        <v>1687</v>
      </c>
      <c r="J293" s="382">
        <v>45973</v>
      </c>
      <c r="K293" s="379" t="s">
        <v>957</v>
      </c>
      <c r="L293" s="379" t="s">
        <v>30</v>
      </c>
      <c r="M293" s="385">
        <v>0.43</v>
      </c>
      <c r="N293" s="383"/>
      <c r="O293" s="383"/>
      <c r="P293" s="384">
        <v>-725.41</v>
      </c>
    </row>
    <row r="294" spans="1:16" ht="19.5" customHeight="1">
      <c r="A294" s="379" t="s">
        <v>1193</v>
      </c>
      <c r="B294" s="382">
        <v>45975</v>
      </c>
      <c r="C294" s="379" t="s">
        <v>17</v>
      </c>
      <c r="D294" s="379" t="s">
        <v>37</v>
      </c>
      <c r="E294" s="379" t="s">
        <v>223</v>
      </c>
      <c r="F294" s="379" t="s">
        <v>395</v>
      </c>
      <c r="G294" s="379" t="s">
        <v>21</v>
      </c>
      <c r="H294" s="383">
        <v>1</v>
      </c>
      <c r="I294" s="384">
        <v>1687</v>
      </c>
      <c r="J294" s="382">
        <v>45973</v>
      </c>
      <c r="K294" s="379" t="s">
        <v>957</v>
      </c>
      <c r="L294" s="379" t="s">
        <v>30</v>
      </c>
      <c r="M294" s="385">
        <v>0.43</v>
      </c>
      <c r="N294" s="383"/>
      <c r="O294" s="383"/>
      <c r="P294" s="384">
        <v>-9.49</v>
      </c>
    </row>
    <row r="295" spans="1:16" ht="19.5" customHeight="1">
      <c r="A295" s="379" t="s">
        <v>22</v>
      </c>
      <c r="B295" s="382">
        <v>45975</v>
      </c>
      <c r="C295" s="379" t="s">
        <v>77</v>
      </c>
      <c r="D295" s="379" t="s">
        <v>78</v>
      </c>
      <c r="E295" s="379" t="s">
        <v>22</v>
      </c>
      <c r="F295" s="379" t="s">
        <v>22</v>
      </c>
      <c r="G295" s="379" t="s">
        <v>1194</v>
      </c>
      <c r="H295" s="383">
        <v>0</v>
      </c>
      <c r="I295" s="384">
        <v>0</v>
      </c>
      <c r="J295" s="382">
        <v>45975</v>
      </c>
      <c r="K295" s="379" t="s">
        <v>22</v>
      </c>
      <c r="L295" s="379" t="s">
        <v>22</v>
      </c>
      <c r="M295" s="385">
        <v>0</v>
      </c>
      <c r="N295" s="383"/>
      <c r="O295" s="383"/>
      <c r="P295" s="384">
        <v>-450</v>
      </c>
    </row>
    <row r="296" spans="1:16" ht="19.5" customHeight="1">
      <c r="A296" s="379" t="s">
        <v>1195</v>
      </c>
      <c r="B296" s="382">
        <v>45975</v>
      </c>
      <c r="C296" s="379" t="s">
        <v>17</v>
      </c>
      <c r="D296" s="379" t="s">
        <v>18</v>
      </c>
      <c r="E296" s="379" t="s">
        <v>62</v>
      </c>
      <c r="F296" s="379" t="s">
        <v>63</v>
      </c>
      <c r="G296" s="379" t="s">
        <v>1133</v>
      </c>
      <c r="H296" s="383">
        <v>1</v>
      </c>
      <c r="I296" s="384">
        <v>0</v>
      </c>
      <c r="J296" s="382">
        <v>45975</v>
      </c>
      <c r="K296" s="379" t="s">
        <v>22</v>
      </c>
      <c r="L296" s="379" t="s">
        <v>22</v>
      </c>
      <c r="M296" s="385">
        <v>0</v>
      </c>
      <c r="N296" s="383"/>
      <c r="O296" s="383"/>
      <c r="P296" s="384">
        <v>-39.82</v>
      </c>
    </row>
    <row r="297" spans="1:16" ht="19.5" customHeight="1">
      <c r="A297" s="379" t="s">
        <v>1179</v>
      </c>
      <c r="B297" s="382">
        <v>45975</v>
      </c>
      <c r="C297" s="379" t="s">
        <v>28</v>
      </c>
      <c r="D297" s="379" t="s">
        <v>29</v>
      </c>
      <c r="E297" s="379" t="s">
        <v>51</v>
      </c>
      <c r="F297" s="379" t="s">
        <v>52</v>
      </c>
      <c r="G297" s="379" t="s">
        <v>1133</v>
      </c>
      <c r="H297" s="383">
        <v>1</v>
      </c>
      <c r="I297" s="384">
        <v>0</v>
      </c>
      <c r="J297" s="382">
        <v>45973</v>
      </c>
      <c r="K297" s="379" t="s">
        <v>957</v>
      </c>
      <c r="L297" s="379" t="s">
        <v>30</v>
      </c>
      <c r="M297" s="385">
        <v>0</v>
      </c>
      <c r="N297" s="383"/>
      <c r="O297" s="383"/>
      <c r="P297" s="384">
        <v>-56</v>
      </c>
    </row>
    <row r="298" spans="1:16" ht="19.5" customHeight="1">
      <c r="A298" s="379" t="s">
        <v>1179</v>
      </c>
      <c r="B298" s="382">
        <v>45975</v>
      </c>
      <c r="C298" s="379" t="s">
        <v>17</v>
      </c>
      <c r="D298" s="379" t="s">
        <v>37</v>
      </c>
      <c r="E298" s="379" t="s">
        <v>51</v>
      </c>
      <c r="F298" s="379" t="s">
        <v>52</v>
      </c>
      <c r="G298" s="379" t="s">
        <v>1133</v>
      </c>
      <c r="H298" s="383">
        <v>1</v>
      </c>
      <c r="I298" s="384">
        <v>0</v>
      </c>
      <c r="J298" s="382">
        <v>45973</v>
      </c>
      <c r="K298" s="379" t="s">
        <v>957</v>
      </c>
      <c r="L298" s="379" t="s">
        <v>30</v>
      </c>
      <c r="M298" s="385">
        <v>0</v>
      </c>
      <c r="N298" s="383"/>
      <c r="O298" s="383"/>
      <c r="P298" s="384">
        <v>-14.74</v>
      </c>
    </row>
    <row r="299" spans="1:16" ht="19.5" customHeight="1">
      <c r="A299" s="379" t="s">
        <v>1179</v>
      </c>
      <c r="B299" s="382">
        <v>45975</v>
      </c>
      <c r="C299" s="379" t="s">
        <v>28</v>
      </c>
      <c r="D299" s="379" t="s">
        <v>45</v>
      </c>
      <c r="E299" s="379" t="s">
        <v>51</v>
      </c>
      <c r="F299" s="379" t="s">
        <v>52</v>
      </c>
      <c r="G299" s="379" t="s">
        <v>1133</v>
      </c>
      <c r="H299" s="383">
        <v>1</v>
      </c>
      <c r="I299" s="384">
        <v>0</v>
      </c>
      <c r="J299" s="382">
        <v>45973</v>
      </c>
      <c r="K299" s="379" t="s">
        <v>957</v>
      </c>
      <c r="L299" s="379" t="s">
        <v>30</v>
      </c>
      <c r="M299" s="385">
        <v>0</v>
      </c>
      <c r="N299" s="383"/>
      <c r="O299" s="383"/>
      <c r="P299" s="384">
        <v>0</v>
      </c>
    </row>
    <row r="300" spans="1:16" ht="19.5" customHeight="1">
      <c r="A300" s="379" t="s">
        <v>1179</v>
      </c>
      <c r="B300" s="382">
        <v>45975</v>
      </c>
      <c r="C300" s="379" t="s">
        <v>28</v>
      </c>
      <c r="D300" s="379" t="s">
        <v>46</v>
      </c>
      <c r="E300" s="379" t="s">
        <v>51</v>
      </c>
      <c r="F300" s="379" t="s">
        <v>52</v>
      </c>
      <c r="G300" s="379" t="s">
        <v>1133</v>
      </c>
      <c r="H300" s="383">
        <v>1</v>
      </c>
      <c r="I300" s="384">
        <v>0</v>
      </c>
      <c r="J300" s="382">
        <v>45973</v>
      </c>
      <c r="K300" s="379" t="s">
        <v>957</v>
      </c>
      <c r="L300" s="379" t="s">
        <v>30</v>
      </c>
      <c r="M300" s="385">
        <v>0</v>
      </c>
      <c r="N300" s="383"/>
      <c r="O300" s="383"/>
      <c r="P300" s="384">
        <v>-56</v>
      </c>
    </row>
    <row r="301" spans="1:16" ht="19.5" customHeight="1">
      <c r="A301" s="379" t="s">
        <v>1179</v>
      </c>
      <c r="B301" s="382">
        <v>45975</v>
      </c>
      <c r="C301" s="379" t="s">
        <v>17</v>
      </c>
      <c r="D301" s="379" t="s">
        <v>47</v>
      </c>
      <c r="E301" s="379" t="s">
        <v>51</v>
      </c>
      <c r="F301" s="379" t="s">
        <v>52</v>
      </c>
      <c r="G301" s="379" t="s">
        <v>1133</v>
      </c>
      <c r="H301" s="383">
        <v>1</v>
      </c>
      <c r="I301" s="384">
        <v>0</v>
      </c>
      <c r="J301" s="382">
        <v>45973</v>
      </c>
      <c r="K301" s="379" t="s">
        <v>957</v>
      </c>
      <c r="L301" s="379" t="s">
        <v>30</v>
      </c>
      <c r="M301" s="385">
        <v>0</v>
      </c>
      <c r="N301" s="383"/>
      <c r="O301" s="383"/>
      <c r="P301" s="384">
        <v>-15</v>
      </c>
    </row>
    <row r="302" spans="1:16" ht="19.5" customHeight="1">
      <c r="A302" s="379" t="s">
        <v>83</v>
      </c>
      <c r="B302" s="382">
        <v>45975</v>
      </c>
      <c r="C302" s="379" t="s">
        <v>77</v>
      </c>
      <c r="D302" s="379" t="s">
        <v>84</v>
      </c>
      <c r="E302" s="379" t="s">
        <v>22</v>
      </c>
      <c r="F302" s="379" t="s">
        <v>22</v>
      </c>
      <c r="G302" s="379" t="s">
        <v>22</v>
      </c>
      <c r="H302" s="383">
        <v>0</v>
      </c>
      <c r="I302" s="384">
        <v>0</v>
      </c>
      <c r="J302" s="382">
        <v>45975</v>
      </c>
      <c r="K302" s="379" t="s">
        <v>22</v>
      </c>
      <c r="L302" s="379" t="s">
        <v>22</v>
      </c>
      <c r="M302" s="385">
        <v>0</v>
      </c>
      <c r="N302" s="383"/>
      <c r="O302" s="383"/>
      <c r="P302" s="384">
        <v>-1765.4</v>
      </c>
    </row>
    <row r="303" spans="1:16" ht="19.5" customHeight="1">
      <c r="A303" s="379" t="s">
        <v>1105</v>
      </c>
      <c r="B303" s="382">
        <v>45975</v>
      </c>
      <c r="C303" s="379" t="s">
        <v>77</v>
      </c>
      <c r="D303" s="379" t="s">
        <v>82</v>
      </c>
      <c r="E303" s="379" t="s">
        <v>22</v>
      </c>
      <c r="F303" s="379" t="s">
        <v>22</v>
      </c>
      <c r="G303" s="379" t="s">
        <v>22</v>
      </c>
      <c r="H303" s="383">
        <v>0</v>
      </c>
      <c r="I303" s="384">
        <v>0</v>
      </c>
      <c r="J303" s="382">
        <v>45975</v>
      </c>
      <c r="K303" s="379" t="s">
        <v>22</v>
      </c>
      <c r="L303" s="379" t="s">
        <v>22</v>
      </c>
      <c r="M303" s="385">
        <v>0</v>
      </c>
      <c r="N303" s="383"/>
      <c r="O303" s="383"/>
      <c r="P303" s="384">
        <v>-553.54</v>
      </c>
    </row>
    <row r="304" spans="1:16" ht="19.5" customHeight="1">
      <c r="A304" s="379" t="s">
        <v>1107</v>
      </c>
      <c r="B304" s="382">
        <v>45975</v>
      </c>
      <c r="C304" s="379" t="s">
        <v>77</v>
      </c>
      <c r="D304" s="379" t="s">
        <v>82</v>
      </c>
      <c r="E304" s="379" t="s">
        <v>22</v>
      </c>
      <c r="F304" s="379" t="s">
        <v>22</v>
      </c>
      <c r="G304" s="379" t="s">
        <v>22</v>
      </c>
      <c r="H304" s="383">
        <v>0</v>
      </c>
      <c r="I304" s="384">
        <v>0</v>
      </c>
      <c r="J304" s="382">
        <v>45975</v>
      </c>
      <c r="K304" s="379" t="s">
        <v>22</v>
      </c>
      <c r="L304" s="379" t="s">
        <v>22</v>
      </c>
      <c r="M304" s="385">
        <v>0</v>
      </c>
      <c r="N304" s="383"/>
      <c r="O304" s="383"/>
      <c r="P304" s="384">
        <v>-40.71</v>
      </c>
    </row>
    <row r="305" spans="1:16" ht="19.5" customHeight="1">
      <c r="A305" s="379" t="s">
        <v>1127</v>
      </c>
      <c r="B305" s="382">
        <v>45975</v>
      </c>
      <c r="C305" s="379" t="s">
        <v>77</v>
      </c>
      <c r="D305" s="379" t="s">
        <v>82</v>
      </c>
      <c r="E305" s="379" t="s">
        <v>22</v>
      </c>
      <c r="F305" s="379" t="s">
        <v>22</v>
      </c>
      <c r="G305" s="379" t="s">
        <v>22</v>
      </c>
      <c r="H305" s="383">
        <v>0</v>
      </c>
      <c r="I305" s="384">
        <v>0</v>
      </c>
      <c r="J305" s="382">
        <v>45975</v>
      </c>
      <c r="K305" s="379" t="s">
        <v>22</v>
      </c>
      <c r="L305" s="379" t="s">
        <v>22</v>
      </c>
      <c r="M305" s="385">
        <v>0</v>
      </c>
      <c r="N305" s="383"/>
      <c r="O305" s="383"/>
      <c r="P305" s="384">
        <v>-198.44</v>
      </c>
    </row>
    <row r="306" spans="1:16" ht="19.5" customHeight="1">
      <c r="A306" s="379" t="s">
        <v>1075</v>
      </c>
      <c r="B306" s="382">
        <v>45975</v>
      </c>
      <c r="C306" s="379" t="s">
        <v>77</v>
      </c>
      <c r="D306" s="379" t="s">
        <v>82</v>
      </c>
      <c r="E306" s="379" t="s">
        <v>22</v>
      </c>
      <c r="F306" s="379" t="s">
        <v>22</v>
      </c>
      <c r="G306" s="379" t="s">
        <v>22</v>
      </c>
      <c r="H306" s="383">
        <v>0</v>
      </c>
      <c r="I306" s="384">
        <v>0</v>
      </c>
      <c r="J306" s="382">
        <v>45975</v>
      </c>
      <c r="K306" s="379" t="s">
        <v>22</v>
      </c>
      <c r="L306" s="379" t="s">
        <v>22</v>
      </c>
      <c r="M306" s="385">
        <v>0</v>
      </c>
      <c r="N306" s="383"/>
      <c r="O306" s="383"/>
      <c r="P306" s="384">
        <v>-576.97</v>
      </c>
    </row>
    <row r="307" spans="1:16" ht="19.5" customHeight="1">
      <c r="A307" s="379" t="s">
        <v>1106</v>
      </c>
      <c r="B307" s="382">
        <v>45975</v>
      </c>
      <c r="C307" s="379" t="s">
        <v>77</v>
      </c>
      <c r="D307" s="379" t="s">
        <v>82</v>
      </c>
      <c r="E307" s="379" t="s">
        <v>22</v>
      </c>
      <c r="F307" s="379" t="s">
        <v>22</v>
      </c>
      <c r="G307" s="379" t="s">
        <v>22</v>
      </c>
      <c r="H307" s="383">
        <v>0</v>
      </c>
      <c r="I307" s="384">
        <v>0</v>
      </c>
      <c r="J307" s="382">
        <v>45975</v>
      </c>
      <c r="K307" s="379" t="s">
        <v>22</v>
      </c>
      <c r="L307" s="379" t="s">
        <v>22</v>
      </c>
      <c r="M307" s="385">
        <v>0</v>
      </c>
      <c r="N307" s="383"/>
      <c r="O307" s="383"/>
      <c r="P307" s="384">
        <v>-260.73</v>
      </c>
    </row>
    <row r="308" spans="1:16" ht="19.5" customHeight="1">
      <c r="A308" s="379" t="s">
        <v>1169</v>
      </c>
      <c r="B308" s="382">
        <v>45975</v>
      </c>
      <c r="C308" s="379" t="s">
        <v>77</v>
      </c>
      <c r="D308" s="379" t="s">
        <v>82</v>
      </c>
      <c r="E308" s="379" t="s">
        <v>22</v>
      </c>
      <c r="F308" s="379" t="s">
        <v>22</v>
      </c>
      <c r="G308" s="379" t="s">
        <v>22</v>
      </c>
      <c r="H308" s="383">
        <v>0</v>
      </c>
      <c r="I308" s="384">
        <v>0</v>
      </c>
      <c r="J308" s="382">
        <v>45975</v>
      </c>
      <c r="K308" s="379" t="s">
        <v>22</v>
      </c>
      <c r="L308" s="379" t="s">
        <v>22</v>
      </c>
      <c r="M308" s="385">
        <v>0</v>
      </c>
      <c r="N308" s="383"/>
      <c r="O308" s="383"/>
      <c r="P308" s="384">
        <v>-300.63</v>
      </c>
    </row>
    <row r="309" spans="1:16" ht="19.5" customHeight="1">
      <c r="A309" s="379" t="s">
        <v>1183</v>
      </c>
      <c r="B309" s="382">
        <v>45975</v>
      </c>
      <c r="C309" s="379" t="s">
        <v>77</v>
      </c>
      <c r="D309" s="379" t="s">
        <v>82</v>
      </c>
      <c r="E309" s="379" t="s">
        <v>22</v>
      </c>
      <c r="F309" s="379" t="s">
        <v>22</v>
      </c>
      <c r="G309" s="379" t="s">
        <v>22</v>
      </c>
      <c r="H309" s="383">
        <v>0</v>
      </c>
      <c r="I309" s="384">
        <v>0</v>
      </c>
      <c r="J309" s="382">
        <v>45975</v>
      </c>
      <c r="K309" s="379" t="s">
        <v>22</v>
      </c>
      <c r="L309" s="379" t="s">
        <v>22</v>
      </c>
      <c r="M309" s="385">
        <v>0</v>
      </c>
      <c r="N309" s="383"/>
      <c r="O309" s="383"/>
      <c r="P309" s="384">
        <v>-294.27999999999997</v>
      </c>
    </row>
    <row r="310" spans="1:16" ht="19.5" customHeight="1">
      <c r="A310" s="379" t="s">
        <v>1196</v>
      </c>
      <c r="B310" s="382">
        <v>45976</v>
      </c>
      <c r="C310" s="379" t="s">
        <v>28</v>
      </c>
      <c r="D310" s="379" t="s">
        <v>29</v>
      </c>
      <c r="E310" s="379" t="s">
        <v>88</v>
      </c>
      <c r="F310" s="379" t="s">
        <v>89</v>
      </c>
      <c r="G310" s="379" t="s">
        <v>21</v>
      </c>
      <c r="H310" s="383">
        <v>1</v>
      </c>
      <c r="I310" s="384">
        <v>0</v>
      </c>
      <c r="J310" s="382">
        <v>45971</v>
      </c>
      <c r="K310" s="379" t="s">
        <v>957</v>
      </c>
      <c r="L310" s="379" t="s">
        <v>30</v>
      </c>
      <c r="M310" s="385">
        <v>0</v>
      </c>
      <c r="N310" s="383"/>
      <c r="O310" s="383"/>
      <c r="P310" s="384">
        <v>-46</v>
      </c>
    </row>
    <row r="311" spans="1:16" ht="19.5" customHeight="1">
      <c r="A311" s="379" t="s">
        <v>1196</v>
      </c>
      <c r="B311" s="382">
        <v>45976</v>
      </c>
      <c r="C311" s="379" t="s">
        <v>17</v>
      </c>
      <c r="D311" s="379" t="s">
        <v>37</v>
      </c>
      <c r="E311" s="379" t="s">
        <v>88</v>
      </c>
      <c r="F311" s="379" t="s">
        <v>89</v>
      </c>
      <c r="G311" s="379" t="s">
        <v>21</v>
      </c>
      <c r="H311" s="383">
        <v>1</v>
      </c>
      <c r="I311" s="384">
        <v>0</v>
      </c>
      <c r="J311" s="382">
        <v>45971</v>
      </c>
      <c r="K311" s="379" t="s">
        <v>957</v>
      </c>
      <c r="L311" s="379" t="s">
        <v>30</v>
      </c>
      <c r="M311" s="385">
        <v>0</v>
      </c>
      <c r="N311" s="383"/>
      <c r="O311" s="383"/>
      <c r="P311" s="384">
        <v>-7.01</v>
      </c>
    </row>
    <row r="312" spans="1:16" ht="19.5" customHeight="1">
      <c r="A312" s="379" t="s">
        <v>1196</v>
      </c>
      <c r="B312" s="382">
        <v>45976</v>
      </c>
      <c r="C312" s="379" t="s">
        <v>28</v>
      </c>
      <c r="D312" s="379" t="s">
        <v>45</v>
      </c>
      <c r="E312" s="379" t="s">
        <v>88</v>
      </c>
      <c r="F312" s="379" t="s">
        <v>89</v>
      </c>
      <c r="G312" s="379" t="s">
        <v>21</v>
      </c>
      <c r="H312" s="383">
        <v>1</v>
      </c>
      <c r="I312" s="384">
        <v>0</v>
      </c>
      <c r="J312" s="382">
        <v>45971</v>
      </c>
      <c r="K312" s="379" t="s">
        <v>957</v>
      </c>
      <c r="L312" s="379" t="s">
        <v>30</v>
      </c>
      <c r="M312" s="385">
        <v>0</v>
      </c>
      <c r="N312" s="383"/>
      <c r="O312" s="383"/>
      <c r="P312" s="384">
        <v>0</v>
      </c>
    </row>
    <row r="313" spans="1:16" ht="19.5" customHeight="1">
      <c r="A313" s="379" t="s">
        <v>1196</v>
      </c>
      <c r="B313" s="382">
        <v>45976</v>
      </c>
      <c r="C313" s="379" t="s">
        <v>28</v>
      </c>
      <c r="D313" s="379" t="s">
        <v>46</v>
      </c>
      <c r="E313" s="379" t="s">
        <v>88</v>
      </c>
      <c r="F313" s="379" t="s">
        <v>89</v>
      </c>
      <c r="G313" s="379" t="s">
        <v>21</v>
      </c>
      <c r="H313" s="383">
        <v>1</v>
      </c>
      <c r="I313" s="384">
        <v>0</v>
      </c>
      <c r="J313" s="382">
        <v>45971</v>
      </c>
      <c r="K313" s="379" t="s">
        <v>957</v>
      </c>
      <c r="L313" s="379" t="s">
        <v>30</v>
      </c>
      <c r="M313" s="385">
        <v>0</v>
      </c>
      <c r="N313" s="383"/>
      <c r="O313" s="383"/>
      <c r="P313" s="384">
        <v>-46</v>
      </c>
    </row>
    <row r="314" spans="1:16" ht="19.5" customHeight="1">
      <c r="A314" s="379" t="s">
        <v>1196</v>
      </c>
      <c r="B314" s="382">
        <v>45976</v>
      </c>
      <c r="C314" s="379" t="s">
        <v>17</v>
      </c>
      <c r="D314" s="379" t="s">
        <v>47</v>
      </c>
      <c r="E314" s="379" t="s">
        <v>88</v>
      </c>
      <c r="F314" s="379" t="s">
        <v>89</v>
      </c>
      <c r="G314" s="379" t="s">
        <v>21</v>
      </c>
      <c r="H314" s="383">
        <v>1</v>
      </c>
      <c r="I314" s="384">
        <v>0</v>
      </c>
      <c r="J314" s="382">
        <v>45971</v>
      </c>
      <c r="K314" s="379" t="s">
        <v>957</v>
      </c>
      <c r="L314" s="379" t="s">
        <v>30</v>
      </c>
      <c r="M314" s="385">
        <v>0</v>
      </c>
      <c r="N314" s="383"/>
      <c r="O314" s="383"/>
      <c r="P314" s="384">
        <v>-15</v>
      </c>
    </row>
    <row r="315" spans="1:16" ht="19.5" customHeight="1">
      <c r="A315" s="379" t="s">
        <v>1197</v>
      </c>
      <c r="B315" s="382">
        <v>45976</v>
      </c>
      <c r="C315" s="379" t="s">
        <v>28</v>
      </c>
      <c r="D315" s="379" t="s">
        <v>29</v>
      </c>
      <c r="E315" s="379" t="s">
        <v>88</v>
      </c>
      <c r="F315" s="379" t="s">
        <v>89</v>
      </c>
      <c r="G315" s="379" t="s">
        <v>21</v>
      </c>
      <c r="H315" s="383">
        <v>1</v>
      </c>
      <c r="I315" s="384">
        <v>0</v>
      </c>
      <c r="J315" s="382">
        <v>45972</v>
      </c>
      <c r="K315" s="379" t="s">
        <v>957</v>
      </c>
      <c r="L315" s="379" t="s">
        <v>30</v>
      </c>
      <c r="M315" s="385">
        <v>0</v>
      </c>
      <c r="N315" s="383"/>
      <c r="O315" s="383"/>
      <c r="P315" s="384">
        <v>-46</v>
      </c>
    </row>
    <row r="316" spans="1:16" ht="19.5" customHeight="1">
      <c r="A316" s="379" t="s">
        <v>1197</v>
      </c>
      <c r="B316" s="382">
        <v>45976</v>
      </c>
      <c r="C316" s="379" t="s">
        <v>17</v>
      </c>
      <c r="D316" s="379" t="s">
        <v>37</v>
      </c>
      <c r="E316" s="379" t="s">
        <v>88</v>
      </c>
      <c r="F316" s="379" t="s">
        <v>89</v>
      </c>
      <c r="G316" s="379" t="s">
        <v>21</v>
      </c>
      <c r="H316" s="383">
        <v>1</v>
      </c>
      <c r="I316" s="384">
        <v>0</v>
      </c>
      <c r="J316" s="382">
        <v>45972</v>
      </c>
      <c r="K316" s="379" t="s">
        <v>957</v>
      </c>
      <c r="L316" s="379" t="s">
        <v>30</v>
      </c>
      <c r="M316" s="385">
        <v>0</v>
      </c>
      <c r="N316" s="383"/>
      <c r="O316" s="383"/>
      <c r="P316" s="384">
        <v>-8</v>
      </c>
    </row>
    <row r="317" spans="1:16" ht="19.5" customHeight="1">
      <c r="A317" s="379" t="s">
        <v>1197</v>
      </c>
      <c r="B317" s="382">
        <v>45976</v>
      </c>
      <c r="C317" s="379" t="s">
        <v>28</v>
      </c>
      <c r="D317" s="379" t="s">
        <v>45</v>
      </c>
      <c r="E317" s="379" t="s">
        <v>88</v>
      </c>
      <c r="F317" s="379" t="s">
        <v>89</v>
      </c>
      <c r="G317" s="379" t="s">
        <v>21</v>
      </c>
      <c r="H317" s="383">
        <v>1</v>
      </c>
      <c r="I317" s="384">
        <v>0</v>
      </c>
      <c r="J317" s="382">
        <v>45972</v>
      </c>
      <c r="K317" s="379" t="s">
        <v>957</v>
      </c>
      <c r="L317" s="379" t="s">
        <v>30</v>
      </c>
      <c r="M317" s="385">
        <v>0</v>
      </c>
      <c r="N317" s="383"/>
      <c r="O317" s="383"/>
      <c r="P317" s="384">
        <v>0</v>
      </c>
    </row>
    <row r="318" spans="1:16" ht="19.5" customHeight="1">
      <c r="A318" s="379" t="s">
        <v>1197</v>
      </c>
      <c r="B318" s="382">
        <v>45976</v>
      </c>
      <c r="C318" s="379" t="s">
        <v>28</v>
      </c>
      <c r="D318" s="379" t="s">
        <v>46</v>
      </c>
      <c r="E318" s="379" t="s">
        <v>88</v>
      </c>
      <c r="F318" s="379" t="s">
        <v>89</v>
      </c>
      <c r="G318" s="379" t="s">
        <v>21</v>
      </c>
      <c r="H318" s="383">
        <v>1</v>
      </c>
      <c r="I318" s="384">
        <v>0</v>
      </c>
      <c r="J318" s="382">
        <v>45972</v>
      </c>
      <c r="K318" s="379" t="s">
        <v>957</v>
      </c>
      <c r="L318" s="379" t="s">
        <v>30</v>
      </c>
      <c r="M318" s="385">
        <v>0</v>
      </c>
      <c r="N318" s="383"/>
      <c r="O318" s="383"/>
      <c r="P318" s="384">
        <v>-46</v>
      </c>
    </row>
    <row r="319" spans="1:16" ht="19.5" customHeight="1">
      <c r="A319" s="379" t="s">
        <v>1197</v>
      </c>
      <c r="B319" s="382">
        <v>45976</v>
      </c>
      <c r="C319" s="379" t="s">
        <v>17</v>
      </c>
      <c r="D319" s="379" t="s">
        <v>47</v>
      </c>
      <c r="E319" s="379" t="s">
        <v>88</v>
      </c>
      <c r="F319" s="379" t="s">
        <v>89</v>
      </c>
      <c r="G319" s="379" t="s">
        <v>21</v>
      </c>
      <c r="H319" s="383">
        <v>1</v>
      </c>
      <c r="I319" s="384">
        <v>0</v>
      </c>
      <c r="J319" s="382">
        <v>45972</v>
      </c>
      <c r="K319" s="379" t="s">
        <v>957</v>
      </c>
      <c r="L319" s="379" t="s">
        <v>30</v>
      </c>
      <c r="M319" s="385">
        <v>0</v>
      </c>
      <c r="N319" s="383"/>
      <c r="O319" s="383"/>
      <c r="P319" s="384">
        <v>-15</v>
      </c>
    </row>
    <row r="320" spans="1:16" ht="19.5" customHeight="1">
      <c r="A320" s="379" t="s">
        <v>1198</v>
      </c>
      <c r="B320" s="382">
        <v>45976</v>
      </c>
      <c r="C320" s="379" t="s">
        <v>28</v>
      </c>
      <c r="D320" s="379" t="s">
        <v>29</v>
      </c>
      <c r="E320" s="379" t="s">
        <v>88</v>
      </c>
      <c r="F320" s="379" t="s">
        <v>89</v>
      </c>
      <c r="G320" s="379" t="s">
        <v>21</v>
      </c>
      <c r="H320" s="383">
        <v>1</v>
      </c>
      <c r="I320" s="384">
        <v>0</v>
      </c>
      <c r="J320" s="382">
        <v>45972</v>
      </c>
      <c r="K320" s="379" t="s">
        <v>957</v>
      </c>
      <c r="L320" s="379" t="s">
        <v>30</v>
      </c>
      <c r="M320" s="385">
        <v>0</v>
      </c>
      <c r="N320" s="383"/>
      <c r="O320" s="383"/>
      <c r="P320" s="384">
        <v>-46</v>
      </c>
    </row>
    <row r="321" spans="1:16" ht="19.5" customHeight="1">
      <c r="A321" s="379" t="s">
        <v>1198</v>
      </c>
      <c r="B321" s="382">
        <v>45976</v>
      </c>
      <c r="C321" s="379" t="s">
        <v>17</v>
      </c>
      <c r="D321" s="379" t="s">
        <v>37</v>
      </c>
      <c r="E321" s="379" t="s">
        <v>88</v>
      </c>
      <c r="F321" s="379" t="s">
        <v>89</v>
      </c>
      <c r="G321" s="379" t="s">
        <v>21</v>
      </c>
      <c r="H321" s="383">
        <v>1</v>
      </c>
      <c r="I321" s="384">
        <v>0</v>
      </c>
      <c r="J321" s="382">
        <v>45972</v>
      </c>
      <c r="K321" s="379" t="s">
        <v>957</v>
      </c>
      <c r="L321" s="379" t="s">
        <v>30</v>
      </c>
      <c r="M321" s="385">
        <v>0</v>
      </c>
      <c r="N321" s="383"/>
      <c r="O321" s="383"/>
      <c r="P321" s="384">
        <v>-8</v>
      </c>
    </row>
    <row r="322" spans="1:16" ht="19.5" customHeight="1">
      <c r="A322" s="379" t="s">
        <v>1198</v>
      </c>
      <c r="B322" s="382">
        <v>45976</v>
      </c>
      <c r="C322" s="379" t="s">
        <v>28</v>
      </c>
      <c r="D322" s="379" t="s">
        <v>45</v>
      </c>
      <c r="E322" s="379" t="s">
        <v>88</v>
      </c>
      <c r="F322" s="379" t="s">
        <v>89</v>
      </c>
      <c r="G322" s="379" t="s">
        <v>21</v>
      </c>
      <c r="H322" s="383">
        <v>1</v>
      </c>
      <c r="I322" s="384">
        <v>0</v>
      </c>
      <c r="J322" s="382">
        <v>45972</v>
      </c>
      <c r="K322" s="379" t="s">
        <v>957</v>
      </c>
      <c r="L322" s="379" t="s">
        <v>30</v>
      </c>
      <c r="M322" s="385">
        <v>0</v>
      </c>
      <c r="N322" s="383"/>
      <c r="O322" s="383"/>
      <c r="P322" s="384">
        <v>0</v>
      </c>
    </row>
    <row r="323" spans="1:16" ht="19.5" customHeight="1">
      <c r="A323" s="379" t="s">
        <v>1198</v>
      </c>
      <c r="B323" s="382">
        <v>45976</v>
      </c>
      <c r="C323" s="379" t="s">
        <v>28</v>
      </c>
      <c r="D323" s="379" t="s">
        <v>46</v>
      </c>
      <c r="E323" s="379" t="s">
        <v>88</v>
      </c>
      <c r="F323" s="379" t="s">
        <v>89</v>
      </c>
      <c r="G323" s="379" t="s">
        <v>21</v>
      </c>
      <c r="H323" s="383">
        <v>1</v>
      </c>
      <c r="I323" s="384">
        <v>0</v>
      </c>
      <c r="J323" s="382">
        <v>45972</v>
      </c>
      <c r="K323" s="379" t="s">
        <v>957</v>
      </c>
      <c r="L323" s="379" t="s">
        <v>30</v>
      </c>
      <c r="M323" s="385">
        <v>0</v>
      </c>
      <c r="N323" s="383"/>
      <c r="O323" s="383"/>
      <c r="P323" s="384">
        <v>-46</v>
      </c>
    </row>
    <row r="324" spans="1:16" ht="19.5" customHeight="1">
      <c r="A324" s="379" t="s">
        <v>1198</v>
      </c>
      <c r="B324" s="382">
        <v>45976</v>
      </c>
      <c r="C324" s="379" t="s">
        <v>17</v>
      </c>
      <c r="D324" s="379" t="s">
        <v>47</v>
      </c>
      <c r="E324" s="379" t="s">
        <v>88</v>
      </c>
      <c r="F324" s="379" t="s">
        <v>89</v>
      </c>
      <c r="G324" s="379" t="s">
        <v>21</v>
      </c>
      <c r="H324" s="383">
        <v>1</v>
      </c>
      <c r="I324" s="384">
        <v>0</v>
      </c>
      <c r="J324" s="382">
        <v>45972</v>
      </c>
      <c r="K324" s="379" t="s">
        <v>957</v>
      </c>
      <c r="L324" s="379" t="s">
        <v>30</v>
      </c>
      <c r="M324" s="385">
        <v>0</v>
      </c>
      <c r="N324" s="383"/>
      <c r="O324" s="383"/>
      <c r="P324" s="384">
        <v>-15</v>
      </c>
    </row>
    <row r="325" spans="1:16" ht="19.5" customHeight="1">
      <c r="A325" s="379" t="s">
        <v>1180</v>
      </c>
      <c r="B325" s="382">
        <v>45976</v>
      </c>
      <c r="C325" s="379" t="s">
        <v>28</v>
      </c>
      <c r="D325" s="379" t="s">
        <v>60</v>
      </c>
      <c r="E325" s="379" t="s">
        <v>223</v>
      </c>
      <c r="F325" s="379" t="s">
        <v>395</v>
      </c>
      <c r="G325" s="379" t="s">
        <v>21</v>
      </c>
      <c r="H325" s="383">
        <v>1</v>
      </c>
      <c r="I325" s="384">
        <v>0</v>
      </c>
      <c r="J325" s="382">
        <v>45972</v>
      </c>
      <c r="K325" s="379" t="s">
        <v>957</v>
      </c>
      <c r="L325" s="379" t="s">
        <v>30</v>
      </c>
      <c r="M325" s="385">
        <v>0</v>
      </c>
      <c r="N325" s="383"/>
      <c r="O325" s="383"/>
      <c r="P325" s="384">
        <v>0</v>
      </c>
    </row>
    <row r="326" spans="1:16" ht="19.5" customHeight="1">
      <c r="A326" s="379" t="s">
        <v>1180</v>
      </c>
      <c r="B326" s="382">
        <v>45976</v>
      </c>
      <c r="C326" s="379" t="s">
        <v>28</v>
      </c>
      <c r="D326" s="379" t="s">
        <v>46</v>
      </c>
      <c r="E326" s="379" t="s">
        <v>223</v>
      </c>
      <c r="F326" s="379" t="s">
        <v>395</v>
      </c>
      <c r="G326" s="379" t="s">
        <v>21</v>
      </c>
      <c r="H326" s="383">
        <v>1</v>
      </c>
      <c r="I326" s="384">
        <v>0</v>
      </c>
      <c r="J326" s="382">
        <v>45972</v>
      </c>
      <c r="K326" s="379" t="s">
        <v>957</v>
      </c>
      <c r="L326" s="379" t="s">
        <v>30</v>
      </c>
      <c r="M326" s="385">
        <v>0</v>
      </c>
      <c r="N326" s="383"/>
      <c r="O326" s="383"/>
      <c r="P326" s="384">
        <v>-46</v>
      </c>
    </row>
    <row r="327" spans="1:16" ht="19.5" customHeight="1">
      <c r="A327" s="379" t="s">
        <v>1199</v>
      </c>
      <c r="B327" s="382">
        <v>45976</v>
      </c>
      <c r="C327" s="379" t="s">
        <v>28</v>
      </c>
      <c r="D327" s="379" t="s">
        <v>29</v>
      </c>
      <c r="E327" s="379" t="s">
        <v>171</v>
      </c>
      <c r="F327" s="379" t="s">
        <v>172</v>
      </c>
      <c r="G327" s="379" t="s">
        <v>1133</v>
      </c>
      <c r="H327" s="383">
        <v>1</v>
      </c>
      <c r="I327" s="384">
        <v>0</v>
      </c>
      <c r="J327" s="382">
        <v>45957</v>
      </c>
      <c r="K327" s="379" t="s">
        <v>957</v>
      </c>
      <c r="L327" s="379" t="s">
        <v>30</v>
      </c>
      <c r="M327" s="385">
        <v>0</v>
      </c>
      <c r="N327" s="383"/>
      <c r="O327" s="383"/>
      <c r="P327" s="384">
        <v>-56</v>
      </c>
    </row>
    <row r="328" spans="1:16" ht="19.5" customHeight="1">
      <c r="A328" s="379" t="s">
        <v>1199</v>
      </c>
      <c r="B328" s="382">
        <v>45976</v>
      </c>
      <c r="C328" s="379" t="s">
        <v>28</v>
      </c>
      <c r="D328" s="379" t="s">
        <v>45</v>
      </c>
      <c r="E328" s="379" t="s">
        <v>171</v>
      </c>
      <c r="F328" s="379" t="s">
        <v>172</v>
      </c>
      <c r="G328" s="379" t="s">
        <v>1133</v>
      </c>
      <c r="H328" s="383">
        <v>1</v>
      </c>
      <c r="I328" s="384">
        <v>0</v>
      </c>
      <c r="J328" s="382">
        <v>45957</v>
      </c>
      <c r="K328" s="379" t="s">
        <v>957</v>
      </c>
      <c r="L328" s="379" t="s">
        <v>30</v>
      </c>
      <c r="M328" s="385">
        <v>0</v>
      </c>
      <c r="N328" s="383"/>
      <c r="O328" s="383"/>
      <c r="P328" s="384">
        <v>0</v>
      </c>
    </row>
    <row r="329" spans="1:16" ht="19.5" customHeight="1">
      <c r="A329" s="379" t="s">
        <v>1199</v>
      </c>
      <c r="B329" s="382">
        <v>45976</v>
      </c>
      <c r="C329" s="379" t="s">
        <v>28</v>
      </c>
      <c r="D329" s="379" t="s">
        <v>46</v>
      </c>
      <c r="E329" s="379" t="s">
        <v>171</v>
      </c>
      <c r="F329" s="379" t="s">
        <v>172</v>
      </c>
      <c r="G329" s="379" t="s">
        <v>1133</v>
      </c>
      <c r="H329" s="383">
        <v>1</v>
      </c>
      <c r="I329" s="384">
        <v>0</v>
      </c>
      <c r="J329" s="382">
        <v>45957</v>
      </c>
      <c r="K329" s="379" t="s">
        <v>957</v>
      </c>
      <c r="L329" s="379" t="s">
        <v>30</v>
      </c>
      <c r="M329" s="385">
        <v>0</v>
      </c>
      <c r="N329" s="383"/>
      <c r="O329" s="383"/>
      <c r="P329" s="384">
        <v>-56</v>
      </c>
    </row>
    <row r="330" spans="1:16" ht="19.5" customHeight="1">
      <c r="A330" s="379" t="s">
        <v>1200</v>
      </c>
      <c r="B330" s="382">
        <v>45976</v>
      </c>
      <c r="C330" s="379" t="s">
        <v>28</v>
      </c>
      <c r="D330" s="379" t="s">
        <v>29</v>
      </c>
      <c r="E330" s="379" t="s">
        <v>243</v>
      </c>
      <c r="F330" s="379" t="s">
        <v>603</v>
      </c>
      <c r="G330" s="379" t="s">
        <v>1133</v>
      </c>
      <c r="H330" s="383">
        <v>1</v>
      </c>
      <c r="I330" s="384">
        <v>0</v>
      </c>
      <c r="J330" s="382">
        <v>45973</v>
      </c>
      <c r="K330" s="379" t="s">
        <v>957</v>
      </c>
      <c r="L330" s="379" t="s">
        <v>30</v>
      </c>
      <c r="M330" s="385">
        <v>0</v>
      </c>
      <c r="N330" s="383"/>
      <c r="O330" s="383"/>
      <c r="P330" s="384">
        <v>-56</v>
      </c>
    </row>
    <row r="331" spans="1:16" ht="19.5" customHeight="1">
      <c r="A331" s="379" t="s">
        <v>1200</v>
      </c>
      <c r="B331" s="382">
        <v>45976</v>
      </c>
      <c r="C331" s="379" t="s">
        <v>17</v>
      </c>
      <c r="D331" s="379" t="s">
        <v>37</v>
      </c>
      <c r="E331" s="379" t="s">
        <v>243</v>
      </c>
      <c r="F331" s="379" t="s">
        <v>603</v>
      </c>
      <c r="G331" s="379" t="s">
        <v>1133</v>
      </c>
      <c r="H331" s="383">
        <v>1</v>
      </c>
      <c r="I331" s="384">
        <v>0</v>
      </c>
      <c r="J331" s="382">
        <v>45973</v>
      </c>
      <c r="K331" s="379" t="s">
        <v>957</v>
      </c>
      <c r="L331" s="379" t="s">
        <v>30</v>
      </c>
      <c r="M331" s="385">
        <v>0</v>
      </c>
      <c r="N331" s="383"/>
      <c r="O331" s="383"/>
      <c r="P331" s="384">
        <v>-15.24</v>
      </c>
    </row>
    <row r="332" spans="1:16" ht="19.5" customHeight="1">
      <c r="A332" s="379" t="s">
        <v>1200</v>
      </c>
      <c r="B332" s="382">
        <v>45976</v>
      </c>
      <c r="C332" s="379" t="s">
        <v>28</v>
      </c>
      <c r="D332" s="379" t="s">
        <v>45</v>
      </c>
      <c r="E332" s="379" t="s">
        <v>243</v>
      </c>
      <c r="F332" s="379" t="s">
        <v>603</v>
      </c>
      <c r="G332" s="379" t="s">
        <v>1133</v>
      </c>
      <c r="H332" s="383">
        <v>1</v>
      </c>
      <c r="I332" s="384">
        <v>0</v>
      </c>
      <c r="J332" s="382">
        <v>45973</v>
      </c>
      <c r="K332" s="379" t="s">
        <v>957</v>
      </c>
      <c r="L332" s="379" t="s">
        <v>30</v>
      </c>
      <c r="M332" s="385">
        <v>0</v>
      </c>
      <c r="N332" s="383"/>
      <c r="O332" s="383"/>
      <c r="P332" s="384">
        <v>0</v>
      </c>
    </row>
    <row r="333" spans="1:16" ht="19.5" customHeight="1">
      <c r="A333" s="379" t="s">
        <v>1200</v>
      </c>
      <c r="B333" s="382">
        <v>45976</v>
      </c>
      <c r="C333" s="379" t="s">
        <v>28</v>
      </c>
      <c r="D333" s="379" t="s">
        <v>46</v>
      </c>
      <c r="E333" s="379" t="s">
        <v>243</v>
      </c>
      <c r="F333" s="379" t="s">
        <v>603</v>
      </c>
      <c r="G333" s="379" t="s">
        <v>1133</v>
      </c>
      <c r="H333" s="383">
        <v>1</v>
      </c>
      <c r="I333" s="384">
        <v>0</v>
      </c>
      <c r="J333" s="382">
        <v>45973</v>
      </c>
      <c r="K333" s="379" t="s">
        <v>957</v>
      </c>
      <c r="L333" s="379" t="s">
        <v>30</v>
      </c>
      <c r="M333" s="385">
        <v>0</v>
      </c>
      <c r="N333" s="383"/>
      <c r="O333" s="383"/>
      <c r="P333" s="384">
        <v>-56</v>
      </c>
    </row>
    <row r="334" spans="1:16" ht="19.5" customHeight="1">
      <c r="A334" s="379" t="s">
        <v>1200</v>
      </c>
      <c r="B334" s="382">
        <v>45976</v>
      </c>
      <c r="C334" s="379" t="s">
        <v>17</v>
      </c>
      <c r="D334" s="379" t="s">
        <v>47</v>
      </c>
      <c r="E334" s="379" t="s">
        <v>243</v>
      </c>
      <c r="F334" s="379" t="s">
        <v>603</v>
      </c>
      <c r="G334" s="379" t="s">
        <v>1133</v>
      </c>
      <c r="H334" s="383">
        <v>1</v>
      </c>
      <c r="I334" s="384">
        <v>0</v>
      </c>
      <c r="J334" s="382">
        <v>45973</v>
      </c>
      <c r="K334" s="379" t="s">
        <v>957</v>
      </c>
      <c r="L334" s="379" t="s">
        <v>30</v>
      </c>
      <c r="M334" s="385">
        <v>0</v>
      </c>
      <c r="N334" s="383"/>
      <c r="O334" s="383"/>
      <c r="P334" s="384">
        <v>-15</v>
      </c>
    </row>
    <row r="335" spans="1:16" ht="19.5" customHeight="1">
      <c r="A335" s="379" t="s">
        <v>1201</v>
      </c>
      <c r="B335" s="382">
        <v>45976</v>
      </c>
      <c r="C335" s="379" t="s">
        <v>28</v>
      </c>
      <c r="D335" s="379" t="s">
        <v>29</v>
      </c>
      <c r="E335" s="379" t="s">
        <v>70</v>
      </c>
      <c r="F335" s="379" t="s">
        <v>71</v>
      </c>
      <c r="G335" s="379" t="s">
        <v>1133</v>
      </c>
      <c r="H335" s="383">
        <v>1</v>
      </c>
      <c r="I335" s="384">
        <v>5500</v>
      </c>
      <c r="J335" s="382">
        <v>45964</v>
      </c>
      <c r="K335" s="379" t="s">
        <v>957</v>
      </c>
      <c r="L335" s="379" t="s">
        <v>30</v>
      </c>
      <c r="M335" s="385">
        <v>0.38</v>
      </c>
      <c r="N335" s="383"/>
      <c r="O335" s="383"/>
      <c r="P335" s="384">
        <v>-56</v>
      </c>
    </row>
    <row r="336" spans="1:16" ht="19.5" customHeight="1">
      <c r="A336" s="379" t="s">
        <v>1201</v>
      </c>
      <c r="B336" s="382">
        <v>45976</v>
      </c>
      <c r="C336" s="379" t="s">
        <v>31</v>
      </c>
      <c r="D336" s="379" t="s">
        <v>32</v>
      </c>
      <c r="E336" s="379" t="s">
        <v>70</v>
      </c>
      <c r="F336" s="379" t="s">
        <v>71</v>
      </c>
      <c r="G336" s="379" t="s">
        <v>1133</v>
      </c>
      <c r="H336" s="383">
        <v>1</v>
      </c>
      <c r="I336" s="384">
        <v>5500</v>
      </c>
      <c r="J336" s="382">
        <v>45964</v>
      </c>
      <c r="K336" s="379" t="s">
        <v>957</v>
      </c>
      <c r="L336" s="379" t="s">
        <v>30</v>
      </c>
      <c r="M336" s="385">
        <v>0</v>
      </c>
      <c r="N336" s="383"/>
      <c r="O336" s="383"/>
      <c r="P336" s="384">
        <v>2886.77</v>
      </c>
    </row>
    <row r="337" spans="1:16" ht="19.5" customHeight="1">
      <c r="A337" s="379" t="s">
        <v>1201</v>
      </c>
      <c r="B337" s="382">
        <v>45976</v>
      </c>
      <c r="C337" s="379" t="s">
        <v>31</v>
      </c>
      <c r="D337" s="379" t="s">
        <v>33</v>
      </c>
      <c r="E337" s="379" t="s">
        <v>70</v>
      </c>
      <c r="F337" s="379" t="s">
        <v>71</v>
      </c>
      <c r="G337" s="379" t="s">
        <v>1133</v>
      </c>
      <c r="H337" s="383">
        <v>1</v>
      </c>
      <c r="I337" s="384">
        <v>5500</v>
      </c>
      <c r="J337" s="382">
        <v>45964</v>
      </c>
      <c r="K337" s="379" t="s">
        <v>957</v>
      </c>
      <c r="L337" s="379" t="s">
        <v>30</v>
      </c>
      <c r="M337" s="385">
        <v>0</v>
      </c>
      <c r="N337" s="383"/>
      <c r="O337" s="383"/>
      <c r="P337" s="384">
        <v>28.87</v>
      </c>
    </row>
    <row r="338" spans="1:16" ht="19.5" customHeight="1">
      <c r="A338" s="379" t="s">
        <v>1201</v>
      </c>
      <c r="B338" s="382">
        <v>45976</v>
      </c>
      <c r="C338" s="379" t="s">
        <v>31</v>
      </c>
      <c r="D338" s="379" t="s">
        <v>34</v>
      </c>
      <c r="E338" s="379" t="s">
        <v>70</v>
      </c>
      <c r="F338" s="379" t="s">
        <v>71</v>
      </c>
      <c r="G338" s="379" t="s">
        <v>1133</v>
      </c>
      <c r="H338" s="383">
        <v>1</v>
      </c>
      <c r="I338" s="384">
        <v>5500</v>
      </c>
      <c r="J338" s="382">
        <v>45964</v>
      </c>
      <c r="K338" s="379" t="s">
        <v>957</v>
      </c>
      <c r="L338" s="379" t="s">
        <v>30</v>
      </c>
      <c r="M338" s="385">
        <v>0</v>
      </c>
      <c r="N338" s="383"/>
      <c r="O338" s="383"/>
      <c r="P338" s="386">
        <v>2584.36</v>
      </c>
    </row>
    <row r="339" spans="1:16" ht="19.5" customHeight="1">
      <c r="A339" s="379" t="s">
        <v>1201</v>
      </c>
      <c r="B339" s="382">
        <v>45976</v>
      </c>
      <c r="C339" s="379" t="s">
        <v>35</v>
      </c>
      <c r="D339" s="379" t="s">
        <v>36</v>
      </c>
      <c r="E339" s="379" t="s">
        <v>70</v>
      </c>
      <c r="F339" s="379" t="s">
        <v>71</v>
      </c>
      <c r="G339" s="379" t="s">
        <v>1133</v>
      </c>
      <c r="H339" s="383">
        <v>1</v>
      </c>
      <c r="I339" s="384">
        <v>5500</v>
      </c>
      <c r="J339" s="382">
        <v>45964</v>
      </c>
      <c r="K339" s="379" t="s">
        <v>957</v>
      </c>
      <c r="L339" s="379" t="s">
        <v>30</v>
      </c>
      <c r="M339" s="385">
        <v>0.38</v>
      </c>
      <c r="N339" s="383"/>
      <c r="O339" s="383"/>
      <c r="P339" s="384">
        <v>-2090</v>
      </c>
    </row>
    <row r="340" spans="1:16" ht="19.5" customHeight="1">
      <c r="A340" s="379" t="s">
        <v>1201</v>
      </c>
      <c r="B340" s="382">
        <v>45976</v>
      </c>
      <c r="C340" s="379" t="s">
        <v>17</v>
      </c>
      <c r="D340" s="379" t="s">
        <v>37</v>
      </c>
      <c r="E340" s="379" t="s">
        <v>70</v>
      </c>
      <c r="F340" s="379" t="s">
        <v>71</v>
      </c>
      <c r="G340" s="379" t="s">
        <v>1133</v>
      </c>
      <c r="H340" s="383">
        <v>1</v>
      </c>
      <c r="I340" s="384">
        <v>5500</v>
      </c>
      <c r="J340" s="382">
        <v>45964</v>
      </c>
      <c r="K340" s="379" t="s">
        <v>957</v>
      </c>
      <c r="L340" s="379" t="s">
        <v>30</v>
      </c>
      <c r="M340" s="385">
        <v>0.38</v>
      </c>
      <c r="N340" s="383"/>
      <c r="O340" s="383"/>
      <c r="P340" s="384">
        <v>-10.84</v>
      </c>
    </row>
    <row r="341" spans="1:16" ht="19.5" customHeight="1">
      <c r="A341" s="379" t="s">
        <v>1201</v>
      </c>
      <c r="B341" s="382">
        <v>45976</v>
      </c>
      <c r="C341" s="379" t="s">
        <v>17</v>
      </c>
      <c r="D341" s="379" t="s">
        <v>18</v>
      </c>
      <c r="E341" s="379" t="s">
        <v>70</v>
      </c>
      <c r="F341" s="379" t="s">
        <v>71</v>
      </c>
      <c r="G341" s="379" t="s">
        <v>1133</v>
      </c>
      <c r="H341" s="383">
        <v>1</v>
      </c>
      <c r="I341" s="384">
        <v>0</v>
      </c>
      <c r="J341" s="382">
        <v>45964</v>
      </c>
      <c r="K341" s="379" t="s">
        <v>22</v>
      </c>
      <c r="L341" s="379" t="s">
        <v>22</v>
      </c>
      <c r="M341" s="385">
        <v>0</v>
      </c>
      <c r="N341" s="383"/>
      <c r="O341" s="383"/>
      <c r="P341" s="384">
        <v>-54.85</v>
      </c>
    </row>
    <row r="342" spans="1:16" ht="19.5" customHeight="1">
      <c r="A342" s="379" t="s">
        <v>1202</v>
      </c>
      <c r="B342" s="382">
        <v>45976</v>
      </c>
      <c r="C342" s="379" t="s">
        <v>17</v>
      </c>
      <c r="D342" s="379" t="s">
        <v>18</v>
      </c>
      <c r="E342" s="379" t="s">
        <v>223</v>
      </c>
      <c r="F342" s="379" t="s">
        <v>395</v>
      </c>
      <c r="G342" s="379" t="s">
        <v>21</v>
      </c>
      <c r="H342" s="383">
        <v>1</v>
      </c>
      <c r="I342" s="384">
        <v>0</v>
      </c>
      <c r="J342" s="382">
        <v>45976</v>
      </c>
      <c r="K342" s="379" t="s">
        <v>22</v>
      </c>
      <c r="L342" s="379" t="s">
        <v>22</v>
      </c>
      <c r="M342" s="385">
        <v>0</v>
      </c>
      <c r="N342" s="383"/>
      <c r="O342" s="383"/>
      <c r="P342" s="384">
        <v>-11.84</v>
      </c>
    </row>
    <row r="343" spans="1:16" ht="19.5" customHeight="1">
      <c r="A343" s="379" t="s">
        <v>1203</v>
      </c>
      <c r="B343" s="382">
        <v>45976</v>
      </c>
      <c r="C343" s="379" t="s">
        <v>28</v>
      </c>
      <c r="D343" s="379" t="s">
        <v>29</v>
      </c>
      <c r="E343" s="379" t="s">
        <v>240</v>
      </c>
      <c r="F343" s="379" t="s">
        <v>802</v>
      </c>
      <c r="G343" s="379" t="s">
        <v>1133</v>
      </c>
      <c r="H343" s="383">
        <v>1</v>
      </c>
      <c r="I343" s="384">
        <v>5500</v>
      </c>
      <c r="J343" s="382">
        <v>45974</v>
      </c>
      <c r="K343" s="379" t="s">
        <v>957</v>
      </c>
      <c r="L343" s="379" t="s">
        <v>30</v>
      </c>
      <c r="M343" s="385">
        <v>0.43</v>
      </c>
      <c r="N343" s="383"/>
      <c r="O343" s="383">
        <v>42</v>
      </c>
      <c r="P343" s="384">
        <v>-244.67</v>
      </c>
    </row>
    <row r="344" spans="1:16" ht="19.5" customHeight="1">
      <c r="A344" s="379" t="s">
        <v>1203</v>
      </c>
      <c r="B344" s="382">
        <v>45976</v>
      </c>
      <c r="C344" s="379" t="s">
        <v>31</v>
      </c>
      <c r="D344" s="379" t="s">
        <v>32</v>
      </c>
      <c r="E344" s="379" t="s">
        <v>240</v>
      </c>
      <c r="F344" s="379" t="s">
        <v>802</v>
      </c>
      <c r="G344" s="379" t="s">
        <v>1133</v>
      </c>
      <c r="H344" s="383">
        <v>1</v>
      </c>
      <c r="I344" s="384">
        <v>5500</v>
      </c>
      <c r="J344" s="382">
        <v>45974</v>
      </c>
      <c r="K344" s="379" t="s">
        <v>957</v>
      </c>
      <c r="L344" s="379" t="s">
        <v>30</v>
      </c>
      <c r="M344" s="385">
        <v>0</v>
      </c>
      <c r="N344" s="383"/>
      <c r="O344" s="383"/>
      <c r="P344" s="384">
        <v>2604.56</v>
      </c>
    </row>
    <row r="345" spans="1:16" ht="19.5" customHeight="1">
      <c r="A345" s="379" t="s">
        <v>1203</v>
      </c>
      <c r="B345" s="382">
        <v>45976</v>
      </c>
      <c r="C345" s="379" t="s">
        <v>31</v>
      </c>
      <c r="D345" s="379" t="s">
        <v>33</v>
      </c>
      <c r="E345" s="379" t="s">
        <v>240</v>
      </c>
      <c r="F345" s="379" t="s">
        <v>802</v>
      </c>
      <c r="G345" s="379" t="s">
        <v>1133</v>
      </c>
      <c r="H345" s="383">
        <v>1</v>
      </c>
      <c r="I345" s="384">
        <v>5500</v>
      </c>
      <c r="J345" s="382">
        <v>45974</v>
      </c>
      <c r="K345" s="379" t="s">
        <v>957</v>
      </c>
      <c r="L345" s="379" t="s">
        <v>30</v>
      </c>
      <c r="M345" s="385">
        <v>0</v>
      </c>
      <c r="N345" s="383"/>
      <c r="O345" s="383"/>
      <c r="P345" s="384">
        <v>0</v>
      </c>
    </row>
    <row r="346" spans="1:16" ht="19.5" customHeight="1">
      <c r="A346" s="379" t="s">
        <v>1203</v>
      </c>
      <c r="B346" s="382">
        <v>45976</v>
      </c>
      <c r="C346" s="379" t="s">
        <v>31</v>
      </c>
      <c r="D346" s="379" t="s">
        <v>34</v>
      </c>
      <c r="E346" s="379" t="s">
        <v>240</v>
      </c>
      <c r="F346" s="379" t="s">
        <v>802</v>
      </c>
      <c r="G346" s="379" t="s">
        <v>1133</v>
      </c>
      <c r="H346" s="383">
        <v>1</v>
      </c>
      <c r="I346" s="384">
        <v>5500</v>
      </c>
      <c r="J346" s="382">
        <v>45974</v>
      </c>
      <c r="K346" s="379" t="s">
        <v>957</v>
      </c>
      <c r="L346" s="379" t="s">
        <v>30</v>
      </c>
      <c r="M346" s="385">
        <v>0</v>
      </c>
      <c r="N346" s="383"/>
      <c r="O346" s="383"/>
      <c r="P346" s="386">
        <v>2895.44</v>
      </c>
    </row>
    <row r="347" spans="1:16" ht="19.5" customHeight="1">
      <c r="A347" s="379" t="s">
        <v>1203</v>
      </c>
      <c r="B347" s="382">
        <v>45976</v>
      </c>
      <c r="C347" s="379" t="s">
        <v>35</v>
      </c>
      <c r="D347" s="379" t="s">
        <v>36</v>
      </c>
      <c r="E347" s="379" t="s">
        <v>240</v>
      </c>
      <c r="F347" s="379" t="s">
        <v>802</v>
      </c>
      <c r="G347" s="379" t="s">
        <v>1133</v>
      </c>
      <c r="H347" s="383">
        <v>1</v>
      </c>
      <c r="I347" s="384">
        <v>5500</v>
      </c>
      <c r="J347" s="382">
        <v>45974</v>
      </c>
      <c r="K347" s="379" t="s">
        <v>957</v>
      </c>
      <c r="L347" s="379" t="s">
        <v>30</v>
      </c>
      <c r="M347" s="385">
        <v>0.43</v>
      </c>
      <c r="N347" s="383"/>
      <c r="O347" s="383"/>
      <c r="P347" s="384">
        <v>-2365</v>
      </c>
    </row>
    <row r="348" spans="1:16" ht="19.5" customHeight="1">
      <c r="A348" s="379" t="s">
        <v>1204</v>
      </c>
      <c r="B348" s="382">
        <v>45976</v>
      </c>
      <c r="C348" s="379" t="s">
        <v>17</v>
      </c>
      <c r="D348" s="379" t="s">
        <v>18</v>
      </c>
      <c r="E348" s="379" t="s">
        <v>223</v>
      </c>
      <c r="F348" s="379" t="s">
        <v>395</v>
      </c>
      <c r="G348" s="379" t="s">
        <v>21</v>
      </c>
      <c r="H348" s="383">
        <v>1</v>
      </c>
      <c r="I348" s="384">
        <v>0</v>
      </c>
      <c r="J348" s="382">
        <v>45976</v>
      </c>
      <c r="K348" s="379" t="s">
        <v>22</v>
      </c>
      <c r="L348" s="379" t="s">
        <v>22</v>
      </c>
      <c r="M348" s="385">
        <v>0</v>
      </c>
      <c r="N348" s="383"/>
      <c r="O348" s="383"/>
      <c r="P348" s="384">
        <v>-3.53</v>
      </c>
    </row>
    <row r="349" spans="1:16" ht="19.5" customHeight="1">
      <c r="A349" s="379" t="s">
        <v>22</v>
      </c>
      <c r="B349" s="382">
        <v>45976</v>
      </c>
      <c r="C349" s="379" t="s">
        <v>77</v>
      </c>
      <c r="D349" s="379" t="s">
        <v>78</v>
      </c>
      <c r="E349" s="379" t="s">
        <v>22</v>
      </c>
      <c r="F349" s="379" t="s">
        <v>22</v>
      </c>
      <c r="G349" s="379" t="s">
        <v>1205</v>
      </c>
      <c r="H349" s="383">
        <v>0</v>
      </c>
      <c r="I349" s="384">
        <v>0</v>
      </c>
      <c r="J349" s="382">
        <v>45976</v>
      </c>
      <c r="K349" s="379" t="s">
        <v>22</v>
      </c>
      <c r="L349" s="379" t="s">
        <v>22</v>
      </c>
      <c r="M349" s="385">
        <v>0</v>
      </c>
      <c r="N349" s="383"/>
      <c r="O349" s="383"/>
      <c r="P349" s="384">
        <v>-450</v>
      </c>
    </row>
    <row r="350" spans="1:16" ht="19.5" customHeight="1">
      <c r="A350" s="379" t="s">
        <v>83</v>
      </c>
      <c r="B350" s="382">
        <v>45976</v>
      </c>
      <c r="C350" s="379" t="s">
        <v>77</v>
      </c>
      <c r="D350" s="379" t="s">
        <v>84</v>
      </c>
      <c r="E350" s="379" t="s">
        <v>22</v>
      </c>
      <c r="F350" s="379" t="s">
        <v>22</v>
      </c>
      <c r="G350" s="379" t="s">
        <v>22</v>
      </c>
      <c r="H350" s="383">
        <v>0</v>
      </c>
      <c r="I350" s="384">
        <v>0</v>
      </c>
      <c r="J350" s="382">
        <v>45976</v>
      </c>
      <c r="K350" s="379" t="s">
        <v>22</v>
      </c>
      <c r="L350" s="379" t="s">
        <v>22</v>
      </c>
      <c r="M350" s="385">
        <v>0</v>
      </c>
      <c r="N350" s="383"/>
      <c r="O350" s="383"/>
      <c r="P350" s="384">
        <v>-1602.4</v>
      </c>
    </row>
    <row r="351" spans="1:16" ht="19.5" customHeight="1">
      <c r="A351" s="379" t="s">
        <v>1075</v>
      </c>
      <c r="B351" s="382">
        <v>45976</v>
      </c>
      <c r="C351" s="379" t="s">
        <v>77</v>
      </c>
      <c r="D351" s="379" t="s">
        <v>82</v>
      </c>
      <c r="E351" s="379" t="s">
        <v>22</v>
      </c>
      <c r="F351" s="379" t="s">
        <v>22</v>
      </c>
      <c r="G351" s="379" t="s">
        <v>22</v>
      </c>
      <c r="H351" s="383">
        <v>0</v>
      </c>
      <c r="I351" s="384">
        <v>0</v>
      </c>
      <c r="J351" s="382">
        <v>45976</v>
      </c>
      <c r="K351" s="379" t="s">
        <v>22</v>
      </c>
      <c r="L351" s="379" t="s">
        <v>22</v>
      </c>
      <c r="M351" s="385">
        <v>0</v>
      </c>
      <c r="N351" s="383"/>
      <c r="O351" s="383"/>
      <c r="P351" s="384">
        <v>-571.98</v>
      </c>
    </row>
    <row r="352" spans="1:16" ht="19.5" customHeight="1">
      <c r="A352" s="379" t="s">
        <v>1105</v>
      </c>
      <c r="B352" s="382">
        <v>45976</v>
      </c>
      <c r="C352" s="379" t="s">
        <v>77</v>
      </c>
      <c r="D352" s="379" t="s">
        <v>82</v>
      </c>
      <c r="E352" s="379" t="s">
        <v>22</v>
      </c>
      <c r="F352" s="379" t="s">
        <v>22</v>
      </c>
      <c r="G352" s="379" t="s">
        <v>22</v>
      </c>
      <c r="H352" s="383">
        <v>0</v>
      </c>
      <c r="I352" s="384">
        <v>0</v>
      </c>
      <c r="J352" s="382">
        <v>45976</v>
      </c>
      <c r="K352" s="379" t="s">
        <v>22</v>
      </c>
      <c r="L352" s="379" t="s">
        <v>22</v>
      </c>
      <c r="M352" s="385">
        <v>0</v>
      </c>
      <c r="N352" s="383"/>
      <c r="O352" s="383"/>
      <c r="P352" s="384">
        <v>-574.13</v>
      </c>
    </row>
    <row r="353" spans="1:16" ht="19.5" customHeight="1">
      <c r="A353" s="379" t="s">
        <v>1106</v>
      </c>
      <c r="B353" s="382">
        <v>45976</v>
      </c>
      <c r="C353" s="379" t="s">
        <v>77</v>
      </c>
      <c r="D353" s="379" t="s">
        <v>82</v>
      </c>
      <c r="E353" s="379" t="s">
        <v>22</v>
      </c>
      <c r="F353" s="379" t="s">
        <v>22</v>
      </c>
      <c r="G353" s="379" t="s">
        <v>22</v>
      </c>
      <c r="H353" s="383">
        <v>0</v>
      </c>
      <c r="I353" s="384">
        <v>0</v>
      </c>
      <c r="J353" s="382">
        <v>45976</v>
      </c>
      <c r="K353" s="379" t="s">
        <v>22</v>
      </c>
      <c r="L353" s="379" t="s">
        <v>22</v>
      </c>
      <c r="M353" s="385">
        <v>0</v>
      </c>
      <c r="N353" s="383"/>
      <c r="O353" s="383"/>
      <c r="P353" s="384">
        <v>-285.66000000000003</v>
      </c>
    </row>
    <row r="354" spans="1:16" ht="19.5" customHeight="1">
      <c r="A354" s="379" t="s">
        <v>1169</v>
      </c>
      <c r="B354" s="382">
        <v>45976</v>
      </c>
      <c r="C354" s="379" t="s">
        <v>77</v>
      </c>
      <c r="D354" s="379" t="s">
        <v>82</v>
      </c>
      <c r="E354" s="379" t="s">
        <v>22</v>
      </c>
      <c r="F354" s="379" t="s">
        <v>22</v>
      </c>
      <c r="G354" s="379" t="s">
        <v>22</v>
      </c>
      <c r="H354" s="383">
        <v>0</v>
      </c>
      <c r="I354" s="384">
        <v>0</v>
      </c>
      <c r="J354" s="382">
        <v>45976</v>
      </c>
      <c r="K354" s="379" t="s">
        <v>22</v>
      </c>
      <c r="L354" s="379" t="s">
        <v>22</v>
      </c>
      <c r="M354" s="385">
        <v>0</v>
      </c>
      <c r="N354" s="383"/>
      <c r="O354" s="383"/>
      <c r="P354" s="384">
        <v>-295.97000000000003</v>
      </c>
    </row>
    <row r="355" spans="1:16" ht="19.5" customHeight="1">
      <c r="A355" s="379" t="s">
        <v>1127</v>
      </c>
      <c r="B355" s="382">
        <v>45976</v>
      </c>
      <c r="C355" s="379" t="s">
        <v>77</v>
      </c>
      <c r="D355" s="379" t="s">
        <v>82</v>
      </c>
      <c r="E355" s="379" t="s">
        <v>22</v>
      </c>
      <c r="F355" s="379" t="s">
        <v>22</v>
      </c>
      <c r="G355" s="379" t="s">
        <v>22</v>
      </c>
      <c r="H355" s="383">
        <v>0</v>
      </c>
      <c r="I355" s="384">
        <v>0</v>
      </c>
      <c r="J355" s="382">
        <v>45976</v>
      </c>
      <c r="K355" s="379" t="s">
        <v>22</v>
      </c>
      <c r="L355" s="379" t="s">
        <v>22</v>
      </c>
      <c r="M355" s="385">
        <v>0</v>
      </c>
      <c r="N355" s="383"/>
      <c r="O355" s="383"/>
      <c r="P355" s="384">
        <v>-500</v>
      </c>
    </row>
    <row r="356" spans="1:16" ht="19.5" customHeight="1">
      <c r="A356" s="379" t="s">
        <v>1183</v>
      </c>
      <c r="B356" s="382">
        <v>45976</v>
      </c>
      <c r="C356" s="379" t="s">
        <v>77</v>
      </c>
      <c r="D356" s="379" t="s">
        <v>82</v>
      </c>
      <c r="E356" s="379" t="s">
        <v>22</v>
      </c>
      <c r="F356" s="379" t="s">
        <v>22</v>
      </c>
      <c r="G356" s="379" t="s">
        <v>22</v>
      </c>
      <c r="H356" s="383">
        <v>0</v>
      </c>
      <c r="I356" s="384">
        <v>0</v>
      </c>
      <c r="J356" s="382">
        <v>45976</v>
      </c>
      <c r="K356" s="379" t="s">
        <v>22</v>
      </c>
      <c r="L356" s="379" t="s">
        <v>22</v>
      </c>
      <c r="M356" s="385">
        <v>0</v>
      </c>
      <c r="N356" s="383"/>
      <c r="O356" s="383"/>
      <c r="P356" s="384">
        <v>-293.56</v>
      </c>
    </row>
    <row r="357" spans="1:16" ht="19.5" customHeight="1">
      <c r="A357" s="379" t="s">
        <v>1206</v>
      </c>
      <c r="B357" s="382">
        <v>45977</v>
      </c>
      <c r="C357" s="379" t="s">
        <v>28</v>
      </c>
      <c r="D357" s="379" t="s">
        <v>29</v>
      </c>
      <c r="E357" s="379" t="s">
        <v>239</v>
      </c>
      <c r="F357" s="379" t="s">
        <v>733</v>
      </c>
      <c r="G357" s="379" t="s">
        <v>1133</v>
      </c>
      <c r="H357" s="383">
        <v>1</v>
      </c>
      <c r="I357" s="384">
        <v>0</v>
      </c>
      <c r="J357" s="382">
        <v>45964</v>
      </c>
      <c r="K357" s="379" t="s">
        <v>957</v>
      </c>
      <c r="L357" s="379" t="s">
        <v>30</v>
      </c>
      <c r="M357" s="385">
        <v>0</v>
      </c>
      <c r="N357" s="383"/>
      <c r="O357" s="383"/>
      <c r="P357" s="384">
        <v>-56</v>
      </c>
    </row>
    <row r="358" spans="1:16" ht="19.5" customHeight="1">
      <c r="A358" s="379" t="s">
        <v>1206</v>
      </c>
      <c r="B358" s="382">
        <v>45977</v>
      </c>
      <c r="C358" s="379" t="s">
        <v>17</v>
      </c>
      <c r="D358" s="379" t="s">
        <v>37</v>
      </c>
      <c r="E358" s="379" t="s">
        <v>239</v>
      </c>
      <c r="F358" s="379" t="s">
        <v>733</v>
      </c>
      <c r="G358" s="379" t="s">
        <v>1133</v>
      </c>
      <c r="H358" s="383">
        <v>1</v>
      </c>
      <c r="I358" s="384">
        <v>0</v>
      </c>
      <c r="J358" s="382">
        <v>45964</v>
      </c>
      <c r="K358" s="379" t="s">
        <v>957</v>
      </c>
      <c r="L358" s="379" t="s">
        <v>30</v>
      </c>
      <c r="M358" s="385">
        <v>0</v>
      </c>
      <c r="N358" s="383"/>
      <c r="O358" s="383"/>
      <c r="P358" s="384">
        <v>-11.24</v>
      </c>
    </row>
    <row r="359" spans="1:16" ht="19.5" customHeight="1">
      <c r="A359" s="379" t="s">
        <v>1206</v>
      </c>
      <c r="B359" s="382">
        <v>45977</v>
      </c>
      <c r="C359" s="379" t="s">
        <v>28</v>
      </c>
      <c r="D359" s="379" t="s">
        <v>45</v>
      </c>
      <c r="E359" s="379" t="s">
        <v>239</v>
      </c>
      <c r="F359" s="379" t="s">
        <v>733</v>
      </c>
      <c r="G359" s="379" t="s">
        <v>1133</v>
      </c>
      <c r="H359" s="383">
        <v>1</v>
      </c>
      <c r="I359" s="384">
        <v>0</v>
      </c>
      <c r="J359" s="382">
        <v>45964</v>
      </c>
      <c r="K359" s="379" t="s">
        <v>957</v>
      </c>
      <c r="L359" s="379" t="s">
        <v>30</v>
      </c>
      <c r="M359" s="385">
        <v>0</v>
      </c>
      <c r="N359" s="383"/>
      <c r="O359" s="383"/>
      <c r="P359" s="384">
        <v>0</v>
      </c>
    </row>
    <row r="360" spans="1:16" ht="19.5" customHeight="1">
      <c r="A360" s="379" t="s">
        <v>1206</v>
      </c>
      <c r="B360" s="382">
        <v>45977</v>
      </c>
      <c r="C360" s="379" t="s">
        <v>28</v>
      </c>
      <c r="D360" s="379" t="s">
        <v>46</v>
      </c>
      <c r="E360" s="379" t="s">
        <v>239</v>
      </c>
      <c r="F360" s="379" t="s">
        <v>733</v>
      </c>
      <c r="G360" s="379" t="s">
        <v>1133</v>
      </c>
      <c r="H360" s="383">
        <v>1</v>
      </c>
      <c r="I360" s="384">
        <v>0</v>
      </c>
      <c r="J360" s="382">
        <v>45964</v>
      </c>
      <c r="K360" s="379" t="s">
        <v>957</v>
      </c>
      <c r="L360" s="379" t="s">
        <v>30</v>
      </c>
      <c r="M360" s="385">
        <v>0</v>
      </c>
      <c r="N360" s="383"/>
      <c r="O360" s="383"/>
      <c r="P360" s="384">
        <v>-56</v>
      </c>
    </row>
    <row r="361" spans="1:16" ht="19.5" customHeight="1">
      <c r="A361" s="379" t="s">
        <v>1206</v>
      </c>
      <c r="B361" s="382">
        <v>45977</v>
      </c>
      <c r="C361" s="379" t="s">
        <v>17</v>
      </c>
      <c r="D361" s="379" t="s">
        <v>47</v>
      </c>
      <c r="E361" s="379" t="s">
        <v>239</v>
      </c>
      <c r="F361" s="379" t="s">
        <v>733</v>
      </c>
      <c r="G361" s="379" t="s">
        <v>1133</v>
      </c>
      <c r="H361" s="383">
        <v>1</v>
      </c>
      <c r="I361" s="384">
        <v>0</v>
      </c>
      <c r="J361" s="382">
        <v>45964</v>
      </c>
      <c r="K361" s="379" t="s">
        <v>957</v>
      </c>
      <c r="L361" s="379" t="s">
        <v>30</v>
      </c>
      <c r="M361" s="385">
        <v>0</v>
      </c>
      <c r="N361" s="383"/>
      <c r="O361" s="383"/>
      <c r="P361" s="384">
        <v>-15</v>
      </c>
    </row>
    <row r="362" spans="1:16" ht="19.5" customHeight="1">
      <c r="A362" s="379" t="s">
        <v>1207</v>
      </c>
      <c r="B362" s="382">
        <v>45977</v>
      </c>
      <c r="C362" s="379" t="s">
        <v>28</v>
      </c>
      <c r="D362" s="379" t="s">
        <v>29</v>
      </c>
      <c r="E362" s="379" t="s">
        <v>54</v>
      </c>
      <c r="F362" s="379" t="s">
        <v>55</v>
      </c>
      <c r="G362" s="379" t="s">
        <v>21</v>
      </c>
      <c r="H362" s="383">
        <v>1</v>
      </c>
      <c r="I362" s="384">
        <v>0</v>
      </c>
      <c r="J362" s="382">
        <v>45971</v>
      </c>
      <c r="K362" s="379" t="s">
        <v>957</v>
      </c>
      <c r="L362" s="379" t="s">
        <v>30</v>
      </c>
      <c r="M362" s="385">
        <v>0</v>
      </c>
      <c r="N362" s="383"/>
      <c r="O362" s="383"/>
      <c r="P362" s="384">
        <v>-46</v>
      </c>
    </row>
    <row r="363" spans="1:16" ht="19.5" customHeight="1">
      <c r="A363" s="379" t="s">
        <v>1207</v>
      </c>
      <c r="B363" s="382">
        <v>45977</v>
      </c>
      <c r="C363" s="379" t="s">
        <v>17</v>
      </c>
      <c r="D363" s="379" t="s">
        <v>37</v>
      </c>
      <c r="E363" s="379" t="s">
        <v>54</v>
      </c>
      <c r="F363" s="379" t="s">
        <v>55</v>
      </c>
      <c r="G363" s="379" t="s">
        <v>21</v>
      </c>
      <c r="H363" s="383">
        <v>1</v>
      </c>
      <c r="I363" s="384">
        <v>0</v>
      </c>
      <c r="J363" s="382">
        <v>45971</v>
      </c>
      <c r="K363" s="379" t="s">
        <v>957</v>
      </c>
      <c r="L363" s="379" t="s">
        <v>30</v>
      </c>
      <c r="M363" s="385">
        <v>0</v>
      </c>
      <c r="N363" s="383"/>
      <c r="O363" s="383"/>
      <c r="P363" s="384">
        <v>-11.72</v>
      </c>
    </row>
    <row r="364" spans="1:16" ht="19.5" customHeight="1">
      <c r="A364" s="379" t="s">
        <v>1207</v>
      </c>
      <c r="B364" s="382">
        <v>45977</v>
      </c>
      <c r="C364" s="379" t="s">
        <v>28</v>
      </c>
      <c r="D364" s="379" t="s">
        <v>45</v>
      </c>
      <c r="E364" s="379" t="s">
        <v>54</v>
      </c>
      <c r="F364" s="379" t="s">
        <v>55</v>
      </c>
      <c r="G364" s="379" t="s">
        <v>21</v>
      </c>
      <c r="H364" s="383">
        <v>1</v>
      </c>
      <c r="I364" s="384">
        <v>0</v>
      </c>
      <c r="J364" s="382">
        <v>45971</v>
      </c>
      <c r="K364" s="379" t="s">
        <v>957</v>
      </c>
      <c r="L364" s="379" t="s">
        <v>30</v>
      </c>
      <c r="M364" s="385">
        <v>0</v>
      </c>
      <c r="N364" s="383"/>
      <c r="O364" s="383"/>
      <c r="P364" s="384">
        <v>0</v>
      </c>
    </row>
    <row r="365" spans="1:16" ht="19.5" customHeight="1">
      <c r="A365" s="379" t="s">
        <v>1207</v>
      </c>
      <c r="B365" s="382">
        <v>45977</v>
      </c>
      <c r="C365" s="379" t="s">
        <v>28</v>
      </c>
      <c r="D365" s="379" t="s">
        <v>46</v>
      </c>
      <c r="E365" s="379" t="s">
        <v>54</v>
      </c>
      <c r="F365" s="379" t="s">
        <v>55</v>
      </c>
      <c r="G365" s="379" t="s">
        <v>21</v>
      </c>
      <c r="H365" s="383">
        <v>1</v>
      </c>
      <c r="I365" s="384">
        <v>0</v>
      </c>
      <c r="J365" s="382">
        <v>45971</v>
      </c>
      <c r="K365" s="379" t="s">
        <v>957</v>
      </c>
      <c r="L365" s="379" t="s">
        <v>30</v>
      </c>
      <c r="M365" s="385">
        <v>0</v>
      </c>
      <c r="N365" s="383"/>
      <c r="O365" s="383"/>
      <c r="P365" s="384">
        <v>-46</v>
      </c>
    </row>
    <row r="366" spans="1:16" ht="19.5" customHeight="1">
      <c r="A366" s="379" t="s">
        <v>1207</v>
      </c>
      <c r="B366" s="382">
        <v>45977</v>
      </c>
      <c r="C366" s="379" t="s">
        <v>17</v>
      </c>
      <c r="D366" s="379" t="s">
        <v>47</v>
      </c>
      <c r="E366" s="379" t="s">
        <v>54</v>
      </c>
      <c r="F366" s="379" t="s">
        <v>55</v>
      </c>
      <c r="G366" s="379" t="s">
        <v>21</v>
      </c>
      <c r="H366" s="383">
        <v>1</v>
      </c>
      <c r="I366" s="384">
        <v>0</v>
      </c>
      <c r="J366" s="382">
        <v>45971</v>
      </c>
      <c r="K366" s="379" t="s">
        <v>957</v>
      </c>
      <c r="L366" s="379" t="s">
        <v>30</v>
      </c>
      <c r="M366" s="385">
        <v>0</v>
      </c>
      <c r="N366" s="383"/>
      <c r="O366" s="383"/>
      <c r="P366" s="384">
        <v>-15</v>
      </c>
    </row>
    <row r="367" spans="1:16" ht="19.5" customHeight="1">
      <c r="A367" s="379" t="s">
        <v>1208</v>
      </c>
      <c r="B367" s="382">
        <v>45977</v>
      </c>
      <c r="C367" s="379" t="s">
        <v>28</v>
      </c>
      <c r="D367" s="379" t="s">
        <v>29</v>
      </c>
      <c r="E367" s="379" t="s">
        <v>223</v>
      </c>
      <c r="F367" s="379" t="s">
        <v>395</v>
      </c>
      <c r="G367" s="379" t="s">
        <v>21</v>
      </c>
      <c r="H367" s="383">
        <v>1</v>
      </c>
      <c r="I367" s="384">
        <v>0</v>
      </c>
      <c r="J367" s="382">
        <v>45971</v>
      </c>
      <c r="K367" s="379" t="s">
        <v>957</v>
      </c>
      <c r="L367" s="379" t="s">
        <v>30</v>
      </c>
      <c r="M367" s="385">
        <v>0</v>
      </c>
      <c r="N367" s="383"/>
      <c r="O367" s="383"/>
      <c r="P367" s="384">
        <v>-46</v>
      </c>
    </row>
    <row r="368" spans="1:16" ht="19.5" customHeight="1">
      <c r="A368" s="379" t="s">
        <v>1208</v>
      </c>
      <c r="B368" s="382">
        <v>45977</v>
      </c>
      <c r="C368" s="379" t="s">
        <v>17</v>
      </c>
      <c r="D368" s="379" t="s">
        <v>37</v>
      </c>
      <c r="E368" s="379" t="s">
        <v>223</v>
      </c>
      <c r="F368" s="379" t="s">
        <v>395</v>
      </c>
      <c r="G368" s="379" t="s">
        <v>21</v>
      </c>
      <c r="H368" s="383">
        <v>1</v>
      </c>
      <c r="I368" s="384">
        <v>0</v>
      </c>
      <c r="J368" s="382">
        <v>45971</v>
      </c>
      <c r="K368" s="379" t="s">
        <v>957</v>
      </c>
      <c r="L368" s="379" t="s">
        <v>30</v>
      </c>
      <c r="M368" s="385">
        <v>0</v>
      </c>
      <c r="N368" s="383"/>
      <c r="O368" s="383"/>
      <c r="P368" s="384">
        <v>-14.29</v>
      </c>
    </row>
    <row r="369" spans="1:16" ht="19.5" customHeight="1">
      <c r="A369" s="379" t="s">
        <v>1208</v>
      </c>
      <c r="B369" s="382">
        <v>45977</v>
      </c>
      <c r="C369" s="379" t="s">
        <v>28</v>
      </c>
      <c r="D369" s="379" t="s">
        <v>45</v>
      </c>
      <c r="E369" s="379" t="s">
        <v>223</v>
      </c>
      <c r="F369" s="379" t="s">
        <v>395</v>
      </c>
      <c r="G369" s="379" t="s">
        <v>21</v>
      </c>
      <c r="H369" s="383">
        <v>1</v>
      </c>
      <c r="I369" s="384">
        <v>0</v>
      </c>
      <c r="J369" s="382">
        <v>45971</v>
      </c>
      <c r="K369" s="379" t="s">
        <v>957</v>
      </c>
      <c r="L369" s="379" t="s">
        <v>30</v>
      </c>
      <c r="M369" s="385">
        <v>0</v>
      </c>
      <c r="N369" s="383"/>
      <c r="O369" s="383"/>
      <c r="P369" s="384">
        <v>0</v>
      </c>
    </row>
    <row r="370" spans="1:16" ht="19.5" customHeight="1">
      <c r="A370" s="379" t="s">
        <v>1208</v>
      </c>
      <c r="B370" s="382">
        <v>45977</v>
      </c>
      <c r="C370" s="379" t="s">
        <v>28</v>
      </c>
      <c r="D370" s="379" t="s">
        <v>46</v>
      </c>
      <c r="E370" s="379" t="s">
        <v>223</v>
      </c>
      <c r="F370" s="379" t="s">
        <v>395</v>
      </c>
      <c r="G370" s="379" t="s">
        <v>21</v>
      </c>
      <c r="H370" s="383">
        <v>1</v>
      </c>
      <c r="I370" s="384">
        <v>0</v>
      </c>
      <c r="J370" s="382">
        <v>45971</v>
      </c>
      <c r="K370" s="379" t="s">
        <v>957</v>
      </c>
      <c r="L370" s="379" t="s">
        <v>30</v>
      </c>
      <c r="M370" s="385">
        <v>0</v>
      </c>
      <c r="N370" s="383"/>
      <c r="O370" s="383"/>
      <c r="P370" s="384">
        <v>-46</v>
      </c>
    </row>
    <row r="371" spans="1:16" ht="19.5" customHeight="1">
      <c r="A371" s="379" t="s">
        <v>1208</v>
      </c>
      <c r="B371" s="382">
        <v>45977</v>
      </c>
      <c r="C371" s="379" t="s">
        <v>17</v>
      </c>
      <c r="D371" s="379" t="s">
        <v>47</v>
      </c>
      <c r="E371" s="379" t="s">
        <v>223</v>
      </c>
      <c r="F371" s="379" t="s">
        <v>395</v>
      </c>
      <c r="G371" s="379" t="s">
        <v>21</v>
      </c>
      <c r="H371" s="383">
        <v>1</v>
      </c>
      <c r="I371" s="384">
        <v>0</v>
      </c>
      <c r="J371" s="382">
        <v>45971</v>
      </c>
      <c r="K371" s="379" t="s">
        <v>957</v>
      </c>
      <c r="L371" s="379" t="s">
        <v>30</v>
      </c>
      <c r="M371" s="385">
        <v>0</v>
      </c>
      <c r="N371" s="383"/>
      <c r="O371" s="383"/>
      <c r="P371" s="384">
        <v>-15</v>
      </c>
    </row>
    <row r="372" spans="1:16" ht="19.5" customHeight="1">
      <c r="A372" s="379" t="s">
        <v>1159</v>
      </c>
      <c r="B372" s="382">
        <v>45977</v>
      </c>
      <c r="C372" s="379" t="s">
        <v>17</v>
      </c>
      <c r="D372" s="379" t="s">
        <v>18</v>
      </c>
      <c r="E372" s="379" t="s">
        <v>235</v>
      </c>
      <c r="F372" s="379" t="s">
        <v>528</v>
      </c>
      <c r="G372" s="379" t="s">
        <v>1133</v>
      </c>
      <c r="H372" s="383">
        <v>1</v>
      </c>
      <c r="I372" s="384">
        <v>0</v>
      </c>
      <c r="J372" s="382">
        <v>45973</v>
      </c>
      <c r="K372" s="379" t="s">
        <v>22</v>
      </c>
      <c r="L372" s="379" t="s">
        <v>22</v>
      </c>
      <c r="M372" s="385">
        <v>0</v>
      </c>
      <c r="N372" s="383"/>
      <c r="O372" s="383"/>
      <c r="P372" s="384">
        <v>47.17</v>
      </c>
    </row>
    <row r="373" spans="1:16" ht="19.5" customHeight="1">
      <c r="A373" s="379" t="s">
        <v>1209</v>
      </c>
      <c r="B373" s="382">
        <v>45977</v>
      </c>
      <c r="C373" s="379" t="s">
        <v>17</v>
      </c>
      <c r="D373" s="379" t="s">
        <v>18</v>
      </c>
      <c r="E373" s="379" t="s">
        <v>223</v>
      </c>
      <c r="F373" s="379" t="s">
        <v>395</v>
      </c>
      <c r="G373" s="379" t="s">
        <v>21</v>
      </c>
      <c r="H373" s="383">
        <v>1</v>
      </c>
      <c r="I373" s="384">
        <v>0</v>
      </c>
      <c r="J373" s="382">
        <v>45977</v>
      </c>
      <c r="K373" s="379" t="s">
        <v>22</v>
      </c>
      <c r="L373" s="379" t="s">
        <v>22</v>
      </c>
      <c r="M373" s="385">
        <v>0</v>
      </c>
      <c r="N373" s="383"/>
      <c r="O373" s="383"/>
      <c r="P373" s="384">
        <v>-11.31</v>
      </c>
    </row>
    <row r="374" spans="1:16" ht="19.5" customHeight="1">
      <c r="A374" s="379" t="s">
        <v>1210</v>
      </c>
      <c r="B374" s="382">
        <v>45977</v>
      </c>
      <c r="C374" s="379" t="s">
        <v>28</v>
      </c>
      <c r="D374" s="379" t="s">
        <v>29</v>
      </c>
      <c r="E374" s="379" t="s">
        <v>223</v>
      </c>
      <c r="F374" s="379" t="s">
        <v>395</v>
      </c>
      <c r="G374" s="379" t="s">
        <v>21</v>
      </c>
      <c r="H374" s="383">
        <v>1</v>
      </c>
      <c r="I374" s="384">
        <v>1687</v>
      </c>
      <c r="J374" s="382">
        <v>45976</v>
      </c>
      <c r="K374" s="379" t="s">
        <v>957</v>
      </c>
      <c r="L374" s="379" t="s">
        <v>30</v>
      </c>
      <c r="M374" s="385">
        <v>0.43</v>
      </c>
      <c r="N374" s="383"/>
      <c r="O374" s="383">
        <v>43</v>
      </c>
      <c r="P374" s="384">
        <v>-124.21</v>
      </c>
    </row>
    <row r="375" spans="1:16" ht="19.5" customHeight="1">
      <c r="A375" s="379" t="s">
        <v>1210</v>
      </c>
      <c r="B375" s="382">
        <v>45977</v>
      </c>
      <c r="C375" s="379" t="s">
        <v>31</v>
      </c>
      <c r="D375" s="379" t="s">
        <v>32</v>
      </c>
      <c r="E375" s="379" t="s">
        <v>223</v>
      </c>
      <c r="F375" s="379" t="s">
        <v>395</v>
      </c>
      <c r="G375" s="379" t="s">
        <v>21</v>
      </c>
      <c r="H375" s="383">
        <v>1</v>
      </c>
      <c r="I375" s="384">
        <v>1687</v>
      </c>
      <c r="J375" s="382">
        <v>45976</v>
      </c>
      <c r="K375" s="379" t="s">
        <v>957</v>
      </c>
      <c r="L375" s="379" t="s">
        <v>30</v>
      </c>
      <c r="M375" s="385">
        <v>0</v>
      </c>
      <c r="N375" s="383"/>
      <c r="O375" s="383"/>
      <c r="P375" s="384">
        <v>762.86</v>
      </c>
    </row>
    <row r="376" spans="1:16" ht="19.5" customHeight="1">
      <c r="A376" s="379" t="s">
        <v>1210</v>
      </c>
      <c r="B376" s="382">
        <v>45977</v>
      </c>
      <c r="C376" s="379" t="s">
        <v>31</v>
      </c>
      <c r="D376" s="379" t="s">
        <v>33</v>
      </c>
      <c r="E376" s="379" t="s">
        <v>223</v>
      </c>
      <c r="F376" s="379" t="s">
        <v>395</v>
      </c>
      <c r="G376" s="379" t="s">
        <v>21</v>
      </c>
      <c r="H376" s="383">
        <v>1</v>
      </c>
      <c r="I376" s="384">
        <v>1687</v>
      </c>
      <c r="J376" s="382">
        <v>45976</v>
      </c>
      <c r="K376" s="379" t="s">
        <v>957</v>
      </c>
      <c r="L376" s="379" t="s">
        <v>30</v>
      </c>
      <c r="M376" s="385">
        <v>0</v>
      </c>
      <c r="N376" s="383"/>
      <c r="O376" s="383"/>
      <c r="P376" s="384">
        <v>7.63</v>
      </c>
    </row>
    <row r="377" spans="1:16" ht="19.5" customHeight="1">
      <c r="A377" s="379" t="s">
        <v>1210</v>
      </c>
      <c r="B377" s="382">
        <v>45977</v>
      </c>
      <c r="C377" s="379" t="s">
        <v>31</v>
      </c>
      <c r="D377" s="379" t="s">
        <v>34</v>
      </c>
      <c r="E377" s="379" t="s">
        <v>223</v>
      </c>
      <c r="F377" s="379" t="s">
        <v>395</v>
      </c>
      <c r="G377" s="379" t="s">
        <v>21</v>
      </c>
      <c r="H377" s="383">
        <v>1</v>
      </c>
      <c r="I377" s="384">
        <v>1687</v>
      </c>
      <c r="J377" s="382">
        <v>45976</v>
      </c>
      <c r="K377" s="379" t="s">
        <v>957</v>
      </c>
      <c r="L377" s="379" t="s">
        <v>30</v>
      </c>
      <c r="M377" s="385">
        <v>0</v>
      </c>
      <c r="N377" s="383"/>
      <c r="O377" s="383"/>
      <c r="P377" s="386">
        <v>916.51</v>
      </c>
    </row>
    <row r="378" spans="1:16" ht="19.5" customHeight="1">
      <c r="A378" s="379" t="s">
        <v>1210</v>
      </c>
      <c r="B378" s="382">
        <v>45977</v>
      </c>
      <c r="C378" s="379" t="s">
        <v>35</v>
      </c>
      <c r="D378" s="379" t="s">
        <v>36</v>
      </c>
      <c r="E378" s="379" t="s">
        <v>223</v>
      </c>
      <c r="F378" s="379" t="s">
        <v>395</v>
      </c>
      <c r="G378" s="379" t="s">
        <v>21</v>
      </c>
      <c r="H378" s="383">
        <v>1</v>
      </c>
      <c r="I378" s="384">
        <v>1687</v>
      </c>
      <c r="J378" s="382">
        <v>45976</v>
      </c>
      <c r="K378" s="379" t="s">
        <v>957</v>
      </c>
      <c r="L378" s="379" t="s">
        <v>30</v>
      </c>
      <c r="M378" s="385">
        <v>0.43</v>
      </c>
      <c r="N378" s="383"/>
      <c r="O378" s="383"/>
      <c r="P378" s="384">
        <v>-725.41</v>
      </c>
    </row>
    <row r="379" spans="1:16" ht="19.5" customHeight="1">
      <c r="A379" s="379" t="s">
        <v>1210</v>
      </c>
      <c r="B379" s="382">
        <v>45977</v>
      </c>
      <c r="C379" s="379" t="s">
        <v>17</v>
      </c>
      <c r="D379" s="379" t="s">
        <v>37</v>
      </c>
      <c r="E379" s="379" t="s">
        <v>223</v>
      </c>
      <c r="F379" s="379" t="s">
        <v>395</v>
      </c>
      <c r="G379" s="379" t="s">
        <v>21</v>
      </c>
      <c r="H379" s="383">
        <v>1</v>
      </c>
      <c r="I379" s="384">
        <v>1687</v>
      </c>
      <c r="J379" s="382">
        <v>45976</v>
      </c>
      <c r="K379" s="379" t="s">
        <v>957</v>
      </c>
      <c r="L379" s="379" t="s">
        <v>30</v>
      </c>
      <c r="M379" s="385">
        <v>0.43</v>
      </c>
      <c r="N379" s="383"/>
      <c r="O379" s="383"/>
      <c r="P379" s="384">
        <v>-6.26</v>
      </c>
    </row>
    <row r="380" spans="1:16" ht="19.5" customHeight="1">
      <c r="A380" s="379" t="s">
        <v>1210</v>
      </c>
      <c r="B380" s="382">
        <v>45977</v>
      </c>
      <c r="C380" s="379" t="s">
        <v>17</v>
      </c>
      <c r="D380" s="379" t="s">
        <v>18</v>
      </c>
      <c r="E380" s="379" t="s">
        <v>223</v>
      </c>
      <c r="F380" s="379" t="s">
        <v>395</v>
      </c>
      <c r="G380" s="379" t="s">
        <v>21</v>
      </c>
      <c r="H380" s="383">
        <v>1</v>
      </c>
      <c r="I380" s="384">
        <v>0</v>
      </c>
      <c r="J380" s="382">
        <v>45976</v>
      </c>
      <c r="K380" s="379" t="s">
        <v>22</v>
      </c>
      <c r="L380" s="379" t="s">
        <v>22</v>
      </c>
      <c r="M380" s="385">
        <v>0</v>
      </c>
      <c r="N380" s="383"/>
      <c r="O380" s="383"/>
      <c r="P380" s="384">
        <v>-14.49</v>
      </c>
    </row>
    <row r="381" spans="1:16" ht="19.5" customHeight="1">
      <c r="A381" s="379" t="s">
        <v>1211</v>
      </c>
      <c r="B381" s="382">
        <v>45977</v>
      </c>
      <c r="C381" s="379" t="s">
        <v>17</v>
      </c>
      <c r="D381" s="379" t="s">
        <v>18</v>
      </c>
      <c r="E381" s="379" t="s">
        <v>228</v>
      </c>
      <c r="F381" s="379" t="s">
        <v>393</v>
      </c>
      <c r="G381" s="379" t="s">
        <v>21</v>
      </c>
      <c r="H381" s="383">
        <v>1</v>
      </c>
      <c r="I381" s="384">
        <v>0</v>
      </c>
      <c r="J381" s="382">
        <v>45977</v>
      </c>
      <c r="K381" s="379" t="s">
        <v>22</v>
      </c>
      <c r="L381" s="379" t="s">
        <v>22</v>
      </c>
      <c r="M381" s="385">
        <v>0</v>
      </c>
      <c r="N381" s="383"/>
      <c r="O381" s="383"/>
      <c r="P381" s="384">
        <v>-2.31</v>
      </c>
    </row>
    <row r="382" spans="1:16" ht="19.5" customHeight="1">
      <c r="A382" s="379" t="s">
        <v>1212</v>
      </c>
      <c r="B382" s="382">
        <v>45977</v>
      </c>
      <c r="C382" s="379" t="s">
        <v>28</v>
      </c>
      <c r="D382" s="379" t="s">
        <v>29</v>
      </c>
      <c r="E382" s="379" t="s">
        <v>88</v>
      </c>
      <c r="F382" s="379" t="s">
        <v>89</v>
      </c>
      <c r="G382" s="379" t="s">
        <v>21</v>
      </c>
      <c r="H382" s="383">
        <v>1</v>
      </c>
      <c r="I382" s="384">
        <v>1336</v>
      </c>
      <c r="J382" s="382">
        <v>45973</v>
      </c>
      <c r="K382" s="379" t="s">
        <v>957</v>
      </c>
      <c r="L382" s="379" t="s">
        <v>30</v>
      </c>
      <c r="M382" s="385">
        <v>0.43</v>
      </c>
      <c r="N382" s="383"/>
      <c r="O382" s="383"/>
      <c r="P382" s="384">
        <v>-46</v>
      </c>
    </row>
    <row r="383" spans="1:16" ht="19.5" customHeight="1">
      <c r="A383" s="379" t="s">
        <v>1212</v>
      </c>
      <c r="B383" s="382">
        <v>45977</v>
      </c>
      <c r="C383" s="379" t="s">
        <v>31</v>
      </c>
      <c r="D383" s="379" t="s">
        <v>32</v>
      </c>
      <c r="E383" s="379" t="s">
        <v>88</v>
      </c>
      <c r="F383" s="379" t="s">
        <v>89</v>
      </c>
      <c r="G383" s="379" t="s">
        <v>21</v>
      </c>
      <c r="H383" s="383">
        <v>1</v>
      </c>
      <c r="I383" s="384">
        <v>1336</v>
      </c>
      <c r="J383" s="382">
        <v>45973</v>
      </c>
      <c r="K383" s="379" t="s">
        <v>957</v>
      </c>
      <c r="L383" s="379" t="s">
        <v>30</v>
      </c>
      <c r="M383" s="385">
        <v>0</v>
      </c>
      <c r="N383" s="383"/>
      <c r="O383" s="383"/>
      <c r="P383" s="384">
        <v>466.67</v>
      </c>
    </row>
    <row r="384" spans="1:16" ht="19.5" customHeight="1">
      <c r="A384" s="379" t="s">
        <v>1212</v>
      </c>
      <c r="B384" s="382">
        <v>45977</v>
      </c>
      <c r="C384" s="379" t="s">
        <v>31</v>
      </c>
      <c r="D384" s="379" t="s">
        <v>33</v>
      </c>
      <c r="E384" s="379" t="s">
        <v>88</v>
      </c>
      <c r="F384" s="379" t="s">
        <v>89</v>
      </c>
      <c r="G384" s="379" t="s">
        <v>21</v>
      </c>
      <c r="H384" s="383">
        <v>1</v>
      </c>
      <c r="I384" s="384">
        <v>1336</v>
      </c>
      <c r="J384" s="382">
        <v>45973</v>
      </c>
      <c r="K384" s="379" t="s">
        <v>957</v>
      </c>
      <c r="L384" s="379" t="s">
        <v>30</v>
      </c>
      <c r="M384" s="385">
        <v>0</v>
      </c>
      <c r="N384" s="383"/>
      <c r="O384" s="383"/>
      <c r="P384" s="384">
        <v>4.67</v>
      </c>
    </row>
    <row r="385" spans="1:16" ht="19.5" customHeight="1">
      <c r="A385" s="379" t="s">
        <v>1212</v>
      </c>
      <c r="B385" s="382">
        <v>45977</v>
      </c>
      <c r="C385" s="379" t="s">
        <v>31</v>
      </c>
      <c r="D385" s="379" t="s">
        <v>34</v>
      </c>
      <c r="E385" s="379" t="s">
        <v>88</v>
      </c>
      <c r="F385" s="379" t="s">
        <v>89</v>
      </c>
      <c r="G385" s="379" t="s">
        <v>21</v>
      </c>
      <c r="H385" s="383">
        <v>1</v>
      </c>
      <c r="I385" s="384">
        <v>1336</v>
      </c>
      <c r="J385" s="382">
        <v>45973</v>
      </c>
      <c r="K385" s="379" t="s">
        <v>957</v>
      </c>
      <c r="L385" s="379" t="s">
        <v>30</v>
      </c>
      <c r="M385" s="385">
        <v>0</v>
      </c>
      <c r="N385" s="383"/>
      <c r="O385" s="383"/>
      <c r="P385" s="386">
        <v>864.66</v>
      </c>
    </row>
    <row r="386" spans="1:16" ht="19.5" customHeight="1">
      <c r="A386" s="379" t="s">
        <v>1212</v>
      </c>
      <c r="B386" s="382">
        <v>45977</v>
      </c>
      <c r="C386" s="379" t="s">
        <v>35</v>
      </c>
      <c r="D386" s="379" t="s">
        <v>36</v>
      </c>
      <c r="E386" s="379" t="s">
        <v>88</v>
      </c>
      <c r="F386" s="379" t="s">
        <v>89</v>
      </c>
      <c r="G386" s="379" t="s">
        <v>21</v>
      </c>
      <c r="H386" s="383">
        <v>1</v>
      </c>
      <c r="I386" s="384">
        <v>1336</v>
      </c>
      <c r="J386" s="382">
        <v>45973</v>
      </c>
      <c r="K386" s="379" t="s">
        <v>957</v>
      </c>
      <c r="L386" s="379" t="s">
        <v>30</v>
      </c>
      <c r="M386" s="385">
        <v>0.43</v>
      </c>
      <c r="N386" s="383"/>
      <c r="O386" s="383"/>
      <c r="P386" s="384">
        <v>-574.48</v>
      </c>
    </row>
    <row r="387" spans="1:16" ht="19.5" customHeight="1">
      <c r="A387" s="379" t="s">
        <v>1212</v>
      </c>
      <c r="B387" s="382">
        <v>45977</v>
      </c>
      <c r="C387" s="379" t="s">
        <v>17</v>
      </c>
      <c r="D387" s="379" t="s">
        <v>37</v>
      </c>
      <c r="E387" s="379" t="s">
        <v>88</v>
      </c>
      <c r="F387" s="379" t="s">
        <v>89</v>
      </c>
      <c r="G387" s="379" t="s">
        <v>21</v>
      </c>
      <c r="H387" s="383">
        <v>1</v>
      </c>
      <c r="I387" s="384">
        <v>1336</v>
      </c>
      <c r="J387" s="382">
        <v>45973</v>
      </c>
      <c r="K387" s="379" t="s">
        <v>957</v>
      </c>
      <c r="L387" s="379" t="s">
        <v>30</v>
      </c>
      <c r="M387" s="385">
        <v>0.43</v>
      </c>
      <c r="N387" s="383"/>
      <c r="O387" s="383"/>
      <c r="P387" s="384">
        <v>-6.69</v>
      </c>
    </row>
    <row r="388" spans="1:16" ht="19.5" customHeight="1">
      <c r="A388" s="379" t="s">
        <v>1212</v>
      </c>
      <c r="B388" s="382">
        <v>45977</v>
      </c>
      <c r="C388" s="379" t="s">
        <v>17</v>
      </c>
      <c r="D388" s="379" t="s">
        <v>18</v>
      </c>
      <c r="E388" s="379" t="s">
        <v>88</v>
      </c>
      <c r="F388" s="379" t="s">
        <v>89</v>
      </c>
      <c r="G388" s="379" t="s">
        <v>21</v>
      </c>
      <c r="H388" s="383">
        <v>1</v>
      </c>
      <c r="I388" s="384">
        <v>0</v>
      </c>
      <c r="J388" s="382">
        <v>45973</v>
      </c>
      <c r="K388" s="379" t="s">
        <v>22</v>
      </c>
      <c r="L388" s="379" t="s">
        <v>22</v>
      </c>
      <c r="M388" s="385">
        <v>0</v>
      </c>
      <c r="N388" s="383"/>
      <c r="O388" s="383"/>
      <c r="P388" s="384">
        <v>-8.8699999999999992</v>
      </c>
    </row>
    <row r="389" spans="1:16" ht="19.5" customHeight="1">
      <c r="A389" s="379" t="s">
        <v>1213</v>
      </c>
      <c r="B389" s="382">
        <v>45977</v>
      </c>
      <c r="C389" s="379" t="s">
        <v>28</v>
      </c>
      <c r="D389" s="379" t="s">
        <v>29</v>
      </c>
      <c r="E389" s="379" t="s">
        <v>226</v>
      </c>
      <c r="F389" s="379" t="s">
        <v>428</v>
      </c>
      <c r="G389" s="379" t="s">
        <v>21</v>
      </c>
      <c r="H389" s="383">
        <v>1</v>
      </c>
      <c r="I389" s="384">
        <v>1800</v>
      </c>
      <c r="J389" s="382">
        <v>45975</v>
      </c>
      <c r="K389" s="379" t="s">
        <v>957</v>
      </c>
      <c r="L389" s="379" t="s">
        <v>30</v>
      </c>
      <c r="M389" s="385">
        <v>0.43</v>
      </c>
      <c r="N389" s="383"/>
      <c r="O389" s="383">
        <v>43</v>
      </c>
      <c r="P389" s="384">
        <v>-127.6</v>
      </c>
    </row>
    <row r="390" spans="1:16" ht="19.5" customHeight="1">
      <c r="A390" s="379" t="s">
        <v>1213</v>
      </c>
      <c r="B390" s="382">
        <v>45977</v>
      </c>
      <c r="C390" s="379" t="s">
        <v>31</v>
      </c>
      <c r="D390" s="379" t="s">
        <v>32</v>
      </c>
      <c r="E390" s="379" t="s">
        <v>226</v>
      </c>
      <c r="F390" s="379" t="s">
        <v>428</v>
      </c>
      <c r="G390" s="379" t="s">
        <v>21</v>
      </c>
      <c r="H390" s="383">
        <v>1</v>
      </c>
      <c r="I390" s="384">
        <v>1800</v>
      </c>
      <c r="J390" s="382">
        <v>45975</v>
      </c>
      <c r="K390" s="379" t="s">
        <v>957</v>
      </c>
      <c r="L390" s="379" t="s">
        <v>30</v>
      </c>
      <c r="M390" s="385">
        <v>0</v>
      </c>
      <c r="N390" s="383"/>
      <c r="O390" s="383"/>
      <c r="P390" s="384">
        <v>1229.52</v>
      </c>
    </row>
    <row r="391" spans="1:16" ht="19.5" customHeight="1">
      <c r="A391" s="379" t="s">
        <v>1213</v>
      </c>
      <c r="B391" s="382">
        <v>45977</v>
      </c>
      <c r="C391" s="379" t="s">
        <v>31</v>
      </c>
      <c r="D391" s="379" t="s">
        <v>33</v>
      </c>
      <c r="E391" s="379" t="s">
        <v>226</v>
      </c>
      <c r="F391" s="379" t="s">
        <v>428</v>
      </c>
      <c r="G391" s="379" t="s">
        <v>21</v>
      </c>
      <c r="H391" s="383">
        <v>1</v>
      </c>
      <c r="I391" s="384">
        <v>1800</v>
      </c>
      <c r="J391" s="382">
        <v>45975</v>
      </c>
      <c r="K391" s="379" t="s">
        <v>957</v>
      </c>
      <c r="L391" s="379" t="s">
        <v>30</v>
      </c>
      <c r="M391" s="385">
        <v>0</v>
      </c>
      <c r="N391" s="383"/>
      <c r="O391" s="383"/>
      <c r="P391" s="384">
        <v>0</v>
      </c>
    </row>
    <row r="392" spans="1:16" ht="19.5" customHeight="1">
      <c r="A392" s="379" t="s">
        <v>1213</v>
      </c>
      <c r="B392" s="382">
        <v>45977</v>
      </c>
      <c r="C392" s="379" t="s">
        <v>31</v>
      </c>
      <c r="D392" s="379" t="s">
        <v>34</v>
      </c>
      <c r="E392" s="379" t="s">
        <v>226</v>
      </c>
      <c r="F392" s="379" t="s">
        <v>428</v>
      </c>
      <c r="G392" s="379" t="s">
        <v>21</v>
      </c>
      <c r="H392" s="383">
        <v>1</v>
      </c>
      <c r="I392" s="384">
        <v>1800</v>
      </c>
      <c r="J392" s="382">
        <v>45975</v>
      </c>
      <c r="K392" s="379" t="s">
        <v>957</v>
      </c>
      <c r="L392" s="379" t="s">
        <v>30</v>
      </c>
      <c r="M392" s="385">
        <v>0</v>
      </c>
      <c r="N392" s="383"/>
      <c r="O392" s="383"/>
      <c r="P392" s="386">
        <v>570.48</v>
      </c>
    </row>
    <row r="393" spans="1:16" ht="19.5" customHeight="1">
      <c r="A393" s="379" t="s">
        <v>1213</v>
      </c>
      <c r="B393" s="382">
        <v>45977</v>
      </c>
      <c r="C393" s="379" t="s">
        <v>35</v>
      </c>
      <c r="D393" s="379" t="s">
        <v>36</v>
      </c>
      <c r="E393" s="379" t="s">
        <v>226</v>
      </c>
      <c r="F393" s="379" t="s">
        <v>428</v>
      </c>
      <c r="G393" s="379" t="s">
        <v>21</v>
      </c>
      <c r="H393" s="383">
        <v>1</v>
      </c>
      <c r="I393" s="384">
        <v>1800</v>
      </c>
      <c r="J393" s="382">
        <v>45975</v>
      </c>
      <c r="K393" s="379" t="s">
        <v>957</v>
      </c>
      <c r="L393" s="379" t="s">
        <v>30</v>
      </c>
      <c r="M393" s="385">
        <v>0.43</v>
      </c>
      <c r="N393" s="383"/>
      <c r="O393" s="383"/>
      <c r="P393" s="384">
        <v>-774</v>
      </c>
    </row>
    <row r="394" spans="1:16" ht="19.5" customHeight="1">
      <c r="A394" s="379" t="s">
        <v>1213</v>
      </c>
      <c r="B394" s="382">
        <v>45977</v>
      </c>
      <c r="C394" s="379" t="s">
        <v>17</v>
      </c>
      <c r="D394" s="379" t="s">
        <v>37</v>
      </c>
      <c r="E394" s="379" t="s">
        <v>226</v>
      </c>
      <c r="F394" s="379" t="s">
        <v>428</v>
      </c>
      <c r="G394" s="379" t="s">
        <v>21</v>
      </c>
      <c r="H394" s="383">
        <v>1</v>
      </c>
      <c r="I394" s="384">
        <v>1800</v>
      </c>
      <c r="J394" s="382">
        <v>45975</v>
      </c>
      <c r="K394" s="379" t="s">
        <v>957</v>
      </c>
      <c r="L394" s="379" t="s">
        <v>30</v>
      </c>
      <c r="M394" s="385">
        <v>0.43</v>
      </c>
      <c r="N394" s="383"/>
      <c r="O394" s="383"/>
      <c r="P394" s="384">
        <v>-16.2</v>
      </c>
    </row>
    <row r="395" spans="1:16" ht="19.5" customHeight="1">
      <c r="A395" s="379" t="s">
        <v>1214</v>
      </c>
      <c r="B395" s="382">
        <v>45977</v>
      </c>
      <c r="C395" s="379" t="s">
        <v>28</v>
      </c>
      <c r="D395" s="379" t="s">
        <v>29</v>
      </c>
      <c r="E395" s="379" t="s">
        <v>228</v>
      </c>
      <c r="F395" s="379" t="s">
        <v>393</v>
      </c>
      <c r="G395" s="379" t="s">
        <v>21</v>
      </c>
      <c r="H395" s="383">
        <v>1</v>
      </c>
      <c r="I395" s="384">
        <v>0</v>
      </c>
      <c r="J395" s="382">
        <v>45973</v>
      </c>
      <c r="K395" s="379" t="s">
        <v>957</v>
      </c>
      <c r="L395" s="379" t="s">
        <v>30</v>
      </c>
      <c r="M395" s="385">
        <v>0</v>
      </c>
      <c r="N395" s="383"/>
      <c r="O395" s="383"/>
      <c r="P395" s="384">
        <v>-46</v>
      </c>
    </row>
    <row r="396" spans="1:16" ht="19.5" customHeight="1">
      <c r="A396" s="379" t="s">
        <v>1214</v>
      </c>
      <c r="B396" s="382">
        <v>45977</v>
      </c>
      <c r="C396" s="379" t="s">
        <v>17</v>
      </c>
      <c r="D396" s="379" t="s">
        <v>37</v>
      </c>
      <c r="E396" s="379" t="s">
        <v>228</v>
      </c>
      <c r="F396" s="379" t="s">
        <v>393</v>
      </c>
      <c r="G396" s="379" t="s">
        <v>21</v>
      </c>
      <c r="H396" s="383">
        <v>1</v>
      </c>
      <c r="I396" s="384">
        <v>0</v>
      </c>
      <c r="J396" s="382">
        <v>45973</v>
      </c>
      <c r="K396" s="379" t="s">
        <v>957</v>
      </c>
      <c r="L396" s="379" t="s">
        <v>30</v>
      </c>
      <c r="M396" s="385">
        <v>0</v>
      </c>
      <c r="N396" s="383"/>
      <c r="O396" s="383"/>
      <c r="P396" s="384">
        <v>-8.8699999999999992</v>
      </c>
    </row>
    <row r="397" spans="1:16" ht="19.5" customHeight="1">
      <c r="A397" s="379" t="s">
        <v>1214</v>
      </c>
      <c r="B397" s="382">
        <v>45977</v>
      </c>
      <c r="C397" s="379" t="s">
        <v>28</v>
      </c>
      <c r="D397" s="379" t="s">
        <v>45</v>
      </c>
      <c r="E397" s="379" t="s">
        <v>228</v>
      </c>
      <c r="F397" s="379" t="s">
        <v>393</v>
      </c>
      <c r="G397" s="379" t="s">
        <v>21</v>
      </c>
      <c r="H397" s="383">
        <v>1</v>
      </c>
      <c r="I397" s="384">
        <v>0</v>
      </c>
      <c r="J397" s="382">
        <v>45973</v>
      </c>
      <c r="K397" s="379" t="s">
        <v>957</v>
      </c>
      <c r="L397" s="379" t="s">
        <v>30</v>
      </c>
      <c r="M397" s="385">
        <v>0</v>
      </c>
      <c r="N397" s="383"/>
      <c r="O397" s="383"/>
      <c r="P397" s="384">
        <v>0</v>
      </c>
    </row>
    <row r="398" spans="1:16" ht="19.5" customHeight="1">
      <c r="A398" s="379" t="s">
        <v>1214</v>
      </c>
      <c r="B398" s="382">
        <v>45977</v>
      </c>
      <c r="C398" s="379" t="s">
        <v>28</v>
      </c>
      <c r="D398" s="379" t="s">
        <v>46</v>
      </c>
      <c r="E398" s="379" t="s">
        <v>228</v>
      </c>
      <c r="F398" s="379" t="s">
        <v>393</v>
      </c>
      <c r="G398" s="379" t="s">
        <v>21</v>
      </c>
      <c r="H398" s="383">
        <v>1</v>
      </c>
      <c r="I398" s="384">
        <v>0</v>
      </c>
      <c r="J398" s="382">
        <v>45973</v>
      </c>
      <c r="K398" s="379" t="s">
        <v>957</v>
      </c>
      <c r="L398" s="379" t="s">
        <v>30</v>
      </c>
      <c r="M398" s="385">
        <v>0</v>
      </c>
      <c r="N398" s="383"/>
      <c r="O398" s="383"/>
      <c r="P398" s="384">
        <v>-46</v>
      </c>
    </row>
    <row r="399" spans="1:16" ht="19.5" customHeight="1">
      <c r="A399" s="379" t="s">
        <v>1214</v>
      </c>
      <c r="B399" s="382">
        <v>45977</v>
      </c>
      <c r="C399" s="379" t="s">
        <v>17</v>
      </c>
      <c r="D399" s="379" t="s">
        <v>47</v>
      </c>
      <c r="E399" s="379" t="s">
        <v>228</v>
      </c>
      <c r="F399" s="379" t="s">
        <v>393</v>
      </c>
      <c r="G399" s="379" t="s">
        <v>21</v>
      </c>
      <c r="H399" s="383">
        <v>1</v>
      </c>
      <c r="I399" s="384">
        <v>0</v>
      </c>
      <c r="J399" s="382">
        <v>45973</v>
      </c>
      <c r="K399" s="379" t="s">
        <v>957</v>
      </c>
      <c r="L399" s="379" t="s">
        <v>30</v>
      </c>
      <c r="M399" s="385">
        <v>0</v>
      </c>
      <c r="N399" s="383"/>
      <c r="O399" s="383"/>
      <c r="P399" s="384">
        <v>-15</v>
      </c>
    </row>
    <row r="400" spans="1:16" ht="19.5" customHeight="1">
      <c r="A400" s="379" t="s">
        <v>1215</v>
      </c>
      <c r="B400" s="382">
        <v>45977</v>
      </c>
      <c r="C400" s="379" t="s">
        <v>28</v>
      </c>
      <c r="D400" s="379" t="s">
        <v>29</v>
      </c>
      <c r="E400" s="379" t="s">
        <v>25</v>
      </c>
      <c r="F400" s="379" t="s">
        <v>26</v>
      </c>
      <c r="G400" s="379" t="s">
        <v>21</v>
      </c>
      <c r="H400" s="383">
        <v>1</v>
      </c>
      <c r="I400" s="384">
        <v>0</v>
      </c>
      <c r="J400" s="382">
        <v>45973</v>
      </c>
      <c r="K400" s="379" t="s">
        <v>957</v>
      </c>
      <c r="L400" s="379" t="s">
        <v>30</v>
      </c>
      <c r="M400" s="385">
        <v>0</v>
      </c>
      <c r="N400" s="383"/>
      <c r="O400" s="383"/>
      <c r="P400" s="384">
        <v>-46</v>
      </c>
    </row>
    <row r="401" spans="1:16" ht="19.5" customHeight="1">
      <c r="A401" s="379" t="s">
        <v>1215</v>
      </c>
      <c r="B401" s="382">
        <v>45977</v>
      </c>
      <c r="C401" s="379" t="s">
        <v>17</v>
      </c>
      <c r="D401" s="379" t="s">
        <v>37</v>
      </c>
      <c r="E401" s="379" t="s">
        <v>25</v>
      </c>
      <c r="F401" s="379" t="s">
        <v>26</v>
      </c>
      <c r="G401" s="379" t="s">
        <v>21</v>
      </c>
      <c r="H401" s="383">
        <v>1</v>
      </c>
      <c r="I401" s="384">
        <v>0</v>
      </c>
      <c r="J401" s="382">
        <v>45973</v>
      </c>
      <c r="K401" s="379" t="s">
        <v>957</v>
      </c>
      <c r="L401" s="379" t="s">
        <v>30</v>
      </c>
      <c r="M401" s="385">
        <v>0</v>
      </c>
      <c r="N401" s="383"/>
      <c r="O401" s="383"/>
      <c r="P401" s="384">
        <v>-8.5500000000000007</v>
      </c>
    </row>
    <row r="402" spans="1:16" ht="19.5" customHeight="1">
      <c r="A402" s="379" t="s">
        <v>1215</v>
      </c>
      <c r="B402" s="382">
        <v>45977</v>
      </c>
      <c r="C402" s="379" t="s">
        <v>28</v>
      </c>
      <c r="D402" s="379" t="s">
        <v>45</v>
      </c>
      <c r="E402" s="379" t="s">
        <v>25</v>
      </c>
      <c r="F402" s="379" t="s">
        <v>26</v>
      </c>
      <c r="G402" s="379" t="s">
        <v>21</v>
      </c>
      <c r="H402" s="383">
        <v>1</v>
      </c>
      <c r="I402" s="384">
        <v>0</v>
      </c>
      <c r="J402" s="382">
        <v>45973</v>
      </c>
      <c r="K402" s="379" t="s">
        <v>957</v>
      </c>
      <c r="L402" s="379" t="s">
        <v>30</v>
      </c>
      <c r="M402" s="385">
        <v>0</v>
      </c>
      <c r="N402" s="383"/>
      <c r="O402" s="383"/>
      <c r="P402" s="384">
        <v>0</v>
      </c>
    </row>
    <row r="403" spans="1:16" ht="19.5" customHeight="1">
      <c r="A403" s="379" t="s">
        <v>1215</v>
      </c>
      <c r="B403" s="382">
        <v>45977</v>
      </c>
      <c r="C403" s="379" t="s">
        <v>28</v>
      </c>
      <c r="D403" s="379" t="s">
        <v>46</v>
      </c>
      <c r="E403" s="379" t="s">
        <v>25</v>
      </c>
      <c r="F403" s="379" t="s">
        <v>26</v>
      </c>
      <c r="G403" s="379" t="s">
        <v>21</v>
      </c>
      <c r="H403" s="383">
        <v>1</v>
      </c>
      <c r="I403" s="384">
        <v>0</v>
      </c>
      <c r="J403" s="382">
        <v>45973</v>
      </c>
      <c r="K403" s="379" t="s">
        <v>957</v>
      </c>
      <c r="L403" s="379" t="s">
        <v>30</v>
      </c>
      <c r="M403" s="385">
        <v>0</v>
      </c>
      <c r="N403" s="383"/>
      <c r="O403" s="383"/>
      <c r="P403" s="384">
        <v>-46</v>
      </c>
    </row>
    <row r="404" spans="1:16" ht="19.5" customHeight="1">
      <c r="A404" s="379" t="s">
        <v>1215</v>
      </c>
      <c r="B404" s="382">
        <v>45977</v>
      </c>
      <c r="C404" s="379" t="s">
        <v>17</v>
      </c>
      <c r="D404" s="379" t="s">
        <v>47</v>
      </c>
      <c r="E404" s="379" t="s">
        <v>25</v>
      </c>
      <c r="F404" s="379" t="s">
        <v>26</v>
      </c>
      <c r="G404" s="379" t="s">
        <v>21</v>
      </c>
      <c r="H404" s="383">
        <v>1</v>
      </c>
      <c r="I404" s="384">
        <v>0</v>
      </c>
      <c r="J404" s="382">
        <v>45973</v>
      </c>
      <c r="K404" s="379" t="s">
        <v>957</v>
      </c>
      <c r="L404" s="379" t="s">
        <v>30</v>
      </c>
      <c r="M404" s="385">
        <v>0</v>
      </c>
      <c r="N404" s="383"/>
      <c r="O404" s="383"/>
      <c r="P404" s="384">
        <v>-15</v>
      </c>
    </row>
    <row r="405" spans="1:16" ht="19.5" customHeight="1">
      <c r="A405" s="379" t="s">
        <v>1216</v>
      </c>
      <c r="B405" s="382">
        <v>45977</v>
      </c>
      <c r="C405" s="379" t="s">
        <v>28</v>
      </c>
      <c r="D405" s="379" t="s">
        <v>29</v>
      </c>
      <c r="E405" s="379" t="s">
        <v>236</v>
      </c>
      <c r="F405" s="379" t="s">
        <v>1064</v>
      </c>
      <c r="G405" s="379" t="s">
        <v>1133</v>
      </c>
      <c r="H405" s="383">
        <v>1</v>
      </c>
      <c r="I405" s="384">
        <v>3276</v>
      </c>
      <c r="J405" s="382">
        <v>45973</v>
      </c>
      <c r="K405" s="379" t="s">
        <v>957</v>
      </c>
      <c r="L405" s="379" t="s">
        <v>30</v>
      </c>
      <c r="M405" s="385">
        <v>0.43</v>
      </c>
      <c r="N405" s="383"/>
      <c r="O405" s="383"/>
      <c r="P405" s="384">
        <v>-56</v>
      </c>
    </row>
    <row r="406" spans="1:16" ht="19.5" customHeight="1">
      <c r="A406" s="379" t="s">
        <v>1216</v>
      </c>
      <c r="B406" s="382">
        <v>45977</v>
      </c>
      <c r="C406" s="379" t="s">
        <v>31</v>
      </c>
      <c r="D406" s="379" t="s">
        <v>32</v>
      </c>
      <c r="E406" s="379" t="s">
        <v>236</v>
      </c>
      <c r="F406" s="379" t="s">
        <v>1064</v>
      </c>
      <c r="G406" s="379" t="s">
        <v>1133</v>
      </c>
      <c r="H406" s="383">
        <v>1</v>
      </c>
      <c r="I406" s="384">
        <v>3276</v>
      </c>
      <c r="J406" s="382">
        <v>45973</v>
      </c>
      <c r="K406" s="379" t="s">
        <v>957</v>
      </c>
      <c r="L406" s="379" t="s">
        <v>30</v>
      </c>
      <c r="M406" s="385">
        <v>0</v>
      </c>
      <c r="N406" s="383"/>
      <c r="O406" s="383"/>
      <c r="P406" s="384">
        <v>1301.6199999999999</v>
      </c>
    </row>
    <row r="407" spans="1:16" ht="19.5" customHeight="1">
      <c r="A407" s="379" t="s">
        <v>1216</v>
      </c>
      <c r="B407" s="382">
        <v>45977</v>
      </c>
      <c r="C407" s="379" t="s">
        <v>31</v>
      </c>
      <c r="D407" s="379" t="s">
        <v>33</v>
      </c>
      <c r="E407" s="379" t="s">
        <v>236</v>
      </c>
      <c r="F407" s="379" t="s">
        <v>1064</v>
      </c>
      <c r="G407" s="379" t="s">
        <v>1133</v>
      </c>
      <c r="H407" s="383">
        <v>1</v>
      </c>
      <c r="I407" s="384">
        <v>3276</v>
      </c>
      <c r="J407" s="382">
        <v>45973</v>
      </c>
      <c r="K407" s="379" t="s">
        <v>957</v>
      </c>
      <c r="L407" s="379" t="s">
        <v>30</v>
      </c>
      <c r="M407" s="385">
        <v>0</v>
      </c>
      <c r="N407" s="383"/>
      <c r="O407" s="383"/>
      <c r="P407" s="384">
        <v>13.02</v>
      </c>
    </row>
    <row r="408" spans="1:16" ht="19.5" customHeight="1">
      <c r="A408" s="379" t="s">
        <v>1216</v>
      </c>
      <c r="B408" s="382">
        <v>45977</v>
      </c>
      <c r="C408" s="379" t="s">
        <v>31</v>
      </c>
      <c r="D408" s="379" t="s">
        <v>34</v>
      </c>
      <c r="E408" s="379" t="s">
        <v>236</v>
      </c>
      <c r="F408" s="379" t="s">
        <v>1064</v>
      </c>
      <c r="G408" s="379" t="s">
        <v>1133</v>
      </c>
      <c r="H408" s="383">
        <v>1</v>
      </c>
      <c r="I408" s="384">
        <v>3276</v>
      </c>
      <c r="J408" s="382">
        <v>45973</v>
      </c>
      <c r="K408" s="379" t="s">
        <v>957</v>
      </c>
      <c r="L408" s="379" t="s">
        <v>30</v>
      </c>
      <c r="M408" s="385">
        <v>0</v>
      </c>
      <c r="N408" s="383"/>
      <c r="O408" s="383"/>
      <c r="P408" s="386">
        <v>1961.36</v>
      </c>
    </row>
    <row r="409" spans="1:16" ht="19.5" customHeight="1">
      <c r="A409" s="379" t="s">
        <v>1216</v>
      </c>
      <c r="B409" s="382">
        <v>45977</v>
      </c>
      <c r="C409" s="379" t="s">
        <v>35</v>
      </c>
      <c r="D409" s="379" t="s">
        <v>36</v>
      </c>
      <c r="E409" s="379" t="s">
        <v>236</v>
      </c>
      <c r="F409" s="379" t="s">
        <v>1064</v>
      </c>
      <c r="G409" s="379" t="s">
        <v>1133</v>
      </c>
      <c r="H409" s="383">
        <v>1</v>
      </c>
      <c r="I409" s="384">
        <v>3276</v>
      </c>
      <c r="J409" s="382">
        <v>45973</v>
      </c>
      <c r="K409" s="379" t="s">
        <v>957</v>
      </c>
      <c r="L409" s="379" t="s">
        <v>30</v>
      </c>
      <c r="M409" s="385">
        <v>0.43</v>
      </c>
      <c r="N409" s="383"/>
      <c r="O409" s="383"/>
      <c r="P409" s="384">
        <v>-1408.68</v>
      </c>
    </row>
    <row r="410" spans="1:16" ht="19.5" customHeight="1">
      <c r="A410" s="379" t="s">
        <v>1216</v>
      </c>
      <c r="B410" s="382">
        <v>45977</v>
      </c>
      <c r="C410" s="379" t="s">
        <v>17</v>
      </c>
      <c r="D410" s="379" t="s">
        <v>37</v>
      </c>
      <c r="E410" s="379" t="s">
        <v>236</v>
      </c>
      <c r="F410" s="379" t="s">
        <v>1064</v>
      </c>
      <c r="G410" s="379" t="s">
        <v>1133</v>
      </c>
      <c r="H410" s="383">
        <v>1</v>
      </c>
      <c r="I410" s="384">
        <v>3276</v>
      </c>
      <c r="J410" s="382">
        <v>45973</v>
      </c>
      <c r="K410" s="379" t="s">
        <v>957</v>
      </c>
      <c r="L410" s="379" t="s">
        <v>30</v>
      </c>
      <c r="M410" s="385">
        <v>0.43</v>
      </c>
      <c r="N410" s="383"/>
      <c r="O410" s="383"/>
      <c r="P410" s="384">
        <v>-11.23</v>
      </c>
    </row>
    <row r="411" spans="1:16" ht="19.5" customHeight="1">
      <c r="A411" s="379" t="s">
        <v>1216</v>
      </c>
      <c r="B411" s="382">
        <v>45977</v>
      </c>
      <c r="C411" s="379" t="s">
        <v>17</v>
      </c>
      <c r="D411" s="379" t="s">
        <v>18</v>
      </c>
      <c r="E411" s="379" t="s">
        <v>236</v>
      </c>
      <c r="F411" s="379" t="s">
        <v>1064</v>
      </c>
      <c r="G411" s="379" t="s">
        <v>1133</v>
      </c>
      <c r="H411" s="383">
        <v>1</v>
      </c>
      <c r="I411" s="384">
        <v>0</v>
      </c>
      <c r="J411" s="382">
        <v>45973</v>
      </c>
      <c r="K411" s="379" t="s">
        <v>22</v>
      </c>
      <c r="L411" s="379" t="s">
        <v>22</v>
      </c>
      <c r="M411" s="385">
        <v>0</v>
      </c>
      <c r="N411" s="383"/>
      <c r="O411" s="383"/>
      <c r="P411" s="384">
        <v>-24.73</v>
      </c>
    </row>
    <row r="412" spans="1:16" ht="19.5" customHeight="1">
      <c r="A412" s="379" t="s">
        <v>1217</v>
      </c>
      <c r="B412" s="382">
        <v>45977</v>
      </c>
      <c r="C412" s="379" t="s">
        <v>28</v>
      </c>
      <c r="D412" s="379" t="s">
        <v>29</v>
      </c>
      <c r="E412" s="379" t="s">
        <v>223</v>
      </c>
      <c r="F412" s="379" t="s">
        <v>395</v>
      </c>
      <c r="G412" s="379" t="s">
        <v>21</v>
      </c>
      <c r="H412" s="383">
        <v>1</v>
      </c>
      <c r="I412" s="384">
        <v>0</v>
      </c>
      <c r="J412" s="382">
        <v>45972</v>
      </c>
      <c r="K412" s="379" t="s">
        <v>957</v>
      </c>
      <c r="L412" s="379" t="s">
        <v>30</v>
      </c>
      <c r="M412" s="385">
        <v>0</v>
      </c>
      <c r="N412" s="383"/>
      <c r="O412" s="383"/>
      <c r="P412" s="384">
        <v>-46</v>
      </c>
    </row>
    <row r="413" spans="1:16" ht="19.5" customHeight="1">
      <c r="A413" s="379" t="s">
        <v>1217</v>
      </c>
      <c r="B413" s="382">
        <v>45977</v>
      </c>
      <c r="C413" s="379" t="s">
        <v>17</v>
      </c>
      <c r="D413" s="379" t="s">
        <v>37</v>
      </c>
      <c r="E413" s="379" t="s">
        <v>223</v>
      </c>
      <c r="F413" s="379" t="s">
        <v>395</v>
      </c>
      <c r="G413" s="379" t="s">
        <v>21</v>
      </c>
      <c r="H413" s="383">
        <v>1</v>
      </c>
      <c r="I413" s="384">
        <v>0</v>
      </c>
      <c r="J413" s="382">
        <v>45972</v>
      </c>
      <c r="K413" s="379" t="s">
        <v>957</v>
      </c>
      <c r="L413" s="379" t="s">
        <v>30</v>
      </c>
      <c r="M413" s="385">
        <v>0</v>
      </c>
      <c r="N413" s="383"/>
      <c r="O413" s="383"/>
      <c r="P413" s="384">
        <v>-7.02</v>
      </c>
    </row>
    <row r="414" spans="1:16" ht="19.5" customHeight="1">
      <c r="A414" s="379" t="s">
        <v>1217</v>
      </c>
      <c r="B414" s="382">
        <v>45977</v>
      </c>
      <c r="C414" s="379" t="s">
        <v>28</v>
      </c>
      <c r="D414" s="379" t="s">
        <v>45</v>
      </c>
      <c r="E414" s="379" t="s">
        <v>223</v>
      </c>
      <c r="F414" s="379" t="s">
        <v>395</v>
      </c>
      <c r="G414" s="379" t="s">
        <v>21</v>
      </c>
      <c r="H414" s="383">
        <v>1</v>
      </c>
      <c r="I414" s="384">
        <v>0</v>
      </c>
      <c r="J414" s="382">
        <v>45972</v>
      </c>
      <c r="K414" s="379" t="s">
        <v>957</v>
      </c>
      <c r="L414" s="379" t="s">
        <v>30</v>
      </c>
      <c r="M414" s="385">
        <v>0</v>
      </c>
      <c r="N414" s="383"/>
      <c r="O414" s="383"/>
      <c r="P414" s="384">
        <v>0</v>
      </c>
    </row>
    <row r="415" spans="1:16" ht="19.5" customHeight="1">
      <c r="A415" s="379" t="s">
        <v>1217</v>
      </c>
      <c r="B415" s="382">
        <v>45977</v>
      </c>
      <c r="C415" s="379" t="s">
        <v>28</v>
      </c>
      <c r="D415" s="379" t="s">
        <v>46</v>
      </c>
      <c r="E415" s="379" t="s">
        <v>223</v>
      </c>
      <c r="F415" s="379" t="s">
        <v>395</v>
      </c>
      <c r="G415" s="379" t="s">
        <v>21</v>
      </c>
      <c r="H415" s="383">
        <v>1</v>
      </c>
      <c r="I415" s="384">
        <v>0</v>
      </c>
      <c r="J415" s="382">
        <v>45972</v>
      </c>
      <c r="K415" s="379" t="s">
        <v>957</v>
      </c>
      <c r="L415" s="379" t="s">
        <v>30</v>
      </c>
      <c r="M415" s="385">
        <v>0</v>
      </c>
      <c r="N415" s="383"/>
      <c r="O415" s="383"/>
      <c r="P415" s="384">
        <v>-46</v>
      </c>
    </row>
    <row r="416" spans="1:16" ht="19.5" customHeight="1">
      <c r="A416" s="379" t="s">
        <v>1217</v>
      </c>
      <c r="B416" s="382">
        <v>45977</v>
      </c>
      <c r="C416" s="379" t="s">
        <v>17</v>
      </c>
      <c r="D416" s="379" t="s">
        <v>47</v>
      </c>
      <c r="E416" s="379" t="s">
        <v>223</v>
      </c>
      <c r="F416" s="379" t="s">
        <v>395</v>
      </c>
      <c r="G416" s="379" t="s">
        <v>21</v>
      </c>
      <c r="H416" s="383">
        <v>1</v>
      </c>
      <c r="I416" s="384">
        <v>0</v>
      </c>
      <c r="J416" s="382">
        <v>45972</v>
      </c>
      <c r="K416" s="379" t="s">
        <v>957</v>
      </c>
      <c r="L416" s="379" t="s">
        <v>30</v>
      </c>
      <c r="M416" s="385">
        <v>0</v>
      </c>
      <c r="N416" s="383"/>
      <c r="O416" s="383"/>
      <c r="P416" s="384">
        <v>-15</v>
      </c>
    </row>
    <row r="417" spans="1:16" ht="19.5" customHeight="1">
      <c r="A417" s="379" t="s">
        <v>1218</v>
      </c>
      <c r="B417" s="382">
        <v>45977</v>
      </c>
      <c r="C417" s="379" t="s">
        <v>28</v>
      </c>
      <c r="D417" s="379" t="s">
        <v>29</v>
      </c>
      <c r="E417" s="379" t="s">
        <v>88</v>
      </c>
      <c r="F417" s="379" t="s">
        <v>89</v>
      </c>
      <c r="G417" s="379" t="s">
        <v>21</v>
      </c>
      <c r="H417" s="383">
        <v>1</v>
      </c>
      <c r="I417" s="384">
        <v>1336</v>
      </c>
      <c r="J417" s="382">
        <v>45973</v>
      </c>
      <c r="K417" s="379" t="s">
        <v>957</v>
      </c>
      <c r="L417" s="379" t="s">
        <v>30</v>
      </c>
      <c r="M417" s="385">
        <v>0.43</v>
      </c>
      <c r="N417" s="383"/>
      <c r="O417" s="383"/>
      <c r="P417" s="384">
        <v>-46</v>
      </c>
    </row>
    <row r="418" spans="1:16" ht="19.5" customHeight="1">
      <c r="A418" s="379" t="s">
        <v>1218</v>
      </c>
      <c r="B418" s="382">
        <v>45977</v>
      </c>
      <c r="C418" s="379" t="s">
        <v>31</v>
      </c>
      <c r="D418" s="379" t="s">
        <v>32</v>
      </c>
      <c r="E418" s="379" t="s">
        <v>88</v>
      </c>
      <c r="F418" s="379" t="s">
        <v>89</v>
      </c>
      <c r="G418" s="379" t="s">
        <v>21</v>
      </c>
      <c r="H418" s="383">
        <v>1</v>
      </c>
      <c r="I418" s="384">
        <v>1336</v>
      </c>
      <c r="J418" s="382">
        <v>45973</v>
      </c>
      <c r="K418" s="379" t="s">
        <v>957</v>
      </c>
      <c r="L418" s="379" t="s">
        <v>30</v>
      </c>
      <c r="M418" s="385">
        <v>0</v>
      </c>
      <c r="N418" s="383"/>
      <c r="O418" s="383"/>
      <c r="P418" s="384">
        <v>466.67</v>
      </c>
    </row>
    <row r="419" spans="1:16" ht="19.5" customHeight="1">
      <c r="A419" s="379" t="s">
        <v>1218</v>
      </c>
      <c r="B419" s="382">
        <v>45977</v>
      </c>
      <c r="C419" s="379" t="s">
        <v>31</v>
      </c>
      <c r="D419" s="379" t="s">
        <v>33</v>
      </c>
      <c r="E419" s="379" t="s">
        <v>88</v>
      </c>
      <c r="F419" s="379" t="s">
        <v>89</v>
      </c>
      <c r="G419" s="379" t="s">
        <v>21</v>
      </c>
      <c r="H419" s="383">
        <v>1</v>
      </c>
      <c r="I419" s="384">
        <v>1336</v>
      </c>
      <c r="J419" s="382">
        <v>45973</v>
      </c>
      <c r="K419" s="379" t="s">
        <v>957</v>
      </c>
      <c r="L419" s="379" t="s">
        <v>30</v>
      </c>
      <c r="M419" s="385">
        <v>0</v>
      </c>
      <c r="N419" s="383"/>
      <c r="O419" s="383"/>
      <c r="P419" s="384">
        <v>4.67</v>
      </c>
    </row>
    <row r="420" spans="1:16" ht="19.5" customHeight="1">
      <c r="A420" s="379" t="s">
        <v>1218</v>
      </c>
      <c r="B420" s="382">
        <v>45977</v>
      </c>
      <c r="C420" s="379" t="s">
        <v>31</v>
      </c>
      <c r="D420" s="379" t="s">
        <v>34</v>
      </c>
      <c r="E420" s="379" t="s">
        <v>88</v>
      </c>
      <c r="F420" s="379" t="s">
        <v>89</v>
      </c>
      <c r="G420" s="379" t="s">
        <v>21</v>
      </c>
      <c r="H420" s="383">
        <v>1</v>
      </c>
      <c r="I420" s="384">
        <v>1336</v>
      </c>
      <c r="J420" s="382">
        <v>45973</v>
      </c>
      <c r="K420" s="379" t="s">
        <v>957</v>
      </c>
      <c r="L420" s="379" t="s">
        <v>30</v>
      </c>
      <c r="M420" s="385">
        <v>0</v>
      </c>
      <c r="N420" s="383"/>
      <c r="O420" s="383"/>
      <c r="P420" s="386">
        <v>864.66</v>
      </c>
    </row>
    <row r="421" spans="1:16" ht="19.5" customHeight="1">
      <c r="A421" s="379" t="s">
        <v>1218</v>
      </c>
      <c r="B421" s="382">
        <v>45977</v>
      </c>
      <c r="C421" s="379" t="s">
        <v>35</v>
      </c>
      <c r="D421" s="379" t="s">
        <v>36</v>
      </c>
      <c r="E421" s="379" t="s">
        <v>88</v>
      </c>
      <c r="F421" s="379" t="s">
        <v>89</v>
      </c>
      <c r="G421" s="379" t="s">
        <v>21</v>
      </c>
      <c r="H421" s="383">
        <v>1</v>
      </c>
      <c r="I421" s="384">
        <v>1336</v>
      </c>
      <c r="J421" s="382">
        <v>45973</v>
      </c>
      <c r="K421" s="379" t="s">
        <v>957</v>
      </c>
      <c r="L421" s="379" t="s">
        <v>30</v>
      </c>
      <c r="M421" s="385">
        <v>0.43</v>
      </c>
      <c r="N421" s="383"/>
      <c r="O421" s="383"/>
      <c r="P421" s="384">
        <v>-574.48</v>
      </c>
    </row>
    <row r="422" spans="1:16" ht="19.5" customHeight="1">
      <c r="A422" s="379" t="s">
        <v>1218</v>
      </c>
      <c r="B422" s="382">
        <v>45977</v>
      </c>
      <c r="C422" s="379" t="s">
        <v>17</v>
      </c>
      <c r="D422" s="379" t="s">
        <v>37</v>
      </c>
      <c r="E422" s="379" t="s">
        <v>88</v>
      </c>
      <c r="F422" s="379" t="s">
        <v>89</v>
      </c>
      <c r="G422" s="379" t="s">
        <v>21</v>
      </c>
      <c r="H422" s="383">
        <v>1</v>
      </c>
      <c r="I422" s="384">
        <v>1336</v>
      </c>
      <c r="J422" s="382">
        <v>45973</v>
      </c>
      <c r="K422" s="379" t="s">
        <v>957</v>
      </c>
      <c r="L422" s="379" t="s">
        <v>30</v>
      </c>
      <c r="M422" s="385">
        <v>0.43</v>
      </c>
      <c r="N422" s="383"/>
      <c r="O422" s="383"/>
      <c r="P422" s="384">
        <v>-6.61</v>
      </c>
    </row>
    <row r="423" spans="1:16" ht="19.5" customHeight="1">
      <c r="A423" s="379" t="s">
        <v>1218</v>
      </c>
      <c r="B423" s="382">
        <v>45977</v>
      </c>
      <c r="C423" s="379" t="s">
        <v>17</v>
      </c>
      <c r="D423" s="379" t="s">
        <v>18</v>
      </c>
      <c r="E423" s="379" t="s">
        <v>88</v>
      </c>
      <c r="F423" s="379" t="s">
        <v>89</v>
      </c>
      <c r="G423" s="379" t="s">
        <v>21</v>
      </c>
      <c r="H423" s="383">
        <v>1</v>
      </c>
      <c r="I423" s="384">
        <v>0</v>
      </c>
      <c r="J423" s="382">
        <v>45973</v>
      </c>
      <c r="K423" s="379" t="s">
        <v>22</v>
      </c>
      <c r="L423" s="379" t="s">
        <v>22</v>
      </c>
      <c r="M423" s="385">
        <v>0</v>
      </c>
      <c r="N423" s="383"/>
      <c r="O423" s="383"/>
      <c r="P423" s="384">
        <v>-8.8699999999999992</v>
      </c>
    </row>
    <row r="424" spans="1:16" ht="19.5" customHeight="1">
      <c r="A424" s="379" t="s">
        <v>1219</v>
      </c>
      <c r="B424" s="382">
        <v>45977</v>
      </c>
      <c r="C424" s="379" t="s">
        <v>17</v>
      </c>
      <c r="D424" s="379" t="s">
        <v>18</v>
      </c>
      <c r="E424" s="379" t="s">
        <v>223</v>
      </c>
      <c r="F424" s="379" t="s">
        <v>395</v>
      </c>
      <c r="G424" s="379" t="s">
        <v>21</v>
      </c>
      <c r="H424" s="383">
        <v>1</v>
      </c>
      <c r="I424" s="384">
        <v>0</v>
      </c>
      <c r="J424" s="382">
        <v>45977</v>
      </c>
      <c r="K424" s="379" t="s">
        <v>22</v>
      </c>
      <c r="L424" s="379" t="s">
        <v>22</v>
      </c>
      <c r="M424" s="385">
        <v>0</v>
      </c>
      <c r="N424" s="383"/>
      <c r="O424" s="383"/>
      <c r="P424" s="384">
        <v>-12.53</v>
      </c>
    </row>
    <row r="425" spans="1:16" ht="19.5" customHeight="1">
      <c r="A425" s="379" t="s">
        <v>22</v>
      </c>
      <c r="B425" s="382">
        <v>45977</v>
      </c>
      <c r="C425" s="379" t="s">
        <v>77</v>
      </c>
      <c r="D425" s="379" t="s">
        <v>78</v>
      </c>
      <c r="E425" s="379" t="s">
        <v>22</v>
      </c>
      <c r="F425" s="379" t="s">
        <v>22</v>
      </c>
      <c r="G425" s="379" t="s">
        <v>1220</v>
      </c>
      <c r="H425" s="383">
        <v>0</v>
      </c>
      <c r="I425" s="384">
        <v>0</v>
      </c>
      <c r="J425" s="382">
        <v>45977</v>
      </c>
      <c r="K425" s="379" t="s">
        <v>22</v>
      </c>
      <c r="L425" s="379" t="s">
        <v>22</v>
      </c>
      <c r="M425" s="385">
        <v>0</v>
      </c>
      <c r="N425" s="383"/>
      <c r="O425" s="383"/>
      <c r="P425" s="384">
        <v>-450</v>
      </c>
    </row>
    <row r="426" spans="1:16" ht="19.5" customHeight="1">
      <c r="A426" s="379" t="s">
        <v>22</v>
      </c>
      <c r="B426" s="382">
        <v>45977</v>
      </c>
      <c r="C426" s="379" t="s">
        <v>77</v>
      </c>
      <c r="D426" s="379" t="s">
        <v>80</v>
      </c>
      <c r="E426" s="379" t="s">
        <v>22</v>
      </c>
      <c r="F426" s="379" t="s">
        <v>22</v>
      </c>
      <c r="G426" s="379" t="s">
        <v>22</v>
      </c>
      <c r="H426" s="383">
        <v>0</v>
      </c>
      <c r="I426" s="384">
        <v>0</v>
      </c>
      <c r="J426" s="382">
        <v>45977</v>
      </c>
      <c r="K426" s="379" t="s">
        <v>22</v>
      </c>
      <c r="L426" s="379" t="s">
        <v>22</v>
      </c>
      <c r="M426" s="385">
        <v>0</v>
      </c>
      <c r="N426" s="383"/>
      <c r="O426" s="383"/>
      <c r="P426" s="384">
        <v>-216</v>
      </c>
    </row>
    <row r="427" spans="1:16" ht="19.5" customHeight="1">
      <c r="A427" s="379" t="s">
        <v>83</v>
      </c>
      <c r="B427" s="382">
        <v>45977</v>
      </c>
      <c r="C427" s="379" t="s">
        <v>77</v>
      </c>
      <c r="D427" s="379" t="s">
        <v>84</v>
      </c>
      <c r="E427" s="379" t="s">
        <v>22</v>
      </c>
      <c r="F427" s="379" t="s">
        <v>22</v>
      </c>
      <c r="G427" s="379" t="s">
        <v>22</v>
      </c>
      <c r="H427" s="383">
        <v>0</v>
      </c>
      <c r="I427" s="384">
        <v>0</v>
      </c>
      <c r="J427" s="382">
        <v>45977</v>
      </c>
      <c r="K427" s="379" t="s">
        <v>22</v>
      </c>
      <c r="L427" s="379" t="s">
        <v>22</v>
      </c>
      <c r="M427" s="385">
        <v>0</v>
      </c>
      <c r="N427" s="383"/>
      <c r="O427" s="383"/>
      <c r="P427" s="384">
        <v>-1462.21</v>
      </c>
    </row>
    <row r="428" spans="1:16" ht="19.5" customHeight="1">
      <c r="A428" s="379" t="s">
        <v>1075</v>
      </c>
      <c r="B428" s="382">
        <v>45977</v>
      </c>
      <c r="C428" s="379" t="s">
        <v>77</v>
      </c>
      <c r="D428" s="379" t="s">
        <v>82</v>
      </c>
      <c r="E428" s="379" t="s">
        <v>22</v>
      </c>
      <c r="F428" s="379" t="s">
        <v>22</v>
      </c>
      <c r="G428" s="379" t="s">
        <v>22</v>
      </c>
      <c r="H428" s="383">
        <v>0</v>
      </c>
      <c r="I428" s="384">
        <v>0</v>
      </c>
      <c r="J428" s="382">
        <v>45977</v>
      </c>
      <c r="K428" s="379" t="s">
        <v>22</v>
      </c>
      <c r="L428" s="379" t="s">
        <v>22</v>
      </c>
      <c r="M428" s="385">
        <v>0</v>
      </c>
      <c r="N428" s="383"/>
      <c r="O428" s="383"/>
      <c r="P428" s="384">
        <v>-570.44000000000005</v>
      </c>
    </row>
    <row r="429" spans="1:16" ht="19.5" customHeight="1">
      <c r="A429" s="379" t="s">
        <v>1105</v>
      </c>
      <c r="B429" s="382">
        <v>45977</v>
      </c>
      <c r="C429" s="379" t="s">
        <v>77</v>
      </c>
      <c r="D429" s="379" t="s">
        <v>82</v>
      </c>
      <c r="E429" s="379" t="s">
        <v>22</v>
      </c>
      <c r="F429" s="379" t="s">
        <v>22</v>
      </c>
      <c r="G429" s="379" t="s">
        <v>22</v>
      </c>
      <c r="H429" s="383">
        <v>0</v>
      </c>
      <c r="I429" s="384">
        <v>0</v>
      </c>
      <c r="J429" s="382">
        <v>45977</v>
      </c>
      <c r="K429" s="379" t="s">
        <v>22</v>
      </c>
      <c r="L429" s="379" t="s">
        <v>22</v>
      </c>
      <c r="M429" s="385">
        <v>0</v>
      </c>
      <c r="N429" s="383"/>
      <c r="O429" s="383"/>
      <c r="P429" s="384">
        <v>-561.46</v>
      </c>
    </row>
    <row r="430" spans="1:16" ht="19.5" customHeight="1">
      <c r="A430" s="379" t="s">
        <v>1106</v>
      </c>
      <c r="B430" s="382">
        <v>45977</v>
      </c>
      <c r="C430" s="379" t="s">
        <v>77</v>
      </c>
      <c r="D430" s="379" t="s">
        <v>82</v>
      </c>
      <c r="E430" s="379" t="s">
        <v>22</v>
      </c>
      <c r="F430" s="379" t="s">
        <v>22</v>
      </c>
      <c r="G430" s="379" t="s">
        <v>22</v>
      </c>
      <c r="H430" s="383">
        <v>0</v>
      </c>
      <c r="I430" s="384">
        <v>0</v>
      </c>
      <c r="J430" s="382">
        <v>45977</v>
      </c>
      <c r="K430" s="379" t="s">
        <v>22</v>
      </c>
      <c r="L430" s="379" t="s">
        <v>22</v>
      </c>
      <c r="M430" s="385">
        <v>0</v>
      </c>
      <c r="N430" s="383"/>
      <c r="O430" s="383"/>
      <c r="P430" s="384">
        <v>-287.38</v>
      </c>
    </row>
    <row r="431" spans="1:16" ht="19.5" customHeight="1">
      <c r="A431" s="379" t="s">
        <v>1127</v>
      </c>
      <c r="B431" s="382">
        <v>45977</v>
      </c>
      <c r="C431" s="379" t="s">
        <v>77</v>
      </c>
      <c r="D431" s="379" t="s">
        <v>82</v>
      </c>
      <c r="E431" s="379" t="s">
        <v>22</v>
      </c>
      <c r="F431" s="379" t="s">
        <v>22</v>
      </c>
      <c r="G431" s="379" t="s">
        <v>22</v>
      </c>
      <c r="H431" s="383">
        <v>0</v>
      </c>
      <c r="I431" s="384">
        <v>0</v>
      </c>
      <c r="J431" s="382">
        <v>45977</v>
      </c>
      <c r="K431" s="379" t="s">
        <v>22</v>
      </c>
      <c r="L431" s="379" t="s">
        <v>22</v>
      </c>
      <c r="M431" s="385">
        <v>0</v>
      </c>
      <c r="N431" s="383"/>
      <c r="O431" s="383"/>
      <c r="P431" s="384">
        <v>-285.83999999999997</v>
      </c>
    </row>
    <row r="432" spans="1:16" ht="19.5" customHeight="1">
      <c r="A432" s="379" t="s">
        <v>1169</v>
      </c>
      <c r="B432" s="382">
        <v>45977</v>
      </c>
      <c r="C432" s="379" t="s">
        <v>77</v>
      </c>
      <c r="D432" s="379" t="s">
        <v>82</v>
      </c>
      <c r="E432" s="379" t="s">
        <v>22</v>
      </c>
      <c r="F432" s="379" t="s">
        <v>22</v>
      </c>
      <c r="G432" s="379" t="s">
        <v>22</v>
      </c>
      <c r="H432" s="383">
        <v>0</v>
      </c>
      <c r="I432" s="384">
        <v>0</v>
      </c>
      <c r="J432" s="382">
        <v>45977</v>
      </c>
      <c r="K432" s="379" t="s">
        <v>22</v>
      </c>
      <c r="L432" s="379" t="s">
        <v>22</v>
      </c>
      <c r="M432" s="385">
        <v>0</v>
      </c>
      <c r="N432" s="383"/>
      <c r="O432" s="383"/>
      <c r="P432" s="384">
        <v>-291.62</v>
      </c>
    </row>
    <row r="433" spans="1:16" ht="19.5" customHeight="1">
      <c r="A433" s="379" t="s">
        <v>1183</v>
      </c>
      <c r="B433" s="382">
        <v>45977</v>
      </c>
      <c r="C433" s="379" t="s">
        <v>77</v>
      </c>
      <c r="D433" s="379" t="s">
        <v>82</v>
      </c>
      <c r="E433" s="379" t="s">
        <v>22</v>
      </c>
      <c r="F433" s="379" t="s">
        <v>22</v>
      </c>
      <c r="G433" s="379" t="s">
        <v>22</v>
      </c>
      <c r="H433" s="383">
        <v>0</v>
      </c>
      <c r="I433" s="384">
        <v>0</v>
      </c>
      <c r="J433" s="382">
        <v>45977</v>
      </c>
      <c r="K433" s="379" t="s">
        <v>22</v>
      </c>
      <c r="L433" s="379" t="s">
        <v>22</v>
      </c>
      <c r="M433" s="385">
        <v>0</v>
      </c>
      <c r="N433" s="383"/>
      <c r="O433" s="383"/>
      <c r="P433" s="384">
        <v>-265</v>
      </c>
    </row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B9CF-C9E6-4603-8C51-9095826D9100}">
  <dimension ref="A1:P293"/>
  <sheetViews>
    <sheetView zoomScale="80" zoomScaleNormal="80"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1056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1057</v>
      </c>
      <c r="B3" s="5">
        <v>45964</v>
      </c>
      <c r="C3" s="1" t="s">
        <v>28</v>
      </c>
      <c r="D3" s="1" t="s">
        <v>29</v>
      </c>
      <c r="E3" s="1" t="s">
        <v>235</v>
      </c>
      <c r="F3" s="1" t="s">
        <v>528</v>
      </c>
      <c r="G3" s="1" t="s">
        <v>959</v>
      </c>
      <c r="H3" s="6">
        <v>1</v>
      </c>
      <c r="I3" s="7">
        <v>0</v>
      </c>
      <c r="J3" s="5">
        <v>45955</v>
      </c>
      <c r="K3" s="1" t="s">
        <v>957</v>
      </c>
      <c r="L3" s="1" t="s">
        <v>30</v>
      </c>
      <c r="M3" s="8">
        <v>0</v>
      </c>
      <c r="N3" s="6"/>
      <c r="O3" s="6"/>
      <c r="P3" s="9">
        <v>-56</v>
      </c>
    </row>
    <row r="4" spans="1:16" ht="19.5" customHeight="1">
      <c r="A4" s="1" t="s">
        <v>1057</v>
      </c>
      <c r="B4" s="5">
        <v>45964</v>
      </c>
      <c r="C4" s="1" t="s">
        <v>17</v>
      </c>
      <c r="D4" s="1" t="s">
        <v>37</v>
      </c>
      <c r="E4" s="1" t="s">
        <v>235</v>
      </c>
      <c r="F4" s="1" t="s">
        <v>528</v>
      </c>
      <c r="G4" s="1" t="s">
        <v>959</v>
      </c>
      <c r="H4" s="6">
        <v>1</v>
      </c>
      <c r="I4" s="7">
        <v>0</v>
      </c>
      <c r="J4" s="5">
        <v>45955</v>
      </c>
      <c r="K4" s="1" t="s">
        <v>957</v>
      </c>
      <c r="L4" s="1" t="s">
        <v>30</v>
      </c>
      <c r="M4" s="8">
        <v>0</v>
      </c>
      <c r="N4" s="6"/>
      <c r="O4" s="6"/>
      <c r="P4" s="9">
        <v>-13.43</v>
      </c>
    </row>
    <row r="5" spans="1:16" ht="19.5" customHeight="1">
      <c r="A5" s="1" t="s">
        <v>1057</v>
      </c>
      <c r="B5" s="5">
        <v>45964</v>
      </c>
      <c r="C5" s="1" t="s">
        <v>28</v>
      </c>
      <c r="D5" s="1" t="s">
        <v>45</v>
      </c>
      <c r="E5" s="1" t="s">
        <v>235</v>
      </c>
      <c r="F5" s="1" t="s">
        <v>528</v>
      </c>
      <c r="G5" s="1" t="s">
        <v>959</v>
      </c>
      <c r="H5" s="6">
        <v>1</v>
      </c>
      <c r="I5" s="7">
        <v>0</v>
      </c>
      <c r="J5" s="5">
        <v>45955</v>
      </c>
      <c r="K5" s="1" t="s">
        <v>957</v>
      </c>
      <c r="L5" s="1" t="s">
        <v>30</v>
      </c>
      <c r="M5" s="8">
        <v>0</v>
      </c>
      <c r="N5" s="6"/>
      <c r="O5" s="6"/>
      <c r="P5" s="9">
        <v>0</v>
      </c>
    </row>
    <row r="6" spans="1:16" ht="19.5" customHeight="1">
      <c r="A6" s="1" t="s">
        <v>1057</v>
      </c>
      <c r="B6" s="5">
        <v>45964</v>
      </c>
      <c r="C6" s="1" t="s">
        <v>28</v>
      </c>
      <c r="D6" s="1" t="s">
        <v>46</v>
      </c>
      <c r="E6" s="1" t="s">
        <v>235</v>
      </c>
      <c r="F6" s="1" t="s">
        <v>528</v>
      </c>
      <c r="G6" s="1" t="s">
        <v>959</v>
      </c>
      <c r="H6" s="6">
        <v>1</v>
      </c>
      <c r="I6" s="7">
        <v>0</v>
      </c>
      <c r="J6" s="5">
        <v>45955</v>
      </c>
      <c r="K6" s="1" t="s">
        <v>957</v>
      </c>
      <c r="L6" s="1" t="s">
        <v>30</v>
      </c>
      <c r="M6" s="8">
        <v>0</v>
      </c>
      <c r="N6" s="6"/>
      <c r="O6" s="6"/>
      <c r="P6" s="9">
        <v>-56</v>
      </c>
    </row>
    <row r="7" spans="1:16" ht="19.5" customHeight="1">
      <c r="A7" s="1" t="s">
        <v>1057</v>
      </c>
      <c r="B7" s="5">
        <v>45964</v>
      </c>
      <c r="C7" s="1" t="s">
        <v>17</v>
      </c>
      <c r="D7" s="1" t="s">
        <v>47</v>
      </c>
      <c r="E7" s="1" t="s">
        <v>235</v>
      </c>
      <c r="F7" s="1" t="s">
        <v>528</v>
      </c>
      <c r="G7" s="1" t="s">
        <v>959</v>
      </c>
      <c r="H7" s="6">
        <v>1</v>
      </c>
      <c r="I7" s="7">
        <v>0</v>
      </c>
      <c r="J7" s="5">
        <v>45955</v>
      </c>
      <c r="K7" s="1" t="s">
        <v>957</v>
      </c>
      <c r="L7" s="1" t="s">
        <v>30</v>
      </c>
      <c r="M7" s="8">
        <v>0</v>
      </c>
      <c r="N7" s="6"/>
      <c r="O7" s="6"/>
      <c r="P7" s="9">
        <v>-15</v>
      </c>
    </row>
    <row r="8" spans="1:16" ht="19.5" customHeight="1">
      <c r="A8" s="1" t="s">
        <v>1058</v>
      </c>
      <c r="B8" s="5">
        <v>45964</v>
      </c>
      <c r="C8" s="1" t="s">
        <v>28</v>
      </c>
      <c r="D8" s="1" t="s">
        <v>29</v>
      </c>
      <c r="E8" s="1" t="s">
        <v>226</v>
      </c>
      <c r="F8" s="1" t="s">
        <v>428</v>
      </c>
      <c r="G8" s="1" t="s">
        <v>21</v>
      </c>
      <c r="H8" s="6">
        <v>1</v>
      </c>
      <c r="I8" s="7">
        <v>1338</v>
      </c>
      <c r="J8" s="5">
        <v>45957</v>
      </c>
      <c r="K8" s="1" t="s">
        <v>957</v>
      </c>
      <c r="L8" s="1" t="s">
        <v>30</v>
      </c>
      <c r="M8" s="8">
        <v>0.38</v>
      </c>
      <c r="N8" s="6"/>
      <c r="O8" s="6"/>
      <c r="P8" s="9">
        <v>-46</v>
      </c>
    </row>
    <row r="9" spans="1:16" ht="19.5" customHeight="1">
      <c r="A9" s="1" t="s">
        <v>1058</v>
      </c>
      <c r="B9" s="5">
        <v>45964</v>
      </c>
      <c r="C9" s="1" t="s">
        <v>31</v>
      </c>
      <c r="D9" s="1" t="s">
        <v>32</v>
      </c>
      <c r="E9" s="1" t="s">
        <v>226</v>
      </c>
      <c r="F9" s="1" t="s">
        <v>428</v>
      </c>
      <c r="G9" s="1" t="s">
        <v>21</v>
      </c>
      <c r="H9" s="6">
        <v>1</v>
      </c>
      <c r="I9" s="7">
        <v>1338</v>
      </c>
      <c r="J9" s="5">
        <v>45957</v>
      </c>
      <c r="K9" s="1" t="s">
        <v>957</v>
      </c>
      <c r="L9" s="1" t="s">
        <v>30</v>
      </c>
      <c r="M9" s="8">
        <v>0</v>
      </c>
      <c r="N9" s="6"/>
      <c r="O9" s="6"/>
      <c r="P9" s="9">
        <v>723.81</v>
      </c>
    </row>
    <row r="10" spans="1:16" ht="19.5" customHeight="1">
      <c r="A10" s="1" t="s">
        <v>1058</v>
      </c>
      <c r="B10" s="5">
        <v>45964</v>
      </c>
      <c r="C10" s="1" t="s">
        <v>31</v>
      </c>
      <c r="D10" s="1" t="s">
        <v>33</v>
      </c>
      <c r="E10" s="1" t="s">
        <v>226</v>
      </c>
      <c r="F10" s="1" t="s">
        <v>428</v>
      </c>
      <c r="G10" s="1" t="s">
        <v>21</v>
      </c>
      <c r="H10" s="6">
        <v>1</v>
      </c>
      <c r="I10" s="7">
        <v>1338</v>
      </c>
      <c r="J10" s="5">
        <v>45957</v>
      </c>
      <c r="K10" s="1" t="s">
        <v>957</v>
      </c>
      <c r="L10" s="1" t="s">
        <v>30</v>
      </c>
      <c r="M10" s="8">
        <v>0</v>
      </c>
      <c r="N10" s="6"/>
      <c r="O10" s="6"/>
      <c r="P10" s="9">
        <v>7.24</v>
      </c>
    </row>
    <row r="11" spans="1:16" ht="19.5" customHeight="1">
      <c r="A11" s="1" t="s">
        <v>1058</v>
      </c>
      <c r="B11" s="5">
        <v>45964</v>
      </c>
      <c r="C11" s="1" t="s">
        <v>31</v>
      </c>
      <c r="D11" s="1" t="s">
        <v>34</v>
      </c>
      <c r="E11" s="1" t="s">
        <v>226</v>
      </c>
      <c r="F11" s="1" t="s">
        <v>428</v>
      </c>
      <c r="G11" s="1" t="s">
        <v>21</v>
      </c>
      <c r="H11" s="6">
        <v>1</v>
      </c>
      <c r="I11" s="7">
        <v>1338</v>
      </c>
      <c r="J11" s="5">
        <v>45957</v>
      </c>
      <c r="K11" s="1" t="s">
        <v>957</v>
      </c>
      <c r="L11" s="1" t="s">
        <v>30</v>
      </c>
      <c r="M11" s="8">
        <v>0</v>
      </c>
      <c r="N11" s="6"/>
      <c r="O11" s="6"/>
      <c r="P11" s="9">
        <v>606.95000000000005</v>
      </c>
    </row>
    <row r="12" spans="1:16" ht="19.5" customHeight="1">
      <c r="A12" s="1" t="s">
        <v>1058</v>
      </c>
      <c r="B12" s="5">
        <v>45964</v>
      </c>
      <c r="C12" s="1" t="s">
        <v>35</v>
      </c>
      <c r="D12" s="1" t="s">
        <v>36</v>
      </c>
      <c r="E12" s="1" t="s">
        <v>226</v>
      </c>
      <c r="F12" s="1" t="s">
        <v>428</v>
      </c>
      <c r="G12" s="1" t="s">
        <v>21</v>
      </c>
      <c r="H12" s="6">
        <v>1</v>
      </c>
      <c r="I12" s="7">
        <v>1338</v>
      </c>
      <c r="J12" s="5">
        <v>45957</v>
      </c>
      <c r="K12" s="1" t="s">
        <v>957</v>
      </c>
      <c r="L12" s="1" t="s">
        <v>30</v>
      </c>
      <c r="M12" s="8">
        <v>0.38</v>
      </c>
      <c r="N12" s="6"/>
      <c r="O12" s="6"/>
      <c r="P12" s="9">
        <v>-508.44</v>
      </c>
    </row>
    <row r="13" spans="1:16" ht="19.5" customHeight="1">
      <c r="A13" s="1" t="s">
        <v>1058</v>
      </c>
      <c r="B13" s="5">
        <v>45964</v>
      </c>
      <c r="C13" s="1" t="s">
        <v>17</v>
      </c>
      <c r="D13" s="1" t="s">
        <v>37</v>
      </c>
      <c r="E13" s="1" t="s">
        <v>226</v>
      </c>
      <c r="F13" s="1" t="s">
        <v>428</v>
      </c>
      <c r="G13" s="1" t="s">
        <v>21</v>
      </c>
      <c r="H13" s="6">
        <v>1</v>
      </c>
      <c r="I13" s="7">
        <v>1338</v>
      </c>
      <c r="J13" s="5">
        <v>45957</v>
      </c>
      <c r="K13" s="1" t="s">
        <v>957</v>
      </c>
      <c r="L13" s="1" t="s">
        <v>30</v>
      </c>
      <c r="M13" s="8">
        <v>0.38</v>
      </c>
      <c r="N13" s="6"/>
      <c r="O13" s="6"/>
      <c r="P13" s="9">
        <v>-6.11</v>
      </c>
    </row>
    <row r="14" spans="1:16" ht="19.5" customHeight="1">
      <c r="A14" s="1" t="s">
        <v>1058</v>
      </c>
      <c r="B14" s="5">
        <v>45964</v>
      </c>
      <c r="C14" s="1" t="s">
        <v>17</v>
      </c>
      <c r="D14" s="1" t="s">
        <v>18</v>
      </c>
      <c r="E14" s="1" t="s">
        <v>226</v>
      </c>
      <c r="F14" s="1" t="s">
        <v>428</v>
      </c>
      <c r="G14" s="1" t="s">
        <v>21</v>
      </c>
      <c r="H14" s="6">
        <v>1</v>
      </c>
      <c r="I14" s="7">
        <v>0</v>
      </c>
      <c r="J14" s="5">
        <v>45957</v>
      </c>
      <c r="K14" s="1" t="s">
        <v>22</v>
      </c>
      <c r="L14" s="1" t="s">
        <v>22</v>
      </c>
      <c r="M14" s="8">
        <v>0</v>
      </c>
      <c r="N14" s="6"/>
      <c r="O14" s="6"/>
      <c r="P14" s="9">
        <v>-13.75</v>
      </c>
    </row>
    <row r="15" spans="1:16" ht="19.5" customHeight="1">
      <c r="A15" s="1" t="s">
        <v>1059</v>
      </c>
      <c r="B15" s="5">
        <v>45964</v>
      </c>
      <c r="C15" s="1" t="s">
        <v>28</v>
      </c>
      <c r="D15" s="1" t="s">
        <v>29</v>
      </c>
      <c r="E15" s="1" t="s">
        <v>223</v>
      </c>
      <c r="F15" s="1" t="s">
        <v>395</v>
      </c>
      <c r="G15" s="1" t="s">
        <v>21</v>
      </c>
      <c r="H15" s="6">
        <v>1</v>
      </c>
      <c r="I15" s="7">
        <v>1336</v>
      </c>
      <c r="J15" s="5">
        <v>45961</v>
      </c>
      <c r="K15" s="1" t="s">
        <v>957</v>
      </c>
      <c r="L15" s="1" t="s">
        <v>30</v>
      </c>
      <c r="M15" s="8">
        <v>0.38</v>
      </c>
      <c r="N15" s="6"/>
      <c r="O15" s="6"/>
      <c r="P15" s="9">
        <v>-46</v>
      </c>
    </row>
    <row r="16" spans="1:16" ht="19.5" customHeight="1">
      <c r="A16" s="1" t="s">
        <v>1059</v>
      </c>
      <c r="B16" s="5">
        <v>45964</v>
      </c>
      <c r="C16" s="1" t="s">
        <v>31</v>
      </c>
      <c r="D16" s="1" t="s">
        <v>32</v>
      </c>
      <c r="E16" s="1" t="s">
        <v>223</v>
      </c>
      <c r="F16" s="1" t="s">
        <v>395</v>
      </c>
      <c r="G16" s="1" t="s">
        <v>21</v>
      </c>
      <c r="H16" s="6">
        <v>1</v>
      </c>
      <c r="I16" s="7">
        <v>1336</v>
      </c>
      <c r="J16" s="5">
        <v>45961</v>
      </c>
      <c r="K16" s="1" t="s">
        <v>957</v>
      </c>
      <c r="L16" s="1" t="s">
        <v>30</v>
      </c>
      <c r="M16" s="8">
        <v>0</v>
      </c>
      <c r="N16" s="6"/>
      <c r="O16" s="6"/>
      <c r="P16" s="9">
        <v>527.51</v>
      </c>
    </row>
    <row r="17" spans="1:16" ht="19.5" customHeight="1">
      <c r="A17" s="1" t="s">
        <v>1059</v>
      </c>
      <c r="B17" s="5">
        <v>45964</v>
      </c>
      <c r="C17" s="1" t="s">
        <v>31</v>
      </c>
      <c r="D17" s="1" t="s">
        <v>33</v>
      </c>
      <c r="E17" s="1" t="s">
        <v>223</v>
      </c>
      <c r="F17" s="1" t="s">
        <v>395</v>
      </c>
      <c r="G17" s="1" t="s">
        <v>21</v>
      </c>
      <c r="H17" s="6">
        <v>1</v>
      </c>
      <c r="I17" s="7">
        <v>1336</v>
      </c>
      <c r="J17" s="5">
        <v>45961</v>
      </c>
      <c r="K17" s="1" t="s">
        <v>957</v>
      </c>
      <c r="L17" s="1" t="s">
        <v>30</v>
      </c>
      <c r="M17" s="8">
        <v>0</v>
      </c>
      <c r="N17" s="6"/>
      <c r="O17" s="6"/>
      <c r="P17" s="9">
        <v>5.28</v>
      </c>
    </row>
    <row r="18" spans="1:16" ht="19.5" customHeight="1">
      <c r="A18" s="1" t="s">
        <v>1059</v>
      </c>
      <c r="B18" s="5">
        <v>45964</v>
      </c>
      <c r="C18" s="1" t="s">
        <v>31</v>
      </c>
      <c r="D18" s="1" t="s">
        <v>34</v>
      </c>
      <c r="E18" s="1" t="s">
        <v>223</v>
      </c>
      <c r="F18" s="1" t="s">
        <v>395</v>
      </c>
      <c r="G18" s="1" t="s">
        <v>21</v>
      </c>
      <c r="H18" s="6">
        <v>1</v>
      </c>
      <c r="I18" s="7">
        <v>1336</v>
      </c>
      <c r="J18" s="5">
        <v>45961</v>
      </c>
      <c r="K18" s="1" t="s">
        <v>957</v>
      </c>
      <c r="L18" s="1" t="s">
        <v>30</v>
      </c>
      <c r="M18" s="8">
        <v>0</v>
      </c>
      <c r="N18" s="6"/>
      <c r="O18" s="6"/>
      <c r="P18" s="9">
        <v>803.21</v>
      </c>
    </row>
    <row r="19" spans="1:16" ht="19.5" customHeight="1">
      <c r="A19" s="1" t="s">
        <v>1059</v>
      </c>
      <c r="B19" s="5">
        <v>45964</v>
      </c>
      <c r="C19" s="1" t="s">
        <v>35</v>
      </c>
      <c r="D19" s="1" t="s">
        <v>36</v>
      </c>
      <c r="E19" s="1" t="s">
        <v>223</v>
      </c>
      <c r="F19" s="1" t="s">
        <v>395</v>
      </c>
      <c r="G19" s="1" t="s">
        <v>21</v>
      </c>
      <c r="H19" s="6">
        <v>1</v>
      </c>
      <c r="I19" s="7">
        <v>1336</v>
      </c>
      <c r="J19" s="5">
        <v>45961</v>
      </c>
      <c r="K19" s="1" t="s">
        <v>957</v>
      </c>
      <c r="L19" s="1" t="s">
        <v>30</v>
      </c>
      <c r="M19" s="8">
        <v>0.38</v>
      </c>
      <c r="N19" s="6"/>
      <c r="O19" s="6"/>
      <c r="P19" s="9">
        <v>-507.68</v>
      </c>
    </row>
    <row r="20" spans="1:16" ht="19.5" customHeight="1">
      <c r="A20" s="1" t="s">
        <v>1059</v>
      </c>
      <c r="B20" s="5">
        <v>45964</v>
      </c>
      <c r="C20" s="1" t="s">
        <v>17</v>
      </c>
      <c r="D20" s="1" t="s">
        <v>37</v>
      </c>
      <c r="E20" s="1" t="s">
        <v>223</v>
      </c>
      <c r="F20" s="1" t="s">
        <v>395</v>
      </c>
      <c r="G20" s="1" t="s">
        <v>21</v>
      </c>
      <c r="H20" s="6">
        <v>1</v>
      </c>
      <c r="I20" s="7">
        <v>1336</v>
      </c>
      <c r="J20" s="5">
        <v>45961</v>
      </c>
      <c r="K20" s="1" t="s">
        <v>957</v>
      </c>
      <c r="L20" s="1" t="s">
        <v>30</v>
      </c>
      <c r="M20" s="8">
        <v>0.38</v>
      </c>
      <c r="N20" s="6"/>
      <c r="O20" s="6"/>
      <c r="P20" s="9">
        <v>-6.3</v>
      </c>
    </row>
    <row r="21" spans="1:16" ht="19.5" customHeight="1">
      <c r="A21" s="1" t="s">
        <v>22</v>
      </c>
      <c r="B21" s="5">
        <v>45964</v>
      </c>
      <c r="C21" s="1" t="s">
        <v>77</v>
      </c>
      <c r="D21" s="1" t="s">
        <v>78</v>
      </c>
      <c r="E21" s="1" t="s">
        <v>22</v>
      </c>
      <c r="F21" s="1" t="s">
        <v>22</v>
      </c>
      <c r="G21" s="1" t="s">
        <v>1060</v>
      </c>
      <c r="H21" s="6">
        <v>0</v>
      </c>
      <c r="I21" s="7">
        <v>0</v>
      </c>
      <c r="J21" s="5">
        <v>45964</v>
      </c>
      <c r="K21" s="1" t="s">
        <v>22</v>
      </c>
      <c r="L21" s="1" t="s">
        <v>22</v>
      </c>
      <c r="M21" s="8">
        <v>0</v>
      </c>
      <c r="N21" s="6"/>
      <c r="O21" s="6"/>
      <c r="P21" s="9">
        <v>-200</v>
      </c>
    </row>
    <row r="22" spans="1:16" ht="19.5" customHeight="1">
      <c r="A22" s="1" t="s">
        <v>1061</v>
      </c>
      <c r="B22" s="5">
        <v>45964</v>
      </c>
      <c r="C22" s="1" t="s">
        <v>28</v>
      </c>
      <c r="D22" s="1" t="s">
        <v>29</v>
      </c>
      <c r="E22" s="1" t="s">
        <v>70</v>
      </c>
      <c r="F22" s="1" t="s">
        <v>71</v>
      </c>
      <c r="G22" s="1" t="s">
        <v>959</v>
      </c>
      <c r="H22" s="6">
        <v>1</v>
      </c>
      <c r="I22" s="7">
        <v>0</v>
      </c>
      <c r="J22" s="5">
        <v>45959</v>
      </c>
      <c r="K22" s="1" t="s">
        <v>957</v>
      </c>
      <c r="L22" s="1" t="s">
        <v>30</v>
      </c>
      <c r="M22" s="8">
        <v>0</v>
      </c>
      <c r="N22" s="6"/>
      <c r="O22" s="6"/>
      <c r="P22" s="9">
        <v>-56</v>
      </c>
    </row>
    <row r="23" spans="1:16" ht="19.5" customHeight="1">
      <c r="A23" s="1" t="s">
        <v>1061</v>
      </c>
      <c r="B23" s="5">
        <v>45964</v>
      </c>
      <c r="C23" s="1" t="s">
        <v>17</v>
      </c>
      <c r="D23" s="1" t="s">
        <v>37</v>
      </c>
      <c r="E23" s="1" t="s">
        <v>70</v>
      </c>
      <c r="F23" s="1" t="s">
        <v>71</v>
      </c>
      <c r="G23" s="1" t="s">
        <v>959</v>
      </c>
      <c r="H23" s="6">
        <v>1</v>
      </c>
      <c r="I23" s="7">
        <v>0</v>
      </c>
      <c r="J23" s="5">
        <v>45959</v>
      </c>
      <c r="K23" s="1" t="s">
        <v>957</v>
      </c>
      <c r="L23" s="1" t="s">
        <v>30</v>
      </c>
      <c r="M23" s="8">
        <v>0</v>
      </c>
      <c r="N23" s="6"/>
      <c r="O23" s="6"/>
      <c r="P23" s="9">
        <v>-20.420000000000002</v>
      </c>
    </row>
    <row r="24" spans="1:16" ht="19.5" customHeight="1">
      <c r="A24" s="1" t="s">
        <v>1062</v>
      </c>
      <c r="B24" s="5">
        <v>45964</v>
      </c>
      <c r="C24" s="1" t="s">
        <v>28</v>
      </c>
      <c r="D24" s="1" t="s">
        <v>29</v>
      </c>
      <c r="E24" s="1" t="s">
        <v>240</v>
      </c>
      <c r="F24" s="1" t="s">
        <v>802</v>
      </c>
      <c r="G24" s="1" t="s">
        <v>959</v>
      </c>
      <c r="H24" s="6">
        <v>1</v>
      </c>
      <c r="I24" s="7">
        <v>0</v>
      </c>
      <c r="J24" s="5">
        <v>45959</v>
      </c>
      <c r="K24" s="1" t="s">
        <v>957</v>
      </c>
      <c r="L24" s="1" t="s">
        <v>30</v>
      </c>
      <c r="M24" s="8">
        <v>0</v>
      </c>
      <c r="N24" s="6"/>
      <c r="O24" s="6"/>
      <c r="P24" s="9">
        <v>-56</v>
      </c>
    </row>
    <row r="25" spans="1:16" ht="19.5" customHeight="1">
      <c r="A25" s="1" t="s">
        <v>1062</v>
      </c>
      <c r="B25" s="5">
        <v>45964</v>
      </c>
      <c r="C25" s="1" t="s">
        <v>17</v>
      </c>
      <c r="D25" s="1" t="s">
        <v>37</v>
      </c>
      <c r="E25" s="1" t="s">
        <v>240</v>
      </c>
      <c r="F25" s="1" t="s">
        <v>802</v>
      </c>
      <c r="G25" s="1" t="s">
        <v>959</v>
      </c>
      <c r="H25" s="6">
        <v>1</v>
      </c>
      <c r="I25" s="7">
        <v>0</v>
      </c>
      <c r="J25" s="5">
        <v>45959</v>
      </c>
      <c r="K25" s="1" t="s">
        <v>957</v>
      </c>
      <c r="L25" s="1" t="s">
        <v>30</v>
      </c>
      <c r="M25" s="8">
        <v>0</v>
      </c>
      <c r="N25" s="6"/>
      <c r="O25" s="6"/>
      <c r="P25" s="9">
        <v>-12.71</v>
      </c>
    </row>
    <row r="26" spans="1:16" ht="19.5" customHeight="1">
      <c r="A26" s="1" t="s">
        <v>1063</v>
      </c>
      <c r="B26" s="5">
        <v>45964</v>
      </c>
      <c r="C26" s="1" t="s">
        <v>28</v>
      </c>
      <c r="D26" s="1" t="s">
        <v>29</v>
      </c>
      <c r="E26" s="1" t="s">
        <v>236</v>
      </c>
      <c r="F26" s="1" t="s">
        <v>1064</v>
      </c>
      <c r="G26" s="1" t="s">
        <v>959</v>
      </c>
      <c r="H26" s="6">
        <v>1</v>
      </c>
      <c r="I26" s="7">
        <v>0</v>
      </c>
      <c r="J26" s="5">
        <v>45959</v>
      </c>
      <c r="K26" s="1" t="s">
        <v>957</v>
      </c>
      <c r="L26" s="1" t="s">
        <v>30</v>
      </c>
      <c r="M26" s="8">
        <v>0</v>
      </c>
      <c r="N26" s="6"/>
      <c r="O26" s="6"/>
      <c r="P26" s="9">
        <v>-56</v>
      </c>
    </row>
    <row r="27" spans="1:16" ht="19.5" customHeight="1">
      <c r="A27" s="1" t="s">
        <v>1063</v>
      </c>
      <c r="B27" s="5">
        <v>45964</v>
      </c>
      <c r="C27" s="1" t="s">
        <v>17</v>
      </c>
      <c r="D27" s="1" t="s">
        <v>37</v>
      </c>
      <c r="E27" s="1" t="s">
        <v>236</v>
      </c>
      <c r="F27" s="1" t="s">
        <v>1064</v>
      </c>
      <c r="G27" s="1" t="s">
        <v>959</v>
      </c>
      <c r="H27" s="6">
        <v>1</v>
      </c>
      <c r="I27" s="7">
        <v>0</v>
      </c>
      <c r="J27" s="5">
        <v>45959</v>
      </c>
      <c r="K27" s="1" t="s">
        <v>957</v>
      </c>
      <c r="L27" s="1" t="s">
        <v>30</v>
      </c>
      <c r="M27" s="8">
        <v>0</v>
      </c>
      <c r="N27" s="6"/>
      <c r="O27" s="6"/>
      <c r="P27" s="9">
        <v>-12.71</v>
      </c>
    </row>
    <row r="28" spans="1:16" ht="19.5" customHeight="1">
      <c r="A28" s="1" t="s">
        <v>1065</v>
      </c>
      <c r="B28" s="5">
        <v>45964</v>
      </c>
      <c r="C28" s="1" t="s">
        <v>28</v>
      </c>
      <c r="D28" s="1" t="s">
        <v>29</v>
      </c>
      <c r="E28" s="1" t="s">
        <v>51</v>
      </c>
      <c r="F28" s="1" t="s">
        <v>52</v>
      </c>
      <c r="G28" s="1" t="s">
        <v>959</v>
      </c>
      <c r="H28" s="6">
        <v>1</v>
      </c>
      <c r="I28" s="7">
        <v>0</v>
      </c>
      <c r="J28" s="5">
        <v>45959</v>
      </c>
      <c r="K28" s="1" t="s">
        <v>957</v>
      </c>
      <c r="L28" s="1" t="s">
        <v>30</v>
      </c>
      <c r="M28" s="8">
        <v>0</v>
      </c>
      <c r="N28" s="6"/>
      <c r="O28" s="6"/>
      <c r="P28" s="9">
        <v>-56</v>
      </c>
    </row>
    <row r="29" spans="1:16" ht="19.5" customHeight="1">
      <c r="A29" s="1" t="s">
        <v>1065</v>
      </c>
      <c r="B29" s="5">
        <v>45964</v>
      </c>
      <c r="C29" s="1" t="s">
        <v>17</v>
      </c>
      <c r="D29" s="1" t="s">
        <v>37</v>
      </c>
      <c r="E29" s="1" t="s">
        <v>51</v>
      </c>
      <c r="F29" s="1" t="s">
        <v>52</v>
      </c>
      <c r="G29" s="1" t="s">
        <v>959</v>
      </c>
      <c r="H29" s="6">
        <v>1</v>
      </c>
      <c r="I29" s="7">
        <v>0</v>
      </c>
      <c r="J29" s="5">
        <v>45959</v>
      </c>
      <c r="K29" s="1" t="s">
        <v>957</v>
      </c>
      <c r="L29" s="1" t="s">
        <v>30</v>
      </c>
      <c r="M29" s="8">
        <v>0</v>
      </c>
      <c r="N29" s="6"/>
      <c r="O29" s="6"/>
      <c r="P29" s="9">
        <v>-20.420000000000002</v>
      </c>
    </row>
    <row r="30" spans="1:16" ht="19.5" customHeight="1">
      <c r="A30" s="1" t="s">
        <v>810</v>
      </c>
      <c r="B30" s="5">
        <v>45964</v>
      </c>
      <c r="C30" s="1" t="s">
        <v>77</v>
      </c>
      <c r="D30" s="1" t="s">
        <v>82</v>
      </c>
      <c r="E30" s="1" t="s">
        <v>22</v>
      </c>
      <c r="F30" s="1" t="s">
        <v>22</v>
      </c>
      <c r="G30" s="1" t="s">
        <v>22</v>
      </c>
      <c r="H30" s="6">
        <v>0</v>
      </c>
      <c r="I30" s="7">
        <v>0</v>
      </c>
      <c r="J30" s="5">
        <v>45964</v>
      </c>
      <c r="K30" s="1" t="s">
        <v>22</v>
      </c>
      <c r="L30" s="1" t="s">
        <v>22</v>
      </c>
      <c r="M30" s="8">
        <v>0</v>
      </c>
      <c r="N30" s="6"/>
      <c r="O30" s="6"/>
      <c r="P30" s="9">
        <v>-438.55</v>
      </c>
    </row>
    <row r="31" spans="1:16" ht="19.5" customHeight="1">
      <c r="A31" s="1" t="s">
        <v>993</v>
      </c>
      <c r="B31" s="5">
        <v>45964</v>
      </c>
      <c r="C31" s="1" t="s">
        <v>77</v>
      </c>
      <c r="D31" s="1" t="s">
        <v>82</v>
      </c>
      <c r="E31" s="1" t="s">
        <v>22</v>
      </c>
      <c r="F31" s="1" t="s">
        <v>22</v>
      </c>
      <c r="G31" s="1" t="s">
        <v>22</v>
      </c>
      <c r="H31" s="6">
        <v>0</v>
      </c>
      <c r="I31" s="7">
        <v>0</v>
      </c>
      <c r="J31" s="5">
        <v>45964</v>
      </c>
      <c r="K31" s="1" t="s">
        <v>22</v>
      </c>
      <c r="L31" s="1" t="s">
        <v>22</v>
      </c>
      <c r="M31" s="8">
        <v>0</v>
      </c>
      <c r="N31" s="6"/>
      <c r="O31" s="6"/>
      <c r="P31" s="9">
        <v>-15.91</v>
      </c>
    </row>
    <row r="32" spans="1:16" ht="19.5" customHeight="1">
      <c r="A32" s="1" t="s">
        <v>1066</v>
      </c>
      <c r="B32" s="5">
        <v>45964</v>
      </c>
      <c r="C32" s="1" t="s">
        <v>77</v>
      </c>
      <c r="D32" s="1" t="s">
        <v>82</v>
      </c>
      <c r="E32" s="1" t="s">
        <v>22</v>
      </c>
      <c r="F32" s="1" t="s">
        <v>22</v>
      </c>
      <c r="G32" s="1" t="s">
        <v>22</v>
      </c>
      <c r="H32" s="6">
        <v>0</v>
      </c>
      <c r="I32" s="7">
        <v>0</v>
      </c>
      <c r="J32" s="5">
        <v>45964</v>
      </c>
      <c r="K32" s="1" t="s">
        <v>22</v>
      </c>
      <c r="L32" s="1" t="s">
        <v>22</v>
      </c>
      <c r="M32" s="8">
        <v>0</v>
      </c>
      <c r="N32" s="6"/>
      <c r="O32" s="6"/>
      <c r="P32" s="9">
        <v>-396.01</v>
      </c>
    </row>
    <row r="33" spans="1:16" ht="19.5" customHeight="1">
      <c r="A33" s="1" t="s">
        <v>22</v>
      </c>
      <c r="B33" s="5">
        <v>45964</v>
      </c>
      <c r="C33" s="1" t="s">
        <v>77</v>
      </c>
      <c r="D33" s="1" t="s">
        <v>944</v>
      </c>
      <c r="E33" s="1" t="s">
        <v>22</v>
      </c>
      <c r="F33" s="1" t="s">
        <v>22</v>
      </c>
      <c r="G33" s="1" t="s">
        <v>1067</v>
      </c>
      <c r="H33" s="6">
        <v>0</v>
      </c>
      <c r="I33" s="7">
        <v>0</v>
      </c>
      <c r="J33" s="5">
        <v>45964</v>
      </c>
      <c r="K33" s="1" t="s">
        <v>22</v>
      </c>
      <c r="L33" s="1" t="s">
        <v>22</v>
      </c>
      <c r="M33" s="8">
        <v>0</v>
      </c>
      <c r="N33" s="6"/>
      <c r="O33" s="6"/>
      <c r="P33" s="9">
        <v>-484.99</v>
      </c>
    </row>
    <row r="34" spans="1:16" ht="19.5" customHeight="1">
      <c r="A34" s="1" t="s">
        <v>22</v>
      </c>
      <c r="B34" s="5">
        <v>45964</v>
      </c>
      <c r="C34" s="1" t="s">
        <v>77</v>
      </c>
      <c r="D34" s="1" t="s">
        <v>944</v>
      </c>
      <c r="E34" s="1" t="s">
        <v>22</v>
      </c>
      <c r="F34" s="1" t="s">
        <v>22</v>
      </c>
      <c r="G34" s="1" t="s">
        <v>1068</v>
      </c>
      <c r="H34" s="6">
        <v>0</v>
      </c>
      <c r="I34" s="7">
        <v>0</v>
      </c>
      <c r="J34" s="5">
        <v>45964</v>
      </c>
      <c r="K34" s="1" t="s">
        <v>22</v>
      </c>
      <c r="L34" s="1" t="s">
        <v>22</v>
      </c>
      <c r="M34" s="8">
        <v>0</v>
      </c>
      <c r="N34" s="6"/>
      <c r="O34" s="6"/>
      <c r="P34" s="9">
        <v>-138.09</v>
      </c>
    </row>
    <row r="35" spans="1:16" ht="19.5" customHeight="1">
      <c r="A35" s="1" t="s">
        <v>22</v>
      </c>
      <c r="B35" s="5">
        <v>45964</v>
      </c>
      <c r="C35" s="1" t="s">
        <v>77</v>
      </c>
      <c r="D35" s="1" t="s">
        <v>944</v>
      </c>
      <c r="E35" s="1" t="s">
        <v>22</v>
      </c>
      <c r="F35" s="1" t="s">
        <v>22</v>
      </c>
      <c r="G35" s="1" t="s">
        <v>1069</v>
      </c>
      <c r="H35" s="6">
        <v>0</v>
      </c>
      <c r="I35" s="7">
        <v>0</v>
      </c>
      <c r="J35" s="5">
        <v>45964</v>
      </c>
      <c r="K35" s="1" t="s">
        <v>22</v>
      </c>
      <c r="L35" s="1" t="s">
        <v>22</v>
      </c>
      <c r="M35" s="8">
        <v>0</v>
      </c>
      <c r="N35" s="6"/>
      <c r="O35" s="6"/>
      <c r="P35" s="9">
        <v>-404.68</v>
      </c>
    </row>
    <row r="36" spans="1:16" ht="19.5" customHeight="1">
      <c r="A36" s="1" t="s">
        <v>1062</v>
      </c>
      <c r="B36" s="5">
        <v>45965</v>
      </c>
      <c r="C36" s="1" t="s">
        <v>28</v>
      </c>
      <c r="D36" s="1" t="s">
        <v>45</v>
      </c>
      <c r="E36" s="1" t="s">
        <v>240</v>
      </c>
      <c r="F36" s="1" t="s">
        <v>802</v>
      </c>
      <c r="G36" s="1" t="s">
        <v>959</v>
      </c>
      <c r="H36" s="6">
        <v>1</v>
      </c>
      <c r="I36" s="7">
        <v>0</v>
      </c>
      <c r="J36" s="5">
        <v>45959</v>
      </c>
      <c r="K36" s="1" t="s">
        <v>957</v>
      </c>
      <c r="L36" s="1" t="s">
        <v>30</v>
      </c>
      <c r="M36" s="8">
        <v>0</v>
      </c>
      <c r="N36" s="6"/>
      <c r="O36" s="6"/>
      <c r="P36" s="9">
        <v>0</v>
      </c>
    </row>
    <row r="37" spans="1:16" ht="19.5" customHeight="1">
      <c r="A37" s="1" t="s">
        <v>1062</v>
      </c>
      <c r="B37" s="5">
        <v>45965</v>
      </c>
      <c r="C37" s="1" t="s">
        <v>28</v>
      </c>
      <c r="D37" s="1" t="s">
        <v>46</v>
      </c>
      <c r="E37" s="1" t="s">
        <v>240</v>
      </c>
      <c r="F37" s="1" t="s">
        <v>802</v>
      </c>
      <c r="G37" s="1" t="s">
        <v>959</v>
      </c>
      <c r="H37" s="6">
        <v>1</v>
      </c>
      <c r="I37" s="7">
        <v>0</v>
      </c>
      <c r="J37" s="5">
        <v>45959</v>
      </c>
      <c r="K37" s="1" t="s">
        <v>957</v>
      </c>
      <c r="L37" s="1" t="s">
        <v>30</v>
      </c>
      <c r="M37" s="8">
        <v>0</v>
      </c>
      <c r="N37" s="6"/>
      <c r="O37" s="6"/>
      <c r="P37" s="9">
        <v>-56</v>
      </c>
    </row>
    <row r="38" spans="1:16" ht="19.5" customHeight="1">
      <c r="A38" s="1" t="s">
        <v>1062</v>
      </c>
      <c r="B38" s="5">
        <v>45965</v>
      </c>
      <c r="C38" s="1" t="s">
        <v>17</v>
      </c>
      <c r="D38" s="1" t="s">
        <v>47</v>
      </c>
      <c r="E38" s="1" t="s">
        <v>240</v>
      </c>
      <c r="F38" s="1" t="s">
        <v>802</v>
      </c>
      <c r="G38" s="1" t="s">
        <v>959</v>
      </c>
      <c r="H38" s="6">
        <v>1</v>
      </c>
      <c r="I38" s="7">
        <v>0</v>
      </c>
      <c r="J38" s="5">
        <v>45959</v>
      </c>
      <c r="K38" s="1" t="s">
        <v>957</v>
      </c>
      <c r="L38" s="1" t="s">
        <v>30</v>
      </c>
      <c r="M38" s="8">
        <v>0</v>
      </c>
      <c r="N38" s="6"/>
      <c r="O38" s="6"/>
      <c r="P38" s="9">
        <v>-15</v>
      </c>
    </row>
    <row r="39" spans="1:16" ht="19.5" customHeight="1">
      <c r="A39" s="1" t="s">
        <v>1061</v>
      </c>
      <c r="B39" s="5">
        <v>45965</v>
      </c>
      <c r="C39" s="1" t="s">
        <v>28</v>
      </c>
      <c r="D39" s="1" t="s">
        <v>45</v>
      </c>
      <c r="E39" s="1" t="s">
        <v>70</v>
      </c>
      <c r="F39" s="1" t="s">
        <v>71</v>
      </c>
      <c r="G39" s="1" t="s">
        <v>959</v>
      </c>
      <c r="H39" s="6">
        <v>1</v>
      </c>
      <c r="I39" s="7">
        <v>0</v>
      </c>
      <c r="J39" s="5">
        <v>45959</v>
      </c>
      <c r="K39" s="1" t="s">
        <v>957</v>
      </c>
      <c r="L39" s="1" t="s">
        <v>30</v>
      </c>
      <c r="M39" s="8">
        <v>0</v>
      </c>
      <c r="N39" s="6"/>
      <c r="O39" s="6"/>
      <c r="P39" s="9">
        <v>0</v>
      </c>
    </row>
    <row r="40" spans="1:16" ht="19.5" customHeight="1">
      <c r="A40" s="1" t="s">
        <v>1061</v>
      </c>
      <c r="B40" s="5">
        <v>45965</v>
      </c>
      <c r="C40" s="1" t="s">
        <v>28</v>
      </c>
      <c r="D40" s="1" t="s">
        <v>46</v>
      </c>
      <c r="E40" s="1" t="s">
        <v>70</v>
      </c>
      <c r="F40" s="1" t="s">
        <v>71</v>
      </c>
      <c r="G40" s="1" t="s">
        <v>959</v>
      </c>
      <c r="H40" s="6">
        <v>1</v>
      </c>
      <c r="I40" s="7">
        <v>0</v>
      </c>
      <c r="J40" s="5">
        <v>45959</v>
      </c>
      <c r="K40" s="1" t="s">
        <v>957</v>
      </c>
      <c r="L40" s="1" t="s">
        <v>30</v>
      </c>
      <c r="M40" s="8">
        <v>0</v>
      </c>
      <c r="N40" s="6"/>
      <c r="O40" s="6"/>
      <c r="P40" s="9">
        <v>-56</v>
      </c>
    </row>
    <row r="41" spans="1:16" ht="19.5" customHeight="1">
      <c r="A41" s="1" t="s">
        <v>1061</v>
      </c>
      <c r="B41" s="5">
        <v>45965</v>
      </c>
      <c r="C41" s="1" t="s">
        <v>17</v>
      </c>
      <c r="D41" s="1" t="s">
        <v>47</v>
      </c>
      <c r="E41" s="1" t="s">
        <v>70</v>
      </c>
      <c r="F41" s="1" t="s">
        <v>71</v>
      </c>
      <c r="G41" s="1" t="s">
        <v>959</v>
      </c>
      <c r="H41" s="6">
        <v>1</v>
      </c>
      <c r="I41" s="7">
        <v>0</v>
      </c>
      <c r="J41" s="5">
        <v>45959</v>
      </c>
      <c r="K41" s="1" t="s">
        <v>957</v>
      </c>
      <c r="L41" s="1" t="s">
        <v>30</v>
      </c>
      <c r="M41" s="8">
        <v>0</v>
      </c>
      <c r="N41" s="6"/>
      <c r="O41" s="6"/>
      <c r="P41" s="9">
        <v>-15</v>
      </c>
    </row>
    <row r="42" spans="1:16" ht="19.5" customHeight="1">
      <c r="A42" s="1" t="s">
        <v>1065</v>
      </c>
      <c r="B42" s="5">
        <v>45965</v>
      </c>
      <c r="C42" s="1" t="s">
        <v>28</v>
      </c>
      <c r="D42" s="1" t="s">
        <v>45</v>
      </c>
      <c r="E42" s="1" t="s">
        <v>51</v>
      </c>
      <c r="F42" s="1" t="s">
        <v>52</v>
      </c>
      <c r="G42" s="1" t="s">
        <v>959</v>
      </c>
      <c r="H42" s="6">
        <v>1</v>
      </c>
      <c r="I42" s="7">
        <v>0</v>
      </c>
      <c r="J42" s="5">
        <v>45959</v>
      </c>
      <c r="K42" s="1" t="s">
        <v>957</v>
      </c>
      <c r="L42" s="1" t="s">
        <v>30</v>
      </c>
      <c r="M42" s="8">
        <v>0</v>
      </c>
      <c r="N42" s="6"/>
      <c r="O42" s="6"/>
      <c r="P42" s="9">
        <v>0</v>
      </c>
    </row>
    <row r="43" spans="1:16" ht="19.5" customHeight="1">
      <c r="A43" s="1" t="s">
        <v>1065</v>
      </c>
      <c r="B43" s="5">
        <v>45965</v>
      </c>
      <c r="C43" s="1" t="s">
        <v>28</v>
      </c>
      <c r="D43" s="1" t="s">
        <v>46</v>
      </c>
      <c r="E43" s="1" t="s">
        <v>51</v>
      </c>
      <c r="F43" s="1" t="s">
        <v>52</v>
      </c>
      <c r="G43" s="1" t="s">
        <v>959</v>
      </c>
      <c r="H43" s="6">
        <v>1</v>
      </c>
      <c r="I43" s="7">
        <v>0</v>
      </c>
      <c r="J43" s="5">
        <v>45959</v>
      </c>
      <c r="K43" s="1" t="s">
        <v>957</v>
      </c>
      <c r="L43" s="1" t="s">
        <v>30</v>
      </c>
      <c r="M43" s="8">
        <v>0</v>
      </c>
      <c r="N43" s="6"/>
      <c r="O43" s="6"/>
      <c r="P43" s="9">
        <v>-56</v>
      </c>
    </row>
    <row r="44" spans="1:16" ht="19.5" customHeight="1">
      <c r="A44" s="1" t="s">
        <v>1065</v>
      </c>
      <c r="B44" s="5">
        <v>45965</v>
      </c>
      <c r="C44" s="1" t="s">
        <v>17</v>
      </c>
      <c r="D44" s="1" t="s">
        <v>47</v>
      </c>
      <c r="E44" s="1" t="s">
        <v>51</v>
      </c>
      <c r="F44" s="1" t="s">
        <v>52</v>
      </c>
      <c r="G44" s="1" t="s">
        <v>959</v>
      </c>
      <c r="H44" s="6">
        <v>1</v>
      </c>
      <c r="I44" s="7">
        <v>0</v>
      </c>
      <c r="J44" s="5">
        <v>45959</v>
      </c>
      <c r="K44" s="1" t="s">
        <v>957</v>
      </c>
      <c r="L44" s="1" t="s">
        <v>30</v>
      </c>
      <c r="M44" s="8">
        <v>0</v>
      </c>
      <c r="N44" s="6"/>
      <c r="O44" s="6"/>
      <c r="P44" s="9">
        <v>-15</v>
      </c>
    </row>
    <row r="45" spans="1:16" ht="19.5" customHeight="1">
      <c r="A45" s="1" t="s">
        <v>1063</v>
      </c>
      <c r="B45" s="5">
        <v>45965</v>
      </c>
      <c r="C45" s="1" t="s">
        <v>28</v>
      </c>
      <c r="D45" s="1" t="s">
        <v>45</v>
      </c>
      <c r="E45" s="1" t="s">
        <v>236</v>
      </c>
      <c r="F45" s="1" t="s">
        <v>1064</v>
      </c>
      <c r="G45" s="1" t="s">
        <v>959</v>
      </c>
      <c r="H45" s="6">
        <v>1</v>
      </c>
      <c r="I45" s="7">
        <v>0</v>
      </c>
      <c r="J45" s="5">
        <v>45959</v>
      </c>
      <c r="K45" s="1" t="s">
        <v>957</v>
      </c>
      <c r="L45" s="1" t="s">
        <v>30</v>
      </c>
      <c r="M45" s="8">
        <v>0</v>
      </c>
      <c r="N45" s="6"/>
      <c r="O45" s="6"/>
      <c r="P45" s="9">
        <v>0</v>
      </c>
    </row>
    <row r="46" spans="1:16" ht="19.5" customHeight="1">
      <c r="A46" s="1" t="s">
        <v>1063</v>
      </c>
      <c r="B46" s="5">
        <v>45965</v>
      </c>
      <c r="C46" s="1" t="s">
        <v>28</v>
      </c>
      <c r="D46" s="1" t="s">
        <v>46</v>
      </c>
      <c r="E46" s="1" t="s">
        <v>236</v>
      </c>
      <c r="F46" s="1" t="s">
        <v>1064</v>
      </c>
      <c r="G46" s="1" t="s">
        <v>959</v>
      </c>
      <c r="H46" s="6">
        <v>1</v>
      </c>
      <c r="I46" s="7">
        <v>0</v>
      </c>
      <c r="J46" s="5">
        <v>45959</v>
      </c>
      <c r="K46" s="1" t="s">
        <v>957</v>
      </c>
      <c r="L46" s="1" t="s">
        <v>30</v>
      </c>
      <c r="M46" s="8">
        <v>0</v>
      </c>
      <c r="N46" s="6"/>
      <c r="O46" s="6"/>
      <c r="P46" s="9">
        <v>-56</v>
      </c>
    </row>
    <row r="47" spans="1:16" ht="19.5" customHeight="1">
      <c r="A47" s="1" t="s">
        <v>1063</v>
      </c>
      <c r="B47" s="5">
        <v>45965</v>
      </c>
      <c r="C47" s="1" t="s">
        <v>17</v>
      </c>
      <c r="D47" s="1" t="s">
        <v>47</v>
      </c>
      <c r="E47" s="1" t="s">
        <v>236</v>
      </c>
      <c r="F47" s="1" t="s">
        <v>1064</v>
      </c>
      <c r="G47" s="1" t="s">
        <v>959</v>
      </c>
      <c r="H47" s="6">
        <v>1</v>
      </c>
      <c r="I47" s="7">
        <v>0</v>
      </c>
      <c r="J47" s="5">
        <v>45959</v>
      </c>
      <c r="K47" s="1" t="s">
        <v>957</v>
      </c>
      <c r="L47" s="1" t="s">
        <v>30</v>
      </c>
      <c r="M47" s="8">
        <v>0</v>
      </c>
      <c r="N47" s="6"/>
      <c r="O47" s="6"/>
      <c r="P47" s="9">
        <v>-15</v>
      </c>
    </row>
    <row r="48" spans="1:16" ht="19.5" customHeight="1">
      <c r="A48" s="1" t="s">
        <v>1070</v>
      </c>
      <c r="B48" s="5">
        <v>45965</v>
      </c>
      <c r="C48" s="1" t="s">
        <v>28</v>
      </c>
      <c r="D48" s="1" t="s">
        <v>29</v>
      </c>
      <c r="E48" s="1" t="s">
        <v>239</v>
      </c>
      <c r="F48" s="1" t="s">
        <v>733</v>
      </c>
      <c r="G48" s="1" t="s">
        <v>959</v>
      </c>
      <c r="H48" s="6">
        <v>1</v>
      </c>
      <c r="I48" s="7">
        <v>4548</v>
      </c>
      <c r="J48" s="5">
        <v>45959</v>
      </c>
      <c r="K48" s="1" t="s">
        <v>957</v>
      </c>
      <c r="L48" s="1" t="s">
        <v>30</v>
      </c>
      <c r="M48" s="8">
        <v>0.38</v>
      </c>
      <c r="N48" s="6"/>
      <c r="O48" s="6"/>
      <c r="P48" s="9">
        <v>-56</v>
      </c>
    </row>
    <row r="49" spans="1:16" ht="19.5" customHeight="1">
      <c r="A49" s="1" t="s">
        <v>1070</v>
      </c>
      <c r="B49" s="5">
        <v>45965</v>
      </c>
      <c r="C49" s="1" t="s">
        <v>31</v>
      </c>
      <c r="D49" s="1" t="s">
        <v>32</v>
      </c>
      <c r="E49" s="1" t="s">
        <v>239</v>
      </c>
      <c r="F49" s="1" t="s">
        <v>733</v>
      </c>
      <c r="G49" s="1" t="s">
        <v>959</v>
      </c>
      <c r="H49" s="6">
        <v>1</v>
      </c>
      <c r="I49" s="7">
        <v>4548</v>
      </c>
      <c r="J49" s="5">
        <v>45959</v>
      </c>
      <c r="K49" s="1" t="s">
        <v>957</v>
      </c>
      <c r="L49" s="1" t="s">
        <v>30</v>
      </c>
      <c r="M49" s="8">
        <v>0</v>
      </c>
      <c r="N49" s="6"/>
      <c r="O49" s="6"/>
      <c r="P49" s="9">
        <v>2320.9499999999998</v>
      </c>
    </row>
    <row r="50" spans="1:16" ht="19.5" customHeight="1">
      <c r="A50" s="1" t="s">
        <v>1070</v>
      </c>
      <c r="B50" s="5">
        <v>45965</v>
      </c>
      <c r="C50" s="1" t="s">
        <v>31</v>
      </c>
      <c r="D50" s="1" t="s">
        <v>33</v>
      </c>
      <c r="E50" s="1" t="s">
        <v>239</v>
      </c>
      <c r="F50" s="1" t="s">
        <v>733</v>
      </c>
      <c r="G50" s="1" t="s">
        <v>959</v>
      </c>
      <c r="H50" s="6">
        <v>1</v>
      </c>
      <c r="I50" s="7">
        <v>4548</v>
      </c>
      <c r="J50" s="5">
        <v>45959</v>
      </c>
      <c r="K50" s="1" t="s">
        <v>957</v>
      </c>
      <c r="L50" s="1" t="s">
        <v>30</v>
      </c>
      <c r="M50" s="8">
        <v>0</v>
      </c>
      <c r="N50" s="6"/>
      <c r="O50" s="6"/>
      <c r="P50" s="9">
        <v>23.21</v>
      </c>
    </row>
    <row r="51" spans="1:16" ht="19.5" customHeight="1">
      <c r="A51" s="1" t="s">
        <v>1070</v>
      </c>
      <c r="B51" s="5">
        <v>45965</v>
      </c>
      <c r="C51" s="1" t="s">
        <v>31</v>
      </c>
      <c r="D51" s="1" t="s">
        <v>34</v>
      </c>
      <c r="E51" s="1" t="s">
        <v>239</v>
      </c>
      <c r="F51" s="1" t="s">
        <v>733</v>
      </c>
      <c r="G51" s="1" t="s">
        <v>959</v>
      </c>
      <c r="H51" s="6">
        <v>1</v>
      </c>
      <c r="I51" s="7">
        <v>4548</v>
      </c>
      <c r="J51" s="5">
        <v>45959</v>
      </c>
      <c r="K51" s="1" t="s">
        <v>957</v>
      </c>
      <c r="L51" s="1" t="s">
        <v>30</v>
      </c>
      <c r="M51" s="8">
        <v>0</v>
      </c>
      <c r="N51" s="6"/>
      <c r="O51" s="6"/>
      <c r="P51" s="9">
        <v>2203.84</v>
      </c>
    </row>
    <row r="52" spans="1:16" ht="19.5" customHeight="1">
      <c r="A52" s="1" t="s">
        <v>1070</v>
      </c>
      <c r="B52" s="5">
        <v>45965</v>
      </c>
      <c r="C52" s="1" t="s">
        <v>35</v>
      </c>
      <c r="D52" s="1" t="s">
        <v>36</v>
      </c>
      <c r="E52" s="1" t="s">
        <v>239</v>
      </c>
      <c r="F52" s="1" t="s">
        <v>733</v>
      </c>
      <c r="G52" s="1" t="s">
        <v>959</v>
      </c>
      <c r="H52" s="6">
        <v>1</v>
      </c>
      <c r="I52" s="7">
        <v>4548</v>
      </c>
      <c r="J52" s="5">
        <v>45959</v>
      </c>
      <c r="K52" s="1" t="s">
        <v>957</v>
      </c>
      <c r="L52" s="1" t="s">
        <v>30</v>
      </c>
      <c r="M52" s="8">
        <v>0.38</v>
      </c>
      <c r="N52" s="6"/>
      <c r="O52" s="6"/>
      <c r="P52" s="9">
        <v>-1728.24</v>
      </c>
    </row>
    <row r="53" spans="1:16" ht="19.5" customHeight="1">
      <c r="A53" s="1" t="s">
        <v>1070</v>
      </c>
      <c r="B53" s="5">
        <v>45965</v>
      </c>
      <c r="C53" s="1" t="s">
        <v>17</v>
      </c>
      <c r="D53" s="1" t="s">
        <v>37</v>
      </c>
      <c r="E53" s="1" t="s">
        <v>239</v>
      </c>
      <c r="F53" s="1" t="s">
        <v>733</v>
      </c>
      <c r="G53" s="1" t="s">
        <v>959</v>
      </c>
      <c r="H53" s="6">
        <v>1</v>
      </c>
      <c r="I53" s="7">
        <v>4548</v>
      </c>
      <c r="J53" s="5">
        <v>45959</v>
      </c>
      <c r="K53" s="1" t="s">
        <v>957</v>
      </c>
      <c r="L53" s="1" t="s">
        <v>30</v>
      </c>
      <c r="M53" s="8">
        <v>0.38</v>
      </c>
      <c r="N53" s="6"/>
      <c r="O53" s="6"/>
      <c r="P53" s="9">
        <v>-13.42</v>
      </c>
    </row>
    <row r="54" spans="1:16" ht="19.5" customHeight="1">
      <c r="A54" s="1" t="s">
        <v>1071</v>
      </c>
      <c r="B54" s="5">
        <v>45965</v>
      </c>
      <c r="C54" s="1" t="s">
        <v>28</v>
      </c>
      <c r="D54" s="1" t="s">
        <v>29</v>
      </c>
      <c r="E54" s="1" t="s">
        <v>43</v>
      </c>
      <c r="F54" s="1" t="s">
        <v>44</v>
      </c>
      <c r="G54" s="1" t="s">
        <v>959</v>
      </c>
      <c r="H54" s="6">
        <v>1</v>
      </c>
      <c r="I54" s="7">
        <v>0</v>
      </c>
      <c r="J54" s="5">
        <v>45958</v>
      </c>
      <c r="K54" s="1" t="s">
        <v>957</v>
      </c>
      <c r="L54" s="1" t="s">
        <v>30</v>
      </c>
      <c r="M54" s="8">
        <v>0</v>
      </c>
      <c r="N54" s="6"/>
      <c r="O54" s="6"/>
      <c r="P54" s="9">
        <v>-56</v>
      </c>
    </row>
    <row r="55" spans="1:16" ht="19.5" customHeight="1">
      <c r="A55" s="1" t="s">
        <v>1071</v>
      </c>
      <c r="B55" s="5">
        <v>45965</v>
      </c>
      <c r="C55" s="1" t="s">
        <v>17</v>
      </c>
      <c r="D55" s="1" t="s">
        <v>37</v>
      </c>
      <c r="E55" s="1" t="s">
        <v>43</v>
      </c>
      <c r="F55" s="1" t="s">
        <v>44</v>
      </c>
      <c r="G55" s="1" t="s">
        <v>959</v>
      </c>
      <c r="H55" s="6">
        <v>1</v>
      </c>
      <c r="I55" s="7">
        <v>0</v>
      </c>
      <c r="J55" s="5">
        <v>45958</v>
      </c>
      <c r="K55" s="1" t="s">
        <v>957</v>
      </c>
      <c r="L55" s="1" t="s">
        <v>30</v>
      </c>
      <c r="M55" s="8">
        <v>0</v>
      </c>
      <c r="N55" s="6"/>
      <c r="O55" s="6"/>
      <c r="P55" s="9">
        <v>-12.45</v>
      </c>
    </row>
    <row r="56" spans="1:16" ht="19.5" customHeight="1">
      <c r="A56" s="1" t="s">
        <v>1071</v>
      </c>
      <c r="B56" s="5">
        <v>45965</v>
      </c>
      <c r="C56" s="1" t="s">
        <v>28</v>
      </c>
      <c r="D56" s="1" t="s">
        <v>45</v>
      </c>
      <c r="E56" s="1" t="s">
        <v>43</v>
      </c>
      <c r="F56" s="1" t="s">
        <v>44</v>
      </c>
      <c r="G56" s="1" t="s">
        <v>959</v>
      </c>
      <c r="H56" s="6">
        <v>1</v>
      </c>
      <c r="I56" s="7">
        <v>0</v>
      </c>
      <c r="J56" s="5">
        <v>45958</v>
      </c>
      <c r="K56" s="1" t="s">
        <v>957</v>
      </c>
      <c r="L56" s="1" t="s">
        <v>30</v>
      </c>
      <c r="M56" s="8">
        <v>0</v>
      </c>
      <c r="N56" s="6"/>
      <c r="O56" s="6"/>
      <c r="P56" s="9">
        <v>0</v>
      </c>
    </row>
    <row r="57" spans="1:16" ht="19.5" customHeight="1">
      <c r="A57" s="1" t="s">
        <v>1071</v>
      </c>
      <c r="B57" s="5">
        <v>45965</v>
      </c>
      <c r="C57" s="1" t="s">
        <v>28</v>
      </c>
      <c r="D57" s="1" t="s">
        <v>46</v>
      </c>
      <c r="E57" s="1" t="s">
        <v>43</v>
      </c>
      <c r="F57" s="1" t="s">
        <v>44</v>
      </c>
      <c r="G57" s="1" t="s">
        <v>959</v>
      </c>
      <c r="H57" s="6">
        <v>1</v>
      </c>
      <c r="I57" s="7">
        <v>0</v>
      </c>
      <c r="J57" s="5">
        <v>45958</v>
      </c>
      <c r="K57" s="1" t="s">
        <v>957</v>
      </c>
      <c r="L57" s="1" t="s">
        <v>30</v>
      </c>
      <c r="M57" s="8">
        <v>0</v>
      </c>
      <c r="N57" s="6"/>
      <c r="O57" s="6"/>
      <c r="P57" s="9">
        <v>-56</v>
      </c>
    </row>
    <row r="58" spans="1:16" ht="19.5" customHeight="1">
      <c r="A58" s="1" t="s">
        <v>1072</v>
      </c>
      <c r="B58" s="5">
        <v>45965</v>
      </c>
      <c r="C58" s="1" t="s">
        <v>28</v>
      </c>
      <c r="D58" s="1" t="s">
        <v>29</v>
      </c>
      <c r="E58" s="1" t="s">
        <v>25</v>
      </c>
      <c r="F58" s="1" t="s">
        <v>26</v>
      </c>
      <c r="G58" s="1" t="s">
        <v>21</v>
      </c>
      <c r="H58" s="6">
        <v>1</v>
      </c>
      <c r="I58" s="7">
        <v>0</v>
      </c>
      <c r="J58" s="5">
        <v>45959</v>
      </c>
      <c r="K58" s="1" t="s">
        <v>957</v>
      </c>
      <c r="L58" s="1" t="s">
        <v>30</v>
      </c>
      <c r="M58" s="8">
        <v>0</v>
      </c>
      <c r="N58" s="6"/>
      <c r="O58" s="6"/>
      <c r="P58" s="9">
        <v>-46</v>
      </c>
    </row>
    <row r="59" spans="1:16" ht="19.5" customHeight="1">
      <c r="A59" s="1" t="s">
        <v>1072</v>
      </c>
      <c r="B59" s="5">
        <v>45965</v>
      </c>
      <c r="C59" s="1" t="s">
        <v>17</v>
      </c>
      <c r="D59" s="1" t="s">
        <v>37</v>
      </c>
      <c r="E59" s="1" t="s">
        <v>25</v>
      </c>
      <c r="F59" s="1" t="s">
        <v>26</v>
      </c>
      <c r="G59" s="1" t="s">
        <v>21</v>
      </c>
      <c r="H59" s="6">
        <v>1</v>
      </c>
      <c r="I59" s="7">
        <v>0</v>
      </c>
      <c r="J59" s="5">
        <v>45959</v>
      </c>
      <c r="K59" s="1" t="s">
        <v>957</v>
      </c>
      <c r="L59" s="1" t="s">
        <v>30</v>
      </c>
      <c r="M59" s="8">
        <v>0</v>
      </c>
      <c r="N59" s="6"/>
      <c r="O59" s="6"/>
      <c r="P59" s="9">
        <v>-8.32</v>
      </c>
    </row>
    <row r="60" spans="1:16" ht="19.5" customHeight="1">
      <c r="A60" s="1" t="s">
        <v>1072</v>
      </c>
      <c r="B60" s="5">
        <v>45965</v>
      </c>
      <c r="C60" s="1" t="s">
        <v>28</v>
      </c>
      <c r="D60" s="1" t="s">
        <v>45</v>
      </c>
      <c r="E60" s="1" t="s">
        <v>25</v>
      </c>
      <c r="F60" s="1" t="s">
        <v>26</v>
      </c>
      <c r="G60" s="1" t="s">
        <v>21</v>
      </c>
      <c r="H60" s="6">
        <v>1</v>
      </c>
      <c r="I60" s="7">
        <v>0</v>
      </c>
      <c r="J60" s="5">
        <v>45959</v>
      </c>
      <c r="K60" s="1" t="s">
        <v>957</v>
      </c>
      <c r="L60" s="1" t="s">
        <v>30</v>
      </c>
      <c r="M60" s="8">
        <v>0</v>
      </c>
      <c r="N60" s="6"/>
      <c r="O60" s="6"/>
      <c r="P60" s="9">
        <v>0</v>
      </c>
    </row>
    <row r="61" spans="1:16" ht="19.5" customHeight="1">
      <c r="A61" s="1" t="s">
        <v>1072</v>
      </c>
      <c r="B61" s="5">
        <v>45965</v>
      </c>
      <c r="C61" s="1" t="s">
        <v>28</v>
      </c>
      <c r="D61" s="1" t="s">
        <v>46</v>
      </c>
      <c r="E61" s="1" t="s">
        <v>25</v>
      </c>
      <c r="F61" s="1" t="s">
        <v>26</v>
      </c>
      <c r="G61" s="1" t="s">
        <v>21</v>
      </c>
      <c r="H61" s="6">
        <v>1</v>
      </c>
      <c r="I61" s="7">
        <v>0</v>
      </c>
      <c r="J61" s="5">
        <v>45959</v>
      </c>
      <c r="K61" s="1" t="s">
        <v>957</v>
      </c>
      <c r="L61" s="1" t="s">
        <v>30</v>
      </c>
      <c r="M61" s="8">
        <v>0</v>
      </c>
      <c r="N61" s="6"/>
      <c r="O61" s="6"/>
      <c r="P61" s="9">
        <v>-46</v>
      </c>
    </row>
    <row r="62" spans="1:16" ht="19.5" customHeight="1">
      <c r="A62" s="1" t="s">
        <v>1072</v>
      </c>
      <c r="B62" s="5">
        <v>45965</v>
      </c>
      <c r="C62" s="1" t="s">
        <v>17</v>
      </c>
      <c r="D62" s="1" t="s">
        <v>47</v>
      </c>
      <c r="E62" s="1" t="s">
        <v>25</v>
      </c>
      <c r="F62" s="1" t="s">
        <v>26</v>
      </c>
      <c r="G62" s="1" t="s">
        <v>21</v>
      </c>
      <c r="H62" s="6">
        <v>1</v>
      </c>
      <c r="I62" s="7">
        <v>0</v>
      </c>
      <c r="J62" s="5">
        <v>45959</v>
      </c>
      <c r="K62" s="1" t="s">
        <v>957</v>
      </c>
      <c r="L62" s="1" t="s">
        <v>30</v>
      </c>
      <c r="M62" s="8">
        <v>0</v>
      </c>
      <c r="N62" s="6"/>
      <c r="O62" s="6"/>
      <c r="P62" s="9">
        <v>-15</v>
      </c>
    </row>
    <row r="63" spans="1:16" ht="19.5" customHeight="1">
      <c r="A63" s="1" t="s">
        <v>1073</v>
      </c>
      <c r="B63" s="5">
        <v>45965</v>
      </c>
      <c r="C63" s="1" t="s">
        <v>28</v>
      </c>
      <c r="D63" s="1" t="s">
        <v>29</v>
      </c>
      <c r="E63" s="1" t="s">
        <v>223</v>
      </c>
      <c r="F63" s="1" t="s">
        <v>395</v>
      </c>
      <c r="G63" s="1" t="s">
        <v>21</v>
      </c>
      <c r="H63" s="6">
        <v>1</v>
      </c>
      <c r="I63" s="7">
        <v>1336</v>
      </c>
      <c r="J63" s="5">
        <v>45963</v>
      </c>
      <c r="K63" s="1" t="s">
        <v>957</v>
      </c>
      <c r="L63" s="1" t="s">
        <v>30</v>
      </c>
      <c r="M63" s="8">
        <v>0.38</v>
      </c>
      <c r="N63" s="6"/>
      <c r="O63" s="6"/>
      <c r="P63" s="9">
        <v>-46</v>
      </c>
    </row>
    <row r="64" spans="1:16" ht="19.5" customHeight="1">
      <c r="A64" s="1" t="s">
        <v>1073</v>
      </c>
      <c r="B64" s="5">
        <v>45965</v>
      </c>
      <c r="C64" s="1" t="s">
        <v>31</v>
      </c>
      <c r="D64" s="1" t="s">
        <v>32</v>
      </c>
      <c r="E64" s="1" t="s">
        <v>223</v>
      </c>
      <c r="F64" s="1" t="s">
        <v>395</v>
      </c>
      <c r="G64" s="1" t="s">
        <v>21</v>
      </c>
      <c r="H64" s="6">
        <v>1</v>
      </c>
      <c r="I64" s="7">
        <v>1336</v>
      </c>
      <c r="J64" s="5">
        <v>45963</v>
      </c>
      <c r="K64" s="1" t="s">
        <v>957</v>
      </c>
      <c r="L64" s="1" t="s">
        <v>30</v>
      </c>
      <c r="M64" s="8">
        <v>0</v>
      </c>
      <c r="N64" s="6"/>
      <c r="O64" s="6"/>
      <c r="P64" s="9">
        <v>700</v>
      </c>
    </row>
    <row r="65" spans="1:16" ht="19.5" customHeight="1">
      <c r="A65" s="1" t="s">
        <v>1073</v>
      </c>
      <c r="B65" s="5">
        <v>45965</v>
      </c>
      <c r="C65" s="1" t="s">
        <v>31</v>
      </c>
      <c r="D65" s="1" t="s">
        <v>33</v>
      </c>
      <c r="E65" s="1" t="s">
        <v>223</v>
      </c>
      <c r="F65" s="1" t="s">
        <v>395</v>
      </c>
      <c r="G65" s="1" t="s">
        <v>21</v>
      </c>
      <c r="H65" s="6">
        <v>1</v>
      </c>
      <c r="I65" s="7">
        <v>1336</v>
      </c>
      <c r="J65" s="5">
        <v>45963</v>
      </c>
      <c r="K65" s="1" t="s">
        <v>957</v>
      </c>
      <c r="L65" s="1" t="s">
        <v>30</v>
      </c>
      <c r="M65" s="8">
        <v>0</v>
      </c>
      <c r="N65" s="6"/>
      <c r="O65" s="6"/>
      <c r="P65" s="9">
        <v>7</v>
      </c>
    </row>
    <row r="66" spans="1:16" ht="19.5" customHeight="1">
      <c r="A66" s="1" t="s">
        <v>1073</v>
      </c>
      <c r="B66" s="5">
        <v>45965</v>
      </c>
      <c r="C66" s="1" t="s">
        <v>31</v>
      </c>
      <c r="D66" s="1" t="s">
        <v>34</v>
      </c>
      <c r="E66" s="1" t="s">
        <v>223</v>
      </c>
      <c r="F66" s="1" t="s">
        <v>395</v>
      </c>
      <c r="G66" s="1" t="s">
        <v>21</v>
      </c>
      <c r="H66" s="6">
        <v>1</v>
      </c>
      <c r="I66" s="7">
        <v>1336</v>
      </c>
      <c r="J66" s="5">
        <v>45963</v>
      </c>
      <c r="K66" s="1" t="s">
        <v>957</v>
      </c>
      <c r="L66" s="1" t="s">
        <v>30</v>
      </c>
      <c r="M66" s="8">
        <v>0</v>
      </c>
      <c r="N66" s="6"/>
      <c r="O66" s="6"/>
      <c r="P66" s="9">
        <v>629</v>
      </c>
    </row>
    <row r="67" spans="1:16" ht="19.5" customHeight="1">
      <c r="A67" s="1" t="s">
        <v>1073</v>
      </c>
      <c r="B67" s="5">
        <v>45965</v>
      </c>
      <c r="C67" s="1" t="s">
        <v>35</v>
      </c>
      <c r="D67" s="1" t="s">
        <v>36</v>
      </c>
      <c r="E67" s="1" t="s">
        <v>223</v>
      </c>
      <c r="F67" s="1" t="s">
        <v>395</v>
      </c>
      <c r="G67" s="1" t="s">
        <v>21</v>
      </c>
      <c r="H67" s="6">
        <v>1</v>
      </c>
      <c r="I67" s="7">
        <v>1336</v>
      </c>
      <c r="J67" s="5">
        <v>45963</v>
      </c>
      <c r="K67" s="1" t="s">
        <v>957</v>
      </c>
      <c r="L67" s="1" t="s">
        <v>30</v>
      </c>
      <c r="M67" s="8">
        <v>0.38</v>
      </c>
      <c r="N67" s="6"/>
      <c r="O67" s="6"/>
      <c r="P67" s="9">
        <v>-507.68</v>
      </c>
    </row>
    <row r="68" spans="1:16" ht="19.5" customHeight="1">
      <c r="A68" s="1" t="s">
        <v>1073</v>
      </c>
      <c r="B68" s="5">
        <v>45965</v>
      </c>
      <c r="C68" s="1" t="s">
        <v>17</v>
      </c>
      <c r="D68" s="1" t="s">
        <v>37</v>
      </c>
      <c r="E68" s="1" t="s">
        <v>223</v>
      </c>
      <c r="F68" s="1" t="s">
        <v>395</v>
      </c>
      <c r="G68" s="1" t="s">
        <v>21</v>
      </c>
      <c r="H68" s="6">
        <v>1</v>
      </c>
      <c r="I68" s="7">
        <v>1336</v>
      </c>
      <c r="J68" s="5">
        <v>45963</v>
      </c>
      <c r="K68" s="1" t="s">
        <v>957</v>
      </c>
      <c r="L68" s="1" t="s">
        <v>30</v>
      </c>
      <c r="M68" s="8">
        <v>0.38</v>
      </c>
      <c r="N68" s="6"/>
      <c r="O68" s="6"/>
      <c r="P68" s="9">
        <v>-7.93</v>
      </c>
    </row>
    <row r="69" spans="1:16" ht="19.5" customHeight="1">
      <c r="A69" s="1" t="s">
        <v>1073</v>
      </c>
      <c r="B69" s="5">
        <v>45965</v>
      </c>
      <c r="C69" s="1" t="s">
        <v>17</v>
      </c>
      <c r="D69" s="1" t="s">
        <v>18</v>
      </c>
      <c r="E69" s="1" t="s">
        <v>223</v>
      </c>
      <c r="F69" s="1" t="s">
        <v>395</v>
      </c>
      <c r="G69" s="1" t="s">
        <v>21</v>
      </c>
      <c r="H69" s="6">
        <v>1</v>
      </c>
      <c r="I69" s="7">
        <v>0</v>
      </c>
      <c r="J69" s="5">
        <v>45963</v>
      </c>
      <c r="K69" s="1" t="s">
        <v>22</v>
      </c>
      <c r="L69" s="1" t="s">
        <v>22</v>
      </c>
      <c r="M69" s="8">
        <v>0</v>
      </c>
      <c r="N69" s="6"/>
      <c r="O69" s="6"/>
      <c r="P69" s="9">
        <v>-13.3</v>
      </c>
    </row>
    <row r="70" spans="1:16" ht="19.5" customHeight="1">
      <c r="A70" s="1" t="s">
        <v>22</v>
      </c>
      <c r="B70" s="5">
        <v>45965</v>
      </c>
      <c r="C70" s="1" t="s">
        <v>77</v>
      </c>
      <c r="D70" s="1" t="s">
        <v>78</v>
      </c>
      <c r="E70" s="1" t="s">
        <v>22</v>
      </c>
      <c r="F70" s="1" t="s">
        <v>22</v>
      </c>
      <c r="G70" s="1" t="s">
        <v>1074</v>
      </c>
      <c r="H70" s="6">
        <v>0</v>
      </c>
      <c r="I70" s="7">
        <v>0</v>
      </c>
      <c r="J70" s="5">
        <v>45965</v>
      </c>
      <c r="K70" s="1" t="s">
        <v>22</v>
      </c>
      <c r="L70" s="1" t="s">
        <v>22</v>
      </c>
      <c r="M70" s="8">
        <v>0</v>
      </c>
      <c r="N70" s="6"/>
      <c r="O70" s="6"/>
      <c r="P70" s="9">
        <v>-200</v>
      </c>
    </row>
    <row r="71" spans="1:16" ht="19.5" customHeight="1">
      <c r="A71" s="1" t="s">
        <v>83</v>
      </c>
      <c r="B71" s="5">
        <v>45965</v>
      </c>
      <c r="C71" s="1" t="s">
        <v>77</v>
      </c>
      <c r="D71" s="1" t="s">
        <v>84</v>
      </c>
      <c r="E71" s="1" t="s">
        <v>22</v>
      </c>
      <c r="F71" s="1" t="s">
        <v>22</v>
      </c>
      <c r="G71" s="1" t="s">
        <v>22</v>
      </c>
      <c r="H71" s="6">
        <v>0</v>
      </c>
      <c r="I71" s="7">
        <v>0</v>
      </c>
      <c r="J71" s="5">
        <v>45965</v>
      </c>
      <c r="K71" s="1" t="s">
        <v>22</v>
      </c>
      <c r="L71" s="1" t="s">
        <v>22</v>
      </c>
      <c r="M71" s="8">
        <v>0</v>
      </c>
      <c r="N71" s="6"/>
      <c r="O71" s="6"/>
      <c r="P71" s="9">
        <v>-133.6</v>
      </c>
    </row>
    <row r="72" spans="1:16" ht="19.5" customHeight="1">
      <c r="A72" s="1" t="s">
        <v>810</v>
      </c>
      <c r="B72" s="5">
        <v>45965</v>
      </c>
      <c r="C72" s="1" t="s">
        <v>77</v>
      </c>
      <c r="D72" s="1" t="s">
        <v>82</v>
      </c>
      <c r="E72" s="1" t="s">
        <v>22</v>
      </c>
      <c r="F72" s="1" t="s">
        <v>22</v>
      </c>
      <c r="G72" s="1" t="s">
        <v>22</v>
      </c>
      <c r="H72" s="6">
        <v>0</v>
      </c>
      <c r="I72" s="7">
        <v>0</v>
      </c>
      <c r="J72" s="5">
        <v>45965</v>
      </c>
      <c r="K72" s="1" t="s">
        <v>22</v>
      </c>
      <c r="L72" s="1" t="s">
        <v>22</v>
      </c>
      <c r="M72" s="8">
        <v>0</v>
      </c>
      <c r="N72" s="6"/>
      <c r="O72" s="6"/>
      <c r="P72" s="9">
        <v>-407.13</v>
      </c>
    </row>
    <row r="73" spans="1:16" ht="19.5" customHeight="1">
      <c r="A73" s="1" t="s">
        <v>1066</v>
      </c>
      <c r="B73" s="5">
        <v>45965</v>
      </c>
      <c r="C73" s="1" t="s">
        <v>77</v>
      </c>
      <c r="D73" s="1" t="s">
        <v>82</v>
      </c>
      <c r="E73" s="1" t="s">
        <v>22</v>
      </c>
      <c r="F73" s="1" t="s">
        <v>22</v>
      </c>
      <c r="G73" s="1" t="s">
        <v>22</v>
      </c>
      <c r="H73" s="6">
        <v>0</v>
      </c>
      <c r="I73" s="7">
        <v>0</v>
      </c>
      <c r="J73" s="5">
        <v>45965</v>
      </c>
      <c r="K73" s="1" t="s">
        <v>22</v>
      </c>
      <c r="L73" s="1" t="s">
        <v>22</v>
      </c>
      <c r="M73" s="8">
        <v>0</v>
      </c>
      <c r="N73" s="6"/>
      <c r="O73" s="6"/>
      <c r="P73" s="9">
        <v>-5.24</v>
      </c>
    </row>
    <row r="74" spans="1:16" ht="19.5" customHeight="1">
      <c r="A74" s="1" t="s">
        <v>1075</v>
      </c>
      <c r="B74" s="5">
        <v>45965</v>
      </c>
      <c r="C74" s="1" t="s">
        <v>77</v>
      </c>
      <c r="D74" s="1" t="s">
        <v>82</v>
      </c>
      <c r="E74" s="1" t="s">
        <v>22</v>
      </c>
      <c r="F74" s="1" t="s">
        <v>22</v>
      </c>
      <c r="G74" s="1" t="s">
        <v>22</v>
      </c>
      <c r="H74" s="6">
        <v>0</v>
      </c>
      <c r="I74" s="7">
        <v>0</v>
      </c>
      <c r="J74" s="5">
        <v>45965</v>
      </c>
      <c r="K74" s="1" t="s">
        <v>22</v>
      </c>
      <c r="L74" s="1" t="s">
        <v>22</v>
      </c>
      <c r="M74" s="8">
        <v>0</v>
      </c>
      <c r="N74" s="6"/>
      <c r="O74" s="6"/>
      <c r="P74" s="9">
        <v>-333.62</v>
      </c>
    </row>
    <row r="75" spans="1:16" ht="19.5" customHeight="1">
      <c r="A75" s="1" t="s">
        <v>22</v>
      </c>
      <c r="B75" s="5">
        <v>45965</v>
      </c>
      <c r="C75" s="1" t="s">
        <v>77</v>
      </c>
      <c r="D75" s="1" t="s">
        <v>944</v>
      </c>
      <c r="E75" s="1" t="s">
        <v>22</v>
      </c>
      <c r="F75" s="1" t="s">
        <v>22</v>
      </c>
      <c r="G75" s="1" t="s">
        <v>1076</v>
      </c>
      <c r="H75" s="6">
        <v>0</v>
      </c>
      <c r="I75" s="7">
        <v>0</v>
      </c>
      <c r="J75" s="5">
        <v>45965</v>
      </c>
      <c r="K75" s="1" t="s">
        <v>22</v>
      </c>
      <c r="L75" s="1" t="s">
        <v>22</v>
      </c>
      <c r="M75" s="8">
        <v>0</v>
      </c>
      <c r="N75" s="6"/>
      <c r="O75" s="6"/>
      <c r="P75" s="9">
        <v>-375.73</v>
      </c>
    </row>
    <row r="76" spans="1:16" ht="19.5" customHeight="1">
      <c r="A76" s="1" t="s">
        <v>22</v>
      </c>
      <c r="B76" s="5">
        <v>45965</v>
      </c>
      <c r="C76" s="1" t="s">
        <v>77</v>
      </c>
      <c r="D76" s="1" t="s">
        <v>944</v>
      </c>
      <c r="E76" s="1" t="s">
        <v>22</v>
      </c>
      <c r="F76" s="1" t="s">
        <v>22</v>
      </c>
      <c r="G76" s="1" t="s">
        <v>1077</v>
      </c>
      <c r="H76" s="6">
        <v>0</v>
      </c>
      <c r="I76" s="7">
        <v>0</v>
      </c>
      <c r="J76" s="5">
        <v>45965</v>
      </c>
      <c r="K76" s="1" t="s">
        <v>22</v>
      </c>
      <c r="L76" s="1" t="s">
        <v>22</v>
      </c>
      <c r="M76" s="8">
        <v>0</v>
      </c>
      <c r="N76" s="6"/>
      <c r="O76" s="6"/>
      <c r="P76" s="9">
        <v>-415.75</v>
      </c>
    </row>
    <row r="77" spans="1:16" ht="19.5" customHeight="1">
      <c r="A77" s="1" t="s">
        <v>1078</v>
      </c>
      <c r="B77" s="5">
        <v>45966</v>
      </c>
      <c r="C77" s="1" t="s">
        <v>28</v>
      </c>
      <c r="D77" s="1" t="s">
        <v>29</v>
      </c>
      <c r="E77" s="1" t="s">
        <v>70</v>
      </c>
      <c r="F77" s="1" t="s">
        <v>71</v>
      </c>
      <c r="G77" s="1" t="s">
        <v>959</v>
      </c>
      <c r="H77" s="6">
        <v>1</v>
      </c>
      <c r="I77" s="7">
        <v>0</v>
      </c>
      <c r="J77" s="5">
        <v>45961</v>
      </c>
      <c r="K77" s="1" t="s">
        <v>957</v>
      </c>
      <c r="L77" s="1" t="s">
        <v>30</v>
      </c>
      <c r="M77" s="8">
        <v>0</v>
      </c>
      <c r="N77" s="6"/>
      <c r="O77" s="6"/>
      <c r="P77" s="9">
        <v>-56</v>
      </c>
    </row>
    <row r="78" spans="1:16" ht="19.5" customHeight="1">
      <c r="A78" s="1" t="s">
        <v>1078</v>
      </c>
      <c r="B78" s="5">
        <v>45966</v>
      </c>
      <c r="C78" s="1" t="s">
        <v>17</v>
      </c>
      <c r="D78" s="1" t="s">
        <v>37</v>
      </c>
      <c r="E78" s="1" t="s">
        <v>70</v>
      </c>
      <c r="F78" s="1" t="s">
        <v>71</v>
      </c>
      <c r="G78" s="1" t="s">
        <v>959</v>
      </c>
      <c r="H78" s="6">
        <v>1</v>
      </c>
      <c r="I78" s="7">
        <v>0</v>
      </c>
      <c r="J78" s="5">
        <v>45961</v>
      </c>
      <c r="K78" s="1" t="s">
        <v>957</v>
      </c>
      <c r="L78" s="1" t="s">
        <v>30</v>
      </c>
      <c r="M78" s="8">
        <v>0</v>
      </c>
      <c r="N78" s="6"/>
      <c r="O78" s="6"/>
      <c r="P78" s="9">
        <v>-13.25</v>
      </c>
    </row>
    <row r="79" spans="1:16" ht="19.5" customHeight="1">
      <c r="A79" s="1" t="s">
        <v>1078</v>
      </c>
      <c r="B79" s="5">
        <v>45966</v>
      </c>
      <c r="C79" s="1" t="s">
        <v>28</v>
      </c>
      <c r="D79" s="1" t="s">
        <v>45</v>
      </c>
      <c r="E79" s="1" t="s">
        <v>70</v>
      </c>
      <c r="F79" s="1" t="s">
        <v>71</v>
      </c>
      <c r="G79" s="1" t="s">
        <v>959</v>
      </c>
      <c r="H79" s="6">
        <v>1</v>
      </c>
      <c r="I79" s="7">
        <v>0</v>
      </c>
      <c r="J79" s="5">
        <v>45961</v>
      </c>
      <c r="K79" s="1" t="s">
        <v>957</v>
      </c>
      <c r="L79" s="1" t="s">
        <v>30</v>
      </c>
      <c r="M79" s="8">
        <v>0</v>
      </c>
      <c r="N79" s="6"/>
      <c r="O79" s="6"/>
      <c r="P79" s="9">
        <v>0</v>
      </c>
    </row>
    <row r="80" spans="1:16" ht="19.5" customHeight="1">
      <c r="A80" s="1" t="s">
        <v>1078</v>
      </c>
      <c r="B80" s="5">
        <v>45966</v>
      </c>
      <c r="C80" s="1" t="s">
        <v>28</v>
      </c>
      <c r="D80" s="1" t="s">
        <v>46</v>
      </c>
      <c r="E80" s="1" t="s">
        <v>70</v>
      </c>
      <c r="F80" s="1" t="s">
        <v>71</v>
      </c>
      <c r="G80" s="1" t="s">
        <v>959</v>
      </c>
      <c r="H80" s="6">
        <v>1</v>
      </c>
      <c r="I80" s="7">
        <v>0</v>
      </c>
      <c r="J80" s="5">
        <v>45961</v>
      </c>
      <c r="K80" s="1" t="s">
        <v>957</v>
      </c>
      <c r="L80" s="1" t="s">
        <v>30</v>
      </c>
      <c r="M80" s="8">
        <v>0</v>
      </c>
      <c r="N80" s="6"/>
      <c r="O80" s="6"/>
      <c r="P80" s="9">
        <v>-56</v>
      </c>
    </row>
    <row r="81" spans="1:16" ht="19.5" customHeight="1">
      <c r="A81" s="1" t="s">
        <v>1078</v>
      </c>
      <c r="B81" s="5">
        <v>45966</v>
      </c>
      <c r="C81" s="1" t="s">
        <v>17</v>
      </c>
      <c r="D81" s="1" t="s">
        <v>47</v>
      </c>
      <c r="E81" s="1" t="s">
        <v>70</v>
      </c>
      <c r="F81" s="1" t="s">
        <v>71</v>
      </c>
      <c r="G81" s="1" t="s">
        <v>959</v>
      </c>
      <c r="H81" s="6">
        <v>1</v>
      </c>
      <c r="I81" s="7">
        <v>0</v>
      </c>
      <c r="J81" s="5">
        <v>45961</v>
      </c>
      <c r="K81" s="1" t="s">
        <v>957</v>
      </c>
      <c r="L81" s="1" t="s">
        <v>30</v>
      </c>
      <c r="M81" s="8">
        <v>0</v>
      </c>
      <c r="N81" s="6"/>
      <c r="O81" s="6"/>
      <c r="P81" s="9">
        <v>-15</v>
      </c>
    </row>
    <row r="82" spans="1:16" ht="19.5" customHeight="1">
      <c r="A82" s="1" t="s">
        <v>1079</v>
      </c>
      <c r="B82" s="5">
        <v>45966</v>
      </c>
      <c r="C82" s="1" t="s">
        <v>28</v>
      </c>
      <c r="D82" s="1" t="s">
        <v>29</v>
      </c>
      <c r="E82" s="1" t="s">
        <v>227</v>
      </c>
      <c r="F82" s="1" t="s">
        <v>402</v>
      </c>
      <c r="G82" s="1" t="s">
        <v>21</v>
      </c>
      <c r="H82" s="6">
        <v>1</v>
      </c>
      <c r="I82" s="7">
        <v>1800</v>
      </c>
      <c r="J82" s="5">
        <v>45960</v>
      </c>
      <c r="K82" s="1" t="s">
        <v>957</v>
      </c>
      <c r="L82" s="1" t="s">
        <v>30</v>
      </c>
      <c r="M82" s="8">
        <v>0.38</v>
      </c>
      <c r="N82" s="6"/>
      <c r="O82" s="6"/>
      <c r="P82" s="9">
        <v>-46</v>
      </c>
    </row>
    <row r="83" spans="1:16" ht="19.5" customHeight="1">
      <c r="A83" s="1" t="s">
        <v>1079</v>
      </c>
      <c r="B83" s="5">
        <v>45966</v>
      </c>
      <c r="C83" s="1" t="s">
        <v>31</v>
      </c>
      <c r="D83" s="1" t="s">
        <v>32</v>
      </c>
      <c r="E83" s="1" t="s">
        <v>227</v>
      </c>
      <c r="F83" s="1" t="s">
        <v>402</v>
      </c>
      <c r="G83" s="1" t="s">
        <v>21</v>
      </c>
      <c r="H83" s="6">
        <v>1</v>
      </c>
      <c r="I83" s="7">
        <v>1800</v>
      </c>
      <c r="J83" s="5">
        <v>45960</v>
      </c>
      <c r="K83" s="1" t="s">
        <v>957</v>
      </c>
      <c r="L83" s="1" t="s">
        <v>30</v>
      </c>
      <c r="M83" s="8">
        <v>0</v>
      </c>
      <c r="N83" s="6"/>
      <c r="O83" s="6"/>
      <c r="P83" s="9">
        <v>1015.15</v>
      </c>
    </row>
    <row r="84" spans="1:16" ht="19.5" customHeight="1">
      <c r="A84" s="1" t="s">
        <v>1079</v>
      </c>
      <c r="B84" s="5">
        <v>45966</v>
      </c>
      <c r="C84" s="1" t="s">
        <v>31</v>
      </c>
      <c r="D84" s="1" t="s">
        <v>33</v>
      </c>
      <c r="E84" s="1" t="s">
        <v>227</v>
      </c>
      <c r="F84" s="1" t="s">
        <v>402</v>
      </c>
      <c r="G84" s="1" t="s">
        <v>21</v>
      </c>
      <c r="H84" s="6">
        <v>1</v>
      </c>
      <c r="I84" s="7">
        <v>1800</v>
      </c>
      <c r="J84" s="5">
        <v>45960</v>
      </c>
      <c r="K84" s="1" t="s">
        <v>957</v>
      </c>
      <c r="L84" s="1" t="s">
        <v>30</v>
      </c>
      <c r="M84" s="8">
        <v>0</v>
      </c>
      <c r="N84" s="6"/>
      <c r="O84" s="6"/>
      <c r="P84" s="9">
        <v>10.15</v>
      </c>
    </row>
    <row r="85" spans="1:16" ht="19.5" customHeight="1">
      <c r="A85" s="1" t="s">
        <v>1079</v>
      </c>
      <c r="B85" s="5">
        <v>45966</v>
      </c>
      <c r="C85" s="1" t="s">
        <v>31</v>
      </c>
      <c r="D85" s="1" t="s">
        <v>34</v>
      </c>
      <c r="E85" s="1" t="s">
        <v>227</v>
      </c>
      <c r="F85" s="1" t="s">
        <v>402</v>
      </c>
      <c r="G85" s="1" t="s">
        <v>21</v>
      </c>
      <c r="H85" s="6">
        <v>1</v>
      </c>
      <c r="I85" s="7">
        <v>1800</v>
      </c>
      <c r="J85" s="5">
        <v>45960</v>
      </c>
      <c r="K85" s="1" t="s">
        <v>957</v>
      </c>
      <c r="L85" s="1" t="s">
        <v>30</v>
      </c>
      <c r="M85" s="8">
        <v>0</v>
      </c>
      <c r="N85" s="6"/>
      <c r="O85" s="6"/>
      <c r="P85" s="9">
        <v>774.7</v>
      </c>
    </row>
    <row r="86" spans="1:16" ht="19.5" customHeight="1">
      <c r="A86" s="1" t="s">
        <v>1079</v>
      </c>
      <c r="B86" s="5">
        <v>45966</v>
      </c>
      <c r="C86" s="1" t="s">
        <v>35</v>
      </c>
      <c r="D86" s="1" t="s">
        <v>36</v>
      </c>
      <c r="E86" s="1" t="s">
        <v>227</v>
      </c>
      <c r="F86" s="1" t="s">
        <v>402</v>
      </c>
      <c r="G86" s="1" t="s">
        <v>21</v>
      </c>
      <c r="H86" s="6">
        <v>1</v>
      </c>
      <c r="I86" s="7">
        <v>1800</v>
      </c>
      <c r="J86" s="5">
        <v>45960</v>
      </c>
      <c r="K86" s="1" t="s">
        <v>957</v>
      </c>
      <c r="L86" s="1" t="s">
        <v>30</v>
      </c>
      <c r="M86" s="8">
        <v>0.38</v>
      </c>
      <c r="N86" s="6"/>
      <c r="O86" s="6"/>
      <c r="P86" s="9">
        <v>-684</v>
      </c>
    </row>
    <row r="87" spans="1:16" ht="19.5" customHeight="1">
      <c r="A87" s="1" t="s">
        <v>1079</v>
      </c>
      <c r="B87" s="5">
        <v>45966</v>
      </c>
      <c r="C87" s="1" t="s">
        <v>17</v>
      </c>
      <c r="D87" s="1" t="s">
        <v>37</v>
      </c>
      <c r="E87" s="1" t="s">
        <v>227</v>
      </c>
      <c r="F87" s="1" t="s">
        <v>402</v>
      </c>
      <c r="G87" s="1" t="s">
        <v>21</v>
      </c>
      <c r="H87" s="6">
        <v>1</v>
      </c>
      <c r="I87" s="7">
        <v>1800</v>
      </c>
      <c r="J87" s="5">
        <v>45960</v>
      </c>
      <c r="K87" s="1" t="s">
        <v>957</v>
      </c>
      <c r="L87" s="1" t="s">
        <v>30</v>
      </c>
      <c r="M87" s="8">
        <v>0.38</v>
      </c>
      <c r="N87" s="6"/>
      <c r="O87" s="6"/>
      <c r="P87" s="9">
        <v>-8.3000000000000007</v>
      </c>
    </row>
    <row r="88" spans="1:16" ht="19.5" customHeight="1">
      <c r="A88" s="1" t="s">
        <v>1079</v>
      </c>
      <c r="B88" s="5">
        <v>45966</v>
      </c>
      <c r="C88" s="1" t="s">
        <v>17</v>
      </c>
      <c r="D88" s="1" t="s">
        <v>18</v>
      </c>
      <c r="E88" s="1" t="s">
        <v>227</v>
      </c>
      <c r="F88" s="1" t="s">
        <v>402</v>
      </c>
      <c r="G88" s="1" t="s">
        <v>21</v>
      </c>
      <c r="H88" s="6">
        <v>1</v>
      </c>
      <c r="I88" s="7">
        <v>0</v>
      </c>
      <c r="J88" s="5">
        <v>45960</v>
      </c>
      <c r="K88" s="1" t="s">
        <v>22</v>
      </c>
      <c r="L88" s="1" t="s">
        <v>22</v>
      </c>
      <c r="M88" s="8">
        <v>0</v>
      </c>
      <c r="N88" s="6"/>
      <c r="O88" s="6"/>
      <c r="P88" s="9">
        <v>-19.29</v>
      </c>
    </row>
    <row r="89" spans="1:16" ht="19.5" customHeight="1">
      <c r="A89" s="1" t="s">
        <v>1080</v>
      </c>
      <c r="B89" s="5">
        <v>45966</v>
      </c>
      <c r="C89" s="1" t="s">
        <v>28</v>
      </c>
      <c r="D89" s="1" t="s">
        <v>29</v>
      </c>
      <c r="E89" s="1" t="s">
        <v>227</v>
      </c>
      <c r="F89" s="1" t="s">
        <v>402</v>
      </c>
      <c r="G89" s="1" t="s">
        <v>21</v>
      </c>
      <c r="H89" s="6">
        <v>1</v>
      </c>
      <c r="I89" s="7">
        <v>1800</v>
      </c>
      <c r="J89" s="5">
        <v>45961</v>
      </c>
      <c r="K89" s="1" t="s">
        <v>957</v>
      </c>
      <c r="L89" s="1" t="s">
        <v>30</v>
      </c>
      <c r="M89" s="8">
        <v>0.38</v>
      </c>
      <c r="N89" s="6"/>
      <c r="O89" s="6"/>
      <c r="P89" s="9">
        <v>-46</v>
      </c>
    </row>
    <row r="90" spans="1:16" ht="19.5" customHeight="1">
      <c r="A90" s="1" t="s">
        <v>1080</v>
      </c>
      <c r="B90" s="5">
        <v>45966</v>
      </c>
      <c r="C90" s="1" t="s">
        <v>31</v>
      </c>
      <c r="D90" s="1" t="s">
        <v>32</v>
      </c>
      <c r="E90" s="1" t="s">
        <v>227</v>
      </c>
      <c r="F90" s="1" t="s">
        <v>402</v>
      </c>
      <c r="G90" s="1" t="s">
        <v>21</v>
      </c>
      <c r="H90" s="6">
        <v>1</v>
      </c>
      <c r="I90" s="7">
        <v>1800</v>
      </c>
      <c r="J90" s="5">
        <v>45961</v>
      </c>
      <c r="K90" s="1" t="s">
        <v>957</v>
      </c>
      <c r="L90" s="1" t="s">
        <v>30</v>
      </c>
      <c r="M90" s="8">
        <v>0</v>
      </c>
      <c r="N90" s="6"/>
      <c r="O90" s="6"/>
      <c r="P90" s="9">
        <v>1096.96</v>
      </c>
    </row>
    <row r="91" spans="1:16" ht="19.5" customHeight="1">
      <c r="A91" s="1" t="s">
        <v>1080</v>
      </c>
      <c r="B91" s="5">
        <v>45966</v>
      </c>
      <c r="C91" s="1" t="s">
        <v>31</v>
      </c>
      <c r="D91" s="1" t="s">
        <v>33</v>
      </c>
      <c r="E91" s="1" t="s">
        <v>227</v>
      </c>
      <c r="F91" s="1" t="s">
        <v>402</v>
      </c>
      <c r="G91" s="1" t="s">
        <v>21</v>
      </c>
      <c r="H91" s="6">
        <v>1</v>
      </c>
      <c r="I91" s="7">
        <v>1800</v>
      </c>
      <c r="J91" s="5">
        <v>45961</v>
      </c>
      <c r="K91" s="1" t="s">
        <v>957</v>
      </c>
      <c r="L91" s="1" t="s">
        <v>30</v>
      </c>
      <c r="M91" s="8">
        <v>0</v>
      </c>
      <c r="N91" s="6"/>
      <c r="O91" s="6"/>
      <c r="P91" s="9">
        <v>0</v>
      </c>
    </row>
    <row r="92" spans="1:16" ht="19.5" customHeight="1">
      <c r="A92" s="1" t="s">
        <v>1080</v>
      </c>
      <c r="B92" s="5">
        <v>45966</v>
      </c>
      <c r="C92" s="1" t="s">
        <v>31</v>
      </c>
      <c r="D92" s="1" t="s">
        <v>34</v>
      </c>
      <c r="E92" s="1" t="s">
        <v>227</v>
      </c>
      <c r="F92" s="1" t="s">
        <v>402</v>
      </c>
      <c r="G92" s="1" t="s">
        <v>21</v>
      </c>
      <c r="H92" s="6">
        <v>1</v>
      </c>
      <c r="I92" s="7">
        <v>1800</v>
      </c>
      <c r="J92" s="5">
        <v>45961</v>
      </c>
      <c r="K92" s="1" t="s">
        <v>957</v>
      </c>
      <c r="L92" s="1" t="s">
        <v>30</v>
      </c>
      <c r="M92" s="8">
        <v>0</v>
      </c>
      <c r="N92" s="6"/>
      <c r="O92" s="6"/>
      <c r="P92" s="9">
        <v>703.04</v>
      </c>
    </row>
    <row r="93" spans="1:16" ht="19.5" customHeight="1">
      <c r="A93" s="1" t="s">
        <v>1080</v>
      </c>
      <c r="B93" s="5">
        <v>45966</v>
      </c>
      <c r="C93" s="1" t="s">
        <v>35</v>
      </c>
      <c r="D93" s="1" t="s">
        <v>36</v>
      </c>
      <c r="E93" s="1" t="s">
        <v>227</v>
      </c>
      <c r="F93" s="1" t="s">
        <v>402</v>
      </c>
      <c r="G93" s="1" t="s">
        <v>21</v>
      </c>
      <c r="H93" s="6">
        <v>1</v>
      </c>
      <c r="I93" s="7">
        <v>1800</v>
      </c>
      <c r="J93" s="5">
        <v>45961</v>
      </c>
      <c r="K93" s="1" t="s">
        <v>957</v>
      </c>
      <c r="L93" s="1" t="s">
        <v>30</v>
      </c>
      <c r="M93" s="8">
        <v>0.38</v>
      </c>
      <c r="N93" s="6"/>
      <c r="O93" s="6"/>
      <c r="P93" s="9">
        <v>-684</v>
      </c>
    </row>
    <row r="94" spans="1:16" ht="19.5" customHeight="1">
      <c r="A94" s="1" t="s">
        <v>1080</v>
      </c>
      <c r="B94" s="5">
        <v>45966</v>
      </c>
      <c r="C94" s="1" t="s">
        <v>17</v>
      </c>
      <c r="D94" s="1" t="s">
        <v>37</v>
      </c>
      <c r="E94" s="1" t="s">
        <v>227</v>
      </c>
      <c r="F94" s="1" t="s">
        <v>402</v>
      </c>
      <c r="G94" s="1" t="s">
        <v>21</v>
      </c>
      <c r="H94" s="6">
        <v>1</v>
      </c>
      <c r="I94" s="7">
        <v>1800</v>
      </c>
      <c r="J94" s="5">
        <v>45961</v>
      </c>
      <c r="K94" s="1" t="s">
        <v>957</v>
      </c>
      <c r="L94" s="1" t="s">
        <v>30</v>
      </c>
      <c r="M94" s="8">
        <v>0.38</v>
      </c>
      <c r="N94" s="6"/>
      <c r="O94" s="6"/>
      <c r="P94" s="9">
        <v>-10.220000000000001</v>
      </c>
    </row>
    <row r="95" spans="1:16" ht="19.5" customHeight="1">
      <c r="A95" s="1" t="s">
        <v>1081</v>
      </c>
      <c r="B95" s="5">
        <v>45966</v>
      </c>
      <c r="C95" s="1" t="s">
        <v>28</v>
      </c>
      <c r="D95" s="1" t="s">
        <v>29</v>
      </c>
      <c r="E95" s="1" t="s">
        <v>70</v>
      </c>
      <c r="F95" s="1" t="s">
        <v>71</v>
      </c>
      <c r="G95" s="1" t="s">
        <v>959</v>
      </c>
      <c r="H95" s="6">
        <v>1</v>
      </c>
      <c r="I95" s="7">
        <v>5500</v>
      </c>
      <c r="J95" s="5">
        <v>45964</v>
      </c>
      <c r="K95" s="1" t="s">
        <v>957</v>
      </c>
      <c r="L95" s="1" t="s">
        <v>30</v>
      </c>
      <c r="M95" s="8">
        <v>0.38</v>
      </c>
      <c r="N95" s="6"/>
      <c r="O95" s="6"/>
      <c r="P95" s="9">
        <v>-56</v>
      </c>
    </row>
    <row r="96" spans="1:16" ht="19.5" customHeight="1">
      <c r="A96" s="1" t="s">
        <v>1081</v>
      </c>
      <c r="B96" s="5">
        <v>45966</v>
      </c>
      <c r="C96" s="1" t="s">
        <v>31</v>
      </c>
      <c r="D96" s="1" t="s">
        <v>32</v>
      </c>
      <c r="E96" s="1" t="s">
        <v>70</v>
      </c>
      <c r="F96" s="1" t="s">
        <v>71</v>
      </c>
      <c r="G96" s="1" t="s">
        <v>959</v>
      </c>
      <c r="H96" s="6">
        <v>1</v>
      </c>
      <c r="I96" s="7">
        <v>5500</v>
      </c>
      <c r="J96" s="5">
        <v>45964</v>
      </c>
      <c r="K96" s="1" t="s">
        <v>957</v>
      </c>
      <c r="L96" s="1" t="s">
        <v>30</v>
      </c>
      <c r="M96" s="8">
        <v>0</v>
      </c>
      <c r="N96" s="6"/>
      <c r="O96" s="6"/>
      <c r="P96" s="9">
        <v>2659.72</v>
      </c>
    </row>
    <row r="97" spans="1:16" ht="19.5" customHeight="1">
      <c r="A97" s="1" t="s">
        <v>1081</v>
      </c>
      <c r="B97" s="5">
        <v>45966</v>
      </c>
      <c r="C97" s="1" t="s">
        <v>31</v>
      </c>
      <c r="D97" s="1" t="s">
        <v>33</v>
      </c>
      <c r="E97" s="1" t="s">
        <v>70</v>
      </c>
      <c r="F97" s="1" t="s">
        <v>71</v>
      </c>
      <c r="G97" s="1" t="s">
        <v>959</v>
      </c>
      <c r="H97" s="6">
        <v>1</v>
      </c>
      <c r="I97" s="7">
        <v>5500</v>
      </c>
      <c r="J97" s="5">
        <v>45964</v>
      </c>
      <c r="K97" s="1" t="s">
        <v>957</v>
      </c>
      <c r="L97" s="1" t="s">
        <v>30</v>
      </c>
      <c r="M97" s="8">
        <v>0</v>
      </c>
      <c r="N97" s="6"/>
      <c r="O97" s="6"/>
      <c r="P97" s="9">
        <v>26.6</v>
      </c>
    </row>
    <row r="98" spans="1:16" ht="19.5" customHeight="1">
      <c r="A98" s="1" t="s">
        <v>1081</v>
      </c>
      <c r="B98" s="5">
        <v>45966</v>
      </c>
      <c r="C98" s="1" t="s">
        <v>31</v>
      </c>
      <c r="D98" s="1" t="s">
        <v>34</v>
      </c>
      <c r="E98" s="1" t="s">
        <v>70</v>
      </c>
      <c r="F98" s="1" t="s">
        <v>71</v>
      </c>
      <c r="G98" s="1" t="s">
        <v>959</v>
      </c>
      <c r="H98" s="6">
        <v>1</v>
      </c>
      <c r="I98" s="7">
        <v>5500</v>
      </c>
      <c r="J98" s="5">
        <v>45964</v>
      </c>
      <c r="K98" s="1" t="s">
        <v>957</v>
      </c>
      <c r="L98" s="1" t="s">
        <v>30</v>
      </c>
      <c r="M98" s="8">
        <v>0</v>
      </c>
      <c r="N98" s="6"/>
      <c r="O98" s="6"/>
      <c r="P98" s="9">
        <v>2813.68</v>
      </c>
    </row>
    <row r="99" spans="1:16" ht="19.5" customHeight="1">
      <c r="A99" s="1" t="s">
        <v>1081</v>
      </c>
      <c r="B99" s="5">
        <v>45966</v>
      </c>
      <c r="C99" s="1" t="s">
        <v>35</v>
      </c>
      <c r="D99" s="1" t="s">
        <v>36</v>
      </c>
      <c r="E99" s="1" t="s">
        <v>70</v>
      </c>
      <c r="F99" s="1" t="s">
        <v>71</v>
      </c>
      <c r="G99" s="1" t="s">
        <v>959</v>
      </c>
      <c r="H99" s="6">
        <v>1</v>
      </c>
      <c r="I99" s="7">
        <v>5500</v>
      </c>
      <c r="J99" s="5">
        <v>45964</v>
      </c>
      <c r="K99" s="1" t="s">
        <v>957</v>
      </c>
      <c r="L99" s="1" t="s">
        <v>30</v>
      </c>
      <c r="M99" s="8">
        <v>0.38</v>
      </c>
      <c r="N99" s="6"/>
      <c r="O99" s="6"/>
      <c r="P99" s="9">
        <v>-2090</v>
      </c>
    </row>
    <row r="100" spans="1:16" ht="19.5" customHeight="1">
      <c r="A100" s="1" t="s">
        <v>1081</v>
      </c>
      <c r="B100" s="5">
        <v>45966</v>
      </c>
      <c r="C100" s="1" t="s">
        <v>17</v>
      </c>
      <c r="D100" s="1" t="s">
        <v>37</v>
      </c>
      <c r="E100" s="1" t="s">
        <v>70</v>
      </c>
      <c r="F100" s="1" t="s">
        <v>71</v>
      </c>
      <c r="G100" s="1" t="s">
        <v>959</v>
      </c>
      <c r="H100" s="6">
        <v>1</v>
      </c>
      <c r="I100" s="7">
        <v>5500</v>
      </c>
      <c r="J100" s="5">
        <v>45964</v>
      </c>
      <c r="K100" s="1" t="s">
        <v>957</v>
      </c>
      <c r="L100" s="1" t="s">
        <v>30</v>
      </c>
      <c r="M100" s="8">
        <v>0.38</v>
      </c>
      <c r="N100" s="6"/>
      <c r="O100" s="6"/>
      <c r="P100" s="9">
        <v>-12.3</v>
      </c>
    </row>
    <row r="101" spans="1:16" ht="19.5" customHeight="1">
      <c r="A101" s="1" t="s">
        <v>1081</v>
      </c>
      <c r="B101" s="5">
        <v>45966</v>
      </c>
      <c r="C101" s="1" t="s">
        <v>17</v>
      </c>
      <c r="D101" s="1" t="s">
        <v>18</v>
      </c>
      <c r="E101" s="1" t="s">
        <v>70</v>
      </c>
      <c r="F101" s="1" t="s">
        <v>71</v>
      </c>
      <c r="G101" s="1" t="s">
        <v>959</v>
      </c>
      <c r="H101" s="6">
        <v>1</v>
      </c>
      <c r="I101" s="7">
        <v>0</v>
      </c>
      <c r="J101" s="5">
        <v>45964</v>
      </c>
      <c r="K101" s="1" t="s">
        <v>22</v>
      </c>
      <c r="L101" s="1" t="s">
        <v>22</v>
      </c>
      <c r="M101" s="8">
        <v>0</v>
      </c>
      <c r="N101" s="6"/>
      <c r="O101" s="6"/>
      <c r="P101" s="9">
        <v>-50.53</v>
      </c>
    </row>
    <row r="102" spans="1:16" ht="19.5" customHeight="1">
      <c r="A102" s="1" t="s">
        <v>22</v>
      </c>
      <c r="B102" s="5">
        <v>45966</v>
      </c>
      <c r="C102" s="1" t="s">
        <v>77</v>
      </c>
      <c r="D102" s="1" t="s">
        <v>78</v>
      </c>
      <c r="E102" s="1" t="s">
        <v>22</v>
      </c>
      <c r="F102" s="1" t="s">
        <v>22</v>
      </c>
      <c r="G102" s="1" t="s">
        <v>1082</v>
      </c>
      <c r="H102" s="6">
        <v>0</v>
      </c>
      <c r="I102" s="7">
        <v>0</v>
      </c>
      <c r="J102" s="5">
        <v>45966</v>
      </c>
      <c r="K102" s="1" t="s">
        <v>22</v>
      </c>
      <c r="L102" s="1" t="s">
        <v>22</v>
      </c>
      <c r="M102" s="8">
        <v>0</v>
      </c>
      <c r="N102" s="6"/>
      <c r="O102" s="6"/>
      <c r="P102" s="9">
        <v>-200</v>
      </c>
    </row>
    <row r="103" spans="1:16" ht="19.5" customHeight="1">
      <c r="A103" s="1" t="s">
        <v>1083</v>
      </c>
      <c r="B103" s="5">
        <v>45966</v>
      </c>
      <c r="C103" s="1" t="s">
        <v>17</v>
      </c>
      <c r="D103" s="1" t="s">
        <v>18</v>
      </c>
      <c r="E103" s="1" t="s">
        <v>223</v>
      </c>
      <c r="F103" s="1" t="s">
        <v>395</v>
      </c>
      <c r="G103" s="1" t="s">
        <v>21</v>
      </c>
      <c r="H103" s="6">
        <v>1</v>
      </c>
      <c r="I103" s="7">
        <v>0</v>
      </c>
      <c r="J103" s="5">
        <v>45966</v>
      </c>
      <c r="K103" s="1" t="s">
        <v>22</v>
      </c>
      <c r="L103" s="1" t="s">
        <v>22</v>
      </c>
      <c r="M103" s="8">
        <v>0</v>
      </c>
      <c r="N103" s="6"/>
      <c r="O103" s="6"/>
      <c r="P103" s="9">
        <v>-14.16</v>
      </c>
    </row>
    <row r="104" spans="1:16" ht="19.5" customHeight="1">
      <c r="A104" s="1" t="s">
        <v>1084</v>
      </c>
      <c r="B104" s="5">
        <v>45966</v>
      </c>
      <c r="C104" s="1" t="s">
        <v>28</v>
      </c>
      <c r="D104" s="1" t="s">
        <v>45</v>
      </c>
      <c r="E104" s="1" t="s">
        <v>241</v>
      </c>
      <c r="F104" s="1" t="s">
        <v>790</v>
      </c>
      <c r="G104" s="1" t="s">
        <v>959</v>
      </c>
      <c r="H104" s="6">
        <v>1</v>
      </c>
      <c r="I104" s="7">
        <v>0</v>
      </c>
      <c r="J104" s="5">
        <v>45958</v>
      </c>
      <c r="K104" s="1" t="s">
        <v>957</v>
      </c>
      <c r="L104" s="1" t="s">
        <v>30</v>
      </c>
      <c r="M104" s="8">
        <v>0</v>
      </c>
      <c r="N104" s="6"/>
      <c r="O104" s="6"/>
      <c r="P104" s="9">
        <v>0</v>
      </c>
    </row>
    <row r="105" spans="1:16" ht="19.5" customHeight="1">
      <c r="A105" s="1" t="s">
        <v>1084</v>
      </c>
      <c r="B105" s="5">
        <v>45966</v>
      </c>
      <c r="C105" s="1" t="s">
        <v>28</v>
      </c>
      <c r="D105" s="1" t="s">
        <v>46</v>
      </c>
      <c r="E105" s="1" t="s">
        <v>241</v>
      </c>
      <c r="F105" s="1" t="s">
        <v>790</v>
      </c>
      <c r="G105" s="1" t="s">
        <v>959</v>
      </c>
      <c r="H105" s="6">
        <v>1</v>
      </c>
      <c r="I105" s="7">
        <v>0</v>
      </c>
      <c r="J105" s="5">
        <v>45958</v>
      </c>
      <c r="K105" s="1" t="s">
        <v>957</v>
      </c>
      <c r="L105" s="1" t="s">
        <v>30</v>
      </c>
      <c r="M105" s="8">
        <v>0</v>
      </c>
      <c r="N105" s="6"/>
      <c r="O105" s="6"/>
      <c r="P105" s="9">
        <v>-56</v>
      </c>
    </row>
    <row r="106" spans="1:16" ht="19.5" customHeight="1">
      <c r="A106" s="1" t="s">
        <v>1084</v>
      </c>
      <c r="B106" s="5">
        <v>45966</v>
      </c>
      <c r="C106" s="1" t="s">
        <v>17</v>
      </c>
      <c r="D106" s="1" t="s">
        <v>47</v>
      </c>
      <c r="E106" s="1" t="s">
        <v>241</v>
      </c>
      <c r="F106" s="1" t="s">
        <v>790</v>
      </c>
      <c r="G106" s="1" t="s">
        <v>959</v>
      </c>
      <c r="H106" s="6">
        <v>1</v>
      </c>
      <c r="I106" s="7">
        <v>0</v>
      </c>
      <c r="J106" s="5">
        <v>45958</v>
      </c>
      <c r="K106" s="1" t="s">
        <v>957</v>
      </c>
      <c r="L106" s="1" t="s">
        <v>30</v>
      </c>
      <c r="M106" s="8">
        <v>0</v>
      </c>
      <c r="N106" s="6"/>
      <c r="O106" s="6"/>
      <c r="P106" s="9">
        <v>-15</v>
      </c>
    </row>
    <row r="107" spans="1:16" ht="19.5" customHeight="1">
      <c r="A107" s="1" t="s">
        <v>1085</v>
      </c>
      <c r="B107" s="5">
        <v>45966</v>
      </c>
      <c r="C107" s="1" t="s">
        <v>28</v>
      </c>
      <c r="D107" s="1" t="s">
        <v>45</v>
      </c>
      <c r="E107" s="1" t="s">
        <v>171</v>
      </c>
      <c r="F107" s="1" t="s">
        <v>172</v>
      </c>
      <c r="G107" s="1" t="s">
        <v>959</v>
      </c>
      <c r="H107" s="6">
        <v>1</v>
      </c>
      <c r="I107" s="7">
        <v>0</v>
      </c>
      <c r="J107" s="5">
        <v>45958</v>
      </c>
      <c r="K107" s="1" t="s">
        <v>957</v>
      </c>
      <c r="L107" s="1" t="s">
        <v>30</v>
      </c>
      <c r="M107" s="8">
        <v>0</v>
      </c>
      <c r="N107" s="6"/>
      <c r="O107" s="6"/>
      <c r="P107" s="9">
        <v>0</v>
      </c>
    </row>
    <row r="108" spans="1:16" ht="19.5" customHeight="1">
      <c r="A108" s="1" t="s">
        <v>1085</v>
      </c>
      <c r="B108" s="5">
        <v>45966</v>
      </c>
      <c r="C108" s="1" t="s">
        <v>28</v>
      </c>
      <c r="D108" s="1" t="s">
        <v>46</v>
      </c>
      <c r="E108" s="1" t="s">
        <v>171</v>
      </c>
      <c r="F108" s="1" t="s">
        <v>172</v>
      </c>
      <c r="G108" s="1" t="s">
        <v>959</v>
      </c>
      <c r="H108" s="6">
        <v>1</v>
      </c>
      <c r="I108" s="7">
        <v>0</v>
      </c>
      <c r="J108" s="5">
        <v>45958</v>
      </c>
      <c r="K108" s="1" t="s">
        <v>957</v>
      </c>
      <c r="L108" s="1" t="s">
        <v>30</v>
      </c>
      <c r="M108" s="8">
        <v>0</v>
      </c>
      <c r="N108" s="6"/>
      <c r="O108" s="6"/>
      <c r="P108" s="9">
        <v>-56</v>
      </c>
    </row>
    <row r="109" spans="1:16" ht="19.5" customHeight="1">
      <c r="A109" s="1" t="s">
        <v>1085</v>
      </c>
      <c r="B109" s="5">
        <v>45966</v>
      </c>
      <c r="C109" s="1" t="s">
        <v>17</v>
      </c>
      <c r="D109" s="1" t="s">
        <v>47</v>
      </c>
      <c r="E109" s="1" t="s">
        <v>171</v>
      </c>
      <c r="F109" s="1" t="s">
        <v>172</v>
      </c>
      <c r="G109" s="1" t="s">
        <v>959</v>
      </c>
      <c r="H109" s="6">
        <v>1</v>
      </c>
      <c r="I109" s="7">
        <v>0</v>
      </c>
      <c r="J109" s="5">
        <v>45958</v>
      </c>
      <c r="K109" s="1" t="s">
        <v>957</v>
      </c>
      <c r="L109" s="1" t="s">
        <v>30</v>
      </c>
      <c r="M109" s="8">
        <v>0</v>
      </c>
      <c r="N109" s="6"/>
      <c r="O109" s="6"/>
      <c r="P109" s="9">
        <v>-15</v>
      </c>
    </row>
    <row r="110" spans="1:16" ht="19.5" customHeight="1">
      <c r="A110" s="1" t="s">
        <v>1084</v>
      </c>
      <c r="B110" s="5">
        <v>45966</v>
      </c>
      <c r="C110" s="1" t="s">
        <v>28</v>
      </c>
      <c r="D110" s="1" t="s">
        <v>29</v>
      </c>
      <c r="E110" s="1" t="s">
        <v>241</v>
      </c>
      <c r="F110" s="1" t="s">
        <v>790</v>
      </c>
      <c r="G110" s="1" t="s">
        <v>959</v>
      </c>
      <c r="H110" s="6">
        <v>1</v>
      </c>
      <c r="I110" s="7">
        <v>0</v>
      </c>
      <c r="J110" s="5">
        <v>45958</v>
      </c>
      <c r="K110" s="1" t="s">
        <v>957</v>
      </c>
      <c r="L110" s="1" t="s">
        <v>30</v>
      </c>
      <c r="M110" s="8">
        <v>0</v>
      </c>
      <c r="N110" s="6"/>
      <c r="O110" s="6"/>
      <c r="P110" s="9">
        <v>-56</v>
      </c>
    </row>
    <row r="111" spans="1:16" ht="19.5" customHeight="1">
      <c r="A111" s="1" t="s">
        <v>1084</v>
      </c>
      <c r="B111" s="5">
        <v>45966</v>
      </c>
      <c r="C111" s="1" t="s">
        <v>17</v>
      </c>
      <c r="D111" s="1" t="s">
        <v>37</v>
      </c>
      <c r="E111" s="1" t="s">
        <v>241</v>
      </c>
      <c r="F111" s="1" t="s">
        <v>790</v>
      </c>
      <c r="G111" s="1" t="s">
        <v>959</v>
      </c>
      <c r="H111" s="6">
        <v>1</v>
      </c>
      <c r="I111" s="7">
        <v>0</v>
      </c>
      <c r="J111" s="5">
        <v>45958</v>
      </c>
      <c r="K111" s="1" t="s">
        <v>957</v>
      </c>
      <c r="L111" s="1" t="s">
        <v>30</v>
      </c>
      <c r="M111" s="8">
        <v>0</v>
      </c>
      <c r="N111" s="6"/>
      <c r="O111" s="6"/>
      <c r="P111" s="9">
        <v>-10.47</v>
      </c>
    </row>
    <row r="112" spans="1:16" ht="19.5" customHeight="1">
      <c r="A112" s="1" t="s">
        <v>1085</v>
      </c>
      <c r="B112" s="5">
        <v>45966</v>
      </c>
      <c r="C112" s="1" t="s">
        <v>28</v>
      </c>
      <c r="D112" s="1" t="s">
        <v>29</v>
      </c>
      <c r="E112" s="1" t="s">
        <v>171</v>
      </c>
      <c r="F112" s="1" t="s">
        <v>172</v>
      </c>
      <c r="G112" s="1" t="s">
        <v>959</v>
      </c>
      <c r="H112" s="6">
        <v>1</v>
      </c>
      <c r="I112" s="7">
        <v>0</v>
      </c>
      <c r="J112" s="5">
        <v>45958</v>
      </c>
      <c r="K112" s="1" t="s">
        <v>957</v>
      </c>
      <c r="L112" s="1" t="s">
        <v>30</v>
      </c>
      <c r="M112" s="8">
        <v>0</v>
      </c>
      <c r="N112" s="6"/>
      <c r="O112" s="6"/>
      <c r="P112" s="9">
        <v>-56</v>
      </c>
    </row>
    <row r="113" spans="1:16" ht="19.5" customHeight="1">
      <c r="A113" s="1" t="s">
        <v>1085</v>
      </c>
      <c r="B113" s="5">
        <v>45966</v>
      </c>
      <c r="C113" s="1" t="s">
        <v>17</v>
      </c>
      <c r="D113" s="1" t="s">
        <v>37</v>
      </c>
      <c r="E113" s="1" t="s">
        <v>171</v>
      </c>
      <c r="F113" s="1" t="s">
        <v>172</v>
      </c>
      <c r="G113" s="1" t="s">
        <v>959</v>
      </c>
      <c r="H113" s="6">
        <v>1</v>
      </c>
      <c r="I113" s="7">
        <v>0</v>
      </c>
      <c r="J113" s="5">
        <v>45958</v>
      </c>
      <c r="K113" s="1" t="s">
        <v>957</v>
      </c>
      <c r="L113" s="1" t="s">
        <v>30</v>
      </c>
      <c r="M113" s="8">
        <v>0</v>
      </c>
      <c r="N113" s="6"/>
      <c r="O113" s="6"/>
      <c r="P113" s="9">
        <v>-10.199999999999999</v>
      </c>
    </row>
    <row r="114" spans="1:16" ht="19.5" customHeight="1">
      <c r="A114" s="1" t="s">
        <v>1075</v>
      </c>
      <c r="B114" s="5">
        <v>45966</v>
      </c>
      <c r="C114" s="1" t="s">
        <v>77</v>
      </c>
      <c r="D114" s="1" t="s">
        <v>82</v>
      </c>
      <c r="E114" s="1" t="s">
        <v>22</v>
      </c>
      <c r="F114" s="1" t="s">
        <v>22</v>
      </c>
      <c r="G114" s="1" t="s">
        <v>22</v>
      </c>
      <c r="H114" s="6">
        <v>0</v>
      </c>
      <c r="I114" s="7">
        <v>0</v>
      </c>
      <c r="J114" s="5">
        <v>45966</v>
      </c>
      <c r="K114" s="1" t="s">
        <v>22</v>
      </c>
      <c r="L114" s="1" t="s">
        <v>22</v>
      </c>
      <c r="M114" s="8">
        <v>0</v>
      </c>
      <c r="N114" s="6"/>
      <c r="O114" s="6"/>
      <c r="P114" s="9">
        <v>-259.89</v>
      </c>
    </row>
    <row r="115" spans="1:16" ht="19.5" customHeight="1">
      <c r="A115" s="1" t="s">
        <v>83</v>
      </c>
      <c r="B115" s="5">
        <v>45966</v>
      </c>
      <c r="C115" s="1" t="s">
        <v>77</v>
      </c>
      <c r="D115" s="1" t="s">
        <v>84</v>
      </c>
      <c r="E115" s="1" t="s">
        <v>22</v>
      </c>
      <c r="F115" s="1" t="s">
        <v>22</v>
      </c>
      <c r="G115" s="1" t="s">
        <v>22</v>
      </c>
      <c r="H115" s="6">
        <v>0</v>
      </c>
      <c r="I115" s="7">
        <v>0</v>
      </c>
      <c r="J115" s="5">
        <v>45966</v>
      </c>
      <c r="K115" s="1" t="s">
        <v>22</v>
      </c>
      <c r="L115" s="1" t="s">
        <v>22</v>
      </c>
      <c r="M115" s="8">
        <v>0</v>
      </c>
      <c r="N115" s="6"/>
      <c r="O115" s="6"/>
      <c r="P115" s="9">
        <v>-313.60000000000002</v>
      </c>
    </row>
    <row r="116" spans="1:16" ht="19.5" customHeight="1">
      <c r="A116" s="1" t="s">
        <v>810</v>
      </c>
      <c r="B116" s="5">
        <v>45966</v>
      </c>
      <c r="C116" s="1" t="s">
        <v>77</v>
      </c>
      <c r="D116" s="1" t="s">
        <v>82</v>
      </c>
      <c r="E116" s="1" t="s">
        <v>22</v>
      </c>
      <c r="F116" s="1" t="s">
        <v>22</v>
      </c>
      <c r="G116" s="1" t="s">
        <v>22</v>
      </c>
      <c r="H116" s="6">
        <v>0</v>
      </c>
      <c r="I116" s="7">
        <v>0</v>
      </c>
      <c r="J116" s="5">
        <v>45966</v>
      </c>
      <c r="K116" s="1" t="s">
        <v>22</v>
      </c>
      <c r="L116" s="1" t="s">
        <v>22</v>
      </c>
      <c r="M116" s="8">
        <v>0</v>
      </c>
      <c r="N116" s="6"/>
      <c r="O116" s="6"/>
      <c r="P116" s="9">
        <v>-287.17</v>
      </c>
    </row>
    <row r="117" spans="1:16" ht="19.5" customHeight="1">
      <c r="A117" s="1" t="s">
        <v>22</v>
      </c>
      <c r="B117" s="5">
        <v>45966</v>
      </c>
      <c r="C117" s="1" t="s">
        <v>77</v>
      </c>
      <c r="D117" s="1" t="s">
        <v>944</v>
      </c>
      <c r="E117" s="1" t="s">
        <v>22</v>
      </c>
      <c r="F117" s="1" t="s">
        <v>22</v>
      </c>
      <c r="G117" s="1" t="s">
        <v>1086</v>
      </c>
      <c r="H117" s="6">
        <v>0</v>
      </c>
      <c r="I117" s="7">
        <v>0</v>
      </c>
      <c r="J117" s="5">
        <v>45966</v>
      </c>
      <c r="K117" s="1" t="s">
        <v>22</v>
      </c>
      <c r="L117" s="1" t="s">
        <v>22</v>
      </c>
      <c r="M117" s="8">
        <v>0</v>
      </c>
      <c r="N117" s="6"/>
      <c r="O117" s="6"/>
      <c r="P117" s="9">
        <v>-243.97</v>
      </c>
    </row>
    <row r="118" spans="1:16" ht="19.5" customHeight="1">
      <c r="A118" s="1" t="s">
        <v>22</v>
      </c>
      <c r="B118" s="5">
        <v>45966</v>
      </c>
      <c r="C118" s="1" t="s">
        <v>77</v>
      </c>
      <c r="D118" s="1" t="s">
        <v>944</v>
      </c>
      <c r="E118" s="1" t="s">
        <v>22</v>
      </c>
      <c r="F118" s="1" t="s">
        <v>22</v>
      </c>
      <c r="G118" s="1" t="s">
        <v>1087</v>
      </c>
      <c r="H118" s="6">
        <v>0</v>
      </c>
      <c r="I118" s="7">
        <v>0</v>
      </c>
      <c r="J118" s="5">
        <v>45966</v>
      </c>
      <c r="K118" s="1" t="s">
        <v>22</v>
      </c>
      <c r="L118" s="1" t="s">
        <v>22</v>
      </c>
      <c r="M118" s="8">
        <v>0</v>
      </c>
      <c r="N118" s="6"/>
      <c r="O118" s="6"/>
      <c r="P118" s="9">
        <v>-282.75</v>
      </c>
    </row>
    <row r="119" spans="1:16" ht="19.5" customHeight="1">
      <c r="A119" s="1" t="s">
        <v>1088</v>
      </c>
      <c r="B119" s="5">
        <v>45967</v>
      </c>
      <c r="C119" s="1" t="s">
        <v>28</v>
      </c>
      <c r="D119" s="1" t="s">
        <v>29</v>
      </c>
      <c r="E119" s="1" t="s">
        <v>229</v>
      </c>
      <c r="F119" s="1" t="s">
        <v>464</v>
      </c>
      <c r="G119" s="1" t="s">
        <v>21</v>
      </c>
      <c r="H119" s="6">
        <v>1</v>
      </c>
      <c r="I119" s="7">
        <v>0</v>
      </c>
      <c r="J119" s="5">
        <v>45959</v>
      </c>
      <c r="K119" s="1" t="s">
        <v>957</v>
      </c>
      <c r="L119" s="1" t="s">
        <v>30</v>
      </c>
      <c r="M119" s="8">
        <v>0</v>
      </c>
      <c r="N119" s="6"/>
      <c r="O119" s="6"/>
      <c r="P119" s="9">
        <v>-56</v>
      </c>
    </row>
    <row r="120" spans="1:16" ht="19.5" customHeight="1">
      <c r="A120" s="1" t="s">
        <v>1088</v>
      </c>
      <c r="B120" s="5">
        <v>45967</v>
      </c>
      <c r="C120" s="1" t="s">
        <v>17</v>
      </c>
      <c r="D120" s="1" t="s">
        <v>37</v>
      </c>
      <c r="E120" s="1" t="s">
        <v>229</v>
      </c>
      <c r="F120" s="1" t="s">
        <v>464</v>
      </c>
      <c r="G120" s="1" t="s">
        <v>21</v>
      </c>
      <c r="H120" s="6">
        <v>1</v>
      </c>
      <c r="I120" s="7">
        <v>0</v>
      </c>
      <c r="J120" s="5">
        <v>45959</v>
      </c>
      <c r="K120" s="1" t="s">
        <v>957</v>
      </c>
      <c r="L120" s="1" t="s">
        <v>30</v>
      </c>
      <c r="M120" s="8">
        <v>0</v>
      </c>
      <c r="N120" s="6"/>
      <c r="O120" s="6"/>
      <c r="P120" s="9">
        <v>-10.53</v>
      </c>
    </row>
    <row r="121" spans="1:16" ht="19.5" customHeight="1">
      <c r="A121" s="1" t="s">
        <v>1088</v>
      </c>
      <c r="B121" s="5">
        <v>45967</v>
      </c>
      <c r="C121" s="1" t="s">
        <v>28</v>
      </c>
      <c r="D121" s="1" t="s">
        <v>45</v>
      </c>
      <c r="E121" s="1" t="s">
        <v>229</v>
      </c>
      <c r="F121" s="1" t="s">
        <v>464</v>
      </c>
      <c r="G121" s="1" t="s">
        <v>21</v>
      </c>
      <c r="H121" s="6">
        <v>1</v>
      </c>
      <c r="I121" s="7">
        <v>0</v>
      </c>
      <c r="J121" s="5">
        <v>45959</v>
      </c>
      <c r="K121" s="1" t="s">
        <v>957</v>
      </c>
      <c r="L121" s="1" t="s">
        <v>30</v>
      </c>
      <c r="M121" s="8">
        <v>0</v>
      </c>
      <c r="N121" s="6"/>
      <c r="O121" s="6"/>
      <c r="P121" s="9">
        <v>0</v>
      </c>
    </row>
    <row r="122" spans="1:16" ht="19.5" customHeight="1">
      <c r="A122" s="1" t="s">
        <v>1088</v>
      </c>
      <c r="B122" s="5">
        <v>45967</v>
      </c>
      <c r="C122" s="1" t="s">
        <v>28</v>
      </c>
      <c r="D122" s="1" t="s">
        <v>46</v>
      </c>
      <c r="E122" s="1" t="s">
        <v>229</v>
      </c>
      <c r="F122" s="1" t="s">
        <v>464</v>
      </c>
      <c r="G122" s="1" t="s">
        <v>21</v>
      </c>
      <c r="H122" s="6">
        <v>1</v>
      </c>
      <c r="I122" s="7">
        <v>0</v>
      </c>
      <c r="J122" s="5">
        <v>45959</v>
      </c>
      <c r="K122" s="1" t="s">
        <v>957</v>
      </c>
      <c r="L122" s="1" t="s">
        <v>30</v>
      </c>
      <c r="M122" s="8">
        <v>0</v>
      </c>
      <c r="N122" s="6"/>
      <c r="O122" s="6"/>
      <c r="P122" s="9">
        <v>-56</v>
      </c>
    </row>
    <row r="123" spans="1:16" ht="19.5" customHeight="1">
      <c r="A123" s="1" t="s">
        <v>1088</v>
      </c>
      <c r="B123" s="5">
        <v>45967</v>
      </c>
      <c r="C123" s="1" t="s">
        <v>17</v>
      </c>
      <c r="D123" s="1" t="s">
        <v>47</v>
      </c>
      <c r="E123" s="1" t="s">
        <v>229</v>
      </c>
      <c r="F123" s="1" t="s">
        <v>464</v>
      </c>
      <c r="G123" s="1" t="s">
        <v>21</v>
      </c>
      <c r="H123" s="6">
        <v>1</v>
      </c>
      <c r="I123" s="7">
        <v>0</v>
      </c>
      <c r="J123" s="5">
        <v>45959</v>
      </c>
      <c r="K123" s="1" t="s">
        <v>957</v>
      </c>
      <c r="L123" s="1" t="s">
        <v>30</v>
      </c>
      <c r="M123" s="8">
        <v>0</v>
      </c>
      <c r="N123" s="6"/>
      <c r="O123" s="6"/>
      <c r="P123" s="9">
        <v>-15</v>
      </c>
    </row>
    <row r="124" spans="1:16" ht="19.5" customHeight="1">
      <c r="A124" s="1" t="s">
        <v>1089</v>
      </c>
      <c r="B124" s="5">
        <v>45967</v>
      </c>
      <c r="C124" s="1" t="s">
        <v>28</v>
      </c>
      <c r="D124" s="1" t="s">
        <v>29</v>
      </c>
      <c r="E124" s="1" t="s">
        <v>25</v>
      </c>
      <c r="F124" s="1" t="s">
        <v>26</v>
      </c>
      <c r="G124" s="1" t="s">
        <v>21</v>
      </c>
      <c r="H124" s="6">
        <v>1</v>
      </c>
      <c r="I124" s="7">
        <v>0</v>
      </c>
      <c r="J124" s="5">
        <v>45964</v>
      </c>
      <c r="K124" s="1" t="s">
        <v>957</v>
      </c>
      <c r="L124" s="1" t="s">
        <v>30</v>
      </c>
      <c r="M124" s="8">
        <v>0</v>
      </c>
      <c r="N124" s="6"/>
      <c r="O124" s="6"/>
      <c r="P124" s="9">
        <v>-46</v>
      </c>
    </row>
    <row r="125" spans="1:16" ht="19.5" customHeight="1">
      <c r="A125" s="1" t="s">
        <v>1089</v>
      </c>
      <c r="B125" s="5">
        <v>45967</v>
      </c>
      <c r="C125" s="1" t="s">
        <v>17</v>
      </c>
      <c r="D125" s="1" t="s">
        <v>37</v>
      </c>
      <c r="E125" s="1" t="s">
        <v>25</v>
      </c>
      <c r="F125" s="1" t="s">
        <v>26</v>
      </c>
      <c r="G125" s="1" t="s">
        <v>21</v>
      </c>
      <c r="H125" s="6">
        <v>1</v>
      </c>
      <c r="I125" s="7">
        <v>0</v>
      </c>
      <c r="J125" s="5">
        <v>45964</v>
      </c>
      <c r="K125" s="1" t="s">
        <v>957</v>
      </c>
      <c r="L125" s="1" t="s">
        <v>30</v>
      </c>
      <c r="M125" s="8">
        <v>0</v>
      </c>
      <c r="N125" s="6"/>
      <c r="O125" s="6"/>
      <c r="P125" s="9">
        <v>-10.37</v>
      </c>
    </row>
    <row r="126" spans="1:16" ht="19.5" customHeight="1">
      <c r="A126" s="1" t="s">
        <v>1089</v>
      </c>
      <c r="B126" s="5">
        <v>45967</v>
      </c>
      <c r="C126" s="1" t="s">
        <v>28</v>
      </c>
      <c r="D126" s="1" t="s">
        <v>45</v>
      </c>
      <c r="E126" s="1" t="s">
        <v>25</v>
      </c>
      <c r="F126" s="1" t="s">
        <v>26</v>
      </c>
      <c r="G126" s="1" t="s">
        <v>21</v>
      </c>
      <c r="H126" s="6">
        <v>1</v>
      </c>
      <c r="I126" s="7">
        <v>0</v>
      </c>
      <c r="J126" s="5">
        <v>45964</v>
      </c>
      <c r="K126" s="1" t="s">
        <v>957</v>
      </c>
      <c r="L126" s="1" t="s">
        <v>30</v>
      </c>
      <c r="M126" s="8">
        <v>0</v>
      </c>
      <c r="N126" s="6"/>
      <c r="O126" s="6"/>
      <c r="P126" s="9">
        <v>0</v>
      </c>
    </row>
    <row r="127" spans="1:16" ht="19.5" customHeight="1">
      <c r="A127" s="1" t="s">
        <v>1089</v>
      </c>
      <c r="B127" s="5">
        <v>45967</v>
      </c>
      <c r="C127" s="1" t="s">
        <v>28</v>
      </c>
      <c r="D127" s="1" t="s">
        <v>46</v>
      </c>
      <c r="E127" s="1" t="s">
        <v>25</v>
      </c>
      <c r="F127" s="1" t="s">
        <v>26</v>
      </c>
      <c r="G127" s="1" t="s">
        <v>21</v>
      </c>
      <c r="H127" s="6">
        <v>1</v>
      </c>
      <c r="I127" s="7">
        <v>0</v>
      </c>
      <c r="J127" s="5">
        <v>45964</v>
      </c>
      <c r="K127" s="1" t="s">
        <v>957</v>
      </c>
      <c r="L127" s="1" t="s">
        <v>30</v>
      </c>
      <c r="M127" s="8">
        <v>0</v>
      </c>
      <c r="N127" s="6"/>
      <c r="O127" s="6"/>
      <c r="P127" s="9">
        <v>-46</v>
      </c>
    </row>
    <row r="128" spans="1:16" ht="19.5" customHeight="1">
      <c r="A128" s="1" t="s">
        <v>1090</v>
      </c>
      <c r="B128" s="5">
        <v>45967</v>
      </c>
      <c r="C128" s="1" t="s">
        <v>28</v>
      </c>
      <c r="D128" s="1" t="s">
        <v>29</v>
      </c>
      <c r="E128" s="1" t="s">
        <v>223</v>
      </c>
      <c r="F128" s="1" t="s">
        <v>395</v>
      </c>
      <c r="G128" s="1" t="s">
        <v>21</v>
      </c>
      <c r="H128" s="6">
        <v>1</v>
      </c>
      <c r="I128" s="7">
        <v>0</v>
      </c>
      <c r="J128" s="5">
        <v>45962</v>
      </c>
      <c r="K128" s="1" t="s">
        <v>957</v>
      </c>
      <c r="L128" s="1" t="s">
        <v>30</v>
      </c>
      <c r="M128" s="8">
        <v>0</v>
      </c>
      <c r="N128" s="6"/>
      <c r="O128" s="6"/>
      <c r="P128" s="9">
        <v>-46</v>
      </c>
    </row>
    <row r="129" spans="1:16" ht="19.5" customHeight="1">
      <c r="A129" s="1" t="s">
        <v>1090</v>
      </c>
      <c r="B129" s="5">
        <v>45967</v>
      </c>
      <c r="C129" s="1" t="s">
        <v>17</v>
      </c>
      <c r="D129" s="1" t="s">
        <v>37</v>
      </c>
      <c r="E129" s="1" t="s">
        <v>223</v>
      </c>
      <c r="F129" s="1" t="s">
        <v>395</v>
      </c>
      <c r="G129" s="1" t="s">
        <v>21</v>
      </c>
      <c r="H129" s="6">
        <v>1</v>
      </c>
      <c r="I129" s="7">
        <v>0</v>
      </c>
      <c r="J129" s="5">
        <v>45962</v>
      </c>
      <c r="K129" s="1" t="s">
        <v>957</v>
      </c>
      <c r="L129" s="1" t="s">
        <v>30</v>
      </c>
      <c r="M129" s="8">
        <v>0</v>
      </c>
      <c r="N129" s="6"/>
      <c r="O129" s="6"/>
      <c r="P129" s="9">
        <v>-6.85</v>
      </c>
    </row>
    <row r="130" spans="1:16" ht="19.5" customHeight="1">
      <c r="A130" s="1" t="s">
        <v>1090</v>
      </c>
      <c r="B130" s="5">
        <v>45967</v>
      </c>
      <c r="C130" s="1" t="s">
        <v>28</v>
      </c>
      <c r="D130" s="1" t="s">
        <v>45</v>
      </c>
      <c r="E130" s="1" t="s">
        <v>223</v>
      </c>
      <c r="F130" s="1" t="s">
        <v>395</v>
      </c>
      <c r="G130" s="1" t="s">
        <v>21</v>
      </c>
      <c r="H130" s="6">
        <v>1</v>
      </c>
      <c r="I130" s="7">
        <v>0</v>
      </c>
      <c r="J130" s="5">
        <v>45962</v>
      </c>
      <c r="K130" s="1" t="s">
        <v>957</v>
      </c>
      <c r="L130" s="1" t="s">
        <v>30</v>
      </c>
      <c r="M130" s="8">
        <v>0</v>
      </c>
      <c r="N130" s="6"/>
      <c r="O130" s="6"/>
      <c r="P130" s="9">
        <v>0</v>
      </c>
    </row>
    <row r="131" spans="1:16" ht="19.5" customHeight="1">
      <c r="A131" s="1" t="s">
        <v>1090</v>
      </c>
      <c r="B131" s="5">
        <v>45967</v>
      </c>
      <c r="C131" s="1" t="s">
        <v>28</v>
      </c>
      <c r="D131" s="1" t="s">
        <v>46</v>
      </c>
      <c r="E131" s="1" t="s">
        <v>223</v>
      </c>
      <c r="F131" s="1" t="s">
        <v>395</v>
      </c>
      <c r="G131" s="1" t="s">
        <v>21</v>
      </c>
      <c r="H131" s="6">
        <v>1</v>
      </c>
      <c r="I131" s="7">
        <v>0</v>
      </c>
      <c r="J131" s="5">
        <v>45962</v>
      </c>
      <c r="K131" s="1" t="s">
        <v>957</v>
      </c>
      <c r="L131" s="1" t="s">
        <v>30</v>
      </c>
      <c r="M131" s="8">
        <v>0</v>
      </c>
      <c r="N131" s="6"/>
      <c r="O131" s="6"/>
      <c r="P131" s="9">
        <v>-46</v>
      </c>
    </row>
    <row r="132" spans="1:16" ht="19.5" customHeight="1">
      <c r="A132" s="1" t="s">
        <v>1090</v>
      </c>
      <c r="B132" s="5">
        <v>45967</v>
      </c>
      <c r="C132" s="1" t="s">
        <v>17</v>
      </c>
      <c r="D132" s="1" t="s">
        <v>47</v>
      </c>
      <c r="E132" s="1" t="s">
        <v>223</v>
      </c>
      <c r="F132" s="1" t="s">
        <v>395</v>
      </c>
      <c r="G132" s="1" t="s">
        <v>21</v>
      </c>
      <c r="H132" s="6">
        <v>1</v>
      </c>
      <c r="I132" s="7">
        <v>0</v>
      </c>
      <c r="J132" s="5">
        <v>45962</v>
      </c>
      <c r="K132" s="1" t="s">
        <v>957</v>
      </c>
      <c r="L132" s="1" t="s">
        <v>30</v>
      </c>
      <c r="M132" s="8">
        <v>0</v>
      </c>
      <c r="N132" s="6"/>
      <c r="O132" s="6"/>
      <c r="P132" s="9">
        <v>-15</v>
      </c>
    </row>
    <row r="133" spans="1:16" ht="19.5" customHeight="1">
      <c r="A133" s="1" t="s">
        <v>1091</v>
      </c>
      <c r="B133" s="5">
        <v>45967</v>
      </c>
      <c r="C133" s="1" t="s">
        <v>28</v>
      </c>
      <c r="D133" s="1" t="s">
        <v>29</v>
      </c>
      <c r="E133" s="1" t="s">
        <v>223</v>
      </c>
      <c r="F133" s="1" t="s">
        <v>395</v>
      </c>
      <c r="G133" s="1" t="s">
        <v>21</v>
      </c>
      <c r="H133" s="6">
        <v>1</v>
      </c>
      <c r="I133" s="7">
        <v>0</v>
      </c>
      <c r="J133" s="5">
        <v>45962</v>
      </c>
      <c r="K133" s="1" t="s">
        <v>957</v>
      </c>
      <c r="L133" s="1" t="s">
        <v>30</v>
      </c>
      <c r="M133" s="8">
        <v>0</v>
      </c>
      <c r="N133" s="6"/>
      <c r="O133" s="6"/>
      <c r="P133" s="9">
        <v>-46</v>
      </c>
    </row>
    <row r="134" spans="1:16" ht="19.5" customHeight="1">
      <c r="A134" s="1" t="s">
        <v>1091</v>
      </c>
      <c r="B134" s="5">
        <v>45967</v>
      </c>
      <c r="C134" s="1" t="s">
        <v>17</v>
      </c>
      <c r="D134" s="1" t="s">
        <v>37</v>
      </c>
      <c r="E134" s="1" t="s">
        <v>223</v>
      </c>
      <c r="F134" s="1" t="s">
        <v>395</v>
      </c>
      <c r="G134" s="1" t="s">
        <v>21</v>
      </c>
      <c r="H134" s="6">
        <v>1</v>
      </c>
      <c r="I134" s="7">
        <v>0</v>
      </c>
      <c r="J134" s="5">
        <v>45962</v>
      </c>
      <c r="K134" s="1" t="s">
        <v>957</v>
      </c>
      <c r="L134" s="1" t="s">
        <v>30</v>
      </c>
      <c r="M134" s="8">
        <v>0</v>
      </c>
      <c r="N134" s="6"/>
      <c r="O134" s="6"/>
      <c r="P134" s="9">
        <v>-6.68</v>
      </c>
    </row>
    <row r="135" spans="1:16" ht="19.5" customHeight="1">
      <c r="A135" s="1" t="s">
        <v>1091</v>
      </c>
      <c r="B135" s="5">
        <v>45967</v>
      </c>
      <c r="C135" s="1" t="s">
        <v>28</v>
      </c>
      <c r="D135" s="1" t="s">
        <v>45</v>
      </c>
      <c r="E135" s="1" t="s">
        <v>223</v>
      </c>
      <c r="F135" s="1" t="s">
        <v>395</v>
      </c>
      <c r="G135" s="1" t="s">
        <v>21</v>
      </c>
      <c r="H135" s="6">
        <v>1</v>
      </c>
      <c r="I135" s="7">
        <v>0</v>
      </c>
      <c r="J135" s="5">
        <v>45962</v>
      </c>
      <c r="K135" s="1" t="s">
        <v>957</v>
      </c>
      <c r="L135" s="1" t="s">
        <v>30</v>
      </c>
      <c r="M135" s="8">
        <v>0</v>
      </c>
      <c r="N135" s="6"/>
      <c r="O135" s="6"/>
      <c r="P135" s="9">
        <v>0</v>
      </c>
    </row>
    <row r="136" spans="1:16" ht="19.5" customHeight="1">
      <c r="A136" s="1" t="s">
        <v>1091</v>
      </c>
      <c r="B136" s="5">
        <v>45967</v>
      </c>
      <c r="C136" s="1" t="s">
        <v>28</v>
      </c>
      <c r="D136" s="1" t="s">
        <v>46</v>
      </c>
      <c r="E136" s="1" t="s">
        <v>223</v>
      </c>
      <c r="F136" s="1" t="s">
        <v>395</v>
      </c>
      <c r="G136" s="1" t="s">
        <v>21</v>
      </c>
      <c r="H136" s="6">
        <v>1</v>
      </c>
      <c r="I136" s="7">
        <v>0</v>
      </c>
      <c r="J136" s="5">
        <v>45962</v>
      </c>
      <c r="K136" s="1" t="s">
        <v>957</v>
      </c>
      <c r="L136" s="1" t="s">
        <v>30</v>
      </c>
      <c r="M136" s="8">
        <v>0</v>
      </c>
      <c r="N136" s="6"/>
      <c r="O136" s="6"/>
      <c r="P136" s="9">
        <v>-46</v>
      </c>
    </row>
    <row r="137" spans="1:16" ht="19.5" customHeight="1">
      <c r="A137" s="1" t="s">
        <v>1091</v>
      </c>
      <c r="B137" s="5">
        <v>45967</v>
      </c>
      <c r="C137" s="1" t="s">
        <v>17</v>
      </c>
      <c r="D137" s="1" t="s">
        <v>47</v>
      </c>
      <c r="E137" s="1" t="s">
        <v>223</v>
      </c>
      <c r="F137" s="1" t="s">
        <v>395</v>
      </c>
      <c r="G137" s="1" t="s">
        <v>21</v>
      </c>
      <c r="H137" s="6">
        <v>1</v>
      </c>
      <c r="I137" s="7">
        <v>0</v>
      </c>
      <c r="J137" s="5">
        <v>45962</v>
      </c>
      <c r="K137" s="1" t="s">
        <v>957</v>
      </c>
      <c r="L137" s="1" t="s">
        <v>30</v>
      </c>
      <c r="M137" s="8">
        <v>0</v>
      </c>
      <c r="N137" s="6"/>
      <c r="O137" s="6"/>
      <c r="P137" s="9">
        <v>-15</v>
      </c>
    </row>
    <row r="138" spans="1:16" ht="19.5" customHeight="1">
      <c r="A138" s="1" t="s">
        <v>1092</v>
      </c>
      <c r="B138" s="5">
        <v>45967</v>
      </c>
      <c r="C138" s="1" t="s">
        <v>28</v>
      </c>
      <c r="D138" s="1" t="s">
        <v>29</v>
      </c>
      <c r="E138" s="1" t="s">
        <v>70</v>
      </c>
      <c r="F138" s="1" t="s">
        <v>71</v>
      </c>
      <c r="G138" s="1" t="s">
        <v>959</v>
      </c>
      <c r="H138" s="6">
        <v>1</v>
      </c>
      <c r="I138" s="7">
        <v>0</v>
      </c>
      <c r="J138" s="5">
        <v>45960</v>
      </c>
      <c r="K138" s="1" t="s">
        <v>957</v>
      </c>
      <c r="L138" s="1" t="s">
        <v>30</v>
      </c>
      <c r="M138" s="8">
        <v>0</v>
      </c>
      <c r="N138" s="6"/>
      <c r="O138" s="6"/>
      <c r="P138" s="9">
        <v>-56</v>
      </c>
    </row>
    <row r="139" spans="1:16" ht="19.5" customHeight="1">
      <c r="A139" s="1" t="s">
        <v>1092</v>
      </c>
      <c r="B139" s="5">
        <v>45967</v>
      </c>
      <c r="C139" s="1" t="s">
        <v>17</v>
      </c>
      <c r="D139" s="1" t="s">
        <v>37</v>
      </c>
      <c r="E139" s="1" t="s">
        <v>70</v>
      </c>
      <c r="F139" s="1" t="s">
        <v>71</v>
      </c>
      <c r="G139" s="1" t="s">
        <v>959</v>
      </c>
      <c r="H139" s="6">
        <v>1</v>
      </c>
      <c r="I139" s="7">
        <v>0</v>
      </c>
      <c r="J139" s="5">
        <v>45960</v>
      </c>
      <c r="K139" s="1" t="s">
        <v>957</v>
      </c>
      <c r="L139" s="1" t="s">
        <v>30</v>
      </c>
      <c r="M139" s="8">
        <v>0</v>
      </c>
      <c r="N139" s="6"/>
      <c r="O139" s="6"/>
      <c r="P139" s="9">
        <v>-19.329999999999998</v>
      </c>
    </row>
    <row r="140" spans="1:16" ht="19.5" customHeight="1">
      <c r="A140" s="1" t="s">
        <v>1092</v>
      </c>
      <c r="B140" s="5">
        <v>45967</v>
      </c>
      <c r="C140" s="1" t="s">
        <v>28</v>
      </c>
      <c r="D140" s="1" t="s">
        <v>45</v>
      </c>
      <c r="E140" s="1" t="s">
        <v>70</v>
      </c>
      <c r="F140" s="1" t="s">
        <v>71</v>
      </c>
      <c r="G140" s="1" t="s">
        <v>959</v>
      </c>
      <c r="H140" s="6">
        <v>1</v>
      </c>
      <c r="I140" s="7">
        <v>0</v>
      </c>
      <c r="J140" s="5">
        <v>45960</v>
      </c>
      <c r="K140" s="1" t="s">
        <v>957</v>
      </c>
      <c r="L140" s="1" t="s">
        <v>30</v>
      </c>
      <c r="M140" s="8">
        <v>0</v>
      </c>
      <c r="N140" s="6"/>
      <c r="O140" s="6"/>
      <c r="P140" s="9">
        <v>0</v>
      </c>
    </row>
    <row r="141" spans="1:16" ht="19.5" customHeight="1">
      <c r="A141" s="1" t="s">
        <v>1092</v>
      </c>
      <c r="B141" s="5">
        <v>45967</v>
      </c>
      <c r="C141" s="1" t="s">
        <v>28</v>
      </c>
      <c r="D141" s="1" t="s">
        <v>46</v>
      </c>
      <c r="E141" s="1" t="s">
        <v>70</v>
      </c>
      <c r="F141" s="1" t="s">
        <v>71</v>
      </c>
      <c r="G141" s="1" t="s">
        <v>959</v>
      </c>
      <c r="H141" s="6">
        <v>1</v>
      </c>
      <c r="I141" s="7">
        <v>0</v>
      </c>
      <c r="J141" s="5">
        <v>45960</v>
      </c>
      <c r="K141" s="1" t="s">
        <v>957</v>
      </c>
      <c r="L141" s="1" t="s">
        <v>30</v>
      </c>
      <c r="M141" s="8">
        <v>0</v>
      </c>
      <c r="N141" s="6"/>
      <c r="O141" s="6"/>
      <c r="P141" s="9">
        <v>-56</v>
      </c>
    </row>
    <row r="142" spans="1:16" ht="19.5" customHeight="1">
      <c r="A142" s="1" t="s">
        <v>1092</v>
      </c>
      <c r="B142" s="5">
        <v>45967</v>
      </c>
      <c r="C142" s="1" t="s">
        <v>17</v>
      </c>
      <c r="D142" s="1" t="s">
        <v>47</v>
      </c>
      <c r="E142" s="1" t="s">
        <v>70</v>
      </c>
      <c r="F142" s="1" t="s">
        <v>71</v>
      </c>
      <c r="G142" s="1" t="s">
        <v>959</v>
      </c>
      <c r="H142" s="6">
        <v>1</v>
      </c>
      <c r="I142" s="7">
        <v>0</v>
      </c>
      <c r="J142" s="5">
        <v>45960</v>
      </c>
      <c r="K142" s="1" t="s">
        <v>957</v>
      </c>
      <c r="L142" s="1" t="s">
        <v>30</v>
      </c>
      <c r="M142" s="8">
        <v>0</v>
      </c>
      <c r="N142" s="6"/>
      <c r="O142" s="6"/>
      <c r="P142" s="9">
        <v>-15</v>
      </c>
    </row>
    <row r="143" spans="1:16" ht="19.5" customHeight="1">
      <c r="A143" s="1" t="s">
        <v>1093</v>
      </c>
      <c r="B143" s="5">
        <v>45967</v>
      </c>
      <c r="C143" s="1" t="s">
        <v>28</v>
      </c>
      <c r="D143" s="1" t="s">
        <v>29</v>
      </c>
      <c r="E143" s="1" t="s">
        <v>92</v>
      </c>
      <c r="F143" s="1" t="s">
        <v>93</v>
      </c>
      <c r="G143" s="1" t="s">
        <v>21</v>
      </c>
      <c r="H143" s="6">
        <v>1</v>
      </c>
      <c r="I143" s="7">
        <v>0</v>
      </c>
      <c r="J143" s="5">
        <v>45958</v>
      </c>
      <c r="K143" s="1" t="s">
        <v>957</v>
      </c>
      <c r="L143" s="1" t="s">
        <v>30</v>
      </c>
      <c r="M143" s="8">
        <v>0</v>
      </c>
      <c r="N143" s="6"/>
      <c r="O143" s="6"/>
      <c r="P143" s="9">
        <v>-46</v>
      </c>
    </row>
    <row r="144" spans="1:16" ht="19.5" customHeight="1">
      <c r="A144" s="1" t="s">
        <v>1093</v>
      </c>
      <c r="B144" s="5">
        <v>45967</v>
      </c>
      <c r="C144" s="1" t="s">
        <v>17</v>
      </c>
      <c r="D144" s="1" t="s">
        <v>37</v>
      </c>
      <c r="E144" s="1" t="s">
        <v>92</v>
      </c>
      <c r="F144" s="1" t="s">
        <v>93</v>
      </c>
      <c r="G144" s="1" t="s">
        <v>21</v>
      </c>
      <c r="H144" s="6">
        <v>1</v>
      </c>
      <c r="I144" s="7">
        <v>0</v>
      </c>
      <c r="J144" s="5">
        <v>45958</v>
      </c>
      <c r="K144" s="1" t="s">
        <v>957</v>
      </c>
      <c r="L144" s="1" t="s">
        <v>30</v>
      </c>
      <c r="M144" s="8">
        <v>0</v>
      </c>
      <c r="N144" s="6"/>
      <c r="O144" s="6"/>
      <c r="P144" s="9">
        <v>-4.51</v>
      </c>
    </row>
    <row r="145" spans="1:16" ht="19.5" customHeight="1">
      <c r="A145" s="1" t="s">
        <v>1093</v>
      </c>
      <c r="B145" s="5">
        <v>45967</v>
      </c>
      <c r="C145" s="1" t="s">
        <v>28</v>
      </c>
      <c r="D145" s="1" t="s">
        <v>45</v>
      </c>
      <c r="E145" s="1" t="s">
        <v>92</v>
      </c>
      <c r="F145" s="1" t="s">
        <v>93</v>
      </c>
      <c r="G145" s="1" t="s">
        <v>21</v>
      </c>
      <c r="H145" s="6">
        <v>1</v>
      </c>
      <c r="I145" s="7">
        <v>0</v>
      </c>
      <c r="J145" s="5">
        <v>45958</v>
      </c>
      <c r="K145" s="1" t="s">
        <v>957</v>
      </c>
      <c r="L145" s="1" t="s">
        <v>30</v>
      </c>
      <c r="M145" s="8">
        <v>0</v>
      </c>
      <c r="N145" s="6"/>
      <c r="O145" s="6"/>
      <c r="P145" s="9">
        <v>0</v>
      </c>
    </row>
    <row r="146" spans="1:16" ht="19.5" customHeight="1">
      <c r="A146" s="1" t="s">
        <v>1093</v>
      </c>
      <c r="B146" s="5">
        <v>45967</v>
      </c>
      <c r="C146" s="1" t="s">
        <v>28</v>
      </c>
      <c r="D146" s="1" t="s">
        <v>46</v>
      </c>
      <c r="E146" s="1" t="s">
        <v>92</v>
      </c>
      <c r="F146" s="1" t="s">
        <v>93</v>
      </c>
      <c r="G146" s="1" t="s">
        <v>21</v>
      </c>
      <c r="H146" s="6">
        <v>1</v>
      </c>
      <c r="I146" s="7">
        <v>0</v>
      </c>
      <c r="J146" s="5">
        <v>45958</v>
      </c>
      <c r="K146" s="1" t="s">
        <v>957</v>
      </c>
      <c r="L146" s="1" t="s">
        <v>30</v>
      </c>
      <c r="M146" s="8">
        <v>0</v>
      </c>
      <c r="N146" s="6"/>
      <c r="O146" s="6"/>
      <c r="P146" s="9">
        <v>-46</v>
      </c>
    </row>
    <row r="147" spans="1:16" ht="19.5" customHeight="1">
      <c r="A147" s="1" t="s">
        <v>1093</v>
      </c>
      <c r="B147" s="5">
        <v>45967</v>
      </c>
      <c r="C147" s="1" t="s">
        <v>17</v>
      </c>
      <c r="D147" s="1" t="s">
        <v>47</v>
      </c>
      <c r="E147" s="1" t="s">
        <v>92</v>
      </c>
      <c r="F147" s="1" t="s">
        <v>93</v>
      </c>
      <c r="G147" s="1" t="s">
        <v>21</v>
      </c>
      <c r="H147" s="6">
        <v>1</v>
      </c>
      <c r="I147" s="7">
        <v>0</v>
      </c>
      <c r="J147" s="5">
        <v>45958</v>
      </c>
      <c r="K147" s="1" t="s">
        <v>957</v>
      </c>
      <c r="L147" s="1" t="s">
        <v>30</v>
      </c>
      <c r="M147" s="8">
        <v>0</v>
      </c>
      <c r="N147" s="6"/>
      <c r="O147" s="6"/>
      <c r="P147" s="9">
        <v>-15</v>
      </c>
    </row>
    <row r="148" spans="1:16" ht="19.5" customHeight="1">
      <c r="A148" s="1" t="s">
        <v>22</v>
      </c>
      <c r="B148" s="5">
        <v>45967</v>
      </c>
      <c r="C148" s="1" t="s">
        <v>77</v>
      </c>
      <c r="D148" s="1" t="s">
        <v>78</v>
      </c>
      <c r="E148" s="1" t="s">
        <v>22</v>
      </c>
      <c r="F148" s="1" t="s">
        <v>22</v>
      </c>
      <c r="G148" s="1" t="s">
        <v>1094</v>
      </c>
      <c r="H148" s="6">
        <v>0</v>
      </c>
      <c r="I148" s="7">
        <v>0</v>
      </c>
      <c r="J148" s="5">
        <v>45967</v>
      </c>
      <c r="K148" s="1" t="s">
        <v>22</v>
      </c>
      <c r="L148" s="1" t="s">
        <v>22</v>
      </c>
      <c r="M148" s="8">
        <v>0</v>
      </c>
      <c r="N148" s="6"/>
      <c r="O148" s="6"/>
      <c r="P148" s="9">
        <v>-200</v>
      </c>
    </row>
    <row r="149" spans="1:16" ht="19.5" customHeight="1">
      <c r="A149" s="1" t="s">
        <v>22</v>
      </c>
      <c r="B149" s="5">
        <v>45967</v>
      </c>
      <c r="C149" s="1" t="s">
        <v>77</v>
      </c>
      <c r="D149" s="1" t="s">
        <v>944</v>
      </c>
      <c r="E149" s="1" t="s">
        <v>22</v>
      </c>
      <c r="F149" s="1" t="s">
        <v>22</v>
      </c>
      <c r="G149" s="1" t="s">
        <v>1095</v>
      </c>
      <c r="H149" s="6">
        <v>0</v>
      </c>
      <c r="I149" s="7">
        <v>0</v>
      </c>
      <c r="J149" s="5">
        <v>45967</v>
      </c>
      <c r="K149" s="1" t="s">
        <v>22</v>
      </c>
      <c r="L149" s="1" t="s">
        <v>22</v>
      </c>
      <c r="M149" s="8">
        <v>0</v>
      </c>
      <c r="N149" s="6"/>
      <c r="O149" s="6"/>
      <c r="P149" s="9">
        <v>-819.31</v>
      </c>
    </row>
    <row r="150" spans="1:16" ht="19.5" customHeight="1">
      <c r="A150" s="1" t="s">
        <v>22</v>
      </c>
      <c r="B150" s="5">
        <v>45967</v>
      </c>
      <c r="C150" s="1" t="s">
        <v>77</v>
      </c>
      <c r="D150" s="1" t="s">
        <v>944</v>
      </c>
      <c r="E150" s="1" t="s">
        <v>22</v>
      </c>
      <c r="F150" s="1" t="s">
        <v>22</v>
      </c>
      <c r="G150" s="1" t="s">
        <v>1096</v>
      </c>
      <c r="H150" s="6">
        <v>0</v>
      </c>
      <c r="I150" s="7">
        <v>0</v>
      </c>
      <c r="J150" s="5">
        <v>45967</v>
      </c>
      <c r="K150" s="1" t="s">
        <v>22</v>
      </c>
      <c r="L150" s="1" t="s">
        <v>22</v>
      </c>
      <c r="M150" s="8">
        <v>0</v>
      </c>
      <c r="N150" s="6"/>
      <c r="O150" s="6"/>
      <c r="P150" s="9">
        <v>-216.14</v>
      </c>
    </row>
    <row r="151" spans="1:16" ht="19.5" customHeight="1">
      <c r="A151" s="1" t="s">
        <v>810</v>
      </c>
      <c r="B151" s="5">
        <v>45967</v>
      </c>
      <c r="C151" s="1" t="s">
        <v>77</v>
      </c>
      <c r="D151" s="1" t="s">
        <v>82</v>
      </c>
      <c r="E151" s="1" t="s">
        <v>22</v>
      </c>
      <c r="F151" s="1" t="s">
        <v>22</v>
      </c>
      <c r="G151" s="1" t="s">
        <v>22</v>
      </c>
      <c r="H151" s="6">
        <v>0</v>
      </c>
      <c r="I151" s="7">
        <v>0</v>
      </c>
      <c r="J151" s="5">
        <v>45967</v>
      </c>
      <c r="K151" s="1" t="s">
        <v>22</v>
      </c>
      <c r="L151" s="1" t="s">
        <v>22</v>
      </c>
      <c r="M151" s="8">
        <v>0</v>
      </c>
      <c r="N151" s="6"/>
      <c r="O151" s="6"/>
      <c r="P151" s="9">
        <v>-891.16</v>
      </c>
    </row>
    <row r="152" spans="1:16" ht="19.5" customHeight="1">
      <c r="A152" s="1" t="s">
        <v>1075</v>
      </c>
      <c r="B152" s="5">
        <v>45967</v>
      </c>
      <c r="C152" s="1" t="s">
        <v>77</v>
      </c>
      <c r="D152" s="1" t="s">
        <v>82</v>
      </c>
      <c r="E152" s="1" t="s">
        <v>22</v>
      </c>
      <c r="F152" s="1" t="s">
        <v>22</v>
      </c>
      <c r="G152" s="1" t="s">
        <v>22</v>
      </c>
      <c r="H152" s="6">
        <v>0</v>
      </c>
      <c r="I152" s="7">
        <v>0</v>
      </c>
      <c r="J152" s="5">
        <v>45967</v>
      </c>
      <c r="K152" s="1" t="s">
        <v>22</v>
      </c>
      <c r="L152" s="1" t="s">
        <v>22</v>
      </c>
      <c r="M152" s="8">
        <v>0</v>
      </c>
      <c r="N152" s="6"/>
      <c r="O152" s="6"/>
      <c r="P152" s="9">
        <v>-505.79</v>
      </c>
    </row>
    <row r="153" spans="1:16" ht="19.5" customHeight="1">
      <c r="A153" s="1" t="s">
        <v>1097</v>
      </c>
      <c r="B153" s="5">
        <v>45967</v>
      </c>
      <c r="C153" s="1" t="s">
        <v>77</v>
      </c>
      <c r="D153" s="1" t="s">
        <v>82</v>
      </c>
      <c r="E153" s="1" t="s">
        <v>22</v>
      </c>
      <c r="F153" s="1" t="s">
        <v>22</v>
      </c>
      <c r="G153" s="1" t="s">
        <v>22</v>
      </c>
      <c r="H153" s="6">
        <v>0</v>
      </c>
      <c r="I153" s="7">
        <v>0</v>
      </c>
      <c r="J153" s="5">
        <v>45967</v>
      </c>
      <c r="K153" s="1" t="s">
        <v>22</v>
      </c>
      <c r="L153" s="1" t="s">
        <v>22</v>
      </c>
      <c r="M153" s="8">
        <v>0</v>
      </c>
      <c r="N153" s="6"/>
      <c r="O153" s="6"/>
      <c r="P153" s="9">
        <v>-44.04</v>
      </c>
    </row>
    <row r="154" spans="1:16" ht="19.5" customHeight="1">
      <c r="A154" s="1" t="s">
        <v>1098</v>
      </c>
      <c r="B154" s="5">
        <v>45968</v>
      </c>
      <c r="C154" s="1" t="s">
        <v>28</v>
      </c>
      <c r="D154" s="1" t="s">
        <v>29</v>
      </c>
      <c r="E154" s="1" t="s">
        <v>223</v>
      </c>
      <c r="F154" s="1" t="s">
        <v>395</v>
      </c>
      <c r="G154" s="1" t="s">
        <v>21</v>
      </c>
      <c r="H154" s="6">
        <v>1</v>
      </c>
      <c r="I154" s="7">
        <v>1336</v>
      </c>
      <c r="J154" s="5">
        <v>45965</v>
      </c>
      <c r="K154" s="1" t="s">
        <v>957</v>
      </c>
      <c r="L154" s="1" t="s">
        <v>30</v>
      </c>
      <c r="M154" s="8">
        <v>0.38</v>
      </c>
      <c r="N154" s="6"/>
      <c r="O154" s="6"/>
      <c r="P154" s="9">
        <v>-46</v>
      </c>
    </row>
    <row r="155" spans="1:16" ht="19.5" customHeight="1">
      <c r="A155" s="1" t="s">
        <v>1098</v>
      </c>
      <c r="B155" s="5">
        <v>45968</v>
      </c>
      <c r="C155" s="1" t="s">
        <v>31</v>
      </c>
      <c r="D155" s="1" t="s">
        <v>32</v>
      </c>
      <c r="E155" s="1" t="s">
        <v>223</v>
      </c>
      <c r="F155" s="1" t="s">
        <v>395</v>
      </c>
      <c r="G155" s="1" t="s">
        <v>21</v>
      </c>
      <c r="H155" s="6">
        <v>1</v>
      </c>
      <c r="I155" s="7">
        <v>1336</v>
      </c>
      <c r="J155" s="5">
        <v>45965</v>
      </c>
      <c r="K155" s="1" t="s">
        <v>957</v>
      </c>
      <c r="L155" s="1" t="s">
        <v>30</v>
      </c>
      <c r="M155" s="8">
        <v>0</v>
      </c>
      <c r="N155" s="6"/>
      <c r="O155" s="6"/>
      <c r="P155" s="9">
        <v>740</v>
      </c>
    </row>
    <row r="156" spans="1:16" ht="19.5" customHeight="1">
      <c r="A156" s="1" t="s">
        <v>1098</v>
      </c>
      <c r="B156" s="5">
        <v>45968</v>
      </c>
      <c r="C156" s="1" t="s">
        <v>31</v>
      </c>
      <c r="D156" s="1" t="s">
        <v>33</v>
      </c>
      <c r="E156" s="1" t="s">
        <v>223</v>
      </c>
      <c r="F156" s="1" t="s">
        <v>395</v>
      </c>
      <c r="G156" s="1" t="s">
        <v>21</v>
      </c>
      <c r="H156" s="6">
        <v>1</v>
      </c>
      <c r="I156" s="7">
        <v>1336</v>
      </c>
      <c r="J156" s="5">
        <v>45965</v>
      </c>
      <c r="K156" s="1" t="s">
        <v>957</v>
      </c>
      <c r="L156" s="1" t="s">
        <v>30</v>
      </c>
      <c r="M156" s="8">
        <v>0</v>
      </c>
      <c r="N156" s="6"/>
      <c r="O156" s="6"/>
      <c r="P156" s="9">
        <v>7.4</v>
      </c>
    </row>
    <row r="157" spans="1:16" ht="19.5" customHeight="1">
      <c r="A157" s="1" t="s">
        <v>1098</v>
      </c>
      <c r="B157" s="5">
        <v>45968</v>
      </c>
      <c r="C157" s="1" t="s">
        <v>31</v>
      </c>
      <c r="D157" s="1" t="s">
        <v>34</v>
      </c>
      <c r="E157" s="1" t="s">
        <v>223</v>
      </c>
      <c r="F157" s="1" t="s">
        <v>395</v>
      </c>
      <c r="G157" s="1" t="s">
        <v>21</v>
      </c>
      <c r="H157" s="6">
        <v>1</v>
      </c>
      <c r="I157" s="7">
        <v>1336</v>
      </c>
      <c r="J157" s="5">
        <v>45965</v>
      </c>
      <c r="K157" s="1" t="s">
        <v>957</v>
      </c>
      <c r="L157" s="1" t="s">
        <v>30</v>
      </c>
      <c r="M157" s="8">
        <v>0</v>
      </c>
      <c r="N157" s="6"/>
      <c r="O157" s="6"/>
      <c r="P157" s="9">
        <v>588.6</v>
      </c>
    </row>
    <row r="158" spans="1:16" ht="19.5" customHeight="1">
      <c r="A158" s="1" t="s">
        <v>1098</v>
      </c>
      <c r="B158" s="5">
        <v>45968</v>
      </c>
      <c r="C158" s="1" t="s">
        <v>35</v>
      </c>
      <c r="D158" s="1" t="s">
        <v>36</v>
      </c>
      <c r="E158" s="1" t="s">
        <v>223</v>
      </c>
      <c r="F158" s="1" t="s">
        <v>395</v>
      </c>
      <c r="G158" s="1" t="s">
        <v>21</v>
      </c>
      <c r="H158" s="6">
        <v>1</v>
      </c>
      <c r="I158" s="7">
        <v>1336</v>
      </c>
      <c r="J158" s="5">
        <v>45965</v>
      </c>
      <c r="K158" s="1" t="s">
        <v>957</v>
      </c>
      <c r="L158" s="1" t="s">
        <v>30</v>
      </c>
      <c r="M158" s="8">
        <v>0.38</v>
      </c>
      <c r="N158" s="6"/>
      <c r="O158" s="6"/>
      <c r="P158" s="9">
        <v>-507.68</v>
      </c>
    </row>
    <row r="159" spans="1:16" ht="19.5" customHeight="1">
      <c r="A159" s="1" t="s">
        <v>1098</v>
      </c>
      <c r="B159" s="5">
        <v>45968</v>
      </c>
      <c r="C159" s="1" t="s">
        <v>17</v>
      </c>
      <c r="D159" s="1" t="s">
        <v>37</v>
      </c>
      <c r="E159" s="1" t="s">
        <v>223</v>
      </c>
      <c r="F159" s="1" t="s">
        <v>395</v>
      </c>
      <c r="G159" s="1" t="s">
        <v>21</v>
      </c>
      <c r="H159" s="6">
        <v>1</v>
      </c>
      <c r="I159" s="7">
        <v>1336</v>
      </c>
      <c r="J159" s="5">
        <v>45965</v>
      </c>
      <c r="K159" s="1" t="s">
        <v>957</v>
      </c>
      <c r="L159" s="1" t="s">
        <v>30</v>
      </c>
      <c r="M159" s="8">
        <v>0.38</v>
      </c>
      <c r="N159" s="6"/>
      <c r="O159" s="6"/>
      <c r="P159" s="9">
        <v>-8.09</v>
      </c>
    </row>
    <row r="160" spans="1:16" ht="19.5" customHeight="1">
      <c r="A160" s="1" t="s">
        <v>1098</v>
      </c>
      <c r="B160" s="5">
        <v>45968</v>
      </c>
      <c r="C160" s="1" t="s">
        <v>17</v>
      </c>
      <c r="D160" s="1" t="s">
        <v>18</v>
      </c>
      <c r="E160" s="1" t="s">
        <v>223</v>
      </c>
      <c r="F160" s="1" t="s">
        <v>395</v>
      </c>
      <c r="G160" s="1" t="s">
        <v>21</v>
      </c>
      <c r="H160" s="6">
        <v>1</v>
      </c>
      <c r="I160" s="7">
        <v>0</v>
      </c>
      <c r="J160" s="5">
        <v>45965</v>
      </c>
      <c r="K160" s="1" t="s">
        <v>22</v>
      </c>
      <c r="L160" s="1" t="s">
        <v>22</v>
      </c>
      <c r="M160" s="8">
        <v>0</v>
      </c>
      <c r="N160" s="6"/>
      <c r="O160" s="6"/>
      <c r="P160" s="9">
        <v>-14.06</v>
      </c>
    </row>
    <row r="161" spans="1:16" ht="19.5" customHeight="1">
      <c r="A161" s="1" t="s">
        <v>22</v>
      </c>
      <c r="B161" s="5">
        <v>45968</v>
      </c>
      <c r="C161" s="1" t="s">
        <v>77</v>
      </c>
      <c r="D161" s="1" t="s">
        <v>78</v>
      </c>
      <c r="E161" s="1" t="s">
        <v>22</v>
      </c>
      <c r="F161" s="1" t="s">
        <v>22</v>
      </c>
      <c r="G161" s="1" t="s">
        <v>1099</v>
      </c>
      <c r="H161" s="6">
        <v>0</v>
      </c>
      <c r="I161" s="7">
        <v>0</v>
      </c>
      <c r="J161" s="5">
        <v>45968</v>
      </c>
      <c r="K161" s="1" t="s">
        <v>22</v>
      </c>
      <c r="L161" s="1" t="s">
        <v>22</v>
      </c>
      <c r="M161" s="8">
        <v>0</v>
      </c>
      <c r="N161" s="6"/>
      <c r="O161" s="6"/>
      <c r="P161" s="9">
        <v>-200</v>
      </c>
    </row>
    <row r="162" spans="1:16" ht="19.5" customHeight="1">
      <c r="A162" s="1" t="s">
        <v>1100</v>
      </c>
      <c r="B162" s="5">
        <v>45968</v>
      </c>
      <c r="C162" s="1" t="s">
        <v>28</v>
      </c>
      <c r="D162" s="1" t="s">
        <v>29</v>
      </c>
      <c r="E162" s="1" t="s">
        <v>242</v>
      </c>
      <c r="F162" s="1" t="s">
        <v>1101</v>
      </c>
      <c r="G162" s="1" t="s">
        <v>959</v>
      </c>
      <c r="H162" s="6">
        <v>1</v>
      </c>
      <c r="I162" s="7">
        <v>4549</v>
      </c>
      <c r="J162" s="5">
        <v>45967</v>
      </c>
      <c r="K162" s="1" t="s">
        <v>957</v>
      </c>
      <c r="L162" s="1" t="s">
        <v>30</v>
      </c>
      <c r="M162" s="8">
        <v>0.38</v>
      </c>
      <c r="N162" s="6"/>
      <c r="O162" s="6"/>
      <c r="P162" s="9">
        <v>-56</v>
      </c>
    </row>
    <row r="163" spans="1:16" ht="19.5" customHeight="1">
      <c r="A163" s="1" t="s">
        <v>1100</v>
      </c>
      <c r="B163" s="5">
        <v>45968</v>
      </c>
      <c r="C163" s="1" t="s">
        <v>31</v>
      </c>
      <c r="D163" s="1" t="s">
        <v>32</v>
      </c>
      <c r="E163" s="1" t="s">
        <v>242</v>
      </c>
      <c r="F163" s="1" t="s">
        <v>1101</v>
      </c>
      <c r="G163" s="1" t="s">
        <v>959</v>
      </c>
      <c r="H163" s="6">
        <v>1</v>
      </c>
      <c r="I163" s="7">
        <v>4549</v>
      </c>
      <c r="J163" s="5">
        <v>45967</v>
      </c>
      <c r="K163" s="1" t="s">
        <v>957</v>
      </c>
      <c r="L163" s="1" t="s">
        <v>30</v>
      </c>
      <c r="M163" s="8">
        <v>0</v>
      </c>
      <c r="N163" s="6"/>
      <c r="O163" s="6"/>
      <c r="P163" s="9">
        <v>2522.27</v>
      </c>
    </row>
    <row r="164" spans="1:16" ht="19.5" customHeight="1">
      <c r="A164" s="1" t="s">
        <v>1100</v>
      </c>
      <c r="B164" s="5">
        <v>45968</v>
      </c>
      <c r="C164" s="1" t="s">
        <v>31</v>
      </c>
      <c r="D164" s="1" t="s">
        <v>33</v>
      </c>
      <c r="E164" s="1" t="s">
        <v>242</v>
      </c>
      <c r="F164" s="1" t="s">
        <v>1101</v>
      </c>
      <c r="G164" s="1" t="s">
        <v>959</v>
      </c>
      <c r="H164" s="6">
        <v>1</v>
      </c>
      <c r="I164" s="7">
        <v>4549</v>
      </c>
      <c r="J164" s="5">
        <v>45967</v>
      </c>
      <c r="K164" s="1" t="s">
        <v>957</v>
      </c>
      <c r="L164" s="1" t="s">
        <v>30</v>
      </c>
      <c r="M164" s="8">
        <v>0</v>
      </c>
      <c r="N164" s="6"/>
      <c r="O164" s="6"/>
      <c r="P164" s="9">
        <v>0</v>
      </c>
    </row>
    <row r="165" spans="1:16" ht="19.5" customHeight="1">
      <c r="A165" s="1" t="s">
        <v>1100</v>
      </c>
      <c r="B165" s="5">
        <v>45968</v>
      </c>
      <c r="C165" s="1" t="s">
        <v>31</v>
      </c>
      <c r="D165" s="1" t="s">
        <v>34</v>
      </c>
      <c r="E165" s="1" t="s">
        <v>242</v>
      </c>
      <c r="F165" s="1" t="s">
        <v>1101</v>
      </c>
      <c r="G165" s="1" t="s">
        <v>959</v>
      </c>
      <c r="H165" s="6">
        <v>1</v>
      </c>
      <c r="I165" s="7">
        <v>4549</v>
      </c>
      <c r="J165" s="5">
        <v>45967</v>
      </c>
      <c r="K165" s="1" t="s">
        <v>957</v>
      </c>
      <c r="L165" s="1" t="s">
        <v>30</v>
      </c>
      <c r="M165" s="8">
        <v>0</v>
      </c>
      <c r="N165" s="6"/>
      <c r="O165" s="6"/>
      <c r="P165" s="9">
        <v>2026.73</v>
      </c>
    </row>
    <row r="166" spans="1:16" ht="19.5" customHeight="1">
      <c r="A166" s="1" t="s">
        <v>1100</v>
      </c>
      <c r="B166" s="5">
        <v>45968</v>
      </c>
      <c r="C166" s="1" t="s">
        <v>35</v>
      </c>
      <c r="D166" s="1" t="s">
        <v>36</v>
      </c>
      <c r="E166" s="1" t="s">
        <v>242</v>
      </c>
      <c r="F166" s="1" t="s">
        <v>1101</v>
      </c>
      <c r="G166" s="1" t="s">
        <v>959</v>
      </c>
      <c r="H166" s="6">
        <v>1</v>
      </c>
      <c r="I166" s="7">
        <v>4549</v>
      </c>
      <c r="J166" s="5">
        <v>45967</v>
      </c>
      <c r="K166" s="1" t="s">
        <v>957</v>
      </c>
      <c r="L166" s="1" t="s">
        <v>30</v>
      </c>
      <c r="M166" s="8">
        <v>0.38</v>
      </c>
      <c r="N166" s="6"/>
      <c r="O166" s="6"/>
      <c r="P166" s="9">
        <v>-1728.62</v>
      </c>
    </row>
    <row r="167" spans="1:16" ht="19.5" customHeight="1">
      <c r="A167" s="1" t="s">
        <v>1100</v>
      </c>
      <c r="B167" s="5">
        <v>45968</v>
      </c>
      <c r="C167" s="1" t="s">
        <v>17</v>
      </c>
      <c r="D167" s="1" t="s">
        <v>37</v>
      </c>
      <c r="E167" s="1" t="s">
        <v>242</v>
      </c>
      <c r="F167" s="1" t="s">
        <v>1101</v>
      </c>
      <c r="G167" s="1" t="s">
        <v>959</v>
      </c>
      <c r="H167" s="6">
        <v>1</v>
      </c>
      <c r="I167" s="7">
        <v>4549</v>
      </c>
      <c r="J167" s="5">
        <v>45967</v>
      </c>
      <c r="K167" s="1" t="s">
        <v>957</v>
      </c>
      <c r="L167" s="1" t="s">
        <v>30</v>
      </c>
      <c r="M167" s="8">
        <v>0.38</v>
      </c>
      <c r="N167" s="6"/>
      <c r="O167" s="6"/>
      <c r="P167" s="9">
        <v>-11.45</v>
      </c>
    </row>
    <row r="168" spans="1:16" ht="19.5" customHeight="1">
      <c r="A168" s="1" t="s">
        <v>1102</v>
      </c>
      <c r="B168" s="5">
        <v>45968</v>
      </c>
      <c r="C168" s="1" t="s">
        <v>28</v>
      </c>
      <c r="D168" s="1" t="s">
        <v>29</v>
      </c>
      <c r="E168" s="1" t="s">
        <v>43</v>
      </c>
      <c r="F168" s="1" t="s">
        <v>44</v>
      </c>
      <c r="G168" s="1" t="s">
        <v>959</v>
      </c>
      <c r="H168" s="6">
        <v>1</v>
      </c>
      <c r="I168" s="7">
        <v>5500</v>
      </c>
      <c r="J168" s="5">
        <v>45967</v>
      </c>
      <c r="K168" s="1" t="s">
        <v>957</v>
      </c>
      <c r="L168" s="1" t="s">
        <v>30</v>
      </c>
      <c r="M168" s="8">
        <v>0.38</v>
      </c>
      <c r="N168" s="6"/>
      <c r="O168" s="6"/>
      <c r="P168" s="9">
        <v>-56</v>
      </c>
    </row>
    <row r="169" spans="1:16" ht="19.5" customHeight="1">
      <c r="A169" s="1" t="s">
        <v>1102</v>
      </c>
      <c r="B169" s="5">
        <v>45968</v>
      </c>
      <c r="C169" s="1" t="s">
        <v>31</v>
      </c>
      <c r="D169" s="1" t="s">
        <v>32</v>
      </c>
      <c r="E169" s="1" t="s">
        <v>43</v>
      </c>
      <c r="F169" s="1" t="s">
        <v>44</v>
      </c>
      <c r="G169" s="1" t="s">
        <v>959</v>
      </c>
      <c r="H169" s="6">
        <v>1</v>
      </c>
      <c r="I169" s="7">
        <v>5500</v>
      </c>
      <c r="J169" s="5">
        <v>45967</v>
      </c>
      <c r="K169" s="1" t="s">
        <v>957</v>
      </c>
      <c r="L169" s="1" t="s">
        <v>30</v>
      </c>
      <c r="M169" s="8">
        <v>0</v>
      </c>
      <c r="N169" s="6"/>
      <c r="O169" s="6"/>
      <c r="P169" s="9">
        <v>2908.06</v>
      </c>
    </row>
    <row r="170" spans="1:16" ht="19.5" customHeight="1">
      <c r="A170" s="1" t="s">
        <v>1102</v>
      </c>
      <c r="B170" s="5">
        <v>45968</v>
      </c>
      <c r="C170" s="1" t="s">
        <v>31</v>
      </c>
      <c r="D170" s="1" t="s">
        <v>33</v>
      </c>
      <c r="E170" s="1" t="s">
        <v>43</v>
      </c>
      <c r="F170" s="1" t="s">
        <v>44</v>
      </c>
      <c r="G170" s="1" t="s">
        <v>959</v>
      </c>
      <c r="H170" s="6">
        <v>1</v>
      </c>
      <c r="I170" s="7">
        <v>5500</v>
      </c>
      <c r="J170" s="5">
        <v>45967</v>
      </c>
      <c r="K170" s="1" t="s">
        <v>957</v>
      </c>
      <c r="L170" s="1" t="s">
        <v>30</v>
      </c>
      <c r="M170" s="8">
        <v>0</v>
      </c>
      <c r="N170" s="6"/>
      <c r="O170" s="6"/>
      <c r="P170" s="9">
        <v>0</v>
      </c>
    </row>
    <row r="171" spans="1:16" ht="19.5" customHeight="1">
      <c r="A171" s="1" t="s">
        <v>1102</v>
      </c>
      <c r="B171" s="5">
        <v>45968</v>
      </c>
      <c r="C171" s="1" t="s">
        <v>31</v>
      </c>
      <c r="D171" s="1" t="s">
        <v>34</v>
      </c>
      <c r="E171" s="1" t="s">
        <v>43</v>
      </c>
      <c r="F171" s="1" t="s">
        <v>44</v>
      </c>
      <c r="G171" s="1" t="s">
        <v>959</v>
      </c>
      <c r="H171" s="6">
        <v>1</v>
      </c>
      <c r="I171" s="7">
        <v>5500</v>
      </c>
      <c r="J171" s="5">
        <v>45967</v>
      </c>
      <c r="K171" s="1" t="s">
        <v>957</v>
      </c>
      <c r="L171" s="1" t="s">
        <v>30</v>
      </c>
      <c r="M171" s="8">
        <v>0</v>
      </c>
      <c r="N171" s="6"/>
      <c r="O171" s="6"/>
      <c r="P171" s="9">
        <v>2591.94</v>
      </c>
    </row>
    <row r="172" spans="1:16" ht="19.5" customHeight="1">
      <c r="A172" s="1" t="s">
        <v>1102</v>
      </c>
      <c r="B172" s="5">
        <v>45968</v>
      </c>
      <c r="C172" s="1" t="s">
        <v>35</v>
      </c>
      <c r="D172" s="1" t="s">
        <v>36</v>
      </c>
      <c r="E172" s="1" t="s">
        <v>43</v>
      </c>
      <c r="F172" s="1" t="s">
        <v>44</v>
      </c>
      <c r="G172" s="1" t="s">
        <v>959</v>
      </c>
      <c r="H172" s="6">
        <v>1</v>
      </c>
      <c r="I172" s="7">
        <v>5500</v>
      </c>
      <c r="J172" s="5">
        <v>45967</v>
      </c>
      <c r="K172" s="1" t="s">
        <v>957</v>
      </c>
      <c r="L172" s="1" t="s">
        <v>30</v>
      </c>
      <c r="M172" s="8">
        <v>0.38</v>
      </c>
      <c r="N172" s="6"/>
      <c r="O172" s="6"/>
      <c r="P172" s="9">
        <v>-2090</v>
      </c>
    </row>
    <row r="173" spans="1:16" ht="19.5" customHeight="1">
      <c r="A173" s="1" t="s">
        <v>1102</v>
      </c>
      <c r="B173" s="5">
        <v>45968</v>
      </c>
      <c r="C173" s="1" t="s">
        <v>17</v>
      </c>
      <c r="D173" s="1" t="s">
        <v>37</v>
      </c>
      <c r="E173" s="1" t="s">
        <v>43</v>
      </c>
      <c r="F173" s="1" t="s">
        <v>44</v>
      </c>
      <c r="G173" s="1" t="s">
        <v>959</v>
      </c>
      <c r="H173" s="6">
        <v>1</v>
      </c>
      <c r="I173" s="7">
        <v>5500</v>
      </c>
      <c r="J173" s="5">
        <v>45967</v>
      </c>
      <c r="K173" s="1" t="s">
        <v>957</v>
      </c>
      <c r="L173" s="1" t="s">
        <v>30</v>
      </c>
      <c r="M173" s="8">
        <v>0.38</v>
      </c>
      <c r="N173" s="6"/>
      <c r="O173" s="6"/>
      <c r="P173" s="9">
        <v>-11.45</v>
      </c>
    </row>
    <row r="174" spans="1:16" ht="19.5" customHeight="1">
      <c r="A174" s="1" t="s">
        <v>1103</v>
      </c>
      <c r="B174" s="5">
        <v>45968</v>
      </c>
      <c r="C174" s="1" t="s">
        <v>17</v>
      </c>
      <c r="D174" s="1" t="s">
        <v>18</v>
      </c>
      <c r="E174" s="1" t="s">
        <v>25</v>
      </c>
      <c r="F174" s="1" t="s">
        <v>26</v>
      </c>
      <c r="G174" s="1" t="s">
        <v>21</v>
      </c>
      <c r="H174" s="6">
        <v>1</v>
      </c>
      <c r="I174" s="7">
        <v>0</v>
      </c>
      <c r="J174" s="5">
        <v>45968</v>
      </c>
      <c r="K174" s="1" t="s">
        <v>22</v>
      </c>
      <c r="L174" s="1" t="s">
        <v>22</v>
      </c>
      <c r="M174" s="8">
        <v>0</v>
      </c>
      <c r="N174" s="6"/>
      <c r="O174" s="6"/>
      <c r="P174" s="9">
        <v>-18.190000000000001</v>
      </c>
    </row>
    <row r="175" spans="1:16" ht="19.5" customHeight="1">
      <c r="A175" s="1" t="s">
        <v>1100</v>
      </c>
      <c r="B175" s="5">
        <v>45968</v>
      </c>
      <c r="C175" s="1" t="s">
        <v>17</v>
      </c>
      <c r="D175" s="1" t="s">
        <v>18</v>
      </c>
      <c r="E175" s="1" t="s">
        <v>242</v>
      </c>
      <c r="F175" s="1" t="s">
        <v>1101</v>
      </c>
      <c r="G175" s="1" t="s">
        <v>959</v>
      </c>
      <c r="H175" s="6">
        <v>1</v>
      </c>
      <c r="I175" s="7">
        <v>0</v>
      </c>
      <c r="J175" s="5">
        <v>45967</v>
      </c>
      <c r="K175" s="1" t="s">
        <v>22</v>
      </c>
      <c r="L175" s="1" t="s">
        <v>22</v>
      </c>
      <c r="M175" s="8">
        <v>0</v>
      </c>
      <c r="N175" s="6"/>
      <c r="O175" s="6"/>
      <c r="P175" s="9">
        <v>-17.149999999999999</v>
      </c>
    </row>
    <row r="176" spans="1:16" ht="19.5" customHeight="1">
      <c r="A176" s="1" t="s">
        <v>1102</v>
      </c>
      <c r="B176" s="5">
        <v>45968</v>
      </c>
      <c r="C176" s="1" t="s">
        <v>17</v>
      </c>
      <c r="D176" s="1" t="s">
        <v>18</v>
      </c>
      <c r="E176" s="1" t="s">
        <v>43</v>
      </c>
      <c r="F176" s="1" t="s">
        <v>44</v>
      </c>
      <c r="G176" s="1" t="s">
        <v>959</v>
      </c>
      <c r="H176" s="6">
        <v>1</v>
      </c>
      <c r="I176" s="7">
        <v>0</v>
      </c>
      <c r="J176" s="5">
        <v>45967</v>
      </c>
      <c r="K176" s="1" t="s">
        <v>22</v>
      </c>
      <c r="L176" s="1" t="s">
        <v>22</v>
      </c>
      <c r="M176" s="8">
        <v>0</v>
      </c>
      <c r="N176" s="6"/>
      <c r="O176" s="6"/>
      <c r="P176" s="9">
        <v>-19.77</v>
      </c>
    </row>
    <row r="177" spans="1:16" ht="19.5" customHeight="1">
      <c r="A177" s="1" t="s">
        <v>1104</v>
      </c>
      <c r="B177" s="5">
        <v>45968</v>
      </c>
      <c r="C177" s="1" t="s">
        <v>28</v>
      </c>
      <c r="D177" s="1" t="s">
        <v>45</v>
      </c>
      <c r="E177" s="1" t="s">
        <v>235</v>
      </c>
      <c r="F177" s="1" t="s">
        <v>528</v>
      </c>
      <c r="G177" s="1" t="s">
        <v>959</v>
      </c>
      <c r="H177" s="6">
        <v>1</v>
      </c>
      <c r="I177" s="7">
        <v>0</v>
      </c>
      <c r="J177" s="5">
        <v>45963</v>
      </c>
      <c r="K177" s="1" t="s">
        <v>957</v>
      </c>
      <c r="L177" s="1" t="s">
        <v>30</v>
      </c>
      <c r="M177" s="8">
        <v>0</v>
      </c>
      <c r="N177" s="6"/>
      <c r="O177" s="6"/>
      <c r="P177" s="9">
        <v>0</v>
      </c>
    </row>
    <row r="178" spans="1:16" ht="19.5" customHeight="1">
      <c r="A178" s="1" t="s">
        <v>1104</v>
      </c>
      <c r="B178" s="5">
        <v>45968</v>
      </c>
      <c r="C178" s="1" t="s">
        <v>28</v>
      </c>
      <c r="D178" s="1" t="s">
        <v>46</v>
      </c>
      <c r="E178" s="1" t="s">
        <v>235</v>
      </c>
      <c r="F178" s="1" t="s">
        <v>528</v>
      </c>
      <c r="G178" s="1" t="s">
        <v>959</v>
      </c>
      <c r="H178" s="6">
        <v>1</v>
      </c>
      <c r="I178" s="7">
        <v>0</v>
      </c>
      <c r="J178" s="5">
        <v>45963</v>
      </c>
      <c r="K178" s="1" t="s">
        <v>957</v>
      </c>
      <c r="L178" s="1" t="s">
        <v>30</v>
      </c>
      <c r="M178" s="8">
        <v>0</v>
      </c>
      <c r="N178" s="6"/>
      <c r="O178" s="6"/>
      <c r="P178" s="9">
        <v>-56</v>
      </c>
    </row>
    <row r="179" spans="1:16" ht="19.5" customHeight="1">
      <c r="A179" s="1" t="s">
        <v>1104</v>
      </c>
      <c r="B179" s="5">
        <v>45968</v>
      </c>
      <c r="C179" s="1" t="s">
        <v>17</v>
      </c>
      <c r="D179" s="1" t="s">
        <v>47</v>
      </c>
      <c r="E179" s="1" t="s">
        <v>235</v>
      </c>
      <c r="F179" s="1" t="s">
        <v>528</v>
      </c>
      <c r="G179" s="1" t="s">
        <v>959</v>
      </c>
      <c r="H179" s="6">
        <v>1</v>
      </c>
      <c r="I179" s="7">
        <v>0</v>
      </c>
      <c r="J179" s="5">
        <v>45963</v>
      </c>
      <c r="K179" s="1" t="s">
        <v>957</v>
      </c>
      <c r="L179" s="1" t="s">
        <v>30</v>
      </c>
      <c r="M179" s="8">
        <v>0</v>
      </c>
      <c r="N179" s="6"/>
      <c r="O179" s="6"/>
      <c r="P179" s="9">
        <v>-15</v>
      </c>
    </row>
    <row r="180" spans="1:16" ht="19.5" customHeight="1">
      <c r="A180" s="1" t="s">
        <v>1104</v>
      </c>
      <c r="B180" s="5">
        <v>45968</v>
      </c>
      <c r="C180" s="1" t="s">
        <v>28</v>
      </c>
      <c r="D180" s="1" t="s">
        <v>29</v>
      </c>
      <c r="E180" s="1" t="s">
        <v>235</v>
      </c>
      <c r="F180" s="1" t="s">
        <v>528</v>
      </c>
      <c r="G180" s="1" t="s">
        <v>959</v>
      </c>
      <c r="H180" s="6">
        <v>1</v>
      </c>
      <c r="I180" s="7">
        <v>0</v>
      </c>
      <c r="J180" s="5">
        <v>45963</v>
      </c>
      <c r="K180" s="1" t="s">
        <v>957</v>
      </c>
      <c r="L180" s="1" t="s">
        <v>30</v>
      </c>
      <c r="M180" s="8">
        <v>0</v>
      </c>
      <c r="N180" s="6"/>
      <c r="O180" s="6"/>
      <c r="P180" s="9">
        <v>-56</v>
      </c>
    </row>
    <row r="181" spans="1:16" ht="19.5" customHeight="1">
      <c r="A181" s="1" t="s">
        <v>1104</v>
      </c>
      <c r="B181" s="5">
        <v>45968</v>
      </c>
      <c r="C181" s="1" t="s">
        <v>17</v>
      </c>
      <c r="D181" s="1" t="s">
        <v>37</v>
      </c>
      <c r="E181" s="1" t="s">
        <v>235</v>
      </c>
      <c r="F181" s="1" t="s">
        <v>528</v>
      </c>
      <c r="G181" s="1" t="s">
        <v>959</v>
      </c>
      <c r="H181" s="6">
        <v>1</v>
      </c>
      <c r="I181" s="7">
        <v>0</v>
      </c>
      <c r="J181" s="5">
        <v>45963</v>
      </c>
      <c r="K181" s="1" t="s">
        <v>957</v>
      </c>
      <c r="L181" s="1" t="s">
        <v>30</v>
      </c>
      <c r="M181" s="8">
        <v>0</v>
      </c>
      <c r="N181" s="6"/>
      <c r="O181" s="6"/>
      <c r="P181" s="9">
        <v>-12.54</v>
      </c>
    </row>
    <row r="182" spans="1:16" ht="19.5" customHeight="1">
      <c r="A182" s="1" t="s">
        <v>83</v>
      </c>
      <c r="B182" s="5">
        <v>45968</v>
      </c>
      <c r="C182" s="1" t="s">
        <v>77</v>
      </c>
      <c r="D182" s="1" t="s">
        <v>84</v>
      </c>
      <c r="E182" s="1" t="s">
        <v>22</v>
      </c>
      <c r="F182" s="1" t="s">
        <v>22</v>
      </c>
      <c r="G182" s="1" t="s">
        <v>22</v>
      </c>
      <c r="H182" s="6">
        <v>0</v>
      </c>
      <c r="I182" s="7">
        <v>0</v>
      </c>
      <c r="J182" s="5">
        <v>45968</v>
      </c>
      <c r="K182" s="1" t="s">
        <v>22</v>
      </c>
      <c r="L182" s="1" t="s">
        <v>22</v>
      </c>
      <c r="M182" s="8">
        <v>0</v>
      </c>
      <c r="N182" s="6"/>
      <c r="O182" s="6"/>
      <c r="P182" s="9">
        <v>-533.34</v>
      </c>
    </row>
    <row r="183" spans="1:16" ht="19.5" customHeight="1">
      <c r="A183" s="1" t="s">
        <v>810</v>
      </c>
      <c r="B183" s="5">
        <v>45968</v>
      </c>
      <c r="C183" s="1" t="s">
        <v>77</v>
      </c>
      <c r="D183" s="1" t="s">
        <v>82</v>
      </c>
      <c r="E183" s="1" t="s">
        <v>22</v>
      </c>
      <c r="F183" s="1" t="s">
        <v>22</v>
      </c>
      <c r="G183" s="1" t="s">
        <v>22</v>
      </c>
      <c r="H183" s="6">
        <v>0</v>
      </c>
      <c r="I183" s="7">
        <v>0</v>
      </c>
      <c r="J183" s="5">
        <v>45968</v>
      </c>
      <c r="K183" s="1" t="s">
        <v>22</v>
      </c>
      <c r="L183" s="1" t="s">
        <v>22</v>
      </c>
      <c r="M183" s="8">
        <v>0</v>
      </c>
      <c r="N183" s="6"/>
      <c r="O183" s="6"/>
      <c r="P183" s="9">
        <v>-210.49</v>
      </c>
    </row>
    <row r="184" spans="1:16" ht="19.5" customHeight="1">
      <c r="A184" s="1" t="s">
        <v>1075</v>
      </c>
      <c r="B184" s="5">
        <v>45968</v>
      </c>
      <c r="C184" s="1" t="s">
        <v>77</v>
      </c>
      <c r="D184" s="1" t="s">
        <v>82</v>
      </c>
      <c r="E184" s="1" t="s">
        <v>22</v>
      </c>
      <c r="F184" s="1" t="s">
        <v>22</v>
      </c>
      <c r="G184" s="1" t="s">
        <v>22</v>
      </c>
      <c r="H184" s="6">
        <v>0</v>
      </c>
      <c r="I184" s="7">
        <v>0</v>
      </c>
      <c r="J184" s="5">
        <v>45968</v>
      </c>
      <c r="K184" s="1" t="s">
        <v>22</v>
      </c>
      <c r="L184" s="1" t="s">
        <v>22</v>
      </c>
      <c r="M184" s="8">
        <v>0</v>
      </c>
      <c r="N184" s="6"/>
      <c r="O184" s="6"/>
      <c r="P184" s="9">
        <v>-389.71</v>
      </c>
    </row>
    <row r="185" spans="1:16" ht="19.5" customHeight="1">
      <c r="A185" s="1" t="s">
        <v>1105</v>
      </c>
      <c r="B185" s="5">
        <v>45968</v>
      </c>
      <c r="C185" s="1" t="s">
        <v>77</v>
      </c>
      <c r="D185" s="1" t="s">
        <v>82</v>
      </c>
      <c r="E185" s="1" t="s">
        <v>22</v>
      </c>
      <c r="F185" s="1" t="s">
        <v>22</v>
      </c>
      <c r="G185" s="1" t="s">
        <v>22</v>
      </c>
      <c r="H185" s="6">
        <v>0</v>
      </c>
      <c r="I185" s="7">
        <v>0</v>
      </c>
      <c r="J185" s="5">
        <v>45968</v>
      </c>
      <c r="K185" s="1" t="s">
        <v>22</v>
      </c>
      <c r="L185" s="1" t="s">
        <v>22</v>
      </c>
      <c r="M185" s="8">
        <v>0</v>
      </c>
      <c r="N185" s="6"/>
      <c r="O185" s="6"/>
      <c r="P185" s="9">
        <v>-466.79</v>
      </c>
    </row>
    <row r="186" spans="1:16" ht="19.5" customHeight="1">
      <c r="A186" s="1" t="s">
        <v>1106</v>
      </c>
      <c r="B186" s="5">
        <v>45968</v>
      </c>
      <c r="C186" s="1" t="s">
        <v>77</v>
      </c>
      <c r="D186" s="1" t="s">
        <v>82</v>
      </c>
      <c r="E186" s="1" t="s">
        <v>22</v>
      </c>
      <c r="F186" s="1" t="s">
        <v>22</v>
      </c>
      <c r="G186" s="1" t="s">
        <v>22</v>
      </c>
      <c r="H186" s="6">
        <v>0</v>
      </c>
      <c r="I186" s="7">
        <v>0</v>
      </c>
      <c r="J186" s="5">
        <v>45968</v>
      </c>
      <c r="K186" s="1" t="s">
        <v>22</v>
      </c>
      <c r="L186" s="1" t="s">
        <v>22</v>
      </c>
      <c r="M186" s="8">
        <v>0</v>
      </c>
      <c r="N186" s="6"/>
      <c r="O186" s="6"/>
      <c r="P186" s="9">
        <v>-202.73</v>
      </c>
    </row>
    <row r="187" spans="1:16" ht="19.5" customHeight="1">
      <c r="A187" s="1" t="s">
        <v>1097</v>
      </c>
      <c r="B187" s="5">
        <v>45968</v>
      </c>
      <c r="C187" s="1" t="s">
        <v>77</v>
      </c>
      <c r="D187" s="1" t="s">
        <v>82</v>
      </c>
      <c r="E187" s="1" t="s">
        <v>22</v>
      </c>
      <c r="F187" s="1" t="s">
        <v>22</v>
      </c>
      <c r="G187" s="1" t="s">
        <v>22</v>
      </c>
      <c r="H187" s="6">
        <v>0</v>
      </c>
      <c r="I187" s="7">
        <v>0</v>
      </c>
      <c r="J187" s="5">
        <v>45968</v>
      </c>
      <c r="K187" s="1" t="s">
        <v>22</v>
      </c>
      <c r="L187" s="1" t="s">
        <v>22</v>
      </c>
      <c r="M187" s="8">
        <v>0</v>
      </c>
      <c r="N187" s="6"/>
      <c r="O187" s="6"/>
      <c r="P187" s="9">
        <v>-309.92</v>
      </c>
    </row>
    <row r="188" spans="1:16" ht="19.5" customHeight="1">
      <c r="A188" s="1" t="s">
        <v>1107</v>
      </c>
      <c r="B188" s="5">
        <v>45968</v>
      </c>
      <c r="C188" s="1" t="s">
        <v>77</v>
      </c>
      <c r="D188" s="1" t="s">
        <v>82</v>
      </c>
      <c r="E188" s="1" t="s">
        <v>22</v>
      </c>
      <c r="F188" s="1" t="s">
        <v>22</v>
      </c>
      <c r="G188" s="1" t="s">
        <v>22</v>
      </c>
      <c r="H188" s="6">
        <v>0</v>
      </c>
      <c r="I188" s="7">
        <v>0</v>
      </c>
      <c r="J188" s="5">
        <v>45968</v>
      </c>
      <c r="K188" s="1" t="s">
        <v>22</v>
      </c>
      <c r="L188" s="1" t="s">
        <v>22</v>
      </c>
      <c r="M188" s="8">
        <v>0</v>
      </c>
      <c r="N188" s="6"/>
      <c r="O188" s="6"/>
      <c r="P188" s="9">
        <v>-240.76</v>
      </c>
    </row>
    <row r="189" spans="1:16" ht="19.5" customHeight="1">
      <c r="A189" s="1" t="s">
        <v>22</v>
      </c>
      <c r="B189" s="5">
        <v>45968</v>
      </c>
      <c r="C189" s="1" t="s">
        <v>77</v>
      </c>
      <c r="D189" s="1" t="s">
        <v>944</v>
      </c>
      <c r="E189" s="1" t="s">
        <v>22</v>
      </c>
      <c r="F189" s="1" t="s">
        <v>22</v>
      </c>
      <c r="G189" s="1" t="s">
        <v>1108</v>
      </c>
      <c r="H189" s="6">
        <v>0</v>
      </c>
      <c r="I189" s="7">
        <v>0</v>
      </c>
      <c r="J189" s="5">
        <v>45968</v>
      </c>
      <c r="K189" s="1" t="s">
        <v>22</v>
      </c>
      <c r="L189" s="1" t="s">
        <v>22</v>
      </c>
      <c r="M189" s="8">
        <v>0</v>
      </c>
      <c r="N189" s="6"/>
      <c r="O189" s="6"/>
      <c r="P189" s="9">
        <v>-33.729999999999997</v>
      </c>
    </row>
    <row r="190" spans="1:16" ht="19.5" customHeight="1">
      <c r="A190" s="1" t="s">
        <v>22</v>
      </c>
      <c r="B190" s="5">
        <v>45968</v>
      </c>
      <c r="C190" s="1" t="s">
        <v>77</v>
      </c>
      <c r="D190" s="1" t="s">
        <v>944</v>
      </c>
      <c r="E190" s="1" t="s">
        <v>22</v>
      </c>
      <c r="F190" s="1" t="s">
        <v>22</v>
      </c>
      <c r="G190" s="1" t="s">
        <v>1109</v>
      </c>
      <c r="H190" s="6">
        <v>0</v>
      </c>
      <c r="I190" s="7">
        <v>0</v>
      </c>
      <c r="J190" s="5">
        <v>45968</v>
      </c>
      <c r="K190" s="1" t="s">
        <v>22</v>
      </c>
      <c r="L190" s="1" t="s">
        <v>22</v>
      </c>
      <c r="M190" s="8">
        <v>0</v>
      </c>
      <c r="N190" s="6"/>
      <c r="O190" s="6"/>
      <c r="P190" s="9">
        <v>-41.13</v>
      </c>
    </row>
    <row r="191" spans="1:16" ht="19.5" customHeight="1">
      <c r="A191" s="1" t="s">
        <v>1110</v>
      </c>
      <c r="B191" s="5">
        <v>45969</v>
      </c>
      <c r="C191" s="1" t="s">
        <v>28</v>
      </c>
      <c r="D191" s="1" t="s">
        <v>29</v>
      </c>
      <c r="E191" s="1" t="s">
        <v>223</v>
      </c>
      <c r="F191" s="1" t="s">
        <v>395</v>
      </c>
      <c r="G191" s="1" t="s">
        <v>21</v>
      </c>
      <c r="H191" s="6">
        <v>1</v>
      </c>
      <c r="I191" s="7">
        <v>1336</v>
      </c>
      <c r="J191" s="5">
        <v>45966</v>
      </c>
      <c r="K191" s="1" t="s">
        <v>957</v>
      </c>
      <c r="L191" s="1" t="s">
        <v>30</v>
      </c>
      <c r="M191" s="8">
        <v>0.38</v>
      </c>
      <c r="N191" s="6"/>
      <c r="O191" s="6"/>
      <c r="P191" s="9">
        <v>-46</v>
      </c>
    </row>
    <row r="192" spans="1:16" ht="19.5" customHeight="1">
      <c r="A192" s="1" t="s">
        <v>1110</v>
      </c>
      <c r="B192" s="5">
        <v>45969</v>
      </c>
      <c r="C192" s="1" t="s">
        <v>31</v>
      </c>
      <c r="D192" s="1" t="s">
        <v>32</v>
      </c>
      <c r="E192" s="1" t="s">
        <v>223</v>
      </c>
      <c r="F192" s="1" t="s">
        <v>395</v>
      </c>
      <c r="G192" s="1" t="s">
        <v>21</v>
      </c>
      <c r="H192" s="6">
        <v>1</v>
      </c>
      <c r="I192" s="7">
        <v>1336</v>
      </c>
      <c r="J192" s="5">
        <v>45966</v>
      </c>
      <c r="K192" s="1" t="s">
        <v>957</v>
      </c>
      <c r="L192" s="1" t="s">
        <v>30</v>
      </c>
      <c r="M192" s="8">
        <v>0</v>
      </c>
      <c r="N192" s="6"/>
      <c r="O192" s="6"/>
      <c r="P192" s="9">
        <v>745</v>
      </c>
    </row>
    <row r="193" spans="1:16" ht="19.5" customHeight="1">
      <c r="A193" s="1" t="s">
        <v>1110</v>
      </c>
      <c r="B193" s="5">
        <v>45969</v>
      </c>
      <c r="C193" s="1" t="s">
        <v>31</v>
      </c>
      <c r="D193" s="1" t="s">
        <v>33</v>
      </c>
      <c r="E193" s="1" t="s">
        <v>223</v>
      </c>
      <c r="F193" s="1" t="s">
        <v>395</v>
      </c>
      <c r="G193" s="1" t="s">
        <v>21</v>
      </c>
      <c r="H193" s="6">
        <v>1</v>
      </c>
      <c r="I193" s="7">
        <v>1336</v>
      </c>
      <c r="J193" s="5">
        <v>45966</v>
      </c>
      <c r="K193" s="1" t="s">
        <v>957</v>
      </c>
      <c r="L193" s="1" t="s">
        <v>30</v>
      </c>
      <c r="M193" s="8">
        <v>0</v>
      </c>
      <c r="N193" s="6"/>
      <c r="O193" s="6"/>
      <c r="P193" s="9">
        <v>7.45</v>
      </c>
    </row>
    <row r="194" spans="1:16" ht="19.5" customHeight="1">
      <c r="A194" s="1" t="s">
        <v>1110</v>
      </c>
      <c r="B194" s="5">
        <v>45969</v>
      </c>
      <c r="C194" s="1" t="s">
        <v>31</v>
      </c>
      <c r="D194" s="1" t="s">
        <v>34</v>
      </c>
      <c r="E194" s="1" t="s">
        <v>223</v>
      </c>
      <c r="F194" s="1" t="s">
        <v>395</v>
      </c>
      <c r="G194" s="1" t="s">
        <v>21</v>
      </c>
      <c r="H194" s="6">
        <v>1</v>
      </c>
      <c r="I194" s="7">
        <v>1336</v>
      </c>
      <c r="J194" s="5">
        <v>45966</v>
      </c>
      <c r="K194" s="1" t="s">
        <v>957</v>
      </c>
      <c r="L194" s="1" t="s">
        <v>30</v>
      </c>
      <c r="M194" s="8">
        <v>0</v>
      </c>
      <c r="N194" s="6"/>
      <c r="O194" s="6"/>
      <c r="P194" s="9">
        <v>583.54999999999995</v>
      </c>
    </row>
    <row r="195" spans="1:16" ht="19.5" customHeight="1">
      <c r="A195" s="1" t="s">
        <v>1110</v>
      </c>
      <c r="B195" s="5">
        <v>45969</v>
      </c>
      <c r="C195" s="1" t="s">
        <v>35</v>
      </c>
      <c r="D195" s="1" t="s">
        <v>36</v>
      </c>
      <c r="E195" s="1" t="s">
        <v>223</v>
      </c>
      <c r="F195" s="1" t="s">
        <v>395</v>
      </c>
      <c r="G195" s="1" t="s">
        <v>21</v>
      </c>
      <c r="H195" s="6">
        <v>1</v>
      </c>
      <c r="I195" s="7">
        <v>1336</v>
      </c>
      <c r="J195" s="5">
        <v>45966</v>
      </c>
      <c r="K195" s="1" t="s">
        <v>957</v>
      </c>
      <c r="L195" s="1" t="s">
        <v>30</v>
      </c>
      <c r="M195" s="8">
        <v>0.38</v>
      </c>
      <c r="N195" s="6"/>
      <c r="O195" s="6"/>
      <c r="P195" s="9">
        <v>-507.68</v>
      </c>
    </row>
    <row r="196" spans="1:16" ht="19.5" customHeight="1">
      <c r="A196" s="1" t="s">
        <v>1110</v>
      </c>
      <c r="B196" s="5">
        <v>45969</v>
      </c>
      <c r="C196" s="1" t="s">
        <v>17</v>
      </c>
      <c r="D196" s="1" t="s">
        <v>37</v>
      </c>
      <c r="E196" s="1" t="s">
        <v>223</v>
      </c>
      <c r="F196" s="1" t="s">
        <v>395</v>
      </c>
      <c r="G196" s="1" t="s">
        <v>21</v>
      </c>
      <c r="H196" s="6">
        <v>1</v>
      </c>
      <c r="I196" s="7">
        <v>1336</v>
      </c>
      <c r="J196" s="5">
        <v>45966</v>
      </c>
      <c r="K196" s="1" t="s">
        <v>957</v>
      </c>
      <c r="L196" s="1" t="s">
        <v>30</v>
      </c>
      <c r="M196" s="8">
        <v>0.38</v>
      </c>
      <c r="N196" s="6"/>
      <c r="O196" s="6"/>
      <c r="P196" s="9">
        <v>-10.18</v>
      </c>
    </row>
    <row r="197" spans="1:16" ht="19.5" customHeight="1">
      <c r="A197" s="1" t="s">
        <v>1111</v>
      </c>
      <c r="B197" s="5">
        <v>45969</v>
      </c>
      <c r="C197" s="1" t="s">
        <v>28</v>
      </c>
      <c r="D197" s="1" t="s">
        <v>29</v>
      </c>
      <c r="E197" s="1" t="s">
        <v>25</v>
      </c>
      <c r="F197" s="1" t="s">
        <v>26</v>
      </c>
      <c r="G197" s="1" t="s">
        <v>21</v>
      </c>
      <c r="H197" s="6">
        <v>1</v>
      </c>
      <c r="I197" s="7">
        <v>0</v>
      </c>
      <c r="J197" s="5">
        <v>45950</v>
      </c>
      <c r="K197" s="1" t="s">
        <v>957</v>
      </c>
      <c r="L197" s="1" t="s">
        <v>30</v>
      </c>
      <c r="M197" s="8">
        <v>0</v>
      </c>
      <c r="N197" s="6"/>
      <c r="O197" s="6"/>
      <c r="P197" s="9">
        <v>-46</v>
      </c>
    </row>
    <row r="198" spans="1:16" ht="19.5" customHeight="1">
      <c r="A198" s="1" t="s">
        <v>1111</v>
      </c>
      <c r="B198" s="5">
        <v>45969</v>
      </c>
      <c r="C198" s="1" t="s">
        <v>17</v>
      </c>
      <c r="D198" s="1" t="s">
        <v>37</v>
      </c>
      <c r="E198" s="1" t="s">
        <v>25</v>
      </c>
      <c r="F198" s="1" t="s">
        <v>26</v>
      </c>
      <c r="G198" s="1" t="s">
        <v>21</v>
      </c>
      <c r="H198" s="6">
        <v>1</v>
      </c>
      <c r="I198" s="7">
        <v>0</v>
      </c>
      <c r="J198" s="5">
        <v>45950</v>
      </c>
      <c r="K198" s="1" t="s">
        <v>957</v>
      </c>
      <c r="L198" s="1" t="s">
        <v>30</v>
      </c>
      <c r="M198" s="8">
        <v>0</v>
      </c>
      <c r="N198" s="6"/>
      <c r="O198" s="6"/>
      <c r="P198" s="9">
        <v>-11.93</v>
      </c>
    </row>
    <row r="199" spans="1:16" ht="19.5" customHeight="1">
      <c r="A199" s="1" t="s">
        <v>1111</v>
      </c>
      <c r="B199" s="5">
        <v>45969</v>
      </c>
      <c r="C199" s="1" t="s">
        <v>28</v>
      </c>
      <c r="D199" s="1" t="s">
        <v>45</v>
      </c>
      <c r="E199" s="1" t="s">
        <v>25</v>
      </c>
      <c r="F199" s="1" t="s">
        <v>26</v>
      </c>
      <c r="G199" s="1" t="s">
        <v>21</v>
      </c>
      <c r="H199" s="6">
        <v>1</v>
      </c>
      <c r="I199" s="7">
        <v>0</v>
      </c>
      <c r="J199" s="5">
        <v>45950</v>
      </c>
      <c r="K199" s="1" t="s">
        <v>957</v>
      </c>
      <c r="L199" s="1" t="s">
        <v>30</v>
      </c>
      <c r="M199" s="8">
        <v>0</v>
      </c>
      <c r="N199" s="6"/>
      <c r="O199" s="6"/>
      <c r="P199" s="9">
        <v>0</v>
      </c>
    </row>
    <row r="200" spans="1:16" ht="19.5" customHeight="1">
      <c r="A200" s="1" t="s">
        <v>1111</v>
      </c>
      <c r="B200" s="5">
        <v>45969</v>
      </c>
      <c r="C200" s="1" t="s">
        <v>28</v>
      </c>
      <c r="D200" s="1" t="s">
        <v>46</v>
      </c>
      <c r="E200" s="1" t="s">
        <v>25</v>
      </c>
      <c r="F200" s="1" t="s">
        <v>26</v>
      </c>
      <c r="G200" s="1" t="s">
        <v>21</v>
      </c>
      <c r="H200" s="6">
        <v>1</v>
      </c>
      <c r="I200" s="7">
        <v>0</v>
      </c>
      <c r="J200" s="5">
        <v>45950</v>
      </c>
      <c r="K200" s="1" t="s">
        <v>957</v>
      </c>
      <c r="L200" s="1" t="s">
        <v>30</v>
      </c>
      <c r="M200" s="8">
        <v>0</v>
      </c>
      <c r="N200" s="6"/>
      <c r="O200" s="6"/>
      <c r="P200" s="9">
        <v>-46</v>
      </c>
    </row>
    <row r="201" spans="1:16" ht="19.5" customHeight="1">
      <c r="A201" s="1" t="s">
        <v>1112</v>
      </c>
      <c r="B201" s="5">
        <v>45969</v>
      </c>
      <c r="C201" s="1" t="s">
        <v>28</v>
      </c>
      <c r="D201" s="1" t="s">
        <v>29</v>
      </c>
      <c r="E201" s="1" t="s">
        <v>239</v>
      </c>
      <c r="F201" s="1" t="s">
        <v>733</v>
      </c>
      <c r="G201" s="1" t="s">
        <v>959</v>
      </c>
      <c r="H201" s="6">
        <v>1</v>
      </c>
      <c r="I201" s="7">
        <v>4548</v>
      </c>
      <c r="J201" s="5">
        <v>45967</v>
      </c>
      <c r="K201" s="1" t="s">
        <v>957</v>
      </c>
      <c r="L201" s="1" t="s">
        <v>30</v>
      </c>
      <c r="M201" s="8">
        <v>0.38</v>
      </c>
      <c r="N201" s="6"/>
      <c r="O201" s="6"/>
      <c r="P201" s="9">
        <v>-56</v>
      </c>
    </row>
    <row r="202" spans="1:16" ht="19.5" customHeight="1">
      <c r="A202" s="1" t="s">
        <v>1112</v>
      </c>
      <c r="B202" s="5">
        <v>45969</v>
      </c>
      <c r="C202" s="1" t="s">
        <v>31</v>
      </c>
      <c r="D202" s="1" t="s">
        <v>32</v>
      </c>
      <c r="E202" s="1" t="s">
        <v>239</v>
      </c>
      <c r="F202" s="1" t="s">
        <v>733</v>
      </c>
      <c r="G202" s="1" t="s">
        <v>959</v>
      </c>
      <c r="H202" s="6">
        <v>1</v>
      </c>
      <c r="I202" s="7">
        <v>4548</v>
      </c>
      <c r="J202" s="5">
        <v>45967</v>
      </c>
      <c r="K202" s="1" t="s">
        <v>957</v>
      </c>
      <c r="L202" s="1" t="s">
        <v>30</v>
      </c>
      <c r="M202" s="8">
        <v>0</v>
      </c>
      <c r="N202" s="6"/>
      <c r="O202" s="6"/>
      <c r="P202" s="9">
        <v>2734.85</v>
      </c>
    </row>
    <row r="203" spans="1:16" ht="19.5" customHeight="1">
      <c r="A203" s="1" t="s">
        <v>1112</v>
      </c>
      <c r="B203" s="5">
        <v>45969</v>
      </c>
      <c r="C203" s="1" t="s">
        <v>31</v>
      </c>
      <c r="D203" s="1" t="s">
        <v>33</v>
      </c>
      <c r="E203" s="1" t="s">
        <v>239</v>
      </c>
      <c r="F203" s="1" t="s">
        <v>733</v>
      </c>
      <c r="G203" s="1" t="s">
        <v>959</v>
      </c>
      <c r="H203" s="6">
        <v>1</v>
      </c>
      <c r="I203" s="7">
        <v>4548</v>
      </c>
      <c r="J203" s="5">
        <v>45967</v>
      </c>
      <c r="K203" s="1" t="s">
        <v>957</v>
      </c>
      <c r="L203" s="1" t="s">
        <v>30</v>
      </c>
      <c r="M203" s="8">
        <v>0</v>
      </c>
      <c r="N203" s="6"/>
      <c r="O203" s="6"/>
      <c r="P203" s="9">
        <v>0</v>
      </c>
    </row>
    <row r="204" spans="1:16" ht="19.5" customHeight="1">
      <c r="A204" s="1" t="s">
        <v>1112</v>
      </c>
      <c r="B204" s="5">
        <v>45969</v>
      </c>
      <c r="C204" s="1" t="s">
        <v>31</v>
      </c>
      <c r="D204" s="1" t="s">
        <v>34</v>
      </c>
      <c r="E204" s="1" t="s">
        <v>239</v>
      </c>
      <c r="F204" s="1" t="s">
        <v>733</v>
      </c>
      <c r="G204" s="1" t="s">
        <v>959</v>
      </c>
      <c r="H204" s="6">
        <v>1</v>
      </c>
      <c r="I204" s="7">
        <v>4548</v>
      </c>
      <c r="J204" s="5">
        <v>45967</v>
      </c>
      <c r="K204" s="1" t="s">
        <v>957</v>
      </c>
      <c r="L204" s="1" t="s">
        <v>30</v>
      </c>
      <c r="M204" s="8">
        <v>0</v>
      </c>
      <c r="N204" s="6"/>
      <c r="O204" s="6"/>
      <c r="P204" s="9">
        <v>1813.15</v>
      </c>
    </row>
    <row r="205" spans="1:16" ht="19.5" customHeight="1">
      <c r="A205" s="1" t="s">
        <v>1112</v>
      </c>
      <c r="B205" s="5">
        <v>45969</v>
      </c>
      <c r="C205" s="1" t="s">
        <v>35</v>
      </c>
      <c r="D205" s="1" t="s">
        <v>36</v>
      </c>
      <c r="E205" s="1" t="s">
        <v>239</v>
      </c>
      <c r="F205" s="1" t="s">
        <v>733</v>
      </c>
      <c r="G205" s="1" t="s">
        <v>959</v>
      </c>
      <c r="H205" s="6">
        <v>1</v>
      </c>
      <c r="I205" s="7">
        <v>4548</v>
      </c>
      <c r="J205" s="5">
        <v>45967</v>
      </c>
      <c r="K205" s="1" t="s">
        <v>957</v>
      </c>
      <c r="L205" s="1" t="s">
        <v>30</v>
      </c>
      <c r="M205" s="8">
        <v>0.38</v>
      </c>
      <c r="N205" s="6"/>
      <c r="O205" s="6"/>
      <c r="P205" s="9">
        <v>-1728.24</v>
      </c>
    </row>
    <row r="206" spans="1:16" ht="19.5" customHeight="1">
      <c r="A206" s="1" t="s">
        <v>1112</v>
      </c>
      <c r="B206" s="5">
        <v>45969</v>
      </c>
      <c r="C206" s="1" t="s">
        <v>17</v>
      </c>
      <c r="D206" s="1" t="s">
        <v>37</v>
      </c>
      <c r="E206" s="1" t="s">
        <v>239</v>
      </c>
      <c r="F206" s="1" t="s">
        <v>733</v>
      </c>
      <c r="G206" s="1" t="s">
        <v>959</v>
      </c>
      <c r="H206" s="6">
        <v>1</v>
      </c>
      <c r="I206" s="7">
        <v>4548</v>
      </c>
      <c r="J206" s="5">
        <v>45967</v>
      </c>
      <c r="K206" s="1" t="s">
        <v>957</v>
      </c>
      <c r="L206" s="1" t="s">
        <v>30</v>
      </c>
      <c r="M206" s="8">
        <v>0.38</v>
      </c>
      <c r="N206" s="6"/>
      <c r="O206" s="6"/>
      <c r="P206" s="9">
        <v>-15.13</v>
      </c>
    </row>
    <row r="207" spans="1:16" ht="19.5" customHeight="1">
      <c r="A207" s="1" t="s">
        <v>1081</v>
      </c>
      <c r="B207" s="5">
        <v>45969</v>
      </c>
      <c r="C207" s="1" t="s">
        <v>126</v>
      </c>
      <c r="D207" s="1" t="s">
        <v>127</v>
      </c>
      <c r="E207" s="1" t="s">
        <v>70</v>
      </c>
      <c r="F207" s="1" t="s">
        <v>71</v>
      </c>
      <c r="G207" s="1" t="s">
        <v>959</v>
      </c>
      <c r="H207" s="6">
        <v>1</v>
      </c>
      <c r="I207" s="7">
        <v>-5500</v>
      </c>
      <c r="J207" s="5">
        <v>45964</v>
      </c>
      <c r="K207" s="1" t="s">
        <v>957</v>
      </c>
      <c r="L207" s="1" t="s">
        <v>30</v>
      </c>
      <c r="M207" s="8">
        <v>0</v>
      </c>
      <c r="N207" s="6"/>
      <c r="O207" s="6"/>
      <c r="P207" s="9">
        <v>-2659.72</v>
      </c>
    </row>
    <row r="208" spans="1:16" ht="19.5" customHeight="1">
      <c r="A208" s="1" t="s">
        <v>1081</v>
      </c>
      <c r="B208" s="5">
        <v>45969</v>
      </c>
      <c r="C208" s="1" t="s">
        <v>126</v>
      </c>
      <c r="D208" s="1" t="s">
        <v>33</v>
      </c>
      <c r="E208" s="1" t="s">
        <v>70</v>
      </c>
      <c r="F208" s="1" t="s">
        <v>71</v>
      </c>
      <c r="G208" s="1" t="s">
        <v>959</v>
      </c>
      <c r="H208" s="6">
        <v>1</v>
      </c>
      <c r="I208" s="7">
        <v>-5500</v>
      </c>
      <c r="J208" s="5">
        <v>45964</v>
      </c>
      <c r="K208" s="1" t="s">
        <v>957</v>
      </c>
      <c r="L208" s="1" t="s">
        <v>30</v>
      </c>
      <c r="M208" s="8">
        <v>0</v>
      </c>
      <c r="N208" s="6"/>
      <c r="O208" s="6"/>
      <c r="P208" s="9">
        <v>-26.6</v>
      </c>
    </row>
    <row r="209" spans="1:16" ht="19.5" customHeight="1">
      <c r="A209" s="1" t="s">
        <v>1081</v>
      </c>
      <c r="B209" s="5">
        <v>45969</v>
      </c>
      <c r="C209" s="1" t="s">
        <v>126</v>
      </c>
      <c r="D209" s="1" t="s">
        <v>34</v>
      </c>
      <c r="E209" s="1" t="s">
        <v>70</v>
      </c>
      <c r="F209" s="1" t="s">
        <v>71</v>
      </c>
      <c r="G209" s="1" t="s">
        <v>959</v>
      </c>
      <c r="H209" s="6">
        <v>1</v>
      </c>
      <c r="I209" s="7">
        <v>-5500</v>
      </c>
      <c r="J209" s="5">
        <v>45964</v>
      </c>
      <c r="K209" s="1" t="s">
        <v>957</v>
      </c>
      <c r="L209" s="1" t="s">
        <v>30</v>
      </c>
      <c r="M209" s="8">
        <v>0</v>
      </c>
      <c r="N209" s="6"/>
      <c r="O209" s="6"/>
      <c r="P209" s="9">
        <v>-2813.68</v>
      </c>
    </row>
    <row r="210" spans="1:16" ht="19.5" customHeight="1">
      <c r="A210" s="1" t="s">
        <v>1081</v>
      </c>
      <c r="B210" s="5">
        <v>45969</v>
      </c>
      <c r="C210" s="1" t="s">
        <v>35</v>
      </c>
      <c r="D210" s="1" t="s">
        <v>128</v>
      </c>
      <c r="E210" s="1" t="s">
        <v>70</v>
      </c>
      <c r="F210" s="1" t="s">
        <v>71</v>
      </c>
      <c r="G210" s="1" t="s">
        <v>959</v>
      </c>
      <c r="H210" s="6">
        <v>1</v>
      </c>
      <c r="I210" s="7">
        <v>-5500</v>
      </c>
      <c r="J210" s="5">
        <v>45964</v>
      </c>
      <c r="K210" s="1" t="s">
        <v>957</v>
      </c>
      <c r="L210" s="1" t="s">
        <v>30</v>
      </c>
      <c r="M210" s="8">
        <v>0.38</v>
      </c>
      <c r="N210" s="6"/>
      <c r="O210" s="6"/>
      <c r="P210" s="9">
        <v>2090</v>
      </c>
    </row>
    <row r="211" spans="1:16" ht="19.5" customHeight="1">
      <c r="A211" s="1" t="s">
        <v>1112</v>
      </c>
      <c r="B211" s="5">
        <v>45969</v>
      </c>
      <c r="C211" s="1" t="s">
        <v>17</v>
      </c>
      <c r="D211" s="1" t="s">
        <v>18</v>
      </c>
      <c r="E211" s="1" t="s">
        <v>239</v>
      </c>
      <c r="F211" s="1" t="s">
        <v>733</v>
      </c>
      <c r="G211" s="1" t="s">
        <v>959</v>
      </c>
      <c r="H211" s="6">
        <v>1</v>
      </c>
      <c r="I211" s="7">
        <v>0</v>
      </c>
      <c r="J211" s="5">
        <v>45967</v>
      </c>
      <c r="K211" s="1" t="s">
        <v>22</v>
      </c>
      <c r="L211" s="1" t="s">
        <v>22</v>
      </c>
      <c r="M211" s="8">
        <v>0</v>
      </c>
      <c r="N211" s="6"/>
      <c r="O211" s="6"/>
      <c r="P211" s="9">
        <v>-11.76</v>
      </c>
    </row>
    <row r="212" spans="1:16" ht="19.5" customHeight="1">
      <c r="A212" s="1" t="s">
        <v>1081</v>
      </c>
      <c r="B212" s="5">
        <v>45969</v>
      </c>
      <c r="C212" s="1" t="s">
        <v>17</v>
      </c>
      <c r="D212" s="1" t="s">
        <v>18</v>
      </c>
      <c r="E212" s="1" t="s">
        <v>70</v>
      </c>
      <c r="F212" s="1" t="s">
        <v>71</v>
      </c>
      <c r="G212" s="1" t="s">
        <v>959</v>
      </c>
      <c r="H212" s="6">
        <v>1</v>
      </c>
      <c r="I212" s="7">
        <v>0</v>
      </c>
      <c r="J212" s="5">
        <v>45964</v>
      </c>
      <c r="K212" s="1" t="s">
        <v>22</v>
      </c>
      <c r="L212" s="1" t="s">
        <v>22</v>
      </c>
      <c r="M212" s="8">
        <v>0</v>
      </c>
      <c r="N212" s="6"/>
      <c r="O212" s="6"/>
      <c r="P212" s="9">
        <v>50.53</v>
      </c>
    </row>
    <row r="213" spans="1:16" ht="19.5" customHeight="1">
      <c r="A213" s="1" t="s">
        <v>1113</v>
      </c>
      <c r="B213" s="5">
        <v>45969</v>
      </c>
      <c r="C213" s="1" t="s">
        <v>74</v>
      </c>
      <c r="D213" s="1" t="s">
        <v>75</v>
      </c>
      <c r="E213" s="1" t="s">
        <v>51</v>
      </c>
      <c r="F213" s="1" t="s">
        <v>52</v>
      </c>
      <c r="G213" s="1" t="s">
        <v>959</v>
      </c>
      <c r="H213" s="6">
        <v>1</v>
      </c>
      <c r="I213" s="7">
        <v>0</v>
      </c>
      <c r="J213" s="5">
        <v>45963</v>
      </c>
      <c r="K213" s="1" t="s">
        <v>957</v>
      </c>
      <c r="L213" s="1" t="s">
        <v>30</v>
      </c>
      <c r="M213" s="8">
        <v>0</v>
      </c>
      <c r="N213" s="6"/>
      <c r="O213" s="6"/>
      <c r="P213" s="9">
        <v>-5</v>
      </c>
    </row>
    <row r="214" spans="1:16" ht="19.5" customHeight="1">
      <c r="A214" s="1" t="s">
        <v>1113</v>
      </c>
      <c r="B214" s="5">
        <v>45969</v>
      </c>
      <c r="C214" s="1" t="s">
        <v>17</v>
      </c>
      <c r="D214" s="1" t="s">
        <v>76</v>
      </c>
      <c r="E214" s="1" t="s">
        <v>51</v>
      </c>
      <c r="F214" s="1" t="s">
        <v>52</v>
      </c>
      <c r="G214" s="1" t="s">
        <v>959</v>
      </c>
      <c r="H214" s="6">
        <v>1</v>
      </c>
      <c r="I214" s="7">
        <v>0</v>
      </c>
      <c r="J214" s="5">
        <v>45963</v>
      </c>
      <c r="K214" s="1" t="s">
        <v>957</v>
      </c>
      <c r="L214" s="1" t="s">
        <v>30</v>
      </c>
      <c r="M214" s="8">
        <v>0</v>
      </c>
      <c r="N214" s="6"/>
      <c r="O214" s="6"/>
      <c r="P214" s="9">
        <v>-10</v>
      </c>
    </row>
    <row r="215" spans="1:16" ht="19.5" customHeight="1">
      <c r="A215" s="1" t="s">
        <v>1114</v>
      </c>
      <c r="B215" s="5">
        <v>45969</v>
      </c>
      <c r="C215" s="1" t="s">
        <v>28</v>
      </c>
      <c r="D215" s="1" t="s">
        <v>29</v>
      </c>
      <c r="E215" s="1" t="s">
        <v>62</v>
      </c>
      <c r="F215" s="1" t="s">
        <v>63</v>
      </c>
      <c r="G215" s="1" t="s">
        <v>959</v>
      </c>
      <c r="H215" s="6">
        <v>1</v>
      </c>
      <c r="I215" s="7">
        <v>0</v>
      </c>
      <c r="J215" s="5">
        <v>45934</v>
      </c>
      <c r="K215" s="1" t="s">
        <v>957</v>
      </c>
      <c r="L215" s="1" t="s">
        <v>30</v>
      </c>
      <c r="M215" s="8">
        <v>0</v>
      </c>
      <c r="N215" s="6"/>
      <c r="O215" s="6"/>
      <c r="P215" s="9">
        <v>-56</v>
      </c>
    </row>
    <row r="216" spans="1:16" ht="19.5" customHeight="1">
      <c r="A216" s="1" t="s">
        <v>1114</v>
      </c>
      <c r="B216" s="5">
        <v>45969</v>
      </c>
      <c r="C216" s="1" t="s">
        <v>17</v>
      </c>
      <c r="D216" s="1" t="s">
        <v>37</v>
      </c>
      <c r="E216" s="1" t="s">
        <v>62</v>
      </c>
      <c r="F216" s="1" t="s">
        <v>63</v>
      </c>
      <c r="G216" s="1" t="s">
        <v>959</v>
      </c>
      <c r="H216" s="6">
        <v>1</v>
      </c>
      <c r="I216" s="7">
        <v>0</v>
      </c>
      <c r="J216" s="5">
        <v>45934</v>
      </c>
      <c r="K216" s="1" t="s">
        <v>957</v>
      </c>
      <c r="L216" s="1" t="s">
        <v>30</v>
      </c>
      <c r="M216" s="8">
        <v>0</v>
      </c>
      <c r="N216" s="6"/>
      <c r="O216" s="6"/>
      <c r="P216" s="9">
        <v>-13.78</v>
      </c>
    </row>
    <row r="217" spans="1:16" ht="19.5" customHeight="1">
      <c r="A217" s="1" t="s">
        <v>1115</v>
      </c>
      <c r="B217" s="5">
        <v>45969</v>
      </c>
      <c r="C217" s="1" t="s">
        <v>17</v>
      </c>
      <c r="D217" s="1" t="s">
        <v>18</v>
      </c>
      <c r="E217" s="1" t="s">
        <v>70</v>
      </c>
      <c r="F217" s="1" t="s">
        <v>71</v>
      </c>
      <c r="G217" s="1" t="s">
        <v>959</v>
      </c>
      <c r="H217" s="6">
        <v>1</v>
      </c>
      <c r="I217" s="7">
        <v>0</v>
      </c>
      <c r="J217" s="5">
        <v>45969</v>
      </c>
      <c r="K217" s="1" t="s">
        <v>22</v>
      </c>
      <c r="L217" s="1" t="s">
        <v>22</v>
      </c>
      <c r="M217" s="8">
        <v>0</v>
      </c>
      <c r="N217" s="6"/>
      <c r="O217" s="6"/>
      <c r="P217" s="9">
        <v>-52.17</v>
      </c>
    </row>
    <row r="218" spans="1:16" ht="19.5" customHeight="1">
      <c r="A218" s="1" t="s">
        <v>1114</v>
      </c>
      <c r="B218" s="5">
        <v>45969</v>
      </c>
      <c r="C218" s="1" t="s">
        <v>28</v>
      </c>
      <c r="D218" s="1" t="s">
        <v>45</v>
      </c>
      <c r="E218" s="1" t="s">
        <v>62</v>
      </c>
      <c r="F218" s="1" t="s">
        <v>63</v>
      </c>
      <c r="G218" s="1" t="s">
        <v>959</v>
      </c>
      <c r="H218" s="6">
        <v>1</v>
      </c>
      <c r="I218" s="7">
        <v>0</v>
      </c>
      <c r="J218" s="5">
        <v>45934</v>
      </c>
      <c r="K218" s="1" t="s">
        <v>957</v>
      </c>
      <c r="L218" s="1" t="s">
        <v>30</v>
      </c>
      <c r="M218" s="8">
        <v>0</v>
      </c>
      <c r="N218" s="6"/>
      <c r="O218" s="6"/>
      <c r="P218" s="9">
        <v>0</v>
      </c>
    </row>
    <row r="219" spans="1:16" ht="19.5" customHeight="1">
      <c r="A219" s="1" t="s">
        <v>1114</v>
      </c>
      <c r="B219" s="5">
        <v>45969</v>
      </c>
      <c r="C219" s="1" t="s">
        <v>28</v>
      </c>
      <c r="D219" s="1" t="s">
        <v>46</v>
      </c>
      <c r="E219" s="1" t="s">
        <v>62</v>
      </c>
      <c r="F219" s="1" t="s">
        <v>63</v>
      </c>
      <c r="G219" s="1" t="s">
        <v>959</v>
      </c>
      <c r="H219" s="6">
        <v>1</v>
      </c>
      <c r="I219" s="7">
        <v>0</v>
      </c>
      <c r="J219" s="5">
        <v>45934</v>
      </c>
      <c r="K219" s="1" t="s">
        <v>957</v>
      </c>
      <c r="L219" s="1" t="s">
        <v>30</v>
      </c>
      <c r="M219" s="8">
        <v>0</v>
      </c>
      <c r="N219" s="6"/>
      <c r="O219" s="6"/>
      <c r="P219" s="9">
        <v>-56</v>
      </c>
    </row>
    <row r="220" spans="1:16" ht="19.5" customHeight="1">
      <c r="A220" s="1" t="s">
        <v>1115</v>
      </c>
      <c r="B220" s="5">
        <v>45969</v>
      </c>
      <c r="C220" s="1" t="s">
        <v>17</v>
      </c>
      <c r="D220" s="1" t="s">
        <v>18</v>
      </c>
      <c r="E220" s="1" t="s">
        <v>70</v>
      </c>
      <c r="F220" s="1" t="s">
        <v>71</v>
      </c>
      <c r="G220" s="1" t="s">
        <v>959</v>
      </c>
      <c r="H220" s="6">
        <v>1</v>
      </c>
      <c r="I220" s="7">
        <v>0</v>
      </c>
      <c r="J220" s="5">
        <v>45969</v>
      </c>
      <c r="K220" s="1" t="s">
        <v>22</v>
      </c>
      <c r="L220" s="1" t="s">
        <v>22</v>
      </c>
      <c r="M220" s="8">
        <v>0</v>
      </c>
      <c r="N220" s="6"/>
      <c r="O220" s="6"/>
      <c r="P220" s="9">
        <v>52.17</v>
      </c>
    </row>
    <row r="221" spans="1:16" ht="19.5" customHeight="1">
      <c r="A221" s="1" t="s">
        <v>22</v>
      </c>
      <c r="B221" s="5">
        <v>45969</v>
      </c>
      <c r="C221" s="1" t="s">
        <v>77</v>
      </c>
      <c r="D221" s="1" t="s">
        <v>78</v>
      </c>
      <c r="E221" s="1" t="s">
        <v>22</v>
      </c>
      <c r="F221" s="1" t="s">
        <v>22</v>
      </c>
      <c r="G221" s="1" t="s">
        <v>1116</v>
      </c>
      <c r="H221" s="6">
        <v>0</v>
      </c>
      <c r="I221" s="7">
        <v>0</v>
      </c>
      <c r="J221" s="5">
        <v>45969</v>
      </c>
      <c r="K221" s="1" t="s">
        <v>22</v>
      </c>
      <c r="L221" s="1" t="s">
        <v>22</v>
      </c>
      <c r="M221" s="8">
        <v>0</v>
      </c>
      <c r="N221" s="6"/>
      <c r="O221" s="6"/>
      <c r="P221" s="9">
        <v>-200</v>
      </c>
    </row>
    <row r="222" spans="1:16" ht="19.5" customHeight="1">
      <c r="A222" s="1" t="s">
        <v>83</v>
      </c>
      <c r="B222" s="5">
        <v>45969</v>
      </c>
      <c r="C222" s="1" t="s">
        <v>77</v>
      </c>
      <c r="D222" s="1" t="s">
        <v>84</v>
      </c>
      <c r="E222" s="1" t="s">
        <v>22</v>
      </c>
      <c r="F222" s="1" t="s">
        <v>22</v>
      </c>
      <c r="G222" s="1" t="s">
        <v>22</v>
      </c>
      <c r="H222" s="6">
        <v>0</v>
      </c>
      <c r="I222" s="7">
        <v>0</v>
      </c>
      <c r="J222" s="5">
        <v>45969</v>
      </c>
      <c r="K222" s="1" t="s">
        <v>22</v>
      </c>
      <c r="L222" s="1" t="s">
        <v>22</v>
      </c>
      <c r="M222" s="8">
        <v>0</v>
      </c>
      <c r="N222" s="6"/>
      <c r="O222" s="6"/>
      <c r="P222" s="9">
        <v>-559.29</v>
      </c>
    </row>
    <row r="223" spans="1:16" ht="19.5" customHeight="1">
      <c r="A223" s="1" t="s">
        <v>1075</v>
      </c>
      <c r="B223" s="5">
        <v>45969</v>
      </c>
      <c r="C223" s="1" t="s">
        <v>77</v>
      </c>
      <c r="D223" s="1" t="s">
        <v>82</v>
      </c>
      <c r="E223" s="1" t="s">
        <v>22</v>
      </c>
      <c r="F223" s="1" t="s">
        <v>22</v>
      </c>
      <c r="G223" s="1" t="s">
        <v>22</v>
      </c>
      <c r="H223" s="6">
        <v>0</v>
      </c>
      <c r="I223" s="7">
        <v>0</v>
      </c>
      <c r="J223" s="5">
        <v>45969</v>
      </c>
      <c r="K223" s="1" t="s">
        <v>22</v>
      </c>
      <c r="L223" s="1" t="s">
        <v>22</v>
      </c>
      <c r="M223" s="8">
        <v>0</v>
      </c>
      <c r="N223" s="6"/>
      <c r="O223" s="6"/>
      <c r="P223" s="9">
        <v>-512.72</v>
      </c>
    </row>
    <row r="224" spans="1:16" ht="19.5" customHeight="1">
      <c r="A224" s="1" t="s">
        <v>1097</v>
      </c>
      <c r="B224" s="5">
        <v>45969</v>
      </c>
      <c r="C224" s="1" t="s">
        <v>77</v>
      </c>
      <c r="D224" s="1" t="s">
        <v>82</v>
      </c>
      <c r="E224" s="1" t="s">
        <v>22</v>
      </c>
      <c r="F224" s="1" t="s">
        <v>22</v>
      </c>
      <c r="G224" s="1" t="s">
        <v>22</v>
      </c>
      <c r="H224" s="6">
        <v>0</v>
      </c>
      <c r="I224" s="7">
        <v>0</v>
      </c>
      <c r="J224" s="5">
        <v>45969</v>
      </c>
      <c r="K224" s="1" t="s">
        <v>22</v>
      </c>
      <c r="L224" s="1" t="s">
        <v>22</v>
      </c>
      <c r="M224" s="8">
        <v>0</v>
      </c>
      <c r="N224" s="6"/>
      <c r="O224" s="6"/>
      <c r="P224" s="9">
        <v>-330.24</v>
      </c>
    </row>
    <row r="225" spans="1:16" ht="19.5" customHeight="1">
      <c r="A225" s="1" t="s">
        <v>1105</v>
      </c>
      <c r="B225" s="5">
        <v>45969</v>
      </c>
      <c r="C225" s="1" t="s">
        <v>77</v>
      </c>
      <c r="D225" s="1" t="s">
        <v>82</v>
      </c>
      <c r="E225" s="1" t="s">
        <v>22</v>
      </c>
      <c r="F225" s="1" t="s">
        <v>22</v>
      </c>
      <c r="G225" s="1" t="s">
        <v>22</v>
      </c>
      <c r="H225" s="6">
        <v>0</v>
      </c>
      <c r="I225" s="7">
        <v>0</v>
      </c>
      <c r="J225" s="5">
        <v>45969</v>
      </c>
      <c r="K225" s="1" t="s">
        <v>22</v>
      </c>
      <c r="L225" s="1" t="s">
        <v>22</v>
      </c>
      <c r="M225" s="8">
        <v>0</v>
      </c>
      <c r="N225" s="6"/>
      <c r="O225" s="6"/>
      <c r="P225" s="9">
        <v>-591.19000000000005</v>
      </c>
    </row>
    <row r="226" spans="1:16" ht="19.5" customHeight="1">
      <c r="A226" s="1" t="s">
        <v>1106</v>
      </c>
      <c r="B226" s="5">
        <v>45969</v>
      </c>
      <c r="C226" s="1" t="s">
        <v>77</v>
      </c>
      <c r="D226" s="1" t="s">
        <v>82</v>
      </c>
      <c r="E226" s="1" t="s">
        <v>22</v>
      </c>
      <c r="F226" s="1" t="s">
        <v>22</v>
      </c>
      <c r="G226" s="1" t="s">
        <v>22</v>
      </c>
      <c r="H226" s="6">
        <v>0</v>
      </c>
      <c r="I226" s="7">
        <v>0</v>
      </c>
      <c r="J226" s="5">
        <v>45969</v>
      </c>
      <c r="K226" s="1" t="s">
        <v>22</v>
      </c>
      <c r="L226" s="1" t="s">
        <v>22</v>
      </c>
      <c r="M226" s="8">
        <v>0</v>
      </c>
      <c r="N226" s="6"/>
      <c r="O226" s="6"/>
      <c r="P226" s="9">
        <v>-302.20999999999998</v>
      </c>
    </row>
    <row r="227" spans="1:16" ht="19.5" customHeight="1">
      <c r="A227" s="1" t="s">
        <v>1107</v>
      </c>
      <c r="B227" s="5">
        <v>45969</v>
      </c>
      <c r="C227" s="1" t="s">
        <v>77</v>
      </c>
      <c r="D227" s="1" t="s">
        <v>82</v>
      </c>
      <c r="E227" s="1" t="s">
        <v>22</v>
      </c>
      <c r="F227" s="1" t="s">
        <v>22</v>
      </c>
      <c r="G227" s="1" t="s">
        <v>22</v>
      </c>
      <c r="H227" s="6">
        <v>0</v>
      </c>
      <c r="I227" s="7">
        <v>0</v>
      </c>
      <c r="J227" s="5">
        <v>45969</v>
      </c>
      <c r="K227" s="1" t="s">
        <v>22</v>
      </c>
      <c r="L227" s="1" t="s">
        <v>22</v>
      </c>
      <c r="M227" s="8">
        <v>0</v>
      </c>
      <c r="N227" s="6"/>
      <c r="O227" s="6"/>
      <c r="P227" s="9">
        <v>-303.74</v>
      </c>
    </row>
    <row r="228" spans="1:16" ht="19.5" customHeight="1">
      <c r="A228" s="1" t="s">
        <v>1117</v>
      </c>
      <c r="B228" s="5">
        <v>45970</v>
      </c>
      <c r="C228" s="1" t="s">
        <v>261</v>
      </c>
      <c r="D228" s="1" t="s">
        <v>326</v>
      </c>
      <c r="E228" s="1" t="s">
        <v>22</v>
      </c>
      <c r="F228" s="1" t="s">
        <v>22</v>
      </c>
      <c r="G228" s="1" t="s">
        <v>22</v>
      </c>
      <c r="H228" s="6">
        <v>0</v>
      </c>
      <c r="I228" s="7">
        <v>0</v>
      </c>
      <c r="J228" s="5">
        <v>45965</v>
      </c>
      <c r="K228" s="1" t="s">
        <v>22</v>
      </c>
      <c r="L228" s="1" t="s">
        <v>22</v>
      </c>
      <c r="M228" s="8">
        <v>0</v>
      </c>
      <c r="N228" s="6"/>
      <c r="O228" s="6"/>
      <c r="P228" s="9">
        <v>-896.1</v>
      </c>
    </row>
    <row r="229" spans="1:16" ht="19.5" customHeight="1">
      <c r="A229" s="1" t="s">
        <v>1118</v>
      </c>
      <c r="B229" s="5">
        <v>45970</v>
      </c>
      <c r="C229" s="1" t="s">
        <v>28</v>
      </c>
      <c r="D229" s="1" t="s">
        <v>29</v>
      </c>
      <c r="E229" s="1" t="s">
        <v>223</v>
      </c>
      <c r="F229" s="1" t="s">
        <v>395</v>
      </c>
      <c r="G229" s="1" t="s">
        <v>21</v>
      </c>
      <c r="H229" s="6">
        <v>1</v>
      </c>
      <c r="I229" s="7">
        <v>1336</v>
      </c>
      <c r="J229" s="5">
        <v>45966</v>
      </c>
      <c r="K229" s="1" t="s">
        <v>957</v>
      </c>
      <c r="L229" s="1" t="s">
        <v>30</v>
      </c>
      <c r="M229" s="8">
        <v>0.38</v>
      </c>
      <c r="N229" s="6"/>
      <c r="O229" s="6"/>
      <c r="P229" s="9">
        <v>-46</v>
      </c>
    </row>
    <row r="230" spans="1:16" ht="19.5" customHeight="1">
      <c r="A230" s="1" t="s">
        <v>1118</v>
      </c>
      <c r="B230" s="5">
        <v>45970</v>
      </c>
      <c r="C230" s="1" t="s">
        <v>31</v>
      </c>
      <c r="D230" s="1" t="s">
        <v>32</v>
      </c>
      <c r="E230" s="1" t="s">
        <v>223</v>
      </c>
      <c r="F230" s="1" t="s">
        <v>395</v>
      </c>
      <c r="G230" s="1" t="s">
        <v>21</v>
      </c>
      <c r="H230" s="6">
        <v>1</v>
      </c>
      <c r="I230" s="7">
        <v>1336</v>
      </c>
      <c r="J230" s="5">
        <v>45966</v>
      </c>
      <c r="K230" s="1" t="s">
        <v>957</v>
      </c>
      <c r="L230" s="1" t="s">
        <v>30</v>
      </c>
      <c r="M230" s="8">
        <v>0</v>
      </c>
      <c r="N230" s="6"/>
      <c r="O230" s="6"/>
      <c r="P230" s="9">
        <v>740</v>
      </c>
    </row>
    <row r="231" spans="1:16" ht="19.5" customHeight="1">
      <c r="A231" s="1" t="s">
        <v>1118</v>
      </c>
      <c r="B231" s="5">
        <v>45970</v>
      </c>
      <c r="C231" s="1" t="s">
        <v>31</v>
      </c>
      <c r="D231" s="1" t="s">
        <v>33</v>
      </c>
      <c r="E231" s="1" t="s">
        <v>223</v>
      </c>
      <c r="F231" s="1" t="s">
        <v>395</v>
      </c>
      <c r="G231" s="1" t="s">
        <v>21</v>
      </c>
      <c r="H231" s="6">
        <v>1</v>
      </c>
      <c r="I231" s="7">
        <v>1336</v>
      </c>
      <c r="J231" s="5">
        <v>45966</v>
      </c>
      <c r="K231" s="1" t="s">
        <v>957</v>
      </c>
      <c r="L231" s="1" t="s">
        <v>30</v>
      </c>
      <c r="M231" s="8">
        <v>0</v>
      </c>
      <c r="N231" s="6"/>
      <c r="O231" s="6"/>
      <c r="P231" s="9">
        <v>7.4</v>
      </c>
    </row>
    <row r="232" spans="1:16" ht="19.5" customHeight="1">
      <c r="A232" s="1" t="s">
        <v>1118</v>
      </c>
      <c r="B232" s="5">
        <v>45970</v>
      </c>
      <c r="C232" s="1" t="s">
        <v>31</v>
      </c>
      <c r="D232" s="1" t="s">
        <v>34</v>
      </c>
      <c r="E232" s="1" t="s">
        <v>223</v>
      </c>
      <c r="F232" s="1" t="s">
        <v>395</v>
      </c>
      <c r="G232" s="1" t="s">
        <v>21</v>
      </c>
      <c r="H232" s="6">
        <v>1</v>
      </c>
      <c r="I232" s="7">
        <v>1336</v>
      </c>
      <c r="J232" s="5">
        <v>45966</v>
      </c>
      <c r="K232" s="1" t="s">
        <v>957</v>
      </c>
      <c r="L232" s="1" t="s">
        <v>30</v>
      </c>
      <c r="M232" s="8">
        <v>0</v>
      </c>
      <c r="N232" s="6"/>
      <c r="O232" s="6"/>
      <c r="P232" s="9">
        <v>588.6</v>
      </c>
    </row>
    <row r="233" spans="1:16" ht="19.5" customHeight="1">
      <c r="A233" s="1" t="s">
        <v>1118</v>
      </c>
      <c r="B233" s="5">
        <v>45970</v>
      </c>
      <c r="C233" s="1" t="s">
        <v>35</v>
      </c>
      <c r="D233" s="1" t="s">
        <v>36</v>
      </c>
      <c r="E233" s="1" t="s">
        <v>223</v>
      </c>
      <c r="F233" s="1" t="s">
        <v>395</v>
      </c>
      <c r="G233" s="1" t="s">
        <v>21</v>
      </c>
      <c r="H233" s="6">
        <v>1</v>
      </c>
      <c r="I233" s="7">
        <v>1336</v>
      </c>
      <c r="J233" s="5">
        <v>45966</v>
      </c>
      <c r="K233" s="1" t="s">
        <v>957</v>
      </c>
      <c r="L233" s="1" t="s">
        <v>30</v>
      </c>
      <c r="M233" s="8">
        <v>0.38</v>
      </c>
      <c r="N233" s="6"/>
      <c r="O233" s="6"/>
      <c r="P233" s="9">
        <v>-507.68</v>
      </c>
    </row>
    <row r="234" spans="1:16" ht="19.5" customHeight="1">
      <c r="A234" s="1" t="s">
        <v>1118</v>
      </c>
      <c r="B234" s="5">
        <v>45970</v>
      </c>
      <c r="C234" s="1" t="s">
        <v>17</v>
      </c>
      <c r="D234" s="1" t="s">
        <v>37</v>
      </c>
      <c r="E234" s="1" t="s">
        <v>223</v>
      </c>
      <c r="F234" s="1" t="s">
        <v>395</v>
      </c>
      <c r="G234" s="1" t="s">
        <v>21</v>
      </c>
      <c r="H234" s="6">
        <v>1</v>
      </c>
      <c r="I234" s="7">
        <v>1336</v>
      </c>
      <c r="J234" s="5">
        <v>45966</v>
      </c>
      <c r="K234" s="1" t="s">
        <v>957</v>
      </c>
      <c r="L234" s="1" t="s">
        <v>30</v>
      </c>
      <c r="M234" s="8">
        <v>0.38</v>
      </c>
      <c r="N234" s="6"/>
      <c r="O234" s="6"/>
      <c r="P234" s="9">
        <v>-10.37</v>
      </c>
    </row>
    <row r="235" spans="1:16" ht="19.5" customHeight="1">
      <c r="A235" s="1" t="s">
        <v>1118</v>
      </c>
      <c r="B235" s="5">
        <v>45970</v>
      </c>
      <c r="C235" s="1" t="s">
        <v>17</v>
      </c>
      <c r="D235" s="1" t="s">
        <v>18</v>
      </c>
      <c r="E235" s="1" t="s">
        <v>223</v>
      </c>
      <c r="F235" s="1" t="s">
        <v>395</v>
      </c>
      <c r="G235" s="1" t="s">
        <v>21</v>
      </c>
      <c r="H235" s="6">
        <v>1</v>
      </c>
      <c r="I235" s="7">
        <v>0</v>
      </c>
      <c r="J235" s="5">
        <v>45966</v>
      </c>
      <c r="K235" s="1" t="s">
        <v>22</v>
      </c>
      <c r="L235" s="1" t="s">
        <v>22</v>
      </c>
      <c r="M235" s="8">
        <v>0</v>
      </c>
      <c r="N235" s="6"/>
      <c r="O235" s="6"/>
      <c r="P235" s="9">
        <v>-14.06</v>
      </c>
    </row>
    <row r="236" spans="1:16" ht="19.5" customHeight="1">
      <c r="A236" s="1" t="s">
        <v>1119</v>
      </c>
      <c r="B236" s="5">
        <v>45970</v>
      </c>
      <c r="C236" s="1" t="s">
        <v>28</v>
      </c>
      <c r="D236" s="1" t="s">
        <v>29</v>
      </c>
      <c r="E236" s="1" t="s">
        <v>223</v>
      </c>
      <c r="F236" s="1" t="s">
        <v>395</v>
      </c>
      <c r="G236" s="1" t="s">
        <v>21</v>
      </c>
      <c r="H236" s="6">
        <v>1</v>
      </c>
      <c r="I236" s="7">
        <v>0</v>
      </c>
      <c r="J236" s="5">
        <v>45965</v>
      </c>
      <c r="K236" s="1" t="s">
        <v>957</v>
      </c>
      <c r="L236" s="1" t="s">
        <v>30</v>
      </c>
      <c r="M236" s="8">
        <v>0</v>
      </c>
      <c r="N236" s="6"/>
      <c r="O236" s="6"/>
      <c r="P236" s="9">
        <v>-46</v>
      </c>
    </row>
    <row r="237" spans="1:16" ht="19.5" customHeight="1">
      <c r="A237" s="1" t="s">
        <v>1119</v>
      </c>
      <c r="B237" s="5">
        <v>45970</v>
      </c>
      <c r="C237" s="1" t="s">
        <v>17</v>
      </c>
      <c r="D237" s="1" t="s">
        <v>37</v>
      </c>
      <c r="E237" s="1" t="s">
        <v>223</v>
      </c>
      <c r="F237" s="1" t="s">
        <v>395</v>
      </c>
      <c r="G237" s="1" t="s">
        <v>21</v>
      </c>
      <c r="H237" s="6">
        <v>1</v>
      </c>
      <c r="I237" s="7">
        <v>0</v>
      </c>
      <c r="J237" s="5">
        <v>45965</v>
      </c>
      <c r="K237" s="1" t="s">
        <v>957</v>
      </c>
      <c r="L237" s="1" t="s">
        <v>30</v>
      </c>
      <c r="M237" s="8">
        <v>0</v>
      </c>
      <c r="N237" s="6"/>
      <c r="O237" s="6"/>
      <c r="P237" s="9">
        <v>-12.3</v>
      </c>
    </row>
    <row r="238" spans="1:16" ht="19.5" customHeight="1">
      <c r="A238" s="1" t="s">
        <v>1119</v>
      </c>
      <c r="B238" s="5">
        <v>45970</v>
      </c>
      <c r="C238" s="1" t="s">
        <v>28</v>
      </c>
      <c r="D238" s="1" t="s">
        <v>45</v>
      </c>
      <c r="E238" s="1" t="s">
        <v>223</v>
      </c>
      <c r="F238" s="1" t="s">
        <v>395</v>
      </c>
      <c r="G238" s="1" t="s">
        <v>21</v>
      </c>
      <c r="H238" s="6">
        <v>1</v>
      </c>
      <c r="I238" s="7">
        <v>0</v>
      </c>
      <c r="J238" s="5">
        <v>45965</v>
      </c>
      <c r="K238" s="1" t="s">
        <v>957</v>
      </c>
      <c r="L238" s="1" t="s">
        <v>30</v>
      </c>
      <c r="M238" s="8">
        <v>0</v>
      </c>
      <c r="N238" s="6"/>
      <c r="O238" s="6"/>
      <c r="P238" s="9">
        <v>0</v>
      </c>
    </row>
    <row r="239" spans="1:16" ht="19.5" customHeight="1">
      <c r="A239" s="1" t="s">
        <v>1119</v>
      </c>
      <c r="B239" s="5">
        <v>45970</v>
      </c>
      <c r="C239" s="1" t="s">
        <v>28</v>
      </c>
      <c r="D239" s="1" t="s">
        <v>46</v>
      </c>
      <c r="E239" s="1" t="s">
        <v>223</v>
      </c>
      <c r="F239" s="1" t="s">
        <v>395</v>
      </c>
      <c r="G239" s="1" t="s">
        <v>21</v>
      </c>
      <c r="H239" s="6">
        <v>1</v>
      </c>
      <c r="I239" s="7">
        <v>0</v>
      </c>
      <c r="J239" s="5">
        <v>45965</v>
      </c>
      <c r="K239" s="1" t="s">
        <v>957</v>
      </c>
      <c r="L239" s="1" t="s">
        <v>30</v>
      </c>
      <c r="M239" s="8">
        <v>0</v>
      </c>
      <c r="N239" s="6"/>
      <c r="O239" s="6"/>
      <c r="P239" s="9">
        <v>-46</v>
      </c>
    </row>
    <row r="240" spans="1:16" ht="19.5" customHeight="1">
      <c r="A240" s="1" t="s">
        <v>1119</v>
      </c>
      <c r="B240" s="5">
        <v>45970</v>
      </c>
      <c r="C240" s="1" t="s">
        <v>17</v>
      </c>
      <c r="D240" s="1" t="s">
        <v>47</v>
      </c>
      <c r="E240" s="1" t="s">
        <v>223</v>
      </c>
      <c r="F240" s="1" t="s">
        <v>395</v>
      </c>
      <c r="G240" s="1" t="s">
        <v>21</v>
      </c>
      <c r="H240" s="6">
        <v>1</v>
      </c>
      <c r="I240" s="7">
        <v>0</v>
      </c>
      <c r="J240" s="5">
        <v>45965</v>
      </c>
      <c r="K240" s="1" t="s">
        <v>957</v>
      </c>
      <c r="L240" s="1" t="s">
        <v>30</v>
      </c>
      <c r="M240" s="8">
        <v>0</v>
      </c>
      <c r="N240" s="6"/>
      <c r="O240" s="6"/>
      <c r="P240" s="9">
        <v>-15</v>
      </c>
    </row>
    <row r="241" spans="1:16" ht="19.5" customHeight="1">
      <c r="A241" s="1" t="s">
        <v>1120</v>
      </c>
      <c r="B241" s="5">
        <v>45970</v>
      </c>
      <c r="C241" s="1" t="s">
        <v>28</v>
      </c>
      <c r="D241" s="1" t="s">
        <v>29</v>
      </c>
      <c r="E241" s="1" t="s">
        <v>62</v>
      </c>
      <c r="F241" s="1" t="s">
        <v>63</v>
      </c>
      <c r="G241" s="1" t="s">
        <v>959</v>
      </c>
      <c r="H241" s="6">
        <v>1</v>
      </c>
      <c r="I241" s="7">
        <v>5500</v>
      </c>
      <c r="J241" s="5">
        <v>45965</v>
      </c>
      <c r="K241" s="1" t="s">
        <v>957</v>
      </c>
      <c r="L241" s="1" t="s">
        <v>30</v>
      </c>
      <c r="M241" s="8">
        <v>0.38</v>
      </c>
      <c r="N241" s="6"/>
      <c r="O241" s="6"/>
      <c r="P241" s="9">
        <v>-56</v>
      </c>
    </row>
    <row r="242" spans="1:16" ht="19.5" customHeight="1">
      <c r="A242" s="1" t="s">
        <v>1120</v>
      </c>
      <c r="B242" s="5">
        <v>45970</v>
      </c>
      <c r="C242" s="1" t="s">
        <v>31</v>
      </c>
      <c r="D242" s="1" t="s">
        <v>32</v>
      </c>
      <c r="E242" s="1" t="s">
        <v>62</v>
      </c>
      <c r="F242" s="1" t="s">
        <v>63</v>
      </c>
      <c r="G242" s="1" t="s">
        <v>959</v>
      </c>
      <c r="H242" s="6">
        <v>1</v>
      </c>
      <c r="I242" s="7">
        <v>5500</v>
      </c>
      <c r="J242" s="5">
        <v>45965</v>
      </c>
      <c r="K242" s="1" t="s">
        <v>957</v>
      </c>
      <c r="L242" s="1" t="s">
        <v>30</v>
      </c>
      <c r="M242" s="8">
        <v>0</v>
      </c>
      <c r="N242" s="6"/>
      <c r="O242" s="6"/>
      <c r="P242" s="9">
        <v>2889.52</v>
      </c>
    </row>
    <row r="243" spans="1:16" ht="19.5" customHeight="1">
      <c r="A243" s="1" t="s">
        <v>1120</v>
      </c>
      <c r="B243" s="5">
        <v>45970</v>
      </c>
      <c r="C243" s="1" t="s">
        <v>31</v>
      </c>
      <c r="D243" s="1" t="s">
        <v>33</v>
      </c>
      <c r="E243" s="1" t="s">
        <v>62</v>
      </c>
      <c r="F243" s="1" t="s">
        <v>63</v>
      </c>
      <c r="G243" s="1" t="s">
        <v>959</v>
      </c>
      <c r="H243" s="6">
        <v>1</v>
      </c>
      <c r="I243" s="7">
        <v>5500</v>
      </c>
      <c r="J243" s="5">
        <v>45965</v>
      </c>
      <c r="K243" s="1" t="s">
        <v>957</v>
      </c>
      <c r="L243" s="1" t="s">
        <v>30</v>
      </c>
      <c r="M243" s="8">
        <v>0</v>
      </c>
      <c r="N243" s="6"/>
      <c r="O243" s="6"/>
      <c r="P243" s="9">
        <v>28.9</v>
      </c>
    </row>
    <row r="244" spans="1:16" ht="19.5" customHeight="1">
      <c r="A244" s="1" t="s">
        <v>1120</v>
      </c>
      <c r="B244" s="5">
        <v>45970</v>
      </c>
      <c r="C244" s="1" t="s">
        <v>31</v>
      </c>
      <c r="D244" s="1" t="s">
        <v>34</v>
      </c>
      <c r="E244" s="1" t="s">
        <v>62</v>
      </c>
      <c r="F244" s="1" t="s">
        <v>63</v>
      </c>
      <c r="G244" s="1" t="s">
        <v>959</v>
      </c>
      <c r="H244" s="6">
        <v>1</v>
      </c>
      <c r="I244" s="7">
        <v>5500</v>
      </c>
      <c r="J244" s="5">
        <v>45965</v>
      </c>
      <c r="K244" s="1" t="s">
        <v>957</v>
      </c>
      <c r="L244" s="1" t="s">
        <v>30</v>
      </c>
      <c r="M244" s="8">
        <v>0</v>
      </c>
      <c r="N244" s="6"/>
      <c r="O244" s="6"/>
      <c r="P244" s="9">
        <v>2581.58</v>
      </c>
    </row>
    <row r="245" spans="1:16" ht="19.5" customHeight="1">
      <c r="A245" s="1" t="s">
        <v>1120</v>
      </c>
      <c r="B245" s="5">
        <v>45970</v>
      </c>
      <c r="C245" s="1" t="s">
        <v>35</v>
      </c>
      <c r="D245" s="1" t="s">
        <v>36</v>
      </c>
      <c r="E245" s="1" t="s">
        <v>62</v>
      </c>
      <c r="F245" s="1" t="s">
        <v>63</v>
      </c>
      <c r="G245" s="1" t="s">
        <v>959</v>
      </c>
      <c r="H245" s="6">
        <v>1</v>
      </c>
      <c r="I245" s="7">
        <v>5500</v>
      </c>
      <c r="J245" s="5">
        <v>45965</v>
      </c>
      <c r="K245" s="1" t="s">
        <v>957</v>
      </c>
      <c r="L245" s="1" t="s">
        <v>30</v>
      </c>
      <c r="M245" s="8">
        <v>0.38</v>
      </c>
      <c r="N245" s="6"/>
      <c r="O245" s="6"/>
      <c r="P245" s="9">
        <v>-2090</v>
      </c>
    </row>
    <row r="246" spans="1:16" ht="19.5" customHeight="1">
      <c r="A246" s="1" t="s">
        <v>1120</v>
      </c>
      <c r="B246" s="5">
        <v>45970</v>
      </c>
      <c r="C246" s="1" t="s">
        <v>17</v>
      </c>
      <c r="D246" s="1" t="s">
        <v>37</v>
      </c>
      <c r="E246" s="1" t="s">
        <v>62</v>
      </c>
      <c r="F246" s="1" t="s">
        <v>63</v>
      </c>
      <c r="G246" s="1" t="s">
        <v>959</v>
      </c>
      <c r="H246" s="6">
        <v>1</v>
      </c>
      <c r="I246" s="7">
        <v>5500</v>
      </c>
      <c r="J246" s="5">
        <v>45965</v>
      </c>
      <c r="K246" s="1" t="s">
        <v>957</v>
      </c>
      <c r="L246" s="1" t="s">
        <v>30</v>
      </c>
      <c r="M246" s="8">
        <v>0.38</v>
      </c>
      <c r="N246" s="6"/>
      <c r="O246" s="6"/>
      <c r="P246" s="9">
        <v>-12.28</v>
      </c>
    </row>
    <row r="247" spans="1:16" ht="19.5" customHeight="1">
      <c r="A247" s="1" t="s">
        <v>1120</v>
      </c>
      <c r="B247" s="5">
        <v>45970</v>
      </c>
      <c r="C247" s="1" t="s">
        <v>17</v>
      </c>
      <c r="D247" s="1" t="s">
        <v>18</v>
      </c>
      <c r="E247" s="1" t="s">
        <v>62</v>
      </c>
      <c r="F247" s="1" t="s">
        <v>63</v>
      </c>
      <c r="G247" s="1" t="s">
        <v>959</v>
      </c>
      <c r="H247" s="6">
        <v>1</v>
      </c>
      <c r="I247" s="7">
        <v>0</v>
      </c>
      <c r="J247" s="5">
        <v>45965</v>
      </c>
      <c r="K247" s="1" t="s">
        <v>22</v>
      </c>
      <c r="L247" s="1" t="s">
        <v>22</v>
      </c>
      <c r="M247" s="8">
        <v>0</v>
      </c>
      <c r="N247" s="6"/>
      <c r="O247" s="6"/>
      <c r="P247" s="9">
        <v>-54.9</v>
      </c>
    </row>
    <row r="248" spans="1:16" ht="19.5" customHeight="1">
      <c r="A248" s="1" t="s">
        <v>1121</v>
      </c>
      <c r="B248" s="5">
        <v>45970</v>
      </c>
      <c r="C248" s="1" t="s">
        <v>28</v>
      </c>
      <c r="D248" s="1" t="s">
        <v>29</v>
      </c>
      <c r="E248" s="1" t="s">
        <v>70</v>
      </c>
      <c r="F248" s="1" t="s">
        <v>71</v>
      </c>
      <c r="G248" s="1" t="s">
        <v>959</v>
      </c>
      <c r="H248" s="6">
        <v>1</v>
      </c>
      <c r="I248" s="7">
        <v>0</v>
      </c>
      <c r="J248" s="5">
        <v>45964</v>
      </c>
      <c r="K248" s="1" t="s">
        <v>957</v>
      </c>
      <c r="L248" s="1" t="s">
        <v>30</v>
      </c>
      <c r="M248" s="8">
        <v>0</v>
      </c>
      <c r="N248" s="6"/>
      <c r="O248" s="6"/>
      <c r="P248" s="9">
        <v>-56</v>
      </c>
    </row>
    <row r="249" spans="1:16" ht="19.5" customHeight="1">
      <c r="A249" s="1" t="s">
        <v>1121</v>
      </c>
      <c r="B249" s="5">
        <v>45970</v>
      </c>
      <c r="C249" s="1" t="s">
        <v>17</v>
      </c>
      <c r="D249" s="1" t="s">
        <v>37</v>
      </c>
      <c r="E249" s="1" t="s">
        <v>70</v>
      </c>
      <c r="F249" s="1" t="s">
        <v>71</v>
      </c>
      <c r="G249" s="1" t="s">
        <v>959</v>
      </c>
      <c r="H249" s="6">
        <v>1</v>
      </c>
      <c r="I249" s="7">
        <v>0</v>
      </c>
      <c r="J249" s="5">
        <v>45964</v>
      </c>
      <c r="K249" s="1" t="s">
        <v>957</v>
      </c>
      <c r="L249" s="1" t="s">
        <v>30</v>
      </c>
      <c r="M249" s="8">
        <v>0</v>
      </c>
      <c r="N249" s="6"/>
      <c r="O249" s="6"/>
      <c r="P249" s="9">
        <v>-13.89</v>
      </c>
    </row>
    <row r="250" spans="1:16" ht="19.5" customHeight="1">
      <c r="A250" s="1" t="s">
        <v>1121</v>
      </c>
      <c r="B250" s="5">
        <v>45970</v>
      </c>
      <c r="C250" s="1" t="s">
        <v>28</v>
      </c>
      <c r="D250" s="1" t="s">
        <v>45</v>
      </c>
      <c r="E250" s="1" t="s">
        <v>70</v>
      </c>
      <c r="F250" s="1" t="s">
        <v>71</v>
      </c>
      <c r="G250" s="1" t="s">
        <v>959</v>
      </c>
      <c r="H250" s="6">
        <v>1</v>
      </c>
      <c r="I250" s="7">
        <v>0</v>
      </c>
      <c r="J250" s="5">
        <v>45964</v>
      </c>
      <c r="K250" s="1" t="s">
        <v>957</v>
      </c>
      <c r="L250" s="1" t="s">
        <v>30</v>
      </c>
      <c r="M250" s="8">
        <v>0</v>
      </c>
      <c r="N250" s="6"/>
      <c r="O250" s="6"/>
      <c r="P250" s="9">
        <v>0</v>
      </c>
    </row>
    <row r="251" spans="1:16" ht="19.5" customHeight="1">
      <c r="A251" s="1" t="s">
        <v>1121</v>
      </c>
      <c r="B251" s="5">
        <v>45970</v>
      </c>
      <c r="C251" s="1" t="s">
        <v>28</v>
      </c>
      <c r="D251" s="1" t="s">
        <v>46</v>
      </c>
      <c r="E251" s="1" t="s">
        <v>70</v>
      </c>
      <c r="F251" s="1" t="s">
        <v>71</v>
      </c>
      <c r="G251" s="1" t="s">
        <v>959</v>
      </c>
      <c r="H251" s="6">
        <v>1</v>
      </c>
      <c r="I251" s="7">
        <v>0</v>
      </c>
      <c r="J251" s="5">
        <v>45964</v>
      </c>
      <c r="K251" s="1" t="s">
        <v>957</v>
      </c>
      <c r="L251" s="1" t="s">
        <v>30</v>
      </c>
      <c r="M251" s="8">
        <v>0</v>
      </c>
      <c r="N251" s="6"/>
      <c r="O251" s="6"/>
      <c r="P251" s="9">
        <v>-56</v>
      </c>
    </row>
    <row r="252" spans="1:16" ht="19.5" customHeight="1">
      <c r="A252" s="1" t="s">
        <v>1121</v>
      </c>
      <c r="B252" s="5">
        <v>45970</v>
      </c>
      <c r="C252" s="1" t="s">
        <v>17</v>
      </c>
      <c r="D252" s="1" t="s">
        <v>47</v>
      </c>
      <c r="E252" s="1" t="s">
        <v>70</v>
      </c>
      <c r="F252" s="1" t="s">
        <v>71</v>
      </c>
      <c r="G252" s="1" t="s">
        <v>959</v>
      </c>
      <c r="H252" s="6">
        <v>1</v>
      </c>
      <c r="I252" s="7">
        <v>0</v>
      </c>
      <c r="J252" s="5">
        <v>45964</v>
      </c>
      <c r="K252" s="1" t="s">
        <v>957</v>
      </c>
      <c r="L252" s="1" t="s">
        <v>30</v>
      </c>
      <c r="M252" s="8">
        <v>0</v>
      </c>
      <c r="N252" s="6"/>
      <c r="O252" s="6"/>
      <c r="P252" s="9">
        <v>-15</v>
      </c>
    </row>
    <row r="253" spans="1:16" ht="19.5" customHeight="1">
      <c r="A253" s="1" t="s">
        <v>1122</v>
      </c>
      <c r="B253" s="5">
        <v>45970</v>
      </c>
      <c r="C253" s="1" t="s">
        <v>28</v>
      </c>
      <c r="D253" s="1" t="s">
        <v>29</v>
      </c>
      <c r="E253" s="1" t="s">
        <v>88</v>
      </c>
      <c r="F253" s="1" t="s">
        <v>89</v>
      </c>
      <c r="G253" s="1" t="s">
        <v>21</v>
      </c>
      <c r="H253" s="6">
        <v>1</v>
      </c>
      <c r="I253" s="7">
        <v>1364</v>
      </c>
      <c r="J253" s="5">
        <v>45965</v>
      </c>
      <c r="K253" s="1" t="s">
        <v>957</v>
      </c>
      <c r="L253" s="1" t="s">
        <v>30</v>
      </c>
      <c r="M253" s="8">
        <v>0.38</v>
      </c>
      <c r="N253" s="6"/>
      <c r="O253" s="6"/>
      <c r="P253" s="9">
        <v>-46</v>
      </c>
    </row>
    <row r="254" spans="1:16" ht="19.5" customHeight="1">
      <c r="A254" s="1" t="s">
        <v>1122</v>
      </c>
      <c r="B254" s="5">
        <v>45970</v>
      </c>
      <c r="C254" s="1" t="s">
        <v>31</v>
      </c>
      <c r="D254" s="1" t="s">
        <v>32</v>
      </c>
      <c r="E254" s="1" t="s">
        <v>88</v>
      </c>
      <c r="F254" s="1" t="s">
        <v>89</v>
      </c>
      <c r="G254" s="1" t="s">
        <v>21</v>
      </c>
      <c r="H254" s="6">
        <v>1</v>
      </c>
      <c r="I254" s="7">
        <v>1364</v>
      </c>
      <c r="J254" s="5">
        <v>45965</v>
      </c>
      <c r="K254" s="1" t="s">
        <v>957</v>
      </c>
      <c r="L254" s="1" t="s">
        <v>30</v>
      </c>
      <c r="M254" s="8">
        <v>0</v>
      </c>
      <c r="N254" s="6"/>
      <c r="O254" s="6"/>
      <c r="P254" s="9">
        <v>695.24</v>
      </c>
    </row>
    <row r="255" spans="1:16" ht="19.5" customHeight="1">
      <c r="A255" s="1" t="s">
        <v>1122</v>
      </c>
      <c r="B255" s="5">
        <v>45970</v>
      </c>
      <c r="C255" s="1" t="s">
        <v>31</v>
      </c>
      <c r="D255" s="1" t="s">
        <v>33</v>
      </c>
      <c r="E255" s="1" t="s">
        <v>88</v>
      </c>
      <c r="F255" s="1" t="s">
        <v>89</v>
      </c>
      <c r="G255" s="1" t="s">
        <v>21</v>
      </c>
      <c r="H255" s="6">
        <v>1</v>
      </c>
      <c r="I255" s="7">
        <v>1364</v>
      </c>
      <c r="J255" s="5">
        <v>45965</v>
      </c>
      <c r="K255" s="1" t="s">
        <v>957</v>
      </c>
      <c r="L255" s="1" t="s">
        <v>30</v>
      </c>
      <c r="M255" s="8">
        <v>0</v>
      </c>
      <c r="N255" s="6"/>
      <c r="O255" s="6"/>
      <c r="P255" s="9">
        <v>6.95</v>
      </c>
    </row>
    <row r="256" spans="1:16" ht="19.5" customHeight="1">
      <c r="A256" s="1" t="s">
        <v>1122</v>
      </c>
      <c r="B256" s="5">
        <v>45970</v>
      </c>
      <c r="C256" s="1" t="s">
        <v>31</v>
      </c>
      <c r="D256" s="1" t="s">
        <v>34</v>
      </c>
      <c r="E256" s="1" t="s">
        <v>88</v>
      </c>
      <c r="F256" s="1" t="s">
        <v>89</v>
      </c>
      <c r="G256" s="1" t="s">
        <v>21</v>
      </c>
      <c r="H256" s="6">
        <v>1</v>
      </c>
      <c r="I256" s="7">
        <v>1364</v>
      </c>
      <c r="J256" s="5">
        <v>45965</v>
      </c>
      <c r="K256" s="1" t="s">
        <v>957</v>
      </c>
      <c r="L256" s="1" t="s">
        <v>30</v>
      </c>
      <c r="M256" s="8">
        <v>0</v>
      </c>
      <c r="N256" s="6"/>
      <c r="O256" s="6"/>
      <c r="P256" s="9">
        <v>661.81</v>
      </c>
    </row>
    <row r="257" spans="1:16" ht="19.5" customHeight="1">
      <c r="A257" s="1" t="s">
        <v>1122</v>
      </c>
      <c r="B257" s="5">
        <v>45970</v>
      </c>
      <c r="C257" s="1" t="s">
        <v>35</v>
      </c>
      <c r="D257" s="1" t="s">
        <v>36</v>
      </c>
      <c r="E257" s="1" t="s">
        <v>88</v>
      </c>
      <c r="F257" s="1" t="s">
        <v>89</v>
      </c>
      <c r="G257" s="1" t="s">
        <v>21</v>
      </c>
      <c r="H257" s="6">
        <v>1</v>
      </c>
      <c r="I257" s="7">
        <v>1364</v>
      </c>
      <c r="J257" s="5">
        <v>45965</v>
      </c>
      <c r="K257" s="1" t="s">
        <v>957</v>
      </c>
      <c r="L257" s="1" t="s">
        <v>30</v>
      </c>
      <c r="M257" s="8">
        <v>0.38</v>
      </c>
      <c r="N257" s="6"/>
      <c r="O257" s="6"/>
      <c r="P257" s="9">
        <v>-518.32000000000005</v>
      </c>
    </row>
    <row r="258" spans="1:16" ht="19.5" customHeight="1">
      <c r="A258" s="1" t="s">
        <v>1122</v>
      </c>
      <c r="B258" s="5">
        <v>45970</v>
      </c>
      <c r="C258" s="1" t="s">
        <v>17</v>
      </c>
      <c r="D258" s="1" t="s">
        <v>37</v>
      </c>
      <c r="E258" s="1" t="s">
        <v>88</v>
      </c>
      <c r="F258" s="1" t="s">
        <v>89</v>
      </c>
      <c r="G258" s="1" t="s">
        <v>21</v>
      </c>
      <c r="H258" s="6">
        <v>1</v>
      </c>
      <c r="I258" s="7">
        <v>1364</v>
      </c>
      <c r="J258" s="5">
        <v>45965</v>
      </c>
      <c r="K258" s="1" t="s">
        <v>957</v>
      </c>
      <c r="L258" s="1" t="s">
        <v>30</v>
      </c>
      <c r="M258" s="8">
        <v>0.38</v>
      </c>
      <c r="N258" s="6"/>
      <c r="O258" s="6"/>
      <c r="P258" s="9">
        <v>-9.36</v>
      </c>
    </row>
    <row r="259" spans="1:16" ht="19.5" customHeight="1">
      <c r="A259" s="1" t="s">
        <v>1123</v>
      </c>
      <c r="B259" s="5">
        <v>45970</v>
      </c>
      <c r="C259" s="1" t="s">
        <v>28</v>
      </c>
      <c r="D259" s="1" t="s">
        <v>29</v>
      </c>
      <c r="E259" s="1" t="s">
        <v>223</v>
      </c>
      <c r="F259" s="1" t="s">
        <v>395</v>
      </c>
      <c r="G259" s="1" t="s">
        <v>21</v>
      </c>
      <c r="H259" s="6">
        <v>1</v>
      </c>
      <c r="I259" s="7">
        <v>1336</v>
      </c>
      <c r="J259" s="5">
        <v>45969</v>
      </c>
      <c r="K259" s="1" t="s">
        <v>957</v>
      </c>
      <c r="L259" s="1" t="s">
        <v>30</v>
      </c>
      <c r="M259" s="8">
        <v>0.38</v>
      </c>
      <c r="N259" s="6"/>
      <c r="O259" s="6"/>
      <c r="P259" s="9">
        <v>-46</v>
      </c>
    </row>
    <row r="260" spans="1:16" ht="19.5" customHeight="1">
      <c r="A260" s="1" t="s">
        <v>1123</v>
      </c>
      <c r="B260" s="5">
        <v>45970</v>
      </c>
      <c r="C260" s="1" t="s">
        <v>31</v>
      </c>
      <c r="D260" s="1" t="s">
        <v>32</v>
      </c>
      <c r="E260" s="1" t="s">
        <v>223</v>
      </c>
      <c r="F260" s="1" t="s">
        <v>395</v>
      </c>
      <c r="G260" s="1" t="s">
        <v>21</v>
      </c>
      <c r="H260" s="6">
        <v>1</v>
      </c>
      <c r="I260" s="7">
        <v>1336</v>
      </c>
      <c r="J260" s="5">
        <v>45969</v>
      </c>
      <c r="K260" s="1" t="s">
        <v>957</v>
      </c>
      <c r="L260" s="1" t="s">
        <v>30</v>
      </c>
      <c r="M260" s="8">
        <v>0</v>
      </c>
      <c r="N260" s="6"/>
      <c r="O260" s="6"/>
      <c r="P260" s="9">
        <v>724.76</v>
      </c>
    </row>
    <row r="261" spans="1:16" ht="19.5" customHeight="1">
      <c r="A261" s="1" t="s">
        <v>1123</v>
      </c>
      <c r="B261" s="5">
        <v>45970</v>
      </c>
      <c r="C261" s="1" t="s">
        <v>31</v>
      </c>
      <c r="D261" s="1" t="s">
        <v>33</v>
      </c>
      <c r="E261" s="1" t="s">
        <v>223</v>
      </c>
      <c r="F261" s="1" t="s">
        <v>395</v>
      </c>
      <c r="G261" s="1" t="s">
        <v>21</v>
      </c>
      <c r="H261" s="6">
        <v>1</v>
      </c>
      <c r="I261" s="7">
        <v>1336</v>
      </c>
      <c r="J261" s="5">
        <v>45969</v>
      </c>
      <c r="K261" s="1" t="s">
        <v>957</v>
      </c>
      <c r="L261" s="1" t="s">
        <v>30</v>
      </c>
      <c r="M261" s="8">
        <v>0</v>
      </c>
      <c r="N261" s="6"/>
      <c r="O261" s="6"/>
      <c r="P261" s="9">
        <v>7.25</v>
      </c>
    </row>
    <row r="262" spans="1:16" ht="19.5" customHeight="1">
      <c r="A262" s="1" t="s">
        <v>1123</v>
      </c>
      <c r="B262" s="5">
        <v>45970</v>
      </c>
      <c r="C262" s="1" t="s">
        <v>31</v>
      </c>
      <c r="D262" s="1" t="s">
        <v>34</v>
      </c>
      <c r="E262" s="1" t="s">
        <v>223</v>
      </c>
      <c r="F262" s="1" t="s">
        <v>395</v>
      </c>
      <c r="G262" s="1" t="s">
        <v>21</v>
      </c>
      <c r="H262" s="6">
        <v>1</v>
      </c>
      <c r="I262" s="7">
        <v>1336</v>
      </c>
      <c r="J262" s="5">
        <v>45969</v>
      </c>
      <c r="K262" s="1" t="s">
        <v>957</v>
      </c>
      <c r="L262" s="1" t="s">
        <v>30</v>
      </c>
      <c r="M262" s="8">
        <v>0</v>
      </c>
      <c r="N262" s="6"/>
      <c r="O262" s="6"/>
      <c r="P262" s="9">
        <v>603.99</v>
      </c>
    </row>
    <row r="263" spans="1:16" ht="19.5" customHeight="1">
      <c r="A263" s="1" t="s">
        <v>1123</v>
      </c>
      <c r="B263" s="5">
        <v>45970</v>
      </c>
      <c r="C263" s="1" t="s">
        <v>35</v>
      </c>
      <c r="D263" s="1" t="s">
        <v>36</v>
      </c>
      <c r="E263" s="1" t="s">
        <v>223</v>
      </c>
      <c r="F263" s="1" t="s">
        <v>395</v>
      </c>
      <c r="G263" s="1" t="s">
        <v>21</v>
      </c>
      <c r="H263" s="6">
        <v>1</v>
      </c>
      <c r="I263" s="7">
        <v>1336</v>
      </c>
      <c r="J263" s="5">
        <v>45969</v>
      </c>
      <c r="K263" s="1" t="s">
        <v>957</v>
      </c>
      <c r="L263" s="1" t="s">
        <v>30</v>
      </c>
      <c r="M263" s="8">
        <v>0.38</v>
      </c>
      <c r="N263" s="6"/>
      <c r="O263" s="6"/>
      <c r="P263" s="9">
        <v>-507.68</v>
      </c>
    </row>
    <row r="264" spans="1:16" ht="19.5" customHeight="1">
      <c r="A264" s="1" t="s">
        <v>1123</v>
      </c>
      <c r="B264" s="5">
        <v>45970</v>
      </c>
      <c r="C264" s="1" t="s">
        <v>17</v>
      </c>
      <c r="D264" s="1" t="s">
        <v>37</v>
      </c>
      <c r="E264" s="1" t="s">
        <v>223</v>
      </c>
      <c r="F264" s="1" t="s">
        <v>395</v>
      </c>
      <c r="G264" s="1" t="s">
        <v>21</v>
      </c>
      <c r="H264" s="6">
        <v>1</v>
      </c>
      <c r="I264" s="7">
        <v>1336</v>
      </c>
      <c r="J264" s="5">
        <v>45969</v>
      </c>
      <c r="K264" s="1" t="s">
        <v>957</v>
      </c>
      <c r="L264" s="1" t="s">
        <v>30</v>
      </c>
      <c r="M264" s="8">
        <v>0.38</v>
      </c>
      <c r="N264" s="6"/>
      <c r="O264" s="6"/>
      <c r="P264" s="9">
        <v>-8.08</v>
      </c>
    </row>
    <row r="265" spans="1:16" ht="19.5" customHeight="1">
      <c r="A265" s="1" t="s">
        <v>1122</v>
      </c>
      <c r="B265" s="5">
        <v>45970</v>
      </c>
      <c r="C265" s="1" t="s">
        <v>17</v>
      </c>
      <c r="D265" s="1" t="s">
        <v>18</v>
      </c>
      <c r="E265" s="1" t="s">
        <v>88</v>
      </c>
      <c r="F265" s="1" t="s">
        <v>89</v>
      </c>
      <c r="G265" s="1" t="s">
        <v>21</v>
      </c>
      <c r="H265" s="6">
        <v>1</v>
      </c>
      <c r="I265" s="7">
        <v>0</v>
      </c>
      <c r="J265" s="5">
        <v>45965</v>
      </c>
      <c r="K265" s="1" t="s">
        <v>22</v>
      </c>
      <c r="L265" s="1" t="s">
        <v>22</v>
      </c>
      <c r="M265" s="8">
        <v>0</v>
      </c>
      <c r="N265" s="6"/>
      <c r="O265" s="6"/>
      <c r="P265" s="9">
        <v>-13.21</v>
      </c>
    </row>
    <row r="266" spans="1:16" ht="19.5" customHeight="1">
      <c r="A266" s="1" t="s">
        <v>1124</v>
      </c>
      <c r="B266" s="5">
        <v>45970</v>
      </c>
      <c r="C266" s="1" t="s">
        <v>28</v>
      </c>
      <c r="D266" s="1" t="s">
        <v>29</v>
      </c>
      <c r="E266" s="1" t="s">
        <v>70</v>
      </c>
      <c r="F266" s="1" t="s">
        <v>71</v>
      </c>
      <c r="G266" s="1" t="s">
        <v>959</v>
      </c>
      <c r="H266" s="6">
        <v>1</v>
      </c>
      <c r="I266" s="7">
        <v>5500</v>
      </c>
      <c r="J266" s="5">
        <v>45968</v>
      </c>
      <c r="K266" s="1" t="s">
        <v>957</v>
      </c>
      <c r="L266" s="1" t="s">
        <v>30</v>
      </c>
      <c r="M266" s="8">
        <v>0.38</v>
      </c>
      <c r="N266" s="6"/>
      <c r="O266" s="6"/>
      <c r="P266" s="9">
        <v>-56</v>
      </c>
    </row>
    <row r="267" spans="1:16" ht="19.5" customHeight="1">
      <c r="A267" s="1" t="s">
        <v>1124</v>
      </c>
      <c r="B267" s="5">
        <v>45970</v>
      </c>
      <c r="C267" s="1" t="s">
        <v>31</v>
      </c>
      <c r="D267" s="1" t="s">
        <v>32</v>
      </c>
      <c r="E267" s="1" t="s">
        <v>70</v>
      </c>
      <c r="F267" s="1" t="s">
        <v>71</v>
      </c>
      <c r="G267" s="1" t="s">
        <v>959</v>
      </c>
      <c r="H267" s="6">
        <v>1</v>
      </c>
      <c r="I267" s="7">
        <v>5500</v>
      </c>
      <c r="J267" s="5">
        <v>45968</v>
      </c>
      <c r="K267" s="1" t="s">
        <v>957</v>
      </c>
      <c r="L267" s="1" t="s">
        <v>30</v>
      </c>
      <c r="M267" s="8">
        <v>0</v>
      </c>
      <c r="N267" s="6"/>
      <c r="O267" s="6"/>
      <c r="P267" s="9">
        <v>2957.18</v>
      </c>
    </row>
    <row r="268" spans="1:16" ht="19.5" customHeight="1">
      <c r="A268" s="1" t="s">
        <v>1124</v>
      </c>
      <c r="B268" s="5">
        <v>45970</v>
      </c>
      <c r="C268" s="1" t="s">
        <v>31</v>
      </c>
      <c r="D268" s="1" t="s">
        <v>33</v>
      </c>
      <c r="E268" s="1" t="s">
        <v>70</v>
      </c>
      <c r="F268" s="1" t="s">
        <v>71</v>
      </c>
      <c r="G268" s="1" t="s">
        <v>959</v>
      </c>
      <c r="H268" s="6">
        <v>1</v>
      </c>
      <c r="I268" s="7">
        <v>5500</v>
      </c>
      <c r="J268" s="5">
        <v>45968</v>
      </c>
      <c r="K268" s="1" t="s">
        <v>957</v>
      </c>
      <c r="L268" s="1" t="s">
        <v>30</v>
      </c>
      <c r="M268" s="8">
        <v>0</v>
      </c>
      <c r="N268" s="6"/>
      <c r="O268" s="6"/>
      <c r="P268" s="9">
        <v>0</v>
      </c>
    </row>
    <row r="269" spans="1:16" ht="19.5" customHeight="1">
      <c r="A269" s="1" t="s">
        <v>1124</v>
      </c>
      <c r="B269" s="5">
        <v>45970</v>
      </c>
      <c r="C269" s="1" t="s">
        <v>31</v>
      </c>
      <c r="D269" s="1" t="s">
        <v>34</v>
      </c>
      <c r="E269" s="1" t="s">
        <v>70</v>
      </c>
      <c r="F269" s="1" t="s">
        <v>71</v>
      </c>
      <c r="G269" s="1" t="s">
        <v>959</v>
      </c>
      <c r="H269" s="6">
        <v>1</v>
      </c>
      <c r="I269" s="7">
        <v>5500</v>
      </c>
      <c r="J269" s="5">
        <v>45968</v>
      </c>
      <c r="K269" s="1" t="s">
        <v>957</v>
      </c>
      <c r="L269" s="1" t="s">
        <v>30</v>
      </c>
      <c r="M269" s="8">
        <v>0</v>
      </c>
      <c r="N269" s="6"/>
      <c r="O269" s="6"/>
      <c r="P269" s="9">
        <v>2542.8200000000002</v>
      </c>
    </row>
    <row r="270" spans="1:16" ht="19.5" customHeight="1">
      <c r="A270" s="1" t="s">
        <v>1124</v>
      </c>
      <c r="B270" s="5">
        <v>45970</v>
      </c>
      <c r="C270" s="1" t="s">
        <v>35</v>
      </c>
      <c r="D270" s="1" t="s">
        <v>36</v>
      </c>
      <c r="E270" s="1" t="s">
        <v>70</v>
      </c>
      <c r="F270" s="1" t="s">
        <v>71</v>
      </c>
      <c r="G270" s="1" t="s">
        <v>959</v>
      </c>
      <c r="H270" s="6">
        <v>1</v>
      </c>
      <c r="I270" s="7">
        <v>5500</v>
      </c>
      <c r="J270" s="5">
        <v>45968</v>
      </c>
      <c r="K270" s="1" t="s">
        <v>957</v>
      </c>
      <c r="L270" s="1" t="s">
        <v>30</v>
      </c>
      <c r="M270" s="8">
        <v>0.38</v>
      </c>
      <c r="N270" s="6"/>
      <c r="O270" s="6"/>
      <c r="P270" s="9">
        <v>-2090</v>
      </c>
    </row>
    <row r="271" spans="1:16" ht="19.5" customHeight="1">
      <c r="A271" s="1" t="s">
        <v>1124</v>
      </c>
      <c r="B271" s="5">
        <v>45970</v>
      </c>
      <c r="C271" s="1" t="s">
        <v>17</v>
      </c>
      <c r="D271" s="1" t="s">
        <v>37</v>
      </c>
      <c r="E271" s="1" t="s">
        <v>70</v>
      </c>
      <c r="F271" s="1" t="s">
        <v>71</v>
      </c>
      <c r="G271" s="1" t="s">
        <v>959</v>
      </c>
      <c r="H271" s="6">
        <v>1</v>
      </c>
      <c r="I271" s="7">
        <v>5500</v>
      </c>
      <c r="J271" s="5">
        <v>45968</v>
      </c>
      <c r="K271" s="1" t="s">
        <v>957</v>
      </c>
      <c r="L271" s="1" t="s">
        <v>30</v>
      </c>
      <c r="M271" s="8">
        <v>0.38</v>
      </c>
      <c r="N271" s="6"/>
      <c r="O271" s="6"/>
      <c r="P271" s="9">
        <v>-11.93</v>
      </c>
    </row>
    <row r="272" spans="1:16" ht="19.5" customHeight="1">
      <c r="A272" s="1" t="s">
        <v>1123</v>
      </c>
      <c r="B272" s="5">
        <v>45970</v>
      </c>
      <c r="C272" s="1" t="s">
        <v>17</v>
      </c>
      <c r="D272" s="1" t="s">
        <v>18</v>
      </c>
      <c r="E272" s="1" t="s">
        <v>223</v>
      </c>
      <c r="F272" s="1" t="s">
        <v>395</v>
      </c>
      <c r="G272" s="1" t="s">
        <v>21</v>
      </c>
      <c r="H272" s="6">
        <v>1</v>
      </c>
      <c r="I272" s="7">
        <v>0</v>
      </c>
      <c r="J272" s="5">
        <v>45969</v>
      </c>
      <c r="K272" s="1" t="s">
        <v>22</v>
      </c>
      <c r="L272" s="1" t="s">
        <v>22</v>
      </c>
      <c r="M272" s="8">
        <v>0</v>
      </c>
      <c r="N272" s="6"/>
      <c r="O272" s="6"/>
      <c r="P272" s="9">
        <v>-13.77</v>
      </c>
    </row>
    <row r="273" spans="1:16" ht="19.5" customHeight="1">
      <c r="A273" s="1" t="s">
        <v>1124</v>
      </c>
      <c r="B273" s="5">
        <v>45970</v>
      </c>
      <c r="C273" s="1" t="s">
        <v>17</v>
      </c>
      <c r="D273" s="1" t="s">
        <v>18</v>
      </c>
      <c r="E273" s="1" t="s">
        <v>70</v>
      </c>
      <c r="F273" s="1" t="s">
        <v>71</v>
      </c>
      <c r="G273" s="1" t="s">
        <v>959</v>
      </c>
      <c r="H273" s="6">
        <v>1</v>
      </c>
      <c r="I273" s="7">
        <v>0</v>
      </c>
      <c r="J273" s="5">
        <v>45968</v>
      </c>
      <c r="K273" s="1" t="s">
        <v>22</v>
      </c>
      <c r="L273" s="1" t="s">
        <v>22</v>
      </c>
      <c r="M273" s="8">
        <v>0</v>
      </c>
      <c r="N273" s="6"/>
      <c r="O273" s="6"/>
      <c r="P273" s="9">
        <v>-16.260000000000002</v>
      </c>
    </row>
    <row r="274" spans="1:16" ht="19.5" customHeight="1">
      <c r="A274" s="1" t="s">
        <v>1125</v>
      </c>
      <c r="B274" s="5">
        <v>45970</v>
      </c>
      <c r="C274" s="1" t="s">
        <v>17</v>
      </c>
      <c r="D274" s="1" t="s">
        <v>18</v>
      </c>
      <c r="E274" s="1" t="s">
        <v>223</v>
      </c>
      <c r="F274" s="1" t="s">
        <v>395</v>
      </c>
      <c r="G274" s="1" t="s">
        <v>21</v>
      </c>
      <c r="H274" s="6">
        <v>1</v>
      </c>
      <c r="I274" s="7">
        <v>0</v>
      </c>
      <c r="J274" s="5">
        <v>45970</v>
      </c>
      <c r="K274" s="1" t="s">
        <v>22</v>
      </c>
      <c r="L274" s="1" t="s">
        <v>22</v>
      </c>
      <c r="M274" s="8">
        <v>0</v>
      </c>
      <c r="N274" s="6"/>
      <c r="O274" s="6"/>
      <c r="P274" s="9">
        <v>-13.27</v>
      </c>
    </row>
    <row r="275" spans="1:16" ht="19.5" customHeight="1">
      <c r="A275" s="1" t="s">
        <v>1117</v>
      </c>
      <c r="B275" s="5">
        <v>45970</v>
      </c>
      <c r="C275" s="1" t="s">
        <v>261</v>
      </c>
      <c r="D275" s="1" t="s">
        <v>581</v>
      </c>
      <c r="E275" s="1" t="s">
        <v>22</v>
      </c>
      <c r="F275" s="1" t="s">
        <v>22</v>
      </c>
      <c r="G275" s="1" t="s">
        <v>22</v>
      </c>
      <c r="H275" s="6">
        <v>0</v>
      </c>
      <c r="I275" s="7">
        <v>0</v>
      </c>
      <c r="J275" s="5">
        <v>45970</v>
      </c>
      <c r="K275" s="1" t="s">
        <v>22</v>
      </c>
      <c r="L275" s="1" t="s">
        <v>22</v>
      </c>
      <c r="M275" s="8">
        <v>0</v>
      </c>
      <c r="N275" s="6"/>
      <c r="O275" s="6"/>
      <c r="P275" s="9">
        <v>-800</v>
      </c>
    </row>
    <row r="276" spans="1:16" ht="19.5" customHeight="1">
      <c r="A276" s="1" t="s">
        <v>1102</v>
      </c>
      <c r="B276" s="5">
        <v>45970</v>
      </c>
      <c r="C276" s="1" t="s">
        <v>126</v>
      </c>
      <c r="D276" s="1" t="s">
        <v>127</v>
      </c>
      <c r="E276" s="1" t="s">
        <v>43</v>
      </c>
      <c r="F276" s="1" t="s">
        <v>44</v>
      </c>
      <c r="G276" s="1" t="s">
        <v>959</v>
      </c>
      <c r="H276" s="6">
        <v>1</v>
      </c>
      <c r="I276" s="7">
        <v>-5500</v>
      </c>
      <c r="J276" s="5">
        <v>45967</v>
      </c>
      <c r="K276" s="1" t="s">
        <v>957</v>
      </c>
      <c r="L276" s="1" t="s">
        <v>30</v>
      </c>
      <c r="M276" s="8">
        <v>0</v>
      </c>
      <c r="N276" s="6"/>
      <c r="O276" s="6"/>
      <c r="P276" s="9">
        <v>-2908.06</v>
      </c>
    </row>
    <row r="277" spans="1:16" ht="19.5" customHeight="1">
      <c r="A277" s="1" t="s">
        <v>1102</v>
      </c>
      <c r="B277" s="5">
        <v>45970</v>
      </c>
      <c r="C277" s="1" t="s">
        <v>126</v>
      </c>
      <c r="D277" s="1" t="s">
        <v>33</v>
      </c>
      <c r="E277" s="1" t="s">
        <v>43</v>
      </c>
      <c r="F277" s="1" t="s">
        <v>44</v>
      </c>
      <c r="G277" s="1" t="s">
        <v>959</v>
      </c>
      <c r="H277" s="6">
        <v>1</v>
      </c>
      <c r="I277" s="7">
        <v>-5500</v>
      </c>
      <c r="J277" s="5">
        <v>45967</v>
      </c>
      <c r="K277" s="1" t="s">
        <v>957</v>
      </c>
      <c r="L277" s="1" t="s">
        <v>30</v>
      </c>
      <c r="M277" s="8">
        <v>0</v>
      </c>
      <c r="N277" s="6"/>
      <c r="O277" s="6"/>
      <c r="P277" s="9">
        <v>0</v>
      </c>
    </row>
    <row r="278" spans="1:16" ht="19.5" customHeight="1">
      <c r="A278" s="1" t="s">
        <v>1102</v>
      </c>
      <c r="B278" s="5">
        <v>45970</v>
      </c>
      <c r="C278" s="1" t="s">
        <v>126</v>
      </c>
      <c r="D278" s="1" t="s">
        <v>34</v>
      </c>
      <c r="E278" s="1" t="s">
        <v>43</v>
      </c>
      <c r="F278" s="1" t="s">
        <v>44</v>
      </c>
      <c r="G278" s="1" t="s">
        <v>959</v>
      </c>
      <c r="H278" s="6">
        <v>1</v>
      </c>
      <c r="I278" s="7">
        <v>-5500</v>
      </c>
      <c r="J278" s="5">
        <v>45967</v>
      </c>
      <c r="K278" s="1" t="s">
        <v>957</v>
      </c>
      <c r="L278" s="1" t="s">
        <v>30</v>
      </c>
      <c r="M278" s="8">
        <v>0</v>
      </c>
      <c r="N278" s="6"/>
      <c r="O278" s="6"/>
      <c r="P278" s="9">
        <v>-2591.94</v>
      </c>
    </row>
    <row r="279" spans="1:16" ht="19.5" customHeight="1">
      <c r="A279" s="1" t="s">
        <v>1102</v>
      </c>
      <c r="B279" s="5">
        <v>45970</v>
      </c>
      <c r="C279" s="1" t="s">
        <v>35</v>
      </c>
      <c r="D279" s="1" t="s">
        <v>128</v>
      </c>
      <c r="E279" s="1" t="s">
        <v>43</v>
      </c>
      <c r="F279" s="1" t="s">
        <v>44</v>
      </c>
      <c r="G279" s="1" t="s">
        <v>959</v>
      </c>
      <c r="H279" s="6">
        <v>1</v>
      </c>
      <c r="I279" s="7">
        <v>-5500</v>
      </c>
      <c r="J279" s="5">
        <v>45967</v>
      </c>
      <c r="K279" s="1" t="s">
        <v>957</v>
      </c>
      <c r="L279" s="1" t="s">
        <v>30</v>
      </c>
      <c r="M279" s="8">
        <v>0.38</v>
      </c>
      <c r="N279" s="6"/>
      <c r="O279" s="6"/>
      <c r="P279" s="9">
        <v>2090</v>
      </c>
    </row>
    <row r="280" spans="1:16" ht="19.5" customHeight="1">
      <c r="A280" s="1" t="s">
        <v>1100</v>
      </c>
      <c r="B280" s="5">
        <v>45970</v>
      </c>
      <c r="C280" s="1" t="s">
        <v>126</v>
      </c>
      <c r="D280" s="1" t="s">
        <v>127</v>
      </c>
      <c r="E280" s="1" t="s">
        <v>242</v>
      </c>
      <c r="F280" s="1" t="s">
        <v>1101</v>
      </c>
      <c r="G280" s="1" t="s">
        <v>959</v>
      </c>
      <c r="H280" s="6">
        <v>1</v>
      </c>
      <c r="I280" s="7">
        <v>-4549</v>
      </c>
      <c r="J280" s="5">
        <v>45967</v>
      </c>
      <c r="K280" s="1" t="s">
        <v>957</v>
      </c>
      <c r="L280" s="1" t="s">
        <v>30</v>
      </c>
      <c r="M280" s="8">
        <v>0</v>
      </c>
      <c r="N280" s="6"/>
      <c r="O280" s="6"/>
      <c r="P280" s="9">
        <v>-2522.27</v>
      </c>
    </row>
    <row r="281" spans="1:16" ht="19.5" customHeight="1">
      <c r="A281" s="1" t="s">
        <v>1100</v>
      </c>
      <c r="B281" s="5">
        <v>45970</v>
      </c>
      <c r="C281" s="1" t="s">
        <v>126</v>
      </c>
      <c r="D281" s="1" t="s">
        <v>33</v>
      </c>
      <c r="E281" s="1" t="s">
        <v>242</v>
      </c>
      <c r="F281" s="1" t="s">
        <v>1101</v>
      </c>
      <c r="G281" s="1" t="s">
        <v>959</v>
      </c>
      <c r="H281" s="6">
        <v>1</v>
      </c>
      <c r="I281" s="7">
        <v>-4549</v>
      </c>
      <c r="J281" s="5">
        <v>45967</v>
      </c>
      <c r="K281" s="1" t="s">
        <v>957</v>
      </c>
      <c r="L281" s="1" t="s">
        <v>30</v>
      </c>
      <c r="M281" s="8">
        <v>0</v>
      </c>
      <c r="N281" s="6"/>
      <c r="O281" s="6"/>
      <c r="P281" s="9">
        <v>0</v>
      </c>
    </row>
    <row r="282" spans="1:16" ht="19.5" customHeight="1">
      <c r="A282" s="1" t="s">
        <v>1100</v>
      </c>
      <c r="B282" s="5">
        <v>45970</v>
      </c>
      <c r="C282" s="1" t="s">
        <v>126</v>
      </c>
      <c r="D282" s="1" t="s">
        <v>34</v>
      </c>
      <c r="E282" s="1" t="s">
        <v>242</v>
      </c>
      <c r="F282" s="1" t="s">
        <v>1101</v>
      </c>
      <c r="G282" s="1" t="s">
        <v>959</v>
      </c>
      <c r="H282" s="6">
        <v>1</v>
      </c>
      <c r="I282" s="7">
        <v>-4549</v>
      </c>
      <c r="J282" s="5">
        <v>45967</v>
      </c>
      <c r="K282" s="1" t="s">
        <v>957</v>
      </c>
      <c r="L282" s="1" t="s">
        <v>30</v>
      </c>
      <c r="M282" s="8">
        <v>0</v>
      </c>
      <c r="N282" s="6"/>
      <c r="O282" s="6"/>
      <c r="P282" s="9">
        <v>-2026.73</v>
      </c>
    </row>
    <row r="283" spans="1:16" ht="19.5" customHeight="1">
      <c r="A283" s="1" t="s">
        <v>1100</v>
      </c>
      <c r="B283" s="5">
        <v>45970</v>
      </c>
      <c r="C283" s="1" t="s">
        <v>35</v>
      </c>
      <c r="D283" s="1" t="s">
        <v>128</v>
      </c>
      <c r="E283" s="1" t="s">
        <v>242</v>
      </c>
      <c r="F283" s="1" t="s">
        <v>1101</v>
      </c>
      <c r="G283" s="1" t="s">
        <v>959</v>
      </c>
      <c r="H283" s="6">
        <v>1</v>
      </c>
      <c r="I283" s="7">
        <v>-4549</v>
      </c>
      <c r="J283" s="5">
        <v>45967</v>
      </c>
      <c r="K283" s="1" t="s">
        <v>957</v>
      </c>
      <c r="L283" s="1" t="s">
        <v>30</v>
      </c>
      <c r="M283" s="8">
        <v>0.38</v>
      </c>
      <c r="N283" s="6"/>
      <c r="O283" s="6"/>
      <c r="P283" s="9">
        <v>1728.62</v>
      </c>
    </row>
    <row r="284" spans="1:16" ht="19.5" customHeight="1">
      <c r="A284" s="1" t="s">
        <v>1102</v>
      </c>
      <c r="B284" s="5">
        <v>45970</v>
      </c>
      <c r="C284" s="1" t="s">
        <v>17</v>
      </c>
      <c r="D284" s="1" t="s">
        <v>18</v>
      </c>
      <c r="E284" s="1" t="s">
        <v>43</v>
      </c>
      <c r="F284" s="1" t="s">
        <v>44</v>
      </c>
      <c r="G284" s="1" t="s">
        <v>959</v>
      </c>
      <c r="H284" s="6">
        <v>1</v>
      </c>
      <c r="I284" s="7">
        <v>0</v>
      </c>
      <c r="J284" s="5">
        <v>45967</v>
      </c>
      <c r="K284" s="1" t="s">
        <v>22</v>
      </c>
      <c r="L284" s="1" t="s">
        <v>22</v>
      </c>
      <c r="M284" s="8">
        <v>0</v>
      </c>
      <c r="N284" s="6"/>
      <c r="O284" s="6"/>
      <c r="P284" s="9">
        <v>19.77</v>
      </c>
    </row>
    <row r="285" spans="1:16" ht="19.5" customHeight="1">
      <c r="A285" s="1" t="s">
        <v>1100</v>
      </c>
      <c r="B285" s="5">
        <v>45970</v>
      </c>
      <c r="C285" s="1" t="s">
        <v>17</v>
      </c>
      <c r="D285" s="1" t="s">
        <v>18</v>
      </c>
      <c r="E285" s="1" t="s">
        <v>242</v>
      </c>
      <c r="F285" s="1" t="s">
        <v>1101</v>
      </c>
      <c r="G285" s="1" t="s">
        <v>959</v>
      </c>
      <c r="H285" s="6">
        <v>1</v>
      </c>
      <c r="I285" s="7">
        <v>0</v>
      </c>
      <c r="J285" s="5">
        <v>45967</v>
      </c>
      <c r="K285" s="1" t="s">
        <v>22</v>
      </c>
      <c r="L285" s="1" t="s">
        <v>22</v>
      </c>
      <c r="M285" s="8">
        <v>0</v>
      </c>
      <c r="N285" s="6"/>
      <c r="O285" s="6"/>
      <c r="P285" s="9">
        <v>17.149999999999999</v>
      </c>
    </row>
    <row r="286" spans="1:16" ht="19.5" customHeight="1">
      <c r="A286" s="1" t="s">
        <v>22</v>
      </c>
      <c r="B286" s="5">
        <v>45970</v>
      </c>
      <c r="C286" s="1" t="s">
        <v>77</v>
      </c>
      <c r="D286" s="1" t="s">
        <v>78</v>
      </c>
      <c r="E286" s="1" t="s">
        <v>22</v>
      </c>
      <c r="F286" s="1" t="s">
        <v>22</v>
      </c>
      <c r="G286" s="1" t="s">
        <v>1126</v>
      </c>
      <c r="H286" s="6">
        <v>0</v>
      </c>
      <c r="I286" s="7">
        <v>0</v>
      </c>
      <c r="J286" s="5">
        <v>45970</v>
      </c>
      <c r="K286" s="1" t="s">
        <v>22</v>
      </c>
      <c r="L286" s="1" t="s">
        <v>22</v>
      </c>
      <c r="M286" s="8">
        <v>0</v>
      </c>
      <c r="N286" s="6"/>
      <c r="O286" s="6"/>
      <c r="P286" s="9">
        <v>-200</v>
      </c>
    </row>
    <row r="287" spans="1:16" ht="19.5" customHeight="1">
      <c r="A287" s="1" t="s">
        <v>1075</v>
      </c>
      <c r="B287" s="5">
        <v>45970</v>
      </c>
      <c r="C287" s="1" t="s">
        <v>77</v>
      </c>
      <c r="D287" s="1" t="s">
        <v>82</v>
      </c>
      <c r="E287" s="1" t="s">
        <v>22</v>
      </c>
      <c r="F287" s="1" t="s">
        <v>22</v>
      </c>
      <c r="G287" s="1" t="s">
        <v>22</v>
      </c>
      <c r="H287" s="6">
        <v>0</v>
      </c>
      <c r="I287" s="7">
        <v>0</v>
      </c>
      <c r="J287" s="5">
        <v>45970</v>
      </c>
      <c r="K287" s="1" t="s">
        <v>22</v>
      </c>
      <c r="L287" s="1" t="s">
        <v>22</v>
      </c>
      <c r="M287" s="8">
        <v>0</v>
      </c>
      <c r="N287" s="6"/>
      <c r="O287" s="6"/>
      <c r="P287" s="9">
        <v>-679.1</v>
      </c>
    </row>
    <row r="288" spans="1:16" ht="19.5" customHeight="1">
      <c r="A288" s="1" t="s">
        <v>1105</v>
      </c>
      <c r="B288" s="5">
        <v>45970</v>
      </c>
      <c r="C288" s="1" t="s">
        <v>77</v>
      </c>
      <c r="D288" s="1" t="s">
        <v>82</v>
      </c>
      <c r="E288" s="1" t="s">
        <v>22</v>
      </c>
      <c r="F288" s="1" t="s">
        <v>22</v>
      </c>
      <c r="G288" s="1" t="s">
        <v>22</v>
      </c>
      <c r="H288" s="6">
        <v>0</v>
      </c>
      <c r="I288" s="7">
        <v>0</v>
      </c>
      <c r="J288" s="5">
        <v>45970</v>
      </c>
      <c r="K288" s="1" t="s">
        <v>22</v>
      </c>
      <c r="L288" s="1" t="s">
        <v>22</v>
      </c>
      <c r="M288" s="8">
        <v>0</v>
      </c>
      <c r="N288" s="6"/>
      <c r="O288" s="6"/>
      <c r="P288" s="9">
        <v>-589.26</v>
      </c>
    </row>
    <row r="289" spans="1:16" ht="19.5" customHeight="1">
      <c r="A289" s="1" t="s">
        <v>1107</v>
      </c>
      <c r="B289" s="5">
        <v>45970</v>
      </c>
      <c r="C289" s="1" t="s">
        <v>77</v>
      </c>
      <c r="D289" s="1" t="s">
        <v>82</v>
      </c>
      <c r="E289" s="1" t="s">
        <v>22</v>
      </c>
      <c r="F289" s="1" t="s">
        <v>22</v>
      </c>
      <c r="G289" s="1" t="s">
        <v>22</v>
      </c>
      <c r="H289" s="6">
        <v>0</v>
      </c>
      <c r="I289" s="7">
        <v>0</v>
      </c>
      <c r="J289" s="5">
        <v>45970</v>
      </c>
      <c r="K289" s="1" t="s">
        <v>22</v>
      </c>
      <c r="L289" s="1" t="s">
        <v>22</v>
      </c>
      <c r="M289" s="8">
        <v>0</v>
      </c>
      <c r="N289" s="6"/>
      <c r="O289" s="6"/>
      <c r="P289" s="9">
        <v>-256.83</v>
      </c>
    </row>
    <row r="290" spans="1:16" ht="19.5" customHeight="1">
      <c r="A290" s="1" t="s">
        <v>1106</v>
      </c>
      <c r="B290" s="5">
        <v>45970</v>
      </c>
      <c r="C290" s="1" t="s">
        <v>77</v>
      </c>
      <c r="D290" s="1" t="s">
        <v>82</v>
      </c>
      <c r="E290" s="1" t="s">
        <v>22</v>
      </c>
      <c r="F290" s="1" t="s">
        <v>22</v>
      </c>
      <c r="G290" s="1" t="s">
        <v>22</v>
      </c>
      <c r="H290" s="6">
        <v>0</v>
      </c>
      <c r="I290" s="7">
        <v>0</v>
      </c>
      <c r="J290" s="5">
        <v>45970</v>
      </c>
      <c r="K290" s="1" t="s">
        <v>22</v>
      </c>
      <c r="L290" s="1" t="s">
        <v>22</v>
      </c>
      <c r="M290" s="8">
        <v>0</v>
      </c>
      <c r="N290" s="6"/>
      <c r="O290" s="6"/>
      <c r="P290" s="9">
        <v>-299.63</v>
      </c>
    </row>
    <row r="291" spans="1:16" ht="19.5" customHeight="1">
      <c r="A291" s="1" t="s">
        <v>1127</v>
      </c>
      <c r="B291" s="5">
        <v>45970</v>
      </c>
      <c r="C291" s="1" t="s">
        <v>77</v>
      </c>
      <c r="D291" s="1" t="s">
        <v>82</v>
      </c>
      <c r="E291" s="1" t="s">
        <v>22</v>
      </c>
      <c r="F291" s="1" t="s">
        <v>22</v>
      </c>
      <c r="G291" s="1" t="s">
        <v>22</v>
      </c>
      <c r="H291" s="6">
        <v>0</v>
      </c>
      <c r="I291" s="7">
        <v>0</v>
      </c>
      <c r="J291" s="5">
        <v>45970</v>
      </c>
      <c r="K291" s="1" t="s">
        <v>22</v>
      </c>
      <c r="L291" s="1" t="s">
        <v>22</v>
      </c>
      <c r="M291" s="8">
        <v>0</v>
      </c>
      <c r="N291" s="6"/>
      <c r="O291" s="6"/>
      <c r="P291" s="9">
        <v>-173.08</v>
      </c>
    </row>
    <row r="292" spans="1:16" ht="19.5" customHeight="1">
      <c r="A292" s="1" t="s">
        <v>83</v>
      </c>
      <c r="B292" s="5">
        <v>45970</v>
      </c>
      <c r="C292" s="1" t="s">
        <v>77</v>
      </c>
      <c r="D292" s="1" t="s">
        <v>84</v>
      </c>
      <c r="E292" s="1" t="s">
        <v>22</v>
      </c>
      <c r="F292" s="1" t="s">
        <v>22</v>
      </c>
      <c r="G292" s="1" t="s">
        <v>22</v>
      </c>
      <c r="H292" s="6">
        <v>0</v>
      </c>
      <c r="I292" s="7">
        <v>0</v>
      </c>
      <c r="J292" s="5">
        <v>45970</v>
      </c>
      <c r="K292" s="1" t="s">
        <v>22</v>
      </c>
      <c r="L292" s="1" t="s">
        <v>22</v>
      </c>
      <c r="M292" s="8">
        <v>0</v>
      </c>
      <c r="N292" s="6"/>
      <c r="O292" s="6"/>
      <c r="P292" s="9">
        <v>-2123.4</v>
      </c>
    </row>
    <row r="293" spans="1:16" ht="19.5" customHeight="1">
      <c r="A293" s="1" t="s">
        <v>1097</v>
      </c>
      <c r="B293" s="5">
        <v>45970</v>
      </c>
      <c r="C293" s="1" t="s">
        <v>77</v>
      </c>
      <c r="D293" s="1" t="s">
        <v>82</v>
      </c>
      <c r="E293" s="1" t="s">
        <v>22</v>
      </c>
      <c r="F293" s="1" t="s">
        <v>22</v>
      </c>
      <c r="G293" s="1" t="s">
        <v>22</v>
      </c>
      <c r="H293" s="6">
        <v>0</v>
      </c>
      <c r="I293" s="7">
        <v>0</v>
      </c>
      <c r="J293" s="5">
        <v>45970</v>
      </c>
      <c r="K293" s="1" t="s">
        <v>22</v>
      </c>
      <c r="L293" s="1" t="s">
        <v>22</v>
      </c>
      <c r="M293" s="8">
        <v>0</v>
      </c>
      <c r="N293" s="6"/>
      <c r="O293" s="6"/>
      <c r="P293" s="9">
        <v>-67.180000000000007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A683-29E9-4FE9-B0A8-8FC986BD7C06}">
  <dimension ref="A1:P87"/>
  <sheetViews>
    <sheetView zoomScale="80" zoomScaleNormal="80" workbookViewId="0">
      <selection activeCell="D10" sqref="D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1019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1020</v>
      </c>
      <c r="B3" s="5">
        <v>45962</v>
      </c>
      <c r="C3" s="1" t="s">
        <v>28</v>
      </c>
      <c r="D3" s="1" t="s">
        <v>29</v>
      </c>
      <c r="E3" s="1" t="s">
        <v>239</v>
      </c>
      <c r="F3" s="1" t="s">
        <v>733</v>
      </c>
      <c r="G3" s="1" t="s">
        <v>959</v>
      </c>
      <c r="H3" s="6">
        <v>1</v>
      </c>
      <c r="I3" s="7">
        <v>4548</v>
      </c>
      <c r="J3" s="5">
        <v>45958</v>
      </c>
      <c r="K3" s="1" t="s">
        <v>957</v>
      </c>
      <c r="L3" s="1" t="s">
        <v>30</v>
      </c>
      <c r="M3" s="8">
        <v>0.38</v>
      </c>
      <c r="N3" s="6"/>
      <c r="O3" s="6"/>
      <c r="P3" s="9">
        <v>-56</v>
      </c>
    </row>
    <row r="4" spans="1:16" ht="19.5" customHeight="1">
      <c r="A4" s="1" t="s">
        <v>1020</v>
      </c>
      <c r="B4" s="5">
        <v>45962</v>
      </c>
      <c r="C4" s="1" t="s">
        <v>31</v>
      </c>
      <c r="D4" s="1" t="s">
        <v>32</v>
      </c>
      <c r="E4" s="1" t="s">
        <v>239</v>
      </c>
      <c r="F4" s="1" t="s">
        <v>733</v>
      </c>
      <c r="G4" s="1" t="s">
        <v>959</v>
      </c>
      <c r="H4" s="6">
        <v>1</v>
      </c>
      <c r="I4" s="7">
        <v>4548</v>
      </c>
      <c r="J4" s="5">
        <v>45958</v>
      </c>
      <c r="K4" s="1" t="s">
        <v>957</v>
      </c>
      <c r="L4" s="1" t="s">
        <v>30</v>
      </c>
      <c r="M4" s="8">
        <v>0</v>
      </c>
      <c r="N4" s="6"/>
      <c r="O4" s="6"/>
      <c r="P4" s="9">
        <v>2633.87</v>
      </c>
    </row>
    <row r="5" spans="1:16" ht="19.5" customHeight="1">
      <c r="A5" s="1" t="s">
        <v>1020</v>
      </c>
      <c r="B5" s="5">
        <v>45962</v>
      </c>
      <c r="C5" s="1" t="s">
        <v>31</v>
      </c>
      <c r="D5" s="1" t="s">
        <v>33</v>
      </c>
      <c r="E5" s="1" t="s">
        <v>239</v>
      </c>
      <c r="F5" s="1" t="s">
        <v>733</v>
      </c>
      <c r="G5" s="1" t="s">
        <v>959</v>
      </c>
      <c r="H5" s="6">
        <v>1</v>
      </c>
      <c r="I5" s="7">
        <v>4548</v>
      </c>
      <c r="J5" s="5">
        <v>45958</v>
      </c>
      <c r="K5" s="1" t="s">
        <v>957</v>
      </c>
      <c r="L5" s="1" t="s">
        <v>30</v>
      </c>
      <c r="M5" s="8">
        <v>0</v>
      </c>
      <c r="N5" s="6"/>
      <c r="O5" s="6"/>
      <c r="P5" s="9">
        <v>0</v>
      </c>
    </row>
    <row r="6" spans="1:16" ht="19.5" customHeight="1">
      <c r="A6" s="1" t="s">
        <v>1020</v>
      </c>
      <c r="B6" s="5">
        <v>45962</v>
      </c>
      <c r="C6" s="1" t="s">
        <v>31</v>
      </c>
      <c r="D6" s="1" t="s">
        <v>34</v>
      </c>
      <c r="E6" s="1" t="s">
        <v>239</v>
      </c>
      <c r="F6" s="1" t="s">
        <v>733</v>
      </c>
      <c r="G6" s="1" t="s">
        <v>959</v>
      </c>
      <c r="H6" s="6">
        <v>1</v>
      </c>
      <c r="I6" s="7">
        <v>4548</v>
      </c>
      <c r="J6" s="5">
        <v>45958</v>
      </c>
      <c r="K6" s="1" t="s">
        <v>957</v>
      </c>
      <c r="L6" s="1" t="s">
        <v>30</v>
      </c>
      <c r="M6" s="8">
        <v>0</v>
      </c>
      <c r="N6" s="6"/>
      <c r="O6" s="6"/>
      <c r="P6" s="9">
        <v>1914.13</v>
      </c>
    </row>
    <row r="7" spans="1:16" ht="19.5" customHeight="1">
      <c r="A7" s="1" t="s">
        <v>1020</v>
      </c>
      <c r="B7" s="5">
        <v>45962</v>
      </c>
      <c r="C7" s="1" t="s">
        <v>35</v>
      </c>
      <c r="D7" s="1" t="s">
        <v>36</v>
      </c>
      <c r="E7" s="1" t="s">
        <v>239</v>
      </c>
      <c r="F7" s="1" t="s">
        <v>733</v>
      </c>
      <c r="G7" s="1" t="s">
        <v>959</v>
      </c>
      <c r="H7" s="6">
        <v>1</v>
      </c>
      <c r="I7" s="7">
        <v>4548</v>
      </c>
      <c r="J7" s="5">
        <v>45958</v>
      </c>
      <c r="K7" s="1" t="s">
        <v>957</v>
      </c>
      <c r="L7" s="1" t="s">
        <v>30</v>
      </c>
      <c r="M7" s="8">
        <v>0.38</v>
      </c>
      <c r="N7" s="6"/>
      <c r="O7" s="6"/>
      <c r="P7" s="9">
        <v>-1728.24</v>
      </c>
    </row>
    <row r="8" spans="1:16" ht="19.5" customHeight="1">
      <c r="A8" s="1" t="s">
        <v>1020</v>
      </c>
      <c r="B8" s="5">
        <v>45962</v>
      </c>
      <c r="C8" s="1" t="s">
        <v>17</v>
      </c>
      <c r="D8" s="1" t="s">
        <v>37</v>
      </c>
      <c r="E8" s="1" t="s">
        <v>239</v>
      </c>
      <c r="F8" s="1" t="s">
        <v>733</v>
      </c>
      <c r="G8" s="1" t="s">
        <v>959</v>
      </c>
      <c r="H8" s="6">
        <v>1</v>
      </c>
      <c r="I8" s="7">
        <v>4548</v>
      </c>
      <c r="J8" s="5">
        <v>45958</v>
      </c>
      <c r="K8" s="1" t="s">
        <v>957</v>
      </c>
      <c r="L8" s="1" t="s">
        <v>30</v>
      </c>
      <c r="M8" s="8">
        <v>0.38</v>
      </c>
      <c r="N8" s="6"/>
      <c r="O8" s="6"/>
      <c r="P8" s="9">
        <v>-12.74</v>
      </c>
    </row>
    <row r="9" spans="1:16" ht="19.5" customHeight="1">
      <c r="A9" s="1" t="s">
        <v>1020</v>
      </c>
      <c r="B9" s="5">
        <v>45962</v>
      </c>
      <c r="C9" s="1" t="s">
        <v>17</v>
      </c>
      <c r="D9" s="1" t="s">
        <v>18</v>
      </c>
      <c r="E9" s="1" t="s">
        <v>239</v>
      </c>
      <c r="F9" s="1" t="s">
        <v>733</v>
      </c>
      <c r="G9" s="1" t="s">
        <v>959</v>
      </c>
      <c r="H9" s="6">
        <v>1</v>
      </c>
      <c r="I9" s="7">
        <v>0</v>
      </c>
      <c r="J9" s="5">
        <v>45958</v>
      </c>
      <c r="K9" s="1" t="s">
        <v>22</v>
      </c>
      <c r="L9" s="1" t="s">
        <v>22</v>
      </c>
      <c r="M9" s="8">
        <v>0</v>
      </c>
      <c r="N9" s="6"/>
      <c r="O9" s="6"/>
      <c r="P9" s="9">
        <v>-17.91</v>
      </c>
    </row>
    <row r="10" spans="1:16" ht="19.5" customHeight="1">
      <c r="A10" s="1" t="s">
        <v>1021</v>
      </c>
      <c r="B10" s="5">
        <v>45962</v>
      </c>
      <c r="C10" s="1" t="s">
        <v>28</v>
      </c>
      <c r="D10" s="1" t="s">
        <v>45</v>
      </c>
      <c r="E10" s="1" t="s">
        <v>51</v>
      </c>
      <c r="F10" s="1" t="s">
        <v>52</v>
      </c>
      <c r="G10" s="1" t="s">
        <v>959</v>
      </c>
      <c r="H10" s="6">
        <v>1</v>
      </c>
      <c r="I10" s="7">
        <v>0</v>
      </c>
      <c r="J10" s="5">
        <v>45959</v>
      </c>
      <c r="K10" s="1" t="s">
        <v>957</v>
      </c>
      <c r="L10" s="1" t="s">
        <v>30</v>
      </c>
      <c r="M10" s="8">
        <v>0</v>
      </c>
      <c r="N10" s="6"/>
      <c r="O10" s="6"/>
      <c r="P10" s="9">
        <v>0</v>
      </c>
    </row>
    <row r="11" spans="1:16" ht="19.5" customHeight="1">
      <c r="A11" s="1" t="s">
        <v>1021</v>
      </c>
      <c r="B11" s="5">
        <v>45962</v>
      </c>
      <c r="C11" s="1" t="s">
        <v>28</v>
      </c>
      <c r="D11" s="1" t="s">
        <v>46</v>
      </c>
      <c r="E11" s="1" t="s">
        <v>51</v>
      </c>
      <c r="F11" s="1" t="s">
        <v>52</v>
      </c>
      <c r="G11" s="1" t="s">
        <v>959</v>
      </c>
      <c r="H11" s="6">
        <v>1</v>
      </c>
      <c r="I11" s="7">
        <v>0</v>
      </c>
      <c r="J11" s="5">
        <v>45959</v>
      </c>
      <c r="K11" s="1" t="s">
        <v>957</v>
      </c>
      <c r="L11" s="1" t="s">
        <v>30</v>
      </c>
      <c r="M11" s="8">
        <v>0</v>
      </c>
      <c r="N11" s="6"/>
      <c r="O11" s="6"/>
      <c r="P11" s="9">
        <v>-56</v>
      </c>
    </row>
    <row r="12" spans="1:16" ht="19.5" customHeight="1">
      <c r="A12" s="1" t="s">
        <v>1021</v>
      </c>
      <c r="B12" s="5">
        <v>45962</v>
      </c>
      <c r="C12" s="1" t="s">
        <v>17</v>
      </c>
      <c r="D12" s="1" t="s">
        <v>47</v>
      </c>
      <c r="E12" s="1" t="s">
        <v>51</v>
      </c>
      <c r="F12" s="1" t="s">
        <v>52</v>
      </c>
      <c r="G12" s="1" t="s">
        <v>959</v>
      </c>
      <c r="H12" s="6">
        <v>1</v>
      </c>
      <c r="I12" s="7">
        <v>0</v>
      </c>
      <c r="J12" s="5">
        <v>45959</v>
      </c>
      <c r="K12" s="1" t="s">
        <v>957</v>
      </c>
      <c r="L12" s="1" t="s">
        <v>30</v>
      </c>
      <c r="M12" s="8">
        <v>0</v>
      </c>
      <c r="N12" s="6"/>
      <c r="O12" s="6"/>
      <c r="P12" s="9">
        <v>-15</v>
      </c>
    </row>
    <row r="13" spans="1:16" ht="19.5" customHeight="1">
      <c r="A13" s="1" t="s">
        <v>1021</v>
      </c>
      <c r="B13" s="5">
        <v>45962</v>
      </c>
      <c r="C13" s="1" t="s">
        <v>28</v>
      </c>
      <c r="D13" s="1" t="s">
        <v>29</v>
      </c>
      <c r="E13" s="1" t="s">
        <v>51</v>
      </c>
      <c r="F13" s="1" t="s">
        <v>52</v>
      </c>
      <c r="G13" s="1" t="s">
        <v>959</v>
      </c>
      <c r="H13" s="6">
        <v>1</v>
      </c>
      <c r="I13" s="7">
        <v>0</v>
      </c>
      <c r="J13" s="5">
        <v>45959</v>
      </c>
      <c r="K13" s="1" t="s">
        <v>957</v>
      </c>
      <c r="L13" s="1" t="s">
        <v>30</v>
      </c>
      <c r="M13" s="8">
        <v>0</v>
      </c>
      <c r="N13" s="6"/>
      <c r="O13" s="6"/>
      <c r="P13" s="9">
        <v>-56</v>
      </c>
    </row>
    <row r="14" spans="1:16" ht="19.5" customHeight="1">
      <c r="A14" s="1" t="s">
        <v>1021</v>
      </c>
      <c r="B14" s="5">
        <v>45962</v>
      </c>
      <c r="C14" s="1" t="s">
        <v>17</v>
      </c>
      <c r="D14" s="1" t="s">
        <v>37</v>
      </c>
      <c r="E14" s="1" t="s">
        <v>51</v>
      </c>
      <c r="F14" s="1" t="s">
        <v>52</v>
      </c>
      <c r="G14" s="1" t="s">
        <v>959</v>
      </c>
      <c r="H14" s="6">
        <v>1</v>
      </c>
      <c r="I14" s="7">
        <v>0</v>
      </c>
      <c r="J14" s="5">
        <v>45959</v>
      </c>
      <c r="K14" s="1" t="s">
        <v>957</v>
      </c>
      <c r="L14" s="1" t="s">
        <v>30</v>
      </c>
      <c r="M14" s="8">
        <v>0</v>
      </c>
      <c r="N14" s="6"/>
      <c r="O14" s="6"/>
      <c r="P14" s="9">
        <v>-16.100000000000001</v>
      </c>
    </row>
    <row r="15" spans="1:16" ht="19.5" customHeight="1">
      <c r="A15" s="1" t="s">
        <v>1022</v>
      </c>
      <c r="B15" s="5">
        <v>45962</v>
      </c>
      <c r="C15" s="1" t="s">
        <v>28</v>
      </c>
      <c r="D15" s="1" t="s">
        <v>29</v>
      </c>
      <c r="E15" s="1" t="s">
        <v>222</v>
      </c>
      <c r="F15" s="1" t="s">
        <v>412</v>
      </c>
      <c r="G15" s="1" t="s">
        <v>21</v>
      </c>
      <c r="H15" s="6">
        <v>1</v>
      </c>
      <c r="I15" s="7">
        <v>914</v>
      </c>
      <c r="J15" s="5">
        <v>45961</v>
      </c>
      <c r="K15" s="1" t="s">
        <v>957</v>
      </c>
      <c r="L15" s="1" t="s">
        <v>30</v>
      </c>
      <c r="M15" s="8">
        <v>0.38</v>
      </c>
      <c r="N15" s="6"/>
      <c r="O15" s="6"/>
      <c r="P15" s="9">
        <v>-46</v>
      </c>
    </row>
    <row r="16" spans="1:16" ht="19.5" customHeight="1">
      <c r="A16" s="1" t="s">
        <v>1022</v>
      </c>
      <c r="B16" s="5">
        <v>45962</v>
      </c>
      <c r="C16" s="1" t="s">
        <v>31</v>
      </c>
      <c r="D16" s="1" t="s">
        <v>32</v>
      </c>
      <c r="E16" s="1" t="s">
        <v>222</v>
      </c>
      <c r="F16" s="1" t="s">
        <v>412</v>
      </c>
      <c r="G16" s="1" t="s">
        <v>21</v>
      </c>
      <c r="H16" s="6">
        <v>1</v>
      </c>
      <c r="I16" s="7">
        <v>914</v>
      </c>
      <c r="J16" s="5">
        <v>45961</v>
      </c>
      <c r="K16" s="1" t="s">
        <v>957</v>
      </c>
      <c r="L16" s="1" t="s">
        <v>30</v>
      </c>
      <c r="M16" s="8">
        <v>0</v>
      </c>
      <c r="N16" s="6"/>
      <c r="O16" s="6"/>
      <c r="P16" s="9">
        <v>451.18</v>
      </c>
    </row>
    <row r="17" spans="1:16" ht="19.5" customHeight="1">
      <c r="A17" s="1" t="s">
        <v>1022</v>
      </c>
      <c r="B17" s="5">
        <v>45962</v>
      </c>
      <c r="C17" s="1" t="s">
        <v>31</v>
      </c>
      <c r="D17" s="1" t="s">
        <v>33</v>
      </c>
      <c r="E17" s="1" t="s">
        <v>222</v>
      </c>
      <c r="F17" s="1" t="s">
        <v>412</v>
      </c>
      <c r="G17" s="1" t="s">
        <v>21</v>
      </c>
      <c r="H17" s="6">
        <v>1</v>
      </c>
      <c r="I17" s="7">
        <v>914</v>
      </c>
      <c r="J17" s="5">
        <v>45961</v>
      </c>
      <c r="K17" s="1" t="s">
        <v>957</v>
      </c>
      <c r="L17" s="1" t="s">
        <v>30</v>
      </c>
      <c r="M17" s="8">
        <v>0</v>
      </c>
      <c r="N17" s="6"/>
      <c r="O17" s="6"/>
      <c r="P17" s="9">
        <v>4.51</v>
      </c>
    </row>
    <row r="18" spans="1:16" ht="19.5" customHeight="1">
      <c r="A18" s="1" t="s">
        <v>1022</v>
      </c>
      <c r="B18" s="5">
        <v>45962</v>
      </c>
      <c r="C18" s="1" t="s">
        <v>31</v>
      </c>
      <c r="D18" s="1" t="s">
        <v>34</v>
      </c>
      <c r="E18" s="1" t="s">
        <v>222</v>
      </c>
      <c r="F18" s="1" t="s">
        <v>412</v>
      </c>
      <c r="G18" s="1" t="s">
        <v>21</v>
      </c>
      <c r="H18" s="6">
        <v>1</v>
      </c>
      <c r="I18" s="7">
        <v>914</v>
      </c>
      <c r="J18" s="5">
        <v>45961</v>
      </c>
      <c r="K18" s="1" t="s">
        <v>957</v>
      </c>
      <c r="L18" s="1" t="s">
        <v>30</v>
      </c>
      <c r="M18" s="8">
        <v>0</v>
      </c>
      <c r="N18" s="6"/>
      <c r="O18" s="6"/>
      <c r="P18" s="9">
        <v>458.31</v>
      </c>
    </row>
    <row r="19" spans="1:16" ht="19.5" customHeight="1">
      <c r="A19" s="1" t="s">
        <v>1022</v>
      </c>
      <c r="B19" s="5">
        <v>45962</v>
      </c>
      <c r="C19" s="1" t="s">
        <v>35</v>
      </c>
      <c r="D19" s="1" t="s">
        <v>36</v>
      </c>
      <c r="E19" s="1" t="s">
        <v>222</v>
      </c>
      <c r="F19" s="1" t="s">
        <v>412</v>
      </c>
      <c r="G19" s="1" t="s">
        <v>21</v>
      </c>
      <c r="H19" s="6">
        <v>1</v>
      </c>
      <c r="I19" s="7">
        <v>914</v>
      </c>
      <c r="J19" s="5">
        <v>45961</v>
      </c>
      <c r="K19" s="1" t="s">
        <v>957</v>
      </c>
      <c r="L19" s="1" t="s">
        <v>30</v>
      </c>
      <c r="M19" s="8">
        <v>0.38</v>
      </c>
      <c r="N19" s="6"/>
      <c r="O19" s="6"/>
      <c r="P19" s="9">
        <v>-347.32</v>
      </c>
    </row>
    <row r="20" spans="1:16" ht="19.5" customHeight="1">
      <c r="A20" s="1" t="s">
        <v>1022</v>
      </c>
      <c r="B20" s="5">
        <v>45962</v>
      </c>
      <c r="C20" s="1" t="s">
        <v>17</v>
      </c>
      <c r="D20" s="1" t="s">
        <v>37</v>
      </c>
      <c r="E20" s="1" t="s">
        <v>222</v>
      </c>
      <c r="F20" s="1" t="s">
        <v>412</v>
      </c>
      <c r="G20" s="1" t="s">
        <v>21</v>
      </c>
      <c r="H20" s="6">
        <v>1</v>
      </c>
      <c r="I20" s="7">
        <v>914</v>
      </c>
      <c r="J20" s="5">
        <v>45961</v>
      </c>
      <c r="K20" s="1" t="s">
        <v>957</v>
      </c>
      <c r="L20" s="1" t="s">
        <v>30</v>
      </c>
      <c r="M20" s="8">
        <v>0.38</v>
      </c>
      <c r="N20" s="6"/>
      <c r="O20" s="6"/>
      <c r="P20" s="9">
        <v>-5.17</v>
      </c>
    </row>
    <row r="21" spans="1:16" ht="19.5" customHeight="1">
      <c r="A21" s="1" t="s">
        <v>1023</v>
      </c>
      <c r="B21" s="5">
        <v>45962</v>
      </c>
      <c r="C21" s="1" t="s">
        <v>28</v>
      </c>
      <c r="D21" s="1" t="s">
        <v>29</v>
      </c>
      <c r="E21" s="1" t="s">
        <v>88</v>
      </c>
      <c r="F21" s="1" t="s">
        <v>89</v>
      </c>
      <c r="G21" s="1" t="s">
        <v>21</v>
      </c>
      <c r="H21" s="6">
        <v>1</v>
      </c>
      <c r="I21" s="7">
        <v>1364</v>
      </c>
      <c r="J21" s="5">
        <v>45961</v>
      </c>
      <c r="K21" s="1" t="s">
        <v>957</v>
      </c>
      <c r="L21" s="1" t="s">
        <v>30</v>
      </c>
      <c r="M21" s="8">
        <v>0.38</v>
      </c>
      <c r="N21" s="6"/>
      <c r="O21" s="6"/>
      <c r="P21" s="9">
        <v>-46</v>
      </c>
    </row>
    <row r="22" spans="1:16" ht="19.5" customHeight="1">
      <c r="A22" s="1" t="s">
        <v>1023</v>
      </c>
      <c r="B22" s="5">
        <v>45962</v>
      </c>
      <c r="C22" s="1" t="s">
        <v>31</v>
      </c>
      <c r="D22" s="1" t="s">
        <v>32</v>
      </c>
      <c r="E22" s="1" t="s">
        <v>88</v>
      </c>
      <c r="F22" s="1" t="s">
        <v>89</v>
      </c>
      <c r="G22" s="1" t="s">
        <v>21</v>
      </c>
      <c r="H22" s="6">
        <v>1</v>
      </c>
      <c r="I22" s="7">
        <v>1364</v>
      </c>
      <c r="J22" s="5">
        <v>45961</v>
      </c>
      <c r="K22" s="1" t="s">
        <v>957</v>
      </c>
      <c r="L22" s="1" t="s">
        <v>30</v>
      </c>
      <c r="M22" s="8">
        <v>0</v>
      </c>
      <c r="N22" s="6"/>
      <c r="O22" s="6"/>
      <c r="P22" s="9">
        <v>714.29</v>
      </c>
    </row>
    <row r="23" spans="1:16" ht="19.5" customHeight="1">
      <c r="A23" s="1" t="s">
        <v>1023</v>
      </c>
      <c r="B23" s="5">
        <v>45962</v>
      </c>
      <c r="C23" s="1" t="s">
        <v>31</v>
      </c>
      <c r="D23" s="1" t="s">
        <v>33</v>
      </c>
      <c r="E23" s="1" t="s">
        <v>88</v>
      </c>
      <c r="F23" s="1" t="s">
        <v>89</v>
      </c>
      <c r="G23" s="1" t="s">
        <v>21</v>
      </c>
      <c r="H23" s="6">
        <v>1</v>
      </c>
      <c r="I23" s="7">
        <v>1364</v>
      </c>
      <c r="J23" s="5">
        <v>45961</v>
      </c>
      <c r="K23" s="1" t="s">
        <v>957</v>
      </c>
      <c r="L23" s="1" t="s">
        <v>30</v>
      </c>
      <c r="M23" s="8">
        <v>0</v>
      </c>
      <c r="N23" s="6"/>
      <c r="O23" s="6"/>
      <c r="P23" s="9">
        <v>7.14</v>
      </c>
    </row>
    <row r="24" spans="1:16" ht="19.5" customHeight="1">
      <c r="A24" s="1" t="s">
        <v>1023</v>
      </c>
      <c r="B24" s="5">
        <v>45962</v>
      </c>
      <c r="C24" s="1" t="s">
        <v>31</v>
      </c>
      <c r="D24" s="1" t="s">
        <v>34</v>
      </c>
      <c r="E24" s="1" t="s">
        <v>88</v>
      </c>
      <c r="F24" s="1" t="s">
        <v>89</v>
      </c>
      <c r="G24" s="1" t="s">
        <v>21</v>
      </c>
      <c r="H24" s="6">
        <v>1</v>
      </c>
      <c r="I24" s="7">
        <v>1364</v>
      </c>
      <c r="J24" s="5">
        <v>45961</v>
      </c>
      <c r="K24" s="1" t="s">
        <v>957</v>
      </c>
      <c r="L24" s="1" t="s">
        <v>30</v>
      </c>
      <c r="M24" s="8">
        <v>0</v>
      </c>
      <c r="N24" s="6"/>
      <c r="O24" s="6"/>
      <c r="P24" s="9">
        <v>642.57000000000005</v>
      </c>
    </row>
    <row r="25" spans="1:16" ht="19.5" customHeight="1">
      <c r="A25" s="1" t="s">
        <v>1023</v>
      </c>
      <c r="B25" s="5">
        <v>45962</v>
      </c>
      <c r="C25" s="1" t="s">
        <v>35</v>
      </c>
      <c r="D25" s="1" t="s">
        <v>36</v>
      </c>
      <c r="E25" s="1" t="s">
        <v>88</v>
      </c>
      <c r="F25" s="1" t="s">
        <v>89</v>
      </c>
      <c r="G25" s="1" t="s">
        <v>21</v>
      </c>
      <c r="H25" s="6">
        <v>1</v>
      </c>
      <c r="I25" s="7">
        <v>1364</v>
      </c>
      <c r="J25" s="5">
        <v>45961</v>
      </c>
      <c r="K25" s="1" t="s">
        <v>957</v>
      </c>
      <c r="L25" s="1" t="s">
        <v>30</v>
      </c>
      <c r="M25" s="8">
        <v>0.38</v>
      </c>
      <c r="N25" s="6"/>
      <c r="O25" s="6"/>
      <c r="P25" s="9">
        <v>-518.32000000000005</v>
      </c>
    </row>
    <row r="26" spans="1:16" ht="19.5" customHeight="1">
      <c r="A26" s="1" t="s">
        <v>1023</v>
      </c>
      <c r="B26" s="5">
        <v>45962</v>
      </c>
      <c r="C26" s="1" t="s">
        <v>17</v>
      </c>
      <c r="D26" s="1" t="s">
        <v>37</v>
      </c>
      <c r="E26" s="1" t="s">
        <v>88</v>
      </c>
      <c r="F26" s="1" t="s">
        <v>89</v>
      </c>
      <c r="G26" s="1" t="s">
        <v>21</v>
      </c>
      <c r="H26" s="6">
        <v>1</v>
      </c>
      <c r="I26" s="7">
        <v>1364</v>
      </c>
      <c r="J26" s="5">
        <v>45961</v>
      </c>
      <c r="K26" s="1" t="s">
        <v>957</v>
      </c>
      <c r="L26" s="1" t="s">
        <v>30</v>
      </c>
      <c r="M26" s="8">
        <v>0.38</v>
      </c>
      <c r="N26" s="6"/>
      <c r="O26" s="6"/>
      <c r="P26" s="9">
        <v>-12.55</v>
      </c>
    </row>
    <row r="27" spans="1:16" ht="19.5" customHeight="1">
      <c r="A27" s="1" t="s">
        <v>1024</v>
      </c>
      <c r="B27" s="5">
        <v>45962</v>
      </c>
      <c r="C27" s="1" t="s">
        <v>28</v>
      </c>
      <c r="D27" s="1" t="s">
        <v>29</v>
      </c>
      <c r="E27" s="1" t="s">
        <v>70</v>
      </c>
      <c r="F27" s="1" t="s">
        <v>71</v>
      </c>
      <c r="G27" s="1" t="s">
        <v>959</v>
      </c>
      <c r="H27" s="6">
        <v>1</v>
      </c>
      <c r="I27" s="7">
        <v>0</v>
      </c>
      <c r="J27" s="5">
        <v>45958</v>
      </c>
      <c r="K27" s="1" t="s">
        <v>957</v>
      </c>
      <c r="L27" s="1" t="s">
        <v>30</v>
      </c>
      <c r="M27" s="8">
        <v>0</v>
      </c>
      <c r="N27" s="6"/>
      <c r="O27" s="6"/>
      <c r="P27" s="9">
        <v>-56</v>
      </c>
    </row>
    <row r="28" spans="1:16" ht="19.5" customHeight="1">
      <c r="A28" s="1" t="s">
        <v>1024</v>
      </c>
      <c r="B28" s="5">
        <v>45962</v>
      </c>
      <c r="C28" s="1" t="s">
        <v>17</v>
      </c>
      <c r="D28" s="1" t="s">
        <v>37</v>
      </c>
      <c r="E28" s="1" t="s">
        <v>70</v>
      </c>
      <c r="F28" s="1" t="s">
        <v>71</v>
      </c>
      <c r="G28" s="1" t="s">
        <v>959</v>
      </c>
      <c r="H28" s="6">
        <v>1</v>
      </c>
      <c r="I28" s="7">
        <v>0</v>
      </c>
      <c r="J28" s="5">
        <v>45958</v>
      </c>
      <c r="K28" s="1" t="s">
        <v>957</v>
      </c>
      <c r="L28" s="1" t="s">
        <v>30</v>
      </c>
      <c r="M28" s="8">
        <v>0</v>
      </c>
      <c r="N28" s="6"/>
      <c r="O28" s="6"/>
      <c r="P28" s="9">
        <v>-14.86</v>
      </c>
    </row>
    <row r="29" spans="1:16" ht="19.5" customHeight="1">
      <c r="A29" s="1" t="s">
        <v>1025</v>
      </c>
      <c r="B29" s="5">
        <v>45962</v>
      </c>
      <c r="C29" s="1" t="s">
        <v>28</v>
      </c>
      <c r="D29" s="1" t="s">
        <v>29</v>
      </c>
      <c r="E29" s="1" t="s">
        <v>239</v>
      </c>
      <c r="F29" s="1" t="s">
        <v>733</v>
      </c>
      <c r="G29" s="1" t="s">
        <v>959</v>
      </c>
      <c r="H29" s="6">
        <v>1</v>
      </c>
      <c r="I29" s="7">
        <v>0</v>
      </c>
      <c r="J29" s="5">
        <v>45958</v>
      </c>
      <c r="K29" s="1" t="s">
        <v>957</v>
      </c>
      <c r="L29" s="1" t="s">
        <v>30</v>
      </c>
      <c r="M29" s="8">
        <v>0</v>
      </c>
      <c r="N29" s="6"/>
      <c r="O29" s="6"/>
      <c r="P29" s="9">
        <v>-56</v>
      </c>
    </row>
    <row r="30" spans="1:16" ht="19.5" customHeight="1">
      <c r="A30" s="1" t="s">
        <v>1025</v>
      </c>
      <c r="B30" s="5">
        <v>45962</v>
      </c>
      <c r="C30" s="1" t="s">
        <v>17</v>
      </c>
      <c r="D30" s="1" t="s">
        <v>37</v>
      </c>
      <c r="E30" s="1" t="s">
        <v>239</v>
      </c>
      <c r="F30" s="1" t="s">
        <v>733</v>
      </c>
      <c r="G30" s="1" t="s">
        <v>959</v>
      </c>
      <c r="H30" s="6">
        <v>1</v>
      </c>
      <c r="I30" s="7">
        <v>0</v>
      </c>
      <c r="J30" s="5">
        <v>45958</v>
      </c>
      <c r="K30" s="1" t="s">
        <v>957</v>
      </c>
      <c r="L30" s="1" t="s">
        <v>30</v>
      </c>
      <c r="M30" s="8">
        <v>0</v>
      </c>
      <c r="N30" s="6"/>
      <c r="O30" s="6"/>
      <c r="P30" s="9">
        <v>-14.86</v>
      </c>
    </row>
    <row r="31" spans="1:16" ht="19.5" customHeight="1">
      <c r="A31" s="1" t="s">
        <v>1025</v>
      </c>
      <c r="B31" s="5">
        <v>45962</v>
      </c>
      <c r="C31" s="1" t="s">
        <v>28</v>
      </c>
      <c r="D31" s="1" t="s">
        <v>45</v>
      </c>
      <c r="E31" s="1" t="s">
        <v>239</v>
      </c>
      <c r="F31" s="1" t="s">
        <v>733</v>
      </c>
      <c r="G31" s="1" t="s">
        <v>959</v>
      </c>
      <c r="H31" s="6">
        <v>1</v>
      </c>
      <c r="I31" s="7">
        <v>0</v>
      </c>
      <c r="J31" s="5">
        <v>45958</v>
      </c>
      <c r="K31" s="1" t="s">
        <v>957</v>
      </c>
      <c r="L31" s="1" t="s">
        <v>30</v>
      </c>
      <c r="M31" s="8">
        <v>0</v>
      </c>
      <c r="N31" s="6"/>
      <c r="O31" s="6"/>
      <c r="P31" s="9">
        <v>0</v>
      </c>
    </row>
    <row r="32" spans="1:16" ht="19.5" customHeight="1">
      <c r="A32" s="1" t="s">
        <v>1025</v>
      </c>
      <c r="B32" s="5">
        <v>45962</v>
      </c>
      <c r="C32" s="1" t="s">
        <v>28</v>
      </c>
      <c r="D32" s="1" t="s">
        <v>46</v>
      </c>
      <c r="E32" s="1" t="s">
        <v>239</v>
      </c>
      <c r="F32" s="1" t="s">
        <v>733</v>
      </c>
      <c r="G32" s="1" t="s">
        <v>959</v>
      </c>
      <c r="H32" s="6">
        <v>1</v>
      </c>
      <c r="I32" s="7">
        <v>0</v>
      </c>
      <c r="J32" s="5">
        <v>45958</v>
      </c>
      <c r="K32" s="1" t="s">
        <v>957</v>
      </c>
      <c r="L32" s="1" t="s">
        <v>30</v>
      </c>
      <c r="M32" s="8">
        <v>0</v>
      </c>
      <c r="N32" s="6"/>
      <c r="O32" s="6"/>
      <c r="P32" s="9">
        <v>-56</v>
      </c>
    </row>
    <row r="33" spans="1:16" ht="19.5" customHeight="1">
      <c r="A33" s="1" t="s">
        <v>1025</v>
      </c>
      <c r="B33" s="5">
        <v>45962</v>
      </c>
      <c r="C33" s="1" t="s">
        <v>17</v>
      </c>
      <c r="D33" s="1" t="s">
        <v>47</v>
      </c>
      <c r="E33" s="1" t="s">
        <v>239</v>
      </c>
      <c r="F33" s="1" t="s">
        <v>733</v>
      </c>
      <c r="G33" s="1" t="s">
        <v>959</v>
      </c>
      <c r="H33" s="6">
        <v>1</v>
      </c>
      <c r="I33" s="7">
        <v>0</v>
      </c>
      <c r="J33" s="5">
        <v>45958</v>
      </c>
      <c r="K33" s="1" t="s">
        <v>957</v>
      </c>
      <c r="L33" s="1" t="s">
        <v>30</v>
      </c>
      <c r="M33" s="8">
        <v>0</v>
      </c>
      <c r="N33" s="6"/>
      <c r="O33" s="6"/>
      <c r="P33" s="9">
        <v>-15</v>
      </c>
    </row>
    <row r="34" spans="1:16" ht="19.5" customHeight="1">
      <c r="A34" s="1" t="s">
        <v>1024</v>
      </c>
      <c r="B34" s="5">
        <v>45962</v>
      </c>
      <c r="C34" s="1" t="s">
        <v>28</v>
      </c>
      <c r="D34" s="1" t="s">
        <v>45</v>
      </c>
      <c r="E34" s="1" t="s">
        <v>70</v>
      </c>
      <c r="F34" s="1" t="s">
        <v>71</v>
      </c>
      <c r="G34" s="1" t="s">
        <v>959</v>
      </c>
      <c r="H34" s="6">
        <v>1</v>
      </c>
      <c r="I34" s="7">
        <v>0</v>
      </c>
      <c r="J34" s="5">
        <v>45958</v>
      </c>
      <c r="K34" s="1" t="s">
        <v>957</v>
      </c>
      <c r="L34" s="1" t="s">
        <v>30</v>
      </c>
      <c r="M34" s="8">
        <v>0</v>
      </c>
      <c r="N34" s="6"/>
      <c r="O34" s="6"/>
      <c r="P34" s="9">
        <v>0</v>
      </c>
    </row>
    <row r="35" spans="1:16" ht="19.5" customHeight="1">
      <c r="A35" s="1" t="s">
        <v>1024</v>
      </c>
      <c r="B35" s="5">
        <v>45962</v>
      </c>
      <c r="C35" s="1" t="s">
        <v>28</v>
      </c>
      <c r="D35" s="1" t="s">
        <v>46</v>
      </c>
      <c r="E35" s="1" t="s">
        <v>70</v>
      </c>
      <c r="F35" s="1" t="s">
        <v>71</v>
      </c>
      <c r="G35" s="1" t="s">
        <v>959</v>
      </c>
      <c r="H35" s="6">
        <v>1</v>
      </c>
      <c r="I35" s="7">
        <v>0</v>
      </c>
      <c r="J35" s="5">
        <v>45958</v>
      </c>
      <c r="K35" s="1" t="s">
        <v>957</v>
      </c>
      <c r="L35" s="1" t="s">
        <v>30</v>
      </c>
      <c r="M35" s="8">
        <v>0</v>
      </c>
      <c r="N35" s="6"/>
      <c r="O35" s="6"/>
      <c r="P35" s="9">
        <v>-56</v>
      </c>
    </row>
    <row r="36" spans="1:16" ht="19.5" customHeight="1">
      <c r="A36" s="1" t="s">
        <v>1024</v>
      </c>
      <c r="B36" s="5">
        <v>45962</v>
      </c>
      <c r="C36" s="1" t="s">
        <v>17</v>
      </c>
      <c r="D36" s="1" t="s">
        <v>47</v>
      </c>
      <c r="E36" s="1" t="s">
        <v>70</v>
      </c>
      <c r="F36" s="1" t="s">
        <v>71</v>
      </c>
      <c r="G36" s="1" t="s">
        <v>959</v>
      </c>
      <c r="H36" s="6">
        <v>1</v>
      </c>
      <c r="I36" s="7">
        <v>0</v>
      </c>
      <c r="J36" s="5">
        <v>45958</v>
      </c>
      <c r="K36" s="1" t="s">
        <v>957</v>
      </c>
      <c r="L36" s="1" t="s">
        <v>30</v>
      </c>
      <c r="M36" s="8">
        <v>0</v>
      </c>
      <c r="N36" s="6"/>
      <c r="O36" s="6"/>
      <c r="P36" s="9">
        <v>-15</v>
      </c>
    </row>
    <row r="37" spans="1:16" ht="19.5" customHeight="1">
      <c r="A37" s="1" t="s">
        <v>1023</v>
      </c>
      <c r="B37" s="5">
        <v>45962</v>
      </c>
      <c r="C37" s="1" t="s">
        <v>17</v>
      </c>
      <c r="D37" s="1" t="s">
        <v>18</v>
      </c>
      <c r="E37" s="1" t="s">
        <v>88</v>
      </c>
      <c r="F37" s="1" t="s">
        <v>89</v>
      </c>
      <c r="G37" s="1" t="s">
        <v>21</v>
      </c>
      <c r="H37" s="6">
        <v>1</v>
      </c>
      <c r="I37" s="7">
        <v>0</v>
      </c>
      <c r="J37" s="5">
        <v>45961</v>
      </c>
      <c r="K37" s="1" t="s">
        <v>22</v>
      </c>
      <c r="L37" s="1" t="s">
        <v>22</v>
      </c>
      <c r="M37" s="8">
        <v>0</v>
      </c>
      <c r="N37" s="6"/>
      <c r="O37" s="6"/>
      <c r="P37" s="9">
        <v>-13.57</v>
      </c>
    </row>
    <row r="38" spans="1:16" ht="19.5" customHeight="1">
      <c r="A38" s="1" t="s">
        <v>22</v>
      </c>
      <c r="B38" s="5">
        <v>45962</v>
      </c>
      <c r="C38" s="1" t="s">
        <v>77</v>
      </c>
      <c r="D38" s="1" t="s">
        <v>78</v>
      </c>
      <c r="E38" s="1" t="s">
        <v>22</v>
      </c>
      <c r="F38" s="1" t="s">
        <v>22</v>
      </c>
      <c r="G38" s="1" t="s">
        <v>1026</v>
      </c>
      <c r="H38" s="6">
        <v>0</v>
      </c>
      <c r="I38" s="7">
        <v>0</v>
      </c>
      <c r="J38" s="5">
        <v>45962</v>
      </c>
      <c r="K38" s="1" t="s">
        <v>22</v>
      </c>
      <c r="L38" s="1" t="s">
        <v>22</v>
      </c>
      <c r="M38" s="8">
        <v>0</v>
      </c>
      <c r="N38" s="6"/>
      <c r="O38" s="6"/>
      <c r="P38" s="9">
        <v>-200</v>
      </c>
    </row>
    <row r="39" spans="1:16" ht="19.5" customHeight="1">
      <c r="A39" s="1" t="s">
        <v>83</v>
      </c>
      <c r="B39" s="5">
        <v>45962</v>
      </c>
      <c r="C39" s="1" t="s">
        <v>77</v>
      </c>
      <c r="D39" s="1" t="s">
        <v>84</v>
      </c>
      <c r="E39" s="1" t="s">
        <v>22</v>
      </c>
      <c r="F39" s="1" t="s">
        <v>22</v>
      </c>
      <c r="G39" s="1" t="s">
        <v>22</v>
      </c>
      <c r="H39" s="6">
        <v>0</v>
      </c>
      <c r="I39" s="7">
        <v>0</v>
      </c>
      <c r="J39" s="5">
        <v>45962</v>
      </c>
      <c r="K39" s="1" t="s">
        <v>22</v>
      </c>
      <c r="L39" s="1" t="s">
        <v>22</v>
      </c>
      <c r="M39" s="8">
        <v>0</v>
      </c>
      <c r="N39" s="6"/>
      <c r="O39" s="6"/>
      <c r="P39" s="9">
        <v>-768.52</v>
      </c>
    </row>
    <row r="40" spans="1:16" ht="19.5" customHeight="1">
      <c r="A40" s="1" t="s">
        <v>810</v>
      </c>
      <c r="B40" s="5">
        <v>45962</v>
      </c>
      <c r="C40" s="1" t="s">
        <v>77</v>
      </c>
      <c r="D40" s="1" t="s">
        <v>82</v>
      </c>
      <c r="E40" s="1" t="s">
        <v>22</v>
      </c>
      <c r="F40" s="1" t="s">
        <v>22</v>
      </c>
      <c r="G40" s="1" t="s">
        <v>22</v>
      </c>
      <c r="H40" s="6">
        <v>0</v>
      </c>
      <c r="I40" s="7">
        <v>0</v>
      </c>
      <c r="J40" s="5">
        <v>45962</v>
      </c>
      <c r="K40" s="1" t="s">
        <v>22</v>
      </c>
      <c r="L40" s="1" t="s">
        <v>22</v>
      </c>
      <c r="M40" s="8">
        <v>0</v>
      </c>
      <c r="N40" s="6"/>
      <c r="O40" s="6"/>
      <c r="P40" s="9">
        <v>-672.56</v>
      </c>
    </row>
    <row r="41" spans="1:16" ht="19.5" customHeight="1">
      <c r="A41" s="1" t="s">
        <v>22</v>
      </c>
      <c r="B41" s="5">
        <v>45962</v>
      </c>
      <c r="C41" s="1" t="s">
        <v>77</v>
      </c>
      <c r="D41" s="1" t="s">
        <v>944</v>
      </c>
      <c r="E41" s="1" t="s">
        <v>22</v>
      </c>
      <c r="F41" s="1" t="s">
        <v>22</v>
      </c>
      <c r="G41" s="1" t="s">
        <v>1027</v>
      </c>
      <c r="H41" s="6">
        <v>0</v>
      </c>
      <c r="I41" s="7">
        <v>0</v>
      </c>
      <c r="J41" s="5">
        <v>45962</v>
      </c>
      <c r="K41" s="1" t="s">
        <v>22</v>
      </c>
      <c r="L41" s="1" t="s">
        <v>22</v>
      </c>
      <c r="M41" s="8">
        <v>0</v>
      </c>
      <c r="N41" s="6"/>
      <c r="O41" s="6"/>
      <c r="P41" s="9">
        <v>-13.68</v>
      </c>
    </row>
    <row r="42" spans="1:16" ht="19.5" customHeight="1">
      <c r="A42" s="1" t="s">
        <v>993</v>
      </c>
      <c r="B42" s="5">
        <v>45962</v>
      </c>
      <c r="C42" s="1" t="s">
        <v>77</v>
      </c>
      <c r="D42" s="1" t="s">
        <v>82</v>
      </c>
      <c r="E42" s="1" t="s">
        <v>22</v>
      </c>
      <c r="F42" s="1" t="s">
        <v>22</v>
      </c>
      <c r="G42" s="1" t="s">
        <v>22</v>
      </c>
      <c r="H42" s="6">
        <v>0</v>
      </c>
      <c r="I42" s="7">
        <v>0</v>
      </c>
      <c r="J42" s="5">
        <v>45962</v>
      </c>
      <c r="K42" s="1" t="s">
        <v>22</v>
      </c>
      <c r="L42" s="1" t="s">
        <v>22</v>
      </c>
      <c r="M42" s="8">
        <v>0</v>
      </c>
      <c r="N42" s="6"/>
      <c r="O42" s="6"/>
      <c r="P42" s="9">
        <v>-416.16</v>
      </c>
    </row>
    <row r="43" spans="1:16" ht="19.5" customHeight="1">
      <c r="A43" s="1" t="s">
        <v>1028</v>
      </c>
      <c r="B43" s="5">
        <v>45963</v>
      </c>
      <c r="C43" s="1" t="s">
        <v>28</v>
      </c>
      <c r="D43" s="1" t="s">
        <v>29</v>
      </c>
      <c r="E43" s="1" t="s">
        <v>25</v>
      </c>
      <c r="F43" s="1" t="s">
        <v>26</v>
      </c>
      <c r="G43" s="1" t="s">
        <v>21</v>
      </c>
      <c r="H43" s="6">
        <v>1</v>
      </c>
      <c r="I43" s="7">
        <v>0</v>
      </c>
      <c r="J43" s="5">
        <v>45939</v>
      </c>
      <c r="K43" s="1" t="s">
        <v>957</v>
      </c>
      <c r="L43" s="1" t="s">
        <v>30</v>
      </c>
      <c r="M43" s="8">
        <v>0</v>
      </c>
      <c r="N43" s="6"/>
      <c r="O43" s="6"/>
      <c r="P43" s="9">
        <v>-46</v>
      </c>
    </row>
    <row r="44" spans="1:16" ht="19.5" customHeight="1">
      <c r="A44" s="1" t="s">
        <v>1028</v>
      </c>
      <c r="B44" s="5">
        <v>45963</v>
      </c>
      <c r="C44" s="1" t="s">
        <v>17</v>
      </c>
      <c r="D44" s="1" t="s">
        <v>37</v>
      </c>
      <c r="E44" s="1" t="s">
        <v>25</v>
      </c>
      <c r="F44" s="1" t="s">
        <v>26</v>
      </c>
      <c r="G44" s="1" t="s">
        <v>21</v>
      </c>
      <c r="H44" s="6">
        <v>1</v>
      </c>
      <c r="I44" s="7">
        <v>0</v>
      </c>
      <c r="J44" s="5">
        <v>45939</v>
      </c>
      <c r="K44" s="1" t="s">
        <v>957</v>
      </c>
      <c r="L44" s="1" t="s">
        <v>30</v>
      </c>
      <c r="M44" s="8">
        <v>0</v>
      </c>
      <c r="N44" s="6"/>
      <c r="O44" s="6"/>
      <c r="P44" s="9">
        <v>-6.46</v>
      </c>
    </row>
    <row r="45" spans="1:16" ht="19.5" customHeight="1">
      <c r="A45" s="1" t="s">
        <v>1028</v>
      </c>
      <c r="B45" s="5">
        <v>45963</v>
      </c>
      <c r="C45" s="1" t="s">
        <v>28</v>
      </c>
      <c r="D45" s="1" t="s">
        <v>45</v>
      </c>
      <c r="E45" s="1" t="s">
        <v>25</v>
      </c>
      <c r="F45" s="1" t="s">
        <v>26</v>
      </c>
      <c r="G45" s="1" t="s">
        <v>21</v>
      </c>
      <c r="H45" s="6">
        <v>1</v>
      </c>
      <c r="I45" s="7">
        <v>0</v>
      </c>
      <c r="J45" s="5">
        <v>45939</v>
      </c>
      <c r="K45" s="1" t="s">
        <v>957</v>
      </c>
      <c r="L45" s="1" t="s">
        <v>30</v>
      </c>
      <c r="M45" s="8">
        <v>0</v>
      </c>
      <c r="N45" s="6"/>
      <c r="O45" s="6"/>
      <c r="P45" s="9">
        <v>0</v>
      </c>
    </row>
    <row r="46" spans="1:16" ht="19.5" customHeight="1">
      <c r="A46" s="1" t="s">
        <v>1028</v>
      </c>
      <c r="B46" s="5">
        <v>45963</v>
      </c>
      <c r="C46" s="1" t="s">
        <v>28</v>
      </c>
      <c r="D46" s="1" t="s">
        <v>46</v>
      </c>
      <c r="E46" s="1" t="s">
        <v>25</v>
      </c>
      <c r="F46" s="1" t="s">
        <v>26</v>
      </c>
      <c r="G46" s="1" t="s">
        <v>21</v>
      </c>
      <c r="H46" s="6">
        <v>1</v>
      </c>
      <c r="I46" s="7">
        <v>0</v>
      </c>
      <c r="J46" s="5">
        <v>45939</v>
      </c>
      <c r="K46" s="1" t="s">
        <v>957</v>
      </c>
      <c r="L46" s="1" t="s">
        <v>30</v>
      </c>
      <c r="M46" s="8">
        <v>0</v>
      </c>
      <c r="N46" s="6"/>
      <c r="O46" s="6"/>
      <c r="P46" s="9">
        <v>-46</v>
      </c>
    </row>
    <row r="47" spans="1:16" ht="19.5" customHeight="1">
      <c r="A47" s="1" t="s">
        <v>1029</v>
      </c>
      <c r="B47" s="5">
        <v>45963</v>
      </c>
      <c r="C47" s="1" t="s">
        <v>28</v>
      </c>
      <c r="D47" s="1" t="s">
        <v>29</v>
      </c>
      <c r="E47" s="1" t="s">
        <v>235</v>
      </c>
      <c r="F47" s="1" t="s">
        <v>528</v>
      </c>
      <c r="G47" s="1" t="s">
        <v>959</v>
      </c>
      <c r="H47" s="6">
        <v>1</v>
      </c>
      <c r="I47" s="7">
        <v>5000</v>
      </c>
      <c r="J47" s="5">
        <v>45958</v>
      </c>
      <c r="K47" s="1" t="s">
        <v>957</v>
      </c>
      <c r="L47" s="1" t="s">
        <v>30</v>
      </c>
      <c r="M47" s="8">
        <v>0.38</v>
      </c>
      <c r="N47" s="6"/>
      <c r="O47" s="6"/>
      <c r="P47" s="9">
        <v>-56</v>
      </c>
    </row>
    <row r="48" spans="1:16" ht="19.5" customHeight="1">
      <c r="A48" s="1" t="s">
        <v>1029</v>
      </c>
      <c r="B48" s="5">
        <v>45963</v>
      </c>
      <c r="C48" s="1" t="s">
        <v>31</v>
      </c>
      <c r="D48" s="1" t="s">
        <v>32</v>
      </c>
      <c r="E48" s="1" t="s">
        <v>235</v>
      </c>
      <c r="F48" s="1" t="s">
        <v>528</v>
      </c>
      <c r="G48" s="1" t="s">
        <v>959</v>
      </c>
      <c r="H48" s="6">
        <v>1</v>
      </c>
      <c r="I48" s="7">
        <v>5000</v>
      </c>
      <c r="J48" s="5">
        <v>45958</v>
      </c>
      <c r="K48" s="1" t="s">
        <v>957</v>
      </c>
      <c r="L48" s="1" t="s">
        <v>30</v>
      </c>
      <c r="M48" s="8">
        <v>0</v>
      </c>
      <c r="N48" s="6"/>
      <c r="O48" s="6"/>
      <c r="P48" s="9">
        <v>2434.6799999999998</v>
      </c>
    </row>
    <row r="49" spans="1:16" ht="19.5" customHeight="1">
      <c r="A49" s="1" t="s">
        <v>1029</v>
      </c>
      <c r="B49" s="5">
        <v>45963</v>
      </c>
      <c r="C49" s="1" t="s">
        <v>31</v>
      </c>
      <c r="D49" s="1" t="s">
        <v>33</v>
      </c>
      <c r="E49" s="1" t="s">
        <v>235</v>
      </c>
      <c r="F49" s="1" t="s">
        <v>528</v>
      </c>
      <c r="G49" s="1" t="s">
        <v>959</v>
      </c>
      <c r="H49" s="6">
        <v>1</v>
      </c>
      <c r="I49" s="7">
        <v>5000</v>
      </c>
      <c r="J49" s="5">
        <v>45958</v>
      </c>
      <c r="K49" s="1" t="s">
        <v>957</v>
      </c>
      <c r="L49" s="1" t="s">
        <v>30</v>
      </c>
      <c r="M49" s="8">
        <v>0</v>
      </c>
      <c r="N49" s="6"/>
      <c r="O49" s="6"/>
      <c r="P49" s="9">
        <v>24.35</v>
      </c>
    </row>
    <row r="50" spans="1:16" ht="19.5" customHeight="1">
      <c r="A50" s="1" t="s">
        <v>1029</v>
      </c>
      <c r="B50" s="5">
        <v>45963</v>
      </c>
      <c r="C50" s="1" t="s">
        <v>31</v>
      </c>
      <c r="D50" s="1" t="s">
        <v>34</v>
      </c>
      <c r="E50" s="1" t="s">
        <v>235</v>
      </c>
      <c r="F50" s="1" t="s">
        <v>528</v>
      </c>
      <c r="G50" s="1" t="s">
        <v>959</v>
      </c>
      <c r="H50" s="6">
        <v>1</v>
      </c>
      <c r="I50" s="7">
        <v>5000</v>
      </c>
      <c r="J50" s="5">
        <v>45958</v>
      </c>
      <c r="K50" s="1" t="s">
        <v>957</v>
      </c>
      <c r="L50" s="1" t="s">
        <v>30</v>
      </c>
      <c r="M50" s="8">
        <v>0</v>
      </c>
      <c r="N50" s="6"/>
      <c r="O50" s="6"/>
      <c r="P50" s="9">
        <v>2540.9699999999998</v>
      </c>
    </row>
    <row r="51" spans="1:16" ht="19.5" customHeight="1">
      <c r="A51" s="1" t="s">
        <v>1029</v>
      </c>
      <c r="B51" s="5">
        <v>45963</v>
      </c>
      <c r="C51" s="1" t="s">
        <v>35</v>
      </c>
      <c r="D51" s="1" t="s">
        <v>36</v>
      </c>
      <c r="E51" s="1" t="s">
        <v>235</v>
      </c>
      <c r="F51" s="1" t="s">
        <v>528</v>
      </c>
      <c r="G51" s="1" t="s">
        <v>959</v>
      </c>
      <c r="H51" s="6">
        <v>1</v>
      </c>
      <c r="I51" s="7">
        <v>5000</v>
      </c>
      <c r="J51" s="5">
        <v>45958</v>
      </c>
      <c r="K51" s="1" t="s">
        <v>957</v>
      </c>
      <c r="L51" s="1" t="s">
        <v>30</v>
      </c>
      <c r="M51" s="8">
        <v>0.38</v>
      </c>
      <c r="N51" s="6"/>
      <c r="O51" s="6"/>
      <c r="P51" s="9">
        <v>-1900</v>
      </c>
    </row>
    <row r="52" spans="1:16" ht="19.5" customHeight="1">
      <c r="A52" s="1" t="s">
        <v>1029</v>
      </c>
      <c r="B52" s="5">
        <v>45963</v>
      </c>
      <c r="C52" s="1" t="s">
        <v>17</v>
      </c>
      <c r="D52" s="1" t="s">
        <v>37</v>
      </c>
      <c r="E52" s="1" t="s">
        <v>235</v>
      </c>
      <c r="F52" s="1" t="s">
        <v>528</v>
      </c>
      <c r="G52" s="1" t="s">
        <v>959</v>
      </c>
      <c r="H52" s="6">
        <v>1</v>
      </c>
      <c r="I52" s="7">
        <v>5000</v>
      </c>
      <c r="J52" s="5">
        <v>45958</v>
      </c>
      <c r="K52" s="1" t="s">
        <v>957</v>
      </c>
      <c r="L52" s="1" t="s">
        <v>30</v>
      </c>
      <c r="M52" s="8">
        <v>0.38</v>
      </c>
      <c r="N52" s="6"/>
      <c r="O52" s="6"/>
      <c r="P52" s="9">
        <v>-11.6</v>
      </c>
    </row>
    <row r="53" spans="1:16" ht="19.5" customHeight="1">
      <c r="A53" s="1" t="s">
        <v>1029</v>
      </c>
      <c r="B53" s="5">
        <v>45963</v>
      </c>
      <c r="C53" s="1" t="s">
        <v>17</v>
      </c>
      <c r="D53" s="1" t="s">
        <v>18</v>
      </c>
      <c r="E53" s="1" t="s">
        <v>235</v>
      </c>
      <c r="F53" s="1" t="s">
        <v>528</v>
      </c>
      <c r="G53" s="1" t="s">
        <v>959</v>
      </c>
      <c r="H53" s="6">
        <v>1</v>
      </c>
      <c r="I53" s="7">
        <v>0</v>
      </c>
      <c r="J53" s="5">
        <v>45958</v>
      </c>
      <c r="K53" s="1" t="s">
        <v>22</v>
      </c>
      <c r="L53" s="1" t="s">
        <v>22</v>
      </c>
      <c r="M53" s="8">
        <v>0</v>
      </c>
      <c r="N53" s="6"/>
      <c r="O53" s="6"/>
      <c r="P53" s="9">
        <v>-46.26</v>
      </c>
    </row>
    <row r="54" spans="1:16" ht="19.5" customHeight="1">
      <c r="A54" s="1" t="s">
        <v>1030</v>
      </c>
      <c r="B54" s="5">
        <v>45963</v>
      </c>
      <c r="C54" s="1" t="s">
        <v>28</v>
      </c>
      <c r="D54" s="1" t="s">
        <v>29</v>
      </c>
      <c r="E54" s="1" t="s">
        <v>241</v>
      </c>
      <c r="F54" s="1" t="s">
        <v>790</v>
      </c>
      <c r="G54" s="1" t="s">
        <v>959</v>
      </c>
      <c r="H54" s="6">
        <v>1</v>
      </c>
      <c r="I54" s="7">
        <v>0</v>
      </c>
      <c r="J54" s="5">
        <v>45944</v>
      </c>
      <c r="K54" s="1" t="s">
        <v>957</v>
      </c>
      <c r="L54" s="1" t="s">
        <v>30</v>
      </c>
      <c r="M54" s="8">
        <v>0</v>
      </c>
      <c r="N54" s="6"/>
      <c r="O54" s="6"/>
      <c r="P54" s="9">
        <v>-56</v>
      </c>
    </row>
    <row r="55" spans="1:16" ht="19.5" customHeight="1">
      <c r="A55" s="1" t="s">
        <v>1030</v>
      </c>
      <c r="B55" s="5">
        <v>45963</v>
      </c>
      <c r="C55" s="1" t="s">
        <v>17</v>
      </c>
      <c r="D55" s="1" t="s">
        <v>37</v>
      </c>
      <c r="E55" s="1" t="s">
        <v>241</v>
      </c>
      <c r="F55" s="1" t="s">
        <v>790</v>
      </c>
      <c r="G55" s="1" t="s">
        <v>959</v>
      </c>
      <c r="H55" s="6">
        <v>1</v>
      </c>
      <c r="I55" s="7">
        <v>0</v>
      </c>
      <c r="J55" s="5">
        <v>45944</v>
      </c>
      <c r="K55" s="1" t="s">
        <v>957</v>
      </c>
      <c r="L55" s="1" t="s">
        <v>30</v>
      </c>
      <c r="M55" s="8">
        <v>0</v>
      </c>
      <c r="N55" s="6"/>
      <c r="O55" s="6"/>
      <c r="P55" s="9">
        <v>-11.73</v>
      </c>
    </row>
    <row r="56" spans="1:16" ht="19.5" customHeight="1">
      <c r="A56" s="1" t="s">
        <v>1030</v>
      </c>
      <c r="B56" s="5">
        <v>45963</v>
      </c>
      <c r="C56" s="1" t="s">
        <v>28</v>
      </c>
      <c r="D56" s="1" t="s">
        <v>45</v>
      </c>
      <c r="E56" s="1" t="s">
        <v>241</v>
      </c>
      <c r="F56" s="1" t="s">
        <v>790</v>
      </c>
      <c r="G56" s="1" t="s">
        <v>959</v>
      </c>
      <c r="H56" s="6">
        <v>1</v>
      </c>
      <c r="I56" s="7">
        <v>0</v>
      </c>
      <c r="J56" s="5">
        <v>45944</v>
      </c>
      <c r="K56" s="1" t="s">
        <v>957</v>
      </c>
      <c r="L56" s="1" t="s">
        <v>30</v>
      </c>
      <c r="M56" s="8">
        <v>0</v>
      </c>
      <c r="N56" s="6"/>
      <c r="O56" s="6"/>
      <c r="P56" s="9">
        <v>0</v>
      </c>
    </row>
    <row r="57" spans="1:16" ht="19.5" customHeight="1">
      <c r="A57" s="1" t="s">
        <v>1030</v>
      </c>
      <c r="B57" s="5">
        <v>45963</v>
      </c>
      <c r="C57" s="1" t="s">
        <v>28</v>
      </c>
      <c r="D57" s="1" t="s">
        <v>46</v>
      </c>
      <c r="E57" s="1" t="s">
        <v>241</v>
      </c>
      <c r="F57" s="1" t="s">
        <v>790</v>
      </c>
      <c r="G57" s="1" t="s">
        <v>959</v>
      </c>
      <c r="H57" s="6">
        <v>1</v>
      </c>
      <c r="I57" s="7">
        <v>0</v>
      </c>
      <c r="J57" s="5">
        <v>45944</v>
      </c>
      <c r="K57" s="1" t="s">
        <v>957</v>
      </c>
      <c r="L57" s="1" t="s">
        <v>30</v>
      </c>
      <c r="M57" s="8">
        <v>0</v>
      </c>
      <c r="N57" s="6"/>
      <c r="O57" s="6"/>
      <c r="P57" s="9">
        <v>-56</v>
      </c>
    </row>
    <row r="58" spans="1:16" ht="19.5" customHeight="1">
      <c r="A58" s="1" t="s">
        <v>1031</v>
      </c>
      <c r="B58" s="5">
        <v>45963</v>
      </c>
      <c r="C58" s="1" t="s">
        <v>28</v>
      </c>
      <c r="D58" s="1" t="s">
        <v>29</v>
      </c>
      <c r="E58" s="1" t="s">
        <v>771</v>
      </c>
      <c r="F58" s="1" t="s">
        <v>851</v>
      </c>
      <c r="G58" s="1" t="s">
        <v>959</v>
      </c>
      <c r="H58" s="6">
        <v>1</v>
      </c>
      <c r="I58" s="7">
        <v>0</v>
      </c>
      <c r="J58" s="5">
        <v>45944</v>
      </c>
      <c r="K58" s="1" t="s">
        <v>957</v>
      </c>
      <c r="L58" s="1" t="s">
        <v>30</v>
      </c>
      <c r="M58" s="8">
        <v>0</v>
      </c>
      <c r="N58" s="6"/>
      <c r="O58" s="6"/>
      <c r="P58" s="9">
        <v>-56</v>
      </c>
    </row>
    <row r="59" spans="1:16" ht="19.5" customHeight="1">
      <c r="A59" s="1" t="s">
        <v>1031</v>
      </c>
      <c r="B59" s="5">
        <v>45963</v>
      </c>
      <c r="C59" s="1" t="s">
        <v>17</v>
      </c>
      <c r="D59" s="1" t="s">
        <v>37</v>
      </c>
      <c r="E59" s="1" t="s">
        <v>771</v>
      </c>
      <c r="F59" s="1" t="s">
        <v>851</v>
      </c>
      <c r="G59" s="1" t="s">
        <v>959</v>
      </c>
      <c r="H59" s="6">
        <v>1</v>
      </c>
      <c r="I59" s="7">
        <v>0</v>
      </c>
      <c r="J59" s="5">
        <v>45944</v>
      </c>
      <c r="K59" s="1" t="s">
        <v>957</v>
      </c>
      <c r="L59" s="1" t="s">
        <v>30</v>
      </c>
      <c r="M59" s="8">
        <v>0</v>
      </c>
      <c r="N59" s="6"/>
      <c r="O59" s="6"/>
      <c r="P59" s="9">
        <v>-11.75</v>
      </c>
    </row>
    <row r="60" spans="1:16" ht="19.5" customHeight="1">
      <c r="A60" s="1" t="s">
        <v>1031</v>
      </c>
      <c r="B60" s="5">
        <v>45963</v>
      </c>
      <c r="C60" s="1" t="s">
        <v>28</v>
      </c>
      <c r="D60" s="1" t="s">
        <v>45</v>
      </c>
      <c r="E60" s="1" t="s">
        <v>771</v>
      </c>
      <c r="F60" s="1" t="s">
        <v>851</v>
      </c>
      <c r="G60" s="1" t="s">
        <v>959</v>
      </c>
      <c r="H60" s="6">
        <v>1</v>
      </c>
      <c r="I60" s="7">
        <v>0</v>
      </c>
      <c r="J60" s="5">
        <v>45944</v>
      </c>
      <c r="K60" s="1" t="s">
        <v>957</v>
      </c>
      <c r="L60" s="1" t="s">
        <v>30</v>
      </c>
      <c r="M60" s="8">
        <v>0</v>
      </c>
      <c r="N60" s="6"/>
      <c r="O60" s="6"/>
      <c r="P60" s="9">
        <v>0</v>
      </c>
    </row>
    <row r="61" spans="1:16" ht="19.5" customHeight="1">
      <c r="A61" s="1" t="s">
        <v>1031</v>
      </c>
      <c r="B61" s="5">
        <v>45963</v>
      </c>
      <c r="C61" s="1" t="s">
        <v>28</v>
      </c>
      <c r="D61" s="1" t="s">
        <v>46</v>
      </c>
      <c r="E61" s="1" t="s">
        <v>771</v>
      </c>
      <c r="F61" s="1" t="s">
        <v>851</v>
      </c>
      <c r="G61" s="1" t="s">
        <v>959</v>
      </c>
      <c r="H61" s="6">
        <v>1</v>
      </c>
      <c r="I61" s="7">
        <v>0</v>
      </c>
      <c r="J61" s="5">
        <v>45944</v>
      </c>
      <c r="K61" s="1" t="s">
        <v>957</v>
      </c>
      <c r="L61" s="1" t="s">
        <v>30</v>
      </c>
      <c r="M61" s="8">
        <v>0</v>
      </c>
      <c r="N61" s="6"/>
      <c r="O61" s="6"/>
      <c r="P61" s="9">
        <v>-56</v>
      </c>
    </row>
    <row r="62" spans="1:16" ht="19.5" customHeight="1">
      <c r="A62" s="1" t="s">
        <v>997</v>
      </c>
      <c r="B62" s="5">
        <v>45963</v>
      </c>
      <c r="C62" s="1" t="s">
        <v>17</v>
      </c>
      <c r="D62" s="1" t="s">
        <v>18</v>
      </c>
      <c r="E62" s="1" t="s">
        <v>25</v>
      </c>
      <c r="F62" s="1" t="s">
        <v>26</v>
      </c>
      <c r="G62" s="1" t="s">
        <v>21</v>
      </c>
      <c r="H62" s="6">
        <v>1</v>
      </c>
      <c r="I62" s="7">
        <v>0</v>
      </c>
      <c r="J62" s="5">
        <v>45959</v>
      </c>
      <c r="K62" s="1" t="s">
        <v>22</v>
      </c>
      <c r="L62" s="1" t="s">
        <v>22</v>
      </c>
      <c r="M62" s="8">
        <v>0</v>
      </c>
      <c r="N62" s="6"/>
      <c r="O62" s="6"/>
      <c r="P62" s="9">
        <v>17.34</v>
      </c>
    </row>
    <row r="63" spans="1:16" ht="19.5" customHeight="1">
      <c r="A63" s="1" t="s">
        <v>981</v>
      </c>
      <c r="B63" s="5">
        <v>45963</v>
      </c>
      <c r="C63" s="1" t="s">
        <v>28</v>
      </c>
      <c r="D63" s="1" t="s">
        <v>60</v>
      </c>
      <c r="E63" s="1" t="s">
        <v>43</v>
      </c>
      <c r="F63" s="1" t="s">
        <v>44</v>
      </c>
      <c r="G63" s="1" t="s">
        <v>959</v>
      </c>
      <c r="H63" s="6">
        <v>1</v>
      </c>
      <c r="I63" s="7">
        <v>0</v>
      </c>
      <c r="J63" s="5">
        <v>45955</v>
      </c>
      <c r="K63" s="1" t="s">
        <v>957</v>
      </c>
      <c r="L63" s="1" t="s">
        <v>30</v>
      </c>
      <c r="M63" s="8">
        <v>0</v>
      </c>
      <c r="N63" s="6"/>
      <c r="O63" s="6"/>
      <c r="P63" s="9">
        <v>0</v>
      </c>
    </row>
    <row r="64" spans="1:16" ht="19.5" customHeight="1">
      <c r="A64" s="1" t="s">
        <v>981</v>
      </c>
      <c r="B64" s="5">
        <v>45963</v>
      </c>
      <c r="C64" s="1" t="s">
        <v>28</v>
      </c>
      <c r="D64" s="1" t="s">
        <v>46</v>
      </c>
      <c r="E64" s="1" t="s">
        <v>43</v>
      </c>
      <c r="F64" s="1" t="s">
        <v>44</v>
      </c>
      <c r="G64" s="1" t="s">
        <v>959</v>
      </c>
      <c r="H64" s="6">
        <v>1</v>
      </c>
      <c r="I64" s="7">
        <v>0</v>
      </c>
      <c r="J64" s="5">
        <v>45955</v>
      </c>
      <c r="K64" s="1" t="s">
        <v>957</v>
      </c>
      <c r="L64" s="1" t="s">
        <v>30</v>
      </c>
      <c r="M64" s="8">
        <v>0</v>
      </c>
      <c r="N64" s="6"/>
      <c r="O64" s="6"/>
      <c r="P64" s="9">
        <v>-56</v>
      </c>
    </row>
    <row r="65" spans="1:16" ht="19.5" customHeight="1">
      <c r="A65" s="1" t="s">
        <v>981</v>
      </c>
      <c r="B65" s="5">
        <v>45963</v>
      </c>
      <c r="C65" s="1" t="s">
        <v>17</v>
      </c>
      <c r="D65" s="1" t="s">
        <v>47</v>
      </c>
      <c r="E65" s="1" t="s">
        <v>43</v>
      </c>
      <c r="F65" s="1" t="s">
        <v>44</v>
      </c>
      <c r="G65" s="1" t="s">
        <v>959</v>
      </c>
      <c r="H65" s="6">
        <v>1</v>
      </c>
      <c r="I65" s="7">
        <v>0</v>
      </c>
      <c r="J65" s="5">
        <v>45955</v>
      </c>
      <c r="K65" s="1" t="s">
        <v>957</v>
      </c>
      <c r="L65" s="1" t="s">
        <v>30</v>
      </c>
      <c r="M65" s="8">
        <v>0</v>
      </c>
      <c r="N65" s="6"/>
      <c r="O65" s="6"/>
      <c r="P65" s="9">
        <v>-15</v>
      </c>
    </row>
    <row r="66" spans="1:16" ht="19.5" customHeight="1">
      <c r="A66" s="1" t="s">
        <v>1032</v>
      </c>
      <c r="B66" s="5">
        <v>45963</v>
      </c>
      <c r="C66" s="1" t="s">
        <v>28</v>
      </c>
      <c r="D66" s="1" t="s">
        <v>29</v>
      </c>
      <c r="E66" s="1" t="s">
        <v>136</v>
      </c>
      <c r="F66" s="1" t="s">
        <v>137</v>
      </c>
      <c r="G66" s="1" t="s">
        <v>21</v>
      </c>
      <c r="H66" s="6">
        <v>1</v>
      </c>
      <c r="I66" s="7">
        <v>4000</v>
      </c>
      <c r="J66" s="5">
        <v>45957</v>
      </c>
      <c r="K66" s="1" t="s">
        <v>957</v>
      </c>
      <c r="L66" s="1" t="s">
        <v>30</v>
      </c>
      <c r="M66" s="8">
        <v>0.38</v>
      </c>
      <c r="N66" s="6"/>
      <c r="O66" s="6"/>
      <c r="P66" s="9">
        <v>-56</v>
      </c>
    </row>
    <row r="67" spans="1:16" ht="19.5" customHeight="1">
      <c r="A67" s="1" t="s">
        <v>1032</v>
      </c>
      <c r="B67" s="5">
        <v>45963</v>
      </c>
      <c r="C67" s="1" t="s">
        <v>31</v>
      </c>
      <c r="D67" s="1" t="s">
        <v>32</v>
      </c>
      <c r="E67" s="1" t="s">
        <v>136</v>
      </c>
      <c r="F67" s="1" t="s">
        <v>137</v>
      </c>
      <c r="G67" s="1" t="s">
        <v>21</v>
      </c>
      <c r="H67" s="6">
        <v>1</v>
      </c>
      <c r="I67" s="7">
        <v>4000</v>
      </c>
      <c r="J67" s="5">
        <v>45957</v>
      </c>
      <c r="K67" s="1" t="s">
        <v>957</v>
      </c>
      <c r="L67" s="1" t="s">
        <v>30</v>
      </c>
      <c r="M67" s="8">
        <v>0</v>
      </c>
      <c r="N67" s="6"/>
      <c r="O67" s="6"/>
      <c r="P67" s="9">
        <v>2637.83</v>
      </c>
    </row>
    <row r="68" spans="1:16" ht="19.5" customHeight="1">
      <c r="A68" s="1" t="s">
        <v>1032</v>
      </c>
      <c r="B68" s="5">
        <v>45963</v>
      </c>
      <c r="C68" s="1" t="s">
        <v>31</v>
      </c>
      <c r="D68" s="1" t="s">
        <v>33</v>
      </c>
      <c r="E68" s="1" t="s">
        <v>136</v>
      </c>
      <c r="F68" s="1" t="s">
        <v>137</v>
      </c>
      <c r="G68" s="1" t="s">
        <v>21</v>
      </c>
      <c r="H68" s="6">
        <v>1</v>
      </c>
      <c r="I68" s="7">
        <v>4000</v>
      </c>
      <c r="J68" s="5">
        <v>45957</v>
      </c>
      <c r="K68" s="1" t="s">
        <v>957</v>
      </c>
      <c r="L68" s="1" t="s">
        <v>30</v>
      </c>
      <c r="M68" s="8">
        <v>0</v>
      </c>
      <c r="N68" s="6"/>
      <c r="O68" s="6"/>
      <c r="P68" s="9">
        <v>0</v>
      </c>
    </row>
    <row r="69" spans="1:16" ht="19.5" customHeight="1">
      <c r="A69" s="1" t="s">
        <v>1032</v>
      </c>
      <c r="B69" s="5">
        <v>45963</v>
      </c>
      <c r="C69" s="1" t="s">
        <v>31</v>
      </c>
      <c r="D69" s="1" t="s">
        <v>34</v>
      </c>
      <c r="E69" s="1" t="s">
        <v>136</v>
      </c>
      <c r="F69" s="1" t="s">
        <v>137</v>
      </c>
      <c r="G69" s="1" t="s">
        <v>21</v>
      </c>
      <c r="H69" s="6">
        <v>1</v>
      </c>
      <c r="I69" s="7">
        <v>4000</v>
      </c>
      <c r="J69" s="5">
        <v>45957</v>
      </c>
      <c r="K69" s="1" t="s">
        <v>957</v>
      </c>
      <c r="L69" s="1" t="s">
        <v>30</v>
      </c>
      <c r="M69" s="8">
        <v>0</v>
      </c>
      <c r="N69" s="6"/>
      <c r="O69" s="6"/>
      <c r="P69" s="9">
        <v>1362.17</v>
      </c>
    </row>
    <row r="70" spans="1:16" ht="19.5" customHeight="1">
      <c r="A70" s="1" t="s">
        <v>1032</v>
      </c>
      <c r="B70" s="5">
        <v>45963</v>
      </c>
      <c r="C70" s="1" t="s">
        <v>35</v>
      </c>
      <c r="D70" s="1" t="s">
        <v>36</v>
      </c>
      <c r="E70" s="1" t="s">
        <v>136</v>
      </c>
      <c r="F70" s="1" t="s">
        <v>137</v>
      </c>
      <c r="G70" s="1" t="s">
        <v>21</v>
      </c>
      <c r="H70" s="6">
        <v>1</v>
      </c>
      <c r="I70" s="7">
        <v>4000</v>
      </c>
      <c r="J70" s="5">
        <v>45957</v>
      </c>
      <c r="K70" s="1" t="s">
        <v>957</v>
      </c>
      <c r="L70" s="1" t="s">
        <v>30</v>
      </c>
      <c r="M70" s="8">
        <v>0.38</v>
      </c>
      <c r="N70" s="6"/>
      <c r="O70" s="6"/>
      <c r="P70" s="9">
        <v>-1520</v>
      </c>
    </row>
    <row r="71" spans="1:16" ht="19.5" customHeight="1">
      <c r="A71" s="1" t="s">
        <v>1032</v>
      </c>
      <c r="B71" s="5">
        <v>45963</v>
      </c>
      <c r="C71" s="1" t="s">
        <v>17</v>
      </c>
      <c r="D71" s="1" t="s">
        <v>37</v>
      </c>
      <c r="E71" s="1" t="s">
        <v>136</v>
      </c>
      <c r="F71" s="1" t="s">
        <v>137</v>
      </c>
      <c r="G71" s="1" t="s">
        <v>21</v>
      </c>
      <c r="H71" s="6">
        <v>1</v>
      </c>
      <c r="I71" s="7">
        <v>4000</v>
      </c>
      <c r="J71" s="5">
        <v>45957</v>
      </c>
      <c r="K71" s="1" t="s">
        <v>957</v>
      </c>
      <c r="L71" s="1" t="s">
        <v>30</v>
      </c>
      <c r="M71" s="8">
        <v>0.38</v>
      </c>
      <c r="N71" s="6"/>
      <c r="O71" s="6"/>
      <c r="P71" s="9">
        <v>-13.67</v>
      </c>
    </row>
    <row r="72" spans="1:16" ht="19.5" customHeight="1">
      <c r="A72" s="1" t="s">
        <v>1033</v>
      </c>
      <c r="B72" s="5">
        <v>45963</v>
      </c>
      <c r="C72" s="1" t="s">
        <v>28</v>
      </c>
      <c r="D72" s="1" t="s">
        <v>29</v>
      </c>
      <c r="E72" s="1" t="s">
        <v>51</v>
      </c>
      <c r="F72" s="1" t="s">
        <v>52</v>
      </c>
      <c r="G72" s="1" t="s">
        <v>959</v>
      </c>
      <c r="H72" s="6">
        <v>1</v>
      </c>
      <c r="I72" s="7">
        <v>0</v>
      </c>
      <c r="J72" s="5">
        <v>45957</v>
      </c>
      <c r="K72" s="1" t="s">
        <v>957</v>
      </c>
      <c r="L72" s="1" t="s">
        <v>30</v>
      </c>
      <c r="M72" s="8">
        <v>0</v>
      </c>
      <c r="N72" s="6"/>
      <c r="O72" s="6"/>
      <c r="P72" s="9">
        <v>-56</v>
      </c>
    </row>
    <row r="73" spans="1:16" ht="19.5" customHeight="1">
      <c r="A73" s="1" t="s">
        <v>1033</v>
      </c>
      <c r="B73" s="5">
        <v>45963</v>
      </c>
      <c r="C73" s="1" t="s">
        <v>17</v>
      </c>
      <c r="D73" s="1" t="s">
        <v>37</v>
      </c>
      <c r="E73" s="1" t="s">
        <v>51</v>
      </c>
      <c r="F73" s="1" t="s">
        <v>52</v>
      </c>
      <c r="G73" s="1" t="s">
        <v>959</v>
      </c>
      <c r="H73" s="6">
        <v>1</v>
      </c>
      <c r="I73" s="7">
        <v>0</v>
      </c>
      <c r="J73" s="5">
        <v>45957</v>
      </c>
      <c r="K73" s="1" t="s">
        <v>957</v>
      </c>
      <c r="L73" s="1" t="s">
        <v>30</v>
      </c>
      <c r="M73" s="8">
        <v>0</v>
      </c>
      <c r="N73" s="6"/>
      <c r="O73" s="6"/>
      <c r="P73" s="9">
        <v>-11.9</v>
      </c>
    </row>
    <row r="74" spans="1:16" ht="19.5" customHeight="1">
      <c r="A74" s="1" t="s">
        <v>1033</v>
      </c>
      <c r="B74" s="5">
        <v>45963</v>
      </c>
      <c r="C74" s="1" t="s">
        <v>28</v>
      </c>
      <c r="D74" s="1" t="s">
        <v>45</v>
      </c>
      <c r="E74" s="1" t="s">
        <v>51</v>
      </c>
      <c r="F74" s="1" t="s">
        <v>52</v>
      </c>
      <c r="G74" s="1" t="s">
        <v>959</v>
      </c>
      <c r="H74" s="6">
        <v>1</v>
      </c>
      <c r="I74" s="7">
        <v>0</v>
      </c>
      <c r="J74" s="5">
        <v>45957</v>
      </c>
      <c r="K74" s="1" t="s">
        <v>957</v>
      </c>
      <c r="L74" s="1" t="s">
        <v>30</v>
      </c>
      <c r="M74" s="8">
        <v>0</v>
      </c>
      <c r="N74" s="6"/>
      <c r="O74" s="6"/>
      <c r="P74" s="9">
        <v>0</v>
      </c>
    </row>
    <row r="75" spans="1:16" ht="19.5" customHeight="1">
      <c r="A75" s="1" t="s">
        <v>1033</v>
      </c>
      <c r="B75" s="5">
        <v>45963</v>
      </c>
      <c r="C75" s="1" t="s">
        <v>28</v>
      </c>
      <c r="D75" s="1" t="s">
        <v>46</v>
      </c>
      <c r="E75" s="1" t="s">
        <v>51</v>
      </c>
      <c r="F75" s="1" t="s">
        <v>52</v>
      </c>
      <c r="G75" s="1" t="s">
        <v>959</v>
      </c>
      <c r="H75" s="6">
        <v>1</v>
      </c>
      <c r="I75" s="7">
        <v>0</v>
      </c>
      <c r="J75" s="5">
        <v>45957</v>
      </c>
      <c r="K75" s="1" t="s">
        <v>957</v>
      </c>
      <c r="L75" s="1" t="s">
        <v>30</v>
      </c>
      <c r="M75" s="8">
        <v>0</v>
      </c>
      <c r="N75" s="6"/>
      <c r="O75" s="6"/>
      <c r="P75" s="9">
        <v>-56</v>
      </c>
    </row>
    <row r="76" spans="1:16" ht="19.5" customHeight="1">
      <c r="A76" s="1" t="s">
        <v>1033</v>
      </c>
      <c r="B76" s="5">
        <v>45963</v>
      </c>
      <c r="C76" s="1" t="s">
        <v>17</v>
      </c>
      <c r="D76" s="1" t="s">
        <v>47</v>
      </c>
      <c r="E76" s="1" t="s">
        <v>51</v>
      </c>
      <c r="F76" s="1" t="s">
        <v>52</v>
      </c>
      <c r="G76" s="1" t="s">
        <v>959</v>
      </c>
      <c r="H76" s="6">
        <v>1</v>
      </c>
      <c r="I76" s="7">
        <v>0</v>
      </c>
      <c r="J76" s="5">
        <v>45957</v>
      </c>
      <c r="K76" s="1" t="s">
        <v>957</v>
      </c>
      <c r="L76" s="1" t="s">
        <v>30</v>
      </c>
      <c r="M76" s="8">
        <v>0</v>
      </c>
      <c r="N76" s="6"/>
      <c r="O76" s="6"/>
      <c r="P76" s="9">
        <v>-15</v>
      </c>
    </row>
    <row r="77" spans="1:16" ht="19.5" customHeight="1">
      <c r="A77" s="1" t="s">
        <v>22</v>
      </c>
      <c r="B77" s="5">
        <v>45963</v>
      </c>
      <c r="C77" s="1" t="s">
        <v>77</v>
      </c>
      <c r="D77" s="1" t="s">
        <v>78</v>
      </c>
      <c r="E77" s="1" t="s">
        <v>22</v>
      </c>
      <c r="F77" s="1" t="s">
        <v>22</v>
      </c>
      <c r="G77" s="1" t="s">
        <v>1034</v>
      </c>
      <c r="H77" s="6">
        <v>0</v>
      </c>
      <c r="I77" s="7">
        <v>0</v>
      </c>
      <c r="J77" s="5">
        <v>45963</v>
      </c>
      <c r="K77" s="1" t="s">
        <v>22</v>
      </c>
      <c r="L77" s="1" t="s">
        <v>22</v>
      </c>
      <c r="M77" s="8">
        <v>0</v>
      </c>
      <c r="N77" s="6"/>
      <c r="O77" s="6"/>
      <c r="P77" s="9">
        <v>-200</v>
      </c>
    </row>
    <row r="78" spans="1:16" ht="19.5" customHeight="1">
      <c r="A78" s="1" t="s">
        <v>1035</v>
      </c>
      <c r="B78" s="5">
        <v>45963</v>
      </c>
      <c r="C78" s="1" t="s">
        <v>28</v>
      </c>
      <c r="D78" s="1" t="s">
        <v>45</v>
      </c>
      <c r="E78" s="1" t="s">
        <v>62</v>
      </c>
      <c r="F78" s="1" t="s">
        <v>63</v>
      </c>
      <c r="G78" s="1" t="s">
        <v>959</v>
      </c>
      <c r="H78" s="6">
        <v>1</v>
      </c>
      <c r="I78" s="7">
        <v>0</v>
      </c>
      <c r="J78" s="5">
        <v>45943</v>
      </c>
      <c r="K78" s="1" t="s">
        <v>957</v>
      </c>
      <c r="L78" s="1" t="s">
        <v>30</v>
      </c>
      <c r="M78" s="8">
        <v>0</v>
      </c>
      <c r="N78" s="6"/>
      <c r="O78" s="6"/>
      <c r="P78" s="9">
        <v>0</v>
      </c>
    </row>
    <row r="79" spans="1:16" ht="19.5" customHeight="1">
      <c r="A79" s="1" t="s">
        <v>1035</v>
      </c>
      <c r="B79" s="5">
        <v>45963</v>
      </c>
      <c r="C79" s="1" t="s">
        <v>28</v>
      </c>
      <c r="D79" s="1" t="s">
        <v>46</v>
      </c>
      <c r="E79" s="1" t="s">
        <v>62</v>
      </c>
      <c r="F79" s="1" t="s">
        <v>63</v>
      </c>
      <c r="G79" s="1" t="s">
        <v>959</v>
      </c>
      <c r="H79" s="6">
        <v>1</v>
      </c>
      <c r="I79" s="7">
        <v>0</v>
      </c>
      <c r="J79" s="5">
        <v>45943</v>
      </c>
      <c r="K79" s="1" t="s">
        <v>957</v>
      </c>
      <c r="L79" s="1" t="s">
        <v>30</v>
      </c>
      <c r="M79" s="8">
        <v>0</v>
      </c>
      <c r="N79" s="6"/>
      <c r="O79" s="6"/>
      <c r="P79" s="9">
        <v>-56</v>
      </c>
    </row>
    <row r="80" spans="1:16" ht="19.5" customHeight="1">
      <c r="A80" s="1" t="s">
        <v>1035</v>
      </c>
      <c r="B80" s="5">
        <v>45963</v>
      </c>
      <c r="C80" s="1" t="s">
        <v>28</v>
      </c>
      <c r="D80" s="1" t="s">
        <v>29</v>
      </c>
      <c r="E80" s="1" t="s">
        <v>62</v>
      </c>
      <c r="F80" s="1" t="s">
        <v>63</v>
      </c>
      <c r="G80" s="1" t="s">
        <v>959</v>
      </c>
      <c r="H80" s="6">
        <v>1</v>
      </c>
      <c r="I80" s="7">
        <v>0</v>
      </c>
      <c r="J80" s="5">
        <v>45943</v>
      </c>
      <c r="K80" s="1" t="s">
        <v>957</v>
      </c>
      <c r="L80" s="1" t="s">
        <v>30</v>
      </c>
      <c r="M80" s="8">
        <v>0</v>
      </c>
      <c r="N80" s="6"/>
      <c r="O80" s="6"/>
      <c r="P80" s="9">
        <v>-56</v>
      </c>
    </row>
    <row r="81" spans="1:16" ht="19.5" customHeight="1">
      <c r="A81" s="1" t="s">
        <v>1035</v>
      </c>
      <c r="B81" s="5">
        <v>45963</v>
      </c>
      <c r="C81" s="1" t="s">
        <v>17</v>
      </c>
      <c r="D81" s="1" t="s">
        <v>37</v>
      </c>
      <c r="E81" s="1" t="s">
        <v>62</v>
      </c>
      <c r="F81" s="1" t="s">
        <v>63</v>
      </c>
      <c r="G81" s="1" t="s">
        <v>959</v>
      </c>
      <c r="H81" s="6">
        <v>1</v>
      </c>
      <c r="I81" s="7">
        <v>0</v>
      </c>
      <c r="J81" s="5">
        <v>45943</v>
      </c>
      <c r="K81" s="1" t="s">
        <v>957</v>
      </c>
      <c r="L81" s="1" t="s">
        <v>30</v>
      </c>
      <c r="M81" s="8">
        <v>0</v>
      </c>
      <c r="N81" s="6"/>
      <c r="O81" s="6"/>
      <c r="P81" s="9">
        <v>-11.14</v>
      </c>
    </row>
    <row r="82" spans="1:16" ht="19.5" customHeight="1">
      <c r="A82" s="1" t="s">
        <v>993</v>
      </c>
      <c r="B82" s="5">
        <v>45963</v>
      </c>
      <c r="C82" s="1" t="s">
        <v>77</v>
      </c>
      <c r="D82" s="1" t="s">
        <v>82</v>
      </c>
      <c r="E82" s="1" t="s">
        <v>22</v>
      </c>
      <c r="F82" s="1" t="s">
        <v>22</v>
      </c>
      <c r="G82" s="1" t="s">
        <v>22</v>
      </c>
      <c r="H82" s="6">
        <v>0</v>
      </c>
      <c r="I82" s="7">
        <v>0</v>
      </c>
      <c r="J82" s="5">
        <v>45963</v>
      </c>
      <c r="K82" s="1" t="s">
        <v>22</v>
      </c>
      <c r="L82" s="1" t="s">
        <v>22</v>
      </c>
      <c r="M82" s="8">
        <v>0</v>
      </c>
      <c r="N82" s="6"/>
      <c r="O82" s="6"/>
      <c r="P82" s="9">
        <v>-404.03</v>
      </c>
    </row>
    <row r="83" spans="1:16" ht="19.5" customHeight="1">
      <c r="A83" s="1" t="s">
        <v>83</v>
      </c>
      <c r="B83" s="5">
        <v>45963</v>
      </c>
      <c r="C83" s="1" t="s">
        <v>77</v>
      </c>
      <c r="D83" s="1" t="s">
        <v>84</v>
      </c>
      <c r="E83" s="1" t="s">
        <v>22</v>
      </c>
      <c r="F83" s="1" t="s">
        <v>22</v>
      </c>
      <c r="G83" s="1" t="s">
        <v>22</v>
      </c>
      <c r="H83" s="6">
        <v>0</v>
      </c>
      <c r="I83" s="7">
        <v>0</v>
      </c>
      <c r="J83" s="5">
        <v>45963</v>
      </c>
      <c r="K83" s="1" t="s">
        <v>22</v>
      </c>
      <c r="L83" s="1" t="s">
        <v>22</v>
      </c>
      <c r="M83" s="8">
        <v>0</v>
      </c>
      <c r="N83" s="6"/>
      <c r="O83" s="6"/>
      <c r="P83" s="9">
        <v>-450</v>
      </c>
    </row>
    <row r="84" spans="1:16" ht="19.5" customHeight="1">
      <c r="A84" s="1" t="s">
        <v>22</v>
      </c>
      <c r="B84" s="5">
        <v>45963</v>
      </c>
      <c r="C84" s="1" t="s">
        <v>77</v>
      </c>
      <c r="D84" s="1" t="s">
        <v>944</v>
      </c>
      <c r="E84" s="1" t="s">
        <v>22</v>
      </c>
      <c r="F84" s="1" t="s">
        <v>22</v>
      </c>
      <c r="G84" s="1" t="s">
        <v>1036</v>
      </c>
      <c r="H84" s="6">
        <v>0</v>
      </c>
      <c r="I84" s="7">
        <v>0</v>
      </c>
      <c r="J84" s="5">
        <v>45963</v>
      </c>
      <c r="K84" s="1" t="s">
        <v>22</v>
      </c>
      <c r="L84" s="1" t="s">
        <v>22</v>
      </c>
      <c r="M84" s="8">
        <v>0</v>
      </c>
      <c r="N84" s="6"/>
      <c r="O84" s="6"/>
      <c r="P84" s="9">
        <v>-59.15</v>
      </c>
    </row>
    <row r="85" spans="1:16" ht="19.5" customHeight="1">
      <c r="A85" s="1" t="s">
        <v>22</v>
      </c>
      <c r="B85" s="5">
        <v>45963</v>
      </c>
      <c r="C85" s="1" t="s">
        <v>77</v>
      </c>
      <c r="D85" s="1" t="s">
        <v>944</v>
      </c>
      <c r="E85" s="1" t="s">
        <v>22</v>
      </c>
      <c r="F85" s="1" t="s">
        <v>22</v>
      </c>
      <c r="G85" s="1" t="s">
        <v>1037</v>
      </c>
      <c r="H85" s="6">
        <v>0</v>
      </c>
      <c r="I85" s="7">
        <v>0</v>
      </c>
      <c r="J85" s="5">
        <v>45963</v>
      </c>
      <c r="K85" s="1" t="s">
        <v>22</v>
      </c>
      <c r="L85" s="1" t="s">
        <v>22</v>
      </c>
      <c r="M85" s="8">
        <v>0</v>
      </c>
      <c r="N85" s="6"/>
      <c r="O85" s="6"/>
      <c r="P85" s="9">
        <v>-329.2</v>
      </c>
    </row>
    <row r="86" spans="1:16" ht="19.5" customHeight="1">
      <c r="A86" s="1" t="s">
        <v>22</v>
      </c>
      <c r="B86" s="5">
        <v>45963</v>
      </c>
      <c r="C86" s="1" t="s">
        <v>77</v>
      </c>
      <c r="D86" s="1" t="s">
        <v>944</v>
      </c>
      <c r="E86" s="1" t="s">
        <v>22</v>
      </c>
      <c r="F86" s="1" t="s">
        <v>22</v>
      </c>
      <c r="G86" s="1" t="s">
        <v>1038</v>
      </c>
      <c r="H86" s="6">
        <v>0</v>
      </c>
      <c r="I86" s="7">
        <v>0</v>
      </c>
      <c r="J86" s="5">
        <v>45963</v>
      </c>
      <c r="K86" s="1" t="s">
        <v>22</v>
      </c>
      <c r="L86" s="1" t="s">
        <v>22</v>
      </c>
      <c r="M86" s="8">
        <v>0</v>
      </c>
      <c r="N86" s="6"/>
      <c r="O86" s="6"/>
      <c r="P86" s="9">
        <v>-812.57</v>
      </c>
    </row>
    <row r="87" spans="1:16" ht="19.5" customHeight="1">
      <c r="A87" s="1" t="s">
        <v>22</v>
      </c>
      <c r="B87" s="5">
        <v>45963</v>
      </c>
      <c r="C87" s="1" t="s">
        <v>77</v>
      </c>
      <c r="D87" s="1" t="s">
        <v>944</v>
      </c>
      <c r="E87" s="1" t="s">
        <v>22</v>
      </c>
      <c r="F87" s="1" t="s">
        <v>22</v>
      </c>
      <c r="G87" s="1" t="s">
        <v>1039</v>
      </c>
      <c r="H87" s="6">
        <v>0</v>
      </c>
      <c r="I87" s="7">
        <v>0</v>
      </c>
      <c r="J87" s="5">
        <v>45963</v>
      </c>
      <c r="K87" s="1" t="s">
        <v>22</v>
      </c>
      <c r="L87" s="1" t="s">
        <v>22</v>
      </c>
      <c r="M87" s="8">
        <v>0</v>
      </c>
      <c r="N87" s="6"/>
      <c r="O87" s="6"/>
      <c r="P87" s="9">
        <v>-424.57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6B00-C247-4246-B86B-6F522C164314}">
  <dimension ref="A1:P241"/>
  <sheetViews>
    <sheetView topLeftCell="C1" zoomScale="80" zoomScaleNormal="80" workbookViewId="0">
      <selection activeCell="G12" sqref="G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2" customWidth="1"/>
  </cols>
  <sheetData>
    <row r="1" spans="1:16" ht="19.5" customHeight="1">
      <c r="A1" s="1" t="s">
        <v>954</v>
      </c>
    </row>
    <row r="2" spans="1:16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955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</row>
    <row r="3" spans="1:16" ht="19.5" customHeight="1">
      <c r="A3" s="1" t="s">
        <v>956</v>
      </c>
      <c r="B3" s="5">
        <v>45957</v>
      </c>
      <c r="C3" s="1" t="s">
        <v>28</v>
      </c>
      <c r="D3" s="1" t="s">
        <v>29</v>
      </c>
      <c r="E3" s="1" t="s">
        <v>88</v>
      </c>
      <c r="F3" s="1" t="s">
        <v>89</v>
      </c>
      <c r="G3" s="1" t="s">
        <v>21</v>
      </c>
      <c r="H3" s="6">
        <v>1</v>
      </c>
      <c r="I3" s="7">
        <v>0</v>
      </c>
      <c r="J3" s="5">
        <v>45928</v>
      </c>
      <c r="K3" s="1" t="s">
        <v>957</v>
      </c>
      <c r="L3" s="1" t="s">
        <v>30</v>
      </c>
      <c r="M3" s="8">
        <v>0</v>
      </c>
      <c r="N3" s="6"/>
      <c r="O3" s="6"/>
      <c r="P3" s="9">
        <v>-46</v>
      </c>
    </row>
    <row r="4" spans="1:16" ht="19.5" customHeight="1">
      <c r="A4" s="1" t="s">
        <v>956</v>
      </c>
      <c r="B4" s="5">
        <v>45957</v>
      </c>
      <c r="C4" s="1" t="s">
        <v>17</v>
      </c>
      <c r="D4" s="1" t="s">
        <v>37</v>
      </c>
      <c r="E4" s="1" t="s">
        <v>88</v>
      </c>
      <c r="F4" s="1" t="s">
        <v>89</v>
      </c>
      <c r="G4" s="1" t="s">
        <v>21</v>
      </c>
      <c r="H4" s="6">
        <v>1</v>
      </c>
      <c r="I4" s="7">
        <v>0</v>
      </c>
      <c r="J4" s="5">
        <v>45928</v>
      </c>
      <c r="K4" s="1" t="s">
        <v>957</v>
      </c>
      <c r="L4" s="1" t="s">
        <v>30</v>
      </c>
      <c r="M4" s="8">
        <v>0</v>
      </c>
      <c r="N4" s="6"/>
      <c r="O4" s="6"/>
      <c r="P4" s="9">
        <v>-7.71</v>
      </c>
    </row>
    <row r="5" spans="1:16" ht="19.5" customHeight="1">
      <c r="A5" s="1" t="s">
        <v>958</v>
      </c>
      <c r="B5" s="5">
        <v>45957</v>
      </c>
      <c r="C5" s="1" t="s">
        <v>17</v>
      </c>
      <c r="D5" s="1" t="s">
        <v>18</v>
      </c>
      <c r="E5" s="1" t="s">
        <v>171</v>
      </c>
      <c r="F5" s="1" t="s">
        <v>172</v>
      </c>
      <c r="G5" s="1" t="s">
        <v>959</v>
      </c>
      <c r="H5" s="6">
        <v>1</v>
      </c>
      <c r="I5" s="7">
        <v>0</v>
      </c>
      <c r="J5" s="5">
        <v>45957</v>
      </c>
      <c r="K5" s="1" t="s">
        <v>22</v>
      </c>
      <c r="L5" s="1" t="s">
        <v>22</v>
      </c>
      <c r="M5" s="8">
        <v>0</v>
      </c>
      <c r="N5" s="6"/>
      <c r="O5" s="6"/>
      <c r="P5" s="9">
        <v>-54.03</v>
      </c>
    </row>
    <row r="6" spans="1:16" ht="19.5" customHeight="1">
      <c r="A6" s="1" t="s">
        <v>956</v>
      </c>
      <c r="B6" s="5">
        <v>45957</v>
      </c>
      <c r="C6" s="1" t="s">
        <v>28</v>
      </c>
      <c r="D6" s="1" t="s">
        <v>45</v>
      </c>
      <c r="E6" s="1" t="s">
        <v>88</v>
      </c>
      <c r="F6" s="1" t="s">
        <v>89</v>
      </c>
      <c r="G6" s="1" t="s">
        <v>21</v>
      </c>
      <c r="H6" s="6">
        <v>1</v>
      </c>
      <c r="I6" s="7">
        <v>0</v>
      </c>
      <c r="J6" s="5">
        <v>45928</v>
      </c>
      <c r="K6" s="1" t="s">
        <v>957</v>
      </c>
      <c r="L6" s="1" t="s">
        <v>30</v>
      </c>
      <c r="M6" s="8">
        <v>0</v>
      </c>
      <c r="N6" s="6"/>
      <c r="O6" s="6"/>
      <c r="P6" s="9">
        <v>0</v>
      </c>
    </row>
    <row r="7" spans="1:16" ht="19.5" customHeight="1">
      <c r="A7" s="1" t="s">
        <v>956</v>
      </c>
      <c r="B7" s="5">
        <v>45957</v>
      </c>
      <c r="C7" s="1" t="s">
        <v>28</v>
      </c>
      <c r="D7" s="1" t="s">
        <v>46</v>
      </c>
      <c r="E7" s="1" t="s">
        <v>88</v>
      </c>
      <c r="F7" s="1" t="s">
        <v>89</v>
      </c>
      <c r="G7" s="1" t="s">
        <v>21</v>
      </c>
      <c r="H7" s="6">
        <v>1</v>
      </c>
      <c r="I7" s="7">
        <v>0</v>
      </c>
      <c r="J7" s="5">
        <v>45928</v>
      </c>
      <c r="K7" s="1" t="s">
        <v>957</v>
      </c>
      <c r="L7" s="1" t="s">
        <v>30</v>
      </c>
      <c r="M7" s="8">
        <v>0</v>
      </c>
      <c r="N7" s="6"/>
      <c r="O7" s="6"/>
      <c r="P7" s="9">
        <v>-46</v>
      </c>
    </row>
    <row r="8" spans="1:16" ht="19.5" customHeight="1">
      <c r="A8" s="1" t="s">
        <v>960</v>
      </c>
      <c r="B8" s="5">
        <v>45957</v>
      </c>
      <c r="C8" s="1" t="s">
        <v>28</v>
      </c>
      <c r="D8" s="1" t="s">
        <v>29</v>
      </c>
      <c r="E8" s="1" t="s">
        <v>92</v>
      </c>
      <c r="F8" s="1" t="s">
        <v>93</v>
      </c>
      <c r="G8" s="1" t="s">
        <v>21</v>
      </c>
      <c r="H8" s="6">
        <v>1</v>
      </c>
      <c r="I8" s="7">
        <v>0</v>
      </c>
      <c r="J8" s="5">
        <v>45950</v>
      </c>
      <c r="K8" s="1" t="s">
        <v>957</v>
      </c>
      <c r="L8" s="1" t="s">
        <v>30</v>
      </c>
      <c r="M8" s="8">
        <v>0</v>
      </c>
      <c r="N8" s="6"/>
      <c r="O8" s="6"/>
      <c r="P8" s="9">
        <v>-46</v>
      </c>
    </row>
    <row r="9" spans="1:16" ht="19.5" customHeight="1">
      <c r="A9" s="1" t="s">
        <v>960</v>
      </c>
      <c r="B9" s="5">
        <v>45957</v>
      </c>
      <c r="C9" s="1" t="s">
        <v>17</v>
      </c>
      <c r="D9" s="1" t="s">
        <v>37</v>
      </c>
      <c r="E9" s="1" t="s">
        <v>92</v>
      </c>
      <c r="F9" s="1" t="s">
        <v>93</v>
      </c>
      <c r="G9" s="1" t="s">
        <v>21</v>
      </c>
      <c r="H9" s="6">
        <v>1</v>
      </c>
      <c r="I9" s="7">
        <v>0</v>
      </c>
      <c r="J9" s="5">
        <v>45950</v>
      </c>
      <c r="K9" s="1" t="s">
        <v>957</v>
      </c>
      <c r="L9" s="1" t="s">
        <v>30</v>
      </c>
      <c r="M9" s="8">
        <v>0</v>
      </c>
      <c r="N9" s="6"/>
      <c r="O9" s="6"/>
      <c r="P9" s="9">
        <v>-9.2899999999999991</v>
      </c>
    </row>
    <row r="10" spans="1:16" ht="19.5" customHeight="1">
      <c r="A10" s="1" t="s">
        <v>960</v>
      </c>
      <c r="B10" s="5">
        <v>45957</v>
      </c>
      <c r="C10" s="1" t="s">
        <v>28</v>
      </c>
      <c r="D10" s="1" t="s">
        <v>45</v>
      </c>
      <c r="E10" s="1" t="s">
        <v>92</v>
      </c>
      <c r="F10" s="1" t="s">
        <v>93</v>
      </c>
      <c r="G10" s="1" t="s">
        <v>21</v>
      </c>
      <c r="H10" s="6">
        <v>1</v>
      </c>
      <c r="I10" s="7">
        <v>0</v>
      </c>
      <c r="J10" s="5">
        <v>45950</v>
      </c>
      <c r="K10" s="1" t="s">
        <v>957</v>
      </c>
      <c r="L10" s="1" t="s">
        <v>30</v>
      </c>
      <c r="M10" s="8">
        <v>0</v>
      </c>
      <c r="N10" s="6"/>
      <c r="O10" s="6"/>
      <c r="P10" s="9">
        <v>0</v>
      </c>
    </row>
    <row r="11" spans="1:16" ht="19.5" customHeight="1">
      <c r="A11" s="1" t="s">
        <v>960</v>
      </c>
      <c r="B11" s="5">
        <v>45957</v>
      </c>
      <c r="C11" s="1" t="s">
        <v>28</v>
      </c>
      <c r="D11" s="1" t="s">
        <v>46</v>
      </c>
      <c r="E11" s="1" t="s">
        <v>92</v>
      </c>
      <c r="F11" s="1" t="s">
        <v>93</v>
      </c>
      <c r="G11" s="1" t="s">
        <v>21</v>
      </c>
      <c r="H11" s="6">
        <v>1</v>
      </c>
      <c r="I11" s="7">
        <v>0</v>
      </c>
      <c r="J11" s="5">
        <v>45950</v>
      </c>
      <c r="K11" s="1" t="s">
        <v>957</v>
      </c>
      <c r="L11" s="1" t="s">
        <v>30</v>
      </c>
      <c r="M11" s="8">
        <v>0</v>
      </c>
      <c r="N11" s="6"/>
      <c r="O11" s="6"/>
      <c r="P11" s="9">
        <v>-46</v>
      </c>
    </row>
    <row r="12" spans="1:16" ht="19.5" customHeight="1">
      <c r="A12" s="1" t="s">
        <v>960</v>
      </c>
      <c r="B12" s="5">
        <v>45957</v>
      </c>
      <c r="C12" s="1" t="s">
        <v>17</v>
      </c>
      <c r="D12" s="1" t="s">
        <v>47</v>
      </c>
      <c r="E12" s="1" t="s">
        <v>92</v>
      </c>
      <c r="F12" s="1" t="s">
        <v>93</v>
      </c>
      <c r="G12" s="1" t="s">
        <v>21</v>
      </c>
      <c r="H12" s="6">
        <v>1</v>
      </c>
      <c r="I12" s="7">
        <v>0</v>
      </c>
      <c r="J12" s="5">
        <v>45950</v>
      </c>
      <c r="K12" s="1" t="s">
        <v>957</v>
      </c>
      <c r="L12" s="1" t="s">
        <v>30</v>
      </c>
      <c r="M12" s="8">
        <v>0</v>
      </c>
      <c r="N12" s="6"/>
      <c r="O12" s="6"/>
      <c r="P12" s="9">
        <v>-15</v>
      </c>
    </row>
    <row r="13" spans="1:16" ht="19.5" customHeight="1">
      <c r="A13" s="1" t="s">
        <v>961</v>
      </c>
      <c r="B13" s="5">
        <v>45957</v>
      </c>
      <c r="C13" s="1" t="s">
        <v>28</v>
      </c>
      <c r="D13" s="1" t="s">
        <v>29</v>
      </c>
      <c r="E13" s="1" t="s">
        <v>25</v>
      </c>
      <c r="F13" s="1" t="s">
        <v>26</v>
      </c>
      <c r="G13" s="1" t="s">
        <v>21</v>
      </c>
      <c r="H13" s="6">
        <v>1</v>
      </c>
      <c r="I13" s="7">
        <v>1117</v>
      </c>
      <c r="J13" s="5">
        <v>45954</v>
      </c>
      <c r="K13" s="1" t="s">
        <v>957</v>
      </c>
      <c r="L13" s="1" t="s">
        <v>30</v>
      </c>
      <c r="M13" s="8">
        <v>0.34</v>
      </c>
      <c r="N13" s="6"/>
      <c r="O13" s="6"/>
      <c r="P13" s="9">
        <v>-46</v>
      </c>
    </row>
    <row r="14" spans="1:16" ht="19.5" customHeight="1">
      <c r="A14" s="1" t="s">
        <v>961</v>
      </c>
      <c r="B14" s="5">
        <v>45957</v>
      </c>
      <c r="C14" s="1" t="s">
        <v>31</v>
      </c>
      <c r="D14" s="1" t="s">
        <v>32</v>
      </c>
      <c r="E14" s="1" t="s">
        <v>25</v>
      </c>
      <c r="F14" s="1" t="s">
        <v>26</v>
      </c>
      <c r="G14" s="1" t="s">
        <v>21</v>
      </c>
      <c r="H14" s="6">
        <v>1</v>
      </c>
      <c r="I14" s="7">
        <v>1117</v>
      </c>
      <c r="J14" s="5">
        <v>45954</v>
      </c>
      <c r="K14" s="1" t="s">
        <v>957</v>
      </c>
      <c r="L14" s="1" t="s">
        <v>30</v>
      </c>
      <c r="M14" s="8">
        <v>0</v>
      </c>
      <c r="N14" s="6"/>
      <c r="O14" s="6"/>
      <c r="P14" s="9">
        <v>656.19</v>
      </c>
    </row>
    <row r="15" spans="1:16" ht="19.5" customHeight="1">
      <c r="A15" s="1" t="s">
        <v>961</v>
      </c>
      <c r="B15" s="5">
        <v>45957</v>
      </c>
      <c r="C15" s="1" t="s">
        <v>31</v>
      </c>
      <c r="D15" s="1" t="s">
        <v>33</v>
      </c>
      <c r="E15" s="1" t="s">
        <v>25</v>
      </c>
      <c r="F15" s="1" t="s">
        <v>26</v>
      </c>
      <c r="G15" s="1" t="s">
        <v>21</v>
      </c>
      <c r="H15" s="6">
        <v>1</v>
      </c>
      <c r="I15" s="7">
        <v>1117</v>
      </c>
      <c r="J15" s="5">
        <v>45954</v>
      </c>
      <c r="K15" s="1" t="s">
        <v>957</v>
      </c>
      <c r="L15" s="1" t="s">
        <v>30</v>
      </c>
      <c r="M15" s="8">
        <v>0</v>
      </c>
      <c r="N15" s="6"/>
      <c r="O15" s="6"/>
      <c r="P15" s="9">
        <v>6.56</v>
      </c>
    </row>
    <row r="16" spans="1:16" ht="19.5" customHeight="1">
      <c r="A16" s="1" t="s">
        <v>961</v>
      </c>
      <c r="B16" s="5">
        <v>45957</v>
      </c>
      <c r="C16" s="1" t="s">
        <v>31</v>
      </c>
      <c r="D16" s="1" t="s">
        <v>34</v>
      </c>
      <c r="E16" s="1" t="s">
        <v>25</v>
      </c>
      <c r="F16" s="1" t="s">
        <v>26</v>
      </c>
      <c r="G16" s="1" t="s">
        <v>21</v>
      </c>
      <c r="H16" s="6">
        <v>1</v>
      </c>
      <c r="I16" s="7">
        <v>1117</v>
      </c>
      <c r="J16" s="5">
        <v>45954</v>
      </c>
      <c r="K16" s="1" t="s">
        <v>957</v>
      </c>
      <c r="L16" s="1" t="s">
        <v>30</v>
      </c>
      <c r="M16" s="8">
        <v>0</v>
      </c>
      <c r="N16" s="6"/>
      <c r="O16" s="6"/>
      <c r="P16" s="9">
        <v>454.25</v>
      </c>
    </row>
    <row r="17" spans="1:16" ht="19.5" customHeight="1">
      <c r="A17" s="1" t="s">
        <v>961</v>
      </c>
      <c r="B17" s="5">
        <v>45957</v>
      </c>
      <c r="C17" s="1" t="s">
        <v>35</v>
      </c>
      <c r="D17" s="1" t="s">
        <v>36</v>
      </c>
      <c r="E17" s="1" t="s">
        <v>25</v>
      </c>
      <c r="F17" s="1" t="s">
        <v>26</v>
      </c>
      <c r="G17" s="1" t="s">
        <v>21</v>
      </c>
      <c r="H17" s="6">
        <v>1</v>
      </c>
      <c r="I17" s="7">
        <v>1117</v>
      </c>
      <c r="J17" s="5">
        <v>45954</v>
      </c>
      <c r="K17" s="1" t="s">
        <v>957</v>
      </c>
      <c r="L17" s="1" t="s">
        <v>30</v>
      </c>
      <c r="M17" s="8">
        <v>0.34</v>
      </c>
      <c r="N17" s="6"/>
      <c r="O17" s="6"/>
      <c r="P17" s="9">
        <v>-379.78</v>
      </c>
    </row>
    <row r="18" spans="1:16" ht="19.5" customHeight="1">
      <c r="A18" s="1" t="s">
        <v>961</v>
      </c>
      <c r="B18" s="5">
        <v>45957</v>
      </c>
      <c r="C18" s="1" t="s">
        <v>17</v>
      </c>
      <c r="D18" s="1" t="s">
        <v>37</v>
      </c>
      <c r="E18" s="1" t="s">
        <v>25</v>
      </c>
      <c r="F18" s="1" t="s">
        <v>26</v>
      </c>
      <c r="G18" s="1" t="s">
        <v>21</v>
      </c>
      <c r="H18" s="6">
        <v>1</v>
      </c>
      <c r="I18" s="7">
        <v>1117</v>
      </c>
      <c r="J18" s="5">
        <v>45954</v>
      </c>
      <c r="K18" s="1" t="s">
        <v>957</v>
      </c>
      <c r="L18" s="1" t="s">
        <v>30</v>
      </c>
      <c r="M18" s="8">
        <v>0.34</v>
      </c>
      <c r="N18" s="6"/>
      <c r="O18" s="6"/>
      <c r="P18" s="9">
        <v>-6.5</v>
      </c>
    </row>
    <row r="19" spans="1:16" ht="19.5" customHeight="1">
      <c r="A19" s="1" t="s">
        <v>961</v>
      </c>
      <c r="B19" s="5">
        <v>45957</v>
      </c>
      <c r="C19" s="1" t="s">
        <v>17</v>
      </c>
      <c r="D19" s="1" t="s">
        <v>18</v>
      </c>
      <c r="E19" s="1" t="s">
        <v>25</v>
      </c>
      <c r="F19" s="1" t="s">
        <v>26</v>
      </c>
      <c r="G19" s="1" t="s">
        <v>21</v>
      </c>
      <c r="H19" s="6">
        <v>1</v>
      </c>
      <c r="I19" s="7">
        <v>0</v>
      </c>
      <c r="J19" s="5">
        <v>45954</v>
      </c>
      <c r="K19" s="1" t="s">
        <v>22</v>
      </c>
      <c r="L19" s="1" t="s">
        <v>22</v>
      </c>
      <c r="M19" s="8">
        <v>0</v>
      </c>
      <c r="N19" s="6"/>
      <c r="O19" s="6"/>
      <c r="P19" s="9">
        <v>-12.47</v>
      </c>
    </row>
    <row r="20" spans="1:16" ht="19.5" customHeight="1">
      <c r="A20" s="1" t="s">
        <v>962</v>
      </c>
      <c r="B20" s="5">
        <v>45957</v>
      </c>
      <c r="C20" s="1" t="s">
        <v>17</v>
      </c>
      <c r="D20" s="1" t="s">
        <v>18</v>
      </c>
      <c r="E20" s="1" t="s">
        <v>227</v>
      </c>
      <c r="F20" s="1" t="s">
        <v>402</v>
      </c>
      <c r="G20" s="1" t="s">
        <v>21</v>
      </c>
      <c r="H20" s="6">
        <v>1</v>
      </c>
      <c r="I20" s="7">
        <v>0</v>
      </c>
      <c r="J20" s="5">
        <v>45957</v>
      </c>
      <c r="K20" s="1" t="s">
        <v>22</v>
      </c>
      <c r="L20" s="1" t="s">
        <v>22</v>
      </c>
      <c r="M20" s="8">
        <v>0</v>
      </c>
      <c r="N20" s="6"/>
      <c r="O20" s="6"/>
      <c r="P20" s="9">
        <v>-13.34</v>
      </c>
    </row>
    <row r="21" spans="1:16" ht="19.5" customHeight="1">
      <c r="A21" s="1" t="s">
        <v>963</v>
      </c>
      <c r="B21" s="5">
        <v>45957</v>
      </c>
      <c r="C21" s="1" t="s">
        <v>28</v>
      </c>
      <c r="D21" s="1" t="s">
        <v>29</v>
      </c>
      <c r="E21" s="1" t="s">
        <v>25</v>
      </c>
      <c r="F21" s="1" t="s">
        <v>26</v>
      </c>
      <c r="G21" s="1" t="s">
        <v>21</v>
      </c>
      <c r="H21" s="6">
        <v>1</v>
      </c>
      <c r="I21" s="7">
        <v>1117</v>
      </c>
      <c r="J21" s="5">
        <v>45955</v>
      </c>
      <c r="K21" s="1" t="s">
        <v>957</v>
      </c>
      <c r="L21" s="1" t="s">
        <v>30</v>
      </c>
      <c r="M21" s="8">
        <v>0.34</v>
      </c>
      <c r="N21" s="6"/>
      <c r="O21" s="6"/>
      <c r="P21" s="9">
        <v>-46</v>
      </c>
    </row>
    <row r="22" spans="1:16" ht="19.5" customHeight="1">
      <c r="A22" s="1" t="s">
        <v>963</v>
      </c>
      <c r="B22" s="5">
        <v>45957</v>
      </c>
      <c r="C22" s="1" t="s">
        <v>31</v>
      </c>
      <c r="D22" s="1" t="s">
        <v>32</v>
      </c>
      <c r="E22" s="1" t="s">
        <v>25</v>
      </c>
      <c r="F22" s="1" t="s">
        <v>26</v>
      </c>
      <c r="G22" s="1" t="s">
        <v>21</v>
      </c>
      <c r="H22" s="6">
        <v>1</v>
      </c>
      <c r="I22" s="7">
        <v>1117</v>
      </c>
      <c r="J22" s="5">
        <v>45955</v>
      </c>
      <c r="K22" s="1" t="s">
        <v>957</v>
      </c>
      <c r="L22" s="1" t="s">
        <v>30</v>
      </c>
      <c r="M22" s="8">
        <v>0</v>
      </c>
      <c r="N22" s="6"/>
      <c r="O22" s="6"/>
      <c r="P22" s="9">
        <v>627.02</v>
      </c>
    </row>
    <row r="23" spans="1:16" ht="19.5" customHeight="1">
      <c r="A23" s="1" t="s">
        <v>963</v>
      </c>
      <c r="B23" s="5">
        <v>45957</v>
      </c>
      <c r="C23" s="1" t="s">
        <v>31</v>
      </c>
      <c r="D23" s="1" t="s">
        <v>33</v>
      </c>
      <c r="E23" s="1" t="s">
        <v>25</v>
      </c>
      <c r="F23" s="1" t="s">
        <v>26</v>
      </c>
      <c r="G23" s="1" t="s">
        <v>21</v>
      </c>
      <c r="H23" s="6">
        <v>1</v>
      </c>
      <c r="I23" s="7">
        <v>1117</v>
      </c>
      <c r="J23" s="5">
        <v>45955</v>
      </c>
      <c r="K23" s="1" t="s">
        <v>957</v>
      </c>
      <c r="L23" s="1" t="s">
        <v>30</v>
      </c>
      <c r="M23" s="8">
        <v>0</v>
      </c>
      <c r="N23" s="6"/>
      <c r="O23" s="6"/>
      <c r="P23" s="9">
        <v>6.27</v>
      </c>
    </row>
    <row r="24" spans="1:16" ht="19.5" customHeight="1">
      <c r="A24" s="1" t="s">
        <v>963</v>
      </c>
      <c r="B24" s="5">
        <v>45957</v>
      </c>
      <c r="C24" s="1" t="s">
        <v>31</v>
      </c>
      <c r="D24" s="1" t="s">
        <v>34</v>
      </c>
      <c r="E24" s="1" t="s">
        <v>25</v>
      </c>
      <c r="F24" s="1" t="s">
        <v>26</v>
      </c>
      <c r="G24" s="1" t="s">
        <v>21</v>
      </c>
      <c r="H24" s="6">
        <v>1</v>
      </c>
      <c r="I24" s="7">
        <v>1117</v>
      </c>
      <c r="J24" s="5">
        <v>45955</v>
      </c>
      <c r="K24" s="1" t="s">
        <v>957</v>
      </c>
      <c r="L24" s="1" t="s">
        <v>30</v>
      </c>
      <c r="M24" s="8">
        <v>0</v>
      </c>
      <c r="N24" s="6"/>
      <c r="O24" s="6"/>
      <c r="P24" s="9">
        <v>483.71</v>
      </c>
    </row>
    <row r="25" spans="1:16" ht="19.5" customHeight="1">
      <c r="A25" s="1" t="s">
        <v>963</v>
      </c>
      <c r="B25" s="5">
        <v>45957</v>
      </c>
      <c r="C25" s="1" t="s">
        <v>35</v>
      </c>
      <c r="D25" s="1" t="s">
        <v>36</v>
      </c>
      <c r="E25" s="1" t="s">
        <v>25</v>
      </c>
      <c r="F25" s="1" t="s">
        <v>26</v>
      </c>
      <c r="G25" s="1" t="s">
        <v>21</v>
      </c>
      <c r="H25" s="6">
        <v>1</v>
      </c>
      <c r="I25" s="7">
        <v>1117</v>
      </c>
      <c r="J25" s="5">
        <v>45955</v>
      </c>
      <c r="K25" s="1" t="s">
        <v>957</v>
      </c>
      <c r="L25" s="1" t="s">
        <v>30</v>
      </c>
      <c r="M25" s="8">
        <v>0.34</v>
      </c>
      <c r="N25" s="6"/>
      <c r="O25" s="6"/>
      <c r="P25" s="9">
        <v>-379.78</v>
      </c>
    </row>
    <row r="26" spans="1:16" ht="19.5" customHeight="1">
      <c r="A26" s="1" t="s">
        <v>963</v>
      </c>
      <c r="B26" s="5">
        <v>45957</v>
      </c>
      <c r="C26" s="1" t="s">
        <v>17</v>
      </c>
      <c r="D26" s="1" t="s">
        <v>37</v>
      </c>
      <c r="E26" s="1" t="s">
        <v>25</v>
      </c>
      <c r="F26" s="1" t="s">
        <v>26</v>
      </c>
      <c r="G26" s="1" t="s">
        <v>21</v>
      </c>
      <c r="H26" s="6">
        <v>1</v>
      </c>
      <c r="I26" s="7">
        <v>1117</v>
      </c>
      <c r="J26" s="5">
        <v>45955</v>
      </c>
      <c r="K26" s="1" t="s">
        <v>957</v>
      </c>
      <c r="L26" s="1" t="s">
        <v>30</v>
      </c>
      <c r="M26" s="8">
        <v>0.34</v>
      </c>
      <c r="N26" s="6"/>
      <c r="O26" s="6"/>
      <c r="P26" s="9">
        <v>-10.81</v>
      </c>
    </row>
    <row r="27" spans="1:16" ht="19.5" customHeight="1">
      <c r="A27" s="1" t="s">
        <v>964</v>
      </c>
      <c r="B27" s="5">
        <v>45957</v>
      </c>
      <c r="C27" s="1" t="s">
        <v>28</v>
      </c>
      <c r="D27" s="1" t="s">
        <v>29</v>
      </c>
      <c r="E27" s="1" t="s">
        <v>239</v>
      </c>
      <c r="F27" s="1" t="s">
        <v>733</v>
      </c>
      <c r="G27" s="1" t="s">
        <v>959</v>
      </c>
      <c r="H27" s="6">
        <v>1</v>
      </c>
      <c r="I27" s="7">
        <v>4548</v>
      </c>
      <c r="J27" s="5">
        <v>45956</v>
      </c>
      <c r="K27" s="1" t="s">
        <v>957</v>
      </c>
      <c r="L27" s="1" t="s">
        <v>30</v>
      </c>
      <c r="M27" s="8">
        <v>0.34</v>
      </c>
      <c r="N27" s="6"/>
      <c r="O27" s="6"/>
      <c r="P27" s="9">
        <v>-56</v>
      </c>
    </row>
    <row r="28" spans="1:16" ht="19.5" customHeight="1">
      <c r="A28" s="1" t="s">
        <v>964</v>
      </c>
      <c r="B28" s="5">
        <v>45957</v>
      </c>
      <c r="C28" s="1" t="s">
        <v>31</v>
      </c>
      <c r="D28" s="1" t="s">
        <v>32</v>
      </c>
      <c r="E28" s="1" t="s">
        <v>239</v>
      </c>
      <c r="F28" s="1" t="s">
        <v>733</v>
      </c>
      <c r="G28" s="1" t="s">
        <v>959</v>
      </c>
      <c r="H28" s="6">
        <v>1</v>
      </c>
      <c r="I28" s="7">
        <v>4548</v>
      </c>
      <c r="J28" s="5">
        <v>45956</v>
      </c>
      <c r="K28" s="1" t="s">
        <v>957</v>
      </c>
      <c r="L28" s="1" t="s">
        <v>30</v>
      </c>
      <c r="M28" s="8">
        <v>0</v>
      </c>
      <c r="N28" s="6"/>
      <c r="O28" s="6"/>
      <c r="P28" s="9">
        <v>2454.0300000000002</v>
      </c>
    </row>
    <row r="29" spans="1:16" ht="19.5" customHeight="1">
      <c r="A29" s="1" t="s">
        <v>964</v>
      </c>
      <c r="B29" s="5">
        <v>45957</v>
      </c>
      <c r="C29" s="1" t="s">
        <v>31</v>
      </c>
      <c r="D29" s="1" t="s">
        <v>33</v>
      </c>
      <c r="E29" s="1" t="s">
        <v>239</v>
      </c>
      <c r="F29" s="1" t="s">
        <v>733</v>
      </c>
      <c r="G29" s="1" t="s">
        <v>959</v>
      </c>
      <c r="H29" s="6">
        <v>1</v>
      </c>
      <c r="I29" s="7">
        <v>4548</v>
      </c>
      <c r="J29" s="5">
        <v>45956</v>
      </c>
      <c r="K29" s="1" t="s">
        <v>957</v>
      </c>
      <c r="L29" s="1" t="s">
        <v>30</v>
      </c>
      <c r="M29" s="8">
        <v>0</v>
      </c>
      <c r="N29" s="6"/>
      <c r="O29" s="6"/>
      <c r="P29" s="9">
        <v>24.54</v>
      </c>
    </row>
    <row r="30" spans="1:16" ht="19.5" customHeight="1">
      <c r="A30" s="1" t="s">
        <v>964</v>
      </c>
      <c r="B30" s="5">
        <v>45957</v>
      </c>
      <c r="C30" s="1" t="s">
        <v>31</v>
      </c>
      <c r="D30" s="1" t="s">
        <v>34</v>
      </c>
      <c r="E30" s="1" t="s">
        <v>239</v>
      </c>
      <c r="F30" s="1" t="s">
        <v>733</v>
      </c>
      <c r="G30" s="1" t="s">
        <v>959</v>
      </c>
      <c r="H30" s="6">
        <v>1</v>
      </c>
      <c r="I30" s="7">
        <v>4548</v>
      </c>
      <c r="J30" s="5">
        <v>45956</v>
      </c>
      <c r="K30" s="1" t="s">
        <v>957</v>
      </c>
      <c r="L30" s="1" t="s">
        <v>30</v>
      </c>
      <c r="M30" s="8">
        <v>0</v>
      </c>
      <c r="N30" s="6"/>
      <c r="O30" s="6"/>
      <c r="P30" s="9">
        <v>2069.4299999999998</v>
      </c>
    </row>
    <row r="31" spans="1:16" ht="19.5" customHeight="1">
      <c r="A31" s="1" t="s">
        <v>964</v>
      </c>
      <c r="B31" s="5">
        <v>45957</v>
      </c>
      <c r="C31" s="1" t="s">
        <v>35</v>
      </c>
      <c r="D31" s="1" t="s">
        <v>36</v>
      </c>
      <c r="E31" s="1" t="s">
        <v>239</v>
      </c>
      <c r="F31" s="1" t="s">
        <v>733</v>
      </c>
      <c r="G31" s="1" t="s">
        <v>959</v>
      </c>
      <c r="H31" s="6">
        <v>1</v>
      </c>
      <c r="I31" s="7">
        <v>4548</v>
      </c>
      <c r="J31" s="5">
        <v>45956</v>
      </c>
      <c r="K31" s="1" t="s">
        <v>957</v>
      </c>
      <c r="L31" s="1" t="s">
        <v>30</v>
      </c>
      <c r="M31" s="8">
        <v>0.34</v>
      </c>
      <c r="N31" s="6"/>
      <c r="O31" s="6"/>
      <c r="P31" s="9">
        <v>-1546.32</v>
      </c>
    </row>
    <row r="32" spans="1:16" ht="19.5" customHeight="1">
      <c r="A32" s="1" t="s">
        <v>964</v>
      </c>
      <c r="B32" s="5">
        <v>45957</v>
      </c>
      <c r="C32" s="1" t="s">
        <v>17</v>
      </c>
      <c r="D32" s="1" t="s">
        <v>37</v>
      </c>
      <c r="E32" s="1" t="s">
        <v>239</v>
      </c>
      <c r="F32" s="1" t="s">
        <v>733</v>
      </c>
      <c r="G32" s="1" t="s">
        <v>959</v>
      </c>
      <c r="H32" s="6">
        <v>1</v>
      </c>
      <c r="I32" s="7">
        <v>4548</v>
      </c>
      <c r="J32" s="5">
        <v>45956</v>
      </c>
      <c r="K32" s="1" t="s">
        <v>957</v>
      </c>
      <c r="L32" s="1" t="s">
        <v>30</v>
      </c>
      <c r="M32" s="8">
        <v>0.34</v>
      </c>
      <c r="N32" s="6"/>
      <c r="O32" s="6"/>
      <c r="P32" s="9">
        <v>-12.73</v>
      </c>
    </row>
    <row r="33" spans="1:16" ht="19.5" customHeight="1">
      <c r="A33" s="1" t="s">
        <v>965</v>
      </c>
      <c r="B33" s="5">
        <v>45957</v>
      </c>
      <c r="C33" s="1" t="s">
        <v>28</v>
      </c>
      <c r="D33" s="1" t="s">
        <v>29</v>
      </c>
      <c r="E33" s="1" t="s">
        <v>25</v>
      </c>
      <c r="F33" s="1" t="s">
        <v>26</v>
      </c>
      <c r="G33" s="1" t="s">
        <v>21</v>
      </c>
      <c r="H33" s="6">
        <v>1</v>
      </c>
      <c r="I33" s="7">
        <v>1117</v>
      </c>
      <c r="J33" s="5">
        <v>45954</v>
      </c>
      <c r="K33" s="1" t="s">
        <v>957</v>
      </c>
      <c r="L33" s="1" t="s">
        <v>30</v>
      </c>
      <c r="M33" s="8">
        <v>0.34</v>
      </c>
      <c r="N33" s="6"/>
      <c r="O33" s="6"/>
      <c r="P33" s="9">
        <v>-46</v>
      </c>
    </row>
    <row r="34" spans="1:16" ht="19.5" customHeight="1">
      <c r="A34" s="1" t="s">
        <v>965</v>
      </c>
      <c r="B34" s="5">
        <v>45957</v>
      </c>
      <c r="C34" s="1" t="s">
        <v>31</v>
      </c>
      <c r="D34" s="1" t="s">
        <v>32</v>
      </c>
      <c r="E34" s="1" t="s">
        <v>25</v>
      </c>
      <c r="F34" s="1" t="s">
        <v>26</v>
      </c>
      <c r="G34" s="1" t="s">
        <v>21</v>
      </c>
      <c r="H34" s="6">
        <v>1</v>
      </c>
      <c r="I34" s="7">
        <v>1117</v>
      </c>
      <c r="J34" s="5">
        <v>45954</v>
      </c>
      <c r="K34" s="1" t="s">
        <v>957</v>
      </c>
      <c r="L34" s="1" t="s">
        <v>30</v>
      </c>
      <c r="M34" s="8">
        <v>0</v>
      </c>
      <c r="N34" s="6"/>
      <c r="O34" s="6"/>
      <c r="P34" s="9">
        <v>676.19</v>
      </c>
    </row>
    <row r="35" spans="1:16" ht="19.5" customHeight="1">
      <c r="A35" s="1" t="s">
        <v>965</v>
      </c>
      <c r="B35" s="5">
        <v>45957</v>
      </c>
      <c r="C35" s="1" t="s">
        <v>31</v>
      </c>
      <c r="D35" s="1" t="s">
        <v>33</v>
      </c>
      <c r="E35" s="1" t="s">
        <v>25</v>
      </c>
      <c r="F35" s="1" t="s">
        <v>26</v>
      </c>
      <c r="G35" s="1" t="s">
        <v>21</v>
      </c>
      <c r="H35" s="6">
        <v>1</v>
      </c>
      <c r="I35" s="7">
        <v>1117</v>
      </c>
      <c r="J35" s="5">
        <v>45954</v>
      </c>
      <c r="K35" s="1" t="s">
        <v>957</v>
      </c>
      <c r="L35" s="1" t="s">
        <v>30</v>
      </c>
      <c r="M35" s="8">
        <v>0</v>
      </c>
      <c r="N35" s="6"/>
      <c r="O35" s="6"/>
      <c r="P35" s="9">
        <v>6.76</v>
      </c>
    </row>
    <row r="36" spans="1:16" ht="19.5" customHeight="1">
      <c r="A36" s="1" t="s">
        <v>965</v>
      </c>
      <c r="B36" s="5">
        <v>45957</v>
      </c>
      <c r="C36" s="1" t="s">
        <v>31</v>
      </c>
      <c r="D36" s="1" t="s">
        <v>34</v>
      </c>
      <c r="E36" s="1" t="s">
        <v>25</v>
      </c>
      <c r="F36" s="1" t="s">
        <v>26</v>
      </c>
      <c r="G36" s="1" t="s">
        <v>21</v>
      </c>
      <c r="H36" s="6">
        <v>1</v>
      </c>
      <c r="I36" s="7">
        <v>1117</v>
      </c>
      <c r="J36" s="5">
        <v>45954</v>
      </c>
      <c r="K36" s="1" t="s">
        <v>957</v>
      </c>
      <c r="L36" s="1" t="s">
        <v>30</v>
      </c>
      <c r="M36" s="8">
        <v>0</v>
      </c>
      <c r="N36" s="6"/>
      <c r="O36" s="6"/>
      <c r="P36" s="9">
        <v>434.05</v>
      </c>
    </row>
    <row r="37" spans="1:16" ht="19.5" customHeight="1">
      <c r="A37" s="1" t="s">
        <v>965</v>
      </c>
      <c r="B37" s="5">
        <v>45957</v>
      </c>
      <c r="C37" s="1" t="s">
        <v>35</v>
      </c>
      <c r="D37" s="1" t="s">
        <v>36</v>
      </c>
      <c r="E37" s="1" t="s">
        <v>25</v>
      </c>
      <c r="F37" s="1" t="s">
        <v>26</v>
      </c>
      <c r="G37" s="1" t="s">
        <v>21</v>
      </c>
      <c r="H37" s="6">
        <v>1</v>
      </c>
      <c r="I37" s="7">
        <v>1117</v>
      </c>
      <c r="J37" s="5">
        <v>45954</v>
      </c>
      <c r="K37" s="1" t="s">
        <v>957</v>
      </c>
      <c r="L37" s="1" t="s">
        <v>30</v>
      </c>
      <c r="M37" s="8">
        <v>0.34</v>
      </c>
      <c r="N37" s="6"/>
      <c r="O37" s="6"/>
      <c r="P37" s="9">
        <v>-379.78</v>
      </c>
    </row>
    <row r="38" spans="1:16" ht="19.5" customHeight="1">
      <c r="A38" s="1" t="s">
        <v>965</v>
      </c>
      <c r="B38" s="5">
        <v>45957</v>
      </c>
      <c r="C38" s="1" t="s">
        <v>17</v>
      </c>
      <c r="D38" s="1" t="s">
        <v>37</v>
      </c>
      <c r="E38" s="1" t="s">
        <v>25</v>
      </c>
      <c r="F38" s="1" t="s">
        <v>26</v>
      </c>
      <c r="G38" s="1" t="s">
        <v>21</v>
      </c>
      <c r="H38" s="6">
        <v>1</v>
      </c>
      <c r="I38" s="7">
        <v>1117</v>
      </c>
      <c r="J38" s="5">
        <v>45954</v>
      </c>
      <c r="K38" s="1" t="s">
        <v>957</v>
      </c>
      <c r="L38" s="1" t="s">
        <v>30</v>
      </c>
      <c r="M38" s="8">
        <v>0.34</v>
      </c>
      <c r="N38" s="6"/>
      <c r="O38" s="6"/>
      <c r="P38" s="9">
        <v>-5.73</v>
      </c>
    </row>
    <row r="39" spans="1:16" ht="19.5" customHeight="1">
      <c r="A39" s="1" t="s">
        <v>964</v>
      </c>
      <c r="B39" s="5">
        <v>45957</v>
      </c>
      <c r="C39" s="1" t="s">
        <v>17</v>
      </c>
      <c r="D39" s="1" t="s">
        <v>18</v>
      </c>
      <c r="E39" s="1" t="s">
        <v>239</v>
      </c>
      <c r="F39" s="1" t="s">
        <v>733</v>
      </c>
      <c r="G39" s="1" t="s">
        <v>959</v>
      </c>
      <c r="H39" s="6">
        <v>1</v>
      </c>
      <c r="I39" s="7">
        <v>0</v>
      </c>
      <c r="J39" s="5">
        <v>45956</v>
      </c>
      <c r="K39" s="1" t="s">
        <v>22</v>
      </c>
      <c r="L39" s="1" t="s">
        <v>22</v>
      </c>
      <c r="M39" s="8">
        <v>0</v>
      </c>
      <c r="N39" s="6"/>
      <c r="O39" s="6"/>
      <c r="P39" s="9">
        <v>-46.63</v>
      </c>
    </row>
    <row r="40" spans="1:16" ht="19.5" customHeight="1">
      <c r="A40" s="1" t="s">
        <v>965</v>
      </c>
      <c r="B40" s="5">
        <v>45957</v>
      </c>
      <c r="C40" s="1" t="s">
        <v>17</v>
      </c>
      <c r="D40" s="1" t="s">
        <v>18</v>
      </c>
      <c r="E40" s="1" t="s">
        <v>25</v>
      </c>
      <c r="F40" s="1" t="s">
        <v>26</v>
      </c>
      <c r="G40" s="1" t="s">
        <v>21</v>
      </c>
      <c r="H40" s="6">
        <v>1</v>
      </c>
      <c r="I40" s="7">
        <v>0</v>
      </c>
      <c r="J40" s="5">
        <v>45954</v>
      </c>
      <c r="K40" s="1" t="s">
        <v>22</v>
      </c>
      <c r="L40" s="1" t="s">
        <v>22</v>
      </c>
      <c r="M40" s="8">
        <v>0</v>
      </c>
      <c r="N40" s="6"/>
      <c r="O40" s="6"/>
      <c r="P40" s="9">
        <v>-12.85</v>
      </c>
    </row>
    <row r="41" spans="1:16" ht="19.5" customHeight="1">
      <c r="A41" s="1" t="s">
        <v>966</v>
      </c>
      <c r="B41" s="5">
        <v>45957</v>
      </c>
      <c r="C41" s="1" t="s">
        <v>17</v>
      </c>
      <c r="D41" s="1" t="s">
        <v>18</v>
      </c>
      <c r="E41" s="1" t="s">
        <v>136</v>
      </c>
      <c r="F41" s="1" t="s">
        <v>137</v>
      </c>
      <c r="G41" s="1" t="s">
        <v>21</v>
      </c>
      <c r="H41" s="6">
        <v>1</v>
      </c>
      <c r="I41" s="7">
        <v>0</v>
      </c>
      <c r="J41" s="5">
        <v>45957</v>
      </c>
      <c r="K41" s="1" t="s">
        <v>22</v>
      </c>
      <c r="L41" s="1" t="s">
        <v>22</v>
      </c>
      <c r="M41" s="8">
        <v>0</v>
      </c>
      <c r="N41" s="6"/>
      <c r="O41" s="6"/>
      <c r="P41" s="9">
        <v>-14.51</v>
      </c>
    </row>
    <row r="42" spans="1:16" ht="19.5" customHeight="1">
      <c r="A42" s="1" t="s">
        <v>22</v>
      </c>
      <c r="B42" s="5">
        <v>45957</v>
      </c>
      <c r="C42" s="1" t="s">
        <v>77</v>
      </c>
      <c r="D42" s="1" t="s">
        <v>78</v>
      </c>
      <c r="E42" s="1" t="s">
        <v>22</v>
      </c>
      <c r="F42" s="1" t="s">
        <v>22</v>
      </c>
      <c r="G42" s="1" t="s">
        <v>967</v>
      </c>
      <c r="H42" s="6">
        <v>0</v>
      </c>
      <c r="I42" s="7">
        <v>0</v>
      </c>
      <c r="J42" s="5">
        <v>45957</v>
      </c>
      <c r="K42" s="1" t="s">
        <v>22</v>
      </c>
      <c r="L42" s="1" t="s">
        <v>22</v>
      </c>
      <c r="M42" s="8">
        <v>0</v>
      </c>
      <c r="N42" s="6"/>
      <c r="O42" s="6"/>
      <c r="P42" s="9">
        <v>-200</v>
      </c>
    </row>
    <row r="43" spans="1:16" ht="19.5" customHeight="1">
      <c r="A43" s="1" t="s">
        <v>83</v>
      </c>
      <c r="B43" s="5">
        <v>45957</v>
      </c>
      <c r="C43" s="1" t="s">
        <v>77</v>
      </c>
      <c r="D43" s="1" t="s">
        <v>84</v>
      </c>
      <c r="E43" s="1" t="s">
        <v>22</v>
      </c>
      <c r="F43" s="1" t="s">
        <v>22</v>
      </c>
      <c r="G43" s="1" t="s">
        <v>22</v>
      </c>
      <c r="H43" s="6">
        <v>0</v>
      </c>
      <c r="I43" s="7">
        <v>0</v>
      </c>
      <c r="J43" s="5">
        <v>45957</v>
      </c>
      <c r="K43" s="1" t="s">
        <v>22</v>
      </c>
      <c r="L43" s="1" t="s">
        <v>22</v>
      </c>
      <c r="M43" s="8">
        <v>0</v>
      </c>
      <c r="N43" s="6"/>
      <c r="O43" s="6"/>
      <c r="P43" s="9">
        <v>-1341</v>
      </c>
    </row>
    <row r="44" spans="1:16" ht="19.5" customHeight="1">
      <c r="A44" s="1" t="s">
        <v>810</v>
      </c>
      <c r="B44" s="5">
        <v>45957</v>
      </c>
      <c r="C44" s="1" t="s">
        <v>77</v>
      </c>
      <c r="D44" s="1" t="s">
        <v>82</v>
      </c>
      <c r="E44" s="1" t="s">
        <v>22</v>
      </c>
      <c r="F44" s="1" t="s">
        <v>22</v>
      </c>
      <c r="G44" s="1" t="s">
        <v>22</v>
      </c>
      <c r="H44" s="6">
        <v>0</v>
      </c>
      <c r="I44" s="7">
        <v>0</v>
      </c>
      <c r="J44" s="5">
        <v>45957</v>
      </c>
      <c r="K44" s="1" t="s">
        <v>22</v>
      </c>
      <c r="L44" s="1" t="s">
        <v>22</v>
      </c>
      <c r="M44" s="8">
        <v>0</v>
      </c>
      <c r="N44" s="6"/>
      <c r="O44" s="6"/>
      <c r="P44" s="9">
        <v>-875</v>
      </c>
    </row>
    <row r="45" spans="1:16" ht="19.5" customHeight="1">
      <c r="A45" s="1" t="s">
        <v>807</v>
      </c>
      <c r="B45" s="5">
        <v>45957</v>
      </c>
      <c r="C45" s="1" t="s">
        <v>77</v>
      </c>
      <c r="D45" s="1" t="s">
        <v>82</v>
      </c>
      <c r="E45" s="1" t="s">
        <v>22</v>
      </c>
      <c r="F45" s="1" t="s">
        <v>22</v>
      </c>
      <c r="G45" s="1" t="s">
        <v>22</v>
      </c>
      <c r="H45" s="6">
        <v>0</v>
      </c>
      <c r="I45" s="7">
        <v>0</v>
      </c>
      <c r="J45" s="5">
        <v>45957</v>
      </c>
      <c r="K45" s="1" t="s">
        <v>22</v>
      </c>
      <c r="L45" s="1" t="s">
        <v>22</v>
      </c>
      <c r="M45" s="8">
        <v>0</v>
      </c>
      <c r="N45" s="6"/>
      <c r="O45" s="6"/>
      <c r="P45" s="9">
        <v>-499.71</v>
      </c>
    </row>
    <row r="46" spans="1:16" ht="19.5" customHeight="1">
      <c r="A46" s="1" t="s">
        <v>22</v>
      </c>
      <c r="B46" s="5">
        <v>45957</v>
      </c>
      <c r="C46" s="1" t="s">
        <v>77</v>
      </c>
      <c r="D46" s="1" t="s">
        <v>944</v>
      </c>
      <c r="E46" s="1" t="s">
        <v>22</v>
      </c>
      <c r="F46" s="1" t="s">
        <v>22</v>
      </c>
      <c r="G46" s="1" t="s">
        <v>968</v>
      </c>
      <c r="H46" s="6">
        <v>0</v>
      </c>
      <c r="I46" s="7">
        <v>0</v>
      </c>
      <c r="J46" s="5">
        <v>45957</v>
      </c>
      <c r="K46" s="1" t="s">
        <v>22</v>
      </c>
      <c r="L46" s="1" t="s">
        <v>22</v>
      </c>
      <c r="M46" s="8">
        <v>0</v>
      </c>
      <c r="N46" s="6"/>
      <c r="O46" s="6"/>
      <c r="P46" s="9">
        <v>-411.87</v>
      </c>
    </row>
    <row r="47" spans="1:16" ht="19.5" customHeight="1">
      <c r="A47" s="1" t="s">
        <v>22</v>
      </c>
      <c r="B47" s="5">
        <v>45957</v>
      </c>
      <c r="C47" s="1" t="s">
        <v>77</v>
      </c>
      <c r="D47" s="1" t="s">
        <v>944</v>
      </c>
      <c r="E47" s="1" t="s">
        <v>22</v>
      </c>
      <c r="F47" s="1" t="s">
        <v>22</v>
      </c>
      <c r="G47" s="1" t="s">
        <v>969</v>
      </c>
      <c r="H47" s="6">
        <v>0</v>
      </c>
      <c r="I47" s="7">
        <v>0</v>
      </c>
      <c r="J47" s="5">
        <v>45957</v>
      </c>
      <c r="K47" s="1" t="s">
        <v>22</v>
      </c>
      <c r="L47" s="1" t="s">
        <v>22</v>
      </c>
      <c r="M47" s="8">
        <v>0</v>
      </c>
      <c r="N47" s="6"/>
      <c r="O47" s="6"/>
      <c r="P47" s="9">
        <v>-896.57</v>
      </c>
    </row>
    <row r="48" spans="1:16" ht="19.5" customHeight="1">
      <c r="A48" s="1" t="s">
        <v>22</v>
      </c>
      <c r="B48" s="5">
        <v>45957</v>
      </c>
      <c r="C48" s="1" t="s">
        <v>77</v>
      </c>
      <c r="D48" s="1" t="s">
        <v>944</v>
      </c>
      <c r="E48" s="1" t="s">
        <v>22</v>
      </c>
      <c r="F48" s="1" t="s">
        <v>22</v>
      </c>
      <c r="G48" s="1" t="s">
        <v>970</v>
      </c>
      <c r="H48" s="6">
        <v>0</v>
      </c>
      <c r="I48" s="7">
        <v>0</v>
      </c>
      <c r="J48" s="5">
        <v>45957</v>
      </c>
      <c r="K48" s="1" t="s">
        <v>22</v>
      </c>
      <c r="L48" s="1" t="s">
        <v>22</v>
      </c>
      <c r="M48" s="8">
        <v>0</v>
      </c>
      <c r="N48" s="6"/>
      <c r="O48" s="6"/>
      <c r="P48" s="9">
        <v>-791.11</v>
      </c>
    </row>
    <row r="49" spans="1:16" ht="19.5" customHeight="1">
      <c r="A49" s="1" t="s">
        <v>971</v>
      </c>
      <c r="B49" s="5">
        <v>45958</v>
      </c>
      <c r="C49" s="1" t="s">
        <v>17</v>
      </c>
      <c r="D49" s="1" t="s">
        <v>18</v>
      </c>
      <c r="E49" s="1" t="s">
        <v>43</v>
      </c>
      <c r="F49" s="1" t="s">
        <v>44</v>
      </c>
      <c r="G49" s="1" t="s">
        <v>959</v>
      </c>
      <c r="H49" s="6">
        <v>1</v>
      </c>
      <c r="I49" s="7">
        <v>0</v>
      </c>
      <c r="J49" s="5">
        <v>45958</v>
      </c>
      <c r="K49" s="1" t="s">
        <v>22</v>
      </c>
      <c r="L49" s="1" t="s">
        <v>22</v>
      </c>
      <c r="M49" s="8">
        <v>0</v>
      </c>
      <c r="N49" s="6"/>
      <c r="O49" s="6"/>
      <c r="P49" s="9">
        <v>-15.9</v>
      </c>
    </row>
    <row r="50" spans="1:16" ht="19.5" customHeight="1">
      <c r="A50" s="1" t="s">
        <v>972</v>
      </c>
      <c r="B50" s="5">
        <v>45958</v>
      </c>
      <c r="C50" s="1" t="s">
        <v>17</v>
      </c>
      <c r="D50" s="1" t="s">
        <v>18</v>
      </c>
      <c r="E50" s="1" t="s">
        <v>43</v>
      </c>
      <c r="F50" s="1" t="s">
        <v>44</v>
      </c>
      <c r="G50" s="1" t="s">
        <v>959</v>
      </c>
      <c r="H50" s="6">
        <v>1</v>
      </c>
      <c r="I50" s="7">
        <v>0</v>
      </c>
      <c r="J50" s="5">
        <v>45958</v>
      </c>
      <c r="K50" s="1" t="s">
        <v>22</v>
      </c>
      <c r="L50" s="1" t="s">
        <v>22</v>
      </c>
      <c r="M50" s="8">
        <v>0</v>
      </c>
      <c r="N50" s="6"/>
      <c r="O50" s="6"/>
      <c r="P50" s="9">
        <v>-15.9</v>
      </c>
    </row>
    <row r="51" spans="1:16" ht="19.5" customHeight="1">
      <c r="A51" s="1" t="s">
        <v>929</v>
      </c>
      <c r="B51" s="5">
        <v>45958</v>
      </c>
      <c r="C51" s="1" t="s">
        <v>28</v>
      </c>
      <c r="D51" s="1" t="s">
        <v>29</v>
      </c>
      <c r="E51" s="1" t="s">
        <v>239</v>
      </c>
      <c r="F51" s="1" t="s">
        <v>733</v>
      </c>
      <c r="G51" s="1" t="s">
        <v>959</v>
      </c>
      <c r="H51" s="6">
        <v>1</v>
      </c>
      <c r="I51" s="7">
        <v>0</v>
      </c>
      <c r="J51" s="5">
        <v>45951</v>
      </c>
      <c r="K51" s="1" t="s">
        <v>957</v>
      </c>
      <c r="L51" s="1" t="s">
        <v>30</v>
      </c>
      <c r="M51" s="8">
        <v>0</v>
      </c>
      <c r="N51" s="6"/>
      <c r="O51" s="6"/>
      <c r="P51" s="9">
        <v>-56</v>
      </c>
    </row>
    <row r="52" spans="1:16" ht="19.5" customHeight="1">
      <c r="A52" s="1" t="s">
        <v>929</v>
      </c>
      <c r="B52" s="5">
        <v>45958</v>
      </c>
      <c r="C52" s="1" t="s">
        <v>17</v>
      </c>
      <c r="D52" s="1" t="s">
        <v>37</v>
      </c>
      <c r="E52" s="1" t="s">
        <v>239</v>
      </c>
      <c r="F52" s="1" t="s">
        <v>733</v>
      </c>
      <c r="G52" s="1" t="s">
        <v>959</v>
      </c>
      <c r="H52" s="6">
        <v>1</v>
      </c>
      <c r="I52" s="7">
        <v>0</v>
      </c>
      <c r="J52" s="5">
        <v>45951</v>
      </c>
      <c r="K52" s="1" t="s">
        <v>957</v>
      </c>
      <c r="L52" s="1" t="s">
        <v>30</v>
      </c>
      <c r="M52" s="8">
        <v>0</v>
      </c>
      <c r="N52" s="6"/>
      <c r="O52" s="6"/>
      <c r="P52" s="9">
        <v>-8.7200000000000006</v>
      </c>
    </row>
    <row r="53" spans="1:16" ht="19.5" customHeight="1">
      <c r="A53" s="1" t="s">
        <v>927</v>
      </c>
      <c r="B53" s="5">
        <v>45958</v>
      </c>
      <c r="C53" s="1" t="s">
        <v>28</v>
      </c>
      <c r="D53" s="1" t="s">
        <v>45</v>
      </c>
      <c r="E53" s="1" t="s">
        <v>239</v>
      </c>
      <c r="F53" s="1" t="s">
        <v>733</v>
      </c>
      <c r="G53" s="1" t="s">
        <v>959</v>
      </c>
      <c r="H53" s="6">
        <v>1</v>
      </c>
      <c r="I53" s="7">
        <v>0</v>
      </c>
      <c r="J53" s="5">
        <v>45951</v>
      </c>
      <c r="K53" s="1" t="s">
        <v>957</v>
      </c>
      <c r="L53" s="1" t="s">
        <v>30</v>
      </c>
      <c r="M53" s="8">
        <v>0</v>
      </c>
      <c r="N53" s="6"/>
      <c r="O53" s="6"/>
      <c r="P53" s="9">
        <v>0</v>
      </c>
    </row>
    <row r="54" spans="1:16" ht="19.5" customHeight="1">
      <c r="A54" s="1" t="s">
        <v>927</v>
      </c>
      <c r="B54" s="5">
        <v>45958</v>
      </c>
      <c r="C54" s="1" t="s">
        <v>28</v>
      </c>
      <c r="D54" s="1" t="s">
        <v>46</v>
      </c>
      <c r="E54" s="1" t="s">
        <v>239</v>
      </c>
      <c r="F54" s="1" t="s">
        <v>733</v>
      </c>
      <c r="G54" s="1" t="s">
        <v>959</v>
      </c>
      <c r="H54" s="6">
        <v>1</v>
      </c>
      <c r="I54" s="7">
        <v>0</v>
      </c>
      <c r="J54" s="5">
        <v>45951</v>
      </c>
      <c r="K54" s="1" t="s">
        <v>957</v>
      </c>
      <c r="L54" s="1" t="s">
        <v>30</v>
      </c>
      <c r="M54" s="8">
        <v>0</v>
      </c>
      <c r="N54" s="6"/>
      <c r="O54" s="6"/>
      <c r="P54" s="9">
        <v>-56</v>
      </c>
    </row>
    <row r="55" spans="1:16" ht="19.5" customHeight="1">
      <c r="A55" s="1" t="s">
        <v>927</v>
      </c>
      <c r="B55" s="5">
        <v>45958</v>
      </c>
      <c r="C55" s="1" t="s">
        <v>17</v>
      </c>
      <c r="D55" s="1" t="s">
        <v>47</v>
      </c>
      <c r="E55" s="1" t="s">
        <v>239</v>
      </c>
      <c r="F55" s="1" t="s">
        <v>733</v>
      </c>
      <c r="G55" s="1" t="s">
        <v>959</v>
      </c>
      <c r="H55" s="6">
        <v>1</v>
      </c>
      <c r="I55" s="7">
        <v>0</v>
      </c>
      <c r="J55" s="5">
        <v>45951</v>
      </c>
      <c r="K55" s="1" t="s">
        <v>957</v>
      </c>
      <c r="L55" s="1" t="s">
        <v>30</v>
      </c>
      <c r="M55" s="8">
        <v>0</v>
      </c>
      <c r="N55" s="6"/>
      <c r="O55" s="6"/>
      <c r="P55" s="9">
        <v>-15</v>
      </c>
    </row>
    <row r="56" spans="1:16" ht="19.5" customHeight="1">
      <c r="A56" s="1" t="s">
        <v>927</v>
      </c>
      <c r="B56" s="5">
        <v>45958</v>
      </c>
      <c r="C56" s="1" t="s">
        <v>28</v>
      </c>
      <c r="D56" s="1" t="s">
        <v>29</v>
      </c>
      <c r="E56" s="1" t="s">
        <v>239</v>
      </c>
      <c r="F56" s="1" t="s">
        <v>733</v>
      </c>
      <c r="G56" s="1" t="s">
        <v>959</v>
      </c>
      <c r="H56" s="6">
        <v>1</v>
      </c>
      <c r="I56" s="7">
        <v>0</v>
      </c>
      <c r="J56" s="5">
        <v>45951</v>
      </c>
      <c r="K56" s="1" t="s">
        <v>957</v>
      </c>
      <c r="L56" s="1" t="s">
        <v>30</v>
      </c>
      <c r="M56" s="8">
        <v>0</v>
      </c>
      <c r="N56" s="6"/>
      <c r="O56" s="6"/>
      <c r="P56" s="9">
        <v>-56</v>
      </c>
    </row>
    <row r="57" spans="1:16" ht="19.5" customHeight="1">
      <c r="A57" s="1" t="s">
        <v>927</v>
      </c>
      <c r="B57" s="5">
        <v>45958</v>
      </c>
      <c r="C57" s="1" t="s">
        <v>17</v>
      </c>
      <c r="D57" s="1" t="s">
        <v>37</v>
      </c>
      <c r="E57" s="1" t="s">
        <v>239</v>
      </c>
      <c r="F57" s="1" t="s">
        <v>733</v>
      </c>
      <c r="G57" s="1" t="s">
        <v>959</v>
      </c>
      <c r="H57" s="6">
        <v>1</v>
      </c>
      <c r="I57" s="7">
        <v>0</v>
      </c>
      <c r="J57" s="5">
        <v>45951</v>
      </c>
      <c r="K57" s="1" t="s">
        <v>957</v>
      </c>
      <c r="L57" s="1" t="s">
        <v>30</v>
      </c>
      <c r="M57" s="8">
        <v>0</v>
      </c>
      <c r="N57" s="6"/>
      <c r="O57" s="6"/>
      <c r="P57" s="9">
        <v>-8.7200000000000006</v>
      </c>
    </row>
    <row r="58" spans="1:16" ht="19.5" customHeight="1">
      <c r="A58" s="1" t="s">
        <v>929</v>
      </c>
      <c r="B58" s="5">
        <v>45958</v>
      </c>
      <c r="C58" s="1" t="s">
        <v>28</v>
      </c>
      <c r="D58" s="1" t="s">
        <v>45</v>
      </c>
      <c r="E58" s="1" t="s">
        <v>239</v>
      </c>
      <c r="F58" s="1" t="s">
        <v>733</v>
      </c>
      <c r="G58" s="1" t="s">
        <v>959</v>
      </c>
      <c r="H58" s="6">
        <v>1</v>
      </c>
      <c r="I58" s="7">
        <v>0</v>
      </c>
      <c r="J58" s="5">
        <v>45951</v>
      </c>
      <c r="K58" s="1" t="s">
        <v>957</v>
      </c>
      <c r="L58" s="1" t="s">
        <v>30</v>
      </c>
      <c r="M58" s="8">
        <v>0</v>
      </c>
      <c r="N58" s="6"/>
      <c r="O58" s="6"/>
      <c r="P58" s="9">
        <v>0</v>
      </c>
    </row>
    <row r="59" spans="1:16" ht="19.5" customHeight="1">
      <c r="A59" s="1" t="s">
        <v>929</v>
      </c>
      <c r="B59" s="5">
        <v>45958</v>
      </c>
      <c r="C59" s="1" t="s">
        <v>28</v>
      </c>
      <c r="D59" s="1" t="s">
        <v>46</v>
      </c>
      <c r="E59" s="1" t="s">
        <v>239</v>
      </c>
      <c r="F59" s="1" t="s">
        <v>733</v>
      </c>
      <c r="G59" s="1" t="s">
        <v>959</v>
      </c>
      <c r="H59" s="6">
        <v>1</v>
      </c>
      <c r="I59" s="7">
        <v>0</v>
      </c>
      <c r="J59" s="5">
        <v>45951</v>
      </c>
      <c r="K59" s="1" t="s">
        <v>957</v>
      </c>
      <c r="L59" s="1" t="s">
        <v>30</v>
      </c>
      <c r="M59" s="8">
        <v>0</v>
      </c>
      <c r="N59" s="6"/>
      <c r="O59" s="6"/>
      <c r="P59" s="9">
        <v>-56</v>
      </c>
    </row>
    <row r="60" spans="1:16" ht="19.5" customHeight="1">
      <c r="A60" s="1" t="s">
        <v>929</v>
      </c>
      <c r="B60" s="5">
        <v>45958</v>
      </c>
      <c r="C60" s="1" t="s">
        <v>17</v>
      </c>
      <c r="D60" s="1" t="s">
        <v>47</v>
      </c>
      <c r="E60" s="1" t="s">
        <v>239</v>
      </c>
      <c r="F60" s="1" t="s">
        <v>733</v>
      </c>
      <c r="G60" s="1" t="s">
        <v>959</v>
      </c>
      <c r="H60" s="6">
        <v>1</v>
      </c>
      <c r="I60" s="7">
        <v>0</v>
      </c>
      <c r="J60" s="5">
        <v>45951</v>
      </c>
      <c r="K60" s="1" t="s">
        <v>957</v>
      </c>
      <c r="L60" s="1" t="s">
        <v>30</v>
      </c>
      <c r="M60" s="8">
        <v>0</v>
      </c>
      <c r="N60" s="6"/>
      <c r="O60" s="6"/>
      <c r="P60" s="9">
        <v>-15</v>
      </c>
    </row>
    <row r="61" spans="1:16" ht="19.5" customHeight="1">
      <c r="A61" s="1" t="s">
        <v>973</v>
      </c>
      <c r="B61" s="5">
        <v>45958</v>
      </c>
      <c r="C61" s="1" t="s">
        <v>28</v>
      </c>
      <c r="D61" s="1" t="s">
        <v>29</v>
      </c>
      <c r="E61" s="1" t="s">
        <v>54</v>
      </c>
      <c r="F61" s="1" t="s">
        <v>55</v>
      </c>
      <c r="G61" s="1" t="s">
        <v>21</v>
      </c>
      <c r="H61" s="6">
        <v>1</v>
      </c>
      <c r="I61" s="7">
        <v>0</v>
      </c>
      <c r="J61" s="5">
        <v>45945</v>
      </c>
      <c r="K61" s="1" t="s">
        <v>957</v>
      </c>
      <c r="L61" s="1" t="s">
        <v>30</v>
      </c>
      <c r="M61" s="8">
        <v>0</v>
      </c>
      <c r="N61" s="6"/>
      <c r="O61" s="6"/>
      <c r="P61" s="9">
        <v>-46</v>
      </c>
    </row>
    <row r="62" spans="1:16" ht="19.5" customHeight="1">
      <c r="A62" s="1" t="s">
        <v>973</v>
      </c>
      <c r="B62" s="5">
        <v>45958</v>
      </c>
      <c r="C62" s="1" t="s">
        <v>17</v>
      </c>
      <c r="D62" s="1" t="s">
        <v>37</v>
      </c>
      <c r="E62" s="1" t="s">
        <v>54</v>
      </c>
      <c r="F62" s="1" t="s">
        <v>55</v>
      </c>
      <c r="G62" s="1" t="s">
        <v>21</v>
      </c>
      <c r="H62" s="6">
        <v>1</v>
      </c>
      <c r="I62" s="7">
        <v>0</v>
      </c>
      <c r="J62" s="5">
        <v>45945</v>
      </c>
      <c r="K62" s="1" t="s">
        <v>957</v>
      </c>
      <c r="L62" s="1" t="s">
        <v>30</v>
      </c>
      <c r="M62" s="8">
        <v>0</v>
      </c>
      <c r="N62" s="6"/>
      <c r="O62" s="6"/>
      <c r="P62" s="9">
        <v>-6.89</v>
      </c>
    </row>
    <row r="63" spans="1:16" ht="19.5" customHeight="1">
      <c r="A63" s="1" t="s">
        <v>973</v>
      </c>
      <c r="B63" s="5">
        <v>45958</v>
      </c>
      <c r="C63" s="1" t="s">
        <v>28</v>
      </c>
      <c r="D63" s="1" t="s">
        <v>45</v>
      </c>
      <c r="E63" s="1" t="s">
        <v>54</v>
      </c>
      <c r="F63" s="1" t="s">
        <v>55</v>
      </c>
      <c r="G63" s="1" t="s">
        <v>21</v>
      </c>
      <c r="H63" s="6">
        <v>1</v>
      </c>
      <c r="I63" s="7">
        <v>0</v>
      </c>
      <c r="J63" s="5">
        <v>45945</v>
      </c>
      <c r="K63" s="1" t="s">
        <v>957</v>
      </c>
      <c r="L63" s="1" t="s">
        <v>30</v>
      </c>
      <c r="M63" s="8">
        <v>0</v>
      </c>
      <c r="N63" s="6"/>
      <c r="O63" s="6"/>
      <c r="P63" s="9">
        <v>0</v>
      </c>
    </row>
    <row r="64" spans="1:16" ht="19.5" customHeight="1">
      <c r="A64" s="1" t="s">
        <v>973</v>
      </c>
      <c r="B64" s="5">
        <v>45958</v>
      </c>
      <c r="C64" s="1" t="s">
        <v>28</v>
      </c>
      <c r="D64" s="1" t="s">
        <v>46</v>
      </c>
      <c r="E64" s="1" t="s">
        <v>54</v>
      </c>
      <c r="F64" s="1" t="s">
        <v>55</v>
      </c>
      <c r="G64" s="1" t="s">
        <v>21</v>
      </c>
      <c r="H64" s="6">
        <v>1</v>
      </c>
      <c r="I64" s="7">
        <v>0</v>
      </c>
      <c r="J64" s="5">
        <v>45945</v>
      </c>
      <c r="K64" s="1" t="s">
        <v>957</v>
      </c>
      <c r="L64" s="1" t="s">
        <v>30</v>
      </c>
      <c r="M64" s="8">
        <v>0</v>
      </c>
      <c r="N64" s="6"/>
      <c r="O64" s="6"/>
      <c r="P64" s="9">
        <v>-46</v>
      </c>
    </row>
    <row r="65" spans="1:16" ht="19.5" customHeight="1">
      <c r="A65" s="1" t="s">
        <v>973</v>
      </c>
      <c r="B65" s="5">
        <v>45958</v>
      </c>
      <c r="C65" s="1" t="s">
        <v>17</v>
      </c>
      <c r="D65" s="1" t="s">
        <v>47</v>
      </c>
      <c r="E65" s="1" t="s">
        <v>54</v>
      </c>
      <c r="F65" s="1" t="s">
        <v>55</v>
      </c>
      <c r="G65" s="1" t="s">
        <v>21</v>
      </c>
      <c r="H65" s="6">
        <v>1</v>
      </c>
      <c r="I65" s="7">
        <v>0</v>
      </c>
      <c r="J65" s="5">
        <v>45945</v>
      </c>
      <c r="K65" s="1" t="s">
        <v>957</v>
      </c>
      <c r="L65" s="1" t="s">
        <v>30</v>
      </c>
      <c r="M65" s="8">
        <v>0</v>
      </c>
      <c r="N65" s="6"/>
      <c r="O65" s="6"/>
      <c r="P65" s="9">
        <v>-15</v>
      </c>
    </row>
    <row r="66" spans="1:16" ht="19.5" customHeight="1">
      <c r="A66" s="1" t="s">
        <v>974</v>
      </c>
      <c r="B66" s="5">
        <v>45958</v>
      </c>
      <c r="C66" s="1" t="s">
        <v>74</v>
      </c>
      <c r="D66" s="1" t="s">
        <v>75</v>
      </c>
      <c r="E66" s="1" t="s">
        <v>239</v>
      </c>
      <c r="F66" s="1" t="s">
        <v>733</v>
      </c>
      <c r="G66" s="1" t="s">
        <v>959</v>
      </c>
      <c r="H66" s="6">
        <v>1</v>
      </c>
      <c r="I66" s="7">
        <v>0</v>
      </c>
      <c r="J66" s="5">
        <v>45955</v>
      </c>
      <c r="K66" s="1" t="s">
        <v>957</v>
      </c>
      <c r="L66" s="1" t="s">
        <v>30</v>
      </c>
      <c r="M66" s="8">
        <v>0</v>
      </c>
      <c r="N66" s="6"/>
      <c r="O66" s="6"/>
      <c r="P66" s="9">
        <v>-5</v>
      </c>
    </row>
    <row r="67" spans="1:16" ht="19.5" customHeight="1">
      <c r="A67" s="1" t="s">
        <v>974</v>
      </c>
      <c r="B67" s="5">
        <v>45958</v>
      </c>
      <c r="C67" s="1" t="s">
        <v>17</v>
      </c>
      <c r="D67" s="1" t="s">
        <v>76</v>
      </c>
      <c r="E67" s="1" t="s">
        <v>239</v>
      </c>
      <c r="F67" s="1" t="s">
        <v>733</v>
      </c>
      <c r="G67" s="1" t="s">
        <v>959</v>
      </c>
      <c r="H67" s="6">
        <v>1</v>
      </c>
      <c r="I67" s="7">
        <v>0</v>
      </c>
      <c r="J67" s="5">
        <v>45955</v>
      </c>
      <c r="K67" s="1" t="s">
        <v>957</v>
      </c>
      <c r="L67" s="1" t="s">
        <v>30</v>
      </c>
      <c r="M67" s="8">
        <v>0</v>
      </c>
      <c r="N67" s="6"/>
      <c r="O67" s="6"/>
      <c r="P67" s="9">
        <v>-10</v>
      </c>
    </row>
    <row r="68" spans="1:16" ht="19.5" customHeight="1">
      <c r="A68" s="1" t="s">
        <v>975</v>
      </c>
      <c r="B68" s="5">
        <v>45958</v>
      </c>
      <c r="C68" s="1" t="s">
        <v>28</v>
      </c>
      <c r="D68" s="1" t="s">
        <v>29</v>
      </c>
      <c r="E68" s="1" t="s">
        <v>66</v>
      </c>
      <c r="F68" s="1" t="s">
        <v>67</v>
      </c>
      <c r="G68" s="1" t="s">
        <v>959</v>
      </c>
      <c r="H68" s="6">
        <v>1</v>
      </c>
      <c r="I68" s="7">
        <v>5000</v>
      </c>
      <c r="J68" s="5">
        <v>45956</v>
      </c>
      <c r="K68" s="1" t="s">
        <v>957</v>
      </c>
      <c r="L68" s="1" t="s">
        <v>30</v>
      </c>
      <c r="M68" s="8">
        <v>0.34</v>
      </c>
      <c r="N68" s="6"/>
      <c r="O68" s="6"/>
      <c r="P68" s="9">
        <v>-56</v>
      </c>
    </row>
    <row r="69" spans="1:16" ht="19.5" customHeight="1">
      <c r="A69" s="1" t="s">
        <v>975</v>
      </c>
      <c r="B69" s="5">
        <v>45958</v>
      </c>
      <c r="C69" s="1" t="s">
        <v>31</v>
      </c>
      <c r="D69" s="1" t="s">
        <v>32</v>
      </c>
      <c r="E69" s="1" t="s">
        <v>66</v>
      </c>
      <c r="F69" s="1" t="s">
        <v>67</v>
      </c>
      <c r="G69" s="1" t="s">
        <v>959</v>
      </c>
      <c r="H69" s="6">
        <v>1</v>
      </c>
      <c r="I69" s="7">
        <v>5000</v>
      </c>
      <c r="J69" s="5">
        <v>45956</v>
      </c>
      <c r="K69" s="1" t="s">
        <v>957</v>
      </c>
      <c r="L69" s="1" t="s">
        <v>30</v>
      </c>
      <c r="M69" s="8">
        <v>0</v>
      </c>
      <c r="N69" s="6"/>
      <c r="O69" s="6"/>
      <c r="P69" s="9">
        <v>2647.62</v>
      </c>
    </row>
    <row r="70" spans="1:16" ht="19.5" customHeight="1">
      <c r="A70" s="1" t="s">
        <v>975</v>
      </c>
      <c r="B70" s="5">
        <v>45958</v>
      </c>
      <c r="C70" s="1" t="s">
        <v>31</v>
      </c>
      <c r="D70" s="1" t="s">
        <v>33</v>
      </c>
      <c r="E70" s="1" t="s">
        <v>66</v>
      </c>
      <c r="F70" s="1" t="s">
        <v>67</v>
      </c>
      <c r="G70" s="1" t="s">
        <v>959</v>
      </c>
      <c r="H70" s="6">
        <v>1</v>
      </c>
      <c r="I70" s="7">
        <v>5000</v>
      </c>
      <c r="J70" s="5">
        <v>45956</v>
      </c>
      <c r="K70" s="1" t="s">
        <v>957</v>
      </c>
      <c r="L70" s="1" t="s">
        <v>30</v>
      </c>
      <c r="M70" s="8">
        <v>0</v>
      </c>
      <c r="N70" s="6"/>
      <c r="O70" s="6"/>
      <c r="P70" s="9">
        <v>26.48</v>
      </c>
    </row>
    <row r="71" spans="1:16" ht="19.5" customHeight="1">
      <c r="A71" s="1" t="s">
        <v>975</v>
      </c>
      <c r="B71" s="5">
        <v>45958</v>
      </c>
      <c r="C71" s="1" t="s">
        <v>31</v>
      </c>
      <c r="D71" s="1" t="s">
        <v>34</v>
      </c>
      <c r="E71" s="1" t="s">
        <v>66</v>
      </c>
      <c r="F71" s="1" t="s">
        <v>67</v>
      </c>
      <c r="G71" s="1" t="s">
        <v>959</v>
      </c>
      <c r="H71" s="6">
        <v>1</v>
      </c>
      <c r="I71" s="7">
        <v>5000</v>
      </c>
      <c r="J71" s="5">
        <v>45956</v>
      </c>
      <c r="K71" s="1" t="s">
        <v>957</v>
      </c>
      <c r="L71" s="1" t="s">
        <v>30</v>
      </c>
      <c r="M71" s="8">
        <v>0</v>
      </c>
      <c r="N71" s="6"/>
      <c r="O71" s="6"/>
      <c r="P71" s="9">
        <v>2325.9</v>
      </c>
    </row>
    <row r="72" spans="1:16" ht="19.5" customHeight="1">
      <c r="A72" s="1" t="s">
        <v>975</v>
      </c>
      <c r="B72" s="5">
        <v>45958</v>
      </c>
      <c r="C72" s="1" t="s">
        <v>35</v>
      </c>
      <c r="D72" s="1" t="s">
        <v>36</v>
      </c>
      <c r="E72" s="1" t="s">
        <v>66</v>
      </c>
      <c r="F72" s="1" t="s">
        <v>67</v>
      </c>
      <c r="G72" s="1" t="s">
        <v>959</v>
      </c>
      <c r="H72" s="6">
        <v>1</v>
      </c>
      <c r="I72" s="7">
        <v>5000</v>
      </c>
      <c r="J72" s="5">
        <v>45956</v>
      </c>
      <c r="K72" s="1" t="s">
        <v>957</v>
      </c>
      <c r="L72" s="1" t="s">
        <v>30</v>
      </c>
      <c r="M72" s="8">
        <v>0.34</v>
      </c>
      <c r="N72" s="6"/>
      <c r="O72" s="6"/>
      <c r="P72" s="9">
        <v>-1700</v>
      </c>
    </row>
    <row r="73" spans="1:16" ht="19.5" customHeight="1">
      <c r="A73" s="1" t="s">
        <v>975</v>
      </c>
      <c r="B73" s="5">
        <v>45958</v>
      </c>
      <c r="C73" s="1" t="s">
        <v>17</v>
      </c>
      <c r="D73" s="1" t="s">
        <v>37</v>
      </c>
      <c r="E73" s="1" t="s">
        <v>66</v>
      </c>
      <c r="F73" s="1" t="s">
        <v>67</v>
      </c>
      <c r="G73" s="1" t="s">
        <v>959</v>
      </c>
      <c r="H73" s="6">
        <v>1</v>
      </c>
      <c r="I73" s="7">
        <v>5000</v>
      </c>
      <c r="J73" s="5">
        <v>45956</v>
      </c>
      <c r="K73" s="1" t="s">
        <v>957</v>
      </c>
      <c r="L73" s="1" t="s">
        <v>30</v>
      </c>
      <c r="M73" s="8">
        <v>0.34</v>
      </c>
      <c r="N73" s="6"/>
      <c r="O73" s="6"/>
      <c r="P73" s="9">
        <v>-15.01</v>
      </c>
    </row>
    <row r="74" spans="1:16" ht="19.5" customHeight="1">
      <c r="A74" s="1" t="s">
        <v>975</v>
      </c>
      <c r="B74" s="5">
        <v>45958</v>
      </c>
      <c r="C74" s="1" t="s">
        <v>17</v>
      </c>
      <c r="D74" s="1" t="s">
        <v>18</v>
      </c>
      <c r="E74" s="1" t="s">
        <v>66</v>
      </c>
      <c r="F74" s="1" t="s">
        <v>67</v>
      </c>
      <c r="G74" s="1" t="s">
        <v>959</v>
      </c>
      <c r="H74" s="6">
        <v>1</v>
      </c>
      <c r="I74" s="7">
        <v>0</v>
      </c>
      <c r="J74" s="5">
        <v>45956</v>
      </c>
      <c r="K74" s="1" t="s">
        <v>22</v>
      </c>
      <c r="L74" s="1" t="s">
        <v>22</v>
      </c>
      <c r="M74" s="8">
        <v>0</v>
      </c>
      <c r="N74" s="6"/>
      <c r="O74" s="6"/>
      <c r="P74" s="9">
        <v>-50.3</v>
      </c>
    </row>
    <row r="75" spans="1:16" ht="19.5" customHeight="1">
      <c r="A75" s="1" t="s">
        <v>976</v>
      </c>
      <c r="B75" s="5">
        <v>45958</v>
      </c>
      <c r="C75" s="1" t="s">
        <v>17</v>
      </c>
      <c r="D75" s="1" t="s">
        <v>18</v>
      </c>
      <c r="E75" s="1" t="s">
        <v>227</v>
      </c>
      <c r="F75" s="1" t="s">
        <v>402</v>
      </c>
      <c r="G75" s="1" t="s">
        <v>21</v>
      </c>
      <c r="H75" s="6">
        <v>1</v>
      </c>
      <c r="I75" s="7">
        <v>0</v>
      </c>
      <c r="J75" s="5">
        <v>45958</v>
      </c>
      <c r="K75" s="1" t="s">
        <v>22</v>
      </c>
      <c r="L75" s="1" t="s">
        <v>22</v>
      </c>
      <c r="M75" s="8">
        <v>0</v>
      </c>
      <c r="N75" s="6"/>
      <c r="O75" s="6"/>
      <c r="P75" s="9">
        <v>-12.76</v>
      </c>
    </row>
    <row r="76" spans="1:16" ht="19.5" customHeight="1">
      <c r="A76" s="1" t="s">
        <v>977</v>
      </c>
      <c r="B76" s="5">
        <v>45958</v>
      </c>
      <c r="C76" s="1" t="s">
        <v>28</v>
      </c>
      <c r="D76" s="1" t="s">
        <v>29</v>
      </c>
      <c r="E76" s="1" t="s">
        <v>239</v>
      </c>
      <c r="F76" s="1" t="s">
        <v>733</v>
      </c>
      <c r="G76" s="1" t="s">
        <v>959</v>
      </c>
      <c r="H76" s="6">
        <v>1</v>
      </c>
      <c r="I76" s="7">
        <v>4548</v>
      </c>
      <c r="J76" s="5">
        <v>45953</v>
      </c>
      <c r="K76" s="1" t="s">
        <v>957</v>
      </c>
      <c r="L76" s="1" t="s">
        <v>30</v>
      </c>
      <c r="M76" s="8">
        <v>0.34</v>
      </c>
      <c r="N76" s="6"/>
      <c r="O76" s="6"/>
      <c r="P76" s="9">
        <v>-56</v>
      </c>
    </row>
    <row r="77" spans="1:16" ht="19.5" customHeight="1">
      <c r="A77" s="1" t="s">
        <v>977</v>
      </c>
      <c r="B77" s="5">
        <v>45958</v>
      </c>
      <c r="C77" s="1" t="s">
        <v>31</v>
      </c>
      <c r="D77" s="1" t="s">
        <v>32</v>
      </c>
      <c r="E77" s="1" t="s">
        <v>239</v>
      </c>
      <c r="F77" s="1" t="s">
        <v>733</v>
      </c>
      <c r="G77" s="1" t="s">
        <v>959</v>
      </c>
      <c r="H77" s="6">
        <v>1</v>
      </c>
      <c r="I77" s="7">
        <v>4548</v>
      </c>
      <c r="J77" s="5">
        <v>45953</v>
      </c>
      <c r="K77" s="1" t="s">
        <v>957</v>
      </c>
      <c r="L77" s="1" t="s">
        <v>30</v>
      </c>
      <c r="M77" s="8">
        <v>0</v>
      </c>
      <c r="N77" s="6"/>
      <c r="O77" s="6"/>
      <c r="P77" s="9">
        <v>2847.62</v>
      </c>
    </row>
    <row r="78" spans="1:16" ht="19.5" customHeight="1">
      <c r="A78" s="1" t="s">
        <v>977</v>
      </c>
      <c r="B78" s="5">
        <v>45958</v>
      </c>
      <c r="C78" s="1" t="s">
        <v>31</v>
      </c>
      <c r="D78" s="1" t="s">
        <v>33</v>
      </c>
      <c r="E78" s="1" t="s">
        <v>239</v>
      </c>
      <c r="F78" s="1" t="s">
        <v>733</v>
      </c>
      <c r="G78" s="1" t="s">
        <v>959</v>
      </c>
      <c r="H78" s="6">
        <v>1</v>
      </c>
      <c r="I78" s="7">
        <v>4548</v>
      </c>
      <c r="J78" s="5">
        <v>45953</v>
      </c>
      <c r="K78" s="1" t="s">
        <v>957</v>
      </c>
      <c r="L78" s="1" t="s">
        <v>30</v>
      </c>
      <c r="M78" s="8">
        <v>0</v>
      </c>
      <c r="N78" s="6"/>
      <c r="O78" s="6"/>
      <c r="P78" s="9">
        <v>0</v>
      </c>
    </row>
    <row r="79" spans="1:16" ht="19.5" customHeight="1">
      <c r="A79" s="1" t="s">
        <v>977</v>
      </c>
      <c r="B79" s="5">
        <v>45958</v>
      </c>
      <c r="C79" s="1" t="s">
        <v>31</v>
      </c>
      <c r="D79" s="1" t="s">
        <v>34</v>
      </c>
      <c r="E79" s="1" t="s">
        <v>239</v>
      </c>
      <c r="F79" s="1" t="s">
        <v>733</v>
      </c>
      <c r="G79" s="1" t="s">
        <v>959</v>
      </c>
      <c r="H79" s="6">
        <v>1</v>
      </c>
      <c r="I79" s="7">
        <v>4548</v>
      </c>
      <c r="J79" s="5">
        <v>45953</v>
      </c>
      <c r="K79" s="1" t="s">
        <v>957</v>
      </c>
      <c r="L79" s="1" t="s">
        <v>30</v>
      </c>
      <c r="M79" s="8">
        <v>0</v>
      </c>
      <c r="N79" s="6"/>
      <c r="O79" s="6"/>
      <c r="P79" s="9">
        <v>1700.38</v>
      </c>
    </row>
    <row r="80" spans="1:16" ht="19.5" customHeight="1">
      <c r="A80" s="1" t="s">
        <v>977</v>
      </c>
      <c r="B80" s="5">
        <v>45958</v>
      </c>
      <c r="C80" s="1" t="s">
        <v>35</v>
      </c>
      <c r="D80" s="1" t="s">
        <v>36</v>
      </c>
      <c r="E80" s="1" t="s">
        <v>239</v>
      </c>
      <c r="F80" s="1" t="s">
        <v>733</v>
      </c>
      <c r="G80" s="1" t="s">
        <v>959</v>
      </c>
      <c r="H80" s="6">
        <v>1</v>
      </c>
      <c r="I80" s="7">
        <v>4548</v>
      </c>
      <c r="J80" s="5">
        <v>45953</v>
      </c>
      <c r="K80" s="1" t="s">
        <v>957</v>
      </c>
      <c r="L80" s="1" t="s">
        <v>30</v>
      </c>
      <c r="M80" s="8">
        <v>0.34</v>
      </c>
      <c r="N80" s="6"/>
      <c r="O80" s="6"/>
      <c r="P80" s="9">
        <v>-1546.32</v>
      </c>
    </row>
    <row r="81" spans="1:16" ht="19.5" customHeight="1">
      <c r="A81" s="1" t="s">
        <v>977</v>
      </c>
      <c r="B81" s="5">
        <v>45958</v>
      </c>
      <c r="C81" s="1" t="s">
        <v>17</v>
      </c>
      <c r="D81" s="1" t="s">
        <v>37</v>
      </c>
      <c r="E81" s="1" t="s">
        <v>239</v>
      </c>
      <c r="F81" s="1" t="s">
        <v>733</v>
      </c>
      <c r="G81" s="1" t="s">
        <v>959</v>
      </c>
      <c r="H81" s="6">
        <v>1</v>
      </c>
      <c r="I81" s="7">
        <v>4548</v>
      </c>
      <c r="J81" s="5">
        <v>45953</v>
      </c>
      <c r="K81" s="1" t="s">
        <v>957</v>
      </c>
      <c r="L81" s="1" t="s">
        <v>30</v>
      </c>
      <c r="M81" s="8">
        <v>0.34</v>
      </c>
      <c r="N81" s="6"/>
      <c r="O81" s="6"/>
      <c r="P81" s="9">
        <v>-16.5</v>
      </c>
    </row>
    <row r="82" spans="1:16" ht="19.5" customHeight="1">
      <c r="A82" s="1" t="s">
        <v>978</v>
      </c>
      <c r="B82" s="5">
        <v>45958</v>
      </c>
      <c r="C82" s="1" t="s">
        <v>28</v>
      </c>
      <c r="D82" s="1" t="s">
        <v>135</v>
      </c>
      <c r="E82" s="1" t="s">
        <v>229</v>
      </c>
      <c r="F82" s="1" t="s">
        <v>464</v>
      </c>
      <c r="G82" s="1" t="s">
        <v>21</v>
      </c>
      <c r="H82" s="6">
        <v>1</v>
      </c>
      <c r="I82" s="7">
        <v>3250</v>
      </c>
      <c r="J82" s="5">
        <v>45938</v>
      </c>
      <c r="K82" s="1" t="s">
        <v>957</v>
      </c>
      <c r="L82" s="1" t="s">
        <v>113</v>
      </c>
      <c r="M82" s="8">
        <v>0.34</v>
      </c>
      <c r="N82" s="6"/>
      <c r="O82" s="6"/>
      <c r="P82" s="9">
        <v>-10</v>
      </c>
    </row>
    <row r="83" spans="1:16" ht="19.5" customHeight="1">
      <c r="A83" s="1" t="s">
        <v>978</v>
      </c>
      <c r="B83" s="5">
        <v>45958</v>
      </c>
      <c r="C83" s="1" t="s">
        <v>28</v>
      </c>
      <c r="D83" s="1" t="s">
        <v>29</v>
      </c>
      <c r="E83" s="1" t="s">
        <v>229</v>
      </c>
      <c r="F83" s="1" t="s">
        <v>464</v>
      </c>
      <c r="G83" s="1" t="s">
        <v>21</v>
      </c>
      <c r="H83" s="6">
        <v>1</v>
      </c>
      <c r="I83" s="7">
        <v>3250</v>
      </c>
      <c r="J83" s="5">
        <v>45938</v>
      </c>
      <c r="K83" s="1" t="s">
        <v>957</v>
      </c>
      <c r="L83" s="1" t="s">
        <v>113</v>
      </c>
      <c r="M83" s="8">
        <v>0.34</v>
      </c>
      <c r="N83" s="6"/>
      <c r="O83" s="6"/>
      <c r="P83" s="9">
        <v>-98</v>
      </c>
    </row>
    <row r="84" spans="1:16" ht="19.5" customHeight="1">
      <c r="A84" s="1" t="s">
        <v>978</v>
      </c>
      <c r="B84" s="5">
        <v>45958</v>
      </c>
      <c r="C84" s="1" t="s">
        <v>31</v>
      </c>
      <c r="D84" s="1" t="s">
        <v>32</v>
      </c>
      <c r="E84" s="1" t="s">
        <v>229</v>
      </c>
      <c r="F84" s="1" t="s">
        <v>464</v>
      </c>
      <c r="G84" s="1" t="s">
        <v>21</v>
      </c>
      <c r="H84" s="6">
        <v>1</v>
      </c>
      <c r="I84" s="7">
        <v>3250</v>
      </c>
      <c r="J84" s="5">
        <v>45938</v>
      </c>
      <c r="K84" s="1" t="s">
        <v>957</v>
      </c>
      <c r="L84" s="1" t="s">
        <v>113</v>
      </c>
      <c r="M84" s="8">
        <v>0</v>
      </c>
      <c r="N84" s="6"/>
      <c r="O84" s="6"/>
      <c r="P84" s="9">
        <v>2093.2399999999998</v>
      </c>
    </row>
    <row r="85" spans="1:16" ht="19.5" customHeight="1">
      <c r="A85" s="1" t="s">
        <v>978</v>
      </c>
      <c r="B85" s="5">
        <v>45958</v>
      </c>
      <c r="C85" s="1" t="s">
        <v>31</v>
      </c>
      <c r="D85" s="1" t="s">
        <v>33</v>
      </c>
      <c r="E85" s="1" t="s">
        <v>229</v>
      </c>
      <c r="F85" s="1" t="s">
        <v>464</v>
      </c>
      <c r="G85" s="1" t="s">
        <v>21</v>
      </c>
      <c r="H85" s="6">
        <v>1</v>
      </c>
      <c r="I85" s="7">
        <v>3250</v>
      </c>
      <c r="J85" s="5">
        <v>45938</v>
      </c>
      <c r="K85" s="1" t="s">
        <v>957</v>
      </c>
      <c r="L85" s="1" t="s">
        <v>113</v>
      </c>
      <c r="M85" s="8">
        <v>0</v>
      </c>
      <c r="N85" s="6"/>
      <c r="O85" s="6"/>
      <c r="P85" s="9">
        <v>0</v>
      </c>
    </row>
    <row r="86" spans="1:16" ht="19.5" customHeight="1">
      <c r="A86" s="1" t="s">
        <v>978</v>
      </c>
      <c r="B86" s="5">
        <v>45958</v>
      </c>
      <c r="C86" s="1" t="s">
        <v>31</v>
      </c>
      <c r="D86" s="1" t="s">
        <v>34</v>
      </c>
      <c r="E86" s="1" t="s">
        <v>229</v>
      </c>
      <c r="F86" s="1" t="s">
        <v>464</v>
      </c>
      <c r="G86" s="1" t="s">
        <v>21</v>
      </c>
      <c r="H86" s="6">
        <v>1</v>
      </c>
      <c r="I86" s="7">
        <v>3250</v>
      </c>
      <c r="J86" s="5">
        <v>45938</v>
      </c>
      <c r="K86" s="1" t="s">
        <v>957</v>
      </c>
      <c r="L86" s="1" t="s">
        <v>113</v>
      </c>
      <c r="M86" s="8">
        <v>0</v>
      </c>
      <c r="N86" s="6"/>
      <c r="O86" s="6"/>
      <c r="P86" s="9">
        <v>1156.76</v>
      </c>
    </row>
    <row r="87" spans="1:16" ht="19.5" customHeight="1">
      <c r="A87" s="1" t="s">
        <v>978</v>
      </c>
      <c r="B87" s="5">
        <v>45958</v>
      </c>
      <c r="C87" s="1" t="s">
        <v>35</v>
      </c>
      <c r="D87" s="1" t="s">
        <v>36</v>
      </c>
      <c r="E87" s="1" t="s">
        <v>229</v>
      </c>
      <c r="F87" s="1" t="s">
        <v>464</v>
      </c>
      <c r="G87" s="1" t="s">
        <v>21</v>
      </c>
      <c r="H87" s="6">
        <v>1</v>
      </c>
      <c r="I87" s="7">
        <v>3250</v>
      </c>
      <c r="J87" s="5">
        <v>45938</v>
      </c>
      <c r="K87" s="1" t="s">
        <v>957</v>
      </c>
      <c r="L87" s="1" t="s">
        <v>113</v>
      </c>
      <c r="M87" s="8">
        <v>0.34</v>
      </c>
      <c r="N87" s="6"/>
      <c r="O87" s="6"/>
      <c r="P87" s="9">
        <v>-1105</v>
      </c>
    </row>
    <row r="88" spans="1:16" ht="19.5" customHeight="1">
      <c r="A88" s="1" t="s">
        <v>978</v>
      </c>
      <c r="B88" s="5">
        <v>45958</v>
      </c>
      <c r="C88" s="1" t="s">
        <v>17</v>
      </c>
      <c r="D88" s="1" t="s">
        <v>138</v>
      </c>
      <c r="E88" s="1" t="s">
        <v>229</v>
      </c>
      <c r="F88" s="1" t="s">
        <v>464</v>
      </c>
      <c r="G88" s="1" t="s">
        <v>21</v>
      </c>
      <c r="H88" s="6">
        <v>1</v>
      </c>
      <c r="I88" s="7">
        <v>3250</v>
      </c>
      <c r="J88" s="5">
        <v>45938</v>
      </c>
      <c r="K88" s="1" t="s">
        <v>957</v>
      </c>
      <c r="L88" s="1" t="s">
        <v>113</v>
      </c>
      <c r="M88" s="8">
        <v>0.34</v>
      </c>
      <c r="N88" s="6"/>
      <c r="O88" s="6"/>
      <c r="P88" s="9">
        <v>-20</v>
      </c>
    </row>
    <row r="89" spans="1:16" ht="19.5" customHeight="1">
      <c r="A89" s="1" t="s">
        <v>978</v>
      </c>
      <c r="B89" s="5">
        <v>45958</v>
      </c>
      <c r="C89" s="1" t="s">
        <v>17</v>
      </c>
      <c r="D89" s="1" t="s">
        <v>37</v>
      </c>
      <c r="E89" s="1" t="s">
        <v>229</v>
      </c>
      <c r="F89" s="1" t="s">
        <v>464</v>
      </c>
      <c r="G89" s="1" t="s">
        <v>21</v>
      </c>
      <c r="H89" s="6">
        <v>1</v>
      </c>
      <c r="I89" s="7">
        <v>3250</v>
      </c>
      <c r="J89" s="5">
        <v>45938</v>
      </c>
      <c r="K89" s="1" t="s">
        <v>957</v>
      </c>
      <c r="L89" s="1" t="s">
        <v>113</v>
      </c>
      <c r="M89" s="8">
        <v>0.34</v>
      </c>
      <c r="N89" s="6"/>
      <c r="O89" s="6"/>
      <c r="P89" s="9">
        <v>-10.48</v>
      </c>
    </row>
    <row r="90" spans="1:16" ht="19.5" customHeight="1">
      <c r="A90" s="1" t="s">
        <v>979</v>
      </c>
      <c r="B90" s="5">
        <v>45958</v>
      </c>
      <c r="C90" s="1" t="s">
        <v>17</v>
      </c>
      <c r="D90" s="1" t="s">
        <v>18</v>
      </c>
      <c r="E90" s="1" t="s">
        <v>239</v>
      </c>
      <c r="F90" s="1" t="s">
        <v>733</v>
      </c>
      <c r="G90" s="1" t="s">
        <v>959</v>
      </c>
      <c r="H90" s="6">
        <v>1</v>
      </c>
      <c r="I90" s="7">
        <v>0</v>
      </c>
      <c r="J90" s="5">
        <v>45958</v>
      </c>
      <c r="K90" s="1" t="s">
        <v>22</v>
      </c>
      <c r="L90" s="1" t="s">
        <v>22</v>
      </c>
      <c r="M90" s="8">
        <v>0</v>
      </c>
      <c r="N90" s="6"/>
      <c r="O90" s="6"/>
      <c r="P90" s="9">
        <v>-44.59</v>
      </c>
    </row>
    <row r="91" spans="1:16" ht="19.5" customHeight="1">
      <c r="A91" s="1" t="s">
        <v>979</v>
      </c>
      <c r="B91" s="5">
        <v>45958</v>
      </c>
      <c r="C91" s="1" t="s">
        <v>17</v>
      </c>
      <c r="D91" s="1" t="s">
        <v>18</v>
      </c>
      <c r="E91" s="1" t="s">
        <v>70</v>
      </c>
      <c r="F91" s="1" t="s">
        <v>71</v>
      </c>
      <c r="G91" s="1" t="s">
        <v>959</v>
      </c>
      <c r="H91" s="6">
        <v>1</v>
      </c>
      <c r="I91" s="7">
        <v>0</v>
      </c>
      <c r="J91" s="5">
        <v>45958</v>
      </c>
      <c r="K91" s="1" t="s">
        <v>22</v>
      </c>
      <c r="L91" s="1" t="s">
        <v>22</v>
      </c>
      <c r="M91" s="8">
        <v>0</v>
      </c>
      <c r="N91" s="6"/>
      <c r="O91" s="6"/>
      <c r="P91" s="9">
        <v>-46.91</v>
      </c>
    </row>
    <row r="92" spans="1:16" ht="19.5" customHeight="1">
      <c r="A92" s="1" t="s">
        <v>881</v>
      </c>
      <c r="B92" s="5">
        <v>45958</v>
      </c>
      <c r="C92" s="1" t="s">
        <v>28</v>
      </c>
      <c r="D92" s="1" t="s">
        <v>60</v>
      </c>
      <c r="E92" s="1" t="s">
        <v>245</v>
      </c>
      <c r="F92" s="1" t="s">
        <v>515</v>
      </c>
      <c r="G92" s="1" t="s">
        <v>959</v>
      </c>
      <c r="H92" s="6">
        <v>1</v>
      </c>
      <c r="I92" s="7">
        <v>0</v>
      </c>
      <c r="J92" s="5">
        <v>45945</v>
      </c>
      <c r="K92" s="1" t="s">
        <v>957</v>
      </c>
      <c r="L92" s="1" t="s">
        <v>30</v>
      </c>
      <c r="M92" s="8">
        <v>0</v>
      </c>
      <c r="N92" s="6"/>
      <c r="O92" s="6"/>
      <c r="P92" s="9">
        <v>0</v>
      </c>
    </row>
    <row r="93" spans="1:16" ht="19.5" customHeight="1">
      <c r="A93" s="1" t="s">
        <v>881</v>
      </c>
      <c r="B93" s="5">
        <v>45958</v>
      </c>
      <c r="C93" s="1" t="s">
        <v>28</v>
      </c>
      <c r="D93" s="1" t="s">
        <v>46</v>
      </c>
      <c r="E93" s="1" t="s">
        <v>245</v>
      </c>
      <c r="F93" s="1" t="s">
        <v>515</v>
      </c>
      <c r="G93" s="1" t="s">
        <v>959</v>
      </c>
      <c r="H93" s="6">
        <v>1</v>
      </c>
      <c r="I93" s="7">
        <v>0</v>
      </c>
      <c r="J93" s="5">
        <v>45945</v>
      </c>
      <c r="K93" s="1" t="s">
        <v>957</v>
      </c>
      <c r="L93" s="1" t="s">
        <v>30</v>
      </c>
      <c r="M93" s="8">
        <v>0</v>
      </c>
      <c r="N93" s="6"/>
      <c r="O93" s="6"/>
      <c r="P93" s="9">
        <v>-56</v>
      </c>
    </row>
    <row r="94" spans="1:16" ht="19.5" customHeight="1">
      <c r="A94" s="1" t="s">
        <v>881</v>
      </c>
      <c r="B94" s="5">
        <v>45958</v>
      </c>
      <c r="C94" s="1" t="s">
        <v>17</v>
      </c>
      <c r="D94" s="1" t="s">
        <v>47</v>
      </c>
      <c r="E94" s="1" t="s">
        <v>245</v>
      </c>
      <c r="F94" s="1" t="s">
        <v>515</v>
      </c>
      <c r="G94" s="1" t="s">
        <v>959</v>
      </c>
      <c r="H94" s="6">
        <v>1</v>
      </c>
      <c r="I94" s="7">
        <v>0</v>
      </c>
      <c r="J94" s="5">
        <v>45945</v>
      </c>
      <c r="K94" s="1" t="s">
        <v>957</v>
      </c>
      <c r="L94" s="1" t="s">
        <v>30</v>
      </c>
      <c r="M94" s="8">
        <v>0</v>
      </c>
      <c r="N94" s="6"/>
      <c r="O94" s="6"/>
      <c r="P94" s="9">
        <v>-15</v>
      </c>
    </row>
    <row r="95" spans="1:16" ht="19.5" customHeight="1">
      <c r="A95" s="1" t="s">
        <v>978</v>
      </c>
      <c r="B95" s="5">
        <v>45958</v>
      </c>
      <c r="C95" s="1" t="s">
        <v>17</v>
      </c>
      <c r="D95" s="1" t="s">
        <v>18</v>
      </c>
      <c r="E95" s="1" t="s">
        <v>229</v>
      </c>
      <c r="F95" s="1" t="s">
        <v>464</v>
      </c>
      <c r="G95" s="1" t="s">
        <v>21</v>
      </c>
      <c r="H95" s="6">
        <v>1</v>
      </c>
      <c r="I95" s="7">
        <v>0</v>
      </c>
      <c r="J95" s="5">
        <v>45938</v>
      </c>
      <c r="K95" s="1" t="s">
        <v>22</v>
      </c>
      <c r="L95" s="1" t="s">
        <v>22</v>
      </c>
      <c r="M95" s="8">
        <v>0</v>
      </c>
      <c r="N95" s="6"/>
      <c r="O95" s="6"/>
      <c r="P95" s="9">
        <v>-14.23</v>
      </c>
    </row>
    <row r="96" spans="1:16" ht="19.5" customHeight="1">
      <c r="A96" s="1" t="s">
        <v>900</v>
      </c>
      <c r="B96" s="5">
        <v>45958</v>
      </c>
      <c r="C96" s="1" t="s">
        <v>28</v>
      </c>
      <c r="D96" s="1" t="s">
        <v>60</v>
      </c>
      <c r="E96" s="1" t="s">
        <v>239</v>
      </c>
      <c r="F96" s="1" t="s">
        <v>733</v>
      </c>
      <c r="G96" s="1" t="s">
        <v>959</v>
      </c>
      <c r="H96" s="6">
        <v>1</v>
      </c>
      <c r="I96" s="7">
        <v>0</v>
      </c>
      <c r="J96" s="5">
        <v>45951</v>
      </c>
      <c r="K96" s="1" t="s">
        <v>957</v>
      </c>
      <c r="L96" s="1" t="s">
        <v>30</v>
      </c>
      <c r="M96" s="8">
        <v>0</v>
      </c>
      <c r="N96" s="6"/>
      <c r="O96" s="6"/>
      <c r="P96" s="9">
        <v>0</v>
      </c>
    </row>
    <row r="97" spans="1:16" ht="19.5" customHeight="1">
      <c r="A97" s="1" t="s">
        <v>900</v>
      </c>
      <c r="B97" s="5">
        <v>45958</v>
      </c>
      <c r="C97" s="1" t="s">
        <v>28</v>
      </c>
      <c r="D97" s="1" t="s">
        <v>46</v>
      </c>
      <c r="E97" s="1" t="s">
        <v>239</v>
      </c>
      <c r="F97" s="1" t="s">
        <v>733</v>
      </c>
      <c r="G97" s="1" t="s">
        <v>959</v>
      </c>
      <c r="H97" s="6">
        <v>1</v>
      </c>
      <c r="I97" s="7">
        <v>0</v>
      </c>
      <c r="J97" s="5">
        <v>45951</v>
      </c>
      <c r="K97" s="1" t="s">
        <v>957</v>
      </c>
      <c r="L97" s="1" t="s">
        <v>30</v>
      </c>
      <c r="M97" s="8">
        <v>0</v>
      </c>
      <c r="N97" s="6"/>
      <c r="O97" s="6"/>
      <c r="P97" s="9">
        <v>-56</v>
      </c>
    </row>
    <row r="98" spans="1:16" ht="19.5" customHeight="1">
      <c r="A98" s="1" t="s">
        <v>900</v>
      </c>
      <c r="B98" s="5">
        <v>45958</v>
      </c>
      <c r="C98" s="1" t="s">
        <v>17</v>
      </c>
      <c r="D98" s="1" t="s">
        <v>47</v>
      </c>
      <c r="E98" s="1" t="s">
        <v>239</v>
      </c>
      <c r="F98" s="1" t="s">
        <v>733</v>
      </c>
      <c r="G98" s="1" t="s">
        <v>959</v>
      </c>
      <c r="H98" s="6">
        <v>1</v>
      </c>
      <c r="I98" s="7">
        <v>0</v>
      </c>
      <c r="J98" s="5">
        <v>45951</v>
      </c>
      <c r="K98" s="1" t="s">
        <v>957</v>
      </c>
      <c r="L98" s="1" t="s">
        <v>30</v>
      </c>
      <c r="M98" s="8">
        <v>0</v>
      </c>
      <c r="N98" s="6"/>
      <c r="O98" s="6"/>
      <c r="P98" s="9">
        <v>-15</v>
      </c>
    </row>
    <row r="99" spans="1:16" ht="19.5" customHeight="1">
      <c r="A99" s="1" t="s">
        <v>980</v>
      </c>
      <c r="B99" s="5">
        <v>45958</v>
      </c>
      <c r="C99" s="1" t="s">
        <v>28</v>
      </c>
      <c r="D99" s="1" t="s">
        <v>29</v>
      </c>
      <c r="E99" s="1" t="s">
        <v>54</v>
      </c>
      <c r="F99" s="1" t="s">
        <v>55</v>
      </c>
      <c r="G99" s="1" t="s">
        <v>21</v>
      </c>
      <c r="H99" s="6">
        <v>1</v>
      </c>
      <c r="I99" s="7">
        <v>1330</v>
      </c>
      <c r="J99" s="5">
        <v>45952</v>
      </c>
      <c r="K99" s="1" t="s">
        <v>957</v>
      </c>
      <c r="L99" s="1" t="s">
        <v>30</v>
      </c>
      <c r="M99" s="8">
        <v>0.34</v>
      </c>
      <c r="N99" s="6"/>
      <c r="O99" s="6"/>
      <c r="P99" s="9">
        <v>-46</v>
      </c>
    </row>
    <row r="100" spans="1:16" ht="19.5" customHeight="1">
      <c r="A100" s="1" t="s">
        <v>980</v>
      </c>
      <c r="B100" s="5">
        <v>45958</v>
      </c>
      <c r="C100" s="1" t="s">
        <v>31</v>
      </c>
      <c r="D100" s="1" t="s">
        <v>32</v>
      </c>
      <c r="E100" s="1" t="s">
        <v>54</v>
      </c>
      <c r="F100" s="1" t="s">
        <v>55</v>
      </c>
      <c r="G100" s="1" t="s">
        <v>21</v>
      </c>
      <c r="H100" s="6">
        <v>1</v>
      </c>
      <c r="I100" s="7">
        <v>1330</v>
      </c>
      <c r="J100" s="5">
        <v>45952</v>
      </c>
      <c r="K100" s="1" t="s">
        <v>957</v>
      </c>
      <c r="L100" s="1" t="s">
        <v>30</v>
      </c>
      <c r="M100" s="8">
        <v>0</v>
      </c>
      <c r="N100" s="6"/>
      <c r="O100" s="6"/>
      <c r="P100" s="9">
        <v>664.55</v>
      </c>
    </row>
    <row r="101" spans="1:16" ht="19.5" customHeight="1">
      <c r="A101" s="1" t="s">
        <v>980</v>
      </c>
      <c r="B101" s="5">
        <v>45958</v>
      </c>
      <c r="C101" s="1" t="s">
        <v>31</v>
      </c>
      <c r="D101" s="1" t="s">
        <v>33</v>
      </c>
      <c r="E101" s="1" t="s">
        <v>54</v>
      </c>
      <c r="F101" s="1" t="s">
        <v>55</v>
      </c>
      <c r="G101" s="1" t="s">
        <v>21</v>
      </c>
      <c r="H101" s="6">
        <v>1</v>
      </c>
      <c r="I101" s="7">
        <v>1330</v>
      </c>
      <c r="J101" s="5">
        <v>45952</v>
      </c>
      <c r="K101" s="1" t="s">
        <v>957</v>
      </c>
      <c r="L101" s="1" t="s">
        <v>30</v>
      </c>
      <c r="M101" s="8">
        <v>0</v>
      </c>
      <c r="N101" s="6"/>
      <c r="O101" s="6"/>
      <c r="P101" s="9">
        <v>6.65</v>
      </c>
    </row>
    <row r="102" spans="1:16" ht="19.5" customHeight="1">
      <c r="A102" s="1" t="s">
        <v>980</v>
      </c>
      <c r="B102" s="5">
        <v>45958</v>
      </c>
      <c r="C102" s="1" t="s">
        <v>31</v>
      </c>
      <c r="D102" s="1" t="s">
        <v>34</v>
      </c>
      <c r="E102" s="1" t="s">
        <v>54</v>
      </c>
      <c r="F102" s="1" t="s">
        <v>55</v>
      </c>
      <c r="G102" s="1" t="s">
        <v>21</v>
      </c>
      <c r="H102" s="6">
        <v>1</v>
      </c>
      <c r="I102" s="7">
        <v>1330</v>
      </c>
      <c r="J102" s="5">
        <v>45952</v>
      </c>
      <c r="K102" s="1" t="s">
        <v>957</v>
      </c>
      <c r="L102" s="1" t="s">
        <v>30</v>
      </c>
      <c r="M102" s="8">
        <v>0</v>
      </c>
      <c r="N102" s="6"/>
      <c r="O102" s="6"/>
      <c r="P102" s="9">
        <v>658.8</v>
      </c>
    </row>
    <row r="103" spans="1:16" ht="19.5" customHeight="1">
      <c r="A103" s="1" t="s">
        <v>980</v>
      </c>
      <c r="B103" s="5">
        <v>45958</v>
      </c>
      <c r="C103" s="1" t="s">
        <v>35</v>
      </c>
      <c r="D103" s="1" t="s">
        <v>36</v>
      </c>
      <c r="E103" s="1" t="s">
        <v>54</v>
      </c>
      <c r="F103" s="1" t="s">
        <v>55</v>
      </c>
      <c r="G103" s="1" t="s">
        <v>21</v>
      </c>
      <c r="H103" s="6">
        <v>1</v>
      </c>
      <c r="I103" s="7">
        <v>1330</v>
      </c>
      <c r="J103" s="5">
        <v>45952</v>
      </c>
      <c r="K103" s="1" t="s">
        <v>957</v>
      </c>
      <c r="L103" s="1" t="s">
        <v>30</v>
      </c>
      <c r="M103" s="8">
        <v>0.34</v>
      </c>
      <c r="N103" s="6"/>
      <c r="O103" s="6"/>
      <c r="P103" s="9">
        <v>-452.2</v>
      </c>
    </row>
    <row r="104" spans="1:16" ht="19.5" customHeight="1">
      <c r="A104" s="1" t="s">
        <v>980</v>
      </c>
      <c r="B104" s="5">
        <v>45958</v>
      </c>
      <c r="C104" s="1" t="s">
        <v>17</v>
      </c>
      <c r="D104" s="1" t="s">
        <v>37</v>
      </c>
      <c r="E104" s="1" t="s">
        <v>54</v>
      </c>
      <c r="F104" s="1" t="s">
        <v>55</v>
      </c>
      <c r="G104" s="1" t="s">
        <v>21</v>
      </c>
      <c r="H104" s="6">
        <v>1</v>
      </c>
      <c r="I104" s="7">
        <v>1330</v>
      </c>
      <c r="J104" s="5">
        <v>45952</v>
      </c>
      <c r="K104" s="1" t="s">
        <v>957</v>
      </c>
      <c r="L104" s="1" t="s">
        <v>30</v>
      </c>
      <c r="M104" s="8">
        <v>0.34</v>
      </c>
      <c r="N104" s="6"/>
      <c r="O104" s="6"/>
      <c r="P104" s="9">
        <v>-8.5399999999999991</v>
      </c>
    </row>
    <row r="105" spans="1:16" ht="19.5" customHeight="1">
      <c r="A105" s="1" t="s">
        <v>980</v>
      </c>
      <c r="B105" s="5">
        <v>45958</v>
      </c>
      <c r="C105" s="1" t="s">
        <v>17</v>
      </c>
      <c r="D105" s="1" t="s">
        <v>18</v>
      </c>
      <c r="E105" s="1" t="s">
        <v>54</v>
      </c>
      <c r="F105" s="1" t="s">
        <v>55</v>
      </c>
      <c r="G105" s="1" t="s">
        <v>21</v>
      </c>
      <c r="H105" s="6">
        <v>1</v>
      </c>
      <c r="I105" s="7">
        <v>0</v>
      </c>
      <c r="J105" s="5">
        <v>45952</v>
      </c>
      <c r="K105" s="1" t="s">
        <v>22</v>
      </c>
      <c r="L105" s="1" t="s">
        <v>22</v>
      </c>
      <c r="M105" s="8">
        <v>0</v>
      </c>
      <c r="N105" s="6"/>
      <c r="O105" s="6"/>
      <c r="P105" s="9">
        <v>-12.63</v>
      </c>
    </row>
    <row r="106" spans="1:16" ht="19.5" customHeight="1">
      <c r="A106" s="1" t="s">
        <v>981</v>
      </c>
      <c r="B106" s="5">
        <v>45958</v>
      </c>
      <c r="C106" s="1" t="s">
        <v>28</v>
      </c>
      <c r="D106" s="1" t="s">
        <v>29</v>
      </c>
      <c r="E106" s="1" t="s">
        <v>43</v>
      </c>
      <c r="F106" s="1" t="s">
        <v>44</v>
      </c>
      <c r="G106" s="1" t="s">
        <v>959</v>
      </c>
      <c r="H106" s="6">
        <v>1</v>
      </c>
      <c r="I106" s="7">
        <v>5000</v>
      </c>
      <c r="J106" s="5">
        <v>45955</v>
      </c>
      <c r="K106" s="1" t="s">
        <v>957</v>
      </c>
      <c r="L106" s="1" t="s">
        <v>30</v>
      </c>
      <c r="M106" s="8">
        <v>0.34</v>
      </c>
      <c r="N106" s="6"/>
      <c r="O106" s="6"/>
      <c r="P106" s="9">
        <v>-56</v>
      </c>
    </row>
    <row r="107" spans="1:16" ht="19.5" customHeight="1">
      <c r="A107" s="1" t="s">
        <v>981</v>
      </c>
      <c r="B107" s="5">
        <v>45958</v>
      </c>
      <c r="C107" s="1" t="s">
        <v>31</v>
      </c>
      <c r="D107" s="1" t="s">
        <v>32</v>
      </c>
      <c r="E107" s="1" t="s">
        <v>43</v>
      </c>
      <c r="F107" s="1" t="s">
        <v>44</v>
      </c>
      <c r="G107" s="1" t="s">
        <v>959</v>
      </c>
      <c r="H107" s="6">
        <v>1</v>
      </c>
      <c r="I107" s="7">
        <v>5000</v>
      </c>
      <c r="J107" s="5">
        <v>45955</v>
      </c>
      <c r="K107" s="1" t="s">
        <v>957</v>
      </c>
      <c r="L107" s="1" t="s">
        <v>30</v>
      </c>
      <c r="M107" s="8">
        <v>0</v>
      </c>
      <c r="N107" s="6"/>
      <c r="O107" s="6"/>
      <c r="P107" s="9">
        <v>2814.22</v>
      </c>
    </row>
    <row r="108" spans="1:16" ht="19.5" customHeight="1">
      <c r="A108" s="1" t="s">
        <v>981</v>
      </c>
      <c r="B108" s="5">
        <v>45958</v>
      </c>
      <c r="C108" s="1" t="s">
        <v>31</v>
      </c>
      <c r="D108" s="1" t="s">
        <v>33</v>
      </c>
      <c r="E108" s="1" t="s">
        <v>43</v>
      </c>
      <c r="F108" s="1" t="s">
        <v>44</v>
      </c>
      <c r="G108" s="1" t="s">
        <v>959</v>
      </c>
      <c r="H108" s="6">
        <v>1</v>
      </c>
      <c r="I108" s="7">
        <v>5000</v>
      </c>
      <c r="J108" s="5">
        <v>45955</v>
      </c>
      <c r="K108" s="1" t="s">
        <v>957</v>
      </c>
      <c r="L108" s="1" t="s">
        <v>30</v>
      </c>
      <c r="M108" s="8">
        <v>0</v>
      </c>
      <c r="N108" s="6"/>
      <c r="O108" s="6"/>
      <c r="P108" s="9">
        <v>28.14</v>
      </c>
    </row>
    <row r="109" spans="1:16" ht="19.5" customHeight="1">
      <c r="A109" s="1" t="s">
        <v>981</v>
      </c>
      <c r="B109" s="5">
        <v>45958</v>
      </c>
      <c r="C109" s="1" t="s">
        <v>31</v>
      </c>
      <c r="D109" s="1" t="s">
        <v>34</v>
      </c>
      <c r="E109" s="1" t="s">
        <v>43</v>
      </c>
      <c r="F109" s="1" t="s">
        <v>44</v>
      </c>
      <c r="G109" s="1" t="s">
        <v>959</v>
      </c>
      <c r="H109" s="6">
        <v>1</v>
      </c>
      <c r="I109" s="7">
        <v>5000</v>
      </c>
      <c r="J109" s="5">
        <v>45955</v>
      </c>
      <c r="K109" s="1" t="s">
        <v>957</v>
      </c>
      <c r="L109" s="1" t="s">
        <v>30</v>
      </c>
      <c r="M109" s="8">
        <v>0</v>
      </c>
      <c r="N109" s="6"/>
      <c r="O109" s="6"/>
      <c r="P109" s="9">
        <v>2157.64</v>
      </c>
    </row>
    <row r="110" spans="1:16" ht="19.5" customHeight="1">
      <c r="A110" s="1" t="s">
        <v>981</v>
      </c>
      <c r="B110" s="5">
        <v>45958</v>
      </c>
      <c r="C110" s="1" t="s">
        <v>35</v>
      </c>
      <c r="D110" s="1" t="s">
        <v>36</v>
      </c>
      <c r="E110" s="1" t="s">
        <v>43</v>
      </c>
      <c r="F110" s="1" t="s">
        <v>44</v>
      </c>
      <c r="G110" s="1" t="s">
        <v>959</v>
      </c>
      <c r="H110" s="6">
        <v>1</v>
      </c>
      <c r="I110" s="7">
        <v>5000</v>
      </c>
      <c r="J110" s="5">
        <v>45955</v>
      </c>
      <c r="K110" s="1" t="s">
        <v>957</v>
      </c>
      <c r="L110" s="1" t="s">
        <v>30</v>
      </c>
      <c r="M110" s="8">
        <v>0.34</v>
      </c>
      <c r="N110" s="6"/>
      <c r="O110" s="6"/>
      <c r="P110" s="9">
        <v>-1700</v>
      </c>
    </row>
    <row r="111" spans="1:16" ht="19.5" customHeight="1">
      <c r="A111" s="1" t="s">
        <v>981</v>
      </c>
      <c r="B111" s="5">
        <v>45958</v>
      </c>
      <c r="C111" s="1" t="s">
        <v>17</v>
      </c>
      <c r="D111" s="1" t="s">
        <v>37</v>
      </c>
      <c r="E111" s="1" t="s">
        <v>43</v>
      </c>
      <c r="F111" s="1" t="s">
        <v>44</v>
      </c>
      <c r="G111" s="1" t="s">
        <v>959</v>
      </c>
      <c r="H111" s="6">
        <v>1</v>
      </c>
      <c r="I111" s="7">
        <v>5000</v>
      </c>
      <c r="J111" s="5">
        <v>45955</v>
      </c>
      <c r="K111" s="1" t="s">
        <v>957</v>
      </c>
      <c r="L111" s="1" t="s">
        <v>30</v>
      </c>
      <c r="M111" s="8">
        <v>0.34</v>
      </c>
      <c r="N111" s="6"/>
      <c r="O111" s="6"/>
      <c r="P111" s="9">
        <v>-14.56</v>
      </c>
    </row>
    <row r="112" spans="1:16" ht="19.5" customHeight="1">
      <c r="A112" s="1" t="s">
        <v>981</v>
      </c>
      <c r="B112" s="5">
        <v>45958</v>
      </c>
      <c r="C112" s="1" t="s">
        <v>17</v>
      </c>
      <c r="D112" s="1" t="s">
        <v>18</v>
      </c>
      <c r="E112" s="1" t="s">
        <v>43</v>
      </c>
      <c r="F112" s="1" t="s">
        <v>44</v>
      </c>
      <c r="G112" s="1" t="s">
        <v>959</v>
      </c>
      <c r="H112" s="6">
        <v>1</v>
      </c>
      <c r="I112" s="7">
        <v>0</v>
      </c>
      <c r="J112" s="5">
        <v>45955</v>
      </c>
      <c r="K112" s="1" t="s">
        <v>22</v>
      </c>
      <c r="L112" s="1" t="s">
        <v>22</v>
      </c>
      <c r="M112" s="8">
        <v>0</v>
      </c>
      <c r="N112" s="6"/>
      <c r="O112" s="6"/>
      <c r="P112" s="9">
        <v>-53.47</v>
      </c>
    </row>
    <row r="113" spans="1:16" ht="19.5" customHeight="1">
      <c r="A113" s="1" t="s">
        <v>22</v>
      </c>
      <c r="B113" s="5">
        <v>45958</v>
      </c>
      <c r="C113" s="1" t="s">
        <v>77</v>
      </c>
      <c r="D113" s="1" t="s">
        <v>78</v>
      </c>
      <c r="E113" s="1" t="s">
        <v>22</v>
      </c>
      <c r="F113" s="1" t="s">
        <v>22</v>
      </c>
      <c r="G113" s="1" t="s">
        <v>982</v>
      </c>
      <c r="H113" s="6">
        <v>0</v>
      </c>
      <c r="I113" s="7">
        <v>0</v>
      </c>
      <c r="J113" s="5">
        <v>45958</v>
      </c>
      <c r="K113" s="1" t="s">
        <v>22</v>
      </c>
      <c r="L113" s="1" t="s">
        <v>22</v>
      </c>
      <c r="M113" s="8">
        <v>0</v>
      </c>
      <c r="N113" s="6"/>
      <c r="O113" s="6"/>
      <c r="P113" s="9">
        <v>-200</v>
      </c>
    </row>
    <row r="114" spans="1:16" ht="19.5" customHeight="1">
      <c r="A114" s="1" t="s">
        <v>983</v>
      </c>
      <c r="B114" s="5">
        <v>45958</v>
      </c>
      <c r="C114" s="1" t="s">
        <v>17</v>
      </c>
      <c r="D114" s="1" t="s">
        <v>18</v>
      </c>
      <c r="E114" s="1" t="s">
        <v>239</v>
      </c>
      <c r="F114" s="1" t="s">
        <v>733</v>
      </c>
      <c r="G114" s="1" t="s">
        <v>959</v>
      </c>
      <c r="H114" s="6">
        <v>1</v>
      </c>
      <c r="I114" s="7">
        <v>0</v>
      </c>
      <c r="J114" s="5">
        <v>45958</v>
      </c>
      <c r="K114" s="1" t="s">
        <v>22</v>
      </c>
      <c r="L114" s="1" t="s">
        <v>22</v>
      </c>
      <c r="M114" s="8">
        <v>0</v>
      </c>
      <c r="N114" s="6"/>
      <c r="O114" s="6"/>
      <c r="P114" s="9">
        <v>-47.88</v>
      </c>
    </row>
    <row r="115" spans="1:16" ht="19.5" customHeight="1">
      <c r="A115" s="1" t="s">
        <v>83</v>
      </c>
      <c r="B115" s="5">
        <v>45958</v>
      </c>
      <c r="C115" s="1" t="s">
        <v>77</v>
      </c>
      <c r="D115" s="1" t="s">
        <v>84</v>
      </c>
      <c r="E115" s="1" t="s">
        <v>22</v>
      </c>
      <c r="F115" s="1" t="s">
        <v>22</v>
      </c>
      <c r="G115" s="1" t="s">
        <v>22</v>
      </c>
      <c r="H115" s="6">
        <v>0</v>
      </c>
      <c r="I115" s="7">
        <v>0</v>
      </c>
      <c r="J115" s="5">
        <v>45958</v>
      </c>
      <c r="K115" s="1" t="s">
        <v>22</v>
      </c>
      <c r="L115" s="1" t="s">
        <v>22</v>
      </c>
      <c r="M115" s="8">
        <v>0</v>
      </c>
      <c r="N115" s="6"/>
      <c r="O115" s="6"/>
      <c r="P115" s="9">
        <v>-1271.52</v>
      </c>
    </row>
    <row r="116" spans="1:16" ht="19.5" customHeight="1">
      <c r="A116" s="1" t="s">
        <v>810</v>
      </c>
      <c r="B116" s="5">
        <v>45958</v>
      </c>
      <c r="C116" s="1" t="s">
        <v>77</v>
      </c>
      <c r="D116" s="1" t="s">
        <v>82</v>
      </c>
      <c r="E116" s="1" t="s">
        <v>22</v>
      </c>
      <c r="F116" s="1" t="s">
        <v>22</v>
      </c>
      <c r="G116" s="1" t="s">
        <v>22</v>
      </c>
      <c r="H116" s="6">
        <v>0</v>
      </c>
      <c r="I116" s="7">
        <v>0</v>
      </c>
      <c r="J116" s="5">
        <v>45958</v>
      </c>
      <c r="K116" s="1" t="s">
        <v>22</v>
      </c>
      <c r="L116" s="1" t="s">
        <v>22</v>
      </c>
      <c r="M116" s="8">
        <v>0</v>
      </c>
      <c r="N116" s="6"/>
      <c r="O116" s="6"/>
      <c r="P116" s="9">
        <v>-703.28</v>
      </c>
    </row>
    <row r="117" spans="1:16" ht="19.5" customHeight="1">
      <c r="A117" s="1" t="s">
        <v>807</v>
      </c>
      <c r="B117" s="5">
        <v>45958</v>
      </c>
      <c r="C117" s="1" t="s">
        <v>77</v>
      </c>
      <c r="D117" s="1" t="s">
        <v>82</v>
      </c>
      <c r="E117" s="1" t="s">
        <v>22</v>
      </c>
      <c r="F117" s="1" t="s">
        <v>22</v>
      </c>
      <c r="G117" s="1" t="s">
        <v>22</v>
      </c>
      <c r="H117" s="6">
        <v>0</v>
      </c>
      <c r="I117" s="7">
        <v>0</v>
      </c>
      <c r="J117" s="5">
        <v>45958</v>
      </c>
      <c r="K117" s="1" t="s">
        <v>22</v>
      </c>
      <c r="L117" s="1" t="s">
        <v>22</v>
      </c>
      <c r="M117" s="8">
        <v>0</v>
      </c>
      <c r="N117" s="6"/>
      <c r="O117" s="6"/>
      <c r="P117" s="9">
        <v>-706.11</v>
      </c>
    </row>
    <row r="118" spans="1:16" ht="19.5" customHeight="1">
      <c r="A118" s="1" t="s">
        <v>22</v>
      </c>
      <c r="B118" s="5">
        <v>45958</v>
      </c>
      <c r="C118" s="1" t="s">
        <v>77</v>
      </c>
      <c r="D118" s="1" t="s">
        <v>944</v>
      </c>
      <c r="E118" s="1" t="s">
        <v>22</v>
      </c>
      <c r="F118" s="1" t="s">
        <v>22</v>
      </c>
      <c r="G118" s="1" t="s">
        <v>984</v>
      </c>
      <c r="H118" s="6">
        <v>0</v>
      </c>
      <c r="I118" s="7">
        <v>0</v>
      </c>
      <c r="J118" s="5">
        <v>45958</v>
      </c>
      <c r="K118" s="1" t="s">
        <v>22</v>
      </c>
      <c r="L118" s="1" t="s">
        <v>22</v>
      </c>
      <c r="M118" s="8">
        <v>0</v>
      </c>
      <c r="N118" s="6"/>
      <c r="O118" s="6"/>
      <c r="P118" s="9">
        <v>-800.87</v>
      </c>
    </row>
    <row r="119" spans="1:16" ht="19.5" customHeight="1">
      <c r="A119" s="1" t="s">
        <v>22</v>
      </c>
      <c r="B119" s="5">
        <v>45958</v>
      </c>
      <c r="C119" s="1" t="s">
        <v>77</v>
      </c>
      <c r="D119" s="1" t="s">
        <v>944</v>
      </c>
      <c r="E119" s="1" t="s">
        <v>22</v>
      </c>
      <c r="F119" s="1" t="s">
        <v>22</v>
      </c>
      <c r="G119" s="1" t="s">
        <v>985</v>
      </c>
      <c r="H119" s="6">
        <v>0</v>
      </c>
      <c r="I119" s="7">
        <v>0</v>
      </c>
      <c r="J119" s="5">
        <v>45958</v>
      </c>
      <c r="K119" s="1" t="s">
        <v>22</v>
      </c>
      <c r="L119" s="1" t="s">
        <v>22</v>
      </c>
      <c r="M119" s="8">
        <v>0</v>
      </c>
      <c r="N119" s="6"/>
      <c r="O119" s="6"/>
      <c r="P119" s="9">
        <v>-401.55</v>
      </c>
    </row>
    <row r="120" spans="1:16" ht="19.5" customHeight="1">
      <c r="A120" s="1" t="s">
        <v>22</v>
      </c>
      <c r="B120" s="5">
        <v>45958</v>
      </c>
      <c r="C120" s="1" t="s">
        <v>77</v>
      </c>
      <c r="D120" s="1" t="s">
        <v>944</v>
      </c>
      <c r="E120" s="1" t="s">
        <v>22</v>
      </c>
      <c r="F120" s="1" t="s">
        <v>22</v>
      </c>
      <c r="G120" s="1" t="s">
        <v>986</v>
      </c>
      <c r="H120" s="6">
        <v>0</v>
      </c>
      <c r="I120" s="7">
        <v>0</v>
      </c>
      <c r="J120" s="5">
        <v>45958</v>
      </c>
      <c r="K120" s="1" t="s">
        <v>22</v>
      </c>
      <c r="L120" s="1" t="s">
        <v>22</v>
      </c>
      <c r="M120" s="8">
        <v>0</v>
      </c>
      <c r="N120" s="6"/>
      <c r="O120" s="6"/>
      <c r="P120" s="9">
        <v>-591.5</v>
      </c>
    </row>
    <row r="121" spans="1:16" ht="19.5" customHeight="1">
      <c r="A121" s="1" t="s">
        <v>987</v>
      </c>
      <c r="B121" s="5">
        <v>45959</v>
      </c>
      <c r="C121" s="1" t="s">
        <v>17</v>
      </c>
      <c r="D121" s="1" t="s">
        <v>18</v>
      </c>
      <c r="E121" s="1" t="s">
        <v>239</v>
      </c>
      <c r="F121" s="1" t="s">
        <v>733</v>
      </c>
      <c r="G121" s="1" t="s">
        <v>959</v>
      </c>
      <c r="H121" s="6">
        <v>1</v>
      </c>
      <c r="I121" s="7">
        <v>0</v>
      </c>
      <c r="J121" s="5">
        <v>45959</v>
      </c>
      <c r="K121" s="1" t="s">
        <v>22</v>
      </c>
      <c r="L121" s="1" t="s">
        <v>22</v>
      </c>
      <c r="M121" s="8">
        <v>0</v>
      </c>
      <c r="N121" s="6"/>
      <c r="O121" s="6"/>
      <c r="P121" s="9">
        <v>-44.1</v>
      </c>
    </row>
    <row r="122" spans="1:16" ht="19.5" customHeight="1">
      <c r="A122" s="1" t="s">
        <v>928</v>
      </c>
      <c r="B122" s="5">
        <v>45959</v>
      </c>
      <c r="C122" s="1" t="s">
        <v>28</v>
      </c>
      <c r="D122" s="1" t="s">
        <v>29</v>
      </c>
      <c r="E122" s="1" t="s">
        <v>142</v>
      </c>
      <c r="F122" s="1" t="s">
        <v>143</v>
      </c>
      <c r="G122" s="1" t="s">
        <v>959</v>
      </c>
      <c r="H122" s="6">
        <v>1</v>
      </c>
      <c r="I122" s="7">
        <v>0</v>
      </c>
      <c r="J122" s="5">
        <v>45951</v>
      </c>
      <c r="K122" s="1" t="s">
        <v>957</v>
      </c>
      <c r="L122" s="1" t="s">
        <v>30</v>
      </c>
      <c r="M122" s="8">
        <v>0</v>
      </c>
      <c r="N122" s="6"/>
      <c r="O122" s="6"/>
      <c r="P122" s="9">
        <v>-56</v>
      </c>
    </row>
    <row r="123" spans="1:16" ht="19.5" customHeight="1">
      <c r="A123" s="1" t="s">
        <v>928</v>
      </c>
      <c r="B123" s="5">
        <v>45959</v>
      </c>
      <c r="C123" s="1" t="s">
        <v>17</v>
      </c>
      <c r="D123" s="1" t="s">
        <v>37</v>
      </c>
      <c r="E123" s="1" t="s">
        <v>142</v>
      </c>
      <c r="F123" s="1" t="s">
        <v>143</v>
      </c>
      <c r="G123" s="1" t="s">
        <v>959</v>
      </c>
      <c r="H123" s="6">
        <v>1</v>
      </c>
      <c r="I123" s="7">
        <v>0</v>
      </c>
      <c r="J123" s="5">
        <v>45951</v>
      </c>
      <c r="K123" s="1" t="s">
        <v>957</v>
      </c>
      <c r="L123" s="1" t="s">
        <v>30</v>
      </c>
      <c r="M123" s="8">
        <v>0</v>
      </c>
      <c r="N123" s="6"/>
      <c r="O123" s="6"/>
      <c r="P123" s="9">
        <v>-10.01</v>
      </c>
    </row>
    <row r="124" spans="1:16" ht="19.5" customHeight="1">
      <c r="A124" s="1" t="s">
        <v>928</v>
      </c>
      <c r="B124" s="5">
        <v>45959</v>
      </c>
      <c r="C124" s="1" t="s">
        <v>28</v>
      </c>
      <c r="D124" s="1" t="s">
        <v>45</v>
      </c>
      <c r="E124" s="1" t="s">
        <v>142</v>
      </c>
      <c r="F124" s="1" t="s">
        <v>143</v>
      </c>
      <c r="G124" s="1" t="s">
        <v>959</v>
      </c>
      <c r="H124" s="6">
        <v>1</v>
      </c>
      <c r="I124" s="7">
        <v>0</v>
      </c>
      <c r="J124" s="5">
        <v>45951</v>
      </c>
      <c r="K124" s="1" t="s">
        <v>957</v>
      </c>
      <c r="L124" s="1" t="s">
        <v>30</v>
      </c>
      <c r="M124" s="8">
        <v>0</v>
      </c>
      <c r="N124" s="6"/>
      <c r="O124" s="6"/>
      <c r="P124" s="9">
        <v>0</v>
      </c>
    </row>
    <row r="125" spans="1:16" ht="19.5" customHeight="1">
      <c r="A125" s="1" t="s">
        <v>928</v>
      </c>
      <c r="B125" s="5">
        <v>45959</v>
      </c>
      <c r="C125" s="1" t="s">
        <v>28</v>
      </c>
      <c r="D125" s="1" t="s">
        <v>46</v>
      </c>
      <c r="E125" s="1" t="s">
        <v>142</v>
      </c>
      <c r="F125" s="1" t="s">
        <v>143</v>
      </c>
      <c r="G125" s="1" t="s">
        <v>959</v>
      </c>
      <c r="H125" s="6">
        <v>1</v>
      </c>
      <c r="I125" s="7">
        <v>0</v>
      </c>
      <c r="J125" s="5">
        <v>45951</v>
      </c>
      <c r="K125" s="1" t="s">
        <v>957</v>
      </c>
      <c r="L125" s="1" t="s">
        <v>30</v>
      </c>
      <c r="M125" s="8">
        <v>0</v>
      </c>
      <c r="N125" s="6"/>
      <c r="O125" s="6"/>
      <c r="P125" s="9">
        <v>-56</v>
      </c>
    </row>
    <row r="126" spans="1:16" ht="19.5" customHeight="1">
      <c r="A126" s="1" t="s">
        <v>928</v>
      </c>
      <c r="B126" s="5">
        <v>45959</v>
      </c>
      <c r="C126" s="1" t="s">
        <v>17</v>
      </c>
      <c r="D126" s="1" t="s">
        <v>47</v>
      </c>
      <c r="E126" s="1" t="s">
        <v>142</v>
      </c>
      <c r="F126" s="1" t="s">
        <v>143</v>
      </c>
      <c r="G126" s="1" t="s">
        <v>959</v>
      </c>
      <c r="H126" s="6">
        <v>1</v>
      </c>
      <c r="I126" s="7">
        <v>0</v>
      </c>
      <c r="J126" s="5">
        <v>45951</v>
      </c>
      <c r="K126" s="1" t="s">
        <v>957</v>
      </c>
      <c r="L126" s="1" t="s">
        <v>30</v>
      </c>
      <c r="M126" s="8">
        <v>0</v>
      </c>
      <c r="N126" s="6"/>
      <c r="O126" s="6"/>
      <c r="P126" s="9">
        <v>-15</v>
      </c>
    </row>
    <row r="127" spans="1:16" ht="19.5" customHeight="1">
      <c r="A127" s="1" t="s">
        <v>988</v>
      </c>
      <c r="B127" s="5">
        <v>45959</v>
      </c>
      <c r="C127" s="1" t="s">
        <v>28</v>
      </c>
      <c r="D127" s="1" t="s">
        <v>29</v>
      </c>
      <c r="E127" s="1" t="s">
        <v>25</v>
      </c>
      <c r="F127" s="1" t="s">
        <v>26</v>
      </c>
      <c r="G127" s="1" t="s">
        <v>21</v>
      </c>
      <c r="H127" s="6">
        <v>1</v>
      </c>
      <c r="I127" s="7">
        <v>1117</v>
      </c>
      <c r="J127" s="5">
        <v>45955</v>
      </c>
      <c r="K127" s="1" t="s">
        <v>957</v>
      </c>
      <c r="L127" s="1" t="s">
        <v>30</v>
      </c>
      <c r="M127" s="8">
        <v>0.34</v>
      </c>
      <c r="N127" s="6"/>
      <c r="O127" s="6"/>
      <c r="P127" s="9">
        <v>-46</v>
      </c>
    </row>
    <row r="128" spans="1:16" ht="19.5" customHeight="1">
      <c r="A128" s="1" t="s">
        <v>988</v>
      </c>
      <c r="B128" s="5">
        <v>45959</v>
      </c>
      <c r="C128" s="1" t="s">
        <v>31</v>
      </c>
      <c r="D128" s="1" t="s">
        <v>32</v>
      </c>
      <c r="E128" s="1" t="s">
        <v>25</v>
      </c>
      <c r="F128" s="1" t="s">
        <v>26</v>
      </c>
      <c r="G128" s="1" t="s">
        <v>21</v>
      </c>
      <c r="H128" s="6">
        <v>1</v>
      </c>
      <c r="I128" s="7">
        <v>1117</v>
      </c>
      <c r="J128" s="5">
        <v>45955</v>
      </c>
      <c r="K128" s="1" t="s">
        <v>957</v>
      </c>
      <c r="L128" s="1" t="s">
        <v>30</v>
      </c>
      <c r="M128" s="8">
        <v>0</v>
      </c>
      <c r="N128" s="6"/>
      <c r="O128" s="6"/>
      <c r="P128" s="9">
        <v>675.55</v>
      </c>
    </row>
    <row r="129" spans="1:16" ht="19.5" customHeight="1">
      <c r="A129" s="1" t="s">
        <v>988</v>
      </c>
      <c r="B129" s="5">
        <v>45959</v>
      </c>
      <c r="C129" s="1" t="s">
        <v>31</v>
      </c>
      <c r="D129" s="1" t="s">
        <v>33</v>
      </c>
      <c r="E129" s="1" t="s">
        <v>25</v>
      </c>
      <c r="F129" s="1" t="s">
        <v>26</v>
      </c>
      <c r="G129" s="1" t="s">
        <v>21</v>
      </c>
      <c r="H129" s="6">
        <v>1</v>
      </c>
      <c r="I129" s="7">
        <v>1117</v>
      </c>
      <c r="J129" s="5">
        <v>45955</v>
      </c>
      <c r="K129" s="1" t="s">
        <v>957</v>
      </c>
      <c r="L129" s="1" t="s">
        <v>30</v>
      </c>
      <c r="M129" s="8">
        <v>0</v>
      </c>
      <c r="N129" s="6"/>
      <c r="O129" s="6"/>
      <c r="P129" s="9">
        <v>6.76</v>
      </c>
    </row>
    <row r="130" spans="1:16" ht="19.5" customHeight="1">
      <c r="A130" s="1" t="s">
        <v>988</v>
      </c>
      <c r="B130" s="5">
        <v>45959</v>
      </c>
      <c r="C130" s="1" t="s">
        <v>31</v>
      </c>
      <c r="D130" s="1" t="s">
        <v>34</v>
      </c>
      <c r="E130" s="1" t="s">
        <v>25</v>
      </c>
      <c r="F130" s="1" t="s">
        <v>26</v>
      </c>
      <c r="G130" s="1" t="s">
        <v>21</v>
      </c>
      <c r="H130" s="6">
        <v>1</v>
      </c>
      <c r="I130" s="7">
        <v>1117</v>
      </c>
      <c r="J130" s="5">
        <v>45955</v>
      </c>
      <c r="K130" s="1" t="s">
        <v>957</v>
      </c>
      <c r="L130" s="1" t="s">
        <v>30</v>
      </c>
      <c r="M130" s="8">
        <v>0</v>
      </c>
      <c r="N130" s="6"/>
      <c r="O130" s="6"/>
      <c r="P130" s="9">
        <v>434.69</v>
      </c>
    </row>
    <row r="131" spans="1:16" ht="19.5" customHeight="1">
      <c r="A131" s="1" t="s">
        <v>988</v>
      </c>
      <c r="B131" s="5">
        <v>45959</v>
      </c>
      <c r="C131" s="1" t="s">
        <v>35</v>
      </c>
      <c r="D131" s="1" t="s">
        <v>36</v>
      </c>
      <c r="E131" s="1" t="s">
        <v>25</v>
      </c>
      <c r="F131" s="1" t="s">
        <v>26</v>
      </c>
      <c r="G131" s="1" t="s">
        <v>21</v>
      </c>
      <c r="H131" s="6">
        <v>1</v>
      </c>
      <c r="I131" s="7">
        <v>1117</v>
      </c>
      <c r="J131" s="5">
        <v>45955</v>
      </c>
      <c r="K131" s="1" t="s">
        <v>957</v>
      </c>
      <c r="L131" s="1" t="s">
        <v>30</v>
      </c>
      <c r="M131" s="8">
        <v>0.34</v>
      </c>
      <c r="N131" s="6"/>
      <c r="O131" s="6"/>
      <c r="P131" s="9">
        <v>-379.78</v>
      </c>
    </row>
    <row r="132" spans="1:16" ht="19.5" customHeight="1">
      <c r="A132" s="1" t="s">
        <v>988</v>
      </c>
      <c r="B132" s="5">
        <v>45959</v>
      </c>
      <c r="C132" s="1" t="s">
        <v>17</v>
      </c>
      <c r="D132" s="1" t="s">
        <v>37</v>
      </c>
      <c r="E132" s="1" t="s">
        <v>25</v>
      </c>
      <c r="F132" s="1" t="s">
        <v>26</v>
      </c>
      <c r="G132" s="1" t="s">
        <v>21</v>
      </c>
      <c r="H132" s="6">
        <v>1</v>
      </c>
      <c r="I132" s="7">
        <v>1117</v>
      </c>
      <c r="J132" s="5">
        <v>45955</v>
      </c>
      <c r="K132" s="1" t="s">
        <v>957</v>
      </c>
      <c r="L132" s="1" t="s">
        <v>30</v>
      </c>
      <c r="M132" s="8">
        <v>0.34</v>
      </c>
      <c r="N132" s="6"/>
      <c r="O132" s="6"/>
      <c r="P132" s="9">
        <v>-5.62</v>
      </c>
    </row>
    <row r="133" spans="1:16" ht="19.5" customHeight="1">
      <c r="A133" s="1" t="s">
        <v>988</v>
      </c>
      <c r="B133" s="5">
        <v>45959</v>
      </c>
      <c r="C133" s="1" t="s">
        <v>17</v>
      </c>
      <c r="D133" s="1" t="s">
        <v>18</v>
      </c>
      <c r="E133" s="1" t="s">
        <v>25</v>
      </c>
      <c r="F133" s="1" t="s">
        <v>26</v>
      </c>
      <c r="G133" s="1" t="s">
        <v>21</v>
      </c>
      <c r="H133" s="6">
        <v>1</v>
      </c>
      <c r="I133" s="7">
        <v>0</v>
      </c>
      <c r="J133" s="5">
        <v>45955</v>
      </c>
      <c r="K133" s="1" t="s">
        <v>22</v>
      </c>
      <c r="L133" s="1" t="s">
        <v>22</v>
      </c>
      <c r="M133" s="8">
        <v>0</v>
      </c>
      <c r="N133" s="6"/>
      <c r="O133" s="6"/>
      <c r="P133" s="9">
        <v>-12.84</v>
      </c>
    </row>
    <row r="134" spans="1:16" ht="19.5" customHeight="1">
      <c r="A134" s="1" t="s">
        <v>989</v>
      </c>
      <c r="B134" s="5">
        <v>45959</v>
      </c>
      <c r="C134" s="1" t="s">
        <v>28</v>
      </c>
      <c r="D134" s="1" t="s">
        <v>29</v>
      </c>
      <c r="E134" s="1" t="s">
        <v>227</v>
      </c>
      <c r="F134" s="1" t="s">
        <v>402</v>
      </c>
      <c r="G134" s="1" t="s">
        <v>21</v>
      </c>
      <c r="H134" s="6">
        <v>1</v>
      </c>
      <c r="I134" s="7">
        <v>1352</v>
      </c>
      <c r="J134" s="5">
        <v>45957</v>
      </c>
      <c r="K134" s="1" t="s">
        <v>957</v>
      </c>
      <c r="L134" s="1" t="s">
        <v>30</v>
      </c>
      <c r="M134" s="8">
        <v>0.38</v>
      </c>
      <c r="N134" s="6"/>
      <c r="O134" s="6"/>
      <c r="P134" s="9">
        <v>-46</v>
      </c>
    </row>
    <row r="135" spans="1:16" ht="19.5" customHeight="1">
      <c r="A135" s="1" t="s">
        <v>989</v>
      </c>
      <c r="B135" s="5">
        <v>45959</v>
      </c>
      <c r="C135" s="1" t="s">
        <v>31</v>
      </c>
      <c r="D135" s="1" t="s">
        <v>32</v>
      </c>
      <c r="E135" s="1" t="s">
        <v>227</v>
      </c>
      <c r="F135" s="1" t="s">
        <v>402</v>
      </c>
      <c r="G135" s="1" t="s">
        <v>21</v>
      </c>
      <c r="H135" s="6">
        <v>1</v>
      </c>
      <c r="I135" s="7">
        <v>1352</v>
      </c>
      <c r="J135" s="5">
        <v>45957</v>
      </c>
      <c r="K135" s="1" t="s">
        <v>957</v>
      </c>
      <c r="L135" s="1" t="s">
        <v>30</v>
      </c>
      <c r="M135" s="8">
        <v>0</v>
      </c>
      <c r="N135" s="6"/>
      <c r="O135" s="6"/>
      <c r="P135" s="9">
        <v>701.9</v>
      </c>
    </row>
    <row r="136" spans="1:16" ht="19.5" customHeight="1">
      <c r="A136" s="1" t="s">
        <v>989</v>
      </c>
      <c r="B136" s="5">
        <v>45959</v>
      </c>
      <c r="C136" s="1" t="s">
        <v>31</v>
      </c>
      <c r="D136" s="1" t="s">
        <v>33</v>
      </c>
      <c r="E136" s="1" t="s">
        <v>227</v>
      </c>
      <c r="F136" s="1" t="s">
        <v>402</v>
      </c>
      <c r="G136" s="1" t="s">
        <v>21</v>
      </c>
      <c r="H136" s="6">
        <v>1</v>
      </c>
      <c r="I136" s="7">
        <v>1352</v>
      </c>
      <c r="J136" s="5">
        <v>45957</v>
      </c>
      <c r="K136" s="1" t="s">
        <v>957</v>
      </c>
      <c r="L136" s="1" t="s">
        <v>30</v>
      </c>
      <c r="M136" s="8">
        <v>0</v>
      </c>
      <c r="N136" s="6"/>
      <c r="O136" s="6"/>
      <c r="P136" s="9">
        <v>7.02</v>
      </c>
    </row>
    <row r="137" spans="1:16" ht="19.5" customHeight="1">
      <c r="A137" s="1" t="s">
        <v>989</v>
      </c>
      <c r="B137" s="5">
        <v>45959</v>
      </c>
      <c r="C137" s="1" t="s">
        <v>31</v>
      </c>
      <c r="D137" s="1" t="s">
        <v>34</v>
      </c>
      <c r="E137" s="1" t="s">
        <v>227</v>
      </c>
      <c r="F137" s="1" t="s">
        <v>402</v>
      </c>
      <c r="G137" s="1" t="s">
        <v>21</v>
      </c>
      <c r="H137" s="6">
        <v>1</v>
      </c>
      <c r="I137" s="7">
        <v>1352</v>
      </c>
      <c r="J137" s="5">
        <v>45957</v>
      </c>
      <c r="K137" s="1" t="s">
        <v>957</v>
      </c>
      <c r="L137" s="1" t="s">
        <v>30</v>
      </c>
      <c r="M137" s="8">
        <v>0</v>
      </c>
      <c r="N137" s="6"/>
      <c r="O137" s="6"/>
      <c r="P137" s="9">
        <v>643.08000000000004</v>
      </c>
    </row>
    <row r="138" spans="1:16" ht="19.5" customHeight="1">
      <c r="A138" s="1" t="s">
        <v>989</v>
      </c>
      <c r="B138" s="5">
        <v>45959</v>
      </c>
      <c r="C138" s="1" t="s">
        <v>35</v>
      </c>
      <c r="D138" s="1" t="s">
        <v>36</v>
      </c>
      <c r="E138" s="1" t="s">
        <v>227</v>
      </c>
      <c r="F138" s="1" t="s">
        <v>402</v>
      </c>
      <c r="G138" s="1" t="s">
        <v>21</v>
      </c>
      <c r="H138" s="6">
        <v>1</v>
      </c>
      <c r="I138" s="7">
        <v>1352</v>
      </c>
      <c r="J138" s="5">
        <v>45957</v>
      </c>
      <c r="K138" s="1" t="s">
        <v>957</v>
      </c>
      <c r="L138" s="1" t="s">
        <v>30</v>
      </c>
      <c r="M138" s="8">
        <v>0.38</v>
      </c>
      <c r="N138" s="6"/>
      <c r="O138" s="6"/>
      <c r="P138" s="9">
        <v>-513.76</v>
      </c>
    </row>
    <row r="139" spans="1:16" ht="19.5" customHeight="1">
      <c r="A139" s="1" t="s">
        <v>989</v>
      </c>
      <c r="B139" s="5">
        <v>45959</v>
      </c>
      <c r="C139" s="1" t="s">
        <v>17</v>
      </c>
      <c r="D139" s="1" t="s">
        <v>37</v>
      </c>
      <c r="E139" s="1" t="s">
        <v>227</v>
      </c>
      <c r="F139" s="1" t="s">
        <v>402</v>
      </c>
      <c r="G139" s="1" t="s">
        <v>21</v>
      </c>
      <c r="H139" s="6">
        <v>1</v>
      </c>
      <c r="I139" s="7">
        <v>1352</v>
      </c>
      <c r="J139" s="5">
        <v>45957</v>
      </c>
      <c r="K139" s="1" t="s">
        <v>957</v>
      </c>
      <c r="L139" s="1" t="s">
        <v>30</v>
      </c>
      <c r="M139" s="8">
        <v>0.38</v>
      </c>
      <c r="N139" s="6"/>
      <c r="O139" s="6"/>
      <c r="P139" s="9">
        <v>-7.37</v>
      </c>
    </row>
    <row r="140" spans="1:16" ht="19.5" customHeight="1">
      <c r="A140" s="1" t="s">
        <v>990</v>
      </c>
      <c r="B140" s="5">
        <v>45959</v>
      </c>
      <c r="C140" s="1" t="s">
        <v>28</v>
      </c>
      <c r="D140" s="1" t="s">
        <v>29</v>
      </c>
      <c r="E140" s="1" t="s">
        <v>88</v>
      </c>
      <c r="F140" s="1" t="s">
        <v>89</v>
      </c>
      <c r="G140" s="1" t="s">
        <v>21</v>
      </c>
      <c r="H140" s="6">
        <v>1</v>
      </c>
      <c r="I140" s="7">
        <v>0</v>
      </c>
      <c r="J140" s="5">
        <v>45954</v>
      </c>
      <c r="K140" s="1" t="s">
        <v>957</v>
      </c>
      <c r="L140" s="1" t="s">
        <v>30</v>
      </c>
      <c r="M140" s="8">
        <v>0</v>
      </c>
      <c r="N140" s="6"/>
      <c r="O140" s="6"/>
      <c r="P140" s="9">
        <v>-46</v>
      </c>
    </row>
    <row r="141" spans="1:16" ht="19.5" customHeight="1">
      <c r="A141" s="1" t="s">
        <v>990</v>
      </c>
      <c r="B141" s="5">
        <v>45959</v>
      </c>
      <c r="C141" s="1" t="s">
        <v>17</v>
      </c>
      <c r="D141" s="1" t="s">
        <v>37</v>
      </c>
      <c r="E141" s="1" t="s">
        <v>88</v>
      </c>
      <c r="F141" s="1" t="s">
        <v>89</v>
      </c>
      <c r="G141" s="1" t="s">
        <v>21</v>
      </c>
      <c r="H141" s="6">
        <v>1</v>
      </c>
      <c r="I141" s="7">
        <v>0</v>
      </c>
      <c r="J141" s="5">
        <v>45954</v>
      </c>
      <c r="K141" s="1" t="s">
        <v>957</v>
      </c>
      <c r="L141" s="1" t="s">
        <v>30</v>
      </c>
      <c r="M141" s="8">
        <v>0</v>
      </c>
      <c r="N141" s="6"/>
      <c r="O141" s="6"/>
      <c r="P141" s="9">
        <v>-9.1300000000000008</v>
      </c>
    </row>
    <row r="142" spans="1:16" ht="19.5" customHeight="1">
      <c r="A142" s="1" t="s">
        <v>990</v>
      </c>
      <c r="B142" s="5">
        <v>45959</v>
      </c>
      <c r="C142" s="1" t="s">
        <v>28</v>
      </c>
      <c r="D142" s="1" t="s">
        <v>45</v>
      </c>
      <c r="E142" s="1" t="s">
        <v>88</v>
      </c>
      <c r="F142" s="1" t="s">
        <v>89</v>
      </c>
      <c r="G142" s="1" t="s">
        <v>21</v>
      </c>
      <c r="H142" s="6">
        <v>1</v>
      </c>
      <c r="I142" s="7">
        <v>0</v>
      </c>
      <c r="J142" s="5">
        <v>45954</v>
      </c>
      <c r="K142" s="1" t="s">
        <v>957</v>
      </c>
      <c r="L142" s="1" t="s">
        <v>30</v>
      </c>
      <c r="M142" s="8">
        <v>0</v>
      </c>
      <c r="N142" s="6"/>
      <c r="O142" s="6"/>
      <c r="P142" s="9">
        <v>0</v>
      </c>
    </row>
    <row r="143" spans="1:16" ht="19.5" customHeight="1">
      <c r="A143" s="1" t="s">
        <v>990</v>
      </c>
      <c r="B143" s="5">
        <v>45959</v>
      </c>
      <c r="C143" s="1" t="s">
        <v>28</v>
      </c>
      <c r="D143" s="1" t="s">
        <v>46</v>
      </c>
      <c r="E143" s="1" t="s">
        <v>88</v>
      </c>
      <c r="F143" s="1" t="s">
        <v>89</v>
      </c>
      <c r="G143" s="1" t="s">
        <v>21</v>
      </c>
      <c r="H143" s="6">
        <v>1</v>
      </c>
      <c r="I143" s="7">
        <v>0</v>
      </c>
      <c r="J143" s="5">
        <v>45954</v>
      </c>
      <c r="K143" s="1" t="s">
        <v>957</v>
      </c>
      <c r="L143" s="1" t="s">
        <v>30</v>
      </c>
      <c r="M143" s="8">
        <v>0</v>
      </c>
      <c r="N143" s="6"/>
      <c r="O143" s="6"/>
      <c r="P143" s="9">
        <v>-46</v>
      </c>
    </row>
    <row r="144" spans="1:16" ht="19.5" customHeight="1">
      <c r="A144" s="1" t="s">
        <v>971</v>
      </c>
      <c r="B144" s="5">
        <v>45959</v>
      </c>
      <c r="C144" s="1" t="s">
        <v>17</v>
      </c>
      <c r="D144" s="1" t="s">
        <v>18</v>
      </c>
      <c r="E144" s="1" t="s">
        <v>43</v>
      </c>
      <c r="F144" s="1" t="s">
        <v>44</v>
      </c>
      <c r="G144" s="1" t="s">
        <v>959</v>
      </c>
      <c r="H144" s="6">
        <v>1</v>
      </c>
      <c r="I144" s="7">
        <v>0</v>
      </c>
      <c r="J144" s="5">
        <v>45958</v>
      </c>
      <c r="K144" s="1" t="s">
        <v>22</v>
      </c>
      <c r="L144" s="1" t="s">
        <v>22</v>
      </c>
      <c r="M144" s="8">
        <v>0</v>
      </c>
      <c r="N144" s="6"/>
      <c r="O144" s="6"/>
      <c r="P144" s="9">
        <v>15.9</v>
      </c>
    </row>
    <row r="145" spans="1:16" ht="19.5" customHeight="1">
      <c r="A145" s="1" t="s">
        <v>972</v>
      </c>
      <c r="B145" s="5">
        <v>45959</v>
      </c>
      <c r="C145" s="1" t="s">
        <v>17</v>
      </c>
      <c r="D145" s="1" t="s">
        <v>18</v>
      </c>
      <c r="E145" s="1" t="s">
        <v>43</v>
      </c>
      <c r="F145" s="1" t="s">
        <v>44</v>
      </c>
      <c r="G145" s="1" t="s">
        <v>959</v>
      </c>
      <c r="H145" s="6">
        <v>1</v>
      </c>
      <c r="I145" s="7">
        <v>0</v>
      </c>
      <c r="J145" s="5">
        <v>45958</v>
      </c>
      <c r="K145" s="1" t="s">
        <v>22</v>
      </c>
      <c r="L145" s="1" t="s">
        <v>22</v>
      </c>
      <c r="M145" s="8">
        <v>0</v>
      </c>
      <c r="N145" s="6"/>
      <c r="O145" s="6"/>
      <c r="P145" s="9">
        <v>15.9</v>
      </c>
    </row>
    <row r="146" spans="1:16" ht="19.5" customHeight="1">
      <c r="A146" s="1" t="s">
        <v>991</v>
      </c>
      <c r="B146" s="5">
        <v>45959</v>
      </c>
      <c r="C146" s="1" t="s">
        <v>17</v>
      </c>
      <c r="D146" s="1" t="s">
        <v>18</v>
      </c>
      <c r="E146" s="1" t="s">
        <v>43</v>
      </c>
      <c r="F146" s="1" t="s">
        <v>44</v>
      </c>
      <c r="G146" s="1" t="s">
        <v>959</v>
      </c>
      <c r="H146" s="6">
        <v>1</v>
      </c>
      <c r="I146" s="7">
        <v>0</v>
      </c>
      <c r="J146" s="5">
        <v>45959</v>
      </c>
      <c r="K146" s="1" t="s">
        <v>22</v>
      </c>
      <c r="L146" s="1" t="s">
        <v>22</v>
      </c>
      <c r="M146" s="8">
        <v>0</v>
      </c>
      <c r="N146" s="6"/>
      <c r="O146" s="6"/>
      <c r="P146" s="9">
        <v>-17.100000000000001</v>
      </c>
    </row>
    <row r="147" spans="1:16" ht="19.5" customHeight="1">
      <c r="A147" s="1" t="s">
        <v>992</v>
      </c>
      <c r="B147" s="5">
        <v>45959</v>
      </c>
      <c r="C147" s="1" t="s">
        <v>28</v>
      </c>
      <c r="D147" s="1" t="s">
        <v>29</v>
      </c>
      <c r="E147" s="1" t="s">
        <v>19</v>
      </c>
      <c r="F147" s="1" t="s">
        <v>20</v>
      </c>
      <c r="G147" s="1" t="s">
        <v>21</v>
      </c>
      <c r="H147" s="6">
        <v>1</v>
      </c>
      <c r="I147" s="7">
        <v>1338</v>
      </c>
      <c r="J147" s="5">
        <v>45957</v>
      </c>
      <c r="K147" s="1" t="s">
        <v>957</v>
      </c>
      <c r="L147" s="1" t="s">
        <v>30</v>
      </c>
      <c r="M147" s="8">
        <v>0.38</v>
      </c>
      <c r="N147" s="6"/>
      <c r="O147" s="6"/>
      <c r="P147" s="9">
        <v>-46</v>
      </c>
    </row>
    <row r="148" spans="1:16" ht="19.5" customHeight="1">
      <c r="A148" s="1" t="s">
        <v>992</v>
      </c>
      <c r="B148" s="5">
        <v>45959</v>
      </c>
      <c r="C148" s="1" t="s">
        <v>31</v>
      </c>
      <c r="D148" s="1" t="s">
        <v>32</v>
      </c>
      <c r="E148" s="1" t="s">
        <v>19</v>
      </c>
      <c r="F148" s="1" t="s">
        <v>20</v>
      </c>
      <c r="G148" s="1" t="s">
        <v>21</v>
      </c>
      <c r="H148" s="6">
        <v>1</v>
      </c>
      <c r="I148" s="7">
        <v>1338</v>
      </c>
      <c r="J148" s="5">
        <v>45957</v>
      </c>
      <c r="K148" s="1" t="s">
        <v>957</v>
      </c>
      <c r="L148" s="1" t="s">
        <v>30</v>
      </c>
      <c r="M148" s="8">
        <v>0</v>
      </c>
      <c r="N148" s="6"/>
      <c r="O148" s="6"/>
      <c r="P148" s="9">
        <v>712.73</v>
      </c>
    </row>
    <row r="149" spans="1:16" ht="19.5" customHeight="1">
      <c r="A149" s="1" t="s">
        <v>992</v>
      </c>
      <c r="B149" s="5">
        <v>45959</v>
      </c>
      <c r="C149" s="1" t="s">
        <v>31</v>
      </c>
      <c r="D149" s="1" t="s">
        <v>33</v>
      </c>
      <c r="E149" s="1" t="s">
        <v>19</v>
      </c>
      <c r="F149" s="1" t="s">
        <v>20</v>
      </c>
      <c r="G149" s="1" t="s">
        <v>21</v>
      </c>
      <c r="H149" s="6">
        <v>1</v>
      </c>
      <c r="I149" s="7">
        <v>1338</v>
      </c>
      <c r="J149" s="5">
        <v>45957</v>
      </c>
      <c r="K149" s="1" t="s">
        <v>957</v>
      </c>
      <c r="L149" s="1" t="s">
        <v>30</v>
      </c>
      <c r="M149" s="8">
        <v>0</v>
      </c>
      <c r="N149" s="6"/>
      <c r="O149" s="6"/>
      <c r="P149" s="9">
        <v>7.13</v>
      </c>
    </row>
    <row r="150" spans="1:16" ht="19.5" customHeight="1">
      <c r="A150" s="1" t="s">
        <v>992</v>
      </c>
      <c r="B150" s="5">
        <v>45959</v>
      </c>
      <c r="C150" s="1" t="s">
        <v>31</v>
      </c>
      <c r="D150" s="1" t="s">
        <v>34</v>
      </c>
      <c r="E150" s="1" t="s">
        <v>19</v>
      </c>
      <c r="F150" s="1" t="s">
        <v>20</v>
      </c>
      <c r="G150" s="1" t="s">
        <v>21</v>
      </c>
      <c r="H150" s="6">
        <v>1</v>
      </c>
      <c r="I150" s="7">
        <v>1338</v>
      </c>
      <c r="J150" s="5">
        <v>45957</v>
      </c>
      <c r="K150" s="1" t="s">
        <v>957</v>
      </c>
      <c r="L150" s="1" t="s">
        <v>30</v>
      </c>
      <c r="M150" s="8">
        <v>0</v>
      </c>
      <c r="N150" s="6"/>
      <c r="O150" s="6"/>
      <c r="P150" s="9">
        <v>618.14</v>
      </c>
    </row>
    <row r="151" spans="1:16" ht="19.5" customHeight="1">
      <c r="A151" s="1" t="s">
        <v>992</v>
      </c>
      <c r="B151" s="5">
        <v>45959</v>
      </c>
      <c r="C151" s="1" t="s">
        <v>35</v>
      </c>
      <c r="D151" s="1" t="s">
        <v>36</v>
      </c>
      <c r="E151" s="1" t="s">
        <v>19</v>
      </c>
      <c r="F151" s="1" t="s">
        <v>20</v>
      </c>
      <c r="G151" s="1" t="s">
        <v>21</v>
      </c>
      <c r="H151" s="6">
        <v>1</v>
      </c>
      <c r="I151" s="7">
        <v>1338</v>
      </c>
      <c r="J151" s="5">
        <v>45957</v>
      </c>
      <c r="K151" s="1" t="s">
        <v>957</v>
      </c>
      <c r="L151" s="1" t="s">
        <v>30</v>
      </c>
      <c r="M151" s="8">
        <v>0.38</v>
      </c>
      <c r="N151" s="6"/>
      <c r="O151" s="6"/>
      <c r="P151" s="9">
        <v>-508.44</v>
      </c>
    </row>
    <row r="152" spans="1:16" ht="19.5" customHeight="1">
      <c r="A152" s="1" t="s">
        <v>992</v>
      </c>
      <c r="B152" s="5">
        <v>45959</v>
      </c>
      <c r="C152" s="1" t="s">
        <v>17</v>
      </c>
      <c r="D152" s="1" t="s">
        <v>37</v>
      </c>
      <c r="E152" s="1" t="s">
        <v>19</v>
      </c>
      <c r="F152" s="1" t="s">
        <v>20</v>
      </c>
      <c r="G152" s="1" t="s">
        <v>21</v>
      </c>
      <c r="H152" s="6">
        <v>1</v>
      </c>
      <c r="I152" s="7">
        <v>1338</v>
      </c>
      <c r="J152" s="5">
        <v>45957</v>
      </c>
      <c r="K152" s="1" t="s">
        <v>957</v>
      </c>
      <c r="L152" s="1" t="s">
        <v>30</v>
      </c>
      <c r="M152" s="8">
        <v>0.38</v>
      </c>
      <c r="N152" s="6"/>
      <c r="O152" s="6"/>
      <c r="P152" s="9">
        <v>-8.23</v>
      </c>
    </row>
    <row r="153" spans="1:16" ht="19.5" customHeight="1">
      <c r="A153" s="1" t="s">
        <v>992</v>
      </c>
      <c r="B153" s="5">
        <v>45959</v>
      </c>
      <c r="C153" s="1" t="s">
        <v>17</v>
      </c>
      <c r="D153" s="1" t="s">
        <v>18</v>
      </c>
      <c r="E153" s="1" t="s">
        <v>19</v>
      </c>
      <c r="F153" s="1" t="s">
        <v>20</v>
      </c>
      <c r="G153" s="1" t="s">
        <v>21</v>
      </c>
      <c r="H153" s="6">
        <v>1</v>
      </c>
      <c r="I153" s="7">
        <v>0</v>
      </c>
      <c r="J153" s="5">
        <v>45957</v>
      </c>
      <c r="K153" s="1" t="s">
        <v>22</v>
      </c>
      <c r="L153" s="1" t="s">
        <v>22</v>
      </c>
      <c r="M153" s="8">
        <v>0</v>
      </c>
      <c r="N153" s="6"/>
      <c r="O153" s="6"/>
      <c r="P153" s="9">
        <v>-13.54</v>
      </c>
    </row>
    <row r="154" spans="1:16" ht="19.5" customHeight="1">
      <c r="A154" s="1" t="s">
        <v>932</v>
      </c>
      <c r="B154" s="5">
        <v>45959</v>
      </c>
      <c r="C154" s="1" t="s">
        <v>17</v>
      </c>
      <c r="D154" s="1" t="s">
        <v>18</v>
      </c>
      <c r="E154" s="1" t="s">
        <v>235</v>
      </c>
      <c r="F154" s="1" t="s">
        <v>528</v>
      </c>
      <c r="G154" s="1" t="s">
        <v>959</v>
      </c>
      <c r="H154" s="6">
        <v>1</v>
      </c>
      <c r="I154" s="7">
        <v>0</v>
      </c>
      <c r="J154" s="5">
        <v>45955</v>
      </c>
      <c r="K154" s="1" t="s">
        <v>22</v>
      </c>
      <c r="L154" s="1" t="s">
        <v>22</v>
      </c>
      <c r="M154" s="8">
        <v>0</v>
      </c>
      <c r="N154" s="6"/>
      <c r="O154" s="6"/>
      <c r="P154" s="9">
        <v>51.76</v>
      </c>
    </row>
    <row r="155" spans="1:16" ht="19.5" customHeight="1">
      <c r="A155" s="1" t="s">
        <v>981</v>
      </c>
      <c r="B155" s="5">
        <v>45959</v>
      </c>
      <c r="C155" s="1" t="s">
        <v>126</v>
      </c>
      <c r="D155" s="1" t="s">
        <v>127</v>
      </c>
      <c r="E155" s="1" t="s">
        <v>43</v>
      </c>
      <c r="F155" s="1" t="s">
        <v>44</v>
      </c>
      <c r="G155" s="1" t="s">
        <v>959</v>
      </c>
      <c r="H155" s="6">
        <v>1</v>
      </c>
      <c r="I155" s="7">
        <v>-5000</v>
      </c>
      <c r="J155" s="5">
        <v>45955</v>
      </c>
      <c r="K155" s="1" t="s">
        <v>957</v>
      </c>
      <c r="L155" s="1" t="s">
        <v>30</v>
      </c>
      <c r="M155" s="8">
        <v>0</v>
      </c>
      <c r="N155" s="6"/>
      <c r="O155" s="6"/>
      <c r="P155" s="9">
        <v>-2814.22</v>
      </c>
    </row>
    <row r="156" spans="1:16" ht="19.5" customHeight="1">
      <c r="A156" s="1" t="s">
        <v>981</v>
      </c>
      <c r="B156" s="5">
        <v>45959</v>
      </c>
      <c r="C156" s="1" t="s">
        <v>126</v>
      </c>
      <c r="D156" s="1" t="s">
        <v>33</v>
      </c>
      <c r="E156" s="1" t="s">
        <v>43</v>
      </c>
      <c r="F156" s="1" t="s">
        <v>44</v>
      </c>
      <c r="G156" s="1" t="s">
        <v>959</v>
      </c>
      <c r="H156" s="6">
        <v>1</v>
      </c>
      <c r="I156" s="7">
        <v>-5000</v>
      </c>
      <c r="J156" s="5">
        <v>45955</v>
      </c>
      <c r="K156" s="1" t="s">
        <v>957</v>
      </c>
      <c r="L156" s="1" t="s">
        <v>30</v>
      </c>
      <c r="M156" s="8">
        <v>0</v>
      </c>
      <c r="N156" s="6"/>
      <c r="O156" s="6"/>
      <c r="P156" s="9">
        <v>-28.14</v>
      </c>
    </row>
    <row r="157" spans="1:16" ht="19.5" customHeight="1">
      <c r="A157" s="1" t="s">
        <v>981</v>
      </c>
      <c r="B157" s="5">
        <v>45959</v>
      </c>
      <c r="C157" s="1" t="s">
        <v>126</v>
      </c>
      <c r="D157" s="1" t="s">
        <v>34</v>
      </c>
      <c r="E157" s="1" t="s">
        <v>43</v>
      </c>
      <c r="F157" s="1" t="s">
        <v>44</v>
      </c>
      <c r="G157" s="1" t="s">
        <v>959</v>
      </c>
      <c r="H157" s="6">
        <v>1</v>
      </c>
      <c r="I157" s="7">
        <v>-5000</v>
      </c>
      <c r="J157" s="5">
        <v>45955</v>
      </c>
      <c r="K157" s="1" t="s">
        <v>957</v>
      </c>
      <c r="L157" s="1" t="s">
        <v>30</v>
      </c>
      <c r="M157" s="8">
        <v>0</v>
      </c>
      <c r="N157" s="6"/>
      <c r="O157" s="6"/>
      <c r="P157" s="9">
        <v>-2157.64</v>
      </c>
    </row>
    <row r="158" spans="1:16" ht="19.5" customHeight="1">
      <c r="A158" s="1" t="s">
        <v>981</v>
      </c>
      <c r="B158" s="5">
        <v>45959</v>
      </c>
      <c r="C158" s="1" t="s">
        <v>35</v>
      </c>
      <c r="D158" s="1" t="s">
        <v>128</v>
      </c>
      <c r="E158" s="1" t="s">
        <v>43</v>
      </c>
      <c r="F158" s="1" t="s">
        <v>44</v>
      </c>
      <c r="G158" s="1" t="s">
        <v>959</v>
      </c>
      <c r="H158" s="6">
        <v>1</v>
      </c>
      <c r="I158" s="7">
        <v>-5000</v>
      </c>
      <c r="J158" s="5">
        <v>45955</v>
      </c>
      <c r="K158" s="1" t="s">
        <v>957</v>
      </c>
      <c r="L158" s="1" t="s">
        <v>30</v>
      </c>
      <c r="M158" s="8">
        <v>0.34</v>
      </c>
      <c r="N158" s="6"/>
      <c r="O158" s="6"/>
      <c r="P158" s="9">
        <v>1700</v>
      </c>
    </row>
    <row r="159" spans="1:16" ht="19.5" customHeight="1">
      <c r="A159" s="1" t="s">
        <v>981</v>
      </c>
      <c r="B159" s="5">
        <v>45959</v>
      </c>
      <c r="C159" s="1" t="s">
        <v>17</v>
      </c>
      <c r="D159" s="1" t="s">
        <v>18</v>
      </c>
      <c r="E159" s="1" t="s">
        <v>43</v>
      </c>
      <c r="F159" s="1" t="s">
        <v>44</v>
      </c>
      <c r="G159" s="1" t="s">
        <v>959</v>
      </c>
      <c r="H159" s="6">
        <v>1</v>
      </c>
      <c r="I159" s="7">
        <v>0</v>
      </c>
      <c r="J159" s="5">
        <v>45955</v>
      </c>
      <c r="K159" s="1" t="s">
        <v>22</v>
      </c>
      <c r="L159" s="1" t="s">
        <v>22</v>
      </c>
      <c r="M159" s="8">
        <v>0</v>
      </c>
      <c r="N159" s="6"/>
      <c r="O159" s="6"/>
      <c r="P159" s="9">
        <v>53.47</v>
      </c>
    </row>
    <row r="160" spans="1:16" ht="19.5" customHeight="1">
      <c r="A160" s="1" t="s">
        <v>83</v>
      </c>
      <c r="B160" s="5">
        <v>45959</v>
      </c>
      <c r="C160" s="1" t="s">
        <v>77</v>
      </c>
      <c r="D160" s="1" t="s">
        <v>84</v>
      </c>
      <c r="E160" s="1" t="s">
        <v>22</v>
      </c>
      <c r="F160" s="1" t="s">
        <v>22</v>
      </c>
      <c r="G160" s="1" t="s">
        <v>22</v>
      </c>
      <c r="H160" s="6">
        <v>0</v>
      </c>
      <c r="I160" s="7">
        <v>0</v>
      </c>
      <c r="J160" s="5">
        <v>45959</v>
      </c>
      <c r="K160" s="1" t="s">
        <v>22</v>
      </c>
      <c r="L160" s="1" t="s">
        <v>22</v>
      </c>
      <c r="M160" s="8">
        <v>0</v>
      </c>
      <c r="N160" s="6"/>
      <c r="O160" s="6"/>
      <c r="P160" s="9">
        <v>-630.27</v>
      </c>
    </row>
    <row r="161" spans="1:16" ht="19.5" customHeight="1">
      <c r="A161" s="1" t="s">
        <v>810</v>
      </c>
      <c r="B161" s="5">
        <v>45959</v>
      </c>
      <c r="C161" s="1" t="s">
        <v>77</v>
      </c>
      <c r="D161" s="1" t="s">
        <v>82</v>
      </c>
      <c r="E161" s="1" t="s">
        <v>22</v>
      </c>
      <c r="F161" s="1" t="s">
        <v>22</v>
      </c>
      <c r="G161" s="1" t="s">
        <v>22</v>
      </c>
      <c r="H161" s="6">
        <v>0</v>
      </c>
      <c r="I161" s="7">
        <v>0</v>
      </c>
      <c r="J161" s="5">
        <v>45959</v>
      </c>
      <c r="K161" s="1" t="s">
        <v>22</v>
      </c>
      <c r="L161" s="1" t="s">
        <v>22</v>
      </c>
      <c r="M161" s="8">
        <v>0</v>
      </c>
      <c r="N161" s="6"/>
      <c r="O161" s="6"/>
      <c r="P161" s="9">
        <v>-722.99</v>
      </c>
    </row>
    <row r="162" spans="1:16" ht="19.5" customHeight="1">
      <c r="A162" s="1" t="s">
        <v>993</v>
      </c>
      <c r="B162" s="5">
        <v>45959</v>
      </c>
      <c r="C162" s="1" t="s">
        <v>77</v>
      </c>
      <c r="D162" s="1" t="s">
        <v>82</v>
      </c>
      <c r="E162" s="1" t="s">
        <v>22</v>
      </c>
      <c r="F162" s="1" t="s">
        <v>22</v>
      </c>
      <c r="G162" s="1" t="s">
        <v>22</v>
      </c>
      <c r="H162" s="6">
        <v>0</v>
      </c>
      <c r="I162" s="7">
        <v>0</v>
      </c>
      <c r="J162" s="5">
        <v>45959</v>
      </c>
      <c r="K162" s="1" t="s">
        <v>22</v>
      </c>
      <c r="L162" s="1" t="s">
        <v>22</v>
      </c>
      <c r="M162" s="8">
        <v>0</v>
      </c>
      <c r="N162" s="6"/>
      <c r="O162" s="6"/>
      <c r="P162" s="9">
        <v>-336.38</v>
      </c>
    </row>
    <row r="163" spans="1:16" ht="19.5" customHeight="1">
      <c r="A163" s="1" t="s">
        <v>807</v>
      </c>
      <c r="B163" s="5">
        <v>45959</v>
      </c>
      <c r="C163" s="1" t="s">
        <v>77</v>
      </c>
      <c r="D163" s="1" t="s">
        <v>82</v>
      </c>
      <c r="E163" s="1" t="s">
        <v>22</v>
      </c>
      <c r="F163" s="1" t="s">
        <v>22</v>
      </c>
      <c r="G163" s="1" t="s">
        <v>22</v>
      </c>
      <c r="H163" s="6">
        <v>0</v>
      </c>
      <c r="I163" s="7">
        <v>0</v>
      </c>
      <c r="J163" s="5">
        <v>45959</v>
      </c>
      <c r="K163" s="1" t="s">
        <v>22</v>
      </c>
      <c r="L163" s="1" t="s">
        <v>22</v>
      </c>
      <c r="M163" s="8">
        <v>0</v>
      </c>
      <c r="N163" s="6"/>
      <c r="O163" s="6"/>
      <c r="P163" s="9">
        <v>-250.52</v>
      </c>
    </row>
    <row r="164" spans="1:16" ht="19.5" customHeight="1">
      <c r="A164" s="1" t="s">
        <v>22</v>
      </c>
      <c r="B164" s="5">
        <v>45959</v>
      </c>
      <c r="C164" s="1" t="s">
        <v>77</v>
      </c>
      <c r="D164" s="1" t="s">
        <v>944</v>
      </c>
      <c r="E164" s="1" t="s">
        <v>22</v>
      </c>
      <c r="F164" s="1" t="s">
        <v>22</v>
      </c>
      <c r="G164" s="1" t="s">
        <v>994</v>
      </c>
      <c r="H164" s="6">
        <v>0</v>
      </c>
      <c r="I164" s="7">
        <v>0</v>
      </c>
      <c r="J164" s="5">
        <v>45959</v>
      </c>
      <c r="K164" s="1" t="s">
        <v>22</v>
      </c>
      <c r="L164" s="1" t="s">
        <v>22</v>
      </c>
      <c r="M164" s="8">
        <v>0</v>
      </c>
      <c r="N164" s="6"/>
      <c r="O164" s="6"/>
      <c r="P164" s="9">
        <v>-453.45</v>
      </c>
    </row>
    <row r="165" spans="1:16" ht="19.5" customHeight="1">
      <c r="A165" s="1" t="s">
        <v>22</v>
      </c>
      <c r="B165" s="5">
        <v>45959</v>
      </c>
      <c r="C165" s="1" t="s">
        <v>77</v>
      </c>
      <c r="D165" s="1" t="s">
        <v>944</v>
      </c>
      <c r="E165" s="1" t="s">
        <v>22</v>
      </c>
      <c r="F165" s="1" t="s">
        <v>22</v>
      </c>
      <c r="G165" s="1" t="s">
        <v>995</v>
      </c>
      <c r="H165" s="6">
        <v>0</v>
      </c>
      <c r="I165" s="7">
        <v>0</v>
      </c>
      <c r="J165" s="5">
        <v>45959</v>
      </c>
      <c r="K165" s="1" t="s">
        <v>22</v>
      </c>
      <c r="L165" s="1" t="s">
        <v>22</v>
      </c>
      <c r="M165" s="8">
        <v>0</v>
      </c>
      <c r="N165" s="6"/>
      <c r="O165" s="6"/>
      <c r="P165" s="9">
        <v>-356.57</v>
      </c>
    </row>
    <row r="166" spans="1:16" ht="19.5" customHeight="1">
      <c r="A166" s="1" t="s">
        <v>22</v>
      </c>
      <c r="B166" s="5">
        <v>45959</v>
      </c>
      <c r="C166" s="1" t="s">
        <v>77</v>
      </c>
      <c r="D166" s="1" t="s">
        <v>944</v>
      </c>
      <c r="E166" s="1" t="s">
        <v>22</v>
      </c>
      <c r="F166" s="1" t="s">
        <v>22</v>
      </c>
      <c r="G166" s="1" t="s">
        <v>996</v>
      </c>
      <c r="H166" s="6">
        <v>0</v>
      </c>
      <c r="I166" s="7">
        <v>0</v>
      </c>
      <c r="J166" s="5">
        <v>45959</v>
      </c>
      <c r="K166" s="1" t="s">
        <v>22</v>
      </c>
      <c r="L166" s="1" t="s">
        <v>22</v>
      </c>
      <c r="M166" s="8">
        <v>0</v>
      </c>
      <c r="N166" s="6"/>
      <c r="O166" s="6"/>
      <c r="P166" s="9">
        <v>-778.17</v>
      </c>
    </row>
    <row r="167" spans="1:16" ht="19.5" customHeight="1">
      <c r="A167" s="1" t="s">
        <v>997</v>
      </c>
      <c r="B167" s="5">
        <v>45960</v>
      </c>
      <c r="C167" s="1" t="s">
        <v>17</v>
      </c>
      <c r="D167" s="1" t="s">
        <v>18</v>
      </c>
      <c r="E167" s="1" t="s">
        <v>25</v>
      </c>
      <c r="F167" s="1" t="s">
        <v>26</v>
      </c>
      <c r="G167" s="1" t="s">
        <v>21</v>
      </c>
      <c r="H167" s="6">
        <v>1</v>
      </c>
      <c r="I167" s="7">
        <v>0</v>
      </c>
      <c r="J167" s="5">
        <v>45959</v>
      </c>
      <c r="K167" s="1" t="s">
        <v>22</v>
      </c>
      <c r="L167" s="1" t="s">
        <v>22</v>
      </c>
      <c r="M167" s="8">
        <v>0</v>
      </c>
      <c r="N167" s="6"/>
      <c r="O167" s="6"/>
      <c r="P167" s="9">
        <v>-17.34</v>
      </c>
    </row>
    <row r="168" spans="1:16" ht="19.5" customHeight="1">
      <c r="A168" s="1" t="s">
        <v>976</v>
      </c>
      <c r="B168" s="5">
        <v>45960</v>
      </c>
      <c r="C168" s="1" t="s">
        <v>17</v>
      </c>
      <c r="D168" s="1" t="s">
        <v>18</v>
      </c>
      <c r="E168" s="1" t="s">
        <v>227</v>
      </c>
      <c r="F168" s="1" t="s">
        <v>402</v>
      </c>
      <c r="G168" s="1" t="s">
        <v>21</v>
      </c>
      <c r="H168" s="6">
        <v>1</v>
      </c>
      <c r="I168" s="7">
        <v>0</v>
      </c>
      <c r="J168" s="5">
        <v>45958</v>
      </c>
      <c r="K168" s="1" t="s">
        <v>22</v>
      </c>
      <c r="L168" s="1" t="s">
        <v>22</v>
      </c>
      <c r="M168" s="8">
        <v>0</v>
      </c>
      <c r="N168" s="6"/>
      <c r="O168" s="6"/>
      <c r="P168" s="9">
        <v>12.76</v>
      </c>
    </row>
    <row r="169" spans="1:16" ht="19.5" customHeight="1">
      <c r="A169" s="1" t="s">
        <v>998</v>
      </c>
      <c r="B169" s="5">
        <v>45960</v>
      </c>
      <c r="C169" s="1" t="s">
        <v>28</v>
      </c>
      <c r="D169" s="1" t="s">
        <v>29</v>
      </c>
      <c r="E169" s="1" t="s">
        <v>25</v>
      </c>
      <c r="F169" s="1" t="s">
        <v>26</v>
      </c>
      <c r="G169" s="1" t="s">
        <v>21</v>
      </c>
      <c r="H169" s="6">
        <v>1</v>
      </c>
      <c r="I169" s="7">
        <v>1117</v>
      </c>
      <c r="J169" s="5">
        <v>45954</v>
      </c>
      <c r="K169" s="1" t="s">
        <v>957</v>
      </c>
      <c r="L169" s="1" t="s">
        <v>30</v>
      </c>
      <c r="M169" s="8">
        <v>0.34</v>
      </c>
      <c r="N169" s="6"/>
      <c r="O169" s="6"/>
      <c r="P169" s="9">
        <v>-46</v>
      </c>
    </row>
    <row r="170" spans="1:16" ht="19.5" customHeight="1">
      <c r="A170" s="1" t="s">
        <v>998</v>
      </c>
      <c r="B170" s="5">
        <v>45960</v>
      </c>
      <c r="C170" s="1" t="s">
        <v>31</v>
      </c>
      <c r="D170" s="1" t="s">
        <v>32</v>
      </c>
      <c r="E170" s="1" t="s">
        <v>25</v>
      </c>
      <c r="F170" s="1" t="s">
        <v>26</v>
      </c>
      <c r="G170" s="1" t="s">
        <v>21</v>
      </c>
      <c r="H170" s="6">
        <v>1</v>
      </c>
      <c r="I170" s="7">
        <v>1117</v>
      </c>
      <c r="J170" s="5">
        <v>45954</v>
      </c>
      <c r="K170" s="1" t="s">
        <v>957</v>
      </c>
      <c r="L170" s="1" t="s">
        <v>30</v>
      </c>
      <c r="M170" s="8">
        <v>0</v>
      </c>
      <c r="N170" s="6"/>
      <c r="O170" s="6"/>
      <c r="P170" s="9">
        <v>627.62</v>
      </c>
    </row>
    <row r="171" spans="1:16" ht="19.5" customHeight="1">
      <c r="A171" s="1" t="s">
        <v>998</v>
      </c>
      <c r="B171" s="5">
        <v>45960</v>
      </c>
      <c r="C171" s="1" t="s">
        <v>31</v>
      </c>
      <c r="D171" s="1" t="s">
        <v>33</v>
      </c>
      <c r="E171" s="1" t="s">
        <v>25</v>
      </c>
      <c r="F171" s="1" t="s">
        <v>26</v>
      </c>
      <c r="G171" s="1" t="s">
        <v>21</v>
      </c>
      <c r="H171" s="6">
        <v>1</v>
      </c>
      <c r="I171" s="7">
        <v>1117</v>
      </c>
      <c r="J171" s="5">
        <v>45954</v>
      </c>
      <c r="K171" s="1" t="s">
        <v>957</v>
      </c>
      <c r="L171" s="1" t="s">
        <v>30</v>
      </c>
      <c r="M171" s="8">
        <v>0</v>
      </c>
      <c r="N171" s="6"/>
      <c r="O171" s="6"/>
      <c r="P171" s="9">
        <v>6.28</v>
      </c>
    </row>
    <row r="172" spans="1:16" ht="19.5" customHeight="1">
      <c r="A172" s="1" t="s">
        <v>998</v>
      </c>
      <c r="B172" s="5">
        <v>45960</v>
      </c>
      <c r="C172" s="1" t="s">
        <v>31</v>
      </c>
      <c r="D172" s="1" t="s">
        <v>34</v>
      </c>
      <c r="E172" s="1" t="s">
        <v>25</v>
      </c>
      <c r="F172" s="1" t="s">
        <v>26</v>
      </c>
      <c r="G172" s="1" t="s">
        <v>21</v>
      </c>
      <c r="H172" s="6">
        <v>1</v>
      </c>
      <c r="I172" s="7">
        <v>1117</v>
      </c>
      <c r="J172" s="5">
        <v>45954</v>
      </c>
      <c r="K172" s="1" t="s">
        <v>957</v>
      </c>
      <c r="L172" s="1" t="s">
        <v>30</v>
      </c>
      <c r="M172" s="8">
        <v>0</v>
      </c>
      <c r="N172" s="6"/>
      <c r="O172" s="6"/>
      <c r="P172" s="9">
        <v>483.1</v>
      </c>
    </row>
    <row r="173" spans="1:16" ht="19.5" customHeight="1">
      <c r="A173" s="1" t="s">
        <v>998</v>
      </c>
      <c r="B173" s="5">
        <v>45960</v>
      </c>
      <c r="C173" s="1" t="s">
        <v>35</v>
      </c>
      <c r="D173" s="1" t="s">
        <v>36</v>
      </c>
      <c r="E173" s="1" t="s">
        <v>25</v>
      </c>
      <c r="F173" s="1" t="s">
        <v>26</v>
      </c>
      <c r="G173" s="1" t="s">
        <v>21</v>
      </c>
      <c r="H173" s="6">
        <v>1</v>
      </c>
      <c r="I173" s="7">
        <v>1117</v>
      </c>
      <c r="J173" s="5">
        <v>45954</v>
      </c>
      <c r="K173" s="1" t="s">
        <v>957</v>
      </c>
      <c r="L173" s="1" t="s">
        <v>30</v>
      </c>
      <c r="M173" s="8">
        <v>0.34</v>
      </c>
      <c r="N173" s="6"/>
      <c r="O173" s="6"/>
      <c r="P173" s="9">
        <v>-379.78</v>
      </c>
    </row>
    <row r="174" spans="1:16" ht="19.5" customHeight="1">
      <c r="A174" s="1" t="s">
        <v>998</v>
      </c>
      <c r="B174" s="5">
        <v>45960</v>
      </c>
      <c r="C174" s="1" t="s">
        <v>17</v>
      </c>
      <c r="D174" s="1" t="s">
        <v>37</v>
      </c>
      <c r="E174" s="1" t="s">
        <v>25</v>
      </c>
      <c r="F174" s="1" t="s">
        <v>26</v>
      </c>
      <c r="G174" s="1" t="s">
        <v>21</v>
      </c>
      <c r="H174" s="6">
        <v>1</v>
      </c>
      <c r="I174" s="7">
        <v>1117</v>
      </c>
      <c r="J174" s="5">
        <v>45954</v>
      </c>
      <c r="K174" s="1" t="s">
        <v>957</v>
      </c>
      <c r="L174" s="1" t="s">
        <v>30</v>
      </c>
      <c r="M174" s="8">
        <v>0.34</v>
      </c>
      <c r="N174" s="6"/>
      <c r="O174" s="6"/>
      <c r="P174" s="9">
        <v>-5.33</v>
      </c>
    </row>
    <row r="175" spans="1:16" ht="19.5" customHeight="1">
      <c r="A175" s="1" t="s">
        <v>998</v>
      </c>
      <c r="B175" s="5">
        <v>45960</v>
      </c>
      <c r="C175" s="1" t="s">
        <v>17</v>
      </c>
      <c r="D175" s="1" t="s">
        <v>18</v>
      </c>
      <c r="E175" s="1" t="s">
        <v>25</v>
      </c>
      <c r="F175" s="1" t="s">
        <v>26</v>
      </c>
      <c r="G175" s="1" t="s">
        <v>21</v>
      </c>
      <c r="H175" s="6">
        <v>1</v>
      </c>
      <c r="I175" s="7">
        <v>0</v>
      </c>
      <c r="J175" s="5">
        <v>45954</v>
      </c>
      <c r="K175" s="1" t="s">
        <v>22</v>
      </c>
      <c r="L175" s="1" t="s">
        <v>22</v>
      </c>
      <c r="M175" s="8">
        <v>0</v>
      </c>
      <c r="N175" s="6"/>
      <c r="O175" s="6"/>
      <c r="P175" s="9">
        <v>-11.92</v>
      </c>
    </row>
    <row r="176" spans="1:16" ht="19.5" customHeight="1">
      <c r="A176" s="1" t="s">
        <v>999</v>
      </c>
      <c r="B176" s="5">
        <v>45960</v>
      </c>
      <c r="C176" s="1" t="s">
        <v>28</v>
      </c>
      <c r="D176" s="1" t="s">
        <v>29</v>
      </c>
      <c r="E176" s="1" t="s">
        <v>43</v>
      </c>
      <c r="F176" s="1" t="s">
        <v>44</v>
      </c>
      <c r="G176" s="1" t="s">
        <v>959</v>
      </c>
      <c r="H176" s="6">
        <v>1</v>
      </c>
      <c r="I176" s="7">
        <v>5500</v>
      </c>
      <c r="J176" s="5">
        <v>45959</v>
      </c>
      <c r="K176" s="1" t="s">
        <v>957</v>
      </c>
      <c r="L176" s="1" t="s">
        <v>30</v>
      </c>
      <c r="M176" s="8">
        <v>0.38</v>
      </c>
      <c r="N176" s="6"/>
      <c r="O176" s="6"/>
      <c r="P176" s="9">
        <v>-56</v>
      </c>
    </row>
    <row r="177" spans="1:16" ht="19.5" customHeight="1">
      <c r="A177" s="1" t="s">
        <v>999</v>
      </c>
      <c r="B177" s="5">
        <v>45960</v>
      </c>
      <c r="C177" s="1" t="s">
        <v>31</v>
      </c>
      <c r="D177" s="1" t="s">
        <v>32</v>
      </c>
      <c r="E177" s="1" t="s">
        <v>43</v>
      </c>
      <c r="F177" s="1" t="s">
        <v>44</v>
      </c>
      <c r="G177" s="1" t="s">
        <v>959</v>
      </c>
      <c r="H177" s="6">
        <v>1</v>
      </c>
      <c r="I177" s="7">
        <v>5500</v>
      </c>
      <c r="J177" s="5">
        <v>45959</v>
      </c>
      <c r="K177" s="1" t="s">
        <v>957</v>
      </c>
      <c r="L177" s="1" t="s">
        <v>30</v>
      </c>
      <c r="M177" s="8">
        <v>0</v>
      </c>
      <c r="N177" s="6"/>
      <c r="O177" s="6"/>
      <c r="P177" s="9">
        <v>3109.52</v>
      </c>
    </row>
    <row r="178" spans="1:16" ht="19.5" customHeight="1">
      <c r="A178" s="1" t="s">
        <v>999</v>
      </c>
      <c r="B178" s="5">
        <v>45960</v>
      </c>
      <c r="C178" s="1" t="s">
        <v>31</v>
      </c>
      <c r="D178" s="1" t="s">
        <v>33</v>
      </c>
      <c r="E178" s="1" t="s">
        <v>43</v>
      </c>
      <c r="F178" s="1" t="s">
        <v>44</v>
      </c>
      <c r="G178" s="1" t="s">
        <v>959</v>
      </c>
      <c r="H178" s="6">
        <v>1</v>
      </c>
      <c r="I178" s="7">
        <v>5500</v>
      </c>
      <c r="J178" s="5">
        <v>45959</v>
      </c>
      <c r="K178" s="1" t="s">
        <v>957</v>
      </c>
      <c r="L178" s="1" t="s">
        <v>30</v>
      </c>
      <c r="M178" s="8">
        <v>0</v>
      </c>
      <c r="N178" s="6"/>
      <c r="O178" s="6"/>
      <c r="P178" s="9">
        <v>0</v>
      </c>
    </row>
    <row r="179" spans="1:16" ht="19.5" customHeight="1">
      <c r="A179" s="1" t="s">
        <v>999</v>
      </c>
      <c r="B179" s="5">
        <v>45960</v>
      </c>
      <c r="C179" s="1" t="s">
        <v>31</v>
      </c>
      <c r="D179" s="1" t="s">
        <v>34</v>
      </c>
      <c r="E179" s="1" t="s">
        <v>43</v>
      </c>
      <c r="F179" s="1" t="s">
        <v>44</v>
      </c>
      <c r="G179" s="1" t="s">
        <v>959</v>
      </c>
      <c r="H179" s="6">
        <v>1</v>
      </c>
      <c r="I179" s="7">
        <v>5500</v>
      </c>
      <c r="J179" s="5">
        <v>45959</v>
      </c>
      <c r="K179" s="1" t="s">
        <v>957</v>
      </c>
      <c r="L179" s="1" t="s">
        <v>30</v>
      </c>
      <c r="M179" s="8">
        <v>0</v>
      </c>
      <c r="N179" s="6"/>
      <c r="O179" s="6"/>
      <c r="P179" s="9">
        <v>2390.48</v>
      </c>
    </row>
    <row r="180" spans="1:16" ht="19.5" customHeight="1">
      <c r="A180" s="1" t="s">
        <v>999</v>
      </c>
      <c r="B180" s="5">
        <v>45960</v>
      </c>
      <c r="C180" s="1" t="s">
        <v>35</v>
      </c>
      <c r="D180" s="1" t="s">
        <v>36</v>
      </c>
      <c r="E180" s="1" t="s">
        <v>43</v>
      </c>
      <c r="F180" s="1" t="s">
        <v>44</v>
      </c>
      <c r="G180" s="1" t="s">
        <v>959</v>
      </c>
      <c r="H180" s="6">
        <v>1</v>
      </c>
      <c r="I180" s="7">
        <v>5500</v>
      </c>
      <c r="J180" s="5">
        <v>45959</v>
      </c>
      <c r="K180" s="1" t="s">
        <v>957</v>
      </c>
      <c r="L180" s="1" t="s">
        <v>30</v>
      </c>
      <c r="M180" s="8">
        <v>0.38</v>
      </c>
      <c r="N180" s="6"/>
      <c r="O180" s="6"/>
      <c r="P180" s="9">
        <v>-2090</v>
      </c>
    </row>
    <row r="181" spans="1:16" ht="19.5" customHeight="1">
      <c r="A181" s="1" t="s">
        <v>999</v>
      </c>
      <c r="B181" s="5">
        <v>45960</v>
      </c>
      <c r="C181" s="1" t="s">
        <v>17</v>
      </c>
      <c r="D181" s="1" t="s">
        <v>37</v>
      </c>
      <c r="E181" s="1" t="s">
        <v>43</v>
      </c>
      <c r="F181" s="1" t="s">
        <v>44</v>
      </c>
      <c r="G181" s="1" t="s">
        <v>959</v>
      </c>
      <c r="H181" s="6">
        <v>1</v>
      </c>
      <c r="I181" s="7">
        <v>5500</v>
      </c>
      <c r="J181" s="5">
        <v>45959</v>
      </c>
      <c r="K181" s="1" t="s">
        <v>957</v>
      </c>
      <c r="L181" s="1" t="s">
        <v>30</v>
      </c>
      <c r="M181" s="8">
        <v>0.38</v>
      </c>
      <c r="N181" s="6"/>
      <c r="O181" s="6"/>
      <c r="P181" s="9">
        <v>-12.31</v>
      </c>
    </row>
    <row r="182" spans="1:16" ht="19.5" customHeight="1">
      <c r="A182" s="1" t="s">
        <v>979</v>
      </c>
      <c r="B182" s="5">
        <v>45960</v>
      </c>
      <c r="C182" s="1" t="s">
        <v>17</v>
      </c>
      <c r="D182" s="1" t="s">
        <v>18</v>
      </c>
      <c r="E182" s="1" t="s">
        <v>239</v>
      </c>
      <c r="F182" s="1" t="s">
        <v>733</v>
      </c>
      <c r="G182" s="1" t="s">
        <v>959</v>
      </c>
      <c r="H182" s="6">
        <v>1</v>
      </c>
      <c r="I182" s="7">
        <v>0</v>
      </c>
      <c r="J182" s="5">
        <v>45958</v>
      </c>
      <c r="K182" s="1" t="s">
        <v>22</v>
      </c>
      <c r="L182" s="1" t="s">
        <v>22</v>
      </c>
      <c r="M182" s="8">
        <v>0</v>
      </c>
      <c r="N182" s="6"/>
      <c r="O182" s="6"/>
      <c r="P182" s="9">
        <v>44.59</v>
      </c>
    </row>
    <row r="183" spans="1:16" ht="19.5" customHeight="1">
      <c r="A183" s="1" t="s">
        <v>979</v>
      </c>
      <c r="B183" s="5">
        <v>45960</v>
      </c>
      <c r="C183" s="1" t="s">
        <v>17</v>
      </c>
      <c r="D183" s="1" t="s">
        <v>18</v>
      </c>
      <c r="E183" s="1" t="s">
        <v>70</v>
      </c>
      <c r="F183" s="1" t="s">
        <v>71</v>
      </c>
      <c r="G183" s="1" t="s">
        <v>959</v>
      </c>
      <c r="H183" s="6">
        <v>1</v>
      </c>
      <c r="I183" s="7">
        <v>0</v>
      </c>
      <c r="J183" s="5">
        <v>45958</v>
      </c>
      <c r="K183" s="1" t="s">
        <v>22</v>
      </c>
      <c r="L183" s="1" t="s">
        <v>22</v>
      </c>
      <c r="M183" s="8">
        <v>0</v>
      </c>
      <c r="N183" s="6"/>
      <c r="O183" s="6"/>
      <c r="P183" s="9">
        <v>46.91</v>
      </c>
    </row>
    <row r="184" spans="1:16" ht="19.5" customHeight="1">
      <c r="A184" s="1" t="s">
        <v>1000</v>
      </c>
      <c r="B184" s="5">
        <v>45960</v>
      </c>
      <c r="C184" s="1" t="s">
        <v>17</v>
      </c>
      <c r="D184" s="1" t="s">
        <v>18</v>
      </c>
      <c r="E184" s="1" t="s">
        <v>239</v>
      </c>
      <c r="F184" s="1" t="s">
        <v>733</v>
      </c>
      <c r="G184" s="1" t="s">
        <v>959</v>
      </c>
      <c r="H184" s="6">
        <v>1</v>
      </c>
      <c r="I184" s="7">
        <v>0</v>
      </c>
      <c r="J184" s="5">
        <v>45960</v>
      </c>
      <c r="K184" s="1" t="s">
        <v>22</v>
      </c>
      <c r="L184" s="1" t="s">
        <v>22</v>
      </c>
      <c r="M184" s="8">
        <v>0</v>
      </c>
      <c r="N184" s="6"/>
      <c r="O184" s="6"/>
      <c r="P184" s="9">
        <v>-46.34</v>
      </c>
    </row>
    <row r="185" spans="1:16" ht="19.5" customHeight="1">
      <c r="A185" s="1" t="s">
        <v>22</v>
      </c>
      <c r="B185" s="5">
        <v>45960</v>
      </c>
      <c r="C185" s="1" t="s">
        <v>77</v>
      </c>
      <c r="D185" s="1" t="s">
        <v>78</v>
      </c>
      <c r="E185" s="1" t="s">
        <v>22</v>
      </c>
      <c r="F185" s="1" t="s">
        <v>22</v>
      </c>
      <c r="G185" s="1" t="s">
        <v>1001</v>
      </c>
      <c r="H185" s="6">
        <v>0</v>
      </c>
      <c r="I185" s="7">
        <v>0</v>
      </c>
      <c r="J185" s="5">
        <v>45960</v>
      </c>
      <c r="K185" s="1" t="s">
        <v>22</v>
      </c>
      <c r="L185" s="1" t="s">
        <v>22</v>
      </c>
      <c r="M185" s="8">
        <v>0</v>
      </c>
      <c r="N185" s="6"/>
      <c r="O185" s="6"/>
      <c r="P185" s="9">
        <v>-200</v>
      </c>
    </row>
    <row r="186" spans="1:16" ht="19.5" customHeight="1">
      <c r="A186" s="1" t="s">
        <v>22</v>
      </c>
      <c r="B186" s="5">
        <v>45960</v>
      </c>
      <c r="C186" s="1" t="s">
        <v>77</v>
      </c>
      <c r="D186" s="1" t="s">
        <v>78</v>
      </c>
      <c r="E186" s="1" t="s">
        <v>22</v>
      </c>
      <c r="F186" s="1" t="s">
        <v>22</v>
      </c>
      <c r="G186" s="1" t="s">
        <v>1002</v>
      </c>
      <c r="H186" s="6">
        <v>0</v>
      </c>
      <c r="I186" s="7">
        <v>0</v>
      </c>
      <c r="J186" s="5">
        <v>45960</v>
      </c>
      <c r="K186" s="1" t="s">
        <v>22</v>
      </c>
      <c r="L186" s="1" t="s">
        <v>22</v>
      </c>
      <c r="M186" s="8">
        <v>0</v>
      </c>
      <c r="N186" s="6"/>
      <c r="O186" s="6"/>
      <c r="P186" s="9">
        <v>-200</v>
      </c>
    </row>
    <row r="187" spans="1:16" ht="19.5" customHeight="1">
      <c r="A187" s="1" t="s">
        <v>993</v>
      </c>
      <c r="B187" s="5">
        <v>45960</v>
      </c>
      <c r="C187" s="1" t="s">
        <v>77</v>
      </c>
      <c r="D187" s="1" t="s">
        <v>82</v>
      </c>
      <c r="E187" s="1" t="s">
        <v>22</v>
      </c>
      <c r="F187" s="1" t="s">
        <v>22</v>
      </c>
      <c r="G187" s="1" t="s">
        <v>22</v>
      </c>
      <c r="H187" s="6">
        <v>0</v>
      </c>
      <c r="I187" s="7">
        <v>0</v>
      </c>
      <c r="J187" s="5">
        <v>45960</v>
      </c>
      <c r="K187" s="1" t="s">
        <v>22</v>
      </c>
      <c r="L187" s="1" t="s">
        <v>22</v>
      </c>
      <c r="M187" s="8">
        <v>0</v>
      </c>
      <c r="N187" s="6"/>
      <c r="O187" s="6"/>
      <c r="P187" s="9">
        <v>-343.85</v>
      </c>
    </row>
    <row r="188" spans="1:16" ht="19.5" customHeight="1">
      <c r="A188" s="1" t="s">
        <v>83</v>
      </c>
      <c r="B188" s="5">
        <v>45960</v>
      </c>
      <c r="C188" s="1" t="s">
        <v>77</v>
      </c>
      <c r="D188" s="1" t="s">
        <v>84</v>
      </c>
      <c r="E188" s="1" t="s">
        <v>22</v>
      </c>
      <c r="F188" s="1" t="s">
        <v>22</v>
      </c>
      <c r="G188" s="1" t="s">
        <v>22</v>
      </c>
      <c r="H188" s="6">
        <v>0</v>
      </c>
      <c r="I188" s="7">
        <v>0</v>
      </c>
      <c r="J188" s="5">
        <v>45960</v>
      </c>
      <c r="K188" s="1" t="s">
        <v>22</v>
      </c>
      <c r="L188" s="1" t="s">
        <v>22</v>
      </c>
      <c r="M188" s="8">
        <v>0</v>
      </c>
      <c r="N188" s="6"/>
      <c r="O188" s="6"/>
      <c r="P188" s="9">
        <v>-729.13</v>
      </c>
    </row>
    <row r="189" spans="1:16" ht="19.5" customHeight="1">
      <c r="A189" s="1" t="s">
        <v>810</v>
      </c>
      <c r="B189" s="5">
        <v>45960</v>
      </c>
      <c r="C189" s="1" t="s">
        <v>77</v>
      </c>
      <c r="D189" s="1" t="s">
        <v>82</v>
      </c>
      <c r="E189" s="1" t="s">
        <v>22</v>
      </c>
      <c r="F189" s="1" t="s">
        <v>22</v>
      </c>
      <c r="G189" s="1" t="s">
        <v>22</v>
      </c>
      <c r="H189" s="6">
        <v>0</v>
      </c>
      <c r="I189" s="7">
        <v>0</v>
      </c>
      <c r="J189" s="5">
        <v>45960</v>
      </c>
      <c r="K189" s="1" t="s">
        <v>22</v>
      </c>
      <c r="L189" s="1" t="s">
        <v>22</v>
      </c>
      <c r="M189" s="8">
        <v>0</v>
      </c>
      <c r="N189" s="6"/>
      <c r="O189" s="6"/>
      <c r="P189" s="9">
        <v>-702.61</v>
      </c>
    </row>
    <row r="190" spans="1:16" ht="19.5" customHeight="1">
      <c r="A190" s="1" t="s">
        <v>22</v>
      </c>
      <c r="B190" s="5">
        <v>45960</v>
      </c>
      <c r="C190" s="1" t="s">
        <v>77</v>
      </c>
      <c r="D190" s="1" t="s">
        <v>944</v>
      </c>
      <c r="E190" s="1" t="s">
        <v>22</v>
      </c>
      <c r="F190" s="1" t="s">
        <v>22</v>
      </c>
      <c r="G190" s="1" t="s">
        <v>1003</v>
      </c>
      <c r="H190" s="6">
        <v>0</v>
      </c>
      <c r="I190" s="7">
        <v>0</v>
      </c>
      <c r="J190" s="5">
        <v>45960</v>
      </c>
      <c r="K190" s="1" t="s">
        <v>22</v>
      </c>
      <c r="L190" s="1" t="s">
        <v>22</v>
      </c>
      <c r="M190" s="8">
        <v>0</v>
      </c>
      <c r="N190" s="6"/>
      <c r="O190" s="6"/>
      <c r="P190" s="9">
        <v>-417.07</v>
      </c>
    </row>
    <row r="191" spans="1:16" ht="19.5" customHeight="1">
      <c r="A191" s="1" t="s">
        <v>22</v>
      </c>
      <c r="B191" s="5">
        <v>45960</v>
      </c>
      <c r="C191" s="1" t="s">
        <v>77</v>
      </c>
      <c r="D191" s="1" t="s">
        <v>944</v>
      </c>
      <c r="E191" s="1" t="s">
        <v>22</v>
      </c>
      <c r="F191" s="1" t="s">
        <v>22</v>
      </c>
      <c r="G191" s="1" t="s">
        <v>1004</v>
      </c>
      <c r="H191" s="6">
        <v>0</v>
      </c>
      <c r="I191" s="7">
        <v>0</v>
      </c>
      <c r="J191" s="5">
        <v>45960</v>
      </c>
      <c r="K191" s="1" t="s">
        <v>22</v>
      </c>
      <c r="L191" s="1" t="s">
        <v>22</v>
      </c>
      <c r="M191" s="8">
        <v>0</v>
      </c>
      <c r="N191" s="6"/>
      <c r="O191" s="6"/>
      <c r="P191" s="9">
        <v>-58.48</v>
      </c>
    </row>
    <row r="192" spans="1:16" ht="19.5" customHeight="1">
      <c r="A192" s="1" t="s">
        <v>22</v>
      </c>
      <c r="B192" s="5">
        <v>45960</v>
      </c>
      <c r="C192" s="1" t="s">
        <v>77</v>
      </c>
      <c r="D192" s="1" t="s">
        <v>944</v>
      </c>
      <c r="E192" s="1" t="s">
        <v>22</v>
      </c>
      <c r="F192" s="1" t="s">
        <v>22</v>
      </c>
      <c r="G192" s="1" t="s">
        <v>1005</v>
      </c>
      <c r="H192" s="6">
        <v>0</v>
      </c>
      <c r="I192" s="7">
        <v>0</v>
      </c>
      <c r="J192" s="5">
        <v>45960</v>
      </c>
      <c r="K192" s="1" t="s">
        <v>22</v>
      </c>
      <c r="L192" s="1" t="s">
        <v>22</v>
      </c>
      <c r="M192" s="8">
        <v>0</v>
      </c>
      <c r="N192" s="6"/>
      <c r="O192" s="6"/>
      <c r="P192" s="9">
        <v>-799.69</v>
      </c>
    </row>
    <row r="193" spans="1:16" ht="19.5" customHeight="1">
      <c r="A193" s="1" t="s">
        <v>1006</v>
      </c>
      <c r="B193" s="5">
        <v>45961</v>
      </c>
      <c r="C193" s="1" t="s">
        <v>28</v>
      </c>
      <c r="D193" s="1" t="s">
        <v>29</v>
      </c>
      <c r="E193" s="1" t="s">
        <v>43</v>
      </c>
      <c r="F193" s="1" t="s">
        <v>44</v>
      </c>
      <c r="G193" s="1" t="s">
        <v>959</v>
      </c>
      <c r="H193" s="6">
        <v>1</v>
      </c>
      <c r="I193" s="7">
        <v>0</v>
      </c>
      <c r="J193" s="5">
        <v>45958</v>
      </c>
      <c r="K193" s="1" t="s">
        <v>957</v>
      </c>
      <c r="L193" s="1" t="s">
        <v>30</v>
      </c>
      <c r="M193" s="8">
        <v>0</v>
      </c>
      <c r="N193" s="6"/>
      <c r="O193" s="6"/>
      <c r="P193" s="9">
        <v>-56</v>
      </c>
    </row>
    <row r="194" spans="1:16" ht="19.5" customHeight="1">
      <c r="A194" s="1" t="s">
        <v>1006</v>
      </c>
      <c r="B194" s="5">
        <v>45961</v>
      </c>
      <c r="C194" s="1" t="s">
        <v>28</v>
      </c>
      <c r="D194" s="1" t="s">
        <v>45</v>
      </c>
      <c r="E194" s="1" t="s">
        <v>43</v>
      </c>
      <c r="F194" s="1" t="s">
        <v>44</v>
      </c>
      <c r="G194" s="1" t="s">
        <v>959</v>
      </c>
      <c r="H194" s="6">
        <v>1</v>
      </c>
      <c r="I194" s="7">
        <v>0</v>
      </c>
      <c r="J194" s="5">
        <v>45958</v>
      </c>
      <c r="K194" s="1" t="s">
        <v>957</v>
      </c>
      <c r="L194" s="1" t="s">
        <v>30</v>
      </c>
      <c r="M194" s="8">
        <v>0</v>
      </c>
      <c r="N194" s="6"/>
      <c r="O194" s="6"/>
      <c r="P194" s="9">
        <v>0</v>
      </c>
    </row>
    <row r="195" spans="1:16" ht="19.5" customHeight="1">
      <c r="A195" s="1" t="s">
        <v>1006</v>
      </c>
      <c r="B195" s="5">
        <v>45961</v>
      </c>
      <c r="C195" s="1" t="s">
        <v>28</v>
      </c>
      <c r="D195" s="1" t="s">
        <v>46</v>
      </c>
      <c r="E195" s="1" t="s">
        <v>43</v>
      </c>
      <c r="F195" s="1" t="s">
        <v>44</v>
      </c>
      <c r="G195" s="1" t="s">
        <v>959</v>
      </c>
      <c r="H195" s="6">
        <v>1</v>
      </c>
      <c r="I195" s="7">
        <v>0</v>
      </c>
      <c r="J195" s="5">
        <v>45958</v>
      </c>
      <c r="K195" s="1" t="s">
        <v>957</v>
      </c>
      <c r="L195" s="1" t="s">
        <v>30</v>
      </c>
      <c r="M195" s="8">
        <v>0</v>
      </c>
      <c r="N195" s="6"/>
      <c r="O195" s="6"/>
      <c r="P195" s="9">
        <v>-56</v>
      </c>
    </row>
    <row r="196" spans="1:16" ht="19.5" customHeight="1">
      <c r="A196" s="1" t="s">
        <v>1007</v>
      </c>
      <c r="B196" s="5">
        <v>45961</v>
      </c>
      <c r="C196" s="1" t="s">
        <v>17</v>
      </c>
      <c r="D196" s="1" t="s">
        <v>18</v>
      </c>
      <c r="E196" s="1" t="s">
        <v>222</v>
      </c>
      <c r="F196" s="1" t="s">
        <v>412</v>
      </c>
      <c r="G196" s="1" t="s">
        <v>21</v>
      </c>
      <c r="H196" s="6">
        <v>1</v>
      </c>
      <c r="I196" s="7">
        <v>0</v>
      </c>
      <c r="J196" s="5">
        <v>45961</v>
      </c>
      <c r="K196" s="1" t="s">
        <v>22</v>
      </c>
      <c r="L196" s="1" t="s">
        <v>22</v>
      </c>
      <c r="M196" s="8">
        <v>0</v>
      </c>
      <c r="N196" s="6"/>
      <c r="O196" s="6"/>
      <c r="P196" s="9">
        <v>-8.57</v>
      </c>
    </row>
    <row r="197" spans="1:16" ht="19.5" customHeight="1">
      <c r="A197" s="1" t="s">
        <v>1008</v>
      </c>
      <c r="B197" s="5">
        <v>45961</v>
      </c>
      <c r="C197" s="1" t="s">
        <v>28</v>
      </c>
      <c r="D197" s="1" t="s">
        <v>29</v>
      </c>
      <c r="E197" s="1" t="s">
        <v>25</v>
      </c>
      <c r="F197" s="1" t="s">
        <v>26</v>
      </c>
      <c r="G197" s="1" t="s">
        <v>21</v>
      </c>
      <c r="H197" s="6">
        <v>1</v>
      </c>
      <c r="I197" s="7">
        <v>1117</v>
      </c>
      <c r="J197" s="5">
        <v>45955</v>
      </c>
      <c r="K197" s="1" t="s">
        <v>957</v>
      </c>
      <c r="L197" s="1" t="s">
        <v>30</v>
      </c>
      <c r="M197" s="8">
        <v>0.34</v>
      </c>
      <c r="N197" s="6"/>
      <c r="O197" s="6"/>
      <c r="P197" s="9">
        <v>-46</v>
      </c>
    </row>
    <row r="198" spans="1:16" ht="19.5" customHeight="1">
      <c r="A198" s="1" t="s">
        <v>1008</v>
      </c>
      <c r="B198" s="5">
        <v>45961</v>
      </c>
      <c r="C198" s="1" t="s">
        <v>31</v>
      </c>
      <c r="D198" s="1" t="s">
        <v>32</v>
      </c>
      <c r="E198" s="1" t="s">
        <v>25</v>
      </c>
      <c r="F198" s="1" t="s">
        <v>26</v>
      </c>
      <c r="G198" s="1" t="s">
        <v>21</v>
      </c>
      <c r="H198" s="6">
        <v>1</v>
      </c>
      <c r="I198" s="7">
        <v>1117</v>
      </c>
      <c r="J198" s="5">
        <v>45955</v>
      </c>
      <c r="K198" s="1" t="s">
        <v>957</v>
      </c>
      <c r="L198" s="1" t="s">
        <v>30</v>
      </c>
      <c r="M198" s="8">
        <v>0</v>
      </c>
      <c r="N198" s="6"/>
      <c r="O198" s="6"/>
      <c r="P198" s="9">
        <v>656.19</v>
      </c>
    </row>
    <row r="199" spans="1:16" ht="19.5" customHeight="1">
      <c r="A199" s="1" t="s">
        <v>1008</v>
      </c>
      <c r="B199" s="5">
        <v>45961</v>
      </c>
      <c r="C199" s="1" t="s">
        <v>31</v>
      </c>
      <c r="D199" s="1" t="s">
        <v>33</v>
      </c>
      <c r="E199" s="1" t="s">
        <v>25</v>
      </c>
      <c r="F199" s="1" t="s">
        <v>26</v>
      </c>
      <c r="G199" s="1" t="s">
        <v>21</v>
      </c>
      <c r="H199" s="6">
        <v>1</v>
      </c>
      <c r="I199" s="7">
        <v>1117</v>
      </c>
      <c r="J199" s="5">
        <v>45955</v>
      </c>
      <c r="K199" s="1" t="s">
        <v>957</v>
      </c>
      <c r="L199" s="1" t="s">
        <v>30</v>
      </c>
      <c r="M199" s="8">
        <v>0</v>
      </c>
      <c r="N199" s="6"/>
      <c r="O199" s="6"/>
      <c r="P199" s="9">
        <v>6.56</v>
      </c>
    </row>
    <row r="200" spans="1:16" ht="19.5" customHeight="1">
      <c r="A200" s="1" t="s">
        <v>1008</v>
      </c>
      <c r="B200" s="5">
        <v>45961</v>
      </c>
      <c r="C200" s="1" t="s">
        <v>31</v>
      </c>
      <c r="D200" s="1" t="s">
        <v>34</v>
      </c>
      <c r="E200" s="1" t="s">
        <v>25</v>
      </c>
      <c r="F200" s="1" t="s">
        <v>26</v>
      </c>
      <c r="G200" s="1" t="s">
        <v>21</v>
      </c>
      <c r="H200" s="6">
        <v>1</v>
      </c>
      <c r="I200" s="7">
        <v>1117</v>
      </c>
      <c r="J200" s="5">
        <v>45955</v>
      </c>
      <c r="K200" s="1" t="s">
        <v>957</v>
      </c>
      <c r="L200" s="1" t="s">
        <v>30</v>
      </c>
      <c r="M200" s="8">
        <v>0</v>
      </c>
      <c r="N200" s="6"/>
      <c r="O200" s="6"/>
      <c r="P200" s="9">
        <v>454.25</v>
      </c>
    </row>
    <row r="201" spans="1:16" ht="19.5" customHeight="1">
      <c r="A201" s="1" t="s">
        <v>1008</v>
      </c>
      <c r="B201" s="5">
        <v>45961</v>
      </c>
      <c r="C201" s="1" t="s">
        <v>35</v>
      </c>
      <c r="D201" s="1" t="s">
        <v>36</v>
      </c>
      <c r="E201" s="1" t="s">
        <v>25</v>
      </c>
      <c r="F201" s="1" t="s">
        <v>26</v>
      </c>
      <c r="G201" s="1" t="s">
        <v>21</v>
      </c>
      <c r="H201" s="6">
        <v>1</v>
      </c>
      <c r="I201" s="7">
        <v>1117</v>
      </c>
      <c r="J201" s="5">
        <v>45955</v>
      </c>
      <c r="K201" s="1" t="s">
        <v>957</v>
      </c>
      <c r="L201" s="1" t="s">
        <v>30</v>
      </c>
      <c r="M201" s="8">
        <v>0.34</v>
      </c>
      <c r="N201" s="6"/>
      <c r="O201" s="6"/>
      <c r="P201" s="9">
        <v>-379.78</v>
      </c>
    </row>
    <row r="202" spans="1:16" ht="19.5" customHeight="1">
      <c r="A202" s="1" t="s">
        <v>1008</v>
      </c>
      <c r="B202" s="5">
        <v>45961</v>
      </c>
      <c r="C202" s="1" t="s">
        <v>17</v>
      </c>
      <c r="D202" s="1" t="s">
        <v>37</v>
      </c>
      <c r="E202" s="1" t="s">
        <v>25</v>
      </c>
      <c r="F202" s="1" t="s">
        <v>26</v>
      </c>
      <c r="G202" s="1" t="s">
        <v>21</v>
      </c>
      <c r="H202" s="6">
        <v>1</v>
      </c>
      <c r="I202" s="7">
        <v>1117</v>
      </c>
      <c r="J202" s="5">
        <v>45955</v>
      </c>
      <c r="K202" s="1" t="s">
        <v>957</v>
      </c>
      <c r="L202" s="1" t="s">
        <v>30</v>
      </c>
      <c r="M202" s="8">
        <v>0.34</v>
      </c>
      <c r="N202" s="6"/>
      <c r="O202" s="6"/>
      <c r="P202" s="9">
        <v>-5.17</v>
      </c>
    </row>
    <row r="203" spans="1:16" ht="19.5" customHeight="1">
      <c r="A203" s="1" t="s">
        <v>974</v>
      </c>
      <c r="B203" s="5">
        <v>45961</v>
      </c>
      <c r="C203" s="1" t="s">
        <v>28</v>
      </c>
      <c r="D203" s="1" t="s">
        <v>29</v>
      </c>
      <c r="E203" s="1" t="s">
        <v>239</v>
      </c>
      <c r="F203" s="1" t="s">
        <v>733</v>
      </c>
      <c r="G203" s="1" t="s">
        <v>959</v>
      </c>
      <c r="H203" s="6">
        <v>1</v>
      </c>
      <c r="I203" s="7">
        <v>0</v>
      </c>
      <c r="J203" s="5">
        <v>45955</v>
      </c>
      <c r="K203" s="1" t="s">
        <v>957</v>
      </c>
      <c r="L203" s="1" t="s">
        <v>30</v>
      </c>
      <c r="M203" s="8">
        <v>0</v>
      </c>
      <c r="N203" s="6"/>
      <c r="O203" s="6"/>
      <c r="P203" s="9">
        <v>-56</v>
      </c>
    </row>
    <row r="204" spans="1:16" ht="19.5" customHeight="1">
      <c r="A204" s="1" t="s">
        <v>974</v>
      </c>
      <c r="B204" s="5">
        <v>45961</v>
      </c>
      <c r="C204" s="1" t="s">
        <v>17</v>
      </c>
      <c r="D204" s="1" t="s">
        <v>37</v>
      </c>
      <c r="E204" s="1" t="s">
        <v>239</v>
      </c>
      <c r="F204" s="1" t="s">
        <v>733</v>
      </c>
      <c r="G204" s="1" t="s">
        <v>959</v>
      </c>
      <c r="H204" s="6">
        <v>1</v>
      </c>
      <c r="I204" s="7">
        <v>0</v>
      </c>
      <c r="J204" s="5">
        <v>45955</v>
      </c>
      <c r="K204" s="1" t="s">
        <v>957</v>
      </c>
      <c r="L204" s="1" t="s">
        <v>30</v>
      </c>
      <c r="M204" s="8">
        <v>0</v>
      </c>
      <c r="N204" s="6"/>
      <c r="O204" s="6"/>
      <c r="P204" s="9">
        <v>-13.26</v>
      </c>
    </row>
    <row r="205" spans="1:16" ht="19.5" customHeight="1">
      <c r="A205" s="1" t="s">
        <v>974</v>
      </c>
      <c r="B205" s="5">
        <v>45961</v>
      </c>
      <c r="C205" s="1" t="s">
        <v>28</v>
      </c>
      <c r="D205" s="1" t="s">
        <v>45</v>
      </c>
      <c r="E205" s="1" t="s">
        <v>239</v>
      </c>
      <c r="F205" s="1" t="s">
        <v>733</v>
      </c>
      <c r="G205" s="1" t="s">
        <v>959</v>
      </c>
      <c r="H205" s="6">
        <v>1</v>
      </c>
      <c r="I205" s="7">
        <v>0</v>
      </c>
      <c r="J205" s="5">
        <v>45955</v>
      </c>
      <c r="K205" s="1" t="s">
        <v>957</v>
      </c>
      <c r="L205" s="1" t="s">
        <v>30</v>
      </c>
      <c r="M205" s="8">
        <v>0</v>
      </c>
      <c r="N205" s="6"/>
      <c r="O205" s="6"/>
      <c r="P205" s="9">
        <v>0</v>
      </c>
    </row>
    <row r="206" spans="1:16" ht="19.5" customHeight="1">
      <c r="A206" s="1" t="s">
        <v>974</v>
      </c>
      <c r="B206" s="5">
        <v>45961</v>
      </c>
      <c r="C206" s="1" t="s">
        <v>28</v>
      </c>
      <c r="D206" s="1" t="s">
        <v>46</v>
      </c>
      <c r="E206" s="1" t="s">
        <v>239</v>
      </c>
      <c r="F206" s="1" t="s">
        <v>733</v>
      </c>
      <c r="G206" s="1" t="s">
        <v>959</v>
      </c>
      <c r="H206" s="6">
        <v>1</v>
      </c>
      <c r="I206" s="7">
        <v>0</v>
      </c>
      <c r="J206" s="5">
        <v>45955</v>
      </c>
      <c r="K206" s="1" t="s">
        <v>957</v>
      </c>
      <c r="L206" s="1" t="s">
        <v>30</v>
      </c>
      <c r="M206" s="8">
        <v>0</v>
      </c>
      <c r="N206" s="6"/>
      <c r="O206" s="6"/>
      <c r="P206" s="9">
        <v>-56</v>
      </c>
    </row>
    <row r="207" spans="1:16" ht="19.5" customHeight="1">
      <c r="A207" s="1" t="s">
        <v>974</v>
      </c>
      <c r="B207" s="5">
        <v>45961</v>
      </c>
      <c r="C207" s="1" t="s">
        <v>17</v>
      </c>
      <c r="D207" s="1" t="s">
        <v>47</v>
      </c>
      <c r="E207" s="1" t="s">
        <v>239</v>
      </c>
      <c r="F207" s="1" t="s">
        <v>733</v>
      </c>
      <c r="G207" s="1" t="s">
        <v>959</v>
      </c>
      <c r="H207" s="6">
        <v>1</v>
      </c>
      <c r="I207" s="7">
        <v>0</v>
      </c>
      <c r="J207" s="5">
        <v>45955</v>
      </c>
      <c r="K207" s="1" t="s">
        <v>957</v>
      </c>
      <c r="L207" s="1" t="s">
        <v>30</v>
      </c>
      <c r="M207" s="8">
        <v>0</v>
      </c>
      <c r="N207" s="6"/>
      <c r="O207" s="6"/>
      <c r="P207" s="9">
        <v>-15</v>
      </c>
    </row>
    <row r="208" spans="1:16" ht="19.5" customHeight="1">
      <c r="A208" s="1" t="s">
        <v>1009</v>
      </c>
      <c r="B208" s="5">
        <v>45961</v>
      </c>
      <c r="C208" s="1" t="s">
        <v>28</v>
      </c>
      <c r="D208" s="1" t="s">
        <v>29</v>
      </c>
      <c r="E208" s="1" t="s">
        <v>239</v>
      </c>
      <c r="F208" s="1" t="s">
        <v>733</v>
      </c>
      <c r="G208" s="1" t="s">
        <v>959</v>
      </c>
      <c r="H208" s="6">
        <v>1</v>
      </c>
      <c r="I208" s="7">
        <v>4548</v>
      </c>
      <c r="J208" s="5">
        <v>45958</v>
      </c>
      <c r="K208" s="1" t="s">
        <v>957</v>
      </c>
      <c r="L208" s="1" t="s">
        <v>30</v>
      </c>
      <c r="M208" s="8">
        <v>0.38</v>
      </c>
      <c r="N208" s="6"/>
      <c r="O208" s="6"/>
      <c r="P208" s="9">
        <v>-56</v>
      </c>
    </row>
    <row r="209" spans="1:16" ht="19.5" customHeight="1">
      <c r="A209" s="1" t="s">
        <v>1009</v>
      </c>
      <c r="B209" s="5">
        <v>45961</v>
      </c>
      <c r="C209" s="1" t="s">
        <v>31</v>
      </c>
      <c r="D209" s="1" t="s">
        <v>32</v>
      </c>
      <c r="E209" s="1" t="s">
        <v>239</v>
      </c>
      <c r="F209" s="1" t="s">
        <v>733</v>
      </c>
      <c r="G209" s="1" t="s">
        <v>959</v>
      </c>
      <c r="H209" s="6">
        <v>1</v>
      </c>
      <c r="I209" s="7">
        <v>4548</v>
      </c>
      <c r="J209" s="5">
        <v>45958</v>
      </c>
      <c r="K209" s="1" t="s">
        <v>957</v>
      </c>
      <c r="L209" s="1" t="s">
        <v>30</v>
      </c>
      <c r="M209" s="8">
        <v>0</v>
      </c>
      <c r="N209" s="6"/>
      <c r="O209" s="6"/>
      <c r="P209" s="9">
        <v>2520</v>
      </c>
    </row>
    <row r="210" spans="1:16" ht="19.5" customHeight="1">
      <c r="A210" s="1" t="s">
        <v>1009</v>
      </c>
      <c r="B210" s="5">
        <v>45961</v>
      </c>
      <c r="C210" s="1" t="s">
        <v>31</v>
      </c>
      <c r="D210" s="1" t="s">
        <v>33</v>
      </c>
      <c r="E210" s="1" t="s">
        <v>239</v>
      </c>
      <c r="F210" s="1" t="s">
        <v>733</v>
      </c>
      <c r="G210" s="1" t="s">
        <v>959</v>
      </c>
      <c r="H210" s="6">
        <v>1</v>
      </c>
      <c r="I210" s="7">
        <v>4548</v>
      </c>
      <c r="J210" s="5">
        <v>45958</v>
      </c>
      <c r="K210" s="1" t="s">
        <v>957</v>
      </c>
      <c r="L210" s="1" t="s">
        <v>30</v>
      </c>
      <c r="M210" s="8">
        <v>0</v>
      </c>
      <c r="N210" s="6"/>
      <c r="O210" s="6"/>
      <c r="P210" s="9">
        <v>25.2</v>
      </c>
    </row>
    <row r="211" spans="1:16" ht="19.5" customHeight="1">
      <c r="A211" s="1" t="s">
        <v>1009</v>
      </c>
      <c r="B211" s="5">
        <v>45961</v>
      </c>
      <c r="C211" s="1" t="s">
        <v>31</v>
      </c>
      <c r="D211" s="1" t="s">
        <v>34</v>
      </c>
      <c r="E211" s="1" t="s">
        <v>239</v>
      </c>
      <c r="F211" s="1" t="s">
        <v>733</v>
      </c>
      <c r="G211" s="1" t="s">
        <v>959</v>
      </c>
      <c r="H211" s="6">
        <v>1</v>
      </c>
      <c r="I211" s="7">
        <v>4548</v>
      </c>
      <c r="J211" s="5">
        <v>45958</v>
      </c>
      <c r="K211" s="1" t="s">
        <v>957</v>
      </c>
      <c r="L211" s="1" t="s">
        <v>30</v>
      </c>
      <c r="M211" s="8">
        <v>0</v>
      </c>
      <c r="N211" s="6"/>
      <c r="O211" s="6"/>
      <c r="P211" s="9">
        <v>2002.8</v>
      </c>
    </row>
    <row r="212" spans="1:16" ht="19.5" customHeight="1">
      <c r="A212" s="1" t="s">
        <v>1009</v>
      </c>
      <c r="B212" s="5">
        <v>45961</v>
      </c>
      <c r="C212" s="1" t="s">
        <v>35</v>
      </c>
      <c r="D212" s="1" t="s">
        <v>36</v>
      </c>
      <c r="E212" s="1" t="s">
        <v>239</v>
      </c>
      <c r="F212" s="1" t="s">
        <v>733</v>
      </c>
      <c r="G212" s="1" t="s">
        <v>959</v>
      </c>
      <c r="H212" s="6">
        <v>1</v>
      </c>
      <c r="I212" s="7">
        <v>4548</v>
      </c>
      <c r="J212" s="5">
        <v>45958</v>
      </c>
      <c r="K212" s="1" t="s">
        <v>957</v>
      </c>
      <c r="L212" s="1" t="s">
        <v>30</v>
      </c>
      <c r="M212" s="8">
        <v>0.38</v>
      </c>
      <c r="N212" s="6"/>
      <c r="O212" s="6"/>
      <c r="P212" s="9">
        <v>-1728.24</v>
      </c>
    </row>
    <row r="213" spans="1:16" ht="19.5" customHeight="1">
      <c r="A213" s="1" t="s">
        <v>1010</v>
      </c>
      <c r="B213" s="5">
        <v>45961</v>
      </c>
      <c r="C213" s="1" t="s">
        <v>28</v>
      </c>
      <c r="D213" s="1" t="s">
        <v>29</v>
      </c>
      <c r="E213" s="1" t="s">
        <v>239</v>
      </c>
      <c r="F213" s="1" t="s">
        <v>733</v>
      </c>
      <c r="G213" s="1" t="s">
        <v>959</v>
      </c>
      <c r="H213" s="6">
        <v>1</v>
      </c>
      <c r="I213" s="7">
        <v>4548</v>
      </c>
      <c r="J213" s="5">
        <v>45960</v>
      </c>
      <c r="K213" s="1" t="s">
        <v>957</v>
      </c>
      <c r="L213" s="1" t="s">
        <v>30</v>
      </c>
      <c r="M213" s="8">
        <v>0.38</v>
      </c>
      <c r="N213" s="6"/>
      <c r="O213" s="6"/>
      <c r="P213" s="9">
        <v>-56</v>
      </c>
    </row>
    <row r="214" spans="1:16" ht="19.5" customHeight="1">
      <c r="A214" s="1" t="s">
        <v>1010</v>
      </c>
      <c r="B214" s="5">
        <v>45961</v>
      </c>
      <c r="C214" s="1" t="s">
        <v>31</v>
      </c>
      <c r="D214" s="1" t="s">
        <v>32</v>
      </c>
      <c r="E214" s="1" t="s">
        <v>239</v>
      </c>
      <c r="F214" s="1" t="s">
        <v>733</v>
      </c>
      <c r="G214" s="1" t="s">
        <v>959</v>
      </c>
      <c r="H214" s="6">
        <v>1</v>
      </c>
      <c r="I214" s="7">
        <v>4548</v>
      </c>
      <c r="J214" s="5">
        <v>45960</v>
      </c>
      <c r="K214" s="1" t="s">
        <v>957</v>
      </c>
      <c r="L214" s="1" t="s">
        <v>30</v>
      </c>
      <c r="M214" s="8">
        <v>0</v>
      </c>
      <c r="N214" s="6"/>
      <c r="O214" s="6"/>
      <c r="P214" s="9">
        <v>2438.86</v>
      </c>
    </row>
    <row r="215" spans="1:16" ht="19.5" customHeight="1">
      <c r="A215" s="1" t="s">
        <v>1010</v>
      </c>
      <c r="B215" s="5">
        <v>45961</v>
      </c>
      <c r="C215" s="1" t="s">
        <v>31</v>
      </c>
      <c r="D215" s="1" t="s">
        <v>33</v>
      </c>
      <c r="E215" s="1" t="s">
        <v>239</v>
      </c>
      <c r="F215" s="1" t="s">
        <v>733</v>
      </c>
      <c r="G215" s="1" t="s">
        <v>959</v>
      </c>
      <c r="H215" s="6">
        <v>1</v>
      </c>
      <c r="I215" s="7">
        <v>4548</v>
      </c>
      <c r="J215" s="5">
        <v>45960</v>
      </c>
      <c r="K215" s="1" t="s">
        <v>957</v>
      </c>
      <c r="L215" s="1" t="s">
        <v>30</v>
      </c>
      <c r="M215" s="8">
        <v>0</v>
      </c>
      <c r="N215" s="6"/>
      <c r="O215" s="6"/>
      <c r="P215" s="9">
        <v>24.39</v>
      </c>
    </row>
    <row r="216" spans="1:16" ht="19.5" customHeight="1">
      <c r="A216" s="1" t="s">
        <v>1010</v>
      </c>
      <c r="B216" s="5">
        <v>45961</v>
      </c>
      <c r="C216" s="1" t="s">
        <v>31</v>
      </c>
      <c r="D216" s="1" t="s">
        <v>34</v>
      </c>
      <c r="E216" s="1" t="s">
        <v>239</v>
      </c>
      <c r="F216" s="1" t="s">
        <v>733</v>
      </c>
      <c r="G216" s="1" t="s">
        <v>959</v>
      </c>
      <c r="H216" s="6">
        <v>1</v>
      </c>
      <c r="I216" s="7">
        <v>4548</v>
      </c>
      <c r="J216" s="5">
        <v>45960</v>
      </c>
      <c r="K216" s="1" t="s">
        <v>957</v>
      </c>
      <c r="L216" s="1" t="s">
        <v>30</v>
      </c>
      <c r="M216" s="8">
        <v>0</v>
      </c>
      <c r="N216" s="6"/>
      <c r="O216" s="6"/>
      <c r="P216" s="9">
        <v>2084.75</v>
      </c>
    </row>
    <row r="217" spans="1:16" ht="19.5" customHeight="1">
      <c r="A217" s="1" t="s">
        <v>1010</v>
      </c>
      <c r="B217" s="5">
        <v>45961</v>
      </c>
      <c r="C217" s="1" t="s">
        <v>35</v>
      </c>
      <c r="D217" s="1" t="s">
        <v>36</v>
      </c>
      <c r="E217" s="1" t="s">
        <v>239</v>
      </c>
      <c r="F217" s="1" t="s">
        <v>733</v>
      </c>
      <c r="G217" s="1" t="s">
        <v>959</v>
      </c>
      <c r="H217" s="6">
        <v>1</v>
      </c>
      <c r="I217" s="7">
        <v>4548</v>
      </c>
      <c r="J217" s="5">
        <v>45960</v>
      </c>
      <c r="K217" s="1" t="s">
        <v>957</v>
      </c>
      <c r="L217" s="1" t="s">
        <v>30</v>
      </c>
      <c r="M217" s="8">
        <v>0.38</v>
      </c>
      <c r="N217" s="6"/>
      <c r="O217" s="6"/>
      <c r="P217" s="9">
        <v>-1728.24</v>
      </c>
    </row>
    <row r="218" spans="1:16" ht="19.5" customHeight="1">
      <c r="A218" s="1" t="s">
        <v>1010</v>
      </c>
      <c r="B218" s="5">
        <v>45961</v>
      </c>
      <c r="C218" s="1" t="s">
        <v>17</v>
      </c>
      <c r="D218" s="1" t="s">
        <v>37</v>
      </c>
      <c r="E218" s="1" t="s">
        <v>239</v>
      </c>
      <c r="F218" s="1" t="s">
        <v>733</v>
      </c>
      <c r="G218" s="1" t="s">
        <v>959</v>
      </c>
      <c r="H218" s="6">
        <v>1</v>
      </c>
      <c r="I218" s="7">
        <v>4548</v>
      </c>
      <c r="J218" s="5">
        <v>45960</v>
      </c>
      <c r="K218" s="1" t="s">
        <v>957</v>
      </c>
      <c r="L218" s="1" t="s">
        <v>30</v>
      </c>
      <c r="M218" s="8">
        <v>0.38</v>
      </c>
      <c r="N218" s="6"/>
      <c r="O218" s="6"/>
      <c r="P218" s="9">
        <v>-11.95</v>
      </c>
    </row>
    <row r="219" spans="1:16" ht="19.5" customHeight="1">
      <c r="A219" s="1" t="s">
        <v>1011</v>
      </c>
      <c r="B219" s="5">
        <v>45961</v>
      </c>
      <c r="C219" s="1" t="s">
        <v>28</v>
      </c>
      <c r="D219" s="1" t="s">
        <v>29</v>
      </c>
      <c r="E219" s="1" t="s">
        <v>235</v>
      </c>
      <c r="F219" s="1" t="s">
        <v>528</v>
      </c>
      <c r="G219" s="1" t="s">
        <v>959</v>
      </c>
      <c r="H219" s="6">
        <v>1</v>
      </c>
      <c r="I219" s="7">
        <v>5500</v>
      </c>
      <c r="J219" s="5">
        <v>45959</v>
      </c>
      <c r="K219" s="1" t="s">
        <v>957</v>
      </c>
      <c r="L219" s="1" t="s">
        <v>30</v>
      </c>
      <c r="M219" s="8">
        <v>0.38</v>
      </c>
      <c r="N219" s="6"/>
      <c r="O219" s="6"/>
      <c r="P219" s="9">
        <v>-56</v>
      </c>
    </row>
    <row r="220" spans="1:16" ht="19.5" customHeight="1">
      <c r="A220" s="1" t="s">
        <v>1011</v>
      </c>
      <c r="B220" s="5">
        <v>45961</v>
      </c>
      <c r="C220" s="1" t="s">
        <v>31</v>
      </c>
      <c r="D220" s="1" t="s">
        <v>32</v>
      </c>
      <c r="E220" s="1" t="s">
        <v>235</v>
      </c>
      <c r="F220" s="1" t="s">
        <v>528</v>
      </c>
      <c r="G220" s="1" t="s">
        <v>959</v>
      </c>
      <c r="H220" s="6">
        <v>1</v>
      </c>
      <c r="I220" s="7">
        <v>5500</v>
      </c>
      <c r="J220" s="5">
        <v>45959</v>
      </c>
      <c r="K220" s="1" t="s">
        <v>957</v>
      </c>
      <c r="L220" s="1" t="s">
        <v>30</v>
      </c>
      <c r="M220" s="8">
        <v>0</v>
      </c>
      <c r="N220" s="6"/>
      <c r="O220" s="6"/>
      <c r="P220" s="9">
        <v>2857.14</v>
      </c>
    </row>
    <row r="221" spans="1:16" ht="19.5" customHeight="1">
      <c r="A221" s="1" t="s">
        <v>1011</v>
      </c>
      <c r="B221" s="5">
        <v>45961</v>
      </c>
      <c r="C221" s="1" t="s">
        <v>31</v>
      </c>
      <c r="D221" s="1" t="s">
        <v>33</v>
      </c>
      <c r="E221" s="1" t="s">
        <v>235</v>
      </c>
      <c r="F221" s="1" t="s">
        <v>528</v>
      </c>
      <c r="G221" s="1" t="s">
        <v>959</v>
      </c>
      <c r="H221" s="6">
        <v>1</v>
      </c>
      <c r="I221" s="7">
        <v>5500</v>
      </c>
      <c r="J221" s="5">
        <v>45959</v>
      </c>
      <c r="K221" s="1" t="s">
        <v>957</v>
      </c>
      <c r="L221" s="1" t="s">
        <v>30</v>
      </c>
      <c r="M221" s="8">
        <v>0</v>
      </c>
      <c r="N221" s="6"/>
      <c r="O221" s="6"/>
      <c r="P221" s="9">
        <v>28.57</v>
      </c>
    </row>
    <row r="222" spans="1:16" ht="19.5" customHeight="1">
      <c r="A222" s="1" t="s">
        <v>1011</v>
      </c>
      <c r="B222" s="5">
        <v>45961</v>
      </c>
      <c r="C222" s="1" t="s">
        <v>31</v>
      </c>
      <c r="D222" s="1" t="s">
        <v>34</v>
      </c>
      <c r="E222" s="1" t="s">
        <v>235</v>
      </c>
      <c r="F222" s="1" t="s">
        <v>528</v>
      </c>
      <c r="G222" s="1" t="s">
        <v>959</v>
      </c>
      <c r="H222" s="6">
        <v>1</v>
      </c>
      <c r="I222" s="7">
        <v>5500</v>
      </c>
      <c r="J222" s="5">
        <v>45959</v>
      </c>
      <c r="K222" s="1" t="s">
        <v>957</v>
      </c>
      <c r="L222" s="1" t="s">
        <v>30</v>
      </c>
      <c r="M222" s="8">
        <v>0</v>
      </c>
      <c r="N222" s="6"/>
      <c r="O222" s="6"/>
      <c r="P222" s="9">
        <v>2614.29</v>
      </c>
    </row>
    <row r="223" spans="1:16" ht="19.5" customHeight="1">
      <c r="A223" s="1" t="s">
        <v>1011</v>
      </c>
      <c r="B223" s="5">
        <v>45961</v>
      </c>
      <c r="C223" s="1" t="s">
        <v>35</v>
      </c>
      <c r="D223" s="1" t="s">
        <v>36</v>
      </c>
      <c r="E223" s="1" t="s">
        <v>235</v>
      </c>
      <c r="F223" s="1" t="s">
        <v>528</v>
      </c>
      <c r="G223" s="1" t="s">
        <v>959</v>
      </c>
      <c r="H223" s="6">
        <v>1</v>
      </c>
      <c r="I223" s="7">
        <v>5500</v>
      </c>
      <c r="J223" s="5">
        <v>45959</v>
      </c>
      <c r="K223" s="1" t="s">
        <v>957</v>
      </c>
      <c r="L223" s="1" t="s">
        <v>30</v>
      </c>
      <c r="M223" s="8">
        <v>0.38</v>
      </c>
      <c r="N223" s="6"/>
      <c r="O223" s="6"/>
      <c r="P223" s="9">
        <v>-2090</v>
      </c>
    </row>
    <row r="224" spans="1:16" ht="19.5" customHeight="1">
      <c r="A224" s="1" t="s">
        <v>1011</v>
      </c>
      <c r="B224" s="5">
        <v>45961</v>
      </c>
      <c r="C224" s="1" t="s">
        <v>17</v>
      </c>
      <c r="D224" s="1" t="s">
        <v>37</v>
      </c>
      <c r="E224" s="1" t="s">
        <v>235</v>
      </c>
      <c r="F224" s="1" t="s">
        <v>528</v>
      </c>
      <c r="G224" s="1" t="s">
        <v>959</v>
      </c>
      <c r="H224" s="6">
        <v>1</v>
      </c>
      <c r="I224" s="7">
        <v>5500</v>
      </c>
      <c r="J224" s="5">
        <v>45959</v>
      </c>
      <c r="K224" s="1" t="s">
        <v>957</v>
      </c>
      <c r="L224" s="1" t="s">
        <v>30</v>
      </c>
      <c r="M224" s="8">
        <v>0.38</v>
      </c>
      <c r="N224" s="6"/>
      <c r="O224" s="6"/>
      <c r="P224" s="9">
        <v>-15.52</v>
      </c>
    </row>
    <row r="225" spans="1:16" ht="19.5" customHeight="1">
      <c r="A225" s="1" t="s">
        <v>1011</v>
      </c>
      <c r="B225" s="5">
        <v>45961</v>
      </c>
      <c r="C225" s="1" t="s">
        <v>17</v>
      </c>
      <c r="D225" s="1" t="s">
        <v>18</v>
      </c>
      <c r="E225" s="1" t="s">
        <v>235</v>
      </c>
      <c r="F225" s="1" t="s">
        <v>528</v>
      </c>
      <c r="G225" s="1" t="s">
        <v>959</v>
      </c>
      <c r="H225" s="6">
        <v>1</v>
      </c>
      <c r="I225" s="7">
        <v>0</v>
      </c>
      <c r="J225" s="5">
        <v>45959</v>
      </c>
      <c r="K225" s="1" t="s">
        <v>22</v>
      </c>
      <c r="L225" s="1" t="s">
        <v>22</v>
      </c>
      <c r="M225" s="8">
        <v>0</v>
      </c>
      <c r="N225" s="6"/>
      <c r="O225" s="6"/>
      <c r="P225" s="9">
        <v>-54.29</v>
      </c>
    </row>
    <row r="226" spans="1:16" ht="19.5" customHeight="1">
      <c r="A226" s="1" t="s">
        <v>1012</v>
      </c>
      <c r="B226" s="5">
        <v>45961</v>
      </c>
      <c r="C226" s="1" t="s">
        <v>17</v>
      </c>
      <c r="D226" s="1" t="s">
        <v>18</v>
      </c>
      <c r="E226" s="1" t="s">
        <v>227</v>
      </c>
      <c r="F226" s="1" t="s">
        <v>402</v>
      </c>
      <c r="G226" s="1" t="s">
        <v>21</v>
      </c>
      <c r="H226" s="6">
        <v>1</v>
      </c>
      <c r="I226" s="7">
        <v>0</v>
      </c>
      <c r="J226" s="5">
        <v>45961</v>
      </c>
      <c r="K226" s="1" t="s">
        <v>22</v>
      </c>
      <c r="L226" s="1" t="s">
        <v>22</v>
      </c>
      <c r="M226" s="8">
        <v>0</v>
      </c>
      <c r="N226" s="6"/>
      <c r="O226" s="6"/>
      <c r="P226" s="9">
        <v>-6.03</v>
      </c>
    </row>
    <row r="227" spans="1:16" ht="19.5" customHeight="1">
      <c r="A227" s="1" t="s">
        <v>1013</v>
      </c>
      <c r="B227" s="5">
        <v>45961</v>
      </c>
      <c r="C227" s="1" t="s">
        <v>17</v>
      </c>
      <c r="D227" s="1" t="s">
        <v>18</v>
      </c>
      <c r="E227" s="1" t="s">
        <v>223</v>
      </c>
      <c r="F227" s="1" t="s">
        <v>395</v>
      </c>
      <c r="G227" s="1" t="s">
        <v>21</v>
      </c>
      <c r="H227" s="6">
        <v>1</v>
      </c>
      <c r="I227" s="7">
        <v>0</v>
      </c>
      <c r="J227" s="5">
        <v>45961</v>
      </c>
      <c r="K227" s="1" t="s">
        <v>22</v>
      </c>
      <c r="L227" s="1" t="s">
        <v>22</v>
      </c>
      <c r="M227" s="8">
        <v>0</v>
      </c>
      <c r="N227" s="6"/>
      <c r="O227" s="6"/>
      <c r="P227" s="9">
        <v>-10.02</v>
      </c>
    </row>
    <row r="228" spans="1:16" ht="19.5" customHeight="1">
      <c r="A228" s="1" t="s">
        <v>22</v>
      </c>
      <c r="B228" s="5">
        <v>45961</v>
      </c>
      <c r="C228" s="1" t="s">
        <v>77</v>
      </c>
      <c r="D228" s="1" t="s">
        <v>78</v>
      </c>
      <c r="E228" s="1" t="s">
        <v>22</v>
      </c>
      <c r="F228" s="1" t="s">
        <v>22</v>
      </c>
      <c r="G228" s="1" t="s">
        <v>1014</v>
      </c>
      <c r="H228" s="6">
        <v>0</v>
      </c>
      <c r="I228" s="7">
        <v>0</v>
      </c>
      <c r="J228" s="5">
        <v>45961</v>
      </c>
      <c r="K228" s="1" t="s">
        <v>22</v>
      </c>
      <c r="L228" s="1" t="s">
        <v>22</v>
      </c>
      <c r="M228" s="8">
        <v>0</v>
      </c>
      <c r="N228" s="6"/>
      <c r="O228" s="6"/>
      <c r="P228" s="9">
        <v>-200</v>
      </c>
    </row>
    <row r="229" spans="1:16" ht="19.5" customHeight="1">
      <c r="A229" s="1" t="s">
        <v>1015</v>
      </c>
      <c r="B229" s="5">
        <v>45961</v>
      </c>
      <c r="C229" s="1" t="s">
        <v>28</v>
      </c>
      <c r="D229" s="1" t="s">
        <v>29</v>
      </c>
      <c r="E229" s="1" t="s">
        <v>227</v>
      </c>
      <c r="F229" s="1" t="s">
        <v>402</v>
      </c>
      <c r="G229" s="1" t="s">
        <v>21</v>
      </c>
      <c r="H229" s="6">
        <v>1</v>
      </c>
      <c r="I229" s="7">
        <v>0</v>
      </c>
      <c r="J229" s="5">
        <v>45958</v>
      </c>
      <c r="K229" s="1" t="s">
        <v>957</v>
      </c>
      <c r="L229" s="1" t="s">
        <v>30</v>
      </c>
      <c r="M229" s="8">
        <v>0</v>
      </c>
      <c r="N229" s="6"/>
      <c r="O229" s="6"/>
      <c r="P229" s="9">
        <v>-46</v>
      </c>
    </row>
    <row r="230" spans="1:16" ht="19.5" customHeight="1">
      <c r="A230" s="1" t="s">
        <v>1015</v>
      </c>
      <c r="B230" s="5">
        <v>45961</v>
      </c>
      <c r="C230" s="1" t="s">
        <v>28</v>
      </c>
      <c r="D230" s="1" t="s">
        <v>45</v>
      </c>
      <c r="E230" s="1" t="s">
        <v>227</v>
      </c>
      <c r="F230" s="1" t="s">
        <v>402</v>
      </c>
      <c r="G230" s="1" t="s">
        <v>21</v>
      </c>
      <c r="H230" s="6">
        <v>1</v>
      </c>
      <c r="I230" s="7">
        <v>0</v>
      </c>
      <c r="J230" s="5">
        <v>45958</v>
      </c>
      <c r="K230" s="1" t="s">
        <v>957</v>
      </c>
      <c r="L230" s="1" t="s">
        <v>30</v>
      </c>
      <c r="M230" s="8">
        <v>0</v>
      </c>
      <c r="N230" s="6"/>
      <c r="O230" s="6"/>
      <c r="P230" s="9">
        <v>0</v>
      </c>
    </row>
    <row r="231" spans="1:16" ht="19.5" customHeight="1">
      <c r="A231" s="1" t="s">
        <v>1015</v>
      </c>
      <c r="B231" s="5">
        <v>45961</v>
      </c>
      <c r="C231" s="1" t="s">
        <v>28</v>
      </c>
      <c r="D231" s="1" t="s">
        <v>46</v>
      </c>
      <c r="E231" s="1" t="s">
        <v>227</v>
      </c>
      <c r="F231" s="1" t="s">
        <v>402</v>
      </c>
      <c r="G231" s="1" t="s">
        <v>21</v>
      </c>
      <c r="H231" s="6">
        <v>1</v>
      </c>
      <c r="I231" s="7">
        <v>0</v>
      </c>
      <c r="J231" s="5">
        <v>45958</v>
      </c>
      <c r="K231" s="1" t="s">
        <v>957</v>
      </c>
      <c r="L231" s="1" t="s">
        <v>30</v>
      </c>
      <c r="M231" s="8">
        <v>0</v>
      </c>
      <c r="N231" s="6"/>
      <c r="O231" s="6"/>
      <c r="P231" s="9">
        <v>-46</v>
      </c>
    </row>
    <row r="232" spans="1:16" ht="19.5" customHeight="1">
      <c r="A232" s="1" t="s">
        <v>1016</v>
      </c>
      <c r="B232" s="5">
        <v>45961</v>
      </c>
      <c r="C232" s="1" t="s">
        <v>28</v>
      </c>
      <c r="D232" s="1" t="s">
        <v>29</v>
      </c>
      <c r="E232" s="1" t="s">
        <v>25</v>
      </c>
      <c r="F232" s="1" t="s">
        <v>26</v>
      </c>
      <c r="G232" s="1" t="s">
        <v>21</v>
      </c>
      <c r="H232" s="6">
        <v>1</v>
      </c>
      <c r="I232" s="7">
        <v>0</v>
      </c>
      <c r="J232" s="5">
        <v>45955</v>
      </c>
      <c r="K232" s="1" t="s">
        <v>957</v>
      </c>
      <c r="L232" s="1" t="s">
        <v>30</v>
      </c>
      <c r="M232" s="8">
        <v>0</v>
      </c>
      <c r="N232" s="6"/>
      <c r="O232" s="6"/>
      <c r="P232" s="9">
        <v>-46</v>
      </c>
    </row>
    <row r="233" spans="1:16" ht="19.5" customHeight="1">
      <c r="A233" s="1" t="s">
        <v>1016</v>
      </c>
      <c r="B233" s="5">
        <v>45961</v>
      </c>
      <c r="C233" s="1" t="s">
        <v>17</v>
      </c>
      <c r="D233" s="1" t="s">
        <v>37</v>
      </c>
      <c r="E233" s="1" t="s">
        <v>25</v>
      </c>
      <c r="F233" s="1" t="s">
        <v>26</v>
      </c>
      <c r="G233" s="1" t="s">
        <v>21</v>
      </c>
      <c r="H233" s="6">
        <v>1</v>
      </c>
      <c r="I233" s="7">
        <v>0</v>
      </c>
      <c r="J233" s="5">
        <v>45955</v>
      </c>
      <c r="K233" s="1" t="s">
        <v>957</v>
      </c>
      <c r="L233" s="1" t="s">
        <v>30</v>
      </c>
      <c r="M233" s="8">
        <v>0</v>
      </c>
      <c r="N233" s="6"/>
      <c r="O233" s="6"/>
      <c r="P233" s="9">
        <v>-7.99</v>
      </c>
    </row>
    <row r="234" spans="1:16" ht="19.5" customHeight="1">
      <c r="A234" s="1" t="s">
        <v>1016</v>
      </c>
      <c r="B234" s="5">
        <v>45961</v>
      </c>
      <c r="C234" s="1" t="s">
        <v>28</v>
      </c>
      <c r="D234" s="1" t="s">
        <v>45</v>
      </c>
      <c r="E234" s="1" t="s">
        <v>25</v>
      </c>
      <c r="F234" s="1" t="s">
        <v>26</v>
      </c>
      <c r="G234" s="1" t="s">
        <v>21</v>
      </c>
      <c r="H234" s="6">
        <v>1</v>
      </c>
      <c r="I234" s="7">
        <v>0</v>
      </c>
      <c r="J234" s="5">
        <v>45955</v>
      </c>
      <c r="K234" s="1" t="s">
        <v>957</v>
      </c>
      <c r="L234" s="1" t="s">
        <v>30</v>
      </c>
      <c r="M234" s="8">
        <v>0</v>
      </c>
      <c r="N234" s="6"/>
      <c r="O234" s="6"/>
      <c r="P234" s="9">
        <v>0</v>
      </c>
    </row>
    <row r="235" spans="1:16" ht="19.5" customHeight="1">
      <c r="A235" s="1" t="s">
        <v>1016</v>
      </c>
      <c r="B235" s="5">
        <v>45961</v>
      </c>
      <c r="C235" s="1" t="s">
        <v>28</v>
      </c>
      <c r="D235" s="1" t="s">
        <v>46</v>
      </c>
      <c r="E235" s="1" t="s">
        <v>25</v>
      </c>
      <c r="F235" s="1" t="s">
        <v>26</v>
      </c>
      <c r="G235" s="1" t="s">
        <v>21</v>
      </c>
      <c r="H235" s="6">
        <v>1</v>
      </c>
      <c r="I235" s="7">
        <v>0</v>
      </c>
      <c r="J235" s="5">
        <v>45955</v>
      </c>
      <c r="K235" s="1" t="s">
        <v>957</v>
      </c>
      <c r="L235" s="1" t="s">
        <v>30</v>
      </c>
      <c r="M235" s="8">
        <v>0</v>
      </c>
      <c r="N235" s="6"/>
      <c r="O235" s="6"/>
      <c r="P235" s="9">
        <v>-46</v>
      </c>
    </row>
    <row r="236" spans="1:16" ht="19.5" customHeight="1">
      <c r="A236" s="1" t="s">
        <v>1016</v>
      </c>
      <c r="B236" s="5">
        <v>45961</v>
      </c>
      <c r="C236" s="1" t="s">
        <v>17</v>
      </c>
      <c r="D236" s="1" t="s">
        <v>47</v>
      </c>
      <c r="E236" s="1" t="s">
        <v>25</v>
      </c>
      <c r="F236" s="1" t="s">
        <v>26</v>
      </c>
      <c r="G236" s="1" t="s">
        <v>21</v>
      </c>
      <c r="H236" s="6">
        <v>1</v>
      </c>
      <c r="I236" s="7">
        <v>0</v>
      </c>
      <c r="J236" s="5">
        <v>45955</v>
      </c>
      <c r="K236" s="1" t="s">
        <v>957</v>
      </c>
      <c r="L236" s="1" t="s">
        <v>30</v>
      </c>
      <c r="M236" s="8">
        <v>0</v>
      </c>
      <c r="N236" s="6"/>
      <c r="O236" s="6"/>
      <c r="P236" s="9">
        <v>-15</v>
      </c>
    </row>
    <row r="237" spans="1:16" ht="19.5" customHeight="1">
      <c r="A237" s="1" t="s">
        <v>83</v>
      </c>
      <c r="B237" s="5">
        <v>45961</v>
      </c>
      <c r="C237" s="1" t="s">
        <v>77</v>
      </c>
      <c r="D237" s="1" t="s">
        <v>84</v>
      </c>
      <c r="E237" s="1" t="s">
        <v>22</v>
      </c>
      <c r="F237" s="1" t="s">
        <v>22</v>
      </c>
      <c r="G237" s="1" t="s">
        <v>22</v>
      </c>
      <c r="H237" s="6">
        <v>0</v>
      </c>
      <c r="I237" s="7">
        <v>0</v>
      </c>
      <c r="J237" s="5">
        <v>45961</v>
      </c>
      <c r="K237" s="1" t="s">
        <v>22</v>
      </c>
      <c r="L237" s="1" t="s">
        <v>22</v>
      </c>
      <c r="M237" s="8">
        <v>0</v>
      </c>
      <c r="N237" s="6"/>
      <c r="O237" s="6"/>
      <c r="P237" s="9">
        <v>-1073.82</v>
      </c>
    </row>
    <row r="238" spans="1:16" ht="19.5" customHeight="1">
      <c r="A238" s="1" t="s">
        <v>810</v>
      </c>
      <c r="B238" s="5">
        <v>45961</v>
      </c>
      <c r="C238" s="1" t="s">
        <v>77</v>
      </c>
      <c r="D238" s="1" t="s">
        <v>82</v>
      </c>
      <c r="E238" s="1" t="s">
        <v>22</v>
      </c>
      <c r="F238" s="1" t="s">
        <v>22</v>
      </c>
      <c r="G238" s="1" t="s">
        <v>22</v>
      </c>
      <c r="H238" s="6">
        <v>0</v>
      </c>
      <c r="I238" s="7">
        <v>0</v>
      </c>
      <c r="J238" s="5">
        <v>45961</v>
      </c>
      <c r="K238" s="1" t="s">
        <v>22</v>
      </c>
      <c r="L238" s="1" t="s">
        <v>22</v>
      </c>
      <c r="M238" s="8">
        <v>0</v>
      </c>
      <c r="N238" s="6"/>
      <c r="O238" s="6"/>
      <c r="P238" s="9">
        <v>-698.56</v>
      </c>
    </row>
    <row r="239" spans="1:16" ht="19.5" customHeight="1">
      <c r="A239" s="1" t="s">
        <v>993</v>
      </c>
      <c r="B239" s="5">
        <v>45961</v>
      </c>
      <c r="C239" s="1" t="s">
        <v>77</v>
      </c>
      <c r="D239" s="1" t="s">
        <v>82</v>
      </c>
      <c r="E239" s="1" t="s">
        <v>22</v>
      </c>
      <c r="F239" s="1" t="s">
        <v>22</v>
      </c>
      <c r="G239" s="1" t="s">
        <v>22</v>
      </c>
      <c r="H239" s="6">
        <v>0</v>
      </c>
      <c r="I239" s="7">
        <v>0</v>
      </c>
      <c r="J239" s="5">
        <v>45961</v>
      </c>
      <c r="K239" s="1" t="s">
        <v>22</v>
      </c>
      <c r="L239" s="1" t="s">
        <v>22</v>
      </c>
      <c r="M239" s="8">
        <v>0</v>
      </c>
      <c r="N239" s="6"/>
      <c r="O239" s="6"/>
      <c r="P239" s="9">
        <v>-387.78</v>
      </c>
    </row>
    <row r="240" spans="1:16" ht="19.5" customHeight="1">
      <c r="A240" s="1" t="s">
        <v>22</v>
      </c>
      <c r="B240" s="5">
        <v>45961</v>
      </c>
      <c r="C240" s="1" t="s">
        <v>77</v>
      </c>
      <c r="D240" s="1" t="s">
        <v>944</v>
      </c>
      <c r="E240" s="1" t="s">
        <v>22</v>
      </c>
      <c r="F240" s="1" t="s">
        <v>22</v>
      </c>
      <c r="G240" s="1" t="s">
        <v>1017</v>
      </c>
      <c r="H240" s="6">
        <v>0</v>
      </c>
      <c r="I240" s="7">
        <v>0</v>
      </c>
      <c r="J240" s="5">
        <v>45961</v>
      </c>
      <c r="K240" s="1" t="s">
        <v>22</v>
      </c>
      <c r="L240" s="1" t="s">
        <v>22</v>
      </c>
      <c r="M240" s="8">
        <v>0</v>
      </c>
      <c r="N240" s="6"/>
      <c r="O240" s="6"/>
      <c r="P240" s="9">
        <v>-431.31</v>
      </c>
    </row>
    <row r="241" spans="1:16" ht="19.5" customHeight="1">
      <c r="A241" s="1" t="s">
        <v>22</v>
      </c>
      <c r="B241" s="5">
        <v>45961</v>
      </c>
      <c r="C241" s="1" t="s">
        <v>77</v>
      </c>
      <c r="D241" s="1" t="s">
        <v>944</v>
      </c>
      <c r="E241" s="1" t="s">
        <v>22</v>
      </c>
      <c r="F241" s="1" t="s">
        <v>22</v>
      </c>
      <c r="G241" s="1" t="s">
        <v>1018</v>
      </c>
      <c r="H241" s="6">
        <v>0</v>
      </c>
      <c r="I241" s="7">
        <v>0</v>
      </c>
      <c r="J241" s="5">
        <v>45961</v>
      </c>
      <c r="K241" s="1" t="s">
        <v>22</v>
      </c>
      <c r="L241" s="1" t="s">
        <v>22</v>
      </c>
      <c r="M241" s="8">
        <v>0</v>
      </c>
      <c r="N241" s="6"/>
      <c r="O241" s="6"/>
      <c r="P241" s="9">
        <v>-633.66999999999996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2F27-3AB7-4A21-B393-065ECB351F67}">
  <dimension ref="A1:O349"/>
  <sheetViews>
    <sheetView zoomScale="80" zoomScaleNormal="80" workbookViewId="0">
      <selection activeCell="E10" sqref="E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4" width="20.7265625" customWidth="1"/>
    <col min="15" max="15" width="20.7265625" style="2" customWidth="1"/>
  </cols>
  <sheetData>
    <row r="1" spans="1:15" ht="19.5" customHeight="1">
      <c r="A1" s="1" t="s">
        <v>874</v>
      </c>
    </row>
    <row r="2" spans="1:15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</row>
    <row r="3" spans="1:15" ht="19.5" customHeight="1">
      <c r="A3" s="1" t="s">
        <v>875</v>
      </c>
      <c r="B3" s="5">
        <v>45950</v>
      </c>
      <c r="C3" s="1" t="s">
        <v>28</v>
      </c>
      <c r="D3" s="1" t="s">
        <v>29</v>
      </c>
      <c r="E3" s="1" t="s">
        <v>66</v>
      </c>
      <c r="F3" s="1" t="s">
        <v>67</v>
      </c>
      <c r="G3" s="1" t="s">
        <v>41</v>
      </c>
      <c r="H3" s="6">
        <v>1</v>
      </c>
      <c r="I3" s="7">
        <v>0</v>
      </c>
      <c r="J3" s="5">
        <v>45932</v>
      </c>
      <c r="K3" s="1" t="s">
        <v>30</v>
      </c>
      <c r="L3" s="8">
        <v>0</v>
      </c>
      <c r="M3" s="6"/>
      <c r="N3" s="6"/>
      <c r="O3" s="9">
        <v>-56</v>
      </c>
    </row>
    <row r="4" spans="1:15" ht="19.5" customHeight="1">
      <c r="A4" s="1" t="s">
        <v>875</v>
      </c>
      <c r="B4" s="5">
        <v>45950</v>
      </c>
      <c r="C4" s="1" t="s">
        <v>17</v>
      </c>
      <c r="D4" s="1" t="s">
        <v>37</v>
      </c>
      <c r="E4" s="1" t="s">
        <v>66</v>
      </c>
      <c r="F4" s="1" t="s">
        <v>67</v>
      </c>
      <c r="G4" s="1" t="s">
        <v>41</v>
      </c>
      <c r="H4" s="6">
        <v>1</v>
      </c>
      <c r="I4" s="7">
        <v>0</v>
      </c>
      <c r="J4" s="5">
        <v>45932</v>
      </c>
      <c r="K4" s="1" t="s">
        <v>30</v>
      </c>
      <c r="L4" s="8">
        <v>0</v>
      </c>
      <c r="M4" s="6"/>
      <c r="N4" s="6"/>
      <c r="O4" s="9">
        <v>-9.49</v>
      </c>
    </row>
    <row r="5" spans="1:15" ht="19.5" customHeight="1">
      <c r="A5" s="1" t="s">
        <v>875</v>
      </c>
      <c r="B5" s="5">
        <v>45950</v>
      </c>
      <c r="C5" s="1" t="s">
        <v>28</v>
      </c>
      <c r="D5" s="1" t="s">
        <v>45</v>
      </c>
      <c r="E5" s="1" t="s">
        <v>66</v>
      </c>
      <c r="F5" s="1" t="s">
        <v>67</v>
      </c>
      <c r="G5" s="1" t="s">
        <v>41</v>
      </c>
      <c r="H5" s="6">
        <v>1</v>
      </c>
      <c r="I5" s="7">
        <v>0</v>
      </c>
      <c r="J5" s="5">
        <v>45932</v>
      </c>
      <c r="K5" s="1" t="s">
        <v>30</v>
      </c>
      <c r="L5" s="8">
        <v>0</v>
      </c>
      <c r="M5" s="6"/>
      <c r="N5" s="6"/>
      <c r="O5" s="9">
        <v>0</v>
      </c>
    </row>
    <row r="6" spans="1:15" ht="19.5" customHeight="1">
      <c r="A6" s="1" t="s">
        <v>875</v>
      </c>
      <c r="B6" s="5">
        <v>45950</v>
      </c>
      <c r="C6" s="1" t="s">
        <v>28</v>
      </c>
      <c r="D6" s="1" t="s">
        <v>46</v>
      </c>
      <c r="E6" s="1" t="s">
        <v>66</v>
      </c>
      <c r="F6" s="1" t="s">
        <v>67</v>
      </c>
      <c r="G6" s="1" t="s">
        <v>41</v>
      </c>
      <c r="H6" s="6">
        <v>1</v>
      </c>
      <c r="I6" s="7">
        <v>0</v>
      </c>
      <c r="J6" s="5">
        <v>45932</v>
      </c>
      <c r="K6" s="1" t="s">
        <v>30</v>
      </c>
      <c r="L6" s="8">
        <v>0</v>
      </c>
      <c r="M6" s="6"/>
      <c r="N6" s="6"/>
      <c r="O6" s="9">
        <v>-56</v>
      </c>
    </row>
    <row r="7" spans="1:15" ht="19.5" customHeight="1">
      <c r="A7" s="1" t="s">
        <v>876</v>
      </c>
      <c r="B7" s="5">
        <v>45950</v>
      </c>
      <c r="C7" s="1" t="s">
        <v>28</v>
      </c>
      <c r="D7" s="1" t="s">
        <v>29</v>
      </c>
      <c r="E7" s="1" t="s">
        <v>19</v>
      </c>
      <c r="F7" s="1" t="s">
        <v>20</v>
      </c>
      <c r="G7" s="1" t="s">
        <v>21</v>
      </c>
      <c r="H7" s="6">
        <v>1</v>
      </c>
      <c r="I7" s="7">
        <v>0</v>
      </c>
      <c r="J7" s="5">
        <v>45946</v>
      </c>
      <c r="K7" s="1" t="s">
        <v>30</v>
      </c>
      <c r="L7" s="8">
        <v>0</v>
      </c>
      <c r="M7" s="6"/>
      <c r="N7" s="6"/>
      <c r="O7" s="9">
        <v>-46</v>
      </c>
    </row>
    <row r="8" spans="1:15" ht="19.5" customHeight="1">
      <c r="A8" s="1" t="s">
        <v>876</v>
      </c>
      <c r="B8" s="5">
        <v>45950</v>
      </c>
      <c r="C8" s="1" t="s">
        <v>17</v>
      </c>
      <c r="D8" s="1" t="s">
        <v>37</v>
      </c>
      <c r="E8" s="1" t="s">
        <v>19</v>
      </c>
      <c r="F8" s="1" t="s">
        <v>20</v>
      </c>
      <c r="G8" s="1" t="s">
        <v>21</v>
      </c>
      <c r="H8" s="6">
        <v>1</v>
      </c>
      <c r="I8" s="7">
        <v>0</v>
      </c>
      <c r="J8" s="5">
        <v>45946</v>
      </c>
      <c r="K8" s="1" t="s">
        <v>30</v>
      </c>
      <c r="L8" s="8">
        <v>0</v>
      </c>
      <c r="M8" s="6"/>
      <c r="N8" s="6"/>
      <c r="O8" s="9">
        <v>-9.69</v>
      </c>
    </row>
    <row r="9" spans="1:15" ht="19.5" customHeight="1">
      <c r="A9" s="1" t="s">
        <v>876</v>
      </c>
      <c r="B9" s="5">
        <v>45950</v>
      </c>
      <c r="C9" s="1" t="s">
        <v>28</v>
      </c>
      <c r="D9" s="1" t="s">
        <v>45</v>
      </c>
      <c r="E9" s="1" t="s">
        <v>19</v>
      </c>
      <c r="F9" s="1" t="s">
        <v>20</v>
      </c>
      <c r="G9" s="1" t="s">
        <v>21</v>
      </c>
      <c r="H9" s="6">
        <v>1</v>
      </c>
      <c r="I9" s="7">
        <v>0</v>
      </c>
      <c r="J9" s="5">
        <v>45946</v>
      </c>
      <c r="K9" s="1" t="s">
        <v>30</v>
      </c>
      <c r="L9" s="8">
        <v>0</v>
      </c>
      <c r="M9" s="6"/>
      <c r="N9" s="6"/>
      <c r="O9" s="9">
        <v>0</v>
      </c>
    </row>
    <row r="10" spans="1:15" ht="19.5" customHeight="1">
      <c r="A10" s="1" t="s">
        <v>876</v>
      </c>
      <c r="B10" s="5">
        <v>45950</v>
      </c>
      <c r="C10" s="1" t="s">
        <v>28</v>
      </c>
      <c r="D10" s="1" t="s">
        <v>46</v>
      </c>
      <c r="E10" s="1" t="s">
        <v>19</v>
      </c>
      <c r="F10" s="1" t="s">
        <v>20</v>
      </c>
      <c r="G10" s="1" t="s">
        <v>21</v>
      </c>
      <c r="H10" s="6">
        <v>1</v>
      </c>
      <c r="I10" s="7">
        <v>0</v>
      </c>
      <c r="J10" s="5">
        <v>45946</v>
      </c>
      <c r="K10" s="1" t="s">
        <v>30</v>
      </c>
      <c r="L10" s="8">
        <v>0</v>
      </c>
      <c r="M10" s="6"/>
      <c r="N10" s="6"/>
      <c r="O10" s="9">
        <v>-46</v>
      </c>
    </row>
    <row r="11" spans="1:15" ht="19.5" customHeight="1">
      <c r="A11" s="1" t="s">
        <v>876</v>
      </c>
      <c r="B11" s="5">
        <v>45950</v>
      </c>
      <c r="C11" s="1" t="s">
        <v>17</v>
      </c>
      <c r="D11" s="1" t="s">
        <v>47</v>
      </c>
      <c r="E11" s="1" t="s">
        <v>19</v>
      </c>
      <c r="F11" s="1" t="s">
        <v>20</v>
      </c>
      <c r="G11" s="1" t="s">
        <v>21</v>
      </c>
      <c r="H11" s="6">
        <v>1</v>
      </c>
      <c r="I11" s="7">
        <v>0</v>
      </c>
      <c r="J11" s="5">
        <v>45946</v>
      </c>
      <c r="K11" s="1" t="s">
        <v>30</v>
      </c>
      <c r="L11" s="8">
        <v>0</v>
      </c>
      <c r="M11" s="6"/>
      <c r="N11" s="6"/>
      <c r="O11" s="9">
        <v>-15</v>
      </c>
    </row>
    <row r="12" spans="1:15" ht="19.5" customHeight="1">
      <c r="A12" s="1" t="s">
        <v>877</v>
      </c>
      <c r="B12" s="5">
        <v>45950</v>
      </c>
      <c r="C12" s="1" t="s">
        <v>28</v>
      </c>
      <c r="D12" s="1" t="s">
        <v>45</v>
      </c>
      <c r="E12" s="1" t="s">
        <v>25</v>
      </c>
      <c r="F12" s="1" t="s">
        <v>26</v>
      </c>
      <c r="G12" s="1" t="s">
        <v>21</v>
      </c>
      <c r="H12" s="6">
        <v>1</v>
      </c>
      <c r="I12" s="7">
        <v>0</v>
      </c>
      <c r="J12" s="5">
        <v>45947</v>
      </c>
      <c r="K12" s="1" t="s">
        <v>30</v>
      </c>
      <c r="L12" s="8">
        <v>0</v>
      </c>
      <c r="M12" s="6"/>
      <c r="N12" s="6"/>
      <c r="O12" s="9">
        <v>0</v>
      </c>
    </row>
    <row r="13" spans="1:15" ht="19.5" customHeight="1">
      <c r="A13" s="1" t="s">
        <v>877</v>
      </c>
      <c r="B13" s="5">
        <v>45950</v>
      </c>
      <c r="C13" s="1" t="s">
        <v>28</v>
      </c>
      <c r="D13" s="1" t="s">
        <v>46</v>
      </c>
      <c r="E13" s="1" t="s">
        <v>25</v>
      </c>
      <c r="F13" s="1" t="s">
        <v>26</v>
      </c>
      <c r="G13" s="1" t="s">
        <v>21</v>
      </c>
      <c r="H13" s="6">
        <v>1</v>
      </c>
      <c r="I13" s="7">
        <v>0</v>
      </c>
      <c r="J13" s="5">
        <v>45947</v>
      </c>
      <c r="K13" s="1" t="s">
        <v>30</v>
      </c>
      <c r="L13" s="8">
        <v>0</v>
      </c>
      <c r="M13" s="6"/>
      <c r="N13" s="6"/>
      <c r="O13" s="9">
        <v>-46</v>
      </c>
    </row>
    <row r="14" spans="1:15" ht="19.5" customHeight="1">
      <c r="A14" s="1" t="s">
        <v>877</v>
      </c>
      <c r="B14" s="5">
        <v>45950</v>
      </c>
      <c r="C14" s="1" t="s">
        <v>28</v>
      </c>
      <c r="D14" s="1" t="s">
        <v>29</v>
      </c>
      <c r="E14" s="1" t="s">
        <v>25</v>
      </c>
      <c r="F14" s="1" t="s">
        <v>26</v>
      </c>
      <c r="G14" s="1" t="s">
        <v>21</v>
      </c>
      <c r="H14" s="6">
        <v>1</v>
      </c>
      <c r="I14" s="7">
        <v>0</v>
      </c>
      <c r="J14" s="5">
        <v>45947</v>
      </c>
      <c r="K14" s="1" t="s">
        <v>30</v>
      </c>
      <c r="L14" s="8">
        <v>0</v>
      </c>
      <c r="M14" s="6"/>
      <c r="N14" s="6"/>
      <c r="O14" s="9">
        <v>-46</v>
      </c>
    </row>
    <row r="15" spans="1:15" ht="19.5" customHeight="1">
      <c r="A15" s="1" t="s">
        <v>877</v>
      </c>
      <c r="B15" s="5">
        <v>45950</v>
      </c>
      <c r="C15" s="1" t="s">
        <v>17</v>
      </c>
      <c r="D15" s="1" t="s">
        <v>37</v>
      </c>
      <c r="E15" s="1" t="s">
        <v>25</v>
      </c>
      <c r="F15" s="1" t="s">
        <v>26</v>
      </c>
      <c r="G15" s="1" t="s">
        <v>21</v>
      </c>
      <c r="H15" s="6">
        <v>1</v>
      </c>
      <c r="I15" s="7">
        <v>0</v>
      </c>
      <c r="J15" s="5">
        <v>45947</v>
      </c>
      <c r="K15" s="1" t="s">
        <v>30</v>
      </c>
      <c r="L15" s="8">
        <v>0</v>
      </c>
      <c r="M15" s="6"/>
      <c r="N15" s="6"/>
      <c r="O15" s="9">
        <v>-6.88</v>
      </c>
    </row>
    <row r="16" spans="1:15" ht="19.5" customHeight="1">
      <c r="A16" s="1" t="s">
        <v>878</v>
      </c>
      <c r="B16" s="5">
        <v>45950</v>
      </c>
      <c r="C16" s="1" t="s">
        <v>17</v>
      </c>
      <c r="D16" s="1" t="s">
        <v>18</v>
      </c>
      <c r="E16" s="1" t="s">
        <v>226</v>
      </c>
      <c r="F16" s="1" t="s">
        <v>428</v>
      </c>
      <c r="G16" s="1" t="s">
        <v>21</v>
      </c>
      <c r="H16" s="6">
        <v>1</v>
      </c>
      <c r="I16" s="7">
        <v>0</v>
      </c>
      <c r="J16" s="5">
        <v>45950</v>
      </c>
      <c r="K16" s="1" t="s">
        <v>22</v>
      </c>
      <c r="L16" s="8">
        <v>0</v>
      </c>
      <c r="M16" s="6"/>
      <c r="N16" s="6"/>
      <c r="O16" s="9">
        <v>-12.43</v>
      </c>
    </row>
    <row r="17" spans="1:15" ht="19.5" customHeight="1">
      <c r="A17" s="1" t="s">
        <v>879</v>
      </c>
      <c r="B17" s="5">
        <v>45950</v>
      </c>
      <c r="C17" s="1" t="s">
        <v>28</v>
      </c>
      <c r="D17" s="1" t="s">
        <v>29</v>
      </c>
      <c r="E17" s="1" t="s">
        <v>25</v>
      </c>
      <c r="F17" s="1" t="s">
        <v>26</v>
      </c>
      <c r="G17" s="1" t="s">
        <v>21</v>
      </c>
      <c r="H17" s="6">
        <v>1</v>
      </c>
      <c r="I17" s="7">
        <v>964</v>
      </c>
      <c r="J17" s="5">
        <v>45946</v>
      </c>
      <c r="K17" s="1" t="s">
        <v>30</v>
      </c>
      <c r="L17" s="8">
        <v>0.34</v>
      </c>
      <c r="M17" s="6"/>
      <c r="N17" s="6"/>
      <c r="O17" s="9">
        <v>-46</v>
      </c>
    </row>
    <row r="18" spans="1:15" ht="19.5" customHeight="1">
      <c r="A18" s="1" t="s">
        <v>879</v>
      </c>
      <c r="B18" s="5">
        <v>45950</v>
      </c>
      <c r="C18" s="1" t="s">
        <v>31</v>
      </c>
      <c r="D18" s="1" t="s">
        <v>32</v>
      </c>
      <c r="E18" s="1" t="s">
        <v>25</v>
      </c>
      <c r="F18" s="1" t="s">
        <v>26</v>
      </c>
      <c r="G18" s="1" t="s">
        <v>21</v>
      </c>
      <c r="H18" s="6">
        <v>1</v>
      </c>
      <c r="I18" s="7">
        <v>964</v>
      </c>
      <c r="J18" s="5">
        <v>45946</v>
      </c>
      <c r="K18" s="1" t="s">
        <v>30</v>
      </c>
      <c r="L18" s="8">
        <v>0</v>
      </c>
      <c r="M18" s="6"/>
      <c r="N18" s="6"/>
      <c r="O18" s="9">
        <v>522.86</v>
      </c>
    </row>
    <row r="19" spans="1:15" ht="19.5" customHeight="1">
      <c r="A19" s="1" t="s">
        <v>879</v>
      </c>
      <c r="B19" s="5">
        <v>45950</v>
      </c>
      <c r="C19" s="1" t="s">
        <v>31</v>
      </c>
      <c r="D19" s="1" t="s">
        <v>33</v>
      </c>
      <c r="E19" s="1" t="s">
        <v>25</v>
      </c>
      <c r="F19" s="1" t="s">
        <v>26</v>
      </c>
      <c r="G19" s="1" t="s">
        <v>21</v>
      </c>
      <c r="H19" s="6">
        <v>1</v>
      </c>
      <c r="I19" s="7">
        <v>964</v>
      </c>
      <c r="J19" s="5">
        <v>45946</v>
      </c>
      <c r="K19" s="1" t="s">
        <v>30</v>
      </c>
      <c r="L19" s="8">
        <v>0</v>
      </c>
      <c r="M19" s="6"/>
      <c r="N19" s="6"/>
      <c r="O19" s="9">
        <v>5.23</v>
      </c>
    </row>
    <row r="20" spans="1:15" ht="19.5" customHeight="1">
      <c r="A20" s="1" t="s">
        <v>879</v>
      </c>
      <c r="B20" s="5">
        <v>45950</v>
      </c>
      <c r="C20" s="1" t="s">
        <v>31</v>
      </c>
      <c r="D20" s="1" t="s">
        <v>34</v>
      </c>
      <c r="E20" s="1" t="s">
        <v>25</v>
      </c>
      <c r="F20" s="1" t="s">
        <v>26</v>
      </c>
      <c r="G20" s="1" t="s">
        <v>21</v>
      </c>
      <c r="H20" s="6">
        <v>1</v>
      </c>
      <c r="I20" s="7">
        <v>964</v>
      </c>
      <c r="J20" s="5">
        <v>45946</v>
      </c>
      <c r="K20" s="1" t="s">
        <v>30</v>
      </c>
      <c r="L20" s="8">
        <v>0</v>
      </c>
      <c r="M20" s="6"/>
      <c r="N20" s="6"/>
      <c r="O20" s="9">
        <v>435.91</v>
      </c>
    </row>
    <row r="21" spans="1:15" ht="19.5" customHeight="1">
      <c r="A21" s="1" t="s">
        <v>879</v>
      </c>
      <c r="B21" s="5">
        <v>45950</v>
      </c>
      <c r="C21" s="1" t="s">
        <v>35</v>
      </c>
      <c r="D21" s="1" t="s">
        <v>36</v>
      </c>
      <c r="E21" s="1" t="s">
        <v>25</v>
      </c>
      <c r="F21" s="1" t="s">
        <v>26</v>
      </c>
      <c r="G21" s="1" t="s">
        <v>21</v>
      </c>
      <c r="H21" s="6">
        <v>1</v>
      </c>
      <c r="I21" s="7">
        <v>964</v>
      </c>
      <c r="J21" s="5">
        <v>45946</v>
      </c>
      <c r="K21" s="1" t="s">
        <v>30</v>
      </c>
      <c r="L21" s="8">
        <v>0.34</v>
      </c>
      <c r="M21" s="6"/>
      <c r="N21" s="6"/>
      <c r="O21" s="9">
        <v>-327.76</v>
      </c>
    </row>
    <row r="22" spans="1:15" ht="19.5" customHeight="1">
      <c r="A22" s="1" t="s">
        <v>879</v>
      </c>
      <c r="B22" s="5">
        <v>45950</v>
      </c>
      <c r="C22" s="1" t="s">
        <v>17</v>
      </c>
      <c r="D22" s="1" t="s">
        <v>37</v>
      </c>
      <c r="E22" s="1" t="s">
        <v>25</v>
      </c>
      <c r="F22" s="1" t="s">
        <v>26</v>
      </c>
      <c r="G22" s="1" t="s">
        <v>21</v>
      </c>
      <c r="H22" s="6">
        <v>1</v>
      </c>
      <c r="I22" s="7">
        <v>964</v>
      </c>
      <c r="J22" s="5">
        <v>45946</v>
      </c>
      <c r="K22" s="1" t="s">
        <v>30</v>
      </c>
      <c r="L22" s="8">
        <v>0.34</v>
      </c>
      <c r="M22" s="6"/>
      <c r="N22" s="6"/>
      <c r="O22" s="9">
        <v>-12.83</v>
      </c>
    </row>
    <row r="23" spans="1:15" ht="19.5" customHeight="1">
      <c r="A23" s="1" t="s">
        <v>879</v>
      </c>
      <c r="B23" s="5">
        <v>45950</v>
      </c>
      <c r="C23" s="1" t="s">
        <v>17</v>
      </c>
      <c r="D23" s="1" t="s">
        <v>18</v>
      </c>
      <c r="E23" s="1" t="s">
        <v>25</v>
      </c>
      <c r="F23" s="1" t="s">
        <v>26</v>
      </c>
      <c r="G23" s="1" t="s">
        <v>21</v>
      </c>
      <c r="H23" s="6">
        <v>1</v>
      </c>
      <c r="I23" s="7">
        <v>0</v>
      </c>
      <c r="J23" s="5">
        <v>45946</v>
      </c>
      <c r="K23" s="1" t="s">
        <v>22</v>
      </c>
      <c r="L23" s="8">
        <v>0</v>
      </c>
      <c r="M23" s="6"/>
      <c r="N23" s="6"/>
      <c r="O23" s="9">
        <v>-9.93</v>
      </c>
    </row>
    <row r="24" spans="1:15" ht="19.5" customHeight="1">
      <c r="A24" s="1" t="s">
        <v>880</v>
      </c>
      <c r="B24" s="5">
        <v>45950</v>
      </c>
      <c r="C24" s="1" t="s">
        <v>28</v>
      </c>
      <c r="D24" s="1" t="s">
        <v>29</v>
      </c>
      <c r="E24" s="1" t="s">
        <v>223</v>
      </c>
      <c r="F24" s="1" t="s">
        <v>395</v>
      </c>
      <c r="G24" s="1" t="s">
        <v>21</v>
      </c>
      <c r="H24" s="6">
        <v>1</v>
      </c>
      <c r="I24" s="7">
        <v>0</v>
      </c>
      <c r="J24" s="5">
        <v>45946</v>
      </c>
      <c r="K24" s="1" t="s">
        <v>30</v>
      </c>
      <c r="L24" s="8">
        <v>0</v>
      </c>
      <c r="M24" s="6"/>
      <c r="N24" s="6"/>
      <c r="O24" s="9">
        <v>-46</v>
      </c>
    </row>
    <row r="25" spans="1:15" ht="19.5" customHeight="1">
      <c r="A25" s="1" t="s">
        <v>880</v>
      </c>
      <c r="B25" s="5">
        <v>45950</v>
      </c>
      <c r="C25" s="1" t="s">
        <v>28</v>
      </c>
      <c r="D25" s="1" t="s">
        <v>45</v>
      </c>
      <c r="E25" s="1" t="s">
        <v>223</v>
      </c>
      <c r="F25" s="1" t="s">
        <v>395</v>
      </c>
      <c r="G25" s="1" t="s">
        <v>21</v>
      </c>
      <c r="H25" s="6">
        <v>1</v>
      </c>
      <c r="I25" s="7">
        <v>0</v>
      </c>
      <c r="J25" s="5">
        <v>45946</v>
      </c>
      <c r="K25" s="1" t="s">
        <v>30</v>
      </c>
      <c r="L25" s="8">
        <v>0</v>
      </c>
      <c r="M25" s="6"/>
      <c r="N25" s="6"/>
      <c r="O25" s="9">
        <v>0</v>
      </c>
    </row>
    <row r="26" spans="1:15" ht="19.5" customHeight="1">
      <c r="A26" s="1" t="s">
        <v>880</v>
      </c>
      <c r="B26" s="5">
        <v>45950</v>
      </c>
      <c r="C26" s="1" t="s">
        <v>28</v>
      </c>
      <c r="D26" s="1" t="s">
        <v>46</v>
      </c>
      <c r="E26" s="1" t="s">
        <v>223</v>
      </c>
      <c r="F26" s="1" t="s">
        <v>395</v>
      </c>
      <c r="G26" s="1" t="s">
        <v>21</v>
      </c>
      <c r="H26" s="6">
        <v>1</v>
      </c>
      <c r="I26" s="7">
        <v>0</v>
      </c>
      <c r="J26" s="5">
        <v>45946</v>
      </c>
      <c r="K26" s="1" t="s">
        <v>30</v>
      </c>
      <c r="L26" s="8">
        <v>0</v>
      </c>
      <c r="M26" s="6"/>
      <c r="N26" s="6"/>
      <c r="O26" s="9">
        <v>-46</v>
      </c>
    </row>
    <row r="27" spans="1:15" ht="19.5" customHeight="1">
      <c r="A27" s="1" t="s">
        <v>102</v>
      </c>
      <c r="B27" s="5">
        <v>45950</v>
      </c>
      <c r="C27" s="1" t="s">
        <v>28</v>
      </c>
      <c r="D27" s="1" t="s">
        <v>29</v>
      </c>
      <c r="E27" s="1" t="s">
        <v>51</v>
      </c>
      <c r="F27" s="1" t="s">
        <v>52</v>
      </c>
      <c r="G27" s="1" t="s">
        <v>41</v>
      </c>
      <c r="H27" s="6">
        <v>1</v>
      </c>
      <c r="I27" s="7">
        <v>0</v>
      </c>
      <c r="J27" s="5">
        <v>45933</v>
      </c>
      <c r="K27" s="1" t="s">
        <v>30</v>
      </c>
      <c r="L27" s="8">
        <v>0</v>
      </c>
      <c r="M27" s="6"/>
      <c r="N27" s="6"/>
      <c r="O27" s="9">
        <v>-56</v>
      </c>
    </row>
    <row r="28" spans="1:15" ht="19.5" customHeight="1">
      <c r="A28" s="1" t="s">
        <v>102</v>
      </c>
      <c r="B28" s="5">
        <v>45950</v>
      </c>
      <c r="C28" s="1" t="s">
        <v>17</v>
      </c>
      <c r="D28" s="1" t="s">
        <v>37</v>
      </c>
      <c r="E28" s="1" t="s">
        <v>51</v>
      </c>
      <c r="F28" s="1" t="s">
        <v>52</v>
      </c>
      <c r="G28" s="1" t="s">
        <v>41</v>
      </c>
      <c r="H28" s="6">
        <v>1</v>
      </c>
      <c r="I28" s="7">
        <v>0</v>
      </c>
      <c r="J28" s="5">
        <v>45933</v>
      </c>
      <c r="K28" s="1" t="s">
        <v>30</v>
      </c>
      <c r="L28" s="8">
        <v>0</v>
      </c>
      <c r="M28" s="6"/>
      <c r="N28" s="6"/>
      <c r="O28" s="9">
        <v>-12.03</v>
      </c>
    </row>
    <row r="29" spans="1:15" ht="19.5" customHeight="1">
      <c r="A29" s="1" t="s">
        <v>102</v>
      </c>
      <c r="B29" s="5">
        <v>45950</v>
      </c>
      <c r="C29" s="1" t="s">
        <v>28</v>
      </c>
      <c r="D29" s="1" t="s">
        <v>45</v>
      </c>
      <c r="E29" s="1" t="s">
        <v>51</v>
      </c>
      <c r="F29" s="1" t="s">
        <v>52</v>
      </c>
      <c r="G29" s="1" t="s">
        <v>41</v>
      </c>
      <c r="H29" s="6">
        <v>1</v>
      </c>
      <c r="I29" s="7">
        <v>0</v>
      </c>
      <c r="J29" s="5">
        <v>45933</v>
      </c>
      <c r="K29" s="1" t="s">
        <v>30</v>
      </c>
      <c r="L29" s="8">
        <v>0</v>
      </c>
      <c r="M29" s="6"/>
      <c r="N29" s="6"/>
      <c r="O29" s="9">
        <v>0</v>
      </c>
    </row>
    <row r="30" spans="1:15" ht="19.5" customHeight="1">
      <c r="A30" s="1" t="s">
        <v>102</v>
      </c>
      <c r="B30" s="5">
        <v>45950</v>
      </c>
      <c r="C30" s="1" t="s">
        <v>28</v>
      </c>
      <c r="D30" s="1" t="s">
        <v>46</v>
      </c>
      <c r="E30" s="1" t="s">
        <v>51</v>
      </c>
      <c r="F30" s="1" t="s">
        <v>52</v>
      </c>
      <c r="G30" s="1" t="s">
        <v>41</v>
      </c>
      <c r="H30" s="6">
        <v>1</v>
      </c>
      <c r="I30" s="7">
        <v>0</v>
      </c>
      <c r="J30" s="5">
        <v>45933</v>
      </c>
      <c r="K30" s="1" t="s">
        <v>30</v>
      </c>
      <c r="L30" s="8">
        <v>0</v>
      </c>
      <c r="M30" s="6"/>
      <c r="N30" s="6"/>
      <c r="O30" s="9">
        <v>-56</v>
      </c>
    </row>
    <row r="31" spans="1:15" ht="19.5" customHeight="1">
      <c r="A31" s="1" t="s">
        <v>102</v>
      </c>
      <c r="B31" s="5">
        <v>45950</v>
      </c>
      <c r="C31" s="1" t="s">
        <v>17</v>
      </c>
      <c r="D31" s="1" t="s">
        <v>47</v>
      </c>
      <c r="E31" s="1" t="s">
        <v>51</v>
      </c>
      <c r="F31" s="1" t="s">
        <v>52</v>
      </c>
      <c r="G31" s="1" t="s">
        <v>41</v>
      </c>
      <c r="H31" s="6">
        <v>1</v>
      </c>
      <c r="I31" s="7">
        <v>0</v>
      </c>
      <c r="J31" s="5">
        <v>45933</v>
      </c>
      <c r="K31" s="1" t="s">
        <v>30</v>
      </c>
      <c r="L31" s="8">
        <v>0</v>
      </c>
      <c r="M31" s="6"/>
      <c r="N31" s="6"/>
      <c r="O31" s="9">
        <v>-15</v>
      </c>
    </row>
    <row r="32" spans="1:15" ht="19.5" customHeight="1">
      <c r="A32" s="1" t="s">
        <v>881</v>
      </c>
      <c r="B32" s="5">
        <v>45950</v>
      </c>
      <c r="C32" s="1" t="s">
        <v>28</v>
      </c>
      <c r="D32" s="1" t="s">
        <v>29</v>
      </c>
      <c r="E32" s="1" t="s">
        <v>245</v>
      </c>
      <c r="F32" s="1" t="s">
        <v>515</v>
      </c>
      <c r="G32" s="1" t="s">
        <v>41</v>
      </c>
      <c r="H32" s="6">
        <v>1</v>
      </c>
      <c r="I32" s="7">
        <v>5000</v>
      </c>
      <c r="J32" s="5">
        <v>45945</v>
      </c>
      <c r="K32" s="1" t="s">
        <v>30</v>
      </c>
      <c r="L32" s="8">
        <v>0.34</v>
      </c>
      <c r="M32" s="6"/>
      <c r="N32" s="6"/>
      <c r="O32" s="9">
        <v>-56</v>
      </c>
    </row>
    <row r="33" spans="1:15" ht="19.5" customHeight="1">
      <c r="A33" s="1" t="s">
        <v>881</v>
      </c>
      <c r="B33" s="5">
        <v>45950</v>
      </c>
      <c r="C33" s="1" t="s">
        <v>31</v>
      </c>
      <c r="D33" s="1" t="s">
        <v>32</v>
      </c>
      <c r="E33" s="1" t="s">
        <v>245</v>
      </c>
      <c r="F33" s="1" t="s">
        <v>515</v>
      </c>
      <c r="G33" s="1" t="s">
        <v>41</v>
      </c>
      <c r="H33" s="6">
        <v>1</v>
      </c>
      <c r="I33" s="7">
        <v>5000</v>
      </c>
      <c r="J33" s="5">
        <v>45945</v>
      </c>
      <c r="K33" s="1" t="s">
        <v>30</v>
      </c>
      <c r="L33" s="8">
        <v>0</v>
      </c>
      <c r="M33" s="6"/>
      <c r="N33" s="6"/>
      <c r="O33" s="9">
        <v>3250.71</v>
      </c>
    </row>
    <row r="34" spans="1:15" ht="19.5" customHeight="1">
      <c r="A34" s="1" t="s">
        <v>881</v>
      </c>
      <c r="B34" s="5">
        <v>45950</v>
      </c>
      <c r="C34" s="1" t="s">
        <v>31</v>
      </c>
      <c r="D34" s="1" t="s">
        <v>33</v>
      </c>
      <c r="E34" s="1" t="s">
        <v>245</v>
      </c>
      <c r="F34" s="1" t="s">
        <v>515</v>
      </c>
      <c r="G34" s="1" t="s">
        <v>41</v>
      </c>
      <c r="H34" s="6">
        <v>1</v>
      </c>
      <c r="I34" s="7">
        <v>5000</v>
      </c>
      <c r="J34" s="5">
        <v>45945</v>
      </c>
      <c r="K34" s="1" t="s">
        <v>30</v>
      </c>
      <c r="L34" s="8">
        <v>0</v>
      </c>
      <c r="M34" s="6"/>
      <c r="N34" s="6"/>
      <c r="O34" s="9">
        <v>0</v>
      </c>
    </row>
    <row r="35" spans="1:15" ht="19.5" customHeight="1">
      <c r="A35" s="1" t="s">
        <v>881</v>
      </c>
      <c r="B35" s="5">
        <v>45950</v>
      </c>
      <c r="C35" s="1" t="s">
        <v>31</v>
      </c>
      <c r="D35" s="1" t="s">
        <v>34</v>
      </c>
      <c r="E35" s="1" t="s">
        <v>245</v>
      </c>
      <c r="F35" s="1" t="s">
        <v>515</v>
      </c>
      <c r="G35" s="1" t="s">
        <v>41</v>
      </c>
      <c r="H35" s="6">
        <v>1</v>
      </c>
      <c r="I35" s="7">
        <v>5000</v>
      </c>
      <c r="J35" s="5">
        <v>45945</v>
      </c>
      <c r="K35" s="1" t="s">
        <v>30</v>
      </c>
      <c r="L35" s="8">
        <v>0</v>
      </c>
      <c r="M35" s="6"/>
      <c r="N35" s="6"/>
      <c r="O35" s="9">
        <v>1749.29</v>
      </c>
    </row>
    <row r="36" spans="1:15" ht="19.5" customHeight="1">
      <c r="A36" s="1" t="s">
        <v>881</v>
      </c>
      <c r="B36" s="5">
        <v>45950</v>
      </c>
      <c r="C36" s="1" t="s">
        <v>35</v>
      </c>
      <c r="D36" s="1" t="s">
        <v>36</v>
      </c>
      <c r="E36" s="1" t="s">
        <v>245</v>
      </c>
      <c r="F36" s="1" t="s">
        <v>515</v>
      </c>
      <c r="G36" s="1" t="s">
        <v>41</v>
      </c>
      <c r="H36" s="6">
        <v>1</v>
      </c>
      <c r="I36" s="7">
        <v>5000</v>
      </c>
      <c r="J36" s="5">
        <v>45945</v>
      </c>
      <c r="K36" s="1" t="s">
        <v>30</v>
      </c>
      <c r="L36" s="8">
        <v>0.34</v>
      </c>
      <c r="M36" s="6"/>
      <c r="N36" s="6"/>
      <c r="O36" s="9">
        <v>-1700</v>
      </c>
    </row>
    <row r="37" spans="1:15" ht="19.5" customHeight="1">
      <c r="A37" s="1" t="s">
        <v>881</v>
      </c>
      <c r="B37" s="5">
        <v>45950</v>
      </c>
      <c r="C37" s="1" t="s">
        <v>17</v>
      </c>
      <c r="D37" s="1" t="s">
        <v>37</v>
      </c>
      <c r="E37" s="1" t="s">
        <v>245</v>
      </c>
      <c r="F37" s="1" t="s">
        <v>515</v>
      </c>
      <c r="G37" s="1" t="s">
        <v>41</v>
      </c>
      <c r="H37" s="6">
        <v>1</v>
      </c>
      <c r="I37" s="7">
        <v>5000</v>
      </c>
      <c r="J37" s="5">
        <v>45945</v>
      </c>
      <c r="K37" s="1" t="s">
        <v>30</v>
      </c>
      <c r="L37" s="8">
        <v>0.34</v>
      </c>
      <c r="M37" s="6"/>
      <c r="N37" s="6"/>
      <c r="O37" s="9">
        <v>-12.04</v>
      </c>
    </row>
    <row r="38" spans="1:15" ht="19.5" customHeight="1">
      <c r="A38" s="1" t="s">
        <v>844</v>
      </c>
      <c r="B38" s="5">
        <v>45950</v>
      </c>
      <c r="C38" s="1" t="s">
        <v>28</v>
      </c>
      <c r="D38" s="1" t="s">
        <v>60</v>
      </c>
      <c r="E38" s="1" t="s">
        <v>98</v>
      </c>
      <c r="F38" s="1" t="s">
        <v>99</v>
      </c>
      <c r="G38" s="1" t="s">
        <v>41</v>
      </c>
      <c r="H38" s="6">
        <v>1</v>
      </c>
      <c r="I38" s="7">
        <v>0</v>
      </c>
      <c r="J38" s="5">
        <v>45945</v>
      </c>
      <c r="K38" s="1" t="s">
        <v>30</v>
      </c>
      <c r="L38" s="8">
        <v>0</v>
      </c>
      <c r="M38" s="6"/>
      <c r="N38" s="6"/>
      <c r="O38" s="9">
        <v>0</v>
      </c>
    </row>
    <row r="39" spans="1:15" ht="19.5" customHeight="1">
      <c r="A39" s="1" t="s">
        <v>844</v>
      </c>
      <c r="B39" s="5">
        <v>45950</v>
      </c>
      <c r="C39" s="1" t="s">
        <v>28</v>
      </c>
      <c r="D39" s="1" t="s">
        <v>46</v>
      </c>
      <c r="E39" s="1" t="s">
        <v>98</v>
      </c>
      <c r="F39" s="1" t="s">
        <v>99</v>
      </c>
      <c r="G39" s="1" t="s">
        <v>41</v>
      </c>
      <c r="H39" s="6">
        <v>1</v>
      </c>
      <c r="I39" s="7">
        <v>0</v>
      </c>
      <c r="J39" s="5">
        <v>45945</v>
      </c>
      <c r="K39" s="1" t="s">
        <v>30</v>
      </c>
      <c r="L39" s="8">
        <v>0</v>
      </c>
      <c r="M39" s="6"/>
      <c r="N39" s="6"/>
      <c r="O39" s="9">
        <v>-56</v>
      </c>
    </row>
    <row r="40" spans="1:15" ht="19.5" customHeight="1">
      <c r="A40" s="1" t="s">
        <v>844</v>
      </c>
      <c r="B40" s="5">
        <v>45950</v>
      </c>
      <c r="C40" s="1" t="s">
        <v>17</v>
      </c>
      <c r="D40" s="1" t="s">
        <v>47</v>
      </c>
      <c r="E40" s="1" t="s">
        <v>98</v>
      </c>
      <c r="F40" s="1" t="s">
        <v>99</v>
      </c>
      <c r="G40" s="1" t="s">
        <v>41</v>
      </c>
      <c r="H40" s="6">
        <v>1</v>
      </c>
      <c r="I40" s="7">
        <v>0</v>
      </c>
      <c r="J40" s="5">
        <v>45945</v>
      </c>
      <c r="K40" s="1" t="s">
        <v>30</v>
      </c>
      <c r="L40" s="8">
        <v>0</v>
      </c>
      <c r="M40" s="6"/>
      <c r="N40" s="6"/>
      <c r="O40" s="9">
        <v>-15</v>
      </c>
    </row>
    <row r="41" spans="1:15" ht="19.5" customHeight="1">
      <c r="A41" s="1" t="s">
        <v>882</v>
      </c>
      <c r="B41" s="5">
        <v>45950</v>
      </c>
      <c r="C41" s="1" t="s">
        <v>28</v>
      </c>
      <c r="D41" s="1" t="s">
        <v>29</v>
      </c>
      <c r="E41" s="1" t="s">
        <v>25</v>
      </c>
      <c r="F41" s="1" t="s">
        <v>26</v>
      </c>
      <c r="G41" s="1" t="s">
        <v>21</v>
      </c>
      <c r="H41" s="6">
        <v>1</v>
      </c>
      <c r="I41" s="7">
        <v>1738</v>
      </c>
      <c r="J41" s="5">
        <v>45948</v>
      </c>
      <c r="K41" s="1" t="s">
        <v>30</v>
      </c>
      <c r="L41" s="8">
        <v>0.34</v>
      </c>
      <c r="M41" s="6"/>
      <c r="N41" s="6"/>
      <c r="O41" s="9">
        <v>-46</v>
      </c>
    </row>
    <row r="42" spans="1:15" ht="19.5" customHeight="1">
      <c r="A42" s="1" t="s">
        <v>882</v>
      </c>
      <c r="B42" s="5">
        <v>45950</v>
      </c>
      <c r="C42" s="1" t="s">
        <v>31</v>
      </c>
      <c r="D42" s="1" t="s">
        <v>32</v>
      </c>
      <c r="E42" s="1" t="s">
        <v>25</v>
      </c>
      <c r="F42" s="1" t="s">
        <v>26</v>
      </c>
      <c r="G42" s="1" t="s">
        <v>21</v>
      </c>
      <c r="H42" s="6">
        <v>1</v>
      </c>
      <c r="I42" s="7">
        <v>1738</v>
      </c>
      <c r="J42" s="5">
        <v>45948</v>
      </c>
      <c r="K42" s="1" t="s">
        <v>30</v>
      </c>
      <c r="L42" s="8">
        <v>0</v>
      </c>
      <c r="M42" s="6"/>
      <c r="N42" s="6"/>
      <c r="O42" s="9">
        <v>1098.0999999999999</v>
      </c>
    </row>
    <row r="43" spans="1:15" ht="19.5" customHeight="1">
      <c r="A43" s="1" t="s">
        <v>882</v>
      </c>
      <c r="B43" s="5">
        <v>45950</v>
      </c>
      <c r="C43" s="1" t="s">
        <v>31</v>
      </c>
      <c r="D43" s="1" t="s">
        <v>33</v>
      </c>
      <c r="E43" s="1" t="s">
        <v>25</v>
      </c>
      <c r="F43" s="1" t="s">
        <v>26</v>
      </c>
      <c r="G43" s="1" t="s">
        <v>21</v>
      </c>
      <c r="H43" s="6">
        <v>1</v>
      </c>
      <c r="I43" s="7">
        <v>1738</v>
      </c>
      <c r="J43" s="5">
        <v>45948</v>
      </c>
      <c r="K43" s="1" t="s">
        <v>30</v>
      </c>
      <c r="L43" s="8">
        <v>0</v>
      </c>
      <c r="M43" s="6"/>
      <c r="N43" s="6"/>
      <c r="O43" s="9">
        <v>0</v>
      </c>
    </row>
    <row r="44" spans="1:15" ht="19.5" customHeight="1">
      <c r="A44" s="1" t="s">
        <v>882</v>
      </c>
      <c r="B44" s="5">
        <v>45950</v>
      </c>
      <c r="C44" s="1" t="s">
        <v>31</v>
      </c>
      <c r="D44" s="1" t="s">
        <v>34</v>
      </c>
      <c r="E44" s="1" t="s">
        <v>25</v>
      </c>
      <c r="F44" s="1" t="s">
        <v>26</v>
      </c>
      <c r="G44" s="1" t="s">
        <v>21</v>
      </c>
      <c r="H44" s="6">
        <v>1</v>
      </c>
      <c r="I44" s="7">
        <v>1738</v>
      </c>
      <c r="J44" s="5">
        <v>45948</v>
      </c>
      <c r="K44" s="1" t="s">
        <v>30</v>
      </c>
      <c r="L44" s="8">
        <v>0</v>
      </c>
      <c r="M44" s="6"/>
      <c r="N44" s="6"/>
      <c r="O44" s="9">
        <v>639.9</v>
      </c>
    </row>
    <row r="45" spans="1:15" ht="19.5" customHeight="1">
      <c r="A45" s="1" t="s">
        <v>882</v>
      </c>
      <c r="B45" s="5">
        <v>45950</v>
      </c>
      <c r="C45" s="1" t="s">
        <v>35</v>
      </c>
      <c r="D45" s="1" t="s">
        <v>36</v>
      </c>
      <c r="E45" s="1" t="s">
        <v>25</v>
      </c>
      <c r="F45" s="1" t="s">
        <v>26</v>
      </c>
      <c r="G45" s="1" t="s">
        <v>21</v>
      </c>
      <c r="H45" s="6">
        <v>1</v>
      </c>
      <c r="I45" s="7">
        <v>1738</v>
      </c>
      <c r="J45" s="5">
        <v>45948</v>
      </c>
      <c r="K45" s="1" t="s">
        <v>30</v>
      </c>
      <c r="L45" s="8">
        <v>0.34</v>
      </c>
      <c r="M45" s="6"/>
      <c r="N45" s="6"/>
      <c r="O45" s="9">
        <v>-590.91999999999996</v>
      </c>
    </row>
    <row r="46" spans="1:15" ht="19.5" customHeight="1">
      <c r="A46" s="1" t="s">
        <v>882</v>
      </c>
      <c r="B46" s="5">
        <v>45950</v>
      </c>
      <c r="C46" s="1" t="s">
        <v>17</v>
      </c>
      <c r="D46" s="1" t="s">
        <v>37</v>
      </c>
      <c r="E46" s="1" t="s">
        <v>25</v>
      </c>
      <c r="F46" s="1" t="s">
        <v>26</v>
      </c>
      <c r="G46" s="1" t="s">
        <v>21</v>
      </c>
      <c r="H46" s="6">
        <v>1</v>
      </c>
      <c r="I46" s="7">
        <v>1738</v>
      </c>
      <c r="J46" s="5">
        <v>45948</v>
      </c>
      <c r="K46" s="1" t="s">
        <v>30</v>
      </c>
      <c r="L46" s="8">
        <v>0.34</v>
      </c>
      <c r="M46" s="6"/>
      <c r="N46" s="6"/>
      <c r="O46" s="9">
        <v>-9.5</v>
      </c>
    </row>
    <row r="47" spans="1:15" ht="19.5" customHeight="1">
      <c r="A47" s="1" t="s">
        <v>883</v>
      </c>
      <c r="B47" s="5">
        <v>45950</v>
      </c>
      <c r="C47" s="1" t="s">
        <v>28</v>
      </c>
      <c r="D47" s="1" t="s">
        <v>29</v>
      </c>
      <c r="E47" s="1" t="s">
        <v>19</v>
      </c>
      <c r="F47" s="1" t="s">
        <v>20</v>
      </c>
      <c r="G47" s="1" t="s">
        <v>21</v>
      </c>
      <c r="H47" s="6">
        <v>1</v>
      </c>
      <c r="I47" s="7">
        <v>1325</v>
      </c>
      <c r="J47" s="5">
        <v>45949</v>
      </c>
      <c r="K47" s="1" t="s">
        <v>30</v>
      </c>
      <c r="L47" s="8">
        <v>0.34</v>
      </c>
      <c r="M47" s="6"/>
      <c r="N47" s="6"/>
      <c r="O47" s="9">
        <v>-46</v>
      </c>
    </row>
    <row r="48" spans="1:15" ht="19.5" customHeight="1">
      <c r="A48" s="1" t="s">
        <v>883</v>
      </c>
      <c r="B48" s="5">
        <v>45950</v>
      </c>
      <c r="C48" s="1" t="s">
        <v>31</v>
      </c>
      <c r="D48" s="1" t="s">
        <v>32</v>
      </c>
      <c r="E48" s="1" t="s">
        <v>19</v>
      </c>
      <c r="F48" s="1" t="s">
        <v>20</v>
      </c>
      <c r="G48" s="1" t="s">
        <v>21</v>
      </c>
      <c r="H48" s="6">
        <v>1</v>
      </c>
      <c r="I48" s="7">
        <v>1325</v>
      </c>
      <c r="J48" s="5">
        <v>45949</v>
      </c>
      <c r="K48" s="1" t="s">
        <v>30</v>
      </c>
      <c r="L48" s="8">
        <v>0</v>
      </c>
      <c r="M48" s="6"/>
      <c r="N48" s="6"/>
      <c r="O48" s="9">
        <v>723.81</v>
      </c>
    </row>
    <row r="49" spans="1:15" ht="19.5" customHeight="1">
      <c r="A49" s="1" t="s">
        <v>883</v>
      </c>
      <c r="B49" s="5">
        <v>45950</v>
      </c>
      <c r="C49" s="1" t="s">
        <v>31</v>
      </c>
      <c r="D49" s="1" t="s">
        <v>33</v>
      </c>
      <c r="E49" s="1" t="s">
        <v>19</v>
      </c>
      <c r="F49" s="1" t="s">
        <v>20</v>
      </c>
      <c r="G49" s="1" t="s">
        <v>21</v>
      </c>
      <c r="H49" s="6">
        <v>1</v>
      </c>
      <c r="I49" s="7">
        <v>1325</v>
      </c>
      <c r="J49" s="5">
        <v>45949</v>
      </c>
      <c r="K49" s="1" t="s">
        <v>30</v>
      </c>
      <c r="L49" s="8">
        <v>0</v>
      </c>
      <c r="M49" s="6"/>
      <c r="N49" s="6"/>
      <c r="O49" s="9">
        <v>7.24</v>
      </c>
    </row>
    <row r="50" spans="1:15" ht="19.5" customHeight="1">
      <c r="A50" s="1" t="s">
        <v>883</v>
      </c>
      <c r="B50" s="5">
        <v>45950</v>
      </c>
      <c r="C50" s="1" t="s">
        <v>31</v>
      </c>
      <c r="D50" s="1" t="s">
        <v>34</v>
      </c>
      <c r="E50" s="1" t="s">
        <v>19</v>
      </c>
      <c r="F50" s="1" t="s">
        <v>20</v>
      </c>
      <c r="G50" s="1" t="s">
        <v>21</v>
      </c>
      <c r="H50" s="6">
        <v>1</v>
      </c>
      <c r="I50" s="7">
        <v>1325</v>
      </c>
      <c r="J50" s="5">
        <v>45949</v>
      </c>
      <c r="K50" s="1" t="s">
        <v>30</v>
      </c>
      <c r="L50" s="8">
        <v>0</v>
      </c>
      <c r="M50" s="6"/>
      <c r="N50" s="6"/>
      <c r="O50" s="9">
        <v>593.95000000000005</v>
      </c>
    </row>
    <row r="51" spans="1:15" ht="19.5" customHeight="1">
      <c r="A51" s="1" t="s">
        <v>883</v>
      </c>
      <c r="B51" s="5">
        <v>45950</v>
      </c>
      <c r="C51" s="1" t="s">
        <v>35</v>
      </c>
      <c r="D51" s="1" t="s">
        <v>36</v>
      </c>
      <c r="E51" s="1" t="s">
        <v>19</v>
      </c>
      <c r="F51" s="1" t="s">
        <v>20</v>
      </c>
      <c r="G51" s="1" t="s">
        <v>21</v>
      </c>
      <c r="H51" s="6">
        <v>1</v>
      </c>
      <c r="I51" s="7">
        <v>1325</v>
      </c>
      <c r="J51" s="5">
        <v>45949</v>
      </c>
      <c r="K51" s="1" t="s">
        <v>30</v>
      </c>
      <c r="L51" s="8">
        <v>0.34</v>
      </c>
      <c r="M51" s="6"/>
      <c r="N51" s="6"/>
      <c r="O51" s="9">
        <v>-450.5</v>
      </c>
    </row>
    <row r="52" spans="1:15" ht="19.5" customHeight="1">
      <c r="A52" s="1" t="s">
        <v>883</v>
      </c>
      <c r="B52" s="5">
        <v>45950</v>
      </c>
      <c r="C52" s="1" t="s">
        <v>17</v>
      </c>
      <c r="D52" s="1" t="s">
        <v>37</v>
      </c>
      <c r="E52" s="1" t="s">
        <v>19</v>
      </c>
      <c r="F52" s="1" t="s">
        <v>20</v>
      </c>
      <c r="G52" s="1" t="s">
        <v>21</v>
      </c>
      <c r="H52" s="6">
        <v>1</v>
      </c>
      <c r="I52" s="7">
        <v>1325</v>
      </c>
      <c r="J52" s="5">
        <v>45949</v>
      </c>
      <c r="K52" s="1" t="s">
        <v>30</v>
      </c>
      <c r="L52" s="8">
        <v>0.34</v>
      </c>
      <c r="M52" s="6"/>
      <c r="N52" s="6"/>
      <c r="O52" s="9">
        <v>-5.61</v>
      </c>
    </row>
    <row r="53" spans="1:15" ht="19.5" customHeight="1">
      <c r="A53" s="1" t="s">
        <v>884</v>
      </c>
      <c r="B53" s="5">
        <v>45950</v>
      </c>
      <c r="C53" s="1" t="s">
        <v>28</v>
      </c>
      <c r="D53" s="1" t="s">
        <v>29</v>
      </c>
      <c r="E53" s="1" t="s">
        <v>51</v>
      </c>
      <c r="F53" s="1" t="s">
        <v>52</v>
      </c>
      <c r="G53" s="1" t="s">
        <v>41</v>
      </c>
      <c r="H53" s="6">
        <v>1</v>
      </c>
      <c r="I53" s="7">
        <v>5000</v>
      </c>
      <c r="J53" s="5">
        <v>45949</v>
      </c>
      <c r="K53" s="1" t="s">
        <v>30</v>
      </c>
      <c r="L53" s="8">
        <v>0.34</v>
      </c>
      <c r="M53" s="6"/>
      <c r="N53" s="6"/>
      <c r="O53" s="9">
        <v>-56</v>
      </c>
    </row>
    <row r="54" spans="1:15" ht="19.5" customHeight="1">
      <c r="A54" s="1" t="s">
        <v>884</v>
      </c>
      <c r="B54" s="5">
        <v>45950</v>
      </c>
      <c r="C54" s="1" t="s">
        <v>31</v>
      </c>
      <c r="D54" s="1" t="s">
        <v>32</v>
      </c>
      <c r="E54" s="1" t="s">
        <v>51</v>
      </c>
      <c r="F54" s="1" t="s">
        <v>52</v>
      </c>
      <c r="G54" s="1" t="s">
        <v>41</v>
      </c>
      <c r="H54" s="6">
        <v>1</v>
      </c>
      <c r="I54" s="7">
        <v>5000</v>
      </c>
      <c r="J54" s="5">
        <v>45949</v>
      </c>
      <c r="K54" s="1" t="s">
        <v>30</v>
      </c>
      <c r="L54" s="8">
        <v>0</v>
      </c>
      <c r="M54" s="6"/>
      <c r="N54" s="6"/>
      <c r="O54" s="9">
        <v>2602.86</v>
      </c>
    </row>
    <row r="55" spans="1:15" ht="19.5" customHeight="1">
      <c r="A55" s="1" t="s">
        <v>884</v>
      </c>
      <c r="B55" s="5">
        <v>45950</v>
      </c>
      <c r="C55" s="1" t="s">
        <v>31</v>
      </c>
      <c r="D55" s="1" t="s">
        <v>33</v>
      </c>
      <c r="E55" s="1" t="s">
        <v>51</v>
      </c>
      <c r="F55" s="1" t="s">
        <v>52</v>
      </c>
      <c r="G55" s="1" t="s">
        <v>41</v>
      </c>
      <c r="H55" s="6">
        <v>1</v>
      </c>
      <c r="I55" s="7">
        <v>5000</v>
      </c>
      <c r="J55" s="5">
        <v>45949</v>
      </c>
      <c r="K55" s="1" t="s">
        <v>30</v>
      </c>
      <c r="L55" s="8">
        <v>0</v>
      </c>
      <c r="M55" s="6"/>
      <c r="N55" s="6"/>
      <c r="O55" s="9">
        <v>26.03</v>
      </c>
    </row>
    <row r="56" spans="1:15" ht="19.5" customHeight="1">
      <c r="A56" s="1" t="s">
        <v>884</v>
      </c>
      <c r="B56" s="5">
        <v>45950</v>
      </c>
      <c r="C56" s="1" t="s">
        <v>31</v>
      </c>
      <c r="D56" s="1" t="s">
        <v>34</v>
      </c>
      <c r="E56" s="1" t="s">
        <v>51</v>
      </c>
      <c r="F56" s="1" t="s">
        <v>52</v>
      </c>
      <c r="G56" s="1" t="s">
        <v>41</v>
      </c>
      <c r="H56" s="6">
        <v>1</v>
      </c>
      <c r="I56" s="7">
        <v>5000</v>
      </c>
      <c r="J56" s="5">
        <v>45949</v>
      </c>
      <c r="K56" s="1" t="s">
        <v>30</v>
      </c>
      <c r="L56" s="8">
        <v>0</v>
      </c>
      <c r="M56" s="6"/>
      <c r="N56" s="6"/>
      <c r="O56" s="9">
        <v>2371.11</v>
      </c>
    </row>
    <row r="57" spans="1:15" ht="19.5" customHeight="1">
      <c r="A57" s="1" t="s">
        <v>884</v>
      </c>
      <c r="B57" s="5">
        <v>45950</v>
      </c>
      <c r="C57" s="1" t="s">
        <v>35</v>
      </c>
      <c r="D57" s="1" t="s">
        <v>36</v>
      </c>
      <c r="E57" s="1" t="s">
        <v>51</v>
      </c>
      <c r="F57" s="1" t="s">
        <v>52</v>
      </c>
      <c r="G57" s="1" t="s">
        <v>41</v>
      </c>
      <c r="H57" s="6">
        <v>1</v>
      </c>
      <c r="I57" s="7">
        <v>5000</v>
      </c>
      <c r="J57" s="5">
        <v>45949</v>
      </c>
      <c r="K57" s="1" t="s">
        <v>30</v>
      </c>
      <c r="L57" s="8">
        <v>0.34</v>
      </c>
      <c r="M57" s="6"/>
      <c r="N57" s="6"/>
      <c r="O57" s="9">
        <v>-1700</v>
      </c>
    </row>
    <row r="58" spans="1:15" ht="19.5" customHeight="1">
      <c r="A58" s="1" t="s">
        <v>884</v>
      </c>
      <c r="B58" s="5">
        <v>45950</v>
      </c>
      <c r="C58" s="1" t="s">
        <v>17</v>
      </c>
      <c r="D58" s="1" t="s">
        <v>37</v>
      </c>
      <c r="E58" s="1" t="s">
        <v>51</v>
      </c>
      <c r="F58" s="1" t="s">
        <v>52</v>
      </c>
      <c r="G58" s="1" t="s">
        <v>41</v>
      </c>
      <c r="H58" s="6">
        <v>1</v>
      </c>
      <c r="I58" s="7">
        <v>5000</v>
      </c>
      <c r="J58" s="5">
        <v>45949</v>
      </c>
      <c r="K58" s="1" t="s">
        <v>30</v>
      </c>
      <c r="L58" s="8">
        <v>0.34</v>
      </c>
      <c r="M58" s="6"/>
      <c r="N58" s="6"/>
      <c r="O58" s="9">
        <v>-12.51</v>
      </c>
    </row>
    <row r="59" spans="1:15" ht="19.5" customHeight="1">
      <c r="A59" s="1" t="s">
        <v>884</v>
      </c>
      <c r="B59" s="5">
        <v>45950</v>
      </c>
      <c r="C59" s="1" t="s">
        <v>17</v>
      </c>
      <c r="D59" s="1" t="s">
        <v>18</v>
      </c>
      <c r="E59" s="1" t="s">
        <v>51</v>
      </c>
      <c r="F59" s="1" t="s">
        <v>52</v>
      </c>
      <c r="G59" s="1" t="s">
        <v>41</v>
      </c>
      <c r="H59" s="6">
        <v>1</v>
      </c>
      <c r="I59" s="7">
        <v>0</v>
      </c>
      <c r="J59" s="5">
        <v>45949</v>
      </c>
      <c r="K59" s="1" t="s">
        <v>22</v>
      </c>
      <c r="L59" s="8">
        <v>0</v>
      </c>
      <c r="M59" s="6"/>
      <c r="N59" s="6"/>
      <c r="O59" s="9">
        <v>-49.45</v>
      </c>
    </row>
    <row r="60" spans="1:15" ht="19.5" customHeight="1">
      <c r="A60" s="1" t="s">
        <v>22</v>
      </c>
      <c r="B60" s="5">
        <v>45950</v>
      </c>
      <c r="C60" s="1" t="s">
        <v>77</v>
      </c>
      <c r="D60" s="1" t="s">
        <v>78</v>
      </c>
      <c r="E60" s="1" t="s">
        <v>22</v>
      </c>
      <c r="F60" s="1" t="s">
        <v>22</v>
      </c>
      <c r="G60" s="1" t="s">
        <v>885</v>
      </c>
      <c r="H60" s="6">
        <v>0</v>
      </c>
      <c r="I60" s="7">
        <v>0</v>
      </c>
      <c r="J60" s="5">
        <v>45950</v>
      </c>
      <c r="K60" s="1" t="s">
        <v>22</v>
      </c>
      <c r="L60" s="8">
        <v>0</v>
      </c>
      <c r="M60" s="6"/>
      <c r="N60" s="6"/>
      <c r="O60" s="9">
        <v>-200</v>
      </c>
    </row>
    <row r="61" spans="1:15" ht="19.5" customHeight="1">
      <c r="A61" s="1" t="s">
        <v>810</v>
      </c>
      <c r="B61" s="5">
        <v>45950</v>
      </c>
      <c r="C61" s="1" t="s">
        <v>77</v>
      </c>
      <c r="D61" s="1" t="s">
        <v>82</v>
      </c>
      <c r="E61" s="1" t="s">
        <v>22</v>
      </c>
      <c r="F61" s="1" t="s">
        <v>22</v>
      </c>
      <c r="G61" s="1" t="s">
        <v>22</v>
      </c>
      <c r="H61" s="6">
        <v>0</v>
      </c>
      <c r="I61" s="7">
        <v>0</v>
      </c>
      <c r="J61" s="5">
        <v>45950</v>
      </c>
      <c r="K61" s="1" t="s">
        <v>22</v>
      </c>
      <c r="L61" s="8">
        <v>0</v>
      </c>
      <c r="M61" s="6"/>
      <c r="N61" s="6"/>
      <c r="O61" s="9">
        <v>-255.56</v>
      </c>
    </row>
    <row r="62" spans="1:15" ht="19.5" customHeight="1">
      <c r="A62" s="1" t="s">
        <v>811</v>
      </c>
      <c r="B62" s="5">
        <v>45950</v>
      </c>
      <c r="C62" s="1" t="s">
        <v>77</v>
      </c>
      <c r="D62" s="1" t="s">
        <v>82</v>
      </c>
      <c r="E62" s="1" t="s">
        <v>22</v>
      </c>
      <c r="F62" s="1" t="s">
        <v>22</v>
      </c>
      <c r="G62" s="1" t="s">
        <v>22</v>
      </c>
      <c r="H62" s="6">
        <v>0</v>
      </c>
      <c r="I62" s="7">
        <v>0</v>
      </c>
      <c r="J62" s="5">
        <v>45950</v>
      </c>
      <c r="K62" s="1" t="s">
        <v>22</v>
      </c>
      <c r="L62" s="8">
        <v>0</v>
      </c>
      <c r="M62" s="6"/>
      <c r="N62" s="6"/>
      <c r="O62" s="9">
        <v>-10.76</v>
      </c>
    </row>
    <row r="63" spans="1:15" ht="19.5" customHeight="1">
      <c r="A63" s="1" t="s">
        <v>808</v>
      </c>
      <c r="B63" s="5">
        <v>45950</v>
      </c>
      <c r="C63" s="1" t="s">
        <v>77</v>
      </c>
      <c r="D63" s="1" t="s">
        <v>82</v>
      </c>
      <c r="E63" s="1" t="s">
        <v>22</v>
      </c>
      <c r="F63" s="1" t="s">
        <v>22</v>
      </c>
      <c r="G63" s="1" t="s">
        <v>22</v>
      </c>
      <c r="H63" s="6">
        <v>0</v>
      </c>
      <c r="I63" s="7">
        <v>0</v>
      </c>
      <c r="J63" s="5">
        <v>45950</v>
      </c>
      <c r="K63" s="1" t="s">
        <v>22</v>
      </c>
      <c r="L63" s="8">
        <v>0</v>
      </c>
      <c r="M63" s="6"/>
      <c r="N63" s="6"/>
      <c r="O63" s="9">
        <v>-558.47</v>
      </c>
    </row>
    <row r="64" spans="1:15" ht="19.5" customHeight="1">
      <c r="A64" s="1" t="s">
        <v>807</v>
      </c>
      <c r="B64" s="5">
        <v>45950</v>
      </c>
      <c r="C64" s="1" t="s">
        <v>77</v>
      </c>
      <c r="D64" s="1" t="s">
        <v>82</v>
      </c>
      <c r="E64" s="1" t="s">
        <v>22</v>
      </c>
      <c r="F64" s="1" t="s">
        <v>22</v>
      </c>
      <c r="G64" s="1" t="s">
        <v>22</v>
      </c>
      <c r="H64" s="6">
        <v>0</v>
      </c>
      <c r="I64" s="7">
        <v>0</v>
      </c>
      <c r="J64" s="5">
        <v>45950</v>
      </c>
      <c r="K64" s="1" t="s">
        <v>22</v>
      </c>
      <c r="L64" s="8">
        <v>0</v>
      </c>
      <c r="M64" s="6"/>
      <c r="N64" s="6"/>
      <c r="O64" s="9">
        <v>-607.5</v>
      </c>
    </row>
    <row r="65" spans="1:15" ht="19.5" customHeight="1">
      <c r="A65" s="1" t="s">
        <v>83</v>
      </c>
      <c r="B65" s="5">
        <v>45950</v>
      </c>
      <c r="C65" s="1" t="s">
        <v>77</v>
      </c>
      <c r="D65" s="1" t="s">
        <v>84</v>
      </c>
      <c r="E65" s="1" t="s">
        <v>22</v>
      </c>
      <c r="F65" s="1" t="s">
        <v>22</v>
      </c>
      <c r="G65" s="1" t="s">
        <v>22</v>
      </c>
      <c r="H65" s="6">
        <v>0</v>
      </c>
      <c r="I65" s="7">
        <v>0</v>
      </c>
      <c r="J65" s="5">
        <v>45950</v>
      </c>
      <c r="K65" s="1" t="s">
        <v>22</v>
      </c>
      <c r="L65" s="8">
        <v>0</v>
      </c>
      <c r="M65" s="6"/>
      <c r="N65" s="6"/>
      <c r="O65" s="9">
        <v>-523.35</v>
      </c>
    </row>
    <row r="66" spans="1:15" ht="19.5" customHeight="1">
      <c r="A66" s="1" t="s">
        <v>886</v>
      </c>
      <c r="B66" s="5">
        <v>45951</v>
      </c>
      <c r="C66" s="1" t="s">
        <v>28</v>
      </c>
      <c r="D66" s="1" t="s">
        <v>29</v>
      </c>
      <c r="E66" s="1" t="s">
        <v>25</v>
      </c>
      <c r="F66" s="1" t="s">
        <v>26</v>
      </c>
      <c r="G66" s="1" t="s">
        <v>21</v>
      </c>
      <c r="H66" s="6">
        <v>1</v>
      </c>
      <c r="I66" s="7">
        <v>0</v>
      </c>
      <c r="J66" s="5">
        <v>45931</v>
      </c>
      <c r="K66" s="1" t="s">
        <v>30</v>
      </c>
      <c r="L66" s="8">
        <v>0</v>
      </c>
      <c r="M66" s="6"/>
      <c r="N66" s="6"/>
      <c r="O66" s="9">
        <v>-46</v>
      </c>
    </row>
    <row r="67" spans="1:15" ht="19.5" customHeight="1">
      <c r="A67" s="1" t="s">
        <v>886</v>
      </c>
      <c r="B67" s="5">
        <v>45951</v>
      </c>
      <c r="C67" s="1" t="s">
        <v>17</v>
      </c>
      <c r="D67" s="1" t="s">
        <v>37</v>
      </c>
      <c r="E67" s="1" t="s">
        <v>25</v>
      </c>
      <c r="F67" s="1" t="s">
        <v>26</v>
      </c>
      <c r="G67" s="1" t="s">
        <v>21</v>
      </c>
      <c r="H67" s="6">
        <v>1</v>
      </c>
      <c r="I67" s="7">
        <v>0</v>
      </c>
      <c r="J67" s="5">
        <v>45931</v>
      </c>
      <c r="K67" s="1" t="s">
        <v>30</v>
      </c>
      <c r="L67" s="8">
        <v>0</v>
      </c>
      <c r="M67" s="6"/>
      <c r="N67" s="6"/>
      <c r="O67" s="9">
        <v>-16.95</v>
      </c>
    </row>
    <row r="68" spans="1:15" ht="19.5" customHeight="1">
      <c r="A68" s="1" t="s">
        <v>886</v>
      </c>
      <c r="B68" s="5">
        <v>45951</v>
      </c>
      <c r="C68" s="1" t="s">
        <v>28</v>
      </c>
      <c r="D68" s="1" t="s">
        <v>45</v>
      </c>
      <c r="E68" s="1" t="s">
        <v>25</v>
      </c>
      <c r="F68" s="1" t="s">
        <v>26</v>
      </c>
      <c r="G68" s="1" t="s">
        <v>21</v>
      </c>
      <c r="H68" s="6">
        <v>1</v>
      </c>
      <c r="I68" s="7">
        <v>0</v>
      </c>
      <c r="J68" s="5">
        <v>45931</v>
      </c>
      <c r="K68" s="1" t="s">
        <v>30</v>
      </c>
      <c r="L68" s="8">
        <v>0</v>
      </c>
      <c r="M68" s="6"/>
      <c r="N68" s="6"/>
      <c r="O68" s="9">
        <v>0</v>
      </c>
    </row>
    <row r="69" spans="1:15" ht="19.5" customHeight="1">
      <c r="A69" s="1" t="s">
        <v>886</v>
      </c>
      <c r="B69" s="5">
        <v>45951</v>
      </c>
      <c r="C69" s="1" t="s">
        <v>28</v>
      </c>
      <c r="D69" s="1" t="s">
        <v>46</v>
      </c>
      <c r="E69" s="1" t="s">
        <v>25</v>
      </c>
      <c r="F69" s="1" t="s">
        <v>26</v>
      </c>
      <c r="G69" s="1" t="s">
        <v>21</v>
      </c>
      <c r="H69" s="6">
        <v>1</v>
      </c>
      <c r="I69" s="7">
        <v>0</v>
      </c>
      <c r="J69" s="5">
        <v>45931</v>
      </c>
      <c r="K69" s="1" t="s">
        <v>30</v>
      </c>
      <c r="L69" s="8">
        <v>0</v>
      </c>
      <c r="M69" s="6"/>
      <c r="N69" s="6"/>
      <c r="O69" s="9">
        <v>-46</v>
      </c>
    </row>
    <row r="70" spans="1:15" ht="19.5" customHeight="1">
      <c r="A70" s="1" t="s">
        <v>863</v>
      </c>
      <c r="B70" s="5">
        <v>45951</v>
      </c>
      <c r="C70" s="1" t="s">
        <v>28</v>
      </c>
      <c r="D70" s="1" t="s">
        <v>29</v>
      </c>
      <c r="E70" s="1" t="s">
        <v>51</v>
      </c>
      <c r="F70" s="1" t="s">
        <v>52</v>
      </c>
      <c r="G70" s="1" t="s">
        <v>41</v>
      </c>
      <c r="H70" s="6">
        <v>1</v>
      </c>
      <c r="I70" s="7">
        <v>0</v>
      </c>
      <c r="J70" s="5">
        <v>45938</v>
      </c>
      <c r="K70" s="1" t="s">
        <v>30</v>
      </c>
      <c r="L70" s="8">
        <v>0</v>
      </c>
      <c r="M70" s="6"/>
      <c r="N70" s="6"/>
      <c r="O70" s="9">
        <v>-56</v>
      </c>
    </row>
    <row r="71" spans="1:15" ht="19.5" customHeight="1">
      <c r="A71" s="1" t="s">
        <v>863</v>
      </c>
      <c r="B71" s="5">
        <v>45951</v>
      </c>
      <c r="C71" s="1" t="s">
        <v>17</v>
      </c>
      <c r="D71" s="1" t="s">
        <v>37</v>
      </c>
      <c r="E71" s="1" t="s">
        <v>51</v>
      </c>
      <c r="F71" s="1" t="s">
        <v>52</v>
      </c>
      <c r="G71" s="1" t="s">
        <v>41</v>
      </c>
      <c r="H71" s="6">
        <v>1</v>
      </c>
      <c r="I71" s="7">
        <v>0</v>
      </c>
      <c r="J71" s="5">
        <v>45938</v>
      </c>
      <c r="K71" s="1" t="s">
        <v>30</v>
      </c>
      <c r="L71" s="8">
        <v>0</v>
      </c>
      <c r="M71" s="6"/>
      <c r="N71" s="6"/>
      <c r="O71" s="9">
        <v>-10</v>
      </c>
    </row>
    <row r="72" spans="1:15" ht="19.5" customHeight="1">
      <c r="A72" s="1" t="s">
        <v>863</v>
      </c>
      <c r="B72" s="5">
        <v>45951</v>
      </c>
      <c r="C72" s="1" t="s">
        <v>28</v>
      </c>
      <c r="D72" s="1" t="s">
        <v>45</v>
      </c>
      <c r="E72" s="1" t="s">
        <v>51</v>
      </c>
      <c r="F72" s="1" t="s">
        <v>52</v>
      </c>
      <c r="G72" s="1" t="s">
        <v>41</v>
      </c>
      <c r="H72" s="6">
        <v>1</v>
      </c>
      <c r="I72" s="7">
        <v>0</v>
      </c>
      <c r="J72" s="5">
        <v>45938</v>
      </c>
      <c r="K72" s="1" t="s">
        <v>30</v>
      </c>
      <c r="L72" s="8">
        <v>0</v>
      </c>
      <c r="M72" s="6"/>
      <c r="N72" s="6"/>
      <c r="O72" s="9">
        <v>0</v>
      </c>
    </row>
    <row r="73" spans="1:15" ht="19.5" customHeight="1">
      <c r="A73" s="1" t="s">
        <v>863</v>
      </c>
      <c r="B73" s="5">
        <v>45951</v>
      </c>
      <c r="C73" s="1" t="s">
        <v>28</v>
      </c>
      <c r="D73" s="1" t="s">
        <v>46</v>
      </c>
      <c r="E73" s="1" t="s">
        <v>51</v>
      </c>
      <c r="F73" s="1" t="s">
        <v>52</v>
      </c>
      <c r="G73" s="1" t="s">
        <v>41</v>
      </c>
      <c r="H73" s="6">
        <v>1</v>
      </c>
      <c r="I73" s="7">
        <v>0</v>
      </c>
      <c r="J73" s="5">
        <v>45938</v>
      </c>
      <c r="K73" s="1" t="s">
        <v>30</v>
      </c>
      <c r="L73" s="8">
        <v>0</v>
      </c>
      <c r="M73" s="6"/>
      <c r="N73" s="6"/>
      <c r="O73" s="9">
        <v>-56</v>
      </c>
    </row>
    <row r="74" spans="1:15" ht="19.5" customHeight="1">
      <c r="A74" s="1" t="s">
        <v>863</v>
      </c>
      <c r="B74" s="5">
        <v>45951</v>
      </c>
      <c r="C74" s="1" t="s">
        <v>17</v>
      </c>
      <c r="D74" s="1" t="s">
        <v>47</v>
      </c>
      <c r="E74" s="1" t="s">
        <v>51</v>
      </c>
      <c r="F74" s="1" t="s">
        <v>52</v>
      </c>
      <c r="G74" s="1" t="s">
        <v>41</v>
      </c>
      <c r="H74" s="6">
        <v>1</v>
      </c>
      <c r="I74" s="7">
        <v>0</v>
      </c>
      <c r="J74" s="5">
        <v>45938</v>
      </c>
      <c r="K74" s="1" t="s">
        <v>30</v>
      </c>
      <c r="L74" s="8">
        <v>0</v>
      </c>
      <c r="M74" s="6"/>
      <c r="N74" s="6"/>
      <c r="O74" s="9">
        <v>-15</v>
      </c>
    </row>
    <row r="75" spans="1:15" ht="19.5" customHeight="1">
      <c r="A75" s="1" t="s">
        <v>887</v>
      </c>
      <c r="B75" s="5">
        <v>45951</v>
      </c>
      <c r="C75" s="1" t="s">
        <v>28</v>
      </c>
      <c r="D75" s="1" t="s">
        <v>29</v>
      </c>
      <c r="E75" s="1" t="s">
        <v>227</v>
      </c>
      <c r="F75" s="1" t="s">
        <v>402</v>
      </c>
      <c r="G75" s="1" t="s">
        <v>21</v>
      </c>
      <c r="H75" s="6">
        <v>1</v>
      </c>
      <c r="I75" s="7">
        <v>0</v>
      </c>
      <c r="J75" s="5">
        <v>45928</v>
      </c>
      <c r="K75" s="1" t="s">
        <v>30</v>
      </c>
      <c r="L75" s="8">
        <v>0</v>
      </c>
      <c r="M75" s="6"/>
      <c r="N75" s="6"/>
      <c r="O75" s="9">
        <v>-46</v>
      </c>
    </row>
    <row r="76" spans="1:15" ht="19.5" customHeight="1">
      <c r="A76" s="1" t="s">
        <v>887</v>
      </c>
      <c r="B76" s="5">
        <v>45951</v>
      </c>
      <c r="C76" s="1" t="s">
        <v>17</v>
      </c>
      <c r="D76" s="1" t="s">
        <v>37</v>
      </c>
      <c r="E76" s="1" t="s">
        <v>227</v>
      </c>
      <c r="F76" s="1" t="s">
        <v>402</v>
      </c>
      <c r="G76" s="1" t="s">
        <v>21</v>
      </c>
      <c r="H76" s="6">
        <v>1</v>
      </c>
      <c r="I76" s="7">
        <v>0</v>
      </c>
      <c r="J76" s="5">
        <v>45928</v>
      </c>
      <c r="K76" s="1" t="s">
        <v>30</v>
      </c>
      <c r="L76" s="8">
        <v>0</v>
      </c>
      <c r="M76" s="6"/>
      <c r="N76" s="6"/>
      <c r="O76" s="9">
        <v>-7.47</v>
      </c>
    </row>
    <row r="77" spans="1:15" ht="19.5" customHeight="1">
      <c r="A77" s="1" t="s">
        <v>887</v>
      </c>
      <c r="B77" s="5">
        <v>45951</v>
      </c>
      <c r="C77" s="1" t="s">
        <v>28</v>
      </c>
      <c r="D77" s="1" t="s">
        <v>45</v>
      </c>
      <c r="E77" s="1" t="s">
        <v>227</v>
      </c>
      <c r="F77" s="1" t="s">
        <v>402</v>
      </c>
      <c r="G77" s="1" t="s">
        <v>21</v>
      </c>
      <c r="H77" s="6">
        <v>1</v>
      </c>
      <c r="I77" s="7">
        <v>0</v>
      </c>
      <c r="J77" s="5">
        <v>45928</v>
      </c>
      <c r="K77" s="1" t="s">
        <v>30</v>
      </c>
      <c r="L77" s="8">
        <v>0</v>
      </c>
      <c r="M77" s="6"/>
      <c r="N77" s="6"/>
      <c r="O77" s="9">
        <v>0</v>
      </c>
    </row>
    <row r="78" spans="1:15" ht="19.5" customHeight="1">
      <c r="A78" s="1" t="s">
        <v>887</v>
      </c>
      <c r="B78" s="5">
        <v>45951</v>
      </c>
      <c r="C78" s="1" t="s">
        <v>28</v>
      </c>
      <c r="D78" s="1" t="s">
        <v>46</v>
      </c>
      <c r="E78" s="1" t="s">
        <v>227</v>
      </c>
      <c r="F78" s="1" t="s">
        <v>402</v>
      </c>
      <c r="G78" s="1" t="s">
        <v>21</v>
      </c>
      <c r="H78" s="6">
        <v>1</v>
      </c>
      <c r="I78" s="7">
        <v>0</v>
      </c>
      <c r="J78" s="5">
        <v>45928</v>
      </c>
      <c r="K78" s="1" t="s">
        <v>30</v>
      </c>
      <c r="L78" s="8">
        <v>0</v>
      </c>
      <c r="M78" s="6"/>
      <c r="N78" s="6"/>
      <c r="O78" s="9">
        <v>-46</v>
      </c>
    </row>
    <row r="79" spans="1:15" ht="19.5" customHeight="1">
      <c r="A79" s="1" t="s">
        <v>881</v>
      </c>
      <c r="B79" s="5">
        <v>45951</v>
      </c>
      <c r="C79" s="1" t="s">
        <v>126</v>
      </c>
      <c r="D79" s="1" t="s">
        <v>127</v>
      </c>
      <c r="E79" s="1" t="s">
        <v>245</v>
      </c>
      <c r="F79" s="1" t="s">
        <v>515</v>
      </c>
      <c r="G79" s="1" t="s">
        <v>41</v>
      </c>
      <c r="H79" s="6">
        <v>1</v>
      </c>
      <c r="I79" s="7">
        <v>-5000</v>
      </c>
      <c r="J79" s="5">
        <v>45945</v>
      </c>
      <c r="K79" s="1" t="s">
        <v>30</v>
      </c>
      <c r="L79" s="8">
        <v>0</v>
      </c>
      <c r="M79" s="6"/>
      <c r="N79" s="6"/>
      <c r="O79" s="9">
        <v>-3250.71</v>
      </c>
    </row>
    <row r="80" spans="1:15" ht="19.5" customHeight="1">
      <c r="A80" s="1" t="s">
        <v>881</v>
      </c>
      <c r="B80" s="5">
        <v>45951</v>
      </c>
      <c r="C80" s="1" t="s">
        <v>126</v>
      </c>
      <c r="D80" s="1" t="s">
        <v>33</v>
      </c>
      <c r="E80" s="1" t="s">
        <v>245</v>
      </c>
      <c r="F80" s="1" t="s">
        <v>515</v>
      </c>
      <c r="G80" s="1" t="s">
        <v>41</v>
      </c>
      <c r="H80" s="6">
        <v>1</v>
      </c>
      <c r="I80" s="7">
        <v>-5000</v>
      </c>
      <c r="J80" s="5">
        <v>45945</v>
      </c>
      <c r="K80" s="1" t="s">
        <v>30</v>
      </c>
      <c r="L80" s="8">
        <v>0</v>
      </c>
      <c r="M80" s="6"/>
      <c r="N80" s="6"/>
      <c r="O80" s="9">
        <v>0</v>
      </c>
    </row>
    <row r="81" spans="1:15" ht="19.5" customHeight="1">
      <c r="A81" s="1" t="s">
        <v>881</v>
      </c>
      <c r="B81" s="5">
        <v>45951</v>
      </c>
      <c r="C81" s="1" t="s">
        <v>126</v>
      </c>
      <c r="D81" s="1" t="s">
        <v>34</v>
      </c>
      <c r="E81" s="1" t="s">
        <v>245</v>
      </c>
      <c r="F81" s="1" t="s">
        <v>515</v>
      </c>
      <c r="G81" s="1" t="s">
        <v>41</v>
      </c>
      <c r="H81" s="6">
        <v>1</v>
      </c>
      <c r="I81" s="7">
        <v>-5000</v>
      </c>
      <c r="J81" s="5">
        <v>45945</v>
      </c>
      <c r="K81" s="1" t="s">
        <v>30</v>
      </c>
      <c r="L81" s="8">
        <v>0</v>
      </c>
      <c r="M81" s="6"/>
      <c r="N81" s="6"/>
      <c r="O81" s="9">
        <v>-1749.29</v>
      </c>
    </row>
    <row r="82" spans="1:15" ht="19.5" customHeight="1">
      <c r="A82" s="1" t="s">
        <v>881</v>
      </c>
      <c r="B82" s="5">
        <v>45951</v>
      </c>
      <c r="C82" s="1" t="s">
        <v>35</v>
      </c>
      <c r="D82" s="1" t="s">
        <v>128</v>
      </c>
      <c r="E82" s="1" t="s">
        <v>245</v>
      </c>
      <c r="F82" s="1" t="s">
        <v>515</v>
      </c>
      <c r="G82" s="1" t="s">
        <v>41</v>
      </c>
      <c r="H82" s="6">
        <v>1</v>
      </c>
      <c r="I82" s="7">
        <v>-5000</v>
      </c>
      <c r="J82" s="5">
        <v>45945</v>
      </c>
      <c r="K82" s="1" t="s">
        <v>30</v>
      </c>
      <c r="L82" s="8">
        <v>0.34</v>
      </c>
      <c r="M82" s="6"/>
      <c r="N82" s="6"/>
      <c r="O82" s="9">
        <v>1700</v>
      </c>
    </row>
    <row r="83" spans="1:15" ht="19.5" customHeight="1">
      <c r="A83" s="1" t="s">
        <v>888</v>
      </c>
      <c r="B83" s="5">
        <v>45951</v>
      </c>
      <c r="C83" s="1" t="s">
        <v>28</v>
      </c>
      <c r="D83" s="1" t="s">
        <v>29</v>
      </c>
      <c r="E83" s="1" t="s">
        <v>25</v>
      </c>
      <c r="F83" s="1" t="s">
        <v>26</v>
      </c>
      <c r="G83" s="1" t="s">
        <v>21</v>
      </c>
      <c r="H83" s="6">
        <v>1</v>
      </c>
      <c r="I83" s="7">
        <v>0</v>
      </c>
      <c r="J83" s="5">
        <v>45941</v>
      </c>
      <c r="K83" s="1" t="s">
        <v>30</v>
      </c>
      <c r="L83" s="8">
        <v>0</v>
      </c>
      <c r="M83" s="6"/>
      <c r="N83" s="6"/>
      <c r="O83" s="9">
        <v>-46</v>
      </c>
    </row>
    <row r="84" spans="1:15" ht="19.5" customHeight="1">
      <c r="A84" s="1" t="s">
        <v>888</v>
      </c>
      <c r="B84" s="5">
        <v>45951</v>
      </c>
      <c r="C84" s="1" t="s">
        <v>17</v>
      </c>
      <c r="D84" s="1" t="s">
        <v>37</v>
      </c>
      <c r="E84" s="1" t="s">
        <v>25</v>
      </c>
      <c r="F84" s="1" t="s">
        <v>26</v>
      </c>
      <c r="G84" s="1" t="s">
        <v>21</v>
      </c>
      <c r="H84" s="6">
        <v>1</v>
      </c>
      <c r="I84" s="7">
        <v>0</v>
      </c>
      <c r="J84" s="5">
        <v>45941</v>
      </c>
      <c r="K84" s="1" t="s">
        <v>30</v>
      </c>
      <c r="L84" s="8">
        <v>0</v>
      </c>
      <c r="M84" s="6"/>
      <c r="N84" s="6"/>
      <c r="O84" s="9">
        <v>-4.5999999999999996</v>
      </c>
    </row>
    <row r="85" spans="1:15" ht="19.5" customHeight="1">
      <c r="A85" s="1" t="s">
        <v>820</v>
      </c>
      <c r="B85" s="5">
        <v>45951</v>
      </c>
      <c r="C85" s="1" t="s">
        <v>17</v>
      </c>
      <c r="D85" s="1" t="s">
        <v>18</v>
      </c>
      <c r="E85" s="1" t="s">
        <v>245</v>
      </c>
      <c r="F85" s="1" t="s">
        <v>515</v>
      </c>
      <c r="G85" s="1" t="s">
        <v>41</v>
      </c>
      <c r="H85" s="6">
        <v>1</v>
      </c>
      <c r="I85" s="7">
        <v>0</v>
      </c>
      <c r="J85" s="5">
        <v>45945</v>
      </c>
      <c r="K85" s="1" t="s">
        <v>22</v>
      </c>
      <c r="L85" s="8">
        <v>0</v>
      </c>
      <c r="M85" s="6"/>
      <c r="N85" s="6"/>
      <c r="O85" s="9">
        <v>17.88</v>
      </c>
    </row>
    <row r="86" spans="1:15" ht="19.5" customHeight="1">
      <c r="A86" s="1" t="s">
        <v>888</v>
      </c>
      <c r="B86" s="5">
        <v>45951</v>
      </c>
      <c r="C86" s="1" t="s">
        <v>28</v>
      </c>
      <c r="D86" s="1" t="s">
        <v>45</v>
      </c>
      <c r="E86" s="1" t="s">
        <v>25</v>
      </c>
      <c r="F86" s="1" t="s">
        <v>26</v>
      </c>
      <c r="G86" s="1" t="s">
        <v>21</v>
      </c>
      <c r="H86" s="6">
        <v>1</v>
      </c>
      <c r="I86" s="7">
        <v>0</v>
      </c>
      <c r="J86" s="5">
        <v>45941</v>
      </c>
      <c r="K86" s="1" t="s">
        <v>30</v>
      </c>
      <c r="L86" s="8">
        <v>0</v>
      </c>
      <c r="M86" s="6"/>
      <c r="N86" s="6"/>
      <c r="O86" s="9">
        <v>0</v>
      </c>
    </row>
    <row r="87" spans="1:15" ht="19.5" customHeight="1">
      <c r="A87" s="1" t="s">
        <v>888</v>
      </c>
      <c r="B87" s="5">
        <v>45951</v>
      </c>
      <c r="C87" s="1" t="s">
        <v>28</v>
      </c>
      <c r="D87" s="1" t="s">
        <v>46</v>
      </c>
      <c r="E87" s="1" t="s">
        <v>25</v>
      </c>
      <c r="F87" s="1" t="s">
        <v>26</v>
      </c>
      <c r="G87" s="1" t="s">
        <v>21</v>
      </c>
      <c r="H87" s="6">
        <v>1</v>
      </c>
      <c r="I87" s="7">
        <v>0</v>
      </c>
      <c r="J87" s="5">
        <v>45941</v>
      </c>
      <c r="K87" s="1" t="s">
        <v>30</v>
      </c>
      <c r="L87" s="8">
        <v>0</v>
      </c>
      <c r="M87" s="6"/>
      <c r="N87" s="6"/>
      <c r="O87" s="9">
        <v>-80</v>
      </c>
    </row>
    <row r="88" spans="1:15" ht="19.5" customHeight="1">
      <c r="A88" s="1" t="s">
        <v>888</v>
      </c>
      <c r="B88" s="5">
        <v>45951</v>
      </c>
      <c r="C88" s="1" t="s">
        <v>17</v>
      </c>
      <c r="D88" s="1" t="s">
        <v>47</v>
      </c>
      <c r="E88" s="1" t="s">
        <v>25</v>
      </c>
      <c r="F88" s="1" t="s">
        <v>26</v>
      </c>
      <c r="G88" s="1" t="s">
        <v>21</v>
      </c>
      <c r="H88" s="6">
        <v>1</v>
      </c>
      <c r="I88" s="7">
        <v>0</v>
      </c>
      <c r="J88" s="5">
        <v>45941</v>
      </c>
      <c r="K88" s="1" t="s">
        <v>30</v>
      </c>
      <c r="L88" s="8">
        <v>0</v>
      </c>
      <c r="M88" s="6"/>
      <c r="N88" s="6"/>
      <c r="O88" s="9">
        <v>-15</v>
      </c>
    </row>
    <row r="89" spans="1:15" ht="19.5" customHeight="1">
      <c r="A89" s="1" t="s">
        <v>889</v>
      </c>
      <c r="B89" s="5">
        <v>45951</v>
      </c>
      <c r="C89" s="1" t="s">
        <v>28</v>
      </c>
      <c r="D89" s="1" t="s">
        <v>29</v>
      </c>
      <c r="E89" s="1" t="s">
        <v>66</v>
      </c>
      <c r="F89" s="1" t="s">
        <v>67</v>
      </c>
      <c r="G89" s="1" t="s">
        <v>41</v>
      </c>
      <c r="H89" s="6">
        <v>1</v>
      </c>
      <c r="I89" s="7">
        <v>3690</v>
      </c>
      <c r="J89" s="5">
        <v>45942</v>
      </c>
      <c r="K89" s="1" t="s">
        <v>30</v>
      </c>
      <c r="L89" s="8">
        <v>0.24</v>
      </c>
      <c r="M89" s="6"/>
      <c r="N89" s="6"/>
      <c r="O89" s="9">
        <v>-56</v>
      </c>
    </row>
    <row r="90" spans="1:15" ht="19.5" customHeight="1">
      <c r="A90" s="1" t="s">
        <v>889</v>
      </c>
      <c r="B90" s="5">
        <v>45951</v>
      </c>
      <c r="C90" s="1" t="s">
        <v>31</v>
      </c>
      <c r="D90" s="1" t="s">
        <v>32</v>
      </c>
      <c r="E90" s="1" t="s">
        <v>66</v>
      </c>
      <c r="F90" s="1" t="s">
        <v>67</v>
      </c>
      <c r="G90" s="1" t="s">
        <v>41</v>
      </c>
      <c r="H90" s="6">
        <v>1</v>
      </c>
      <c r="I90" s="7">
        <v>3690</v>
      </c>
      <c r="J90" s="5">
        <v>45942</v>
      </c>
      <c r="K90" s="1" t="s">
        <v>30</v>
      </c>
      <c r="L90" s="8">
        <v>0</v>
      </c>
      <c r="M90" s="6"/>
      <c r="N90" s="6"/>
      <c r="O90" s="9">
        <v>2323</v>
      </c>
    </row>
    <row r="91" spans="1:15" ht="19.5" customHeight="1">
      <c r="A91" s="1" t="s">
        <v>889</v>
      </c>
      <c r="B91" s="5">
        <v>45951</v>
      </c>
      <c r="C91" s="1" t="s">
        <v>31</v>
      </c>
      <c r="D91" s="1" t="s">
        <v>33</v>
      </c>
      <c r="E91" s="1" t="s">
        <v>66</v>
      </c>
      <c r="F91" s="1" t="s">
        <v>67</v>
      </c>
      <c r="G91" s="1" t="s">
        <v>41</v>
      </c>
      <c r="H91" s="6">
        <v>1</v>
      </c>
      <c r="I91" s="7">
        <v>3690</v>
      </c>
      <c r="J91" s="5">
        <v>45942</v>
      </c>
      <c r="K91" s="1" t="s">
        <v>30</v>
      </c>
      <c r="L91" s="8">
        <v>0</v>
      </c>
      <c r="M91" s="6"/>
      <c r="N91" s="6"/>
      <c r="O91" s="9">
        <v>23.23</v>
      </c>
    </row>
    <row r="92" spans="1:15" ht="19.5" customHeight="1">
      <c r="A92" s="1" t="s">
        <v>889</v>
      </c>
      <c r="B92" s="5">
        <v>45951</v>
      </c>
      <c r="C92" s="1" t="s">
        <v>31</v>
      </c>
      <c r="D92" s="1" t="s">
        <v>34</v>
      </c>
      <c r="E92" s="1" t="s">
        <v>66</v>
      </c>
      <c r="F92" s="1" t="s">
        <v>67</v>
      </c>
      <c r="G92" s="1" t="s">
        <v>41</v>
      </c>
      <c r="H92" s="6">
        <v>1</v>
      </c>
      <c r="I92" s="7">
        <v>3690</v>
      </c>
      <c r="J92" s="5">
        <v>45942</v>
      </c>
      <c r="K92" s="1" t="s">
        <v>30</v>
      </c>
      <c r="L92" s="8">
        <v>0</v>
      </c>
      <c r="M92" s="6"/>
      <c r="N92" s="6"/>
      <c r="O92" s="9">
        <v>1343.77</v>
      </c>
    </row>
    <row r="93" spans="1:15" ht="19.5" customHeight="1">
      <c r="A93" s="1" t="s">
        <v>889</v>
      </c>
      <c r="B93" s="5">
        <v>45951</v>
      </c>
      <c r="C93" s="1" t="s">
        <v>35</v>
      </c>
      <c r="D93" s="1" t="s">
        <v>36</v>
      </c>
      <c r="E93" s="1" t="s">
        <v>66</v>
      </c>
      <c r="F93" s="1" t="s">
        <v>67</v>
      </c>
      <c r="G93" s="1" t="s">
        <v>41</v>
      </c>
      <c r="H93" s="6">
        <v>1</v>
      </c>
      <c r="I93" s="7">
        <v>3690</v>
      </c>
      <c r="J93" s="5">
        <v>45942</v>
      </c>
      <c r="K93" s="1" t="s">
        <v>30</v>
      </c>
      <c r="L93" s="8">
        <v>0.24</v>
      </c>
      <c r="M93" s="6"/>
      <c r="N93" s="6"/>
      <c r="O93" s="9">
        <v>-885.6</v>
      </c>
    </row>
    <row r="94" spans="1:15" ht="19.5" customHeight="1">
      <c r="A94" s="1" t="s">
        <v>889</v>
      </c>
      <c r="B94" s="5">
        <v>45951</v>
      </c>
      <c r="C94" s="1" t="s">
        <v>17</v>
      </c>
      <c r="D94" s="1" t="s">
        <v>37</v>
      </c>
      <c r="E94" s="1" t="s">
        <v>66</v>
      </c>
      <c r="F94" s="1" t="s">
        <v>67</v>
      </c>
      <c r="G94" s="1" t="s">
        <v>41</v>
      </c>
      <c r="H94" s="6">
        <v>1</v>
      </c>
      <c r="I94" s="7">
        <v>3690</v>
      </c>
      <c r="J94" s="5">
        <v>45942</v>
      </c>
      <c r="K94" s="1" t="s">
        <v>30</v>
      </c>
      <c r="L94" s="8">
        <v>0.24</v>
      </c>
      <c r="M94" s="6"/>
      <c r="N94" s="6"/>
      <c r="O94" s="9">
        <v>-11.99</v>
      </c>
    </row>
    <row r="95" spans="1:15" ht="19.5" customHeight="1">
      <c r="A95" s="1" t="s">
        <v>889</v>
      </c>
      <c r="B95" s="5">
        <v>45951</v>
      </c>
      <c r="C95" s="1" t="s">
        <v>17</v>
      </c>
      <c r="D95" s="1" t="s">
        <v>18</v>
      </c>
      <c r="E95" s="1" t="s">
        <v>66</v>
      </c>
      <c r="F95" s="1" t="s">
        <v>67</v>
      </c>
      <c r="G95" s="1" t="s">
        <v>41</v>
      </c>
      <c r="H95" s="6">
        <v>1</v>
      </c>
      <c r="I95" s="7">
        <v>0</v>
      </c>
      <c r="J95" s="5">
        <v>45942</v>
      </c>
      <c r="K95" s="1" t="s">
        <v>22</v>
      </c>
      <c r="L95" s="8">
        <v>0</v>
      </c>
      <c r="M95" s="6"/>
      <c r="N95" s="6"/>
      <c r="O95" s="9">
        <v>-44.14</v>
      </c>
    </row>
    <row r="96" spans="1:15" ht="19.5" customHeight="1">
      <c r="A96" s="1" t="s">
        <v>890</v>
      </c>
      <c r="B96" s="5">
        <v>45951</v>
      </c>
      <c r="C96" s="1" t="s">
        <v>28</v>
      </c>
      <c r="D96" s="1" t="s">
        <v>29</v>
      </c>
      <c r="E96" s="1" t="s">
        <v>226</v>
      </c>
      <c r="F96" s="1" t="s">
        <v>428</v>
      </c>
      <c r="G96" s="1" t="s">
        <v>21</v>
      </c>
      <c r="H96" s="6">
        <v>1</v>
      </c>
      <c r="I96" s="7">
        <v>1161</v>
      </c>
      <c r="J96" s="5">
        <v>45947</v>
      </c>
      <c r="K96" s="1" t="s">
        <v>30</v>
      </c>
      <c r="L96" s="8">
        <v>0.34</v>
      </c>
      <c r="M96" s="6"/>
      <c r="N96" s="6"/>
      <c r="O96" s="9">
        <v>-46</v>
      </c>
    </row>
    <row r="97" spans="1:15" ht="19.5" customHeight="1">
      <c r="A97" s="1" t="s">
        <v>890</v>
      </c>
      <c r="B97" s="5">
        <v>45951</v>
      </c>
      <c r="C97" s="1" t="s">
        <v>31</v>
      </c>
      <c r="D97" s="1" t="s">
        <v>32</v>
      </c>
      <c r="E97" s="1" t="s">
        <v>226</v>
      </c>
      <c r="F97" s="1" t="s">
        <v>428</v>
      </c>
      <c r="G97" s="1" t="s">
        <v>21</v>
      </c>
      <c r="H97" s="6">
        <v>1</v>
      </c>
      <c r="I97" s="7">
        <v>1161</v>
      </c>
      <c r="J97" s="5">
        <v>45947</v>
      </c>
      <c r="K97" s="1" t="s">
        <v>30</v>
      </c>
      <c r="L97" s="8">
        <v>0</v>
      </c>
      <c r="M97" s="6"/>
      <c r="N97" s="6"/>
      <c r="O97" s="9">
        <v>632.38</v>
      </c>
    </row>
    <row r="98" spans="1:15" ht="19.5" customHeight="1">
      <c r="A98" s="1" t="s">
        <v>890</v>
      </c>
      <c r="B98" s="5">
        <v>45951</v>
      </c>
      <c r="C98" s="1" t="s">
        <v>31</v>
      </c>
      <c r="D98" s="1" t="s">
        <v>33</v>
      </c>
      <c r="E98" s="1" t="s">
        <v>226</v>
      </c>
      <c r="F98" s="1" t="s">
        <v>428</v>
      </c>
      <c r="G98" s="1" t="s">
        <v>21</v>
      </c>
      <c r="H98" s="6">
        <v>1</v>
      </c>
      <c r="I98" s="7">
        <v>1161</v>
      </c>
      <c r="J98" s="5">
        <v>45947</v>
      </c>
      <c r="K98" s="1" t="s">
        <v>30</v>
      </c>
      <c r="L98" s="8">
        <v>0</v>
      </c>
      <c r="M98" s="6"/>
      <c r="N98" s="6"/>
      <c r="O98" s="9">
        <v>6.32</v>
      </c>
    </row>
    <row r="99" spans="1:15" ht="19.5" customHeight="1">
      <c r="A99" s="1" t="s">
        <v>890</v>
      </c>
      <c r="B99" s="5">
        <v>45951</v>
      </c>
      <c r="C99" s="1" t="s">
        <v>31</v>
      </c>
      <c r="D99" s="1" t="s">
        <v>34</v>
      </c>
      <c r="E99" s="1" t="s">
        <v>226</v>
      </c>
      <c r="F99" s="1" t="s">
        <v>428</v>
      </c>
      <c r="G99" s="1" t="s">
        <v>21</v>
      </c>
      <c r="H99" s="6">
        <v>1</v>
      </c>
      <c r="I99" s="7">
        <v>1161</v>
      </c>
      <c r="J99" s="5">
        <v>45947</v>
      </c>
      <c r="K99" s="1" t="s">
        <v>30</v>
      </c>
      <c r="L99" s="8">
        <v>0</v>
      </c>
      <c r="M99" s="6"/>
      <c r="N99" s="6"/>
      <c r="O99" s="9">
        <v>522.29999999999995</v>
      </c>
    </row>
    <row r="100" spans="1:15" ht="19.5" customHeight="1">
      <c r="A100" s="1" t="s">
        <v>890</v>
      </c>
      <c r="B100" s="5">
        <v>45951</v>
      </c>
      <c r="C100" s="1" t="s">
        <v>35</v>
      </c>
      <c r="D100" s="1" t="s">
        <v>36</v>
      </c>
      <c r="E100" s="1" t="s">
        <v>226</v>
      </c>
      <c r="F100" s="1" t="s">
        <v>428</v>
      </c>
      <c r="G100" s="1" t="s">
        <v>21</v>
      </c>
      <c r="H100" s="6">
        <v>1</v>
      </c>
      <c r="I100" s="7">
        <v>1161</v>
      </c>
      <c r="J100" s="5">
        <v>45947</v>
      </c>
      <c r="K100" s="1" t="s">
        <v>30</v>
      </c>
      <c r="L100" s="8">
        <v>0.34</v>
      </c>
      <c r="M100" s="6"/>
      <c r="N100" s="6"/>
      <c r="O100" s="9">
        <v>-394.74</v>
      </c>
    </row>
    <row r="101" spans="1:15" ht="19.5" customHeight="1">
      <c r="A101" s="1" t="s">
        <v>890</v>
      </c>
      <c r="B101" s="5">
        <v>45951</v>
      </c>
      <c r="C101" s="1" t="s">
        <v>17</v>
      </c>
      <c r="D101" s="1" t="s">
        <v>37</v>
      </c>
      <c r="E101" s="1" t="s">
        <v>226</v>
      </c>
      <c r="F101" s="1" t="s">
        <v>428</v>
      </c>
      <c r="G101" s="1" t="s">
        <v>21</v>
      </c>
      <c r="H101" s="6">
        <v>1</v>
      </c>
      <c r="I101" s="7">
        <v>1161</v>
      </c>
      <c r="J101" s="5">
        <v>45947</v>
      </c>
      <c r="K101" s="1" t="s">
        <v>30</v>
      </c>
      <c r="L101" s="8">
        <v>0.34</v>
      </c>
      <c r="M101" s="6"/>
      <c r="N101" s="6"/>
      <c r="O101" s="9">
        <v>-6.2</v>
      </c>
    </row>
    <row r="102" spans="1:15" ht="19.5" customHeight="1">
      <c r="A102" s="1" t="s">
        <v>890</v>
      </c>
      <c r="B102" s="5">
        <v>45951</v>
      </c>
      <c r="C102" s="1" t="s">
        <v>17</v>
      </c>
      <c r="D102" s="1" t="s">
        <v>18</v>
      </c>
      <c r="E102" s="1" t="s">
        <v>226</v>
      </c>
      <c r="F102" s="1" t="s">
        <v>428</v>
      </c>
      <c r="G102" s="1" t="s">
        <v>21</v>
      </c>
      <c r="H102" s="6">
        <v>1</v>
      </c>
      <c r="I102" s="7">
        <v>0</v>
      </c>
      <c r="J102" s="5">
        <v>45947</v>
      </c>
      <c r="K102" s="1" t="s">
        <v>22</v>
      </c>
      <c r="L102" s="8">
        <v>0</v>
      </c>
      <c r="M102" s="6"/>
      <c r="N102" s="6"/>
      <c r="O102" s="9">
        <v>-12.02</v>
      </c>
    </row>
    <row r="103" spans="1:15" ht="19.5" customHeight="1">
      <c r="A103" s="1" t="s">
        <v>891</v>
      </c>
      <c r="B103" s="5">
        <v>45951</v>
      </c>
      <c r="C103" s="1" t="s">
        <v>28</v>
      </c>
      <c r="D103" s="1" t="s">
        <v>29</v>
      </c>
      <c r="E103" s="1" t="s">
        <v>19</v>
      </c>
      <c r="F103" s="1" t="s">
        <v>20</v>
      </c>
      <c r="G103" s="1" t="s">
        <v>21</v>
      </c>
      <c r="H103" s="6">
        <v>1</v>
      </c>
      <c r="I103" s="7">
        <v>0</v>
      </c>
      <c r="J103" s="5">
        <v>45948</v>
      </c>
      <c r="K103" s="1" t="s">
        <v>30</v>
      </c>
      <c r="L103" s="8">
        <v>0</v>
      </c>
      <c r="M103" s="6"/>
      <c r="N103" s="6"/>
      <c r="O103" s="9">
        <v>-46</v>
      </c>
    </row>
    <row r="104" spans="1:15" ht="19.5" customHeight="1">
      <c r="A104" s="1" t="s">
        <v>891</v>
      </c>
      <c r="B104" s="5">
        <v>45951</v>
      </c>
      <c r="C104" s="1" t="s">
        <v>17</v>
      </c>
      <c r="D104" s="1" t="s">
        <v>37</v>
      </c>
      <c r="E104" s="1" t="s">
        <v>19</v>
      </c>
      <c r="F104" s="1" t="s">
        <v>20</v>
      </c>
      <c r="G104" s="1" t="s">
        <v>21</v>
      </c>
      <c r="H104" s="6">
        <v>1</v>
      </c>
      <c r="I104" s="7">
        <v>0</v>
      </c>
      <c r="J104" s="5">
        <v>45948</v>
      </c>
      <c r="K104" s="1" t="s">
        <v>30</v>
      </c>
      <c r="L104" s="8">
        <v>0</v>
      </c>
      <c r="M104" s="6"/>
      <c r="N104" s="6"/>
      <c r="O104" s="9">
        <v>-5.81</v>
      </c>
    </row>
    <row r="105" spans="1:15" ht="19.5" customHeight="1">
      <c r="A105" s="1" t="s">
        <v>891</v>
      </c>
      <c r="B105" s="5">
        <v>45951</v>
      </c>
      <c r="C105" s="1" t="s">
        <v>28</v>
      </c>
      <c r="D105" s="1" t="s">
        <v>45</v>
      </c>
      <c r="E105" s="1" t="s">
        <v>19</v>
      </c>
      <c r="F105" s="1" t="s">
        <v>20</v>
      </c>
      <c r="G105" s="1" t="s">
        <v>21</v>
      </c>
      <c r="H105" s="6">
        <v>1</v>
      </c>
      <c r="I105" s="7">
        <v>0</v>
      </c>
      <c r="J105" s="5">
        <v>45948</v>
      </c>
      <c r="K105" s="1" t="s">
        <v>30</v>
      </c>
      <c r="L105" s="8">
        <v>0</v>
      </c>
      <c r="M105" s="6"/>
      <c r="N105" s="6"/>
      <c r="O105" s="9">
        <v>0</v>
      </c>
    </row>
    <row r="106" spans="1:15" ht="19.5" customHeight="1">
      <c r="A106" s="1" t="s">
        <v>891</v>
      </c>
      <c r="B106" s="5">
        <v>45951</v>
      </c>
      <c r="C106" s="1" t="s">
        <v>28</v>
      </c>
      <c r="D106" s="1" t="s">
        <v>46</v>
      </c>
      <c r="E106" s="1" t="s">
        <v>19</v>
      </c>
      <c r="F106" s="1" t="s">
        <v>20</v>
      </c>
      <c r="G106" s="1" t="s">
        <v>21</v>
      </c>
      <c r="H106" s="6">
        <v>1</v>
      </c>
      <c r="I106" s="7">
        <v>0</v>
      </c>
      <c r="J106" s="5">
        <v>45948</v>
      </c>
      <c r="K106" s="1" t="s">
        <v>30</v>
      </c>
      <c r="L106" s="8">
        <v>0</v>
      </c>
      <c r="M106" s="6"/>
      <c r="N106" s="6"/>
      <c r="O106" s="9">
        <v>-46</v>
      </c>
    </row>
    <row r="107" spans="1:15" ht="19.5" customHeight="1">
      <c r="A107" s="1" t="s">
        <v>891</v>
      </c>
      <c r="B107" s="5">
        <v>45951</v>
      </c>
      <c r="C107" s="1" t="s">
        <v>17</v>
      </c>
      <c r="D107" s="1" t="s">
        <v>47</v>
      </c>
      <c r="E107" s="1" t="s">
        <v>19</v>
      </c>
      <c r="F107" s="1" t="s">
        <v>20</v>
      </c>
      <c r="G107" s="1" t="s">
        <v>21</v>
      </c>
      <c r="H107" s="6">
        <v>1</v>
      </c>
      <c r="I107" s="7">
        <v>0</v>
      </c>
      <c r="J107" s="5">
        <v>45948</v>
      </c>
      <c r="K107" s="1" t="s">
        <v>30</v>
      </c>
      <c r="L107" s="8">
        <v>0</v>
      </c>
      <c r="M107" s="6"/>
      <c r="N107" s="6"/>
      <c r="O107" s="9">
        <v>-15</v>
      </c>
    </row>
    <row r="108" spans="1:15" ht="19.5" customHeight="1">
      <c r="A108" s="1" t="s">
        <v>892</v>
      </c>
      <c r="B108" s="5">
        <v>45951</v>
      </c>
      <c r="C108" s="1" t="s">
        <v>28</v>
      </c>
      <c r="D108" s="1" t="s">
        <v>29</v>
      </c>
      <c r="E108" s="1" t="s">
        <v>51</v>
      </c>
      <c r="F108" s="1" t="s">
        <v>52</v>
      </c>
      <c r="G108" s="1" t="s">
        <v>41</v>
      </c>
      <c r="H108" s="6">
        <v>1</v>
      </c>
      <c r="I108" s="7">
        <v>0</v>
      </c>
      <c r="J108" s="5">
        <v>45943</v>
      </c>
      <c r="K108" s="1" t="s">
        <v>30</v>
      </c>
      <c r="L108" s="8">
        <v>0</v>
      </c>
      <c r="M108" s="6"/>
      <c r="N108" s="6"/>
      <c r="O108" s="9">
        <v>-56</v>
      </c>
    </row>
    <row r="109" spans="1:15" ht="19.5" customHeight="1">
      <c r="A109" s="1" t="s">
        <v>892</v>
      </c>
      <c r="B109" s="5">
        <v>45951</v>
      </c>
      <c r="C109" s="1" t="s">
        <v>17</v>
      </c>
      <c r="D109" s="1" t="s">
        <v>37</v>
      </c>
      <c r="E109" s="1" t="s">
        <v>51</v>
      </c>
      <c r="F109" s="1" t="s">
        <v>52</v>
      </c>
      <c r="G109" s="1" t="s">
        <v>41</v>
      </c>
      <c r="H109" s="6">
        <v>1</v>
      </c>
      <c r="I109" s="7">
        <v>0</v>
      </c>
      <c r="J109" s="5">
        <v>45943</v>
      </c>
      <c r="K109" s="1" t="s">
        <v>30</v>
      </c>
      <c r="L109" s="8">
        <v>0</v>
      </c>
      <c r="M109" s="6"/>
      <c r="N109" s="6"/>
      <c r="O109" s="9">
        <v>-8.86</v>
      </c>
    </row>
    <row r="110" spans="1:15" ht="19.5" customHeight="1">
      <c r="A110" s="1" t="s">
        <v>892</v>
      </c>
      <c r="B110" s="5">
        <v>45951</v>
      </c>
      <c r="C110" s="1" t="s">
        <v>28</v>
      </c>
      <c r="D110" s="1" t="s">
        <v>45</v>
      </c>
      <c r="E110" s="1" t="s">
        <v>51</v>
      </c>
      <c r="F110" s="1" t="s">
        <v>52</v>
      </c>
      <c r="G110" s="1" t="s">
        <v>41</v>
      </c>
      <c r="H110" s="6">
        <v>1</v>
      </c>
      <c r="I110" s="7">
        <v>0</v>
      </c>
      <c r="J110" s="5">
        <v>45943</v>
      </c>
      <c r="K110" s="1" t="s">
        <v>30</v>
      </c>
      <c r="L110" s="8">
        <v>0</v>
      </c>
      <c r="M110" s="6"/>
      <c r="N110" s="6"/>
      <c r="O110" s="9">
        <v>0</v>
      </c>
    </row>
    <row r="111" spans="1:15" ht="19.5" customHeight="1">
      <c r="A111" s="1" t="s">
        <v>892</v>
      </c>
      <c r="B111" s="5">
        <v>45951</v>
      </c>
      <c r="C111" s="1" t="s">
        <v>28</v>
      </c>
      <c r="D111" s="1" t="s">
        <v>46</v>
      </c>
      <c r="E111" s="1" t="s">
        <v>51</v>
      </c>
      <c r="F111" s="1" t="s">
        <v>52</v>
      </c>
      <c r="G111" s="1" t="s">
        <v>41</v>
      </c>
      <c r="H111" s="6">
        <v>1</v>
      </c>
      <c r="I111" s="7">
        <v>0</v>
      </c>
      <c r="J111" s="5">
        <v>45943</v>
      </c>
      <c r="K111" s="1" t="s">
        <v>30</v>
      </c>
      <c r="L111" s="8">
        <v>0</v>
      </c>
      <c r="M111" s="6"/>
      <c r="N111" s="6"/>
      <c r="O111" s="9">
        <v>-56</v>
      </c>
    </row>
    <row r="112" spans="1:15" ht="19.5" customHeight="1">
      <c r="A112" s="1" t="s">
        <v>892</v>
      </c>
      <c r="B112" s="5">
        <v>45951</v>
      </c>
      <c r="C112" s="1" t="s">
        <v>17</v>
      </c>
      <c r="D112" s="1" t="s">
        <v>47</v>
      </c>
      <c r="E112" s="1" t="s">
        <v>51</v>
      </c>
      <c r="F112" s="1" t="s">
        <v>52</v>
      </c>
      <c r="G112" s="1" t="s">
        <v>41</v>
      </c>
      <c r="H112" s="6">
        <v>1</v>
      </c>
      <c r="I112" s="7">
        <v>0</v>
      </c>
      <c r="J112" s="5">
        <v>45943</v>
      </c>
      <c r="K112" s="1" t="s">
        <v>30</v>
      </c>
      <c r="L112" s="8">
        <v>0</v>
      </c>
      <c r="M112" s="6"/>
      <c r="N112" s="6"/>
      <c r="O112" s="9">
        <v>-15</v>
      </c>
    </row>
    <row r="113" spans="1:15" ht="19.5" customHeight="1">
      <c r="A113" s="1" t="s">
        <v>893</v>
      </c>
      <c r="B113" s="5">
        <v>45951</v>
      </c>
      <c r="C113" s="1" t="s">
        <v>74</v>
      </c>
      <c r="D113" s="1" t="s">
        <v>75</v>
      </c>
      <c r="E113" s="1" t="s">
        <v>39</v>
      </c>
      <c r="F113" s="1" t="s">
        <v>40</v>
      </c>
      <c r="G113" s="1" t="s">
        <v>41</v>
      </c>
      <c r="H113" s="6">
        <v>1</v>
      </c>
      <c r="I113" s="7">
        <v>0</v>
      </c>
      <c r="J113" s="5">
        <v>45947</v>
      </c>
      <c r="K113" s="1" t="s">
        <v>30</v>
      </c>
      <c r="L113" s="8">
        <v>0</v>
      </c>
      <c r="M113" s="6"/>
      <c r="N113" s="6"/>
      <c r="O113" s="9">
        <v>-5</v>
      </c>
    </row>
    <row r="114" spans="1:15" ht="19.5" customHeight="1">
      <c r="A114" s="1" t="s">
        <v>893</v>
      </c>
      <c r="B114" s="5">
        <v>45951</v>
      </c>
      <c r="C114" s="1" t="s">
        <v>17</v>
      </c>
      <c r="D114" s="1" t="s">
        <v>76</v>
      </c>
      <c r="E114" s="1" t="s">
        <v>39</v>
      </c>
      <c r="F114" s="1" t="s">
        <v>40</v>
      </c>
      <c r="G114" s="1" t="s">
        <v>41</v>
      </c>
      <c r="H114" s="6">
        <v>1</v>
      </c>
      <c r="I114" s="7">
        <v>0</v>
      </c>
      <c r="J114" s="5">
        <v>45947</v>
      </c>
      <c r="K114" s="1" t="s">
        <v>30</v>
      </c>
      <c r="L114" s="8">
        <v>0</v>
      </c>
      <c r="M114" s="6"/>
      <c r="N114" s="6"/>
      <c r="O114" s="9">
        <v>-10</v>
      </c>
    </row>
    <row r="115" spans="1:15" ht="19.5" customHeight="1">
      <c r="A115" s="1" t="s">
        <v>894</v>
      </c>
      <c r="B115" s="5">
        <v>45951</v>
      </c>
      <c r="C115" s="1" t="s">
        <v>28</v>
      </c>
      <c r="D115" s="1" t="s">
        <v>29</v>
      </c>
      <c r="E115" s="1" t="s">
        <v>19</v>
      </c>
      <c r="F115" s="1" t="s">
        <v>20</v>
      </c>
      <c r="G115" s="1" t="s">
        <v>21</v>
      </c>
      <c r="H115" s="6">
        <v>1</v>
      </c>
      <c r="I115" s="7">
        <v>0</v>
      </c>
      <c r="J115" s="5">
        <v>45946</v>
      </c>
      <c r="K115" s="1" t="s">
        <v>30</v>
      </c>
      <c r="L115" s="8">
        <v>0</v>
      </c>
      <c r="M115" s="6"/>
      <c r="N115" s="6"/>
      <c r="O115" s="9">
        <v>-46</v>
      </c>
    </row>
    <row r="116" spans="1:15" ht="19.5" customHeight="1">
      <c r="A116" s="1" t="s">
        <v>894</v>
      </c>
      <c r="B116" s="5">
        <v>45951</v>
      </c>
      <c r="C116" s="1" t="s">
        <v>17</v>
      </c>
      <c r="D116" s="1" t="s">
        <v>37</v>
      </c>
      <c r="E116" s="1" t="s">
        <v>19</v>
      </c>
      <c r="F116" s="1" t="s">
        <v>20</v>
      </c>
      <c r="G116" s="1" t="s">
        <v>21</v>
      </c>
      <c r="H116" s="6">
        <v>1</v>
      </c>
      <c r="I116" s="7">
        <v>0</v>
      </c>
      <c r="J116" s="5">
        <v>45946</v>
      </c>
      <c r="K116" s="1" t="s">
        <v>30</v>
      </c>
      <c r="L116" s="8">
        <v>0</v>
      </c>
      <c r="M116" s="6"/>
      <c r="N116" s="6"/>
      <c r="O116" s="9">
        <v>-6.68</v>
      </c>
    </row>
    <row r="117" spans="1:15" ht="19.5" customHeight="1">
      <c r="A117" s="1" t="s">
        <v>894</v>
      </c>
      <c r="B117" s="5">
        <v>45951</v>
      </c>
      <c r="C117" s="1" t="s">
        <v>28</v>
      </c>
      <c r="D117" s="1" t="s">
        <v>45</v>
      </c>
      <c r="E117" s="1" t="s">
        <v>19</v>
      </c>
      <c r="F117" s="1" t="s">
        <v>20</v>
      </c>
      <c r="G117" s="1" t="s">
        <v>21</v>
      </c>
      <c r="H117" s="6">
        <v>1</v>
      </c>
      <c r="I117" s="7">
        <v>0</v>
      </c>
      <c r="J117" s="5">
        <v>45946</v>
      </c>
      <c r="K117" s="1" t="s">
        <v>30</v>
      </c>
      <c r="L117" s="8">
        <v>0</v>
      </c>
      <c r="M117" s="6"/>
      <c r="N117" s="6"/>
      <c r="O117" s="9">
        <v>0</v>
      </c>
    </row>
    <row r="118" spans="1:15" ht="19.5" customHeight="1">
      <c r="A118" s="1" t="s">
        <v>894</v>
      </c>
      <c r="B118" s="5">
        <v>45951</v>
      </c>
      <c r="C118" s="1" t="s">
        <v>28</v>
      </c>
      <c r="D118" s="1" t="s">
        <v>46</v>
      </c>
      <c r="E118" s="1" t="s">
        <v>19</v>
      </c>
      <c r="F118" s="1" t="s">
        <v>20</v>
      </c>
      <c r="G118" s="1" t="s">
        <v>21</v>
      </c>
      <c r="H118" s="6">
        <v>1</v>
      </c>
      <c r="I118" s="7">
        <v>0</v>
      </c>
      <c r="J118" s="5">
        <v>45946</v>
      </c>
      <c r="K118" s="1" t="s">
        <v>30</v>
      </c>
      <c r="L118" s="8">
        <v>0</v>
      </c>
      <c r="M118" s="6"/>
      <c r="N118" s="6"/>
      <c r="O118" s="9">
        <v>-46</v>
      </c>
    </row>
    <row r="119" spans="1:15" ht="19.5" customHeight="1">
      <c r="A119" s="1" t="s">
        <v>894</v>
      </c>
      <c r="B119" s="5">
        <v>45951</v>
      </c>
      <c r="C119" s="1" t="s">
        <v>17</v>
      </c>
      <c r="D119" s="1" t="s">
        <v>47</v>
      </c>
      <c r="E119" s="1" t="s">
        <v>19</v>
      </c>
      <c r="F119" s="1" t="s">
        <v>20</v>
      </c>
      <c r="G119" s="1" t="s">
        <v>21</v>
      </c>
      <c r="H119" s="6">
        <v>1</v>
      </c>
      <c r="I119" s="7">
        <v>0</v>
      </c>
      <c r="J119" s="5">
        <v>45946</v>
      </c>
      <c r="K119" s="1" t="s">
        <v>30</v>
      </c>
      <c r="L119" s="8">
        <v>0</v>
      </c>
      <c r="M119" s="6"/>
      <c r="N119" s="6"/>
      <c r="O119" s="9">
        <v>-15</v>
      </c>
    </row>
    <row r="120" spans="1:15" ht="19.5" customHeight="1">
      <c r="A120" s="1" t="s">
        <v>895</v>
      </c>
      <c r="B120" s="5">
        <v>45951</v>
      </c>
      <c r="C120" s="1" t="s">
        <v>17</v>
      </c>
      <c r="D120" s="1" t="s">
        <v>18</v>
      </c>
      <c r="E120" s="1" t="s">
        <v>239</v>
      </c>
      <c r="F120" s="1" t="s">
        <v>733</v>
      </c>
      <c r="G120" s="1" t="s">
        <v>41</v>
      </c>
      <c r="H120" s="6">
        <v>1</v>
      </c>
      <c r="I120" s="7">
        <v>0</v>
      </c>
      <c r="J120" s="5">
        <v>45951</v>
      </c>
      <c r="K120" s="1" t="s">
        <v>22</v>
      </c>
      <c r="L120" s="8">
        <v>0</v>
      </c>
      <c r="M120" s="6"/>
      <c r="N120" s="6"/>
      <c r="O120" s="9">
        <v>-49.31</v>
      </c>
    </row>
    <row r="121" spans="1:15" ht="19.5" customHeight="1">
      <c r="A121" s="1" t="s">
        <v>688</v>
      </c>
      <c r="B121" s="5">
        <v>45951</v>
      </c>
      <c r="C121" s="1" t="s">
        <v>17</v>
      </c>
      <c r="D121" s="1" t="s">
        <v>18</v>
      </c>
      <c r="E121" s="1" t="s">
        <v>51</v>
      </c>
      <c r="F121" s="1" t="s">
        <v>52</v>
      </c>
      <c r="G121" s="1" t="s">
        <v>41</v>
      </c>
      <c r="H121" s="6">
        <v>1</v>
      </c>
      <c r="I121" s="7">
        <v>0</v>
      </c>
      <c r="J121" s="5">
        <v>45931</v>
      </c>
      <c r="K121" s="1" t="s">
        <v>22</v>
      </c>
      <c r="L121" s="8">
        <v>0</v>
      </c>
      <c r="M121" s="6"/>
      <c r="N121" s="6"/>
      <c r="O121" s="9">
        <v>28.72</v>
      </c>
    </row>
    <row r="122" spans="1:15" ht="19.5" customHeight="1">
      <c r="A122" s="1" t="s">
        <v>22</v>
      </c>
      <c r="B122" s="5">
        <v>45951</v>
      </c>
      <c r="C122" s="1" t="s">
        <v>77</v>
      </c>
      <c r="D122" s="1" t="s">
        <v>78</v>
      </c>
      <c r="E122" s="1" t="s">
        <v>22</v>
      </c>
      <c r="F122" s="1" t="s">
        <v>22</v>
      </c>
      <c r="G122" s="1" t="s">
        <v>896</v>
      </c>
      <c r="H122" s="6">
        <v>0</v>
      </c>
      <c r="I122" s="7">
        <v>0</v>
      </c>
      <c r="J122" s="5">
        <v>45951</v>
      </c>
      <c r="K122" s="1" t="s">
        <v>22</v>
      </c>
      <c r="L122" s="8">
        <v>0</v>
      </c>
      <c r="M122" s="6"/>
      <c r="N122" s="6"/>
      <c r="O122" s="9">
        <v>-200</v>
      </c>
    </row>
    <row r="123" spans="1:15" ht="19.5" customHeight="1">
      <c r="A123" s="1" t="s">
        <v>808</v>
      </c>
      <c r="B123" s="5">
        <v>45951</v>
      </c>
      <c r="C123" s="1" t="s">
        <v>77</v>
      </c>
      <c r="D123" s="1" t="s">
        <v>82</v>
      </c>
      <c r="E123" s="1" t="s">
        <v>22</v>
      </c>
      <c r="F123" s="1" t="s">
        <v>22</v>
      </c>
      <c r="G123" s="1" t="s">
        <v>22</v>
      </c>
      <c r="H123" s="6">
        <v>0</v>
      </c>
      <c r="I123" s="7">
        <v>0</v>
      </c>
      <c r="J123" s="5">
        <v>45951</v>
      </c>
      <c r="K123" s="1" t="s">
        <v>22</v>
      </c>
      <c r="L123" s="8">
        <v>0</v>
      </c>
      <c r="M123" s="6"/>
      <c r="N123" s="6"/>
      <c r="O123" s="9">
        <v>-437.96</v>
      </c>
    </row>
    <row r="124" spans="1:15" ht="19.5" customHeight="1">
      <c r="A124" s="1" t="s">
        <v>807</v>
      </c>
      <c r="B124" s="5">
        <v>45951</v>
      </c>
      <c r="C124" s="1" t="s">
        <v>77</v>
      </c>
      <c r="D124" s="1" t="s">
        <v>82</v>
      </c>
      <c r="E124" s="1" t="s">
        <v>22</v>
      </c>
      <c r="F124" s="1" t="s">
        <v>22</v>
      </c>
      <c r="G124" s="1" t="s">
        <v>22</v>
      </c>
      <c r="H124" s="6">
        <v>0</v>
      </c>
      <c r="I124" s="7">
        <v>0</v>
      </c>
      <c r="J124" s="5">
        <v>45951</v>
      </c>
      <c r="K124" s="1" t="s">
        <v>22</v>
      </c>
      <c r="L124" s="8">
        <v>0</v>
      </c>
      <c r="M124" s="6"/>
      <c r="N124" s="6"/>
      <c r="O124" s="9">
        <v>-556.79</v>
      </c>
    </row>
    <row r="125" spans="1:15" ht="19.5" customHeight="1">
      <c r="A125" s="1" t="s">
        <v>810</v>
      </c>
      <c r="B125" s="5">
        <v>45951</v>
      </c>
      <c r="C125" s="1" t="s">
        <v>77</v>
      </c>
      <c r="D125" s="1" t="s">
        <v>82</v>
      </c>
      <c r="E125" s="1" t="s">
        <v>22</v>
      </c>
      <c r="F125" s="1" t="s">
        <v>22</v>
      </c>
      <c r="G125" s="1" t="s">
        <v>22</v>
      </c>
      <c r="H125" s="6">
        <v>0</v>
      </c>
      <c r="I125" s="7">
        <v>0</v>
      </c>
      <c r="J125" s="5">
        <v>45951</v>
      </c>
      <c r="K125" s="1" t="s">
        <v>22</v>
      </c>
      <c r="L125" s="8">
        <v>0</v>
      </c>
      <c r="M125" s="6"/>
      <c r="N125" s="6"/>
      <c r="O125" s="9">
        <v>-506.16</v>
      </c>
    </row>
    <row r="126" spans="1:15" ht="19.5" customHeight="1">
      <c r="A126" s="1" t="s">
        <v>811</v>
      </c>
      <c r="B126" s="5">
        <v>45951</v>
      </c>
      <c r="C126" s="1" t="s">
        <v>77</v>
      </c>
      <c r="D126" s="1" t="s">
        <v>82</v>
      </c>
      <c r="E126" s="1" t="s">
        <v>22</v>
      </c>
      <c r="F126" s="1" t="s">
        <v>22</v>
      </c>
      <c r="G126" s="1" t="s">
        <v>22</v>
      </c>
      <c r="H126" s="6">
        <v>0</v>
      </c>
      <c r="I126" s="7">
        <v>0</v>
      </c>
      <c r="J126" s="5">
        <v>45951</v>
      </c>
      <c r="K126" s="1" t="s">
        <v>22</v>
      </c>
      <c r="L126" s="8">
        <v>0</v>
      </c>
      <c r="M126" s="6"/>
      <c r="N126" s="6"/>
      <c r="O126" s="9">
        <v>-907.78</v>
      </c>
    </row>
    <row r="127" spans="1:15" ht="19.5" customHeight="1">
      <c r="A127" s="1" t="s">
        <v>83</v>
      </c>
      <c r="B127" s="5">
        <v>45951</v>
      </c>
      <c r="C127" s="1" t="s">
        <v>77</v>
      </c>
      <c r="D127" s="1" t="s">
        <v>84</v>
      </c>
      <c r="E127" s="1" t="s">
        <v>22</v>
      </c>
      <c r="F127" s="1" t="s">
        <v>22</v>
      </c>
      <c r="G127" s="1" t="s">
        <v>22</v>
      </c>
      <c r="H127" s="6">
        <v>0</v>
      </c>
      <c r="I127" s="7">
        <v>0</v>
      </c>
      <c r="J127" s="5">
        <v>45951</v>
      </c>
      <c r="K127" s="1" t="s">
        <v>22</v>
      </c>
      <c r="L127" s="8">
        <v>0</v>
      </c>
      <c r="M127" s="6"/>
      <c r="N127" s="6"/>
      <c r="O127" s="9">
        <v>-1191.42</v>
      </c>
    </row>
    <row r="128" spans="1:15" ht="19.5" customHeight="1">
      <c r="A128" s="1" t="s">
        <v>897</v>
      </c>
      <c r="B128" s="5">
        <v>45952</v>
      </c>
      <c r="C128" s="1" t="s">
        <v>28</v>
      </c>
      <c r="D128" s="1" t="s">
        <v>135</v>
      </c>
      <c r="E128" s="1" t="s">
        <v>136</v>
      </c>
      <c r="F128" s="1" t="s">
        <v>137</v>
      </c>
      <c r="G128" s="1" t="s">
        <v>21</v>
      </c>
      <c r="H128" s="6">
        <v>1</v>
      </c>
      <c r="I128" s="7">
        <v>0</v>
      </c>
      <c r="J128" s="5">
        <v>45940</v>
      </c>
      <c r="K128" s="1" t="s">
        <v>113</v>
      </c>
      <c r="L128" s="8">
        <v>0</v>
      </c>
      <c r="M128" s="6"/>
      <c r="N128" s="6"/>
      <c r="O128" s="9">
        <v>-10</v>
      </c>
    </row>
    <row r="129" spans="1:15" ht="19.5" customHeight="1">
      <c r="A129" s="1" t="s">
        <v>897</v>
      </c>
      <c r="B129" s="5">
        <v>45952</v>
      </c>
      <c r="C129" s="1" t="s">
        <v>28</v>
      </c>
      <c r="D129" s="1" t="s">
        <v>29</v>
      </c>
      <c r="E129" s="1" t="s">
        <v>136</v>
      </c>
      <c r="F129" s="1" t="s">
        <v>137</v>
      </c>
      <c r="G129" s="1" t="s">
        <v>21</v>
      </c>
      <c r="H129" s="6">
        <v>1</v>
      </c>
      <c r="I129" s="7">
        <v>0</v>
      </c>
      <c r="J129" s="5">
        <v>45940</v>
      </c>
      <c r="K129" s="1" t="s">
        <v>113</v>
      </c>
      <c r="L129" s="8">
        <v>0</v>
      </c>
      <c r="M129" s="6"/>
      <c r="N129" s="6"/>
      <c r="O129" s="9">
        <v>-98</v>
      </c>
    </row>
    <row r="130" spans="1:15" ht="19.5" customHeight="1">
      <c r="A130" s="1" t="s">
        <v>897</v>
      </c>
      <c r="B130" s="5">
        <v>45952</v>
      </c>
      <c r="C130" s="1" t="s">
        <v>17</v>
      </c>
      <c r="D130" s="1" t="s">
        <v>138</v>
      </c>
      <c r="E130" s="1" t="s">
        <v>136</v>
      </c>
      <c r="F130" s="1" t="s">
        <v>137</v>
      </c>
      <c r="G130" s="1" t="s">
        <v>21</v>
      </c>
      <c r="H130" s="6">
        <v>1</v>
      </c>
      <c r="I130" s="7">
        <v>0</v>
      </c>
      <c r="J130" s="5">
        <v>45940</v>
      </c>
      <c r="K130" s="1" t="s">
        <v>113</v>
      </c>
      <c r="L130" s="8">
        <v>0</v>
      </c>
      <c r="M130" s="6"/>
      <c r="N130" s="6"/>
      <c r="O130" s="9">
        <v>-20</v>
      </c>
    </row>
    <row r="131" spans="1:15" ht="19.5" customHeight="1">
      <c r="A131" s="1" t="s">
        <v>897</v>
      </c>
      <c r="B131" s="5">
        <v>45952</v>
      </c>
      <c r="C131" s="1" t="s">
        <v>28</v>
      </c>
      <c r="D131" s="1" t="s">
        <v>45</v>
      </c>
      <c r="E131" s="1" t="s">
        <v>136</v>
      </c>
      <c r="F131" s="1" t="s">
        <v>137</v>
      </c>
      <c r="G131" s="1" t="s">
        <v>21</v>
      </c>
      <c r="H131" s="6">
        <v>1</v>
      </c>
      <c r="I131" s="7">
        <v>0</v>
      </c>
      <c r="J131" s="5">
        <v>45940</v>
      </c>
      <c r="K131" s="1" t="s">
        <v>113</v>
      </c>
      <c r="L131" s="8">
        <v>0</v>
      </c>
      <c r="M131" s="6"/>
      <c r="N131" s="6"/>
      <c r="O131" s="9">
        <v>0</v>
      </c>
    </row>
    <row r="132" spans="1:15" ht="19.5" customHeight="1">
      <c r="A132" s="1" t="s">
        <v>897</v>
      </c>
      <c r="B132" s="5">
        <v>45952</v>
      </c>
      <c r="C132" s="1" t="s">
        <v>28</v>
      </c>
      <c r="D132" s="1" t="s">
        <v>46</v>
      </c>
      <c r="E132" s="1" t="s">
        <v>136</v>
      </c>
      <c r="F132" s="1" t="s">
        <v>137</v>
      </c>
      <c r="G132" s="1" t="s">
        <v>21</v>
      </c>
      <c r="H132" s="6">
        <v>1</v>
      </c>
      <c r="I132" s="7">
        <v>0</v>
      </c>
      <c r="J132" s="5">
        <v>45940</v>
      </c>
      <c r="K132" s="1" t="s">
        <v>113</v>
      </c>
      <c r="L132" s="8">
        <v>0</v>
      </c>
      <c r="M132" s="6"/>
      <c r="N132" s="6"/>
      <c r="O132" s="9">
        <v>-56</v>
      </c>
    </row>
    <row r="133" spans="1:15" ht="19.5" customHeight="1">
      <c r="A133" s="1" t="s">
        <v>897</v>
      </c>
      <c r="B133" s="5">
        <v>45952</v>
      </c>
      <c r="C133" s="1" t="s">
        <v>17</v>
      </c>
      <c r="D133" s="1" t="s">
        <v>47</v>
      </c>
      <c r="E133" s="1" t="s">
        <v>136</v>
      </c>
      <c r="F133" s="1" t="s">
        <v>137</v>
      </c>
      <c r="G133" s="1" t="s">
        <v>21</v>
      </c>
      <c r="H133" s="6">
        <v>1</v>
      </c>
      <c r="I133" s="7">
        <v>0</v>
      </c>
      <c r="J133" s="5">
        <v>45940</v>
      </c>
      <c r="K133" s="1" t="s">
        <v>113</v>
      </c>
      <c r="L133" s="8">
        <v>0</v>
      </c>
      <c r="M133" s="6"/>
      <c r="N133" s="6"/>
      <c r="O133" s="9">
        <v>-15</v>
      </c>
    </row>
    <row r="134" spans="1:15" ht="19.5" customHeight="1">
      <c r="A134" s="1" t="s">
        <v>821</v>
      </c>
      <c r="B134" s="5">
        <v>45952</v>
      </c>
      <c r="C134" s="1" t="s">
        <v>17</v>
      </c>
      <c r="D134" s="1" t="s">
        <v>18</v>
      </c>
      <c r="E134" s="1" t="s">
        <v>19</v>
      </c>
      <c r="F134" s="1" t="s">
        <v>20</v>
      </c>
      <c r="G134" s="1" t="s">
        <v>21</v>
      </c>
      <c r="H134" s="6">
        <v>1</v>
      </c>
      <c r="I134" s="7">
        <v>0</v>
      </c>
      <c r="J134" s="5">
        <v>45946</v>
      </c>
      <c r="K134" s="1" t="s">
        <v>22</v>
      </c>
      <c r="L134" s="8">
        <v>0</v>
      </c>
      <c r="M134" s="6"/>
      <c r="N134" s="6"/>
      <c r="O134" s="9">
        <v>6.47</v>
      </c>
    </row>
    <row r="135" spans="1:15" ht="19.5" customHeight="1">
      <c r="A135" s="1" t="s">
        <v>898</v>
      </c>
      <c r="B135" s="5">
        <v>45952</v>
      </c>
      <c r="C135" s="1" t="s">
        <v>28</v>
      </c>
      <c r="D135" s="1" t="s">
        <v>29</v>
      </c>
      <c r="E135" s="1" t="s">
        <v>54</v>
      </c>
      <c r="F135" s="1" t="s">
        <v>55</v>
      </c>
      <c r="G135" s="1" t="s">
        <v>21</v>
      </c>
      <c r="H135" s="6">
        <v>1</v>
      </c>
      <c r="I135" s="7">
        <v>1142</v>
      </c>
      <c r="J135" s="5">
        <v>45943</v>
      </c>
      <c r="K135" s="1" t="s">
        <v>30</v>
      </c>
      <c r="L135" s="8">
        <v>0.26</v>
      </c>
      <c r="M135" s="6"/>
      <c r="N135" s="6"/>
      <c r="O135" s="9">
        <v>-46</v>
      </c>
    </row>
    <row r="136" spans="1:15" ht="19.5" customHeight="1">
      <c r="A136" s="1" t="s">
        <v>898</v>
      </c>
      <c r="B136" s="5">
        <v>45952</v>
      </c>
      <c r="C136" s="1" t="s">
        <v>31</v>
      </c>
      <c r="D136" s="1" t="s">
        <v>32</v>
      </c>
      <c r="E136" s="1" t="s">
        <v>54</v>
      </c>
      <c r="F136" s="1" t="s">
        <v>55</v>
      </c>
      <c r="G136" s="1" t="s">
        <v>21</v>
      </c>
      <c r="H136" s="6">
        <v>1</v>
      </c>
      <c r="I136" s="7">
        <v>1142</v>
      </c>
      <c r="J136" s="5">
        <v>45943</v>
      </c>
      <c r="K136" s="1" t="s">
        <v>30</v>
      </c>
      <c r="L136" s="8">
        <v>0</v>
      </c>
      <c r="M136" s="6"/>
      <c r="N136" s="6"/>
      <c r="O136" s="9">
        <v>634.29</v>
      </c>
    </row>
    <row r="137" spans="1:15" ht="19.5" customHeight="1">
      <c r="A137" s="1" t="s">
        <v>898</v>
      </c>
      <c r="B137" s="5">
        <v>45952</v>
      </c>
      <c r="C137" s="1" t="s">
        <v>31</v>
      </c>
      <c r="D137" s="1" t="s">
        <v>33</v>
      </c>
      <c r="E137" s="1" t="s">
        <v>54</v>
      </c>
      <c r="F137" s="1" t="s">
        <v>55</v>
      </c>
      <c r="G137" s="1" t="s">
        <v>21</v>
      </c>
      <c r="H137" s="6">
        <v>1</v>
      </c>
      <c r="I137" s="7">
        <v>1142</v>
      </c>
      <c r="J137" s="5">
        <v>45943</v>
      </c>
      <c r="K137" s="1" t="s">
        <v>30</v>
      </c>
      <c r="L137" s="8">
        <v>0</v>
      </c>
      <c r="M137" s="6"/>
      <c r="N137" s="6"/>
      <c r="O137" s="9">
        <v>6.34</v>
      </c>
    </row>
    <row r="138" spans="1:15" ht="19.5" customHeight="1">
      <c r="A138" s="1" t="s">
        <v>898</v>
      </c>
      <c r="B138" s="5">
        <v>45952</v>
      </c>
      <c r="C138" s="1" t="s">
        <v>31</v>
      </c>
      <c r="D138" s="1" t="s">
        <v>34</v>
      </c>
      <c r="E138" s="1" t="s">
        <v>54</v>
      </c>
      <c r="F138" s="1" t="s">
        <v>55</v>
      </c>
      <c r="G138" s="1" t="s">
        <v>21</v>
      </c>
      <c r="H138" s="6">
        <v>1</v>
      </c>
      <c r="I138" s="7">
        <v>1142</v>
      </c>
      <c r="J138" s="5">
        <v>45943</v>
      </c>
      <c r="K138" s="1" t="s">
        <v>30</v>
      </c>
      <c r="L138" s="8">
        <v>0</v>
      </c>
      <c r="M138" s="6"/>
      <c r="N138" s="6"/>
      <c r="O138" s="9">
        <v>501.37</v>
      </c>
    </row>
    <row r="139" spans="1:15" ht="19.5" customHeight="1">
      <c r="A139" s="1" t="s">
        <v>898</v>
      </c>
      <c r="B139" s="5">
        <v>45952</v>
      </c>
      <c r="C139" s="1" t="s">
        <v>35</v>
      </c>
      <c r="D139" s="1" t="s">
        <v>36</v>
      </c>
      <c r="E139" s="1" t="s">
        <v>54</v>
      </c>
      <c r="F139" s="1" t="s">
        <v>55</v>
      </c>
      <c r="G139" s="1" t="s">
        <v>21</v>
      </c>
      <c r="H139" s="6">
        <v>1</v>
      </c>
      <c r="I139" s="7">
        <v>1142</v>
      </c>
      <c r="J139" s="5">
        <v>45943</v>
      </c>
      <c r="K139" s="1" t="s">
        <v>30</v>
      </c>
      <c r="L139" s="8">
        <v>0.26</v>
      </c>
      <c r="M139" s="6"/>
      <c r="N139" s="6"/>
      <c r="O139" s="9">
        <v>-296.92</v>
      </c>
    </row>
    <row r="140" spans="1:15" ht="19.5" customHeight="1">
      <c r="A140" s="1" t="s">
        <v>898</v>
      </c>
      <c r="B140" s="5">
        <v>45952</v>
      </c>
      <c r="C140" s="1" t="s">
        <v>17</v>
      </c>
      <c r="D140" s="1" t="s">
        <v>37</v>
      </c>
      <c r="E140" s="1" t="s">
        <v>54</v>
      </c>
      <c r="F140" s="1" t="s">
        <v>55</v>
      </c>
      <c r="G140" s="1" t="s">
        <v>21</v>
      </c>
      <c r="H140" s="6">
        <v>1</v>
      </c>
      <c r="I140" s="7">
        <v>1142</v>
      </c>
      <c r="J140" s="5">
        <v>45943</v>
      </c>
      <c r="K140" s="1" t="s">
        <v>30</v>
      </c>
      <c r="L140" s="8">
        <v>0.26</v>
      </c>
      <c r="M140" s="6"/>
      <c r="N140" s="6"/>
      <c r="O140" s="9">
        <v>-8.8800000000000008</v>
      </c>
    </row>
    <row r="141" spans="1:15" ht="19.5" customHeight="1">
      <c r="A141" s="1" t="s">
        <v>898</v>
      </c>
      <c r="B141" s="5">
        <v>45952</v>
      </c>
      <c r="C141" s="1" t="s">
        <v>17</v>
      </c>
      <c r="D141" s="1" t="s">
        <v>18</v>
      </c>
      <c r="E141" s="1" t="s">
        <v>54</v>
      </c>
      <c r="F141" s="1" t="s">
        <v>55</v>
      </c>
      <c r="G141" s="1" t="s">
        <v>21</v>
      </c>
      <c r="H141" s="6">
        <v>1</v>
      </c>
      <c r="I141" s="7">
        <v>0</v>
      </c>
      <c r="J141" s="5">
        <v>45943</v>
      </c>
      <c r="K141" s="1" t="s">
        <v>22</v>
      </c>
      <c r="L141" s="8">
        <v>0</v>
      </c>
      <c r="M141" s="6"/>
      <c r="N141" s="6"/>
      <c r="O141" s="9">
        <v>-12.05</v>
      </c>
    </row>
    <row r="142" spans="1:15" ht="19.5" customHeight="1">
      <c r="A142" s="1" t="s">
        <v>899</v>
      </c>
      <c r="B142" s="5">
        <v>45952</v>
      </c>
      <c r="C142" s="1" t="s">
        <v>28</v>
      </c>
      <c r="D142" s="1" t="s">
        <v>29</v>
      </c>
      <c r="E142" s="1" t="s">
        <v>25</v>
      </c>
      <c r="F142" s="1" t="s">
        <v>26</v>
      </c>
      <c r="G142" s="1" t="s">
        <v>21</v>
      </c>
      <c r="H142" s="6">
        <v>1</v>
      </c>
      <c r="I142" s="7">
        <v>0</v>
      </c>
      <c r="J142" s="5">
        <v>45936</v>
      </c>
      <c r="K142" s="1" t="s">
        <v>30</v>
      </c>
      <c r="L142" s="8">
        <v>0</v>
      </c>
      <c r="M142" s="6"/>
      <c r="N142" s="6"/>
      <c r="O142" s="9">
        <v>-46</v>
      </c>
    </row>
    <row r="143" spans="1:15" ht="19.5" customHeight="1">
      <c r="A143" s="1" t="s">
        <v>899</v>
      </c>
      <c r="B143" s="5">
        <v>45952</v>
      </c>
      <c r="C143" s="1" t="s">
        <v>17</v>
      </c>
      <c r="D143" s="1" t="s">
        <v>37</v>
      </c>
      <c r="E143" s="1" t="s">
        <v>25</v>
      </c>
      <c r="F143" s="1" t="s">
        <v>26</v>
      </c>
      <c r="G143" s="1" t="s">
        <v>21</v>
      </c>
      <c r="H143" s="6">
        <v>1</v>
      </c>
      <c r="I143" s="7">
        <v>0</v>
      </c>
      <c r="J143" s="5">
        <v>45936</v>
      </c>
      <c r="K143" s="1" t="s">
        <v>30</v>
      </c>
      <c r="L143" s="8">
        <v>0</v>
      </c>
      <c r="M143" s="6"/>
      <c r="N143" s="6"/>
      <c r="O143" s="9">
        <v>-5.81</v>
      </c>
    </row>
    <row r="144" spans="1:15" ht="19.5" customHeight="1">
      <c r="A144" s="1" t="s">
        <v>899</v>
      </c>
      <c r="B144" s="5">
        <v>45952</v>
      </c>
      <c r="C144" s="1" t="s">
        <v>28</v>
      </c>
      <c r="D144" s="1" t="s">
        <v>45</v>
      </c>
      <c r="E144" s="1" t="s">
        <v>25</v>
      </c>
      <c r="F144" s="1" t="s">
        <v>26</v>
      </c>
      <c r="G144" s="1" t="s">
        <v>21</v>
      </c>
      <c r="H144" s="6">
        <v>1</v>
      </c>
      <c r="I144" s="7">
        <v>0</v>
      </c>
      <c r="J144" s="5">
        <v>45936</v>
      </c>
      <c r="K144" s="1" t="s">
        <v>30</v>
      </c>
      <c r="L144" s="8">
        <v>0</v>
      </c>
      <c r="M144" s="6"/>
      <c r="N144" s="6"/>
      <c r="O144" s="9">
        <v>0</v>
      </c>
    </row>
    <row r="145" spans="1:15" ht="19.5" customHeight="1">
      <c r="A145" s="1" t="s">
        <v>899</v>
      </c>
      <c r="B145" s="5">
        <v>45952</v>
      </c>
      <c r="C145" s="1" t="s">
        <v>28</v>
      </c>
      <c r="D145" s="1" t="s">
        <v>46</v>
      </c>
      <c r="E145" s="1" t="s">
        <v>25</v>
      </c>
      <c r="F145" s="1" t="s">
        <v>26</v>
      </c>
      <c r="G145" s="1" t="s">
        <v>21</v>
      </c>
      <c r="H145" s="6">
        <v>1</v>
      </c>
      <c r="I145" s="7">
        <v>0</v>
      </c>
      <c r="J145" s="5">
        <v>45936</v>
      </c>
      <c r="K145" s="1" t="s">
        <v>30</v>
      </c>
      <c r="L145" s="8">
        <v>0</v>
      </c>
      <c r="M145" s="6"/>
      <c r="N145" s="6"/>
      <c r="O145" s="9">
        <v>-46</v>
      </c>
    </row>
    <row r="146" spans="1:15" ht="19.5" customHeight="1">
      <c r="A146" s="1" t="s">
        <v>899</v>
      </c>
      <c r="B146" s="5">
        <v>45952</v>
      </c>
      <c r="C146" s="1" t="s">
        <v>17</v>
      </c>
      <c r="D146" s="1" t="s">
        <v>47</v>
      </c>
      <c r="E146" s="1" t="s">
        <v>25</v>
      </c>
      <c r="F146" s="1" t="s">
        <v>26</v>
      </c>
      <c r="G146" s="1" t="s">
        <v>21</v>
      </c>
      <c r="H146" s="6">
        <v>1</v>
      </c>
      <c r="I146" s="7">
        <v>0</v>
      </c>
      <c r="J146" s="5">
        <v>45936</v>
      </c>
      <c r="K146" s="1" t="s">
        <v>30</v>
      </c>
      <c r="L146" s="8">
        <v>0</v>
      </c>
      <c r="M146" s="6"/>
      <c r="N146" s="6"/>
      <c r="O146" s="9">
        <v>-15</v>
      </c>
    </row>
    <row r="147" spans="1:15" ht="19.5" customHeight="1">
      <c r="A147" s="1" t="s">
        <v>868</v>
      </c>
      <c r="B147" s="5">
        <v>45952</v>
      </c>
      <c r="C147" s="1" t="s">
        <v>28</v>
      </c>
      <c r="D147" s="1" t="s">
        <v>29</v>
      </c>
      <c r="E147" s="1" t="s">
        <v>51</v>
      </c>
      <c r="F147" s="1" t="s">
        <v>52</v>
      </c>
      <c r="G147" s="1" t="s">
        <v>41</v>
      </c>
      <c r="H147" s="6">
        <v>1</v>
      </c>
      <c r="I147" s="7">
        <v>0</v>
      </c>
      <c r="J147" s="5">
        <v>45940</v>
      </c>
      <c r="K147" s="1" t="s">
        <v>30</v>
      </c>
      <c r="L147" s="8">
        <v>0</v>
      </c>
      <c r="M147" s="6"/>
      <c r="N147" s="6"/>
      <c r="O147" s="9">
        <v>-56</v>
      </c>
    </row>
    <row r="148" spans="1:15" ht="19.5" customHeight="1">
      <c r="A148" s="1" t="s">
        <v>868</v>
      </c>
      <c r="B148" s="5">
        <v>45952</v>
      </c>
      <c r="C148" s="1" t="s">
        <v>17</v>
      </c>
      <c r="D148" s="1" t="s">
        <v>37</v>
      </c>
      <c r="E148" s="1" t="s">
        <v>51</v>
      </c>
      <c r="F148" s="1" t="s">
        <v>52</v>
      </c>
      <c r="G148" s="1" t="s">
        <v>41</v>
      </c>
      <c r="H148" s="6">
        <v>1</v>
      </c>
      <c r="I148" s="7">
        <v>0</v>
      </c>
      <c r="J148" s="5">
        <v>45940</v>
      </c>
      <c r="K148" s="1" t="s">
        <v>30</v>
      </c>
      <c r="L148" s="8">
        <v>0</v>
      </c>
      <c r="M148" s="6"/>
      <c r="N148" s="6"/>
      <c r="O148" s="9">
        <v>-12.9</v>
      </c>
    </row>
    <row r="149" spans="1:15" ht="19.5" customHeight="1">
      <c r="A149" s="1" t="s">
        <v>868</v>
      </c>
      <c r="B149" s="5">
        <v>45952</v>
      </c>
      <c r="C149" s="1" t="s">
        <v>28</v>
      </c>
      <c r="D149" s="1" t="s">
        <v>45</v>
      </c>
      <c r="E149" s="1" t="s">
        <v>51</v>
      </c>
      <c r="F149" s="1" t="s">
        <v>52</v>
      </c>
      <c r="G149" s="1" t="s">
        <v>41</v>
      </c>
      <c r="H149" s="6">
        <v>1</v>
      </c>
      <c r="I149" s="7">
        <v>0</v>
      </c>
      <c r="J149" s="5">
        <v>45940</v>
      </c>
      <c r="K149" s="1" t="s">
        <v>30</v>
      </c>
      <c r="L149" s="8">
        <v>0</v>
      </c>
      <c r="M149" s="6"/>
      <c r="N149" s="6"/>
      <c r="O149" s="9">
        <v>0</v>
      </c>
    </row>
    <row r="150" spans="1:15" ht="19.5" customHeight="1">
      <c r="A150" s="1" t="s">
        <v>868</v>
      </c>
      <c r="B150" s="5">
        <v>45952</v>
      </c>
      <c r="C150" s="1" t="s">
        <v>28</v>
      </c>
      <c r="D150" s="1" t="s">
        <v>46</v>
      </c>
      <c r="E150" s="1" t="s">
        <v>51</v>
      </c>
      <c r="F150" s="1" t="s">
        <v>52</v>
      </c>
      <c r="G150" s="1" t="s">
        <v>41</v>
      </c>
      <c r="H150" s="6">
        <v>1</v>
      </c>
      <c r="I150" s="7">
        <v>0</v>
      </c>
      <c r="J150" s="5">
        <v>45940</v>
      </c>
      <c r="K150" s="1" t="s">
        <v>30</v>
      </c>
      <c r="L150" s="8">
        <v>0</v>
      </c>
      <c r="M150" s="6"/>
      <c r="N150" s="6"/>
      <c r="O150" s="9">
        <v>-56</v>
      </c>
    </row>
    <row r="151" spans="1:15" ht="19.5" customHeight="1">
      <c r="A151" s="1" t="s">
        <v>868</v>
      </c>
      <c r="B151" s="5">
        <v>45952</v>
      </c>
      <c r="C151" s="1" t="s">
        <v>17</v>
      </c>
      <c r="D151" s="1" t="s">
        <v>47</v>
      </c>
      <c r="E151" s="1" t="s">
        <v>51</v>
      </c>
      <c r="F151" s="1" t="s">
        <v>52</v>
      </c>
      <c r="G151" s="1" t="s">
        <v>41</v>
      </c>
      <c r="H151" s="6">
        <v>1</v>
      </c>
      <c r="I151" s="7">
        <v>0</v>
      </c>
      <c r="J151" s="5">
        <v>45940</v>
      </c>
      <c r="K151" s="1" t="s">
        <v>30</v>
      </c>
      <c r="L151" s="8">
        <v>0</v>
      </c>
      <c r="M151" s="6"/>
      <c r="N151" s="6"/>
      <c r="O151" s="9">
        <v>-15</v>
      </c>
    </row>
    <row r="152" spans="1:15" ht="19.5" customHeight="1">
      <c r="A152" s="1" t="s">
        <v>900</v>
      </c>
      <c r="B152" s="5">
        <v>45952</v>
      </c>
      <c r="C152" s="1" t="s">
        <v>28</v>
      </c>
      <c r="D152" s="1" t="s">
        <v>29</v>
      </c>
      <c r="E152" s="1" t="s">
        <v>239</v>
      </c>
      <c r="F152" s="1" t="s">
        <v>733</v>
      </c>
      <c r="G152" s="1" t="s">
        <v>41</v>
      </c>
      <c r="H152" s="6">
        <v>1</v>
      </c>
      <c r="I152" s="7">
        <v>4548</v>
      </c>
      <c r="J152" s="5">
        <v>45951</v>
      </c>
      <c r="K152" s="1" t="s">
        <v>30</v>
      </c>
      <c r="L152" s="8">
        <v>0.34</v>
      </c>
      <c r="M152" s="6"/>
      <c r="N152" s="6"/>
      <c r="O152" s="9">
        <v>-56</v>
      </c>
    </row>
    <row r="153" spans="1:15" ht="19.5" customHeight="1">
      <c r="A153" s="1" t="s">
        <v>900</v>
      </c>
      <c r="B153" s="5">
        <v>45952</v>
      </c>
      <c r="C153" s="1" t="s">
        <v>31</v>
      </c>
      <c r="D153" s="1" t="s">
        <v>32</v>
      </c>
      <c r="E153" s="1" t="s">
        <v>239</v>
      </c>
      <c r="F153" s="1" t="s">
        <v>733</v>
      </c>
      <c r="G153" s="1" t="s">
        <v>41</v>
      </c>
      <c r="H153" s="6">
        <v>1</v>
      </c>
      <c r="I153" s="7">
        <v>4548</v>
      </c>
      <c r="J153" s="5">
        <v>45951</v>
      </c>
      <c r="K153" s="1" t="s">
        <v>30</v>
      </c>
      <c r="L153" s="8">
        <v>0</v>
      </c>
      <c r="M153" s="6"/>
      <c r="N153" s="6"/>
      <c r="O153" s="9">
        <v>2595</v>
      </c>
    </row>
    <row r="154" spans="1:15" ht="19.5" customHeight="1">
      <c r="A154" s="1" t="s">
        <v>900</v>
      </c>
      <c r="B154" s="5">
        <v>45952</v>
      </c>
      <c r="C154" s="1" t="s">
        <v>31</v>
      </c>
      <c r="D154" s="1" t="s">
        <v>33</v>
      </c>
      <c r="E154" s="1" t="s">
        <v>239</v>
      </c>
      <c r="F154" s="1" t="s">
        <v>733</v>
      </c>
      <c r="G154" s="1" t="s">
        <v>41</v>
      </c>
      <c r="H154" s="6">
        <v>1</v>
      </c>
      <c r="I154" s="7">
        <v>4548</v>
      </c>
      <c r="J154" s="5">
        <v>45951</v>
      </c>
      <c r="K154" s="1" t="s">
        <v>30</v>
      </c>
      <c r="L154" s="8">
        <v>0</v>
      </c>
      <c r="M154" s="6"/>
      <c r="N154" s="6"/>
      <c r="O154" s="9">
        <v>25.95</v>
      </c>
    </row>
    <row r="155" spans="1:15" ht="19.5" customHeight="1">
      <c r="A155" s="1" t="s">
        <v>900</v>
      </c>
      <c r="B155" s="5">
        <v>45952</v>
      </c>
      <c r="C155" s="1" t="s">
        <v>31</v>
      </c>
      <c r="D155" s="1" t="s">
        <v>34</v>
      </c>
      <c r="E155" s="1" t="s">
        <v>239</v>
      </c>
      <c r="F155" s="1" t="s">
        <v>733</v>
      </c>
      <c r="G155" s="1" t="s">
        <v>41</v>
      </c>
      <c r="H155" s="6">
        <v>1</v>
      </c>
      <c r="I155" s="7">
        <v>4548</v>
      </c>
      <c r="J155" s="5">
        <v>45951</v>
      </c>
      <c r="K155" s="1" t="s">
        <v>30</v>
      </c>
      <c r="L155" s="8">
        <v>0</v>
      </c>
      <c r="M155" s="6"/>
      <c r="N155" s="6"/>
      <c r="O155" s="9">
        <v>1927.05</v>
      </c>
    </row>
    <row r="156" spans="1:15" ht="19.5" customHeight="1">
      <c r="A156" s="1" t="s">
        <v>900</v>
      </c>
      <c r="B156" s="5">
        <v>45952</v>
      </c>
      <c r="C156" s="1" t="s">
        <v>35</v>
      </c>
      <c r="D156" s="1" t="s">
        <v>36</v>
      </c>
      <c r="E156" s="1" t="s">
        <v>239</v>
      </c>
      <c r="F156" s="1" t="s">
        <v>733</v>
      </c>
      <c r="G156" s="1" t="s">
        <v>41</v>
      </c>
      <c r="H156" s="6">
        <v>1</v>
      </c>
      <c r="I156" s="7">
        <v>4548</v>
      </c>
      <c r="J156" s="5">
        <v>45951</v>
      </c>
      <c r="K156" s="1" t="s">
        <v>30</v>
      </c>
      <c r="L156" s="8">
        <v>0.34</v>
      </c>
      <c r="M156" s="6"/>
      <c r="N156" s="6"/>
      <c r="O156" s="9">
        <v>-1546.32</v>
      </c>
    </row>
    <row r="157" spans="1:15" ht="19.5" customHeight="1">
      <c r="A157" s="1" t="s">
        <v>900</v>
      </c>
      <c r="B157" s="5">
        <v>45952</v>
      </c>
      <c r="C157" s="1" t="s">
        <v>17</v>
      </c>
      <c r="D157" s="1" t="s">
        <v>37</v>
      </c>
      <c r="E157" s="1" t="s">
        <v>239</v>
      </c>
      <c r="F157" s="1" t="s">
        <v>733</v>
      </c>
      <c r="G157" s="1" t="s">
        <v>41</v>
      </c>
      <c r="H157" s="6">
        <v>1</v>
      </c>
      <c r="I157" s="7">
        <v>4548</v>
      </c>
      <c r="J157" s="5">
        <v>45951</v>
      </c>
      <c r="K157" s="1" t="s">
        <v>30</v>
      </c>
      <c r="L157" s="8">
        <v>0.34</v>
      </c>
      <c r="M157" s="6"/>
      <c r="N157" s="6"/>
      <c r="O157" s="9">
        <v>-12.31</v>
      </c>
    </row>
    <row r="158" spans="1:15" ht="19.5" customHeight="1">
      <c r="A158" s="1" t="s">
        <v>901</v>
      </c>
      <c r="B158" s="5">
        <v>45952</v>
      </c>
      <c r="C158" s="1" t="s">
        <v>28</v>
      </c>
      <c r="D158" s="1" t="s">
        <v>29</v>
      </c>
      <c r="E158" s="1" t="s">
        <v>19</v>
      </c>
      <c r="F158" s="1" t="s">
        <v>20</v>
      </c>
      <c r="G158" s="1" t="s">
        <v>21</v>
      </c>
      <c r="H158" s="6">
        <v>1</v>
      </c>
      <c r="I158" s="7">
        <v>0</v>
      </c>
      <c r="J158" s="5">
        <v>45948</v>
      </c>
      <c r="K158" s="1" t="s">
        <v>30</v>
      </c>
      <c r="L158" s="8">
        <v>0</v>
      </c>
      <c r="M158" s="6"/>
      <c r="N158" s="6"/>
      <c r="O158" s="9">
        <v>-46</v>
      </c>
    </row>
    <row r="159" spans="1:15" ht="19.5" customHeight="1">
      <c r="A159" s="1" t="s">
        <v>901</v>
      </c>
      <c r="B159" s="5">
        <v>45952</v>
      </c>
      <c r="C159" s="1" t="s">
        <v>17</v>
      </c>
      <c r="D159" s="1" t="s">
        <v>37</v>
      </c>
      <c r="E159" s="1" t="s">
        <v>19</v>
      </c>
      <c r="F159" s="1" t="s">
        <v>20</v>
      </c>
      <c r="G159" s="1" t="s">
        <v>21</v>
      </c>
      <c r="H159" s="6">
        <v>1</v>
      </c>
      <c r="I159" s="7">
        <v>0</v>
      </c>
      <c r="J159" s="5">
        <v>45948</v>
      </c>
      <c r="K159" s="1" t="s">
        <v>30</v>
      </c>
      <c r="L159" s="8">
        <v>0</v>
      </c>
      <c r="M159" s="6"/>
      <c r="N159" s="6"/>
      <c r="O159" s="9">
        <v>-6.5</v>
      </c>
    </row>
    <row r="160" spans="1:15" ht="19.5" customHeight="1">
      <c r="A160" s="1" t="s">
        <v>901</v>
      </c>
      <c r="B160" s="5">
        <v>45952</v>
      </c>
      <c r="C160" s="1" t="s">
        <v>28</v>
      </c>
      <c r="D160" s="1" t="s">
        <v>45</v>
      </c>
      <c r="E160" s="1" t="s">
        <v>19</v>
      </c>
      <c r="F160" s="1" t="s">
        <v>20</v>
      </c>
      <c r="G160" s="1" t="s">
        <v>21</v>
      </c>
      <c r="H160" s="6">
        <v>1</v>
      </c>
      <c r="I160" s="7">
        <v>0</v>
      </c>
      <c r="J160" s="5">
        <v>45948</v>
      </c>
      <c r="K160" s="1" t="s">
        <v>30</v>
      </c>
      <c r="L160" s="8">
        <v>0</v>
      </c>
      <c r="M160" s="6"/>
      <c r="N160" s="6"/>
      <c r="O160" s="9">
        <v>0</v>
      </c>
    </row>
    <row r="161" spans="1:15" ht="19.5" customHeight="1">
      <c r="A161" s="1" t="s">
        <v>901</v>
      </c>
      <c r="B161" s="5">
        <v>45952</v>
      </c>
      <c r="C161" s="1" t="s">
        <v>28</v>
      </c>
      <c r="D161" s="1" t="s">
        <v>46</v>
      </c>
      <c r="E161" s="1" t="s">
        <v>19</v>
      </c>
      <c r="F161" s="1" t="s">
        <v>20</v>
      </c>
      <c r="G161" s="1" t="s">
        <v>21</v>
      </c>
      <c r="H161" s="6">
        <v>1</v>
      </c>
      <c r="I161" s="7">
        <v>0</v>
      </c>
      <c r="J161" s="5">
        <v>45948</v>
      </c>
      <c r="K161" s="1" t="s">
        <v>30</v>
      </c>
      <c r="L161" s="8">
        <v>0</v>
      </c>
      <c r="M161" s="6"/>
      <c r="N161" s="6"/>
      <c r="O161" s="9">
        <v>-46</v>
      </c>
    </row>
    <row r="162" spans="1:15" ht="19.5" customHeight="1">
      <c r="A162" s="1" t="s">
        <v>901</v>
      </c>
      <c r="B162" s="5">
        <v>45952</v>
      </c>
      <c r="C162" s="1" t="s">
        <v>17</v>
      </c>
      <c r="D162" s="1" t="s">
        <v>47</v>
      </c>
      <c r="E162" s="1" t="s">
        <v>19</v>
      </c>
      <c r="F162" s="1" t="s">
        <v>20</v>
      </c>
      <c r="G162" s="1" t="s">
        <v>21</v>
      </c>
      <c r="H162" s="6">
        <v>1</v>
      </c>
      <c r="I162" s="7">
        <v>0</v>
      </c>
      <c r="J162" s="5">
        <v>45948</v>
      </c>
      <c r="K162" s="1" t="s">
        <v>30</v>
      </c>
      <c r="L162" s="8">
        <v>0</v>
      </c>
      <c r="M162" s="6"/>
      <c r="N162" s="6"/>
      <c r="O162" s="9">
        <v>-15</v>
      </c>
    </row>
    <row r="163" spans="1:15" ht="19.5" customHeight="1">
      <c r="A163" s="1" t="s">
        <v>902</v>
      </c>
      <c r="B163" s="5">
        <v>45952</v>
      </c>
      <c r="C163" s="1" t="s">
        <v>28</v>
      </c>
      <c r="D163" s="1" t="s">
        <v>29</v>
      </c>
      <c r="E163" s="1" t="s">
        <v>25</v>
      </c>
      <c r="F163" s="1" t="s">
        <v>26</v>
      </c>
      <c r="G163" s="1" t="s">
        <v>21</v>
      </c>
      <c r="H163" s="6">
        <v>1</v>
      </c>
      <c r="I163" s="7">
        <v>1164</v>
      </c>
      <c r="J163" s="5">
        <v>45946</v>
      </c>
      <c r="K163" s="1" t="s">
        <v>30</v>
      </c>
      <c r="L163" s="8">
        <v>0.34</v>
      </c>
      <c r="M163" s="6"/>
      <c r="N163" s="6"/>
      <c r="O163" s="9">
        <v>-46</v>
      </c>
    </row>
    <row r="164" spans="1:15" ht="19.5" customHeight="1">
      <c r="A164" s="1" t="s">
        <v>902</v>
      </c>
      <c r="B164" s="5">
        <v>45952</v>
      </c>
      <c r="C164" s="1" t="s">
        <v>31</v>
      </c>
      <c r="D164" s="1" t="s">
        <v>32</v>
      </c>
      <c r="E164" s="1" t="s">
        <v>25</v>
      </c>
      <c r="F164" s="1" t="s">
        <v>26</v>
      </c>
      <c r="G164" s="1" t="s">
        <v>21</v>
      </c>
      <c r="H164" s="6">
        <v>1</v>
      </c>
      <c r="I164" s="7">
        <v>1164</v>
      </c>
      <c r="J164" s="5">
        <v>45946</v>
      </c>
      <c r="K164" s="1" t="s">
        <v>30</v>
      </c>
      <c r="L164" s="8">
        <v>0</v>
      </c>
      <c r="M164" s="6"/>
      <c r="N164" s="6"/>
      <c r="O164" s="9">
        <v>647</v>
      </c>
    </row>
    <row r="165" spans="1:15" ht="19.5" customHeight="1">
      <c r="A165" s="1" t="s">
        <v>902</v>
      </c>
      <c r="B165" s="5">
        <v>45952</v>
      </c>
      <c r="C165" s="1" t="s">
        <v>31</v>
      </c>
      <c r="D165" s="1" t="s">
        <v>33</v>
      </c>
      <c r="E165" s="1" t="s">
        <v>25</v>
      </c>
      <c r="F165" s="1" t="s">
        <v>26</v>
      </c>
      <c r="G165" s="1" t="s">
        <v>21</v>
      </c>
      <c r="H165" s="6">
        <v>1</v>
      </c>
      <c r="I165" s="7">
        <v>1164</v>
      </c>
      <c r="J165" s="5">
        <v>45946</v>
      </c>
      <c r="K165" s="1" t="s">
        <v>30</v>
      </c>
      <c r="L165" s="8">
        <v>0</v>
      </c>
      <c r="M165" s="6"/>
      <c r="N165" s="6"/>
      <c r="O165" s="9">
        <v>6.47</v>
      </c>
    </row>
    <row r="166" spans="1:15" ht="19.5" customHeight="1">
      <c r="A166" s="1" t="s">
        <v>902</v>
      </c>
      <c r="B166" s="5">
        <v>45952</v>
      </c>
      <c r="C166" s="1" t="s">
        <v>31</v>
      </c>
      <c r="D166" s="1" t="s">
        <v>34</v>
      </c>
      <c r="E166" s="1" t="s">
        <v>25</v>
      </c>
      <c r="F166" s="1" t="s">
        <v>26</v>
      </c>
      <c r="G166" s="1" t="s">
        <v>21</v>
      </c>
      <c r="H166" s="6">
        <v>1</v>
      </c>
      <c r="I166" s="7">
        <v>1164</v>
      </c>
      <c r="J166" s="5">
        <v>45946</v>
      </c>
      <c r="K166" s="1" t="s">
        <v>30</v>
      </c>
      <c r="L166" s="8">
        <v>0</v>
      </c>
      <c r="M166" s="6"/>
      <c r="N166" s="6"/>
      <c r="O166" s="9">
        <v>510.53</v>
      </c>
    </row>
    <row r="167" spans="1:15" ht="19.5" customHeight="1">
      <c r="A167" s="1" t="s">
        <v>902</v>
      </c>
      <c r="B167" s="5">
        <v>45952</v>
      </c>
      <c r="C167" s="1" t="s">
        <v>35</v>
      </c>
      <c r="D167" s="1" t="s">
        <v>36</v>
      </c>
      <c r="E167" s="1" t="s">
        <v>25</v>
      </c>
      <c r="F167" s="1" t="s">
        <v>26</v>
      </c>
      <c r="G167" s="1" t="s">
        <v>21</v>
      </c>
      <c r="H167" s="6">
        <v>1</v>
      </c>
      <c r="I167" s="7">
        <v>1164</v>
      </c>
      <c r="J167" s="5">
        <v>45946</v>
      </c>
      <c r="K167" s="1" t="s">
        <v>30</v>
      </c>
      <c r="L167" s="8">
        <v>0.34</v>
      </c>
      <c r="M167" s="6"/>
      <c r="N167" s="6"/>
      <c r="O167" s="9">
        <v>-395.76</v>
      </c>
    </row>
    <row r="168" spans="1:15" ht="19.5" customHeight="1">
      <c r="A168" s="1" t="s">
        <v>902</v>
      </c>
      <c r="B168" s="5">
        <v>45952</v>
      </c>
      <c r="C168" s="1" t="s">
        <v>17</v>
      </c>
      <c r="D168" s="1" t="s">
        <v>37</v>
      </c>
      <c r="E168" s="1" t="s">
        <v>25</v>
      </c>
      <c r="F168" s="1" t="s">
        <v>26</v>
      </c>
      <c r="G168" s="1" t="s">
        <v>21</v>
      </c>
      <c r="H168" s="6">
        <v>1</v>
      </c>
      <c r="I168" s="7">
        <v>1164</v>
      </c>
      <c r="J168" s="5">
        <v>45946</v>
      </c>
      <c r="K168" s="1" t="s">
        <v>30</v>
      </c>
      <c r="L168" s="8">
        <v>0.34</v>
      </c>
      <c r="M168" s="6"/>
      <c r="N168" s="6"/>
      <c r="O168" s="9">
        <v>-8.9</v>
      </c>
    </row>
    <row r="169" spans="1:15" ht="19.5" customHeight="1">
      <c r="A169" s="1" t="s">
        <v>902</v>
      </c>
      <c r="B169" s="5">
        <v>45952</v>
      </c>
      <c r="C169" s="1" t="s">
        <v>17</v>
      </c>
      <c r="D169" s="1" t="s">
        <v>18</v>
      </c>
      <c r="E169" s="1" t="s">
        <v>25</v>
      </c>
      <c r="F169" s="1" t="s">
        <v>26</v>
      </c>
      <c r="G169" s="1" t="s">
        <v>21</v>
      </c>
      <c r="H169" s="6">
        <v>1</v>
      </c>
      <c r="I169" s="7">
        <v>0</v>
      </c>
      <c r="J169" s="5">
        <v>45946</v>
      </c>
      <c r="K169" s="1" t="s">
        <v>22</v>
      </c>
      <c r="L169" s="8">
        <v>0</v>
      </c>
      <c r="M169" s="6"/>
      <c r="N169" s="6"/>
      <c r="O169" s="9">
        <v>-12.29</v>
      </c>
    </row>
    <row r="170" spans="1:15" ht="19.5" customHeight="1">
      <c r="A170" s="1" t="s">
        <v>903</v>
      </c>
      <c r="B170" s="5">
        <v>45952</v>
      </c>
      <c r="C170" s="1" t="s">
        <v>17</v>
      </c>
      <c r="D170" s="1" t="s">
        <v>18</v>
      </c>
      <c r="E170" s="1" t="s">
        <v>25</v>
      </c>
      <c r="F170" s="1" t="s">
        <v>26</v>
      </c>
      <c r="G170" s="1" t="s">
        <v>21</v>
      </c>
      <c r="H170" s="6">
        <v>1</v>
      </c>
      <c r="I170" s="7">
        <v>0</v>
      </c>
      <c r="J170" s="5">
        <v>45952</v>
      </c>
      <c r="K170" s="1" t="s">
        <v>22</v>
      </c>
      <c r="L170" s="8">
        <v>0</v>
      </c>
      <c r="M170" s="6"/>
      <c r="N170" s="6"/>
      <c r="O170" s="9">
        <v>-11.5</v>
      </c>
    </row>
    <row r="171" spans="1:15" ht="19.5" customHeight="1">
      <c r="A171" s="1" t="s">
        <v>904</v>
      </c>
      <c r="B171" s="5">
        <v>45952</v>
      </c>
      <c r="C171" s="1" t="s">
        <v>17</v>
      </c>
      <c r="D171" s="1" t="s">
        <v>18</v>
      </c>
      <c r="E171" s="1" t="s">
        <v>25</v>
      </c>
      <c r="F171" s="1" t="s">
        <v>26</v>
      </c>
      <c r="G171" s="1" t="s">
        <v>21</v>
      </c>
      <c r="H171" s="6">
        <v>1</v>
      </c>
      <c r="I171" s="7">
        <v>0</v>
      </c>
      <c r="J171" s="5">
        <v>45952</v>
      </c>
      <c r="K171" s="1" t="s">
        <v>22</v>
      </c>
      <c r="L171" s="8">
        <v>0</v>
      </c>
      <c r="M171" s="6"/>
      <c r="N171" s="6"/>
      <c r="O171" s="9">
        <v>-11.51</v>
      </c>
    </row>
    <row r="172" spans="1:15" ht="19.5" customHeight="1">
      <c r="A172" s="1" t="s">
        <v>893</v>
      </c>
      <c r="B172" s="5">
        <v>45952</v>
      </c>
      <c r="C172" s="1" t="s">
        <v>28</v>
      </c>
      <c r="D172" s="1" t="s">
        <v>29</v>
      </c>
      <c r="E172" s="1" t="s">
        <v>39</v>
      </c>
      <c r="F172" s="1" t="s">
        <v>40</v>
      </c>
      <c r="G172" s="1" t="s">
        <v>41</v>
      </c>
      <c r="H172" s="6">
        <v>1</v>
      </c>
      <c r="I172" s="7">
        <v>0</v>
      </c>
      <c r="J172" s="5">
        <v>45947</v>
      </c>
      <c r="K172" s="1" t="s">
        <v>30</v>
      </c>
      <c r="L172" s="8">
        <v>0</v>
      </c>
      <c r="M172" s="6"/>
      <c r="N172" s="6"/>
      <c r="O172" s="9">
        <v>-56</v>
      </c>
    </row>
    <row r="173" spans="1:15" ht="19.5" customHeight="1">
      <c r="A173" s="1" t="s">
        <v>893</v>
      </c>
      <c r="B173" s="5">
        <v>45952</v>
      </c>
      <c r="C173" s="1" t="s">
        <v>17</v>
      </c>
      <c r="D173" s="1" t="s">
        <v>37</v>
      </c>
      <c r="E173" s="1" t="s">
        <v>39</v>
      </c>
      <c r="F173" s="1" t="s">
        <v>40</v>
      </c>
      <c r="G173" s="1" t="s">
        <v>41</v>
      </c>
      <c r="H173" s="6">
        <v>1</v>
      </c>
      <c r="I173" s="7">
        <v>0</v>
      </c>
      <c r="J173" s="5">
        <v>45947</v>
      </c>
      <c r="K173" s="1" t="s">
        <v>30</v>
      </c>
      <c r="L173" s="8">
        <v>0</v>
      </c>
      <c r="M173" s="6"/>
      <c r="N173" s="6"/>
      <c r="O173" s="9">
        <v>-8.39</v>
      </c>
    </row>
    <row r="174" spans="1:15" ht="19.5" customHeight="1">
      <c r="A174" s="1" t="s">
        <v>893</v>
      </c>
      <c r="B174" s="5">
        <v>45952</v>
      </c>
      <c r="C174" s="1" t="s">
        <v>28</v>
      </c>
      <c r="D174" s="1" t="s">
        <v>45</v>
      </c>
      <c r="E174" s="1" t="s">
        <v>39</v>
      </c>
      <c r="F174" s="1" t="s">
        <v>40</v>
      </c>
      <c r="G174" s="1" t="s">
        <v>41</v>
      </c>
      <c r="H174" s="6">
        <v>1</v>
      </c>
      <c r="I174" s="7">
        <v>0</v>
      </c>
      <c r="J174" s="5">
        <v>45947</v>
      </c>
      <c r="K174" s="1" t="s">
        <v>30</v>
      </c>
      <c r="L174" s="8">
        <v>0</v>
      </c>
      <c r="M174" s="6"/>
      <c r="N174" s="6"/>
      <c r="O174" s="9">
        <v>0</v>
      </c>
    </row>
    <row r="175" spans="1:15" ht="19.5" customHeight="1">
      <c r="A175" s="1" t="s">
        <v>893</v>
      </c>
      <c r="B175" s="5">
        <v>45952</v>
      </c>
      <c r="C175" s="1" t="s">
        <v>28</v>
      </c>
      <c r="D175" s="1" t="s">
        <v>46</v>
      </c>
      <c r="E175" s="1" t="s">
        <v>39</v>
      </c>
      <c r="F175" s="1" t="s">
        <v>40</v>
      </c>
      <c r="G175" s="1" t="s">
        <v>41</v>
      </c>
      <c r="H175" s="6">
        <v>1</v>
      </c>
      <c r="I175" s="7">
        <v>0</v>
      </c>
      <c r="J175" s="5">
        <v>45947</v>
      </c>
      <c r="K175" s="1" t="s">
        <v>30</v>
      </c>
      <c r="L175" s="8">
        <v>0</v>
      </c>
      <c r="M175" s="6"/>
      <c r="N175" s="6"/>
      <c r="O175" s="9">
        <v>-56</v>
      </c>
    </row>
    <row r="176" spans="1:15" ht="19.5" customHeight="1">
      <c r="A176" s="1" t="s">
        <v>893</v>
      </c>
      <c r="B176" s="5">
        <v>45952</v>
      </c>
      <c r="C176" s="1" t="s">
        <v>17</v>
      </c>
      <c r="D176" s="1" t="s">
        <v>47</v>
      </c>
      <c r="E176" s="1" t="s">
        <v>39</v>
      </c>
      <c r="F176" s="1" t="s">
        <v>40</v>
      </c>
      <c r="G176" s="1" t="s">
        <v>41</v>
      </c>
      <c r="H176" s="6">
        <v>1</v>
      </c>
      <c r="I176" s="7">
        <v>0</v>
      </c>
      <c r="J176" s="5">
        <v>45947</v>
      </c>
      <c r="K176" s="1" t="s">
        <v>30</v>
      </c>
      <c r="L176" s="8">
        <v>0</v>
      </c>
      <c r="M176" s="6"/>
      <c r="N176" s="6"/>
      <c r="O176" s="9">
        <v>-15</v>
      </c>
    </row>
    <row r="177" spans="1:15" ht="19.5" customHeight="1">
      <c r="A177" s="1" t="s">
        <v>22</v>
      </c>
      <c r="B177" s="5">
        <v>45952</v>
      </c>
      <c r="C177" s="1" t="s">
        <v>77</v>
      </c>
      <c r="D177" s="1" t="s">
        <v>78</v>
      </c>
      <c r="E177" s="1" t="s">
        <v>22</v>
      </c>
      <c r="F177" s="1" t="s">
        <v>22</v>
      </c>
      <c r="G177" s="1" t="s">
        <v>905</v>
      </c>
      <c r="H177" s="6">
        <v>0</v>
      </c>
      <c r="I177" s="7">
        <v>0</v>
      </c>
      <c r="J177" s="5">
        <v>45952</v>
      </c>
      <c r="K177" s="1" t="s">
        <v>22</v>
      </c>
      <c r="L177" s="8">
        <v>0</v>
      </c>
      <c r="M177" s="6"/>
      <c r="N177" s="6"/>
      <c r="O177" s="9">
        <v>-200</v>
      </c>
    </row>
    <row r="178" spans="1:15" ht="19.5" customHeight="1">
      <c r="A178" s="1" t="s">
        <v>906</v>
      </c>
      <c r="B178" s="5">
        <v>45952</v>
      </c>
      <c r="C178" s="1" t="s">
        <v>28</v>
      </c>
      <c r="D178" s="1" t="s">
        <v>29</v>
      </c>
      <c r="E178" s="1" t="s">
        <v>43</v>
      </c>
      <c r="F178" s="1" t="s">
        <v>44</v>
      </c>
      <c r="G178" s="1" t="s">
        <v>41</v>
      </c>
      <c r="H178" s="6">
        <v>1</v>
      </c>
      <c r="I178" s="7">
        <v>0</v>
      </c>
      <c r="J178" s="5">
        <v>45944</v>
      </c>
      <c r="K178" s="1" t="s">
        <v>30</v>
      </c>
      <c r="L178" s="8">
        <v>0</v>
      </c>
      <c r="M178" s="6"/>
      <c r="N178" s="6"/>
      <c r="O178" s="9">
        <v>-56</v>
      </c>
    </row>
    <row r="179" spans="1:15" ht="19.5" customHeight="1">
      <c r="A179" s="1" t="s">
        <v>906</v>
      </c>
      <c r="B179" s="5">
        <v>45952</v>
      </c>
      <c r="C179" s="1" t="s">
        <v>17</v>
      </c>
      <c r="D179" s="1" t="s">
        <v>37</v>
      </c>
      <c r="E179" s="1" t="s">
        <v>43</v>
      </c>
      <c r="F179" s="1" t="s">
        <v>44</v>
      </c>
      <c r="G179" s="1" t="s">
        <v>41</v>
      </c>
      <c r="H179" s="6">
        <v>1</v>
      </c>
      <c r="I179" s="7">
        <v>0</v>
      </c>
      <c r="J179" s="5">
        <v>45944</v>
      </c>
      <c r="K179" s="1" t="s">
        <v>30</v>
      </c>
      <c r="L179" s="8">
        <v>0</v>
      </c>
      <c r="M179" s="6"/>
      <c r="N179" s="6"/>
      <c r="O179" s="9">
        <v>-11.08</v>
      </c>
    </row>
    <row r="180" spans="1:15" ht="19.5" customHeight="1">
      <c r="A180" s="1" t="s">
        <v>906</v>
      </c>
      <c r="B180" s="5">
        <v>45952</v>
      </c>
      <c r="C180" s="1" t="s">
        <v>28</v>
      </c>
      <c r="D180" s="1" t="s">
        <v>45</v>
      </c>
      <c r="E180" s="1" t="s">
        <v>43</v>
      </c>
      <c r="F180" s="1" t="s">
        <v>44</v>
      </c>
      <c r="G180" s="1" t="s">
        <v>41</v>
      </c>
      <c r="H180" s="6">
        <v>1</v>
      </c>
      <c r="I180" s="7">
        <v>0</v>
      </c>
      <c r="J180" s="5">
        <v>45944</v>
      </c>
      <c r="K180" s="1" t="s">
        <v>30</v>
      </c>
      <c r="L180" s="8">
        <v>0</v>
      </c>
      <c r="M180" s="6"/>
      <c r="N180" s="6"/>
      <c r="O180" s="9">
        <v>0</v>
      </c>
    </row>
    <row r="181" spans="1:15" ht="19.5" customHeight="1">
      <c r="A181" s="1" t="s">
        <v>906</v>
      </c>
      <c r="B181" s="5">
        <v>45952</v>
      </c>
      <c r="C181" s="1" t="s">
        <v>28</v>
      </c>
      <c r="D181" s="1" t="s">
        <v>46</v>
      </c>
      <c r="E181" s="1" t="s">
        <v>43</v>
      </c>
      <c r="F181" s="1" t="s">
        <v>44</v>
      </c>
      <c r="G181" s="1" t="s">
        <v>41</v>
      </c>
      <c r="H181" s="6">
        <v>1</v>
      </c>
      <c r="I181" s="7">
        <v>0</v>
      </c>
      <c r="J181" s="5">
        <v>45944</v>
      </c>
      <c r="K181" s="1" t="s">
        <v>30</v>
      </c>
      <c r="L181" s="8">
        <v>0</v>
      </c>
      <c r="M181" s="6"/>
      <c r="N181" s="6"/>
      <c r="O181" s="9">
        <v>-56</v>
      </c>
    </row>
    <row r="182" spans="1:15" ht="19.5" customHeight="1">
      <c r="A182" s="1" t="s">
        <v>906</v>
      </c>
      <c r="B182" s="5">
        <v>45952</v>
      </c>
      <c r="C182" s="1" t="s">
        <v>17</v>
      </c>
      <c r="D182" s="1" t="s">
        <v>47</v>
      </c>
      <c r="E182" s="1" t="s">
        <v>43</v>
      </c>
      <c r="F182" s="1" t="s">
        <v>44</v>
      </c>
      <c r="G182" s="1" t="s">
        <v>41</v>
      </c>
      <c r="H182" s="6">
        <v>1</v>
      </c>
      <c r="I182" s="7">
        <v>0</v>
      </c>
      <c r="J182" s="5">
        <v>45944</v>
      </c>
      <c r="K182" s="1" t="s">
        <v>30</v>
      </c>
      <c r="L182" s="8">
        <v>0</v>
      </c>
      <c r="M182" s="6"/>
      <c r="N182" s="6"/>
      <c r="O182" s="9">
        <v>-15</v>
      </c>
    </row>
    <row r="183" spans="1:15" ht="19.5" customHeight="1">
      <c r="A183" s="1" t="s">
        <v>808</v>
      </c>
      <c r="B183" s="5">
        <v>45952</v>
      </c>
      <c r="C183" s="1" t="s">
        <v>77</v>
      </c>
      <c r="D183" s="1" t="s">
        <v>82</v>
      </c>
      <c r="E183" s="1" t="s">
        <v>22</v>
      </c>
      <c r="F183" s="1" t="s">
        <v>22</v>
      </c>
      <c r="G183" s="1" t="s">
        <v>22</v>
      </c>
      <c r="H183" s="6">
        <v>0</v>
      </c>
      <c r="I183" s="7">
        <v>0</v>
      </c>
      <c r="J183" s="5">
        <v>45952</v>
      </c>
      <c r="K183" s="1" t="s">
        <v>22</v>
      </c>
      <c r="L183" s="8">
        <v>0</v>
      </c>
      <c r="M183" s="6"/>
      <c r="N183" s="6"/>
      <c r="O183" s="9">
        <v>-452.37</v>
      </c>
    </row>
    <row r="184" spans="1:15" ht="19.5" customHeight="1">
      <c r="A184" s="1" t="s">
        <v>807</v>
      </c>
      <c r="B184" s="5">
        <v>45952</v>
      </c>
      <c r="C184" s="1" t="s">
        <v>77</v>
      </c>
      <c r="D184" s="1" t="s">
        <v>82</v>
      </c>
      <c r="E184" s="1" t="s">
        <v>22</v>
      </c>
      <c r="F184" s="1" t="s">
        <v>22</v>
      </c>
      <c r="G184" s="1" t="s">
        <v>22</v>
      </c>
      <c r="H184" s="6">
        <v>0</v>
      </c>
      <c r="I184" s="7">
        <v>0</v>
      </c>
      <c r="J184" s="5">
        <v>45952</v>
      </c>
      <c r="K184" s="1" t="s">
        <v>22</v>
      </c>
      <c r="L184" s="8">
        <v>0</v>
      </c>
      <c r="M184" s="6"/>
      <c r="N184" s="6"/>
      <c r="O184" s="9">
        <v>-584.13</v>
      </c>
    </row>
    <row r="185" spans="1:15" ht="19.5" customHeight="1">
      <c r="A185" s="1" t="s">
        <v>810</v>
      </c>
      <c r="B185" s="5">
        <v>45952</v>
      </c>
      <c r="C185" s="1" t="s">
        <v>77</v>
      </c>
      <c r="D185" s="1" t="s">
        <v>82</v>
      </c>
      <c r="E185" s="1" t="s">
        <v>22</v>
      </c>
      <c r="F185" s="1" t="s">
        <v>22</v>
      </c>
      <c r="G185" s="1" t="s">
        <v>22</v>
      </c>
      <c r="H185" s="6">
        <v>0</v>
      </c>
      <c r="I185" s="7">
        <v>0</v>
      </c>
      <c r="J185" s="5">
        <v>45952</v>
      </c>
      <c r="K185" s="1" t="s">
        <v>22</v>
      </c>
      <c r="L185" s="8">
        <v>0</v>
      </c>
      <c r="M185" s="6"/>
      <c r="N185" s="6"/>
      <c r="O185" s="9">
        <v>-493.87</v>
      </c>
    </row>
    <row r="186" spans="1:15" ht="19.5" customHeight="1">
      <c r="A186" s="1" t="s">
        <v>811</v>
      </c>
      <c r="B186" s="5">
        <v>45952</v>
      </c>
      <c r="C186" s="1" t="s">
        <v>77</v>
      </c>
      <c r="D186" s="1" t="s">
        <v>82</v>
      </c>
      <c r="E186" s="1" t="s">
        <v>22</v>
      </c>
      <c r="F186" s="1" t="s">
        <v>22</v>
      </c>
      <c r="G186" s="1" t="s">
        <v>22</v>
      </c>
      <c r="H186" s="6">
        <v>0</v>
      </c>
      <c r="I186" s="7">
        <v>0</v>
      </c>
      <c r="J186" s="5">
        <v>45952</v>
      </c>
      <c r="K186" s="1" t="s">
        <v>22</v>
      </c>
      <c r="L186" s="8">
        <v>0</v>
      </c>
      <c r="M186" s="6"/>
      <c r="N186" s="6"/>
      <c r="O186" s="9">
        <v>-891.59</v>
      </c>
    </row>
    <row r="187" spans="1:15" ht="19.5" customHeight="1">
      <c r="A187" s="1" t="s">
        <v>83</v>
      </c>
      <c r="B187" s="5">
        <v>45952</v>
      </c>
      <c r="C187" s="1" t="s">
        <v>77</v>
      </c>
      <c r="D187" s="1" t="s">
        <v>84</v>
      </c>
      <c r="E187" s="1" t="s">
        <v>22</v>
      </c>
      <c r="F187" s="1" t="s">
        <v>22</v>
      </c>
      <c r="G187" s="1" t="s">
        <v>22</v>
      </c>
      <c r="H187" s="6">
        <v>0</v>
      </c>
      <c r="I187" s="7">
        <v>0</v>
      </c>
      <c r="J187" s="5">
        <v>45952</v>
      </c>
      <c r="K187" s="1" t="s">
        <v>22</v>
      </c>
      <c r="L187" s="8">
        <v>0</v>
      </c>
      <c r="M187" s="6"/>
      <c r="N187" s="6"/>
      <c r="O187" s="9">
        <v>-314.27999999999997</v>
      </c>
    </row>
    <row r="188" spans="1:15" ht="19.5" customHeight="1">
      <c r="A188" s="1" t="s">
        <v>907</v>
      </c>
      <c r="B188" s="5">
        <v>45953</v>
      </c>
      <c r="C188" s="1" t="s">
        <v>28</v>
      </c>
      <c r="D188" s="1" t="s">
        <v>29</v>
      </c>
      <c r="E188" s="1" t="s">
        <v>51</v>
      </c>
      <c r="F188" s="1" t="s">
        <v>52</v>
      </c>
      <c r="G188" s="1" t="s">
        <v>41</v>
      </c>
      <c r="H188" s="6">
        <v>1</v>
      </c>
      <c r="I188" s="7">
        <v>0</v>
      </c>
      <c r="J188" s="5">
        <v>45931</v>
      </c>
      <c r="K188" s="1" t="s">
        <v>30</v>
      </c>
      <c r="L188" s="8">
        <v>0</v>
      </c>
      <c r="M188" s="6"/>
      <c r="N188" s="6"/>
      <c r="O188" s="9">
        <v>-56</v>
      </c>
    </row>
    <row r="189" spans="1:15" ht="19.5" customHeight="1">
      <c r="A189" s="1" t="s">
        <v>907</v>
      </c>
      <c r="B189" s="5">
        <v>45953</v>
      </c>
      <c r="C189" s="1" t="s">
        <v>17</v>
      </c>
      <c r="D189" s="1" t="s">
        <v>37</v>
      </c>
      <c r="E189" s="1" t="s">
        <v>51</v>
      </c>
      <c r="F189" s="1" t="s">
        <v>52</v>
      </c>
      <c r="G189" s="1" t="s">
        <v>41</v>
      </c>
      <c r="H189" s="6">
        <v>1</v>
      </c>
      <c r="I189" s="7">
        <v>0</v>
      </c>
      <c r="J189" s="5">
        <v>45931</v>
      </c>
      <c r="K189" s="1" t="s">
        <v>30</v>
      </c>
      <c r="L189" s="8">
        <v>0</v>
      </c>
      <c r="M189" s="6"/>
      <c r="N189" s="6"/>
      <c r="O189" s="9">
        <v>-13.06</v>
      </c>
    </row>
    <row r="190" spans="1:15" ht="19.5" customHeight="1">
      <c r="A190" s="1" t="s">
        <v>907</v>
      </c>
      <c r="B190" s="5">
        <v>45953</v>
      </c>
      <c r="C190" s="1" t="s">
        <v>28</v>
      </c>
      <c r="D190" s="1" t="s">
        <v>45</v>
      </c>
      <c r="E190" s="1" t="s">
        <v>51</v>
      </c>
      <c r="F190" s="1" t="s">
        <v>52</v>
      </c>
      <c r="G190" s="1" t="s">
        <v>41</v>
      </c>
      <c r="H190" s="6">
        <v>1</v>
      </c>
      <c r="I190" s="7">
        <v>0</v>
      </c>
      <c r="J190" s="5">
        <v>45931</v>
      </c>
      <c r="K190" s="1" t="s">
        <v>30</v>
      </c>
      <c r="L190" s="8">
        <v>0</v>
      </c>
      <c r="M190" s="6"/>
      <c r="N190" s="6"/>
      <c r="O190" s="9">
        <v>0</v>
      </c>
    </row>
    <row r="191" spans="1:15" ht="19.5" customHeight="1">
      <c r="A191" s="1" t="s">
        <v>907</v>
      </c>
      <c r="B191" s="5">
        <v>45953</v>
      </c>
      <c r="C191" s="1" t="s">
        <v>28</v>
      </c>
      <c r="D191" s="1" t="s">
        <v>46</v>
      </c>
      <c r="E191" s="1" t="s">
        <v>51</v>
      </c>
      <c r="F191" s="1" t="s">
        <v>52</v>
      </c>
      <c r="G191" s="1" t="s">
        <v>41</v>
      </c>
      <c r="H191" s="6">
        <v>1</v>
      </c>
      <c r="I191" s="7">
        <v>0</v>
      </c>
      <c r="J191" s="5">
        <v>45931</v>
      </c>
      <c r="K191" s="1" t="s">
        <v>30</v>
      </c>
      <c r="L191" s="8">
        <v>0</v>
      </c>
      <c r="M191" s="6"/>
      <c r="N191" s="6"/>
      <c r="O191" s="9">
        <v>-56</v>
      </c>
    </row>
    <row r="192" spans="1:15" ht="19.5" customHeight="1">
      <c r="A192" s="1" t="s">
        <v>908</v>
      </c>
      <c r="B192" s="5">
        <v>45953</v>
      </c>
      <c r="C192" s="1" t="s">
        <v>17</v>
      </c>
      <c r="D192" s="1" t="s">
        <v>18</v>
      </c>
      <c r="E192" s="1" t="s">
        <v>239</v>
      </c>
      <c r="F192" s="1" t="s">
        <v>733</v>
      </c>
      <c r="G192" s="1" t="s">
        <v>41</v>
      </c>
      <c r="H192" s="6">
        <v>1</v>
      </c>
      <c r="I192" s="7">
        <v>0</v>
      </c>
      <c r="J192" s="5">
        <v>45953</v>
      </c>
      <c r="K192" s="1" t="s">
        <v>22</v>
      </c>
      <c r="L192" s="8">
        <v>0</v>
      </c>
      <c r="M192" s="6"/>
      <c r="N192" s="6"/>
      <c r="O192" s="9">
        <v>-15.66</v>
      </c>
    </row>
    <row r="193" spans="1:15" ht="19.5" customHeight="1">
      <c r="A193" s="1" t="s">
        <v>909</v>
      </c>
      <c r="B193" s="5">
        <v>45953</v>
      </c>
      <c r="C193" s="1" t="s">
        <v>17</v>
      </c>
      <c r="D193" s="1" t="s">
        <v>18</v>
      </c>
      <c r="E193" s="1" t="s">
        <v>239</v>
      </c>
      <c r="F193" s="1" t="s">
        <v>733</v>
      </c>
      <c r="G193" s="1" t="s">
        <v>41</v>
      </c>
      <c r="H193" s="6">
        <v>1</v>
      </c>
      <c r="I193" s="7">
        <v>0</v>
      </c>
      <c r="J193" s="5">
        <v>45953</v>
      </c>
      <c r="K193" s="1" t="s">
        <v>22</v>
      </c>
      <c r="L193" s="8">
        <v>0</v>
      </c>
      <c r="M193" s="6"/>
      <c r="N193" s="6"/>
      <c r="O193" s="9">
        <v>-53.52</v>
      </c>
    </row>
    <row r="194" spans="1:15" ht="19.5" customHeight="1">
      <c r="A194" s="1" t="s">
        <v>910</v>
      </c>
      <c r="B194" s="5">
        <v>45953</v>
      </c>
      <c r="C194" s="1" t="s">
        <v>28</v>
      </c>
      <c r="D194" s="1" t="s">
        <v>29</v>
      </c>
      <c r="E194" s="1" t="s">
        <v>19</v>
      </c>
      <c r="F194" s="1" t="s">
        <v>20</v>
      </c>
      <c r="G194" s="1" t="s">
        <v>21</v>
      </c>
      <c r="H194" s="6">
        <v>1</v>
      </c>
      <c r="I194" s="7">
        <v>0</v>
      </c>
      <c r="J194" s="5">
        <v>45938</v>
      </c>
      <c r="K194" s="1" t="s">
        <v>30</v>
      </c>
      <c r="L194" s="8">
        <v>0</v>
      </c>
      <c r="M194" s="6"/>
      <c r="N194" s="6"/>
      <c r="O194" s="9">
        <v>-46</v>
      </c>
    </row>
    <row r="195" spans="1:15" ht="19.5" customHeight="1">
      <c r="A195" s="1" t="s">
        <v>910</v>
      </c>
      <c r="B195" s="5">
        <v>45953</v>
      </c>
      <c r="C195" s="1" t="s">
        <v>17</v>
      </c>
      <c r="D195" s="1" t="s">
        <v>37</v>
      </c>
      <c r="E195" s="1" t="s">
        <v>19</v>
      </c>
      <c r="F195" s="1" t="s">
        <v>20</v>
      </c>
      <c r="G195" s="1" t="s">
        <v>21</v>
      </c>
      <c r="H195" s="6">
        <v>1</v>
      </c>
      <c r="I195" s="7">
        <v>0</v>
      </c>
      <c r="J195" s="5">
        <v>45938</v>
      </c>
      <c r="K195" s="1" t="s">
        <v>30</v>
      </c>
      <c r="L195" s="8">
        <v>0</v>
      </c>
      <c r="M195" s="6"/>
      <c r="N195" s="6"/>
      <c r="O195" s="9">
        <v>-25</v>
      </c>
    </row>
    <row r="196" spans="1:15" ht="19.5" customHeight="1">
      <c r="A196" s="1" t="s">
        <v>910</v>
      </c>
      <c r="B196" s="5">
        <v>45953</v>
      </c>
      <c r="C196" s="1" t="s">
        <v>28</v>
      </c>
      <c r="D196" s="1" t="s">
        <v>45</v>
      </c>
      <c r="E196" s="1" t="s">
        <v>19</v>
      </c>
      <c r="F196" s="1" t="s">
        <v>20</v>
      </c>
      <c r="G196" s="1" t="s">
        <v>21</v>
      </c>
      <c r="H196" s="6">
        <v>1</v>
      </c>
      <c r="I196" s="7">
        <v>0</v>
      </c>
      <c r="J196" s="5">
        <v>45938</v>
      </c>
      <c r="K196" s="1" t="s">
        <v>30</v>
      </c>
      <c r="L196" s="8">
        <v>0</v>
      </c>
      <c r="M196" s="6"/>
      <c r="N196" s="6"/>
      <c r="O196" s="9">
        <v>0</v>
      </c>
    </row>
    <row r="197" spans="1:15" ht="19.5" customHeight="1">
      <c r="A197" s="1" t="s">
        <v>910</v>
      </c>
      <c r="B197" s="5">
        <v>45953</v>
      </c>
      <c r="C197" s="1" t="s">
        <v>28</v>
      </c>
      <c r="D197" s="1" t="s">
        <v>46</v>
      </c>
      <c r="E197" s="1" t="s">
        <v>19</v>
      </c>
      <c r="F197" s="1" t="s">
        <v>20</v>
      </c>
      <c r="G197" s="1" t="s">
        <v>21</v>
      </c>
      <c r="H197" s="6">
        <v>1</v>
      </c>
      <c r="I197" s="7">
        <v>0</v>
      </c>
      <c r="J197" s="5">
        <v>45938</v>
      </c>
      <c r="K197" s="1" t="s">
        <v>30</v>
      </c>
      <c r="L197" s="8">
        <v>0</v>
      </c>
      <c r="M197" s="6"/>
      <c r="N197" s="6"/>
      <c r="O197" s="9">
        <v>-46</v>
      </c>
    </row>
    <row r="198" spans="1:15" ht="19.5" customHeight="1">
      <c r="A198" s="1" t="s">
        <v>911</v>
      </c>
      <c r="B198" s="5">
        <v>45953</v>
      </c>
      <c r="C198" s="1" t="s">
        <v>28</v>
      </c>
      <c r="D198" s="1" t="s">
        <v>29</v>
      </c>
      <c r="E198" s="1" t="s">
        <v>25</v>
      </c>
      <c r="F198" s="1" t="s">
        <v>26</v>
      </c>
      <c r="G198" s="1" t="s">
        <v>21</v>
      </c>
      <c r="H198" s="6">
        <v>1</v>
      </c>
      <c r="I198" s="7">
        <v>1164</v>
      </c>
      <c r="J198" s="5">
        <v>45952</v>
      </c>
      <c r="K198" s="1" t="s">
        <v>30</v>
      </c>
      <c r="L198" s="8">
        <v>0.34</v>
      </c>
      <c r="M198" s="6"/>
      <c r="N198" s="6"/>
      <c r="O198" s="9">
        <v>-46</v>
      </c>
    </row>
    <row r="199" spans="1:15" ht="19.5" customHeight="1">
      <c r="A199" s="1" t="s">
        <v>911</v>
      </c>
      <c r="B199" s="5">
        <v>45953</v>
      </c>
      <c r="C199" s="1" t="s">
        <v>31</v>
      </c>
      <c r="D199" s="1" t="s">
        <v>32</v>
      </c>
      <c r="E199" s="1" t="s">
        <v>25</v>
      </c>
      <c r="F199" s="1" t="s">
        <v>26</v>
      </c>
      <c r="G199" s="1" t="s">
        <v>21</v>
      </c>
      <c r="H199" s="6">
        <v>1</v>
      </c>
      <c r="I199" s="7">
        <v>1164</v>
      </c>
      <c r="J199" s="5">
        <v>45952</v>
      </c>
      <c r="K199" s="1" t="s">
        <v>30</v>
      </c>
      <c r="L199" s="8">
        <v>0</v>
      </c>
      <c r="M199" s="6"/>
      <c r="N199" s="6"/>
      <c r="O199" s="9">
        <v>605.71</v>
      </c>
    </row>
    <row r="200" spans="1:15" ht="19.5" customHeight="1">
      <c r="A200" s="1" t="s">
        <v>911</v>
      </c>
      <c r="B200" s="5">
        <v>45953</v>
      </c>
      <c r="C200" s="1" t="s">
        <v>31</v>
      </c>
      <c r="D200" s="1" t="s">
        <v>33</v>
      </c>
      <c r="E200" s="1" t="s">
        <v>25</v>
      </c>
      <c r="F200" s="1" t="s">
        <v>26</v>
      </c>
      <c r="G200" s="1" t="s">
        <v>21</v>
      </c>
      <c r="H200" s="6">
        <v>1</v>
      </c>
      <c r="I200" s="7">
        <v>1164</v>
      </c>
      <c r="J200" s="5">
        <v>45952</v>
      </c>
      <c r="K200" s="1" t="s">
        <v>30</v>
      </c>
      <c r="L200" s="8">
        <v>0</v>
      </c>
      <c r="M200" s="6"/>
      <c r="N200" s="6"/>
      <c r="O200" s="9">
        <v>6.06</v>
      </c>
    </row>
    <row r="201" spans="1:15" ht="19.5" customHeight="1">
      <c r="A201" s="1" t="s">
        <v>911</v>
      </c>
      <c r="B201" s="5">
        <v>45953</v>
      </c>
      <c r="C201" s="1" t="s">
        <v>31</v>
      </c>
      <c r="D201" s="1" t="s">
        <v>34</v>
      </c>
      <c r="E201" s="1" t="s">
        <v>25</v>
      </c>
      <c r="F201" s="1" t="s">
        <v>26</v>
      </c>
      <c r="G201" s="1" t="s">
        <v>21</v>
      </c>
      <c r="H201" s="6">
        <v>1</v>
      </c>
      <c r="I201" s="7">
        <v>1164</v>
      </c>
      <c r="J201" s="5">
        <v>45952</v>
      </c>
      <c r="K201" s="1" t="s">
        <v>30</v>
      </c>
      <c r="L201" s="8">
        <v>0</v>
      </c>
      <c r="M201" s="6"/>
      <c r="N201" s="6"/>
      <c r="O201" s="9">
        <v>552.23</v>
      </c>
    </row>
    <row r="202" spans="1:15" ht="19.5" customHeight="1">
      <c r="A202" s="1" t="s">
        <v>911</v>
      </c>
      <c r="B202" s="5">
        <v>45953</v>
      </c>
      <c r="C202" s="1" t="s">
        <v>35</v>
      </c>
      <c r="D202" s="1" t="s">
        <v>36</v>
      </c>
      <c r="E202" s="1" t="s">
        <v>25</v>
      </c>
      <c r="F202" s="1" t="s">
        <v>26</v>
      </c>
      <c r="G202" s="1" t="s">
        <v>21</v>
      </c>
      <c r="H202" s="6">
        <v>1</v>
      </c>
      <c r="I202" s="7">
        <v>1164</v>
      </c>
      <c r="J202" s="5">
        <v>45952</v>
      </c>
      <c r="K202" s="1" t="s">
        <v>30</v>
      </c>
      <c r="L202" s="8">
        <v>0.34</v>
      </c>
      <c r="M202" s="6"/>
      <c r="N202" s="6"/>
      <c r="O202" s="9">
        <v>-395.76</v>
      </c>
    </row>
    <row r="203" spans="1:15" ht="19.5" customHeight="1">
      <c r="A203" s="1" t="s">
        <v>911</v>
      </c>
      <c r="B203" s="5">
        <v>45953</v>
      </c>
      <c r="C203" s="1" t="s">
        <v>17</v>
      </c>
      <c r="D203" s="1" t="s">
        <v>37</v>
      </c>
      <c r="E203" s="1" t="s">
        <v>25</v>
      </c>
      <c r="F203" s="1" t="s">
        <v>26</v>
      </c>
      <c r="G203" s="1" t="s">
        <v>21</v>
      </c>
      <c r="H203" s="6">
        <v>1</v>
      </c>
      <c r="I203" s="7">
        <v>1164</v>
      </c>
      <c r="J203" s="5">
        <v>45952</v>
      </c>
      <c r="K203" s="1" t="s">
        <v>30</v>
      </c>
      <c r="L203" s="8">
        <v>0.34</v>
      </c>
      <c r="M203" s="6"/>
      <c r="N203" s="6"/>
      <c r="O203" s="9">
        <v>-5.53</v>
      </c>
    </row>
    <row r="204" spans="1:15" ht="19.5" customHeight="1">
      <c r="A204" s="1" t="s">
        <v>912</v>
      </c>
      <c r="B204" s="5">
        <v>45953</v>
      </c>
      <c r="C204" s="1" t="s">
        <v>28</v>
      </c>
      <c r="D204" s="1" t="s">
        <v>29</v>
      </c>
      <c r="E204" s="1" t="s">
        <v>25</v>
      </c>
      <c r="F204" s="1" t="s">
        <v>26</v>
      </c>
      <c r="G204" s="1" t="s">
        <v>21</v>
      </c>
      <c r="H204" s="6">
        <v>1</v>
      </c>
      <c r="I204" s="7">
        <v>1164</v>
      </c>
      <c r="J204" s="5">
        <v>45952</v>
      </c>
      <c r="K204" s="1" t="s">
        <v>30</v>
      </c>
      <c r="L204" s="8">
        <v>0.34</v>
      </c>
      <c r="M204" s="6"/>
      <c r="N204" s="6"/>
      <c r="O204" s="9">
        <v>-46</v>
      </c>
    </row>
    <row r="205" spans="1:15" ht="19.5" customHeight="1">
      <c r="A205" s="1" t="s">
        <v>912</v>
      </c>
      <c r="B205" s="5">
        <v>45953</v>
      </c>
      <c r="C205" s="1" t="s">
        <v>31</v>
      </c>
      <c r="D205" s="1" t="s">
        <v>32</v>
      </c>
      <c r="E205" s="1" t="s">
        <v>25</v>
      </c>
      <c r="F205" s="1" t="s">
        <v>26</v>
      </c>
      <c r="G205" s="1" t="s">
        <v>21</v>
      </c>
      <c r="H205" s="6">
        <v>1</v>
      </c>
      <c r="I205" s="7">
        <v>1164</v>
      </c>
      <c r="J205" s="5">
        <v>45952</v>
      </c>
      <c r="K205" s="1" t="s">
        <v>30</v>
      </c>
      <c r="L205" s="8">
        <v>0</v>
      </c>
      <c r="M205" s="6"/>
      <c r="N205" s="6"/>
      <c r="O205" s="9">
        <v>605.14</v>
      </c>
    </row>
    <row r="206" spans="1:15" ht="19.5" customHeight="1">
      <c r="A206" s="1" t="s">
        <v>912</v>
      </c>
      <c r="B206" s="5">
        <v>45953</v>
      </c>
      <c r="C206" s="1" t="s">
        <v>31</v>
      </c>
      <c r="D206" s="1" t="s">
        <v>33</v>
      </c>
      <c r="E206" s="1" t="s">
        <v>25</v>
      </c>
      <c r="F206" s="1" t="s">
        <v>26</v>
      </c>
      <c r="G206" s="1" t="s">
        <v>21</v>
      </c>
      <c r="H206" s="6">
        <v>1</v>
      </c>
      <c r="I206" s="7">
        <v>1164</v>
      </c>
      <c r="J206" s="5">
        <v>45952</v>
      </c>
      <c r="K206" s="1" t="s">
        <v>30</v>
      </c>
      <c r="L206" s="8">
        <v>0</v>
      </c>
      <c r="M206" s="6"/>
      <c r="N206" s="6"/>
      <c r="O206" s="9">
        <v>6.05</v>
      </c>
    </row>
    <row r="207" spans="1:15" ht="19.5" customHeight="1">
      <c r="A207" s="1" t="s">
        <v>912</v>
      </c>
      <c r="B207" s="5">
        <v>45953</v>
      </c>
      <c r="C207" s="1" t="s">
        <v>31</v>
      </c>
      <c r="D207" s="1" t="s">
        <v>34</v>
      </c>
      <c r="E207" s="1" t="s">
        <v>25</v>
      </c>
      <c r="F207" s="1" t="s">
        <v>26</v>
      </c>
      <c r="G207" s="1" t="s">
        <v>21</v>
      </c>
      <c r="H207" s="6">
        <v>1</v>
      </c>
      <c r="I207" s="7">
        <v>1164</v>
      </c>
      <c r="J207" s="5">
        <v>45952</v>
      </c>
      <c r="K207" s="1" t="s">
        <v>30</v>
      </c>
      <c r="L207" s="8">
        <v>0</v>
      </c>
      <c r="M207" s="6"/>
      <c r="N207" s="6"/>
      <c r="O207" s="9">
        <v>552.80999999999995</v>
      </c>
    </row>
    <row r="208" spans="1:15" ht="19.5" customHeight="1">
      <c r="A208" s="1" t="s">
        <v>912</v>
      </c>
      <c r="B208" s="5">
        <v>45953</v>
      </c>
      <c r="C208" s="1" t="s">
        <v>35</v>
      </c>
      <c r="D208" s="1" t="s">
        <v>36</v>
      </c>
      <c r="E208" s="1" t="s">
        <v>25</v>
      </c>
      <c r="F208" s="1" t="s">
        <v>26</v>
      </c>
      <c r="G208" s="1" t="s">
        <v>21</v>
      </c>
      <c r="H208" s="6">
        <v>1</v>
      </c>
      <c r="I208" s="7">
        <v>1164</v>
      </c>
      <c r="J208" s="5">
        <v>45952</v>
      </c>
      <c r="K208" s="1" t="s">
        <v>30</v>
      </c>
      <c r="L208" s="8">
        <v>0.34</v>
      </c>
      <c r="M208" s="6"/>
      <c r="N208" s="6"/>
      <c r="O208" s="9">
        <v>-395.76</v>
      </c>
    </row>
    <row r="209" spans="1:15" ht="19.5" customHeight="1">
      <c r="A209" s="1" t="s">
        <v>912</v>
      </c>
      <c r="B209" s="5">
        <v>45953</v>
      </c>
      <c r="C209" s="1" t="s">
        <v>17</v>
      </c>
      <c r="D209" s="1" t="s">
        <v>37</v>
      </c>
      <c r="E209" s="1" t="s">
        <v>25</v>
      </c>
      <c r="F209" s="1" t="s">
        <v>26</v>
      </c>
      <c r="G209" s="1" t="s">
        <v>21</v>
      </c>
      <c r="H209" s="6">
        <v>1</v>
      </c>
      <c r="I209" s="7">
        <v>1164</v>
      </c>
      <c r="J209" s="5">
        <v>45952</v>
      </c>
      <c r="K209" s="1" t="s">
        <v>30</v>
      </c>
      <c r="L209" s="8">
        <v>0.34</v>
      </c>
      <c r="M209" s="6"/>
      <c r="N209" s="6"/>
      <c r="O209" s="9">
        <v>-5.04</v>
      </c>
    </row>
    <row r="210" spans="1:15" ht="19.5" customHeight="1">
      <c r="A210" s="1" t="s">
        <v>913</v>
      </c>
      <c r="B210" s="5">
        <v>45953</v>
      </c>
      <c r="C210" s="1" t="s">
        <v>28</v>
      </c>
      <c r="D210" s="1" t="s">
        <v>29</v>
      </c>
      <c r="E210" s="1" t="s">
        <v>231</v>
      </c>
      <c r="F210" s="1" t="s">
        <v>841</v>
      </c>
      <c r="G210" s="1" t="s">
        <v>21</v>
      </c>
      <c r="H210" s="6">
        <v>1</v>
      </c>
      <c r="I210" s="7">
        <v>3395</v>
      </c>
      <c r="J210" s="5">
        <v>45949</v>
      </c>
      <c r="K210" s="1" t="s">
        <v>30</v>
      </c>
      <c r="L210" s="8">
        <v>0.34</v>
      </c>
      <c r="M210" s="6"/>
      <c r="N210" s="6"/>
      <c r="O210" s="9">
        <v>-56</v>
      </c>
    </row>
    <row r="211" spans="1:15" ht="19.5" customHeight="1">
      <c r="A211" s="1" t="s">
        <v>913</v>
      </c>
      <c r="B211" s="5">
        <v>45953</v>
      </c>
      <c r="C211" s="1" t="s">
        <v>31</v>
      </c>
      <c r="D211" s="1" t="s">
        <v>32</v>
      </c>
      <c r="E211" s="1" t="s">
        <v>231</v>
      </c>
      <c r="F211" s="1" t="s">
        <v>841</v>
      </c>
      <c r="G211" s="1" t="s">
        <v>21</v>
      </c>
      <c r="H211" s="6">
        <v>1</v>
      </c>
      <c r="I211" s="7">
        <v>3395</v>
      </c>
      <c r="J211" s="5">
        <v>45949</v>
      </c>
      <c r="K211" s="1" t="s">
        <v>30</v>
      </c>
      <c r="L211" s="8">
        <v>0</v>
      </c>
      <c r="M211" s="6"/>
      <c r="N211" s="6"/>
      <c r="O211" s="9">
        <v>2043.81</v>
      </c>
    </row>
    <row r="212" spans="1:15" ht="19.5" customHeight="1">
      <c r="A212" s="1" t="s">
        <v>913</v>
      </c>
      <c r="B212" s="5">
        <v>45953</v>
      </c>
      <c r="C212" s="1" t="s">
        <v>31</v>
      </c>
      <c r="D212" s="1" t="s">
        <v>33</v>
      </c>
      <c r="E212" s="1" t="s">
        <v>231</v>
      </c>
      <c r="F212" s="1" t="s">
        <v>841</v>
      </c>
      <c r="G212" s="1" t="s">
        <v>21</v>
      </c>
      <c r="H212" s="6">
        <v>1</v>
      </c>
      <c r="I212" s="7">
        <v>3395</v>
      </c>
      <c r="J212" s="5">
        <v>45949</v>
      </c>
      <c r="K212" s="1" t="s">
        <v>30</v>
      </c>
      <c r="L212" s="8">
        <v>0</v>
      </c>
      <c r="M212" s="6"/>
      <c r="N212" s="6"/>
      <c r="O212" s="9">
        <v>20.440000000000001</v>
      </c>
    </row>
    <row r="213" spans="1:15" ht="19.5" customHeight="1">
      <c r="A213" s="1" t="s">
        <v>913</v>
      </c>
      <c r="B213" s="5">
        <v>45953</v>
      </c>
      <c r="C213" s="1" t="s">
        <v>31</v>
      </c>
      <c r="D213" s="1" t="s">
        <v>34</v>
      </c>
      <c r="E213" s="1" t="s">
        <v>231</v>
      </c>
      <c r="F213" s="1" t="s">
        <v>841</v>
      </c>
      <c r="G213" s="1" t="s">
        <v>21</v>
      </c>
      <c r="H213" s="6">
        <v>1</v>
      </c>
      <c r="I213" s="7">
        <v>3395</v>
      </c>
      <c r="J213" s="5">
        <v>45949</v>
      </c>
      <c r="K213" s="1" t="s">
        <v>30</v>
      </c>
      <c r="L213" s="8">
        <v>0</v>
      </c>
      <c r="M213" s="6"/>
      <c r="N213" s="6"/>
      <c r="O213" s="9">
        <v>1330.75</v>
      </c>
    </row>
    <row r="214" spans="1:15" ht="19.5" customHeight="1">
      <c r="A214" s="1" t="s">
        <v>913</v>
      </c>
      <c r="B214" s="5">
        <v>45953</v>
      </c>
      <c r="C214" s="1" t="s">
        <v>35</v>
      </c>
      <c r="D214" s="1" t="s">
        <v>36</v>
      </c>
      <c r="E214" s="1" t="s">
        <v>231</v>
      </c>
      <c r="F214" s="1" t="s">
        <v>841</v>
      </c>
      <c r="G214" s="1" t="s">
        <v>21</v>
      </c>
      <c r="H214" s="6">
        <v>1</v>
      </c>
      <c r="I214" s="7">
        <v>3395</v>
      </c>
      <c r="J214" s="5">
        <v>45949</v>
      </c>
      <c r="K214" s="1" t="s">
        <v>30</v>
      </c>
      <c r="L214" s="8">
        <v>0.34</v>
      </c>
      <c r="M214" s="6"/>
      <c r="N214" s="6"/>
      <c r="O214" s="9">
        <v>-1154.3</v>
      </c>
    </row>
    <row r="215" spans="1:15" ht="19.5" customHeight="1">
      <c r="A215" s="1" t="s">
        <v>913</v>
      </c>
      <c r="B215" s="5">
        <v>45953</v>
      </c>
      <c r="C215" s="1" t="s">
        <v>17</v>
      </c>
      <c r="D215" s="1" t="s">
        <v>37</v>
      </c>
      <c r="E215" s="1" t="s">
        <v>231</v>
      </c>
      <c r="F215" s="1" t="s">
        <v>841</v>
      </c>
      <c r="G215" s="1" t="s">
        <v>21</v>
      </c>
      <c r="H215" s="6">
        <v>1</v>
      </c>
      <c r="I215" s="7">
        <v>3395</v>
      </c>
      <c r="J215" s="5">
        <v>45949</v>
      </c>
      <c r="K215" s="1" t="s">
        <v>30</v>
      </c>
      <c r="L215" s="8">
        <v>0.34</v>
      </c>
      <c r="M215" s="6"/>
      <c r="N215" s="6"/>
      <c r="O215" s="9">
        <v>-10.63</v>
      </c>
    </row>
    <row r="216" spans="1:15" ht="19.5" customHeight="1">
      <c r="A216" s="1" t="s">
        <v>913</v>
      </c>
      <c r="B216" s="5">
        <v>45953</v>
      </c>
      <c r="C216" s="1" t="s">
        <v>17</v>
      </c>
      <c r="D216" s="1" t="s">
        <v>18</v>
      </c>
      <c r="E216" s="1" t="s">
        <v>231</v>
      </c>
      <c r="F216" s="1" t="s">
        <v>841</v>
      </c>
      <c r="G216" s="1" t="s">
        <v>21</v>
      </c>
      <c r="H216" s="6">
        <v>1</v>
      </c>
      <c r="I216" s="7">
        <v>0</v>
      </c>
      <c r="J216" s="5">
        <v>45949</v>
      </c>
      <c r="K216" s="1" t="s">
        <v>22</v>
      </c>
      <c r="L216" s="8">
        <v>0</v>
      </c>
      <c r="M216" s="6"/>
      <c r="N216" s="6"/>
      <c r="O216" s="9">
        <v>-38.83</v>
      </c>
    </row>
    <row r="217" spans="1:15" ht="19.5" customHeight="1">
      <c r="A217" s="1" t="s">
        <v>22</v>
      </c>
      <c r="B217" s="5">
        <v>45953</v>
      </c>
      <c r="C217" s="1" t="s">
        <v>77</v>
      </c>
      <c r="D217" s="1" t="s">
        <v>78</v>
      </c>
      <c r="E217" s="1" t="s">
        <v>22</v>
      </c>
      <c r="F217" s="1" t="s">
        <v>22</v>
      </c>
      <c r="G217" s="1" t="s">
        <v>914</v>
      </c>
      <c r="H217" s="6">
        <v>0</v>
      </c>
      <c r="I217" s="7">
        <v>0</v>
      </c>
      <c r="J217" s="5">
        <v>45953</v>
      </c>
      <c r="K217" s="1" t="s">
        <v>22</v>
      </c>
      <c r="L217" s="8">
        <v>0</v>
      </c>
      <c r="M217" s="6"/>
      <c r="N217" s="6"/>
      <c r="O217" s="9">
        <v>-200</v>
      </c>
    </row>
    <row r="218" spans="1:15" ht="19.5" customHeight="1">
      <c r="A218" s="1" t="s">
        <v>83</v>
      </c>
      <c r="B218" s="5">
        <v>45953</v>
      </c>
      <c r="C218" s="1" t="s">
        <v>77</v>
      </c>
      <c r="D218" s="1" t="s">
        <v>84</v>
      </c>
      <c r="E218" s="1" t="s">
        <v>22</v>
      </c>
      <c r="F218" s="1" t="s">
        <v>22</v>
      </c>
      <c r="G218" s="1" t="s">
        <v>22</v>
      </c>
      <c r="H218" s="6">
        <v>0</v>
      </c>
      <c r="I218" s="7">
        <v>0</v>
      </c>
      <c r="J218" s="5">
        <v>45953</v>
      </c>
      <c r="K218" s="1" t="s">
        <v>22</v>
      </c>
      <c r="L218" s="8">
        <v>0</v>
      </c>
      <c r="M218" s="6"/>
      <c r="N218" s="6"/>
      <c r="O218" s="9">
        <v>-919.17</v>
      </c>
    </row>
    <row r="219" spans="1:15" ht="19.5" customHeight="1">
      <c r="A219" s="1" t="s">
        <v>811</v>
      </c>
      <c r="B219" s="5">
        <v>45953</v>
      </c>
      <c r="C219" s="1" t="s">
        <v>77</v>
      </c>
      <c r="D219" s="1" t="s">
        <v>82</v>
      </c>
      <c r="E219" s="1" t="s">
        <v>22</v>
      </c>
      <c r="F219" s="1" t="s">
        <v>22</v>
      </c>
      <c r="G219" s="1" t="s">
        <v>22</v>
      </c>
      <c r="H219" s="6">
        <v>0</v>
      </c>
      <c r="I219" s="7">
        <v>0</v>
      </c>
      <c r="J219" s="5">
        <v>45953</v>
      </c>
      <c r="K219" s="1" t="s">
        <v>22</v>
      </c>
      <c r="L219" s="8">
        <v>0</v>
      </c>
      <c r="M219" s="6"/>
      <c r="N219" s="6"/>
      <c r="O219" s="9">
        <v>-892.21</v>
      </c>
    </row>
    <row r="220" spans="1:15" ht="19.5" customHeight="1">
      <c r="A220" s="1" t="s">
        <v>807</v>
      </c>
      <c r="B220" s="5">
        <v>45953</v>
      </c>
      <c r="C220" s="1" t="s">
        <v>77</v>
      </c>
      <c r="D220" s="1" t="s">
        <v>82</v>
      </c>
      <c r="E220" s="1" t="s">
        <v>22</v>
      </c>
      <c r="F220" s="1" t="s">
        <v>22</v>
      </c>
      <c r="G220" s="1" t="s">
        <v>22</v>
      </c>
      <c r="H220" s="6">
        <v>0</v>
      </c>
      <c r="I220" s="7">
        <v>0</v>
      </c>
      <c r="J220" s="5">
        <v>45953</v>
      </c>
      <c r="K220" s="1" t="s">
        <v>22</v>
      </c>
      <c r="L220" s="8">
        <v>0</v>
      </c>
      <c r="M220" s="6"/>
      <c r="N220" s="6"/>
      <c r="O220" s="9">
        <v>-588.35</v>
      </c>
    </row>
    <row r="221" spans="1:15" ht="19.5" customHeight="1">
      <c r="A221" s="1" t="s">
        <v>808</v>
      </c>
      <c r="B221" s="5">
        <v>45953</v>
      </c>
      <c r="C221" s="1" t="s">
        <v>77</v>
      </c>
      <c r="D221" s="1" t="s">
        <v>82</v>
      </c>
      <c r="E221" s="1" t="s">
        <v>22</v>
      </c>
      <c r="F221" s="1" t="s">
        <v>22</v>
      </c>
      <c r="G221" s="1" t="s">
        <v>22</v>
      </c>
      <c r="H221" s="6">
        <v>0</v>
      </c>
      <c r="I221" s="7">
        <v>0</v>
      </c>
      <c r="J221" s="5">
        <v>45953</v>
      </c>
      <c r="K221" s="1" t="s">
        <v>22</v>
      </c>
      <c r="L221" s="8">
        <v>0</v>
      </c>
      <c r="M221" s="6"/>
      <c r="N221" s="6"/>
      <c r="O221" s="9">
        <v>-399.95</v>
      </c>
    </row>
    <row r="222" spans="1:15" ht="19.5" customHeight="1">
      <c r="A222" s="1" t="s">
        <v>810</v>
      </c>
      <c r="B222" s="5">
        <v>45953</v>
      </c>
      <c r="C222" s="1" t="s">
        <v>77</v>
      </c>
      <c r="D222" s="1" t="s">
        <v>82</v>
      </c>
      <c r="E222" s="1" t="s">
        <v>22</v>
      </c>
      <c r="F222" s="1" t="s">
        <v>22</v>
      </c>
      <c r="G222" s="1" t="s">
        <v>22</v>
      </c>
      <c r="H222" s="6">
        <v>0</v>
      </c>
      <c r="I222" s="7">
        <v>0</v>
      </c>
      <c r="J222" s="5">
        <v>45953</v>
      </c>
      <c r="K222" s="1" t="s">
        <v>22</v>
      </c>
      <c r="L222" s="8">
        <v>0</v>
      </c>
      <c r="M222" s="6"/>
      <c r="N222" s="6"/>
      <c r="O222" s="9">
        <v>-498.46</v>
      </c>
    </row>
    <row r="223" spans="1:15" ht="19.5" customHeight="1">
      <c r="A223" s="1" t="s">
        <v>915</v>
      </c>
      <c r="B223" s="5">
        <v>45954</v>
      </c>
      <c r="C223" s="1" t="s">
        <v>17</v>
      </c>
      <c r="D223" s="1" t="s">
        <v>18</v>
      </c>
      <c r="E223" s="1" t="s">
        <v>25</v>
      </c>
      <c r="F223" s="1" t="s">
        <v>26</v>
      </c>
      <c r="G223" s="1" t="s">
        <v>21</v>
      </c>
      <c r="H223" s="6">
        <v>1</v>
      </c>
      <c r="I223" s="7">
        <v>0</v>
      </c>
      <c r="J223" s="5">
        <v>45954</v>
      </c>
      <c r="K223" s="1" t="s">
        <v>22</v>
      </c>
      <c r="L223" s="8">
        <v>0</v>
      </c>
      <c r="M223" s="6"/>
      <c r="N223" s="6"/>
      <c r="O223" s="9">
        <v>-12.44</v>
      </c>
    </row>
    <row r="224" spans="1:15" ht="19.5" customHeight="1">
      <c r="A224" s="1" t="s">
        <v>916</v>
      </c>
      <c r="B224" s="5">
        <v>45954</v>
      </c>
      <c r="C224" s="1" t="s">
        <v>28</v>
      </c>
      <c r="D224" s="1" t="s">
        <v>29</v>
      </c>
      <c r="E224" s="1" t="s">
        <v>239</v>
      </c>
      <c r="F224" s="1" t="s">
        <v>733</v>
      </c>
      <c r="G224" s="1" t="s">
        <v>41</v>
      </c>
      <c r="H224" s="6">
        <v>1</v>
      </c>
      <c r="I224" s="7">
        <v>4548</v>
      </c>
      <c r="J224" s="5">
        <v>45953</v>
      </c>
      <c r="K224" s="1" t="s">
        <v>30</v>
      </c>
      <c r="L224" s="8">
        <v>0.34</v>
      </c>
      <c r="M224" s="6"/>
      <c r="N224" s="6"/>
      <c r="O224" s="9">
        <v>-56</v>
      </c>
    </row>
    <row r="225" spans="1:15" ht="19.5" customHeight="1">
      <c r="A225" s="1" t="s">
        <v>916</v>
      </c>
      <c r="B225" s="5">
        <v>45954</v>
      </c>
      <c r="C225" s="1" t="s">
        <v>31</v>
      </c>
      <c r="D225" s="1" t="s">
        <v>32</v>
      </c>
      <c r="E225" s="1" t="s">
        <v>239</v>
      </c>
      <c r="F225" s="1" t="s">
        <v>733</v>
      </c>
      <c r="G225" s="1" t="s">
        <v>41</v>
      </c>
      <c r="H225" s="6">
        <v>1</v>
      </c>
      <c r="I225" s="7">
        <v>4548</v>
      </c>
      <c r="J225" s="5">
        <v>45953</v>
      </c>
      <c r="K225" s="1" t="s">
        <v>30</v>
      </c>
      <c r="L225" s="8">
        <v>0</v>
      </c>
      <c r="M225" s="6"/>
      <c r="N225" s="6"/>
      <c r="O225" s="9">
        <v>2816.64</v>
      </c>
    </row>
    <row r="226" spans="1:15" ht="19.5" customHeight="1">
      <c r="A226" s="1" t="s">
        <v>916</v>
      </c>
      <c r="B226" s="5">
        <v>45954</v>
      </c>
      <c r="C226" s="1" t="s">
        <v>31</v>
      </c>
      <c r="D226" s="1" t="s">
        <v>33</v>
      </c>
      <c r="E226" s="1" t="s">
        <v>239</v>
      </c>
      <c r="F226" s="1" t="s">
        <v>733</v>
      </c>
      <c r="G226" s="1" t="s">
        <v>41</v>
      </c>
      <c r="H226" s="6">
        <v>1</v>
      </c>
      <c r="I226" s="7">
        <v>4548</v>
      </c>
      <c r="J226" s="5">
        <v>45953</v>
      </c>
      <c r="K226" s="1" t="s">
        <v>30</v>
      </c>
      <c r="L226" s="8">
        <v>0</v>
      </c>
      <c r="M226" s="6"/>
      <c r="N226" s="6"/>
      <c r="O226" s="9">
        <v>28.17</v>
      </c>
    </row>
    <row r="227" spans="1:15" ht="19.5" customHeight="1">
      <c r="A227" s="1" t="s">
        <v>916</v>
      </c>
      <c r="B227" s="5">
        <v>45954</v>
      </c>
      <c r="C227" s="1" t="s">
        <v>31</v>
      </c>
      <c r="D227" s="1" t="s">
        <v>34</v>
      </c>
      <c r="E227" s="1" t="s">
        <v>239</v>
      </c>
      <c r="F227" s="1" t="s">
        <v>733</v>
      </c>
      <c r="G227" s="1" t="s">
        <v>41</v>
      </c>
      <c r="H227" s="6">
        <v>1</v>
      </c>
      <c r="I227" s="7">
        <v>4548</v>
      </c>
      <c r="J227" s="5">
        <v>45953</v>
      </c>
      <c r="K227" s="1" t="s">
        <v>30</v>
      </c>
      <c r="L227" s="8">
        <v>0</v>
      </c>
      <c r="M227" s="6"/>
      <c r="N227" s="6"/>
      <c r="O227" s="9">
        <v>1703.19</v>
      </c>
    </row>
    <row r="228" spans="1:15" ht="19.5" customHeight="1">
      <c r="A228" s="1" t="s">
        <v>916</v>
      </c>
      <c r="B228" s="5">
        <v>45954</v>
      </c>
      <c r="C228" s="1" t="s">
        <v>35</v>
      </c>
      <c r="D228" s="1" t="s">
        <v>36</v>
      </c>
      <c r="E228" s="1" t="s">
        <v>239</v>
      </c>
      <c r="F228" s="1" t="s">
        <v>733</v>
      </c>
      <c r="G228" s="1" t="s">
        <v>41</v>
      </c>
      <c r="H228" s="6">
        <v>1</v>
      </c>
      <c r="I228" s="7">
        <v>4548</v>
      </c>
      <c r="J228" s="5">
        <v>45953</v>
      </c>
      <c r="K228" s="1" t="s">
        <v>30</v>
      </c>
      <c r="L228" s="8">
        <v>0.34</v>
      </c>
      <c r="M228" s="6"/>
      <c r="N228" s="6"/>
      <c r="O228" s="9">
        <v>-1546.32</v>
      </c>
    </row>
    <row r="229" spans="1:15" ht="19.5" customHeight="1">
      <c r="A229" s="1" t="s">
        <v>917</v>
      </c>
      <c r="B229" s="5">
        <v>45954</v>
      </c>
      <c r="C229" s="1" t="s">
        <v>28</v>
      </c>
      <c r="D229" s="1" t="s">
        <v>29</v>
      </c>
      <c r="E229" s="1" t="s">
        <v>25</v>
      </c>
      <c r="F229" s="1" t="s">
        <v>26</v>
      </c>
      <c r="G229" s="1" t="s">
        <v>21</v>
      </c>
      <c r="H229" s="6">
        <v>1</v>
      </c>
      <c r="I229" s="7">
        <v>1117</v>
      </c>
      <c r="J229" s="5">
        <v>45953</v>
      </c>
      <c r="K229" s="1" t="s">
        <v>30</v>
      </c>
      <c r="L229" s="8">
        <v>0.34</v>
      </c>
      <c r="M229" s="6"/>
      <c r="N229" s="6"/>
      <c r="O229" s="9">
        <v>-46</v>
      </c>
    </row>
    <row r="230" spans="1:15" ht="19.5" customHeight="1">
      <c r="A230" s="1" t="s">
        <v>917</v>
      </c>
      <c r="B230" s="5">
        <v>45954</v>
      </c>
      <c r="C230" s="1" t="s">
        <v>31</v>
      </c>
      <c r="D230" s="1" t="s">
        <v>32</v>
      </c>
      <c r="E230" s="1" t="s">
        <v>25</v>
      </c>
      <c r="F230" s="1" t="s">
        <v>26</v>
      </c>
      <c r="G230" s="1" t="s">
        <v>21</v>
      </c>
      <c r="H230" s="6">
        <v>1</v>
      </c>
      <c r="I230" s="7">
        <v>1117</v>
      </c>
      <c r="J230" s="5">
        <v>45953</v>
      </c>
      <c r="K230" s="1" t="s">
        <v>30</v>
      </c>
      <c r="L230" s="8">
        <v>0</v>
      </c>
      <c r="M230" s="6"/>
      <c r="N230" s="6"/>
      <c r="O230" s="9">
        <v>580.4</v>
      </c>
    </row>
    <row r="231" spans="1:15" ht="19.5" customHeight="1">
      <c r="A231" s="1" t="s">
        <v>917</v>
      </c>
      <c r="B231" s="5">
        <v>45954</v>
      </c>
      <c r="C231" s="1" t="s">
        <v>31</v>
      </c>
      <c r="D231" s="1" t="s">
        <v>33</v>
      </c>
      <c r="E231" s="1" t="s">
        <v>25</v>
      </c>
      <c r="F231" s="1" t="s">
        <v>26</v>
      </c>
      <c r="G231" s="1" t="s">
        <v>21</v>
      </c>
      <c r="H231" s="6">
        <v>1</v>
      </c>
      <c r="I231" s="7">
        <v>1117</v>
      </c>
      <c r="J231" s="5">
        <v>45953</v>
      </c>
      <c r="K231" s="1" t="s">
        <v>30</v>
      </c>
      <c r="L231" s="8">
        <v>0</v>
      </c>
      <c r="M231" s="6"/>
      <c r="N231" s="6"/>
      <c r="O231" s="9">
        <v>5.8</v>
      </c>
    </row>
    <row r="232" spans="1:15" ht="19.5" customHeight="1">
      <c r="A232" s="1" t="s">
        <v>917</v>
      </c>
      <c r="B232" s="5">
        <v>45954</v>
      </c>
      <c r="C232" s="1" t="s">
        <v>31</v>
      </c>
      <c r="D232" s="1" t="s">
        <v>34</v>
      </c>
      <c r="E232" s="1" t="s">
        <v>25</v>
      </c>
      <c r="F232" s="1" t="s">
        <v>26</v>
      </c>
      <c r="G232" s="1" t="s">
        <v>21</v>
      </c>
      <c r="H232" s="6">
        <v>1</v>
      </c>
      <c r="I232" s="7">
        <v>1117</v>
      </c>
      <c r="J232" s="5">
        <v>45953</v>
      </c>
      <c r="K232" s="1" t="s">
        <v>30</v>
      </c>
      <c r="L232" s="8">
        <v>0</v>
      </c>
      <c r="M232" s="6"/>
      <c r="N232" s="6"/>
      <c r="O232" s="9">
        <v>530.79999999999995</v>
      </c>
    </row>
    <row r="233" spans="1:15" ht="19.5" customHeight="1">
      <c r="A233" s="1" t="s">
        <v>917</v>
      </c>
      <c r="B233" s="5">
        <v>45954</v>
      </c>
      <c r="C233" s="1" t="s">
        <v>35</v>
      </c>
      <c r="D233" s="1" t="s">
        <v>36</v>
      </c>
      <c r="E233" s="1" t="s">
        <v>25</v>
      </c>
      <c r="F233" s="1" t="s">
        <v>26</v>
      </c>
      <c r="G233" s="1" t="s">
        <v>21</v>
      </c>
      <c r="H233" s="6">
        <v>1</v>
      </c>
      <c r="I233" s="7">
        <v>1117</v>
      </c>
      <c r="J233" s="5">
        <v>45953</v>
      </c>
      <c r="K233" s="1" t="s">
        <v>30</v>
      </c>
      <c r="L233" s="8">
        <v>0.34</v>
      </c>
      <c r="M233" s="6"/>
      <c r="N233" s="6"/>
      <c r="O233" s="9">
        <v>-379.78</v>
      </c>
    </row>
    <row r="234" spans="1:15" ht="19.5" customHeight="1">
      <c r="A234" s="1" t="s">
        <v>917</v>
      </c>
      <c r="B234" s="5">
        <v>45954</v>
      </c>
      <c r="C234" s="1" t="s">
        <v>17</v>
      </c>
      <c r="D234" s="1" t="s">
        <v>37</v>
      </c>
      <c r="E234" s="1" t="s">
        <v>25</v>
      </c>
      <c r="F234" s="1" t="s">
        <v>26</v>
      </c>
      <c r="G234" s="1" t="s">
        <v>21</v>
      </c>
      <c r="H234" s="6">
        <v>1</v>
      </c>
      <c r="I234" s="7">
        <v>1117</v>
      </c>
      <c r="J234" s="5">
        <v>45953</v>
      </c>
      <c r="K234" s="1" t="s">
        <v>30</v>
      </c>
      <c r="L234" s="8">
        <v>0.34</v>
      </c>
      <c r="M234" s="6"/>
      <c r="N234" s="6"/>
      <c r="O234" s="9">
        <v>-4.7</v>
      </c>
    </row>
    <row r="235" spans="1:15" ht="19.5" customHeight="1">
      <c r="A235" s="1" t="s">
        <v>917</v>
      </c>
      <c r="B235" s="5">
        <v>45954</v>
      </c>
      <c r="C235" s="1" t="s">
        <v>17</v>
      </c>
      <c r="D235" s="1" t="s">
        <v>18</v>
      </c>
      <c r="E235" s="1" t="s">
        <v>25</v>
      </c>
      <c r="F235" s="1" t="s">
        <v>26</v>
      </c>
      <c r="G235" s="1" t="s">
        <v>21</v>
      </c>
      <c r="H235" s="6">
        <v>1</v>
      </c>
      <c r="I235" s="7">
        <v>0</v>
      </c>
      <c r="J235" s="5">
        <v>45953</v>
      </c>
      <c r="K235" s="1" t="s">
        <v>22</v>
      </c>
      <c r="L235" s="8">
        <v>0</v>
      </c>
      <c r="M235" s="6"/>
      <c r="N235" s="6"/>
      <c r="O235" s="9">
        <v>-11.03</v>
      </c>
    </row>
    <row r="236" spans="1:15" ht="19.5" customHeight="1">
      <c r="A236" s="1" t="s">
        <v>918</v>
      </c>
      <c r="B236" s="5">
        <v>45954</v>
      </c>
      <c r="C236" s="1" t="s">
        <v>28</v>
      </c>
      <c r="D236" s="1" t="s">
        <v>29</v>
      </c>
      <c r="E236" s="1" t="s">
        <v>25</v>
      </c>
      <c r="F236" s="1" t="s">
        <v>26</v>
      </c>
      <c r="G236" s="1" t="s">
        <v>21</v>
      </c>
      <c r="H236" s="6">
        <v>1</v>
      </c>
      <c r="I236" s="7">
        <v>0</v>
      </c>
      <c r="J236" s="5">
        <v>45950</v>
      </c>
      <c r="K236" s="1" t="s">
        <v>30</v>
      </c>
      <c r="L236" s="8">
        <v>0</v>
      </c>
      <c r="M236" s="6"/>
      <c r="N236" s="6"/>
      <c r="O236" s="9">
        <v>-46</v>
      </c>
    </row>
    <row r="237" spans="1:15" ht="19.5" customHeight="1">
      <c r="A237" s="1" t="s">
        <v>918</v>
      </c>
      <c r="B237" s="5">
        <v>45954</v>
      </c>
      <c r="C237" s="1" t="s">
        <v>17</v>
      </c>
      <c r="D237" s="1" t="s">
        <v>37</v>
      </c>
      <c r="E237" s="1" t="s">
        <v>25</v>
      </c>
      <c r="F237" s="1" t="s">
        <v>26</v>
      </c>
      <c r="G237" s="1" t="s">
        <v>21</v>
      </c>
      <c r="H237" s="6">
        <v>1</v>
      </c>
      <c r="I237" s="7">
        <v>0</v>
      </c>
      <c r="J237" s="5">
        <v>45950</v>
      </c>
      <c r="K237" s="1" t="s">
        <v>30</v>
      </c>
      <c r="L237" s="8">
        <v>0</v>
      </c>
      <c r="M237" s="6"/>
      <c r="N237" s="6"/>
      <c r="O237" s="9">
        <v>-9.17</v>
      </c>
    </row>
    <row r="238" spans="1:15" ht="19.5" customHeight="1">
      <c r="A238" s="1" t="s">
        <v>919</v>
      </c>
      <c r="B238" s="5">
        <v>45954</v>
      </c>
      <c r="C238" s="1" t="s">
        <v>28</v>
      </c>
      <c r="D238" s="1" t="s">
        <v>29</v>
      </c>
      <c r="E238" s="1" t="s">
        <v>98</v>
      </c>
      <c r="F238" s="1" t="s">
        <v>99</v>
      </c>
      <c r="G238" s="1" t="s">
        <v>41</v>
      </c>
      <c r="H238" s="6">
        <v>1</v>
      </c>
      <c r="I238" s="7">
        <v>0</v>
      </c>
      <c r="J238" s="5">
        <v>45937</v>
      </c>
      <c r="K238" s="1" t="s">
        <v>30</v>
      </c>
      <c r="L238" s="8">
        <v>0</v>
      </c>
      <c r="M238" s="6"/>
      <c r="N238" s="6"/>
      <c r="O238" s="9">
        <v>-56</v>
      </c>
    </row>
    <row r="239" spans="1:15" ht="19.5" customHeight="1">
      <c r="A239" s="1" t="s">
        <v>919</v>
      </c>
      <c r="B239" s="5">
        <v>45954</v>
      </c>
      <c r="C239" s="1" t="s">
        <v>17</v>
      </c>
      <c r="D239" s="1" t="s">
        <v>37</v>
      </c>
      <c r="E239" s="1" t="s">
        <v>98</v>
      </c>
      <c r="F239" s="1" t="s">
        <v>99</v>
      </c>
      <c r="G239" s="1" t="s">
        <v>41</v>
      </c>
      <c r="H239" s="6">
        <v>1</v>
      </c>
      <c r="I239" s="7">
        <v>0</v>
      </c>
      <c r="J239" s="5">
        <v>45937</v>
      </c>
      <c r="K239" s="1" t="s">
        <v>30</v>
      </c>
      <c r="L239" s="8">
        <v>0</v>
      </c>
      <c r="M239" s="6"/>
      <c r="N239" s="6"/>
      <c r="O239" s="9">
        <v>-10.75</v>
      </c>
    </row>
    <row r="240" spans="1:15" ht="19.5" customHeight="1">
      <c r="A240" s="1" t="s">
        <v>920</v>
      </c>
      <c r="B240" s="5">
        <v>45954</v>
      </c>
      <c r="C240" s="1" t="s">
        <v>28</v>
      </c>
      <c r="D240" s="1" t="s">
        <v>29</v>
      </c>
      <c r="E240" s="1" t="s">
        <v>238</v>
      </c>
      <c r="F240" s="1" t="s">
        <v>921</v>
      </c>
      <c r="G240" s="1" t="s">
        <v>41</v>
      </c>
      <c r="H240" s="6">
        <v>1</v>
      </c>
      <c r="I240" s="7">
        <v>4548</v>
      </c>
      <c r="J240" s="5">
        <v>45951</v>
      </c>
      <c r="K240" s="1" t="s">
        <v>30</v>
      </c>
      <c r="L240" s="8">
        <v>0.34</v>
      </c>
      <c r="M240" s="6"/>
      <c r="N240" s="6"/>
      <c r="O240" s="9">
        <v>-56</v>
      </c>
    </row>
    <row r="241" spans="1:15" ht="19.5" customHeight="1">
      <c r="A241" s="1" t="s">
        <v>920</v>
      </c>
      <c r="B241" s="5">
        <v>45954</v>
      </c>
      <c r="C241" s="1" t="s">
        <v>31</v>
      </c>
      <c r="D241" s="1" t="s">
        <v>32</v>
      </c>
      <c r="E241" s="1" t="s">
        <v>238</v>
      </c>
      <c r="F241" s="1" t="s">
        <v>921</v>
      </c>
      <c r="G241" s="1" t="s">
        <v>41</v>
      </c>
      <c r="H241" s="6">
        <v>1</v>
      </c>
      <c r="I241" s="7">
        <v>4548</v>
      </c>
      <c r="J241" s="5">
        <v>45951</v>
      </c>
      <c r="K241" s="1" t="s">
        <v>30</v>
      </c>
      <c r="L241" s="8">
        <v>0</v>
      </c>
      <c r="M241" s="6"/>
      <c r="N241" s="6"/>
      <c r="O241" s="9">
        <v>2496.21</v>
      </c>
    </row>
    <row r="242" spans="1:15" ht="19.5" customHeight="1">
      <c r="A242" s="1" t="s">
        <v>920</v>
      </c>
      <c r="B242" s="5">
        <v>45954</v>
      </c>
      <c r="C242" s="1" t="s">
        <v>31</v>
      </c>
      <c r="D242" s="1" t="s">
        <v>33</v>
      </c>
      <c r="E242" s="1" t="s">
        <v>238</v>
      </c>
      <c r="F242" s="1" t="s">
        <v>921</v>
      </c>
      <c r="G242" s="1" t="s">
        <v>41</v>
      </c>
      <c r="H242" s="6">
        <v>1</v>
      </c>
      <c r="I242" s="7">
        <v>4548</v>
      </c>
      <c r="J242" s="5">
        <v>45951</v>
      </c>
      <c r="K242" s="1" t="s">
        <v>30</v>
      </c>
      <c r="L242" s="8">
        <v>0</v>
      </c>
      <c r="M242" s="6"/>
      <c r="N242" s="6"/>
      <c r="O242" s="9">
        <v>24.96</v>
      </c>
    </row>
    <row r="243" spans="1:15" ht="19.5" customHeight="1">
      <c r="A243" s="1" t="s">
        <v>920</v>
      </c>
      <c r="B243" s="5">
        <v>45954</v>
      </c>
      <c r="C243" s="1" t="s">
        <v>31</v>
      </c>
      <c r="D243" s="1" t="s">
        <v>34</v>
      </c>
      <c r="E243" s="1" t="s">
        <v>238</v>
      </c>
      <c r="F243" s="1" t="s">
        <v>921</v>
      </c>
      <c r="G243" s="1" t="s">
        <v>41</v>
      </c>
      <c r="H243" s="6">
        <v>1</v>
      </c>
      <c r="I243" s="7">
        <v>4548</v>
      </c>
      <c r="J243" s="5">
        <v>45951</v>
      </c>
      <c r="K243" s="1" t="s">
        <v>30</v>
      </c>
      <c r="L243" s="8">
        <v>0</v>
      </c>
      <c r="M243" s="6"/>
      <c r="N243" s="6"/>
      <c r="O243" s="9">
        <v>2026.83</v>
      </c>
    </row>
    <row r="244" spans="1:15" ht="19.5" customHeight="1">
      <c r="A244" s="1" t="s">
        <v>920</v>
      </c>
      <c r="B244" s="5">
        <v>45954</v>
      </c>
      <c r="C244" s="1" t="s">
        <v>35</v>
      </c>
      <c r="D244" s="1" t="s">
        <v>36</v>
      </c>
      <c r="E244" s="1" t="s">
        <v>238</v>
      </c>
      <c r="F244" s="1" t="s">
        <v>921</v>
      </c>
      <c r="G244" s="1" t="s">
        <v>41</v>
      </c>
      <c r="H244" s="6">
        <v>1</v>
      </c>
      <c r="I244" s="7">
        <v>4548</v>
      </c>
      <c r="J244" s="5">
        <v>45951</v>
      </c>
      <c r="K244" s="1" t="s">
        <v>30</v>
      </c>
      <c r="L244" s="8">
        <v>0.34</v>
      </c>
      <c r="M244" s="6"/>
      <c r="N244" s="6"/>
      <c r="O244" s="9">
        <v>-1546.32</v>
      </c>
    </row>
    <row r="245" spans="1:15" ht="19.5" customHeight="1">
      <c r="A245" s="1" t="s">
        <v>920</v>
      </c>
      <c r="B245" s="5">
        <v>45954</v>
      </c>
      <c r="C245" s="1" t="s">
        <v>17</v>
      </c>
      <c r="D245" s="1" t="s">
        <v>37</v>
      </c>
      <c r="E245" s="1" t="s">
        <v>238</v>
      </c>
      <c r="F245" s="1" t="s">
        <v>921</v>
      </c>
      <c r="G245" s="1" t="s">
        <v>41</v>
      </c>
      <c r="H245" s="6">
        <v>1</v>
      </c>
      <c r="I245" s="7">
        <v>4548</v>
      </c>
      <c r="J245" s="5">
        <v>45951</v>
      </c>
      <c r="K245" s="1" t="s">
        <v>30</v>
      </c>
      <c r="L245" s="8">
        <v>0.34</v>
      </c>
      <c r="M245" s="6"/>
      <c r="N245" s="6"/>
      <c r="O245" s="9">
        <v>-12.19</v>
      </c>
    </row>
    <row r="246" spans="1:15" ht="19.5" customHeight="1">
      <c r="A246" s="1" t="s">
        <v>918</v>
      </c>
      <c r="B246" s="5">
        <v>45954</v>
      </c>
      <c r="C246" s="1" t="s">
        <v>28</v>
      </c>
      <c r="D246" s="1" t="s">
        <v>45</v>
      </c>
      <c r="E246" s="1" t="s">
        <v>25</v>
      </c>
      <c r="F246" s="1" t="s">
        <v>26</v>
      </c>
      <c r="G246" s="1" t="s">
        <v>21</v>
      </c>
      <c r="H246" s="6">
        <v>1</v>
      </c>
      <c r="I246" s="7">
        <v>0</v>
      </c>
      <c r="J246" s="5">
        <v>45950</v>
      </c>
      <c r="K246" s="1" t="s">
        <v>30</v>
      </c>
      <c r="L246" s="8">
        <v>0</v>
      </c>
      <c r="M246" s="6"/>
      <c r="N246" s="6"/>
      <c r="O246" s="9">
        <v>0</v>
      </c>
    </row>
    <row r="247" spans="1:15" ht="19.5" customHeight="1">
      <c r="A247" s="1" t="s">
        <v>918</v>
      </c>
      <c r="B247" s="5">
        <v>45954</v>
      </c>
      <c r="C247" s="1" t="s">
        <v>28</v>
      </c>
      <c r="D247" s="1" t="s">
        <v>46</v>
      </c>
      <c r="E247" s="1" t="s">
        <v>25</v>
      </c>
      <c r="F247" s="1" t="s">
        <v>26</v>
      </c>
      <c r="G247" s="1" t="s">
        <v>21</v>
      </c>
      <c r="H247" s="6">
        <v>1</v>
      </c>
      <c r="I247" s="7">
        <v>0</v>
      </c>
      <c r="J247" s="5">
        <v>45950</v>
      </c>
      <c r="K247" s="1" t="s">
        <v>30</v>
      </c>
      <c r="L247" s="8">
        <v>0</v>
      </c>
      <c r="M247" s="6"/>
      <c r="N247" s="6"/>
      <c r="O247" s="9">
        <v>-46</v>
      </c>
    </row>
    <row r="248" spans="1:15" ht="19.5" customHeight="1">
      <c r="A248" s="1" t="s">
        <v>918</v>
      </c>
      <c r="B248" s="5">
        <v>45954</v>
      </c>
      <c r="C248" s="1" t="s">
        <v>17</v>
      </c>
      <c r="D248" s="1" t="s">
        <v>47</v>
      </c>
      <c r="E248" s="1" t="s">
        <v>25</v>
      </c>
      <c r="F248" s="1" t="s">
        <v>26</v>
      </c>
      <c r="G248" s="1" t="s">
        <v>21</v>
      </c>
      <c r="H248" s="6">
        <v>1</v>
      </c>
      <c r="I248" s="7">
        <v>0</v>
      </c>
      <c r="J248" s="5">
        <v>45950</v>
      </c>
      <c r="K248" s="1" t="s">
        <v>30</v>
      </c>
      <c r="L248" s="8">
        <v>0</v>
      </c>
      <c r="M248" s="6"/>
      <c r="N248" s="6"/>
      <c r="O248" s="9">
        <v>-15</v>
      </c>
    </row>
    <row r="249" spans="1:15" ht="19.5" customHeight="1">
      <c r="A249" s="1" t="s">
        <v>919</v>
      </c>
      <c r="B249" s="5">
        <v>45954</v>
      </c>
      <c r="C249" s="1" t="s">
        <v>28</v>
      </c>
      <c r="D249" s="1" t="s">
        <v>45</v>
      </c>
      <c r="E249" s="1" t="s">
        <v>98</v>
      </c>
      <c r="F249" s="1" t="s">
        <v>99</v>
      </c>
      <c r="G249" s="1" t="s">
        <v>41</v>
      </c>
      <c r="H249" s="6">
        <v>1</v>
      </c>
      <c r="I249" s="7">
        <v>0</v>
      </c>
      <c r="J249" s="5">
        <v>45937</v>
      </c>
      <c r="K249" s="1" t="s">
        <v>30</v>
      </c>
      <c r="L249" s="8">
        <v>0</v>
      </c>
      <c r="M249" s="6"/>
      <c r="N249" s="6"/>
      <c r="O249" s="9">
        <v>0</v>
      </c>
    </row>
    <row r="250" spans="1:15" ht="19.5" customHeight="1">
      <c r="A250" s="1" t="s">
        <v>919</v>
      </c>
      <c r="B250" s="5">
        <v>45954</v>
      </c>
      <c r="C250" s="1" t="s">
        <v>28</v>
      </c>
      <c r="D250" s="1" t="s">
        <v>46</v>
      </c>
      <c r="E250" s="1" t="s">
        <v>98</v>
      </c>
      <c r="F250" s="1" t="s">
        <v>99</v>
      </c>
      <c r="G250" s="1" t="s">
        <v>41</v>
      </c>
      <c r="H250" s="6">
        <v>1</v>
      </c>
      <c r="I250" s="7">
        <v>0</v>
      </c>
      <c r="J250" s="5">
        <v>45937</v>
      </c>
      <c r="K250" s="1" t="s">
        <v>30</v>
      </c>
      <c r="L250" s="8">
        <v>0</v>
      </c>
      <c r="M250" s="6"/>
      <c r="N250" s="6"/>
      <c r="O250" s="9">
        <v>-56</v>
      </c>
    </row>
    <row r="251" spans="1:15" ht="19.5" customHeight="1">
      <c r="A251" s="1" t="s">
        <v>919</v>
      </c>
      <c r="B251" s="5">
        <v>45954</v>
      </c>
      <c r="C251" s="1" t="s">
        <v>17</v>
      </c>
      <c r="D251" s="1" t="s">
        <v>47</v>
      </c>
      <c r="E251" s="1" t="s">
        <v>98</v>
      </c>
      <c r="F251" s="1" t="s">
        <v>99</v>
      </c>
      <c r="G251" s="1" t="s">
        <v>41</v>
      </c>
      <c r="H251" s="6">
        <v>1</v>
      </c>
      <c r="I251" s="7">
        <v>0</v>
      </c>
      <c r="J251" s="5">
        <v>45937</v>
      </c>
      <c r="K251" s="1" t="s">
        <v>30</v>
      </c>
      <c r="L251" s="8">
        <v>0</v>
      </c>
      <c r="M251" s="6"/>
      <c r="N251" s="6"/>
      <c r="O251" s="9">
        <v>-15</v>
      </c>
    </row>
    <row r="252" spans="1:15" ht="19.5" customHeight="1">
      <c r="A252" s="1" t="s">
        <v>920</v>
      </c>
      <c r="B252" s="5">
        <v>45954</v>
      </c>
      <c r="C252" s="1" t="s">
        <v>17</v>
      </c>
      <c r="D252" s="1" t="s">
        <v>18</v>
      </c>
      <c r="E252" s="1" t="s">
        <v>238</v>
      </c>
      <c r="F252" s="1" t="s">
        <v>921</v>
      </c>
      <c r="G252" s="1" t="s">
        <v>41</v>
      </c>
      <c r="H252" s="6">
        <v>1</v>
      </c>
      <c r="I252" s="7">
        <v>0</v>
      </c>
      <c r="J252" s="5">
        <v>45951</v>
      </c>
      <c r="K252" s="1" t="s">
        <v>22</v>
      </c>
      <c r="L252" s="8">
        <v>0</v>
      </c>
      <c r="M252" s="6"/>
      <c r="N252" s="6"/>
      <c r="O252" s="9">
        <v>-47.43</v>
      </c>
    </row>
    <row r="253" spans="1:15" ht="19.5" customHeight="1">
      <c r="A253" s="1" t="s">
        <v>922</v>
      </c>
      <c r="B253" s="5">
        <v>45954</v>
      </c>
      <c r="C253" s="1" t="s">
        <v>28</v>
      </c>
      <c r="D253" s="1" t="s">
        <v>29</v>
      </c>
      <c r="E253" s="1" t="s">
        <v>25</v>
      </c>
      <c r="F253" s="1" t="s">
        <v>26</v>
      </c>
      <c r="G253" s="1" t="s">
        <v>21</v>
      </c>
      <c r="H253" s="6">
        <v>1</v>
      </c>
      <c r="I253" s="7">
        <v>1164</v>
      </c>
      <c r="J253" s="5">
        <v>45952</v>
      </c>
      <c r="K253" s="1" t="s">
        <v>30</v>
      </c>
      <c r="L253" s="8">
        <v>0.34</v>
      </c>
      <c r="M253" s="6"/>
      <c r="N253" s="6"/>
      <c r="O253" s="9">
        <v>-46</v>
      </c>
    </row>
    <row r="254" spans="1:15" ht="19.5" customHeight="1">
      <c r="A254" s="1" t="s">
        <v>922</v>
      </c>
      <c r="B254" s="5">
        <v>45954</v>
      </c>
      <c r="C254" s="1" t="s">
        <v>31</v>
      </c>
      <c r="D254" s="1" t="s">
        <v>32</v>
      </c>
      <c r="E254" s="1" t="s">
        <v>25</v>
      </c>
      <c r="F254" s="1" t="s">
        <v>26</v>
      </c>
      <c r="G254" s="1" t="s">
        <v>21</v>
      </c>
      <c r="H254" s="6">
        <v>1</v>
      </c>
      <c r="I254" s="7">
        <v>1164</v>
      </c>
      <c r="J254" s="5">
        <v>45952</v>
      </c>
      <c r="K254" s="1" t="s">
        <v>30</v>
      </c>
      <c r="L254" s="8">
        <v>0</v>
      </c>
      <c r="M254" s="6"/>
      <c r="N254" s="6"/>
      <c r="O254" s="9">
        <v>605.71</v>
      </c>
    </row>
    <row r="255" spans="1:15" ht="19.5" customHeight="1">
      <c r="A255" s="1" t="s">
        <v>922</v>
      </c>
      <c r="B255" s="5">
        <v>45954</v>
      </c>
      <c r="C255" s="1" t="s">
        <v>31</v>
      </c>
      <c r="D255" s="1" t="s">
        <v>33</v>
      </c>
      <c r="E255" s="1" t="s">
        <v>25</v>
      </c>
      <c r="F255" s="1" t="s">
        <v>26</v>
      </c>
      <c r="G255" s="1" t="s">
        <v>21</v>
      </c>
      <c r="H255" s="6">
        <v>1</v>
      </c>
      <c r="I255" s="7">
        <v>1164</v>
      </c>
      <c r="J255" s="5">
        <v>45952</v>
      </c>
      <c r="K255" s="1" t="s">
        <v>30</v>
      </c>
      <c r="L255" s="8">
        <v>0</v>
      </c>
      <c r="M255" s="6"/>
      <c r="N255" s="6"/>
      <c r="O255" s="9">
        <v>6.06</v>
      </c>
    </row>
    <row r="256" spans="1:15" ht="19.5" customHeight="1">
      <c r="A256" s="1" t="s">
        <v>922</v>
      </c>
      <c r="B256" s="5">
        <v>45954</v>
      </c>
      <c r="C256" s="1" t="s">
        <v>31</v>
      </c>
      <c r="D256" s="1" t="s">
        <v>34</v>
      </c>
      <c r="E256" s="1" t="s">
        <v>25</v>
      </c>
      <c r="F256" s="1" t="s">
        <v>26</v>
      </c>
      <c r="G256" s="1" t="s">
        <v>21</v>
      </c>
      <c r="H256" s="6">
        <v>1</v>
      </c>
      <c r="I256" s="7">
        <v>1164</v>
      </c>
      <c r="J256" s="5">
        <v>45952</v>
      </c>
      <c r="K256" s="1" t="s">
        <v>30</v>
      </c>
      <c r="L256" s="8">
        <v>0</v>
      </c>
      <c r="M256" s="6"/>
      <c r="N256" s="6"/>
      <c r="O256" s="9">
        <v>552.23</v>
      </c>
    </row>
    <row r="257" spans="1:15" ht="19.5" customHeight="1">
      <c r="A257" s="1" t="s">
        <v>922</v>
      </c>
      <c r="B257" s="5">
        <v>45954</v>
      </c>
      <c r="C257" s="1" t="s">
        <v>35</v>
      </c>
      <c r="D257" s="1" t="s">
        <v>36</v>
      </c>
      <c r="E257" s="1" t="s">
        <v>25</v>
      </c>
      <c r="F257" s="1" t="s">
        <v>26</v>
      </c>
      <c r="G257" s="1" t="s">
        <v>21</v>
      </c>
      <c r="H257" s="6">
        <v>1</v>
      </c>
      <c r="I257" s="7">
        <v>1164</v>
      </c>
      <c r="J257" s="5">
        <v>45952</v>
      </c>
      <c r="K257" s="1" t="s">
        <v>30</v>
      </c>
      <c r="L257" s="8">
        <v>0.34</v>
      </c>
      <c r="M257" s="6"/>
      <c r="N257" s="6"/>
      <c r="O257" s="9">
        <v>-395.76</v>
      </c>
    </row>
    <row r="258" spans="1:15" ht="19.5" customHeight="1">
      <c r="A258" s="1" t="s">
        <v>922</v>
      </c>
      <c r="B258" s="5">
        <v>45954</v>
      </c>
      <c r="C258" s="1" t="s">
        <v>17</v>
      </c>
      <c r="D258" s="1" t="s">
        <v>37</v>
      </c>
      <c r="E258" s="1" t="s">
        <v>25</v>
      </c>
      <c r="F258" s="1" t="s">
        <v>26</v>
      </c>
      <c r="G258" s="1" t="s">
        <v>21</v>
      </c>
      <c r="H258" s="6">
        <v>1</v>
      </c>
      <c r="I258" s="7">
        <v>1164</v>
      </c>
      <c r="J258" s="5">
        <v>45952</v>
      </c>
      <c r="K258" s="1" t="s">
        <v>30</v>
      </c>
      <c r="L258" s="8">
        <v>0.34</v>
      </c>
      <c r="M258" s="6"/>
      <c r="N258" s="6"/>
      <c r="O258" s="9">
        <v>-7.32</v>
      </c>
    </row>
    <row r="259" spans="1:15" ht="19.5" customHeight="1">
      <c r="A259" s="1" t="s">
        <v>922</v>
      </c>
      <c r="B259" s="5">
        <v>45954</v>
      </c>
      <c r="C259" s="1" t="s">
        <v>17</v>
      </c>
      <c r="D259" s="1" t="s">
        <v>18</v>
      </c>
      <c r="E259" s="1" t="s">
        <v>25</v>
      </c>
      <c r="F259" s="1" t="s">
        <v>26</v>
      </c>
      <c r="G259" s="1" t="s">
        <v>21</v>
      </c>
      <c r="H259" s="6">
        <v>1</v>
      </c>
      <c r="I259" s="7">
        <v>0</v>
      </c>
      <c r="J259" s="5">
        <v>45952</v>
      </c>
      <c r="K259" s="1" t="s">
        <v>22</v>
      </c>
      <c r="L259" s="8">
        <v>0</v>
      </c>
      <c r="M259" s="6"/>
      <c r="N259" s="6"/>
      <c r="O259" s="9">
        <v>-11.51</v>
      </c>
    </row>
    <row r="260" spans="1:15" ht="19.5" customHeight="1">
      <c r="A260" s="1" t="s">
        <v>22</v>
      </c>
      <c r="B260" s="5">
        <v>45954</v>
      </c>
      <c r="C260" s="1" t="s">
        <v>77</v>
      </c>
      <c r="D260" s="1" t="s">
        <v>78</v>
      </c>
      <c r="E260" s="1" t="s">
        <v>22</v>
      </c>
      <c r="F260" s="1" t="s">
        <v>22</v>
      </c>
      <c r="G260" s="1" t="s">
        <v>923</v>
      </c>
      <c r="H260" s="6">
        <v>0</v>
      </c>
      <c r="I260" s="7">
        <v>0</v>
      </c>
      <c r="J260" s="5">
        <v>45954</v>
      </c>
      <c r="K260" s="1" t="s">
        <v>22</v>
      </c>
      <c r="L260" s="8">
        <v>0</v>
      </c>
      <c r="M260" s="6"/>
      <c r="N260" s="6"/>
      <c r="O260" s="9">
        <v>-200</v>
      </c>
    </row>
    <row r="261" spans="1:15" ht="19.5" customHeight="1">
      <c r="A261" s="1" t="s">
        <v>807</v>
      </c>
      <c r="B261" s="5">
        <v>45954</v>
      </c>
      <c r="C261" s="1" t="s">
        <v>77</v>
      </c>
      <c r="D261" s="1" t="s">
        <v>82</v>
      </c>
      <c r="E261" s="1" t="s">
        <v>22</v>
      </c>
      <c r="F261" s="1" t="s">
        <v>22</v>
      </c>
      <c r="G261" s="1" t="s">
        <v>22</v>
      </c>
      <c r="H261" s="6">
        <v>0</v>
      </c>
      <c r="I261" s="7">
        <v>0</v>
      </c>
      <c r="J261" s="5">
        <v>45954</v>
      </c>
      <c r="K261" s="1" t="s">
        <v>22</v>
      </c>
      <c r="L261" s="8">
        <v>0</v>
      </c>
      <c r="M261" s="6"/>
      <c r="N261" s="6"/>
      <c r="O261" s="9">
        <v>-558.76</v>
      </c>
    </row>
    <row r="262" spans="1:15" ht="19.5" customHeight="1">
      <c r="A262" s="1" t="s">
        <v>83</v>
      </c>
      <c r="B262" s="5">
        <v>45954</v>
      </c>
      <c r="C262" s="1" t="s">
        <v>77</v>
      </c>
      <c r="D262" s="1" t="s">
        <v>84</v>
      </c>
      <c r="E262" s="1" t="s">
        <v>22</v>
      </c>
      <c r="F262" s="1" t="s">
        <v>22</v>
      </c>
      <c r="G262" s="1" t="s">
        <v>22</v>
      </c>
      <c r="H262" s="6">
        <v>0</v>
      </c>
      <c r="I262" s="7">
        <v>0</v>
      </c>
      <c r="J262" s="5">
        <v>45954</v>
      </c>
      <c r="K262" s="1" t="s">
        <v>22</v>
      </c>
      <c r="L262" s="8">
        <v>0</v>
      </c>
      <c r="M262" s="6"/>
      <c r="N262" s="6"/>
      <c r="O262" s="9">
        <v>-305.82</v>
      </c>
    </row>
    <row r="263" spans="1:15" ht="19.5" customHeight="1">
      <c r="A263" s="1" t="s">
        <v>808</v>
      </c>
      <c r="B263" s="5">
        <v>45954</v>
      </c>
      <c r="C263" s="1" t="s">
        <v>77</v>
      </c>
      <c r="D263" s="1" t="s">
        <v>82</v>
      </c>
      <c r="E263" s="1" t="s">
        <v>22</v>
      </c>
      <c r="F263" s="1" t="s">
        <v>22</v>
      </c>
      <c r="G263" s="1" t="s">
        <v>22</v>
      </c>
      <c r="H263" s="6">
        <v>0</v>
      </c>
      <c r="I263" s="7">
        <v>0</v>
      </c>
      <c r="J263" s="5">
        <v>45954</v>
      </c>
      <c r="K263" s="1" t="s">
        <v>22</v>
      </c>
      <c r="L263" s="8">
        <v>0</v>
      </c>
      <c r="M263" s="6"/>
      <c r="N263" s="6"/>
      <c r="O263" s="9">
        <v>-485.36</v>
      </c>
    </row>
    <row r="264" spans="1:15" ht="19.5" customHeight="1">
      <c r="A264" s="1" t="s">
        <v>811</v>
      </c>
      <c r="B264" s="5">
        <v>45954</v>
      </c>
      <c r="C264" s="1" t="s">
        <v>77</v>
      </c>
      <c r="D264" s="1" t="s">
        <v>82</v>
      </c>
      <c r="E264" s="1" t="s">
        <v>22</v>
      </c>
      <c r="F264" s="1" t="s">
        <v>22</v>
      </c>
      <c r="G264" s="1" t="s">
        <v>22</v>
      </c>
      <c r="H264" s="6">
        <v>0</v>
      </c>
      <c r="I264" s="7">
        <v>0</v>
      </c>
      <c r="J264" s="5">
        <v>45954</v>
      </c>
      <c r="K264" s="1" t="s">
        <v>22</v>
      </c>
      <c r="L264" s="8">
        <v>0</v>
      </c>
      <c r="M264" s="6"/>
      <c r="N264" s="6"/>
      <c r="O264" s="9">
        <v>-858.05</v>
      </c>
    </row>
    <row r="265" spans="1:15" ht="19.5" customHeight="1">
      <c r="A265" s="1" t="s">
        <v>810</v>
      </c>
      <c r="B265" s="5">
        <v>45954</v>
      </c>
      <c r="C265" s="1" t="s">
        <v>77</v>
      </c>
      <c r="D265" s="1" t="s">
        <v>82</v>
      </c>
      <c r="E265" s="1" t="s">
        <v>22</v>
      </c>
      <c r="F265" s="1" t="s">
        <v>22</v>
      </c>
      <c r="G265" s="1" t="s">
        <v>22</v>
      </c>
      <c r="H265" s="6">
        <v>0</v>
      </c>
      <c r="I265" s="7">
        <v>0</v>
      </c>
      <c r="J265" s="5">
        <v>45954</v>
      </c>
      <c r="K265" s="1" t="s">
        <v>22</v>
      </c>
      <c r="L265" s="8">
        <v>0</v>
      </c>
      <c r="M265" s="6"/>
      <c r="N265" s="6"/>
      <c r="O265" s="9">
        <v>-482.12</v>
      </c>
    </row>
    <row r="266" spans="1:15" ht="19.5" customHeight="1">
      <c r="A266" s="1" t="s">
        <v>924</v>
      </c>
      <c r="B266" s="5">
        <v>45955</v>
      </c>
      <c r="C266" s="1" t="s">
        <v>28</v>
      </c>
      <c r="D266" s="1" t="s">
        <v>29</v>
      </c>
      <c r="E266" s="1" t="s">
        <v>19</v>
      </c>
      <c r="F266" s="1" t="s">
        <v>20</v>
      </c>
      <c r="G266" s="1" t="s">
        <v>21</v>
      </c>
      <c r="H266" s="6">
        <v>1</v>
      </c>
      <c r="I266" s="7">
        <v>0</v>
      </c>
      <c r="J266" s="5">
        <v>45946</v>
      </c>
      <c r="K266" s="1" t="s">
        <v>30</v>
      </c>
      <c r="L266" s="8">
        <v>0</v>
      </c>
      <c r="M266" s="6"/>
      <c r="N266" s="6"/>
      <c r="O266" s="9">
        <v>-46</v>
      </c>
    </row>
    <row r="267" spans="1:15" ht="19.5" customHeight="1">
      <c r="A267" s="1" t="s">
        <v>924</v>
      </c>
      <c r="B267" s="5">
        <v>45955</v>
      </c>
      <c r="C267" s="1" t="s">
        <v>17</v>
      </c>
      <c r="D267" s="1" t="s">
        <v>37</v>
      </c>
      <c r="E267" s="1" t="s">
        <v>19</v>
      </c>
      <c r="F267" s="1" t="s">
        <v>20</v>
      </c>
      <c r="G267" s="1" t="s">
        <v>21</v>
      </c>
      <c r="H267" s="6">
        <v>1</v>
      </c>
      <c r="I267" s="7">
        <v>0</v>
      </c>
      <c r="J267" s="5">
        <v>45946</v>
      </c>
      <c r="K267" s="1" t="s">
        <v>30</v>
      </c>
      <c r="L267" s="8">
        <v>0</v>
      </c>
      <c r="M267" s="6"/>
      <c r="N267" s="6"/>
      <c r="O267" s="9">
        <v>-6.21</v>
      </c>
    </row>
    <row r="268" spans="1:15" ht="19.5" customHeight="1">
      <c r="A268" s="1" t="s">
        <v>924</v>
      </c>
      <c r="B268" s="5">
        <v>45955</v>
      </c>
      <c r="C268" s="1" t="s">
        <v>28</v>
      </c>
      <c r="D268" s="1" t="s">
        <v>45</v>
      </c>
      <c r="E268" s="1" t="s">
        <v>19</v>
      </c>
      <c r="F268" s="1" t="s">
        <v>20</v>
      </c>
      <c r="G268" s="1" t="s">
        <v>21</v>
      </c>
      <c r="H268" s="6">
        <v>1</v>
      </c>
      <c r="I268" s="7">
        <v>0</v>
      </c>
      <c r="J268" s="5">
        <v>45946</v>
      </c>
      <c r="K268" s="1" t="s">
        <v>30</v>
      </c>
      <c r="L268" s="8">
        <v>0</v>
      </c>
      <c r="M268" s="6"/>
      <c r="N268" s="6"/>
      <c r="O268" s="9">
        <v>0</v>
      </c>
    </row>
    <row r="269" spans="1:15" ht="19.5" customHeight="1">
      <c r="A269" s="1" t="s">
        <v>924</v>
      </c>
      <c r="B269" s="5">
        <v>45955</v>
      </c>
      <c r="C269" s="1" t="s">
        <v>28</v>
      </c>
      <c r="D269" s="1" t="s">
        <v>46</v>
      </c>
      <c r="E269" s="1" t="s">
        <v>19</v>
      </c>
      <c r="F269" s="1" t="s">
        <v>20</v>
      </c>
      <c r="G269" s="1" t="s">
        <v>21</v>
      </c>
      <c r="H269" s="6">
        <v>1</v>
      </c>
      <c r="I269" s="7">
        <v>0</v>
      </c>
      <c r="J269" s="5">
        <v>45946</v>
      </c>
      <c r="K269" s="1" t="s">
        <v>30</v>
      </c>
      <c r="L269" s="8">
        <v>0</v>
      </c>
      <c r="M269" s="6"/>
      <c r="N269" s="6"/>
      <c r="O269" s="9">
        <v>-46</v>
      </c>
    </row>
    <row r="270" spans="1:15" ht="19.5" customHeight="1">
      <c r="A270" s="1" t="s">
        <v>925</v>
      </c>
      <c r="B270" s="5">
        <v>45955</v>
      </c>
      <c r="C270" s="1" t="s">
        <v>28</v>
      </c>
      <c r="D270" s="1" t="s">
        <v>29</v>
      </c>
      <c r="E270" s="1" t="s">
        <v>226</v>
      </c>
      <c r="F270" s="1" t="s">
        <v>428</v>
      </c>
      <c r="G270" s="1" t="s">
        <v>21</v>
      </c>
      <c r="H270" s="6">
        <v>1</v>
      </c>
      <c r="I270" s="7">
        <v>1161</v>
      </c>
      <c r="J270" s="5">
        <v>45950</v>
      </c>
      <c r="K270" s="1" t="s">
        <v>30</v>
      </c>
      <c r="L270" s="8">
        <v>0.34</v>
      </c>
      <c r="M270" s="6"/>
      <c r="N270" s="6"/>
      <c r="O270" s="9">
        <v>-46</v>
      </c>
    </row>
    <row r="271" spans="1:15" ht="19.5" customHeight="1">
      <c r="A271" s="1" t="s">
        <v>925</v>
      </c>
      <c r="B271" s="5">
        <v>45955</v>
      </c>
      <c r="C271" s="1" t="s">
        <v>31</v>
      </c>
      <c r="D271" s="1" t="s">
        <v>32</v>
      </c>
      <c r="E271" s="1" t="s">
        <v>226</v>
      </c>
      <c r="F271" s="1" t="s">
        <v>428</v>
      </c>
      <c r="G271" s="1" t="s">
        <v>21</v>
      </c>
      <c r="H271" s="6">
        <v>1</v>
      </c>
      <c r="I271" s="7">
        <v>1161</v>
      </c>
      <c r="J271" s="5">
        <v>45950</v>
      </c>
      <c r="K271" s="1" t="s">
        <v>30</v>
      </c>
      <c r="L271" s="8">
        <v>0</v>
      </c>
      <c r="M271" s="6"/>
      <c r="N271" s="6"/>
      <c r="O271" s="9">
        <v>654.29</v>
      </c>
    </row>
    <row r="272" spans="1:15" ht="19.5" customHeight="1">
      <c r="A272" s="1" t="s">
        <v>925</v>
      </c>
      <c r="B272" s="5">
        <v>45955</v>
      </c>
      <c r="C272" s="1" t="s">
        <v>31</v>
      </c>
      <c r="D272" s="1" t="s">
        <v>33</v>
      </c>
      <c r="E272" s="1" t="s">
        <v>226</v>
      </c>
      <c r="F272" s="1" t="s">
        <v>428</v>
      </c>
      <c r="G272" s="1" t="s">
        <v>21</v>
      </c>
      <c r="H272" s="6">
        <v>1</v>
      </c>
      <c r="I272" s="7">
        <v>1161</v>
      </c>
      <c r="J272" s="5">
        <v>45950</v>
      </c>
      <c r="K272" s="1" t="s">
        <v>30</v>
      </c>
      <c r="L272" s="8">
        <v>0</v>
      </c>
      <c r="M272" s="6"/>
      <c r="N272" s="6"/>
      <c r="O272" s="9">
        <v>6.54</v>
      </c>
    </row>
    <row r="273" spans="1:15" ht="19.5" customHeight="1">
      <c r="A273" s="1" t="s">
        <v>925</v>
      </c>
      <c r="B273" s="5">
        <v>45955</v>
      </c>
      <c r="C273" s="1" t="s">
        <v>31</v>
      </c>
      <c r="D273" s="1" t="s">
        <v>34</v>
      </c>
      <c r="E273" s="1" t="s">
        <v>226</v>
      </c>
      <c r="F273" s="1" t="s">
        <v>428</v>
      </c>
      <c r="G273" s="1" t="s">
        <v>21</v>
      </c>
      <c r="H273" s="6">
        <v>1</v>
      </c>
      <c r="I273" s="7">
        <v>1161</v>
      </c>
      <c r="J273" s="5">
        <v>45950</v>
      </c>
      <c r="K273" s="1" t="s">
        <v>30</v>
      </c>
      <c r="L273" s="8">
        <v>0</v>
      </c>
      <c r="M273" s="6"/>
      <c r="N273" s="6"/>
      <c r="O273" s="9">
        <v>500.17</v>
      </c>
    </row>
    <row r="274" spans="1:15" ht="19.5" customHeight="1">
      <c r="A274" s="1" t="s">
        <v>925</v>
      </c>
      <c r="B274" s="5">
        <v>45955</v>
      </c>
      <c r="C274" s="1" t="s">
        <v>35</v>
      </c>
      <c r="D274" s="1" t="s">
        <v>36</v>
      </c>
      <c r="E274" s="1" t="s">
        <v>226</v>
      </c>
      <c r="F274" s="1" t="s">
        <v>428</v>
      </c>
      <c r="G274" s="1" t="s">
        <v>21</v>
      </c>
      <c r="H274" s="6">
        <v>1</v>
      </c>
      <c r="I274" s="7">
        <v>1161</v>
      </c>
      <c r="J274" s="5">
        <v>45950</v>
      </c>
      <c r="K274" s="1" t="s">
        <v>30</v>
      </c>
      <c r="L274" s="8">
        <v>0.34</v>
      </c>
      <c r="M274" s="6"/>
      <c r="N274" s="6"/>
      <c r="O274" s="9">
        <v>-394.74</v>
      </c>
    </row>
    <row r="275" spans="1:15" ht="19.5" customHeight="1">
      <c r="A275" s="1" t="s">
        <v>925</v>
      </c>
      <c r="B275" s="5">
        <v>45955</v>
      </c>
      <c r="C275" s="1" t="s">
        <v>17</v>
      </c>
      <c r="D275" s="1" t="s">
        <v>37</v>
      </c>
      <c r="E275" s="1" t="s">
        <v>226</v>
      </c>
      <c r="F275" s="1" t="s">
        <v>428</v>
      </c>
      <c r="G275" s="1" t="s">
        <v>21</v>
      </c>
      <c r="H275" s="6">
        <v>1</v>
      </c>
      <c r="I275" s="7">
        <v>1161</v>
      </c>
      <c r="J275" s="5">
        <v>45950</v>
      </c>
      <c r="K275" s="1" t="s">
        <v>30</v>
      </c>
      <c r="L275" s="8">
        <v>0.34</v>
      </c>
      <c r="M275" s="6"/>
      <c r="N275" s="6"/>
      <c r="O275" s="9">
        <v>-7.86</v>
      </c>
    </row>
    <row r="276" spans="1:15" ht="19.5" customHeight="1">
      <c r="A276" s="1" t="s">
        <v>926</v>
      </c>
      <c r="B276" s="5">
        <v>45955</v>
      </c>
      <c r="C276" s="1" t="s">
        <v>28</v>
      </c>
      <c r="D276" s="1" t="s">
        <v>29</v>
      </c>
      <c r="E276" s="1" t="s">
        <v>142</v>
      </c>
      <c r="F276" s="1" t="s">
        <v>143</v>
      </c>
      <c r="G276" s="1" t="s">
        <v>41</v>
      </c>
      <c r="H276" s="6">
        <v>1</v>
      </c>
      <c r="I276" s="7">
        <v>5000</v>
      </c>
      <c r="J276" s="5">
        <v>45951</v>
      </c>
      <c r="K276" s="1" t="s">
        <v>30</v>
      </c>
      <c r="L276" s="8">
        <v>0.34</v>
      </c>
      <c r="M276" s="6"/>
      <c r="N276" s="6"/>
      <c r="O276" s="9">
        <v>-56</v>
      </c>
    </row>
    <row r="277" spans="1:15" ht="19.5" customHeight="1">
      <c r="A277" s="1" t="s">
        <v>926</v>
      </c>
      <c r="B277" s="5">
        <v>45955</v>
      </c>
      <c r="C277" s="1" t="s">
        <v>31</v>
      </c>
      <c r="D277" s="1" t="s">
        <v>32</v>
      </c>
      <c r="E277" s="1" t="s">
        <v>142</v>
      </c>
      <c r="F277" s="1" t="s">
        <v>143</v>
      </c>
      <c r="G277" s="1" t="s">
        <v>41</v>
      </c>
      <c r="H277" s="6">
        <v>1</v>
      </c>
      <c r="I277" s="7">
        <v>5000</v>
      </c>
      <c r="J277" s="5">
        <v>45951</v>
      </c>
      <c r="K277" s="1" t="s">
        <v>30</v>
      </c>
      <c r="L277" s="8">
        <v>0</v>
      </c>
      <c r="M277" s="6"/>
      <c r="N277" s="6"/>
      <c r="O277" s="9">
        <v>2841.9</v>
      </c>
    </row>
    <row r="278" spans="1:15" ht="19.5" customHeight="1">
      <c r="A278" s="1" t="s">
        <v>926</v>
      </c>
      <c r="B278" s="5">
        <v>45955</v>
      </c>
      <c r="C278" s="1" t="s">
        <v>31</v>
      </c>
      <c r="D278" s="1" t="s">
        <v>33</v>
      </c>
      <c r="E278" s="1" t="s">
        <v>142</v>
      </c>
      <c r="F278" s="1" t="s">
        <v>143</v>
      </c>
      <c r="G278" s="1" t="s">
        <v>41</v>
      </c>
      <c r="H278" s="6">
        <v>1</v>
      </c>
      <c r="I278" s="7">
        <v>5000</v>
      </c>
      <c r="J278" s="5">
        <v>45951</v>
      </c>
      <c r="K278" s="1" t="s">
        <v>30</v>
      </c>
      <c r="L278" s="8">
        <v>0</v>
      </c>
      <c r="M278" s="6"/>
      <c r="N278" s="6"/>
      <c r="O278" s="9">
        <v>28.42</v>
      </c>
    </row>
    <row r="279" spans="1:15" ht="19.5" customHeight="1">
      <c r="A279" s="1" t="s">
        <v>926</v>
      </c>
      <c r="B279" s="5">
        <v>45955</v>
      </c>
      <c r="C279" s="1" t="s">
        <v>31</v>
      </c>
      <c r="D279" s="1" t="s">
        <v>34</v>
      </c>
      <c r="E279" s="1" t="s">
        <v>142</v>
      </c>
      <c r="F279" s="1" t="s">
        <v>143</v>
      </c>
      <c r="G279" s="1" t="s">
        <v>41</v>
      </c>
      <c r="H279" s="6">
        <v>1</v>
      </c>
      <c r="I279" s="7">
        <v>5000</v>
      </c>
      <c r="J279" s="5">
        <v>45951</v>
      </c>
      <c r="K279" s="1" t="s">
        <v>30</v>
      </c>
      <c r="L279" s="8">
        <v>0</v>
      </c>
      <c r="M279" s="6"/>
      <c r="N279" s="6"/>
      <c r="O279" s="9">
        <v>2129.6799999999998</v>
      </c>
    </row>
    <row r="280" spans="1:15" ht="19.5" customHeight="1">
      <c r="A280" s="1" t="s">
        <v>926</v>
      </c>
      <c r="B280" s="5">
        <v>45955</v>
      </c>
      <c r="C280" s="1" t="s">
        <v>35</v>
      </c>
      <c r="D280" s="1" t="s">
        <v>36</v>
      </c>
      <c r="E280" s="1" t="s">
        <v>142</v>
      </c>
      <c r="F280" s="1" t="s">
        <v>143</v>
      </c>
      <c r="G280" s="1" t="s">
        <v>41</v>
      </c>
      <c r="H280" s="6">
        <v>1</v>
      </c>
      <c r="I280" s="7">
        <v>5000</v>
      </c>
      <c r="J280" s="5">
        <v>45951</v>
      </c>
      <c r="K280" s="1" t="s">
        <v>30</v>
      </c>
      <c r="L280" s="8">
        <v>0.34</v>
      </c>
      <c r="M280" s="6"/>
      <c r="N280" s="6"/>
      <c r="O280" s="9">
        <v>-1700</v>
      </c>
    </row>
    <row r="281" spans="1:15" ht="19.5" customHeight="1">
      <c r="A281" s="1" t="s">
        <v>926</v>
      </c>
      <c r="B281" s="5">
        <v>45955</v>
      </c>
      <c r="C281" s="1" t="s">
        <v>17</v>
      </c>
      <c r="D281" s="1" t="s">
        <v>37</v>
      </c>
      <c r="E281" s="1" t="s">
        <v>142</v>
      </c>
      <c r="F281" s="1" t="s">
        <v>143</v>
      </c>
      <c r="G281" s="1" t="s">
        <v>41</v>
      </c>
      <c r="H281" s="6">
        <v>1</v>
      </c>
      <c r="I281" s="7">
        <v>5000</v>
      </c>
      <c r="J281" s="5">
        <v>45951</v>
      </c>
      <c r="K281" s="1" t="s">
        <v>30</v>
      </c>
      <c r="L281" s="8">
        <v>0.34</v>
      </c>
      <c r="M281" s="6"/>
      <c r="N281" s="6"/>
      <c r="O281" s="9">
        <v>-10.01</v>
      </c>
    </row>
    <row r="282" spans="1:15" ht="19.5" customHeight="1">
      <c r="A282" s="1" t="s">
        <v>926</v>
      </c>
      <c r="B282" s="5">
        <v>45955</v>
      </c>
      <c r="C282" s="1" t="s">
        <v>17</v>
      </c>
      <c r="D282" s="1" t="s">
        <v>18</v>
      </c>
      <c r="E282" s="1" t="s">
        <v>142</v>
      </c>
      <c r="F282" s="1" t="s">
        <v>143</v>
      </c>
      <c r="G282" s="1" t="s">
        <v>41</v>
      </c>
      <c r="H282" s="6">
        <v>1</v>
      </c>
      <c r="I282" s="7">
        <v>0</v>
      </c>
      <c r="J282" s="5">
        <v>45951</v>
      </c>
      <c r="K282" s="1" t="s">
        <v>22</v>
      </c>
      <c r="L282" s="8">
        <v>0</v>
      </c>
      <c r="M282" s="6"/>
      <c r="N282" s="6"/>
      <c r="O282" s="9">
        <v>-54</v>
      </c>
    </row>
    <row r="283" spans="1:15" ht="19.5" customHeight="1">
      <c r="A283" s="1" t="s">
        <v>927</v>
      </c>
      <c r="B283" s="5">
        <v>45955</v>
      </c>
      <c r="C283" s="1" t="s">
        <v>74</v>
      </c>
      <c r="D283" s="1" t="s">
        <v>75</v>
      </c>
      <c r="E283" s="1" t="s">
        <v>239</v>
      </c>
      <c r="F283" s="1" t="s">
        <v>733</v>
      </c>
      <c r="G283" s="1" t="s">
        <v>41</v>
      </c>
      <c r="H283" s="6">
        <v>1</v>
      </c>
      <c r="I283" s="7">
        <v>0</v>
      </c>
      <c r="J283" s="5">
        <v>45951</v>
      </c>
      <c r="K283" s="1" t="s">
        <v>30</v>
      </c>
      <c r="L283" s="8">
        <v>0</v>
      </c>
      <c r="M283" s="6"/>
      <c r="N283" s="6"/>
      <c r="O283" s="9">
        <v>-5</v>
      </c>
    </row>
    <row r="284" spans="1:15" ht="19.5" customHeight="1">
      <c r="A284" s="1" t="s">
        <v>927</v>
      </c>
      <c r="B284" s="5">
        <v>45955</v>
      </c>
      <c r="C284" s="1" t="s">
        <v>17</v>
      </c>
      <c r="D284" s="1" t="s">
        <v>76</v>
      </c>
      <c r="E284" s="1" t="s">
        <v>239</v>
      </c>
      <c r="F284" s="1" t="s">
        <v>733</v>
      </c>
      <c r="G284" s="1" t="s">
        <v>41</v>
      </c>
      <c r="H284" s="6">
        <v>1</v>
      </c>
      <c r="I284" s="7">
        <v>0</v>
      </c>
      <c r="J284" s="5">
        <v>45951</v>
      </c>
      <c r="K284" s="1" t="s">
        <v>30</v>
      </c>
      <c r="L284" s="8">
        <v>0</v>
      </c>
      <c r="M284" s="6"/>
      <c r="N284" s="6"/>
      <c r="O284" s="9">
        <v>-10</v>
      </c>
    </row>
    <row r="285" spans="1:15" ht="19.5" customHeight="1">
      <c r="A285" s="1" t="s">
        <v>928</v>
      </c>
      <c r="B285" s="5">
        <v>45955</v>
      </c>
      <c r="C285" s="1" t="s">
        <v>74</v>
      </c>
      <c r="D285" s="1" t="s">
        <v>75</v>
      </c>
      <c r="E285" s="1" t="s">
        <v>142</v>
      </c>
      <c r="F285" s="1" t="s">
        <v>143</v>
      </c>
      <c r="G285" s="1" t="s">
        <v>41</v>
      </c>
      <c r="H285" s="6">
        <v>1</v>
      </c>
      <c r="I285" s="7">
        <v>0</v>
      </c>
      <c r="J285" s="5">
        <v>45951</v>
      </c>
      <c r="K285" s="1" t="s">
        <v>30</v>
      </c>
      <c r="L285" s="8">
        <v>0</v>
      </c>
      <c r="M285" s="6"/>
      <c r="N285" s="6"/>
      <c r="O285" s="9">
        <v>-5</v>
      </c>
    </row>
    <row r="286" spans="1:15" ht="19.5" customHeight="1">
      <c r="A286" s="1" t="s">
        <v>928</v>
      </c>
      <c r="B286" s="5">
        <v>45955</v>
      </c>
      <c r="C286" s="1" t="s">
        <v>17</v>
      </c>
      <c r="D286" s="1" t="s">
        <v>76</v>
      </c>
      <c r="E286" s="1" t="s">
        <v>142</v>
      </c>
      <c r="F286" s="1" t="s">
        <v>143</v>
      </c>
      <c r="G286" s="1" t="s">
        <v>41</v>
      </c>
      <c r="H286" s="6">
        <v>1</v>
      </c>
      <c r="I286" s="7">
        <v>0</v>
      </c>
      <c r="J286" s="5">
        <v>45951</v>
      </c>
      <c r="K286" s="1" t="s">
        <v>30</v>
      </c>
      <c r="L286" s="8">
        <v>0</v>
      </c>
      <c r="M286" s="6"/>
      <c r="N286" s="6"/>
      <c r="O286" s="9">
        <v>-10</v>
      </c>
    </row>
    <row r="287" spans="1:15" ht="19.5" customHeight="1">
      <c r="A287" s="1" t="s">
        <v>929</v>
      </c>
      <c r="B287" s="5">
        <v>45955</v>
      </c>
      <c r="C287" s="1" t="s">
        <v>74</v>
      </c>
      <c r="D287" s="1" t="s">
        <v>75</v>
      </c>
      <c r="E287" s="1" t="s">
        <v>239</v>
      </c>
      <c r="F287" s="1" t="s">
        <v>733</v>
      </c>
      <c r="G287" s="1" t="s">
        <v>41</v>
      </c>
      <c r="H287" s="6">
        <v>1</v>
      </c>
      <c r="I287" s="7">
        <v>0</v>
      </c>
      <c r="J287" s="5">
        <v>45951</v>
      </c>
      <c r="K287" s="1" t="s">
        <v>30</v>
      </c>
      <c r="L287" s="8">
        <v>0</v>
      </c>
      <c r="M287" s="6"/>
      <c r="N287" s="6"/>
      <c r="O287" s="9">
        <v>-5</v>
      </c>
    </row>
    <row r="288" spans="1:15" ht="19.5" customHeight="1">
      <c r="A288" s="1" t="s">
        <v>929</v>
      </c>
      <c r="B288" s="5">
        <v>45955</v>
      </c>
      <c r="C288" s="1" t="s">
        <v>17</v>
      </c>
      <c r="D288" s="1" t="s">
        <v>76</v>
      </c>
      <c r="E288" s="1" t="s">
        <v>239</v>
      </c>
      <c r="F288" s="1" t="s">
        <v>733</v>
      </c>
      <c r="G288" s="1" t="s">
        <v>41</v>
      </c>
      <c r="H288" s="6">
        <v>1</v>
      </c>
      <c r="I288" s="7">
        <v>0</v>
      </c>
      <c r="J288" s="5">
        <v>45951</v>
      </c>
      <c r="K288" s="1" t="s">
        <v>30</v>
      </c>
      <c r="L288" s="8">
        <v>0</v>
      </c>
      <c r="M288" s="6"/>
      <c r="N288" s="6"/>
      <c r="O288" s="9">
        <v>-10</v>
      </c>
    </row>
    <row r="289" spans="1:15" ht="19.5" customHeight="1">
      <c r="A289" s="1" t="s">
        <v>930</v>
      </c>
      <c r="B289" s="5">
        <v>45955</v>
      </c>
      <c r="C289" s="1" t="s">
        <v>28</v>
      </c>
      <c r="D289" s="1" t="s">
        <v>29</v>
      </c>
      <c r="E289" s="1" t="s">
        <v>62</v>
      </c>
      <c r="F289" s="1" t="s">
        <v>63</v>
      </c>
      <c r="G289" s="1" t="s">
        <v>41</v>
      </c>
      <c r="H289" s="6">
        <v>1</v>
      </c>
      <c r="I289" s="7">
        <v>0</v>
      </c>
      <c r="J289" s="5">
        <v>45936</v>
      </c>
      <c r="K289" s="1" t="s">
        <v>30</v>
      </c>
      <c r="L289" s="8">
        <v>0</v>
      </c>
      <c r="M289" s="6"/>
      <c r="N289" s="6"/>
      <c r="O289" s="9">
        <v>-56</v>
      </c>
    </row>
    <row r="290" spans="1:15" ht="19.5" customHeight="1">
      <c r="A290" s="1" t="s">
        <v>930</v>
      </c>
      <c r="B290" s="5">
        <v>45955</v>
      </c>
      <c r="C290" s="1" t="s">
        <v>17</v>
      </c>
      <c r="D290" s="1" t="s">
        <v>37</v>
      </c>
      <c r="E290" s="1" t="s">
        <v>62</v>
      </c>
      <c r="F290" s="1" t="s">
        <v>63</v>
      </c>
      <c r="G290" s="1" t="s">
        <v>41</v>
      </c>
      <c r="H290" s="6">
        <v>1</v>
      </c>
      <c r="I290" s="7">
        <v>0</v>
      </c>
      <c r="J290" s="5">
        <v>45936</v>
      </c>
      <c r="K290" s="1" t="s">
        <v>30</v>
      </c>
      <c r="L290" s="8">
        <v>0</v>
      </c>
      <c r="M290" s="6"/>
      <c r="N290" s="6"/>
      <c r="O290" s="9">
        <v>-11.66</v>
      </c>
    </row>
    <row r="291" spans="1:15" ht="19.5" customHeight="1">
      <c r="A291" s="1" t="s">
        <v>930</v>
      </c>
      <c r="B291" s="5">
        <v>45955</v>
      </c>
      <c r="C291" s="1" t="s">
        <v>28</v>
      </c>
      <c r="D291" s="1" t="s">
        <v>45</v>
      </c>
      <c r="E291" s="1" t="s">
        <v>62</v>
      </c>
      <c r="F291" s="1" t="s">
        <v>63</v>
      </c>
      <c r="G291" s="1" t="s">
        <v>41</v>
      </c>
      <c r="H291" s="6">
        <v>1</v>
      </c>
      <c r="I291" s="7">
        <v>0</v>
      </c>
      <c r="J291" s="5">
        <v>45936</v>
      </c>
      <c r="K291" s="1" t="s">
        <v>30</v>
      </c>
      <c r="L291" s="8">
        <v>0</v>
      </c>
      <c r="M291" s="6"/>
      <c r="N291" s="6"/>
      <c r="O291" s="9">
        <v>0</v>
      </c>
    </row>
    <row r="292" spans="1:15" ht="19.5" customHeight="1">
      <c r="A292" s="1" t="s">
        <v>930</v>
      </c>
      <c r="B292" s="5">
        <v>45955</v>
      </c>
      <c r="C292" s="1" t="s">
        <v>28</v>
      </c>
      <c r="D292" s="1" t="s">
        <v>46</v>
      </c>
      <c r="E292" s="1" t="s">
        <v>62</v>
      </c>
      <c r="F292" s="1" t="s">
        <v>63</v>
      </c>
      <c r="G292" s="1" t="s">
        <v>41</v>
      </c>
      <c r="H292" s="6">
        <v>1</v>
      </c>
      <c r="I292" s="7">
        <v>0</v>
      </c>
      <c r="J292" s="5">
        <v>45936</v>
      </c>
      <c r="K292" s="1" t="s">
        <v>30</v>
      </c>
      <c r="L292" s="8">
        <v>0</v>
      </c>
      <c r="M292" s="6"/>
      <c r="N292" s="6"/>
      <c r="O292" s="9">
        <v>-56</v>
      </c>
    </row>
    <row r="293" spans="1:15" ht="19.5" customHeight="1">
      <c r="A293" s="1" t="s">
        <v>931</v>
      </c>
      <c r="B293" s="5">
        <v>45955</v>
      </c>
      <c r="C293" s="1" t="s">
        <v>17</v>
      </c>
      <c r="D293" s="1" t="s">
        <v>18</v>
      </c>
      <c r="E293" s="1" t="s">
        <v>25</v>
      </c>
      <c r="F293" s="1" t="s">
        <v>26</v>
      </c>
      <c r="G293" s="1" t="s">
        <v>21</v>
      </c>
      <c r="H293" s="6">
        <v>1</v>
      </c>
      <c r="I293" s="7">
        <v>0</v>
      </c>
      <c r="J293" s="5">
        <v>45955</v>
      </c>
      <c r="K293" s="1" t="s">
        <v>22</v>
      </c>
      <c r="L293" s="8">
        <v>0</v>
      </c>
      <c r="M293" s="6"/>
      <c r="N293" s="6"/>
      <c r="O293" s="9">
        <v>-12.47</v>
      </c>
    </row>
    <row r="294" spans="1:15" ht="19.5" customHeight="1">
      <c r="A294" s="1" t="s">
        <v>932</v>
      </c>
      <c r="B294" s="5">
        <v>45955</v>
      </c>
      <c r="C294" s="1" t="s">
        <v>17</v>
      </c>
      <c r="D294" s="1" t="s">
        <v>18</v>
      </c>
      <c r="E294" s="1" t="s">
        <v>235</v>
      </c>
      <c r="F294" s="1" t="s">
        <v>528</v>
      </c>
      <c r="G294" s="1" t="s">
        <v>41</v>
      </c>
      <c r="H294" s="6">
        <v>1</v>
      </c>
      <c r="I294" s="7">
        <v>0</v>
      </c>
      <c r="J294" s="5">
        <v>45955</v>
      </c>
      <c r="K294" s="1" t="s">
        <v>22</v>
      </c>
      <c r="L294" s="8">
        <v>0</v>
      </c>
      <c r="M294" s="6"/>
      <c r="N294" s="6"/>
      <c r="O294" s="9">
        <v>-51.76</v>
      </c>
    </row>
    <row r="295" spans="1:15" ht="19.5" customHeight="1">
      <c r="A295" s="1" t="s">
        <v>933</v>
      </c>
      <c r="B295" s="5">
        <v>45955</v>
      </c>
      <c r="C295" s="1" t="s">
        <v>17</v>
      </c>
      <c r="D295" s="1" t="s">
        <v>18</v>
      </c>
      <c r="E295" s="1" t="s">
        <v>25</v>
      </c>
      <c r="F295" s="1" t="s">
        <v>26</v>
      </c>
      <c r="G295" s="1" t="s">
        <v>21</v>
      </c>
      <c r="H295" s="6">
        <v>1</v>
      </c>
      <c r="I295" s="7">
        <v>0</v>
      </c>
      <c r="J295" s="5">
        <v>45955</v>
      </c>
      <c r="K295" s="1" t="s">
        <v>22</v>
      </c>
      <c r="L295" s="8">
        <v>0</v>
      </c>
      <c r="M295" s="6"/>
      <c r="N295" s="6"/>
      <c r="O295" s="9">
        <v>-11.91</v>
      </c>
    </row>
    <row r="296" spans="1:15" ht="19.5" customHeight="1">
      <c r="A296" s="1" t="s">
        <v>22</v>
      </c>
      <c r="B296" s="5">
        <v>45955</v>
      </c>
      <c r="C296" s="1" t="s">
        <v>77</v>
      </c>
      <c r="D296" s="1" t="s">
        <v>78</v>
      </c>
      <c r="E296" s="1" t="s">
        <v>22</v>
      </c>
      <c r="F296" s="1" t="s">
        <v>22</v>
      </c>
      <c r="G296" s="1" t="s">
        <v>934</v>
      </c>
      <c r="H296" s="6">
        <v>0</v>
      </c>
      <c r="I296" s="7">
        <v>0</v>
      </c>
      <c r="J296" s="5">
        <v>45955</v>
      </c>
      <c r="K296" s="1" t="s">
        <v>22</v>
      </c>
      <c r="L296" s="8">
        <v>0</v>
      </c>
      <c r="M296" s="6"/>
      <c r="N296" s="6"/>
      <c r="O296" s="9">
        <v>-200</v>
      </c>
    </row>
    <row r="297" spans="1:15" ht="19.5" customHeight="1">
      <c r="A297" s="1" t="s">
        <v>83</v>
      </c>
      <c r="B297" s="5">
        <v>45955</v>
      </c>
      <c r="C297" s="1" t="s">
        <v>77</v>
      </c>
      <c r="D297" s="1" t="s">
        <v>84</v>
      </c>
      <c r="E297" s="1" t="s">
        <v>22</v>
      </c>
      <c r="F297" s="1" t="s">
        <v>22</v>
      </c>
      <c r="G297" s="1" t="s">
        <v>22</v>
      </c>
      <c r="H297" s="6">
        <v>0</v>
      </c>
      <c r="I297" s="7">
        <v>0</v>
      </c>
      <c r="J297" s="5">
        <v>45955</v>
      </c>
      <c r="K297" s="1" t="s">
        <v>22</v>
      </c>
      <c r="L297" s="8">
        <v>0</v>
      </c>
      <c r="M297" s="6"/>
      <c r="N297" s="6"/>
      <c r="O297" s="9">
        <v>-550.53</v>
      </c>
    </row>
    <row r="298" spans="1:15" ht="19.5" customHeight="1">
      <c r="A298" s="1" t="s">
        <v>807</v>
      </c>
      <c r="B298" s="5">
        <v>45955</v>
      </c>
      <c r="C298" s="1" t="s">
        <v>77</v>
      </c>
      <c r="D298" s="1" t="s">
        <v>82</v>
      </c>
      <c r="E298" s="1" t="s">
        <v>22</v>
      </c>
      <c r="F298" s="1" t="s">
        <v>22</v>
      </c>
      <c r="G298" s="1" t="s">
        <v>22</v>
      </c>
      <c r="H298" s="6">
        <v>0</v>
      </c>
      <c r="I298" s="7">
        <v>0</v>
      </c>
      <c r="J298" s="5">
        <v>45955</v>
      </c>
      <c r="K298" s="1" t="s">
        <v>22</v>
      </c>
      <c r="L298" s="8">
        <v>0</v>
      </c>
      <c r="M298" s="6"/>
      <c r="N298" s="6"/>
      <c r="O298" s="9">
        <v>-592.41999999999996</v>
      </c>
    </row>
    <row r="299" spans="1:15" ht="19.5" customHeight="1">
      <c r="A299" s="1" t="s">
        <v>808</v>
      </c>
      <c r="B299" s="5">
        <v>45955</v>
      </c>
      <c r="C299" s="1" t="s">
        <v>77</v>
      </c>
      <c r="D299" s="1" t="s">
        <v>82</v>
      </c>
      <c r="E299" s="1" t="s">
        <v>22</v>
      </c>
      <c r="F299" s="1" t="s">
        <v>22</v>
      </c>
      <c r="G299" s="1" t="s">
        <v>22</v>
      </c>
      <c r="H299" s="6">
        <v>0</v>
      </c>
      <c r="I299" s="7">
        <v>0</v>
      </c>
      <c r="J299" s="5">
        <v>45955</v>
      </c>
      <c r="K299" s="1" t="s">
        <v>22</v>
      </c>
      <c r="L299" s="8">
        <v>0</v>
      </c>
      <c r="M299" s="6"/>
      <c r="N299" s="6"/>
      <c r="O299" s="9">
        <v>-466.34</v>
      </c>
    </row>
    <row r="300" spans="1:15" ht="19.5" customHeight="1">
      <c r="A300" s="1" t="s">
        <v>811</v>
      </c>
      <c r="B300" s="5">
        <v>45955</v>
      </c>
      <c r="C300" s="1" t="s">
        <v>77</v>
      </c>
      <c r="D300" s="1" t="s">
        <v>82</v>
      </c>
      <c r="E300" s="1" t="s">
        <v>22</v>
      </c>
      <c r="F300" s="1" t="s">
        <v>22</v>
      </c>
      <c r="G300" s="1" t="s">
        <v>22</v>
      </c>
      <c r="H300" s="6">
        <v>0</v>
      </c>
      <c r="I300" s="7">
        <v>0</v>
      </c>
      <c r="J300" s="5">
        <v>45955</v>
      </c>
      <c r="K300" s="1" t="s">
        <v>22</v>
      </c>
      <c r="L300" s="8">
        <v>0</v>
      </c>
      <c r="M300" s="6"/>
      <c r="N300" s="6"/>
      <c r="O300" s="9">
        <v>-871.6</v>
      </c>
    </row>
    <row r="301" spans="1:15" ht="19.5" customHeight="1">
      <c r="A301" s="1" t="s">
        <v>810</v>
      </c>
      <c r="B301" s="5">
        <v>45955</v>
      </c>
      <c r="C301" s="1" t="s">
        <v>77</v>
      </c>
      <c r="D301" s="1" t="s">
        <v>82</v>
      </c>
      <c r="E301" s="1" t="s">
        <v>22</v>
      </c>
      <c r="F301" s="1" t="s">
        <v>22</v>
      </c>
      <c r="G301" s="1" t="s">
        <v>22</v>
      </c>
      <c r="H301" s="6">
        <v>0</v>
      </c>
      <c r="I301" s="7">
        <v>0</v>
      </c>
      <c r="J301" s="5">
        <v>45955</v>
      </c>
      <c r="K301" s="1" t="s">
        <v>22</v>
      </c>
      <c r="L301" s="8">
        <v>0</v>
      </c>
      <c r="M301" s="6"/>
      <c r="N301" s="6"/>
      <c r="O301" s="9">
        <v>-504.99</v>
      </c>
    </row>
    <row r="302" spans="1:15" ht="19.5" customHeight="1">
      <c r="A302" s="1" t="s">
        <v>935</v>
      </c>
      <c r="B302" s="5">
        <v>45956</v>
      </c>
      <c r="C302" s="1" t="s">
        <v>28</v>
      </c>
      <c r="D302" s="1" t="s">
        <v>29</v>
      </c>
      <c r="E302" s="1" t="s">
        <v>239</v>
      </c>
      <c r="F302" s="1" t="s">
        <v>733</v>
      </c>
      <c r="G302" s="1" t="s">
        <v>41</v>
      </c>
      <c r="H302" s="6">
        <v>1</v>
      </c>
      <c r="I302" s="7">
        <v>3690</v>
      </c>
      <c r="J302" s="5">
        <v>45944</v>
      </c>
      <c r="K302" s="1" t="s">
        <v>30</v>
      </c>
      <c r="L302" s="8">
        <v>0.24</v>
      </c>
      <c r="M302" s="6"/>
      <c r="N302" s="6"/>
      <c r="O302" s="9">
        <v>-56</v>
      </c>
    </row>
    <row r="303" spans="1:15" ht="19.5" customHeight="1">
      <c r="A303" s="1" t="s">
        <v>935</v>
      </c>
      <c r="B303" s="5">
        <v>45956</v>
      </c>
      <c r="C303" s="1" t="s">
        <v>31</v>
      </c>
      <c r="D303" s="1" t="s">
        <v>32</v>
      </c>
      <c r="E303" s="1" t="s">
        <v>239</v>
      </c>
      <c r="F303" s="1" t="s">
        <v>733</v>
      </c>
      <c r="G303" s="1" t="s">
        <v>41</v>
      </c>
      <c r="H303" s="6">
        <v>1</v>
      </c>
      <c r="I303" s="7">
        <v>3690</v>
      </c>
      <c r="J303" s="5">
        <v>45944</v>
      </c>
      <c r="K303" s="1" t="s">
        <v>30</v>
      </c>
      <c r="L303" s="8">
        <v>0</v>
      </c>
      <c r="M303" s="6"/>
      <c r="N303" s="6"/>
      <c r="O303" s="9">
        <v>2168.5700000000002</v>
      </c>
    </row>
    <row r="304" spans="1:15" ht="19.5" customHeight="1">
      <c r="A304" s="1" t="s">
        <v>935</v>
      </c>
      <c r="B304" s="5">
        <v>45956</v>
      </c>
      <c r="C304" s="1" t="s">
        <v>31</v>
      </c>
      <c r="D304" s="1" t="s">
        <v>33</v>
      </c>
      <c r="E304" s="1" t="s">
        <v>239</v>
      </c>
      <c r="F304" s="1" t="s">
        <v>733</v>
      </c>
      <c r="G304" s="1" t="s">
        <v>41</v>
      </c>
      <c r="H304" s="6">
        <v>1</v>
      </c>
      <c r="I304" s="7">
        <v>3690</v>
      </c>
      <c r="J304" s="5">
        <v>45944</v>
      </c>
      <c r="K304" s="1" t="s">
        <v>30</v>
      </c>
      <c r="L304" s="8">
        <v>0</v>
      </c>
      <c r="M304" s="6"/>
      <c r="N304" s="6"/>
      <c r="O304" s="9">
        <v>21.69</v>
      </c>
    </row>
    <row r="305" spans="1:15" ht="19.5" customHeight="1">
      <c r="A305" s="1" t="s">
        <v>935</v>
      </c>
      <c r="B305" s="5">
        <v>45956</v>
      </c>
      <c r="C305" s="1" t="s">
        <v>31</v>
      </c>
      <c r="D305" s="1" t="s">
        <v>34</v>
      </c>
      <c r="E305" s="1" t="s">
        <v>239</v>
      </c>
      <c r="F305" s="1" t="s">
        <v>733</v>
      </c>
      <c r="G305" s="1" t="s">
        <v>41</v>
      </c>
      <c r="H305" s="6">
        <v>1</v>
      </c>
      <c r="I305" s="7">
        <v>3690</v>
      </c>
      <c r="J305" s="5">
        <v>45944</v>
      </c>
      <c r="K305" s="1" t="s">
        <v>30</v>
      </c>
      <c r="L305" s="8">
        <v>0</v>
      </c>
      <c r="M305" s="6"/>
      <c r="N305" s="6"/>
      <c r="O305" s="9">
        <v>1499.74</v>
      </c>
    </row>
    <row r="306" spans="1:15" ht="19.5" customHeight="1">
      <c r="A306" s="1" t="s">
        <v>935</v>
      </c>
      <c r="B306" s="5">
        <v>45956</v>
      </c>
      <c r="C306" s="1" t="s">
        <v>35</v>
      </c>
      <c r="D306" s="1" t="s">
        <v>36</v>
      </c>
      <c r="E306" s="1" t="s">
        <v>239</v>
      </c>
      <c r="F306" s="1" t="s">
        <v>733</v>
      </c>
      <c r="G306" s="1" t="s">
        <v>41</v>
      </c>
      <c r="H306" s="6">
        <v>1</v>
      </c>
      <c r="I306" s="7">
        <v>3690</v>
      </c>
      <c r="J306" s="5">
        <v>45944</v>
      </c>
      <c r="K306" s="1" t="s">
        <v>30</v>
      </c>
      <c r="L306" s="8">
        <v>0.24</v>
      </c>
      <c r="M306" s="6"/>
      <c r="N306" s="6"/>
      <c r="O306" s="9">
        <v>-885.6</v>
      </c>
    </row>
    <row r="307" spans="1:15" ht="19.5" customHeight="1">
      <c r="A307" s="1" t="s">
        <v>935</v>
      </c>
      <c r="B307" s="5">
        <v>45956</v>
      </c>
      <c r="C307" s="1" t="s">
        <v>17</v>
      </c>
      <c r="D307" s="1" t="s">
        <v>37</v>
      </c>
      <c r="E307" s="1" t="s">
        <v>239</v>
      </c>
      <c r="F307" s="1" t="s">
        <v>733</v>
      </c>
      <c r="G307" s="1" t="s">
        <v>41</v>
      </c>
      <c r="H307" s="6">
        <v>1</v>
      </c>
      <c r="I307" s="7">
        <v>3690</v>
      </c>
      <c r="J307" s="5">
        <v>45944</v>
      </c>
      <c r="K307" s="1" t="s">
        <v>30</v>
      </c>
      <c r="L307" s="8">
        <v>0.24</v>
      </c>
      <c r="M307" s="6"/>
      <c r="N307" s="6"/>
      <c r="O307" s="9">
        <v>-25</v>
      </c>
    </row>
    <row r="308" spans="1:15" ht="19.5" customHeight="1">
      <c r="A308" s="1" t="s">
        <v>935</v>
      </c>
      <c r="B308" s="5">
        <v>45956</v>
      </c>
      <c r="C308" s="1" t="s">
        <v>17</v>
      </c>
      <c r="D308" s="1" t="s">
        <v>18</v>
      </c>
      <c r="E308" s="1" t="s">
        <v>239</v>
      </c>
      <c r="F308" s="1" t="s">
        <v>733</v>
      </c>
      <c r="G308" s="1" t="s">
        <v>41</v>
      </c>
      <c r="H308" s="6">
        <v>1</v>
      </c>
      <c r="I308" s="7">
        <v>0</v>
      </c>
      <c r="J308" s="5">
        <v>45944</v>
      </c>
      <c r="K308" s="1" t="s">
        <v>22</v>
      </c>
      <c r="L308" s="8">
        <v>0</v>
      </c>
      <c r="M308" s="6"/>
      <c r="N308" s="6"/>
      <c r="O308" s="9">
        <v>-41.2</v>
      </c>
    </row>
    <row r="309" spans="1:15" ht="19.5" customHeight="1">
      <c r="A309" s="1" t="s">
        <v>936</v>
      </c>
      <c r="B309" s="5">
        <v>45956</v>
      </c>
      <c r="C309" s="1" t="s">
        <v>28</v>
      </c>
      <c r="D309" s="1" t="s">
        <v>29</v>
      </c>
      <c r="E309" s="1" t="s">
        <v>25</v>
      </c>
      <c r="F309" s="1" t="s">
        <v>26</v>
      </c>
      <c r="G309" s="1" t="s">
        <v>21</v>
      </c>
      <c r="H309" s="6">
        <v>1</v>
      </c>
      <c r="I309" s="7">
        <v>0</v>
      </c>
      <c r="J309" s="5">
        <v>45947</v>
      </c>
      <c r="K309" s="1" t="s">
        <v>30</v>
      </c>
      <c r="L309" s="8">
        <v>0</v>
      </c>
      <c r="M309" s="6"/>
      <c r="N309" s="6"/>
      <c r="O309" s="9">
        <v>-46</v>
      </c>
    </row>
    <row r="310" spans="1:15" ht="19.5" customHeight="1">
      <c r="A310" s="1" t="s">
        <v>936</v>
      </c>
      <c r="B310" s="5">
        <v>45956</v>
      </c>
      <c r="C310" s="1" t="s">
        <v>17</v>
      </c>
      <c r="D310" s="1" t="s">
        <v>37</v>
      </c>
      <c r="E310" s="1" t="s">
        <v>25</v>
      </c>
      <c r="F310" s="1" t="s">
        <v>26</v>
      </c>
      <c r="G310" s="1" t="s">
        <v>21</v>
      </c>
      <c r="H310" s="6">
        <v>1</v>
      </c>
      <c r="I310" s="7">
        <v>0</v>
      </c>
      <c r="J310" s="5">
        <v>45947</v>
      </c>
      <c r="K310" s="1" t="s">
        <v>30</v>
      </c>
      <c r="L310" s="8">
        <v>0</v>
      </c>
      <c r="M310" s="6"/>
      <c r="N310" s="6"/>
      <c r="O310" s="9">
        <v>-6.72</v>
      </c>
    </row>
    <row r="311" spans="1:15" ht="19.5" customHeight="1">
      <c r="A311" s="1" t="s">
        <v>936</v>
      </c>
      <c r="B311" s="5">
        <v>45956</v>
      </c>
      <c r="C311" s="1" t="s">
        <v>28</v>
      </c>
      <c r="D311" s="1" t="s">
        <v>45</v>
      </c>
      <c r="E311" s="1" t="s">
        <v>25</v>
      </c>
      <c r="F311" s="1" t="s">
        <v>26</v>
      </c>
      <c r="G311" s="1" t="s">
        <v>21</v>
      </c>
      <c r="H311" s="6">
        <v>1</v>
      </c>
      <c r="I311" s="7">
        <v>0</v>
      </c>
      <c r="J311" s="5">
        <v>45947</v>
      </c>
      <c r="K311" s="1" t="s">
        <v>30</v>
      </c>
      <c r="L311" s="8">
        <v>0</v>
      </c>
      <c r="M311" s="6"/>
      <c r="N311" s="6"/>
      <c r="O311" s="9">
        <v>0</v>
      </c>
    </row>
    <row r="312" spans="1:15" ht="19.5" customHeight="1">
      <c r="A312" s="1" t="s">
        <v>936</v>
      </c>
      <c r="B312" s="5">
        <v>45956</v>
      </c>
      <c r="C312" s="1" t="s">
        <v>28</v>
      </c>
      <c r="D312" s="1" t="s">
        <v>46</v>
      </c>
      <c r="E312" s="1" t="s">
        <v>25</v>
      </c>
      <c r="F312" s="1" t="s">
        <v>26</v>
      </c>
      <c r="G312" s="1" t="s">
        <v>21</v>
      </c>
      <c r="H312" s="6">
        <v>1</v>
      </c>
      <c r="I312" s="7">
        <v>0</v>
      </c>
      <c r="J312" s="5">
        <v>45947</v>
      </c>
      <c r="K312" s="1" t="s">
        <v>30</v>
      </c>
      <c r="L312" s="8">
        <v>0</v>
      </c>
      <c r="M312" s="6"/>
      <c r="N312" s="6"/>
      <c r="O312" s="9">
        <v>-46</v>
      </c>
    </row>
    <row r="313" spans="1:15" ht="19.5" customHeight="1">
      <c r="A313" s="1" t="s">
        <v>936</v>
      </c>
      <c r="B313" s="5">
        <v>45956</v>
      </c>
      <c r="C313" s="1" t="s">
        <v>17</v>
      </c>
      <c r="D313" s="1" t="s">
        <v>47</v>
      </c>
      <c r="E313" s="1" t="s">
        <v>25</v>
      </c>
      <c r="F313" s="1" t="s">
        <v>26</v>
      </c>
      <c r="G313" s="1" t="s">
        <v>21</v>
      </c>
      <c r="H313" s="6">
        <v>1</v>
      </c>
      <c r="I313" s="7">
        <v>0</v>
      </c>
      <c r="J313" s="5">
        <v>45947</v>
      </c>
      <c r="K313" s="1" t="s">
        <v>30</v>
      </c>
      <c r="L313" s="8">
        <v>0</v>
      </c>
      <c r="M313" s="6"/>
      <c r="N313" s="6"/>
      <c r="O313" s="9">
        <v>-15</v>
      </c>
    </row>
    <row r="314" spans="1:15" ht="19.5" customHeight="1">
      <c r="A314" s="1" t="s">
        <v>937</v>
      </c>
      <c r="B314" s="5">
        <v>45956</v>
      </c>
      <c r="C314" s="1" t="s">
        <v>28</v>
      </c>
      <c r="D314" s="1" t="s">
        <v>29</v>
      </c>
      <c r="E314" s="1" t="s">
        <v>241</v>
      </c>
      <c r="F314" s="1" t="s">
        <v>790</v>
      </c>
      <c r="G314" s="1" t="s">
        <v>41</v>
      </c>
      <c r="H314" s="6">
        <v>1</v>
      </c>
      <c r="I314" s="7">
        <v>0</v>
      </c>
      <c r="J314" s="5">
        <v>45940</v>
      </c>
      <c r="K314" s="1" t="s">
        <v>30</v>
      </c>
      <c r="L314" s="8">
        <v>0</v>
      </c>
      <c r="M314" s="6"/>
      <c r="N314" s="6"/>
      <c r="O314" s="9">
        <v>-56</v>
      </c>
    </row>
    <row r="315" spans="1:15" ht="19.5" customHeight="1">
      <c r="A315" s="1" t="s">
        <v>937</v>
      </c>
      <c r="B315" s="5">
        <v>45956</v>
      </c>
      <c r="C315" s="1" t="s">
        <v>17</v>
      </c>
      <c r="D315" s="1" t="s">
        <v>37</v>
      </c>
      <c r="E315" s="1" t="s">
        <v>241</v>
      </c>
      <c r="F315" s="1" t="s">
        <v>790</v>
      </c>
      <c r="G315" s="1" t="s">
        <v>41</v>
      </c>
      <c r="H315" s="6">
        <v>1</v>
      </c>
      <c r="I315" s="7">
        <v>0</v>
      </c>
      <c r="J315" s="5">
        <v>45940</v>
      </c>
      <c r="K315" s="1" t="s">
        <v>30</v>
      </c>
      <c r="L315" s="8">
        <v>0</v>
      </c>
      <c r="M315" s="6"/>
      <c r="N315" s="6"/>
      <c r="O315" s="9">
        <v>-13.47</v>
      </c>
    </row>
    <row r="316" spans="1:15" ht="19.5" customHeight="1">
      <c r="A316" s="1" t="s">
        <v>937</v>
      </c>
      <c r="B316" s="5">
        <v>45956</v>
      </c>
      <c r="C316" s="1" t="s">
        <v>28</v>
      </c>
      <c r="D316" s="1" t="s">
        <v>45</v>
      </c>
      <c r="E316" s="1" t="s">
        <v>241</v>
      </c>
      <c r="F316" s="1" t="s">
        <v>790</v>
      </c>
      <c r="G316" s="1" t="s">
        <v>41</v>
      </c>
      <c r="H316" s="6">
        <v>1</v>
      </c>
      <c r="I316" s="7">
        <v>0</v>
      </c>
      <c r="J316" s="5">
        <v>45940</v>
      </c>
      <c r="K316" s="1" t="s">
        <v>30</v>
      </c>
      <c r="L316" s="8">
        <v>0</v>
      </c>
      <c r="M316" s="6"/>
      <c r="N316" s="6"/>
      <c r="O316" s="9">
        <v>0</v>
      </c>
    </row>
    <row r="317" spans="1:15" ht="19.5" customHeight="1">
      <c r="A317" s="1" t="s">
        <v>937</v>
      </c>
      <c r="B317" s="5">
        <v>45956</v>
      </c>
      <c r="C317" s="1" t="s">
        <v>28</v>
      </c>
      <c r="D317" s="1" t="s">
        <v>46</v>
      </c>
      <c r="E317" s="1" t="s">
        <v>241</v>
      </c>
      <c r="F317" s="1" t="s">
        <v>790</v>
      </c>
      <c r="G317" s="1" t="s">
        <v>41</v>
      </c>
      <c r="H317" s="6">
        <v>1</v>
      </c>
      <c r="I317" s="7">
        <v>0</v>
      </c>
      <c r="J317" s="5">
        <v>45940</v>
      </c>
      <c r="K317" s="1" t="s">
        <v>30</v>
      </c>
      <c r="L317" s="8">
        <v>0</v>
      </c>
      <c r="M317" s="6"/>
      <c r="N317" s="6"/>
      <c r="O317" s="9">
        <v>-56</v>
      </c>
    </row>
    <row r="318" spans="1:15" ht="19.5" customHeight="1">
      <c r="A318" s="1" t="s">
        <v>937</v>
      </c>
      <c r="B318" s="5">
        <v>45956</v>
      </c>
      <c r="C318" s="1" t="s">
        <v>17</v>
      </c>
      <c r="D318" s="1" t="s">
        <v>47</v>
      </c>
      <c r="E318" s="1" t="s">
        <v>241</v>
      </c>
      <c r="F318" s="1" t="s">
        <v>790</v>
      </c>
      <c r="G318" s="1" t="s">
        <v>41</v>
      </c>
      <c r="H318" s="6">
        <v>1</v>
      </c>
      <c r="I318" s="7">
        <v>0</v>
      </c>
      <c r="J318" s="5">
        <v>45940</v>
      </c>
      <c r="K318" s="1" t="s">
        <v>30</v>
      </c>
      <c r="L318" s="8">
        <v>0</v>
      </c>
      <c r="M318" s="6"/>
      <c r="N318" s="6"/>
      <c r="O318" s="9">
        <v>-15</v>
      </c>
    </row>
    <row r="319" spans="1:15" ht="19.5" customHeight="1">
      <c r="A319" s="1" t="s">
        <v>938</v>
      </c>
      <c r="B319" s="5">
        <v>45956</v>
      </c>
      <c r="C319" s="1" t="s">
        <v>28</v>
      </c>
      <c r="D319" s="1" t="s">
        <v>29</v>
      </c>
      <c r="E319" s="1" t="s">
        <v>25</v>
      </c>
      <c r="F319" s="1" t="s">
        <v>26</v>
      </c>
      <c r="G319" s="1" t="s">
        <v>21</v>
      </c>
      <c r="H319" s="6">
        <v>1</v>
      </c>
      <c r="I319" s="7">
        <v>0</v>
      </c>
      <c r="J319" s="5">
        <v>45948</v>
      </c>
      <c r="K319" s="1" t="s">
        <v>30</v>
      </c>
      <c r="L319" s="8">
        <v>0</v>
      </c>
      <c r="M319" s="6"/>
      <c r="N319" s="6"/>
      <c r="O319" s="9">
        <v>-46</v>
      </c>
    </row>
    <row r="320" spans="1:15" ht="19.5" customHeight="1">
      <c r="A320" s="1" t="s">
        <v>938</v>
      </c>
      <c r="B320" s="5">
        <v>45956</v>
      </c>
      <c r="C320" s="1" t="s">
        <v>17</v>
      </c>
      <c r="D320" s="1" t="s">
        <v>37</v>
      </c>
      <c r="E320" s="1" t="s">
        <v>25</v>
      </c>
      <c r="F320" s="1" t="s">
        <v>26</v>
      </c>
      <c r="G320" s="1" t="s">
        <v>21</v>
      </c>
      <c r="H320" s="6">
        <v>1</v>
      </c>
      <c r="I320" s="7">
        <v>0</v>
      </c>
      <c r="J320" s="5">
        <v>45948</v>
      </c>
      <c r="K320" s="1" t="s">
        <v>30</v>
      </c>
      <c r="L320" s="8">
        <v>0</v>
      </c>
      <c r="M320" s="6"/>
      <c r="N320" s="6"/>
      <c r="O320" s="9">
        <v>-10.47</v>
      </c>
    </row>
    <row r="321" spans="1:15" ht="19.5" customHeight="1">
      <c r="A321" s="1" t="s">
        <v>938</v>
      </c>
      <c r="B321" s="5">
        <v>45956</v>
      </c>
      <c r="C321" s="1" t="s">
        <v>28</v>
      </c>
      <c r="D321" s="1" t="s">
        <v>45</v>
      </c>
      <c r="E321" s="1" t="s">
        <v>25</v>
      </c>
      <c r="F321" s="1" t="s">
        <v>26</v>
      </c>
      <c r="G321" s="1" t="s">
        <v>21</v>
      </c>
      <c r="H321" s="6">
        <v>1</v>
      </c>
      <c r="I321" s="7">
        <v>0</v>
      </c>
      <c r="J321" s="5">
        <v>45948</v>
      </c>
      <c r="K321" s="1" t="s">
        <v>30</v>
      </c>
      <c r="L321" s="8">
        <v>0</v>
      </c>
      <c r="M321" s="6"/>
      <c r="N321" s="6"/>
      <c r="O321" s="9">
        <v>0</v>
      </c>
    </row>
    <row r="322" spans="1:15" ht="19.5" customHeight="1">
      <c r="A322" s="1" t="s">
        <v>938</v>
      </c>
      <c r="B322" s="5">
        <v>45956</v>
      </c>
      <c r="C322" s="1" t="s">
        <v>28</v>
      </c>
      <c r="D322" s="1" t="s">
        <v>46</v>
      </c>
      <c r="E322" s="1" t="s">
        <v>25</v>
      </c>
      <c r="F322" s="1" t="s">
        <v>26</v>
      </c>
      <c r="G322" s="1" t="s">
        <v>21</v>
      </c>
      <c r="H322" s="6">
        <v>1</v>
      </c>
      <c r="I322" s="7">
        <v>0</v>
      </c>
      <c r="J322" s="5">
        <v>45948</v>
      </c>
      <c r="K322" s="1" t="s">
        <v>30</v>
      </c>
      <c r="L322" s="8">
        <v>0</v>
      </c>
      <c r="M322" s="6"/>
      <c r="N322" s="6"/>
      <c r="O322" s="9">
        <v>-46</v>
      </c>
    </row>
    <row r="323" spans="1:15" ht="19.5" customHeight="1">
      <c r="A323" s="1" t="s">
        <v>938</v>
      </c>
      <c r="B323" s="5">
        <v>45956</v>
      </c>
      <c r="C323" s="1" t="s">
        <v>17</v>
      </c>
      <c r="D323" s="1" t="s">
        <v>47</v>
      </c>
      <c r="E323" s="1" t="s">
        <v>25</v>
      </c>
      <c r="F323" s="1" t="s">
        <v>26</v>
      </c>
      <c r="G323" s="1" t="s">
        <v>21</v>
      </c>
      <c r="H323" s="6">
        <v>1</v>
      </c>
      <c r="I323" s="7">
        <v>0</v>
      </c>
      <c r="J323" s="5">
        <v>45948</v>
      </c>
      <c r="K323" s="1" t="s">
        <v>30</v>
      </c>
      <c r="L323" s="8">
        <v>0</v>
      </c>
      <c r="M323" s="6"/>
      <c r="N323" s="6"/>
      <c r="O323" s="9">
        <v>-15</v>
      </c>
    </row>
    <row r="324" spans="1:15" ht="19.5" customHeight="1">
      <c r="A324" s="1" t="s">
        <v>939</v>
      </c>
      <c r="B324" s="5">
        <v>45956</v>
      </c>
      <c r="C324" s="1" t="s">
        <v>17</v>
      </c>
      <c r="D324" s="1" t="s">
        <v>18</v>
      </c>
      <c r="E324" s="1" t="s">
        <v>25</v>
      </c>
      <c r="F324" s="1" t="s">
        <v>26</v>
      </c>
      <c r="G324" s="1" t="s">
        <v>21</v>
      </c>
      <c r="H324" s="6">
        <v>1</v>
      </c>
      <c r="I324" s="7">
        <v>0</v>
      </c>
      <c r="J324" s="5">
        <v>45956</v>
      </c>
      <c r="K324" s="1" t="s">
        <v>22</v>
      </c>
      <c r="L324" s="8">
        <v>0</v>
      </c>
      <c r="M324" s="6"/>
      <c r="N324" s="6"/>
      <c r="O324" s="9">
        <v>-12.71</v>
      </c>
    </row>
    <row r="325" spans="1:15" ht="19.5" customHeight="1">
      <c r="A325" s="1" t="s">
        <v>900</v>
      </c>
      <c r="B325" s="5">
        <v>45956</v>
      </c>
      <c r="C325" s="1" t="s">
        <v>126</v>
      </c>
      <c r="D325" s="1" t="s">
        <v>127</v>
      </c>
      <c r="E325" s="1" t="s">
        <v>239</v>
      </c>
      <c r="F325" s="1" t="s">
        <v>733</v>
      </c>
      <c r="G325" s="1" t="s">
        <v>41</v>
      </c>
      <c r="H325" s="6">
        <v>1</v>
      </c>
      <c r="I325" s="7">
        <v>-4548</v>
      </c>
      <c r="J325" s="5">
        <v>45951</v>
      </c>
      <c r="K325" s="1" t="s">
        <v>30</v>
      </c>
      <c r="L325" s="8">
        <v>0</v>
      </c>
      <c r="M325" s="6"/>
      <c r="N325" s="6"/>
      <c r="O325" s="9">
        <v>-2595</v>
      </c>
    </row>
    <row r="326" spans="1:15" ht="19.5" customHeight="1">
      <c r="A326" s="1" t="s">
        <v>900</v>
      </c>
      <c r="B326" s="5">
        <v>45956</v>
      </c>
      <c r="C326" s="1" t="s">
        <v>126</v>
      </c>
      <c r="D326" s="1" t="s">
        <v>33</v>
      </c>
      <c r="E326" s="1" t="s">
        <v>239</v>
      </c>
      <c r="F326" s="1" t="s">
        <v>733</v>
      </c>
      <c r="G326" s="1" t="s">
        <v>41</v>
      </c>
      <c r="H326" s="6">
        <v>1</v>
      </c>
      <c r="I326" s="7">
        <v>-4548</v>
      </c>
      <c r="J326" s="5">
        <v>45951</v>
      </c>
      <c r="K326" s="1" t="s">
        <v>30</v>
      </c>
      <c r="L326" s="8">
        <v>0</v>
      </c>
      <c r="M326" s="6"/>
      <c r="N326" s="6"/>
      <c r="O326" s="9">
        <v>-25.95</v>
      </c>
    </row>
    <row r="327" spans="1:15" ht="19.5" customHeight="1">
      <c r="A327" s="1" t="s">
        <v>900</v>
      </c>
      <c r="B327" s="5">
        <v>45956</v>
      </c>
      <c r="C327" s="1" t="s">
        <v>126</v>
      </c>
      <c r="D327" s="1" t="s">
        <v>34</v>
      </c>
      <c r="E327" s="1" t="s">
        <v>239</v>
      </c>
      <c r="F327" s="1" t="s">
        <v>733</v>
      </c>
      <c r="G327" s="1" t="s">
        <v>41</v>
      </c>
      <c r="H327" s="6">
        <v>1</v>
      </c>
      <c r="I327" s="7">
        <v>-4548</v>
      </c>
      <c r="J327" s="5">
        <v>45951</v>
      </c>
      <c r="K327" s="1" t="s">
        <v>30</v>
      </c>
      <c r="L327" s="8">
        <v>0</v>
      </c>
      <c r="M327" s="6"/>
      <c r="N327" s="6"/>
      <c r="O327" s="9">
        <v>-1927.05</v>
      </c>
    </row>
    <row r="328" spans="1:15" ht="19.5" customHeight="1">
      <c r="A328" s="1" t="s">
        <v>900</v>
      </c>
      <c r="B328" s="5">
        <v>45956</v>
      </c>
      <c r="C328" s="1" t="s">
        <v>35</v>
      </c>
      <c r="D328" s="1" t="s">
        <v>128</v>
      </c>
      <c r="E328" s="1" t="s">
        <v>239</v>
      </c>
      <c r="F328" s="1" t="s">
        <v>733</v>
      </c>
      <c r="G328" s="1" t="s">
        <v>41</v>
      </c>
      <c r="H328" s="6">
        <v>1</v>
      </c>
      <c r="I328" s="7">
        <v>-4548</v>
      </c>
      <c r="J328" s="5">
        <v>45951</v>
      </c>
      <c r="K328" s="1" t="s">
        <v>30</v>
      </c>
      <c r="L328" s="8">
        <v>0.34</v>
      </c>
      <c r="M328" s="6"/>
      <c r="N328" s="6"/>
      <c r="O328" s="9">
        <v>1546.32</v>
      </c>
    </row>
    <row r="329" spans="1:15" ht="19.5" customHeight="1">
      <c r="A329" s="1" t="s">
        <v>895</v>
      </c>
      <c r="B329" s="5">
        <v>45956</v>
      </c>
      <c r="C329" s="1" t="s">
        <v>17</v>
      </c>
      <c r="D329" s="1" t="s">
        <v>18</v>
      </c>
      <c r="E329" s="1" t="s">
        <v>239</v>
      </c>
      <c r="F329" s="1" t="s">
        <v>733</v>
      </c>
      <c r="G329" s="1" t="s">
        <v>41</v>
      </c>
      <c r="H329" s="6">
        <v>1</v>
      </c>
      <c r="I329" s="7">
        <v>0</v>
      </c>
      <c r="J329" s="5">
        <v>45951</v>
      </c>
      <c r="K329" s="1" t="s">
        <v>22</v>
      </c>
      <c r="L329" s="8">
        <v>0</v>
      </c>
      <c r="M329" s="6"/>
      <c r="N329" s="6"/>
      <c r="O329" s="9">
        <v>49.31</v>
      </c>
    </row>
    <row r="330" spans="1:15" ht="19.5" customHeight="1">
      <c r="A330" s="1" t="s">
        <v>940</v>
      </c>
      <c r="B330" s="5">
        <v>45956</v>
      </c>
      <c r="C330" s="1" t="s">
        <v>28</v>
      </c>
      <c r="D330" s="1" t="s">
        <v>29</v>
      </c>
      <c r="E330" s="1" t="s">
        <v>25</v>
      </c>
      <c r="F330" s="1" t="s">
        <v>26</v>
      </c>
      <c r="G330" s="1" t="s">
        <v>21</v>
      </c>
      <c r="H330" s="6">
        <v>1</v>
      </c>
      <c r="I330" s="7">
        <v>1117</v>
      </c>
      <c r="J330" s="5">
        <v>45954</v>
      </c>
      <c r="K330" s="1" t="s">
        <v>30</v>
      </c>
      <c r="L330" s="8">
        <v>0.34</v>
      </c>
      <c r="M330" s="6"/>
      <c r="N330" s="6"/>
      <c r="O330" s="9">
        <v>-46</v>
      </c>
    </row>
    <row r="331" spans="1:15" ht="19.5" customHeight="1">
      <c r="A331" s="1" t="s">
        <v>940</v>
      </c>
      <c r="B331" s="5">
        <v>45956</v>
      </c>
      <c r="C331" s="1" t="s">
        <v>31</v>
      </c>
      <c r="D331" s="1" t="s">
        <v>32</v>
      </c>
      <c r="E331" s="1" t="s">
        <v>25</v>
      </c>
      <c r="F331" s="1" t="s">
        <v>26</v>
      </c>
      <c r="G331" s="1" t="s">
        <v>21</v>
      </c>
      <c r="H331" s="6">
        <v>1</v>
      </c>
      <c r="I331" s="7">
        <v>1117</v>
      </c>
      <c r="J331" s="5">
        <v>45954</v>
      </c>
      <c r="K331" s="1" t="s">
        <v>30</v>
      </c>
      <c r="L331" s="8">
        <v>0</v>
      </c>
      <c r="M331" s="6"/>
      <c r="N331" s="6"/>
      <c r="O331" s="9">
        <v>654.94000000000005</v>
      </c>
    </row>
    <row r="332" spans="1:15" ht="19.5" customHeight="1">
      <c r="A332" s="1" t="s">
        <v>940</v>
      </c>
      <c r="B332" s="5">
        <v>45956</v>
      </c>
      <c r="C332" s="1" t="s">
        <v>31</v>
      </c>
      <c r="D332" s="1" t="s">
        <v>33</v>
      </c>
      <c r="E332" s="1" t="s">
        <v>25</v>
      </c>
      <c r="F332" s="1" t="s">
        <v>26</v>
      </c>
      <c r="G332" s="1" t="s">
        <v>21</v>
      </c>
      <c r="H332" s="6">
        <v>1</v>
      </c>
      <c r="I332" s="7">
        <v>1117</v>
      </c>
      <c r="J332" s="5">
        <v>45954</v>
      </c>
      <c r="K332" s="1" t="s">
        <v>30</v>
      </c>
      <c r="L332" s="8">
        <v>0</v>
      </c>
      <c r="M332" s="6"/>
      <c r="N332" s="6"/>
      <c r="O332" s="9">
        <v>6.55</v>
      </c>
    </row>
    <row r="333" spans="1:15" ht="19.5" customHeight="1">
      <c r="A333" s="1" t="s">
        <v>940</v>
      </c>
      <c r="B333" s="5">
        <v>45956</v>
      </c>
      <c r="C333" s="1" t="s">
        <v>31</v>
      </c>
      <c r="D333" s="1" t="s">
        <v>34</v>
      </c>
      <c r="E333" s="1" t="s">
        <v>25</v>
      </c>
      <c r="F333" s="1" t="s">
        <v>26</v>
      </c>
      <c r="G333" s="1" t="s">
        <v>21</v>
      </c>
      <c r="H333" s="6">
        <v>1</v>
      </c>
      <c r="I333" s="7">
        <v>1117</v>
      </c>
      <c r="J333" s="5">
        <v>45954</v>
      </c>
      <c r="K333" s="1" t="s">
        <v>30</v>
      </c>
      <c r="L333" s="8">
        <v>0</v>
      </c>
      <c r="M333" s="6"/>
      <c r="N333" s="6"/>
      <c r="O333" s="9">
        <v>455.51</v>
      </c>
    </row>
    <row r="334" spans="1:15" ht="19.5" customHeight="1">
      <c r="A334" s="1" t="s">
        <v>940</v>
      </c>
      <c r="B334" s="5">
        <v>45956</v>
      </c>
      <c r="C334" s="1" t="s">
        <v>35</v>
      </c>
      <c r="D334" s="1" t="s">
        <v>36</v>
      </c>
      <c r="E334" s="1" t="s">
        <v>25</v>
      </c>
      <c r="F334" s="1" t="s">
        <v>26</v>
      </c>
      <c r="G334" s="1" t="s">
        <v>21</v>
      </c>
      <c r="H334" s="6">
        <v>1</v>
      </c>
      <c r="I334" s="7">
        <v>1117</v>
      </c>
      <c r="J334" s="5">
        <v>45954</v>
      </c>
      <c r="K334" s="1" t="s">
        <v>30</v>
      </c>
      <c r="L334" s="8">
        <v>0.34</v>
      </c>
      <c r="M334" s="6"/>
      <c r="N334" s="6"/>
      <c r="O334" s="9">
        <v>-379.78</v>
      </c>
    </row>
    <row r="335" spans="1:15" ht="19.5" customHeight="1">
      <c r="A335" s="1" t="s">
        <v>940</v>
      </c>
      <c r="B335" s="5">
        <v>45956</v>
      </c>
      <c r="C335" s="1" t="s">
        <v>17</v>
      </c>
      <c r="D335" s="1" t="s">
        <v>37</v>
      </c>
      <c r="E335" s="1" t="s">
        <v>25</v>
      </c>
      <c r="F335" s="1" t="s">
        <v>26</v>
      </c>
      <c r="G335" s="1" t="s">
        <v>21</v>
      </c>
      <c r="H335" s="6">
        <v>1</v>
      </c>
      <c r="I335" s="7">
        <v>1117</v>
      </c>
      <c r="J335" s="5">
        <v>45954</v>
      </c>
      <c r="K335" s="1" t="s">
        <v>30</v>
      </c>
      <c r="L335" s="8">
        <v>0.34</v>
      </c>
      <c r="M335" s="6"/>
      <c r="N335" s="6"/>
      <c r="O335" s="9">
        <v>-16.649999999999999</v>
      </c>
    </row>
    <row r="336" spans="1:15" ht="19.5" customHeight="1">
      <c r="A336" s="1" t="s">
        <v>941</v>
      </c>
      <c r="B336" s="5">
        <v>45956</v>
      </c>
      <c r="C336" s="1" t="s">
        <v>28</v>
      </c>
      <c r="D336" s="1" t="s">
        <v>29</v>
      </c>
      <c r="E336" s="1" t="s">
        <v>25</v>
      </c>
      <c r="F336" s="1" t="s">
        <v>26</v>
      </c>
      <c r="G336" s="1" t="s">
        <v>21</v>
      </c>
      <c r="H336" s="6">
        <v>1</v>
      </c>
      <c r="I336" s="7">
        <v>0</v>
      </c>
      <c r="J336" s="5">
        <v>45953</v>
      </c>
      <c r="K336" s="1" t="s">
        <v>30</v>
      </c>
      <c r="L336" s="8">
        <v>0</v>
      </c>
      <c r="M336" s="6"/>
      <c r="N336" s="6"/>
      <c r="O336" s="9">
        <v>-46</v>
      </c>
    </row>
    <row r="337" spans="1:15" ht="19.5" customHeight="1">
      <c r="A337" s="1" t="s">
        <v>942</v>
      </c>
      <c r="B337" s="5">
        <v>45956</v>
      </c>
      <c r="C337" s="1" t="s">
        <v>28</v>
      </c>
      <c r="D337" s="1" t="s">
        <v>29</v>
      </c>
      <c r="E337" s="1" t="s">
        <v>239</v>
      </c>
      <c r="F337" s="1" t="s">
        <v>733</v>
      </c>
      <c r="G337" s="1" t="s">
        <v>41</v>
      </c>
      <c r="H337" s="6">
        <v>1</v>
      </c>
      <c r="I337" s="7">
        <v>0</v>
      </c>
      <c r="J337" s="5">
        <v>45951</v>
      </c>
      <c r="K337" s="1" t="s">
        <v>30</v>
      </c>
      <c r="L337" s="8">
        <v>0</v>
      </c>
      <c r="M337" s="6"/>
      <c r="N337" s="6"/>
      <c r="O337" s="9">
        <v>-56</v>
      </c>
    </row>
    <row r="338" spans="1:15" ht="19.5" customHeight="1">
      <c r="A338" s="1" t="s">
        <v>942</v>
      </c>
      <c r="B338" s="5">
        <v>45956</v>
      </c>
      <c r="C338" s="1" t="s">
        <v>17</v>
      </c>
      <c r="D338" s="1" t="s">
        <v>37</v>
      </c>
      <c r="E338" s="1" t="s">
        <v>239</v>
      </c>
      <c r="F338" s="1" t="s">
        <v>733</v>
      </c>
      <c r="G338" s="1" t="s">
        <v>41</v>
      </c>
      <c r="H338" s="6">
        <v>1</v>
      </c>
      <c r="I338" s="7">
        <v>0</v>
      </c>
      <c r="J338" s="5">
        <v>45951</v>
      </c>
      <c r="K338" s="1" t="s">
        <v>30</v>
      </c>
      <c r="L338" s="8">
        <v>0</v>
      </c>
      <c r="M338" s="6"/>
      <c r="N338" s="6"/>
      <c r="O338" s="9">
        <v>-13.77</v>
      </c>
    </row>
    <row r="339" spans="1:15" ht="19.5" customHeight="1">
      <c r="A339" s="1" t="s">
        <v>942</v>
      </c>
      <c r="B339" s="5">
        <v>45956</v>
      </c>
      <c r="C339" s="1" t="s">
        <v>28</v>
      </c>
      <c r="D339" s="1" t="s">
        <v>45</v>
      </c>
      <c r="E339" s="1" t="s">
        <v>239</v>
      </c>
      <c r="F339" s="1" t="s">
        <v>733</v>
      </c>
      <c r="G339" s="1" t="s">
        <v>41</v>
      </c>
      <c r="H339" s="6">
        <v>1</v>
      </c>
      <c r="I339" s="7">
        <v>0</v>
      </c>
      <c r="J339" s="5">
        <v>45951</v>
      </c>
      <c r="K339" s="1" t="s">
        <v>30</v>
      </c>
      <c r="L339" s="8">
        <v>0</v>
      </c>
      <c r="M339" s="6"/>
      <c r="N339" s="6"/>
      <c r="O339" s="9">
        <v>0</v>
      </c>
    </row>
    <row r="340" spans="1:15" ht="19.5" customHeight="1">
      <c r="A340" s="1" t="s">
        <v>942</v>
      </c>
      <c r="B340" s="5">
        <v>45956</v>
      </c>
      <c r="C340" s="1" t="s">
        <v>28</v>
      </c>
      <c r="D340" s="1" t="s">
        <v>46</v>
      </c>
      <c r="E340" s="1" t="s">
        <v>239</v>
      </c>
      <c r="F340" s="1" t="s">
        <v>733</v>
      </c>
      <c r="G340" s="1" t="s">
        <v>41</v>
      </c>
      <c r="H340" s="6">
        <v>1</v>
      </c>
      <c r="I340" s="7">
        <v>0</v>
      </c>
      <c r="J340" s="5">
        <v>45951</v>
      </c>
      <c r="K340" s="1" t="s">
        <v>30</v>
      </c>
      <c r="L340" s="8">
        <v>0</v>
      </c>
      <c r="M340" s="6"/>
      <c r="N340" s="6"/>
      <c r="O340" s="9">
        <v>-56</v>
      </c>
    </row>
    <row r="341" spans="1:15" ht="19.5" customHeight="1">
      <c r="A341" s="1" t="s">
        <v>942</v>
      </c>
      <c r="B341" s="5">
        <v>45956</v>
      </c>
      <c r="C341" s="1" t="s">
        <v>17</v>
      </c>
      <c r="D341" s="1" t="s">
        <v>47</v>
      </c>
      <c r="E341" s="1" t="s">
        <v>239</v>
      </c>
      <c r="F341" s="1" t="s">
        <v>733</v>
      </c>
      <c r="G341" s="1" t="s">
        <v>41</v>
      </c>
      <c r="H341" s="6">
        <v>1</v>
      </c>
      <c r="I341" s="7">
        <v>0</v>
      </c>
      <c r="J341" s="5">
        <v>45951</v>
      </c>
      <c r="K341" s="1" t="s">
        <v>30</v>
      </c>
      <c r="L341" s="8">
        <v>0</v>
      </c>
      <c r="M341" s="6"/>
      <c r="N341" s="6"/>
      <c r="O341" s="9">
        <v>-15</v>
      </c>
    </row>
    <row r="342" spans="1:15" ht="19.5" customHeight="1">
      <c r="A342" s="1" t="s">
        <v>22</v>
      </c>
      <c r="B342" s="5">
        <v>45956</v>
      </c>
      <c r="C342" s="1" t="s">
        <v>77</v>
      </c>
      <c r="D342" s="1" t="s">
        <v>78</v>
      </c>
      <c r="E342" s="1" t="s">
        <v>22</v>
      </c>
      <c r="F342" s="1" t="s">
        <v>22</v>
      </c>
      <c r="G342" s="1" t="s">
        <v>943</v>
      </c>
      <c r="H342" s="6">
        <v>0</v>
      </c>
      <c r="I342" s="7">
        <v>0</v>
      </c>
      <c r="J342" s="5">
        <v>45956</v>
      </c>
      <c r="K342" s="1" t="s">
        <v>22</v>
      </c>
      <c r="L342" s="8">
        <v>0</v>
      </c>
      <c r="M342" s="6"/>
      <c r="N342" s="6"/>
      <c r="O342" s="9">
        <v>-200</v>
      </c>
    </row>
    <row r="343" spans="1:15" ht="19.5" customHeight="1">
      <c r="A343" s="1" t="s">
        <v>83</v>
      </c>
      <c r="B343" s="5">
        <v>45956</v>
      </c>
      <c r="C343" s="1" t="s">
        <v>77</v>
      </c>
      <c r="D343" s="1" t="s">
        <v>84</v>
      </c>
      <c r="E343" s="1" t="s">
        <v>22</v>
      </c>
      <c r="F343" s="1" t="s">
        <v>22</v>
      </c>
      <c r="G343" s="1" t="s">
        <v>22</v>
      </c>
      <c r="H343" s="6">
        <v>0</v>
      </c>
      <c r="I343" s="7">
        <v>0</v>
      </c>
      <c r="J343" s="5">
        <v>45956</v>
      </c>
      <c r="K343" s="1" t="s">
        <v>22</v>
      </c>
      <c r="L343" s="8">
        <v>0</v>
      </c>
      <c r="M343" s="6"/>
      <c r="N343" s="6"/>
      <c r="O343" s="9">
        <v>-432.63</v>
      </c>
    </row>
    <row r="344" spans="1:15" ht="19.5" customHeight="1">
      <c r="A344" s="1" t="s">
        <v>811</v>
      </c>
      <c r="B344" s="5">
        <v>45956</v>
      </c>
      <c r="C344" s="1" t="s">
        <v>77</v>
      </c>
      <c r="D344" s="1" t="s">
        <v>82</v>
      </c>
      <c r="E344" s="1" t="s">
        <v>22</v>
      </c>
      <c r="F344" s="1" t="s">
        <v>22</v>
      </c>
      <c r="G344" s="1" t="s">
        <v>22</v>
      </c>
      <c r="H344" s="6">
        <v>0</v>
      </c>
      <c r="I344" s="7">
        <v>0</v>
      </c>
      <c r="J344" s="5">
        <v>45956</v>
      </c>
      <c r="K344" s="1" t="s">
        <v>22</v>
      </c>
      <c r="L344" s="8">
        <v>0</v>
      </c>
      <c r="M344" s="6"/>
      <c r="N344" s="6"/>
      <c r="O344" s="9">
        <v>-63.67</v>
      </c>
    </row>
    <row r="345" spans="1:15" ht="19.5" customHeight="1">
      <c r="A345" s="1" t="s">
        <v>810</v>
      </c>
      <c r="B345" s="5">
        <v>45956</v>
      </c>
      <c r="C345" s="1" t="s">
        <v>77</v>
      </c>
      <c r="D345" s="1" t="s">
        <v>82</v>
      </c>
      <c r="E345" s="1" t="s">
        <v>22</v>
      </c>
      <c r="F345" s="1" t="s">
        <v>22</v>
      </c>
      <c r="G345" s="1" t="s">
        <v>22</v>
      </c>
      <c r="H345" s="6">
        <v>0</v>
      </c>
      <c r="I345" s="7">
        <v>0</v>
      </c>
      <c r="J345" s="5">
        <v>45956</v>
      </c>
      <c r="K345" s="1" t="s">
        <v>22</v>
      </c>
      <c r="L345" s="8">
        <v>0</v>
      </c>
      <c r="M345" s="6"/>
      <c r="N345" s="6"/>
      <c r="O345" s="9">
        <v>-14.4</v>
      </c>
    </row>
    <row r="346" spans="1:15" ht="19.5" customHeight="1">
      <c r="A346" s="1" t="s">
        <v>807</v>
      </c>
      <c r="B346" s="5">
        <v>45956</v>
      </c>
      <c r="C346" s="1" t="s">
        <v>77</v>
      </c>
      <c r="D346" s="1" t="s">
        <v>82</v>
      </c>
      <c r="E346" s="1" t="s">
        <v>22</v>
      </c>
      <c r="F346" s="1" t="s">
        <v>22</v>
      </c>
      <c r="G346" s="1" t="s">
        <v>22</v>
      </c>
      <c r="H346" s="6">
        <v>0</v>
      </c>
      <c r="I346" s="7">
        <v>0</v>
      </c>
      <c r="J346" s="5">
        <v>45956</v>
      </c>
      <c r="K346" s="1" t="s">
        <v>22</v>
      </c>
      <c r="L346" s="8">
        <v>0</v>
      </c>
      <c r="M346" s="6"/>
      <c r="N346" s="6"/>
      <c r="O346" s="9">
        <v>-119.46</v>
      </c>
    </row>
    <row r="347" spans="1:15" ht="19.5" customHeight="1">
      <c r="A347" s="1" t="s">
        <v>808</v>
      </c>
      <c r="B347" s="5">
        <v>45956</v>
      </c>
      <c r="C347" s="1" t="s">
        <v>77</v>
      </c>
      <c r="D347" s="1" t="s">
        <v>82</v>
      </c>
      <c r="E347" s="1" t="s">
        <v>22</v>
      </c>
      <c r="F347" s="1" t="s">
        <v>22</v>
      </c>
      <c r="G347" s="1" t="s">
        <v>22</v>
      </c>
      <c r="H347" s="6">
        <v>0</v>
      </c>
      <c r="I347" s="7">
        <v>0</v>
      </c>
      <c r="J347" s="5">
        <v>45956</v>
      </c>
      <c r="K347" s="1" t="s">
        <v>22</v>
      </c>
      <c r="L347" s="8">
        <v>0</v>
      </c>
      <c r="M347" s="6"/>
      <c r="N347" s="6"/>
      <c r="O347" s="9">
        <v>-211.4</v>
      </c>
    </row>
    <row r="348" spans="1:15" ht="19.5" customHeight="1">
      <c r="A348" s="1" t="s">
        <v>22</v>
      </c>
      <c r="B348" s="5">
        <v>45956</v>
      </c>
      <c r="C348" s="1" t="s">
        <v>77</v>
      </c>
      <c r="D348" s="1" t="s">
        <v>944</v>
      </c>
      <c r="E348" s="1" t="s">
        <v>22</v>
      </c>
      <c r="F348" s="1" t="s">
        <v>22</v>
      </c>
      <c r="G348" s="1" t="s">
        <v>945</v>
      </c>
      <c r="H348" s="6">
        <v>0</v>
      </c>
      <c r="I348" s="7">
        <v>0</v>
      </c>
      <c r="J348" s="5">
        <v>45956</v>
      </c>
      <c r="K348" s="1" t="s">
        <v>22</v>
      </c>
      <c r="L348" s="8">
        <v>0</v>
      </c>
      <c r="M348" s="6"/>
      <c r="N348" s="6"/>
      <c r="O348" s="9">
        <v>-167.95</v>
      </c>
    </row>
    <row r="349" spans="1:15" ht="19.5" customHeight="1">
      <c r="A349" s="1" t="s">
        <v>22</v>
      </c>
      <c r="B349" s="5">
        <v>45956</v>
      </c>
      <c r="C349" s="1" t="s">
        <v>77</v>
      </c>
      <c r="D349" s="1" t="s">
        <v>944</v>
      </c>
      <c r="E349" s="1" t="s">
        <v>22</v>
      </c>
      <c r="F349" s="1" t="s">
        <v>22</v>
      </c>
      <c r="G349" s="1" t="s">
        <v>946</v>
      </c>
      <c r="H349" s="6">
        <v>0</v>
      </c>
      <c r="I349" s="7">
        <v>0</v>
      </c>
      <c r="J349" s="5">
        <v>45956</v>
      </c>
      <c r="K349" s="1" t="s">
        <v>22</v>
      </c>
      <c r="L349" s="8">
        <v>0</v>
      </c>
      <c r="M349" s="6"/>
      <c r="N349" s="6"/>
      <c r="O349" s="9">
        <v>-196.49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F54A-9EF3-4CCF-8626-2F108B924BBA}">
  <dimension ref="A1:O471"/>
  <sheetViews>
    <sheetView topLeftCell="A91" zoomScale="80" zoomScaleNormal="8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4" width="20.7265625" customWidth="1"/>
    <col min="15" max="15" width="20.7265625" style="2" customWidth="1"/>
  </cols>
  <sheetData>
    <row r="1" spans="1:15" ht="19.5" customHeight="1">
      <c r="A1" s="1" t="s">
        <v>772</v>
      </c>
    </row>
    <row r="2" spans="1:15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</row>
    <row r="3" spans="1:15" ht="19.5" customHeight="1">
      <c r="A3" s="1" t="s">
        <v>773</v>
      </c>
      <c r="B3" s="5">
        <v>45943</v>
      </c>
      <c r="C3" s="1" t="s">
        <v>28</v>
      </c>
      <c r="D3" s="1" t="s">
        <v>29</v>
      </c>
      <c r="E3" s="1" t="s">
        <v>226</v>
      </c>
      <c r="F3" s="1" t="s">
        <v>428</v>
      </c>
      <c r="G3" s="1" t="s">
        <v>21</v>
      </c>
      <c r="H3" s="6">
        <v>1</v>
      </c>
      <c r="I3" s="7">
        <v>0</v>
      </c>
      <c r="J3" s="5">
        <v>45938</v>
      </c>
      <c r="K3" s="1" t="s">
        <v>30</v>
      </c>
      <c r="L3" s="8">
        <v>0</v>
      </c>
      <c r="M3" s="6"/>
      <c r="N3" s="6"/>
      <c r="O3" s="9">
        <v>-46</v>
      </c>
    </row>
    <row r="4" spans="1:15" ht="19.5" customHeight="1">
      <c r="A4" s="1" t="s">
        <v>773</v>
      </c>
      <c r="B4" s="5">
        <v>45943</v>
      </c>
      <c r="C4" s="1" t="s">
        <v>17</v>
      </c>
      <c r="D4" s="1" t="s">
        <v>37</v>
      </c>
      <c r="E4" s="1" t="s">
        <v>226</v>
      </c>
      <c r="F4" s="1" t="s">
        <v>428</v>
      </c>
      <c r="G4" s="1" t="s">
        <v>21</v>
      </c>
      <c r="H4" s="6">
        <v>1</v>
      </c>
      <c r="I4" s="7">
        <v>0</v>
      </c>
      <c r="J4" s="5">
        <v>45938</v>
      </c>
      <c r="K4" s="1" t="s">
        <v>30</v>
      </c>
      <c r="L4" s="8">
        <v>0</v>
      </c>
      <c r="M4" s="6"/>
      <c r="N4" s="6"/>
      <c r="O4" s="9">
        <v>-7.82</v>
      </c>
    </row>
    <row r="5" spans="1:15" ht="19.5" customHeight="1">
      <c r="A5" s="1" t="s">
        <v>773</v>
      </c>
      <c r="B5" s="5">
        <v>45943</v>
      </c>
      <c r="C5" s="1" t="s">
        <v>28</v>
      </c>
      <c r="D5" s="1" t="s">
        <v>45</v>
      </c>
      <c r="E5" s="1" t="s">
        <v>226</v>
      </c>
      <c r="F5" s="1" t="s">
        <v>428</v>
      </c>
      <c r="G5" s="1" t="s">
        <v>21</v>
      </c>
      <c r="H5" s="6">
        <v>1</v>
      </c>
      <c r="I5" s="7">
        <v>0</v>
      </c>
      <c r="J5" s="5">
        <v>45938</v>
      </c>
      <c r="K5" s="1" t="s">
        <v>30</v>
      </c>
      <c r="L5" s="8">
        <v>0</v>
      </c>
      <c r="M5" s="6"/>
      <c r="N5" s="6"/>
      <c r="O5" s="9">
        <v>0</v>
      </c>
    </row>
    <row r="6" spans="1:15" ht="19.5" customHeight="1">
      <c r="A6" s="1" t="s">
        <v>773</v>
      </c>
      <c r="B6" s="5">
        <v>45943</v>
      </c>
      <c r="C6" s="1" t="s">
        <v>28</v>
      </c>
      <c r="D6" s="1" t="s">
        <v>46</v>
      </c>
      <c r="E6" s="1" t="s">
        <v>226</v>
      </c>
      <c r="F6" s="1" t="s">
        <v>428</v>
      </c>
      <c r="G6" s="1" t="s">
        <v>21</v>
      </c>
      <c r="H6" s="6">
        <v>1</v>
      </c>
      <c r="I6" s="7">
        <v>0</v>
      </c>
      <c r="J6" s="5">
        <v>45938</v>
      </c>
      <c r="K6" s="1" t="s">
        <v>30</v>
      </c>
      <c r="L6" s="8">
        <v>0</v>
      </c>
      <c r="M6" s="6"/>
      <c r="N6" s="6"/>
      <c r="O6" s="9">
        <v>-46</v>
      </c>
    </row>
    <row r="7" spans="1:15" ht="19.5" customHeight="1">
      <c r="A7" s="1" t="s">
        <v>773</v>
      </c>
      <c r="B7" s="5">
        <v>45943</v>
      </c>
      <c r="C7" s="1" t="s">
        <v>17</v>
      </c>
      <c r="D7" s="1" t="s">
        <v>47</v>
      </c>
      <c r="E7" s="1" t="s">
        <v>226</v>
      </c>
      <c r="F7" s="1" t="s">
        <v>428</v>
      </c>
      <c r="G7" s="1" t="s">
        <v>21</v>
      </c>
      <c r="H7" s="6">
        <v>1</v>
      </c>
      <c r="I7" s="7">
        <v>0</v>
      </c>
      <c r="J7" s="5">
        <v>45938</v>
      </c>
      <c r="K7" s="1" t="s">
        <v>30</v>
      </c>
      <c r="L7" s="8">
        <v>0</v>
      </c>
      <c r="M7" s="6"/>
      <c r="N7" s="6"/>
      <c r="O7" s="9">
        <v>-15</v>
      </c>
    </row>
    <row r="8" spans="1:15" ht="19.5" customHeight="1">
      <c r="A8" s="1" t="s">
        <v>774</v>
      </c>
      <c r="B8" s="5">
        <v>45943</v>
      </c>
      <c r="C8" s="1" t="s">
        <v>17</v>
      </c>
      <c r="D8" s="1" t="s">
        <v>18</v>
      </c>
      <c r="E8" s="1" t="s">
        <v>229</v>
      </c>
      <c r="F8" s="1" t="s">
        <v>464</v>
      </c>
      <c r="G8" s="1" t="s">
        <v>21</v>
      </c>
      <c r="H8" s="6">
        <v>1</v>
      </c>
      <c r="I8" s="7">
        <v>0</v>
      </c>
      <c r="J8" s="5">
        <v>45943</v>
      </c>
      <c r="K8" s="1" t="s">
        <v>22</v>
      </c>
      <c r="L8" s="8">
        <v>0</v>
      </c>
      <c r="M8" s="6"/>
      <c r="N8" s="6"/>
      <c r="O8" s="9">
        <v>-35.64</v>
      </c>
    </row>
    <row r="9" spans="1:15" ht="19.5" customHeight="1">
      <c r="A9" s="1" t="s">
        <v>774</v>
      </c>
      <c r="B9" s="5">
        <v>45943</v>
      </c>
      <c r="C9" s="1" t="s">
        <v>17</v>
      </c>
      <c r="D9" s="1" t="s">
        <v>18</v>
      </c>
      <c r="E9" s="1" t="s">
        <v>229</v>
      </c>
      <c r="F9" s="1" t="s">
        <v>464</v>
      </c>
      <c r="G9" s="1" t="s">
        <v>21</v>
      </c>
      <c r="H9" s="6">
        <v>1</v>
      </c>
      <c r="I9" s="7">
        <v>0</v>
      </c>
      <c r="J9" s="5">
        <v>45943</v>
      </c>
      <c r="K9" s="1" t="s">
        <v>22</v>
      </c>
      <c r="L9" s="8">
        <v>0</v>
      </c>
      <c r="M9" s="6"/>
      <c r="N9" s="6"/>
      <c r="O9" s="9">
        <v>35.64</v>
      </c>
    </row>
    <row r="10" spans="1:15" ht="19.5" customHeight="1">
      <c r="A10" s="1" t="s">
        <v>775</v>
      </c>
      <c r="B10" s="5">
        <v>45943</v>
      </c>
      <c r="C10" s="1" t="s">
        <v>28</v>
      </c>
      <c r="D10" s="1" t="s">
        <v>29</v>
      </c>
      <c r="E10" s="1" t="s">
        <v>25</v>
      </c>
      <c r="F10" s="1" t="s">
        <v>26</v>
      </c>
      <c r="G10" s="1" t="s">
        <v>21</v>
      </c>
      <c r="H10" s="6">
        <v>1</v>
      </c>
      <c r="I10" s="7">
        <v>0</v>
      </c>
      <c r="J10" s="5">
        <v>45933</v>
      </c>
      <c r="K10" s="1" t="s">
        <v>30</v>
      </c>
      <c r="L10" s="8">
        <v>0</v>
      </c>
      <c r="M10" s="6"/>
      <c r="N10" s="6"/>
      <c r="O10" s="9">
        <v>-46</v>
      </c>
    </row>
    <row r="11" spans="1:15" ht="19.5" customHeight="1">
      <c r="A11" s="1" t="s">
        <v>775</v>
      </c>
      <c r="B11" s="5">
        <v>45943</v>
      </c>
      <c r="C11" s="1" t="s">
        <v>17</v>
      </c>
      <c r="D11" s="1" t="s">
        <v>37</v>
      </c>
      <c r="E11" s="1" t="s">
        <v>25</v>
      </c>
      <c r="F11" s="1" t="s">
        <v>26</v>
      </c>
      <c r="G11" s="1" t="s">
        <v>21</v>
      </c>
      <c r="H11" s="6">
        <v>1</v>
      </c>
      <c r="I11" s="7">
        <v>0</v>
      </c>
      <c r="J11" s="5">
        <v>45933</v>
      </c>
      <c r="K11" s="1" t="s">
        <v>30</v>
      </c>
      <c r="L11" s="8">
        <v>0</v>
      </c>
      <c r="M11" s="6"/>
      <c r="N11" s="6"/>
      <c r="O11" s="9">
        <v>-3.92</v>
      </c>
    </row>
    <row r="12" spans="1:15" ht="19.5" customHeight="1">
      <c r="A12" s="1" t="s">
        <v>775</v>
      </c>
      <c r="B12" s="5">
        <v>45943</v>
      </c>
      <c r="C12" s="1" t="s">
        <v>28</v>
      </c>
      <c r="D12" s="1" t="s">
        <v>45</v>
      </c>
      <c r="E12" s="1" t="s">
        <v>25</v>
      </c>
      <c r="F12" s="1" t="s">
        <v>26</v>
      </c>
      <c r="G12" s="1" t="s">
        <v>21</v>
      </c>
      <c r="H12" s="6">
        <v>1</v>
      </c>
      <c r="I12" s="7">
        <v>0</v>
      </c>
      <c r="J12" s="5">
        <v>45933</v>
      </c>
      <c r="K12" s="1" t="s">
        <v>30</v>
      </c>
      <c r="L12" s="8">
        <v>0</v>
      </c>
      <c r="M12" s="6"/>
      <c r="N12" s="6"/>
      <c r="O12" s="9">
        <v>0</v>
      </c>
    </row>
    <row r="13" spans="1:15" ht="19.5" customHeight="1">
      <c r="A13" s="1" t="s">
        <v>775</v>
      </c>
      <c r="B13" s="5">
        <v>45943</v>
      </c>
      <c r="C13" s="1" t="s">
        <v>28</v>
      </c>
      <c r="D13" s="1" t="s">
        <v>46</v>
      </c>
      <c r="E13" s="1" t="s">
        <v>25</v>
      </c>
      <c r="F13" s="1" t="s">
        <v>26</v>
      </c>
      <c r="G13" s="1" t="s">
        <v>21</v>
      </c>
      <c r="H13" s="6">
        <v>1</v>
      </c>
      <c r="I13" s="7">
        <v>0</v>
      </c>
      <c r="J13" s="5">
        <v>45933</v>
      </c>
      <c r="K13" s="1" t="s">
        <v>30</v>
      </c>
      <c r="L13" s="8">
        <v>0</v>
      </c>
      <c r="M13" s="6"/>
      <c r="N13" s="6"/>
      <c r="O13" s="9">
        <v>-46</v>
      </c>
    </row>
    <row r="14" spans="1:15" ht="19.5" customHeight="1">
      <c r="A14" s="1" t="s">
        <v>775</v>
      </c>
      <c r="B14" s="5">
        <v>45943</v>
      </c>
      <c r="C14" s="1" t="s">
        <v>17</v>
      </c>
      <c r="D14" s="1" t="s">
        <v>47</v>
      </c>
      <c r="E14" s="1" t="s">
        <v>25</v>
      </c>
      <c r="F14" s="1" t="s">
        <v>26</v>
      </c>
      <c r="G14" s="1" t="s">
        <v>21</v>
      </c>
      <c r="H14" s="6">
        <v>1</v>
      </c>
      <c r="I14" s="7">
        <v>0</v>
      </c>
      <c r="J14" s="5">
        <v>45933</v>
      </c>
      <c r="K14" s="1" t="s">
        <v>30</v>
      </c>
      <c r="L14" s="8">
        <v>0</v>
      </c>
      <c r="M14" s="6"/>
      <c r="N14" s="6"/>
      <c r="O14" s="9">
        <v>-15</v>
      </c>
    </row>
    <row r="15" spans="1:15" ht="19.5" customHeight="1">
      <c r="A15" s="1" t="s">
        <v>776</v>
      </c>
      <c r="B15" s="5">
        <v>45943</v>
      </c>
      <c r="C15" s="1" t="s">
        <v>28</v>
      </c>
      <c r="D15" s="1" t="s">
        <v>29</v>
      </c>
      <c r="E15" s="1" t="s">
        <v>25</v>
      </c>
      <c r="F15" s="1" t="s">
        <v>26</v>
      </c>
      <c r="G15" s="1" t="s">
        <v>21</v>
      </c>
      <c r="H15" s="6">
        <v>1</v>
      </c>
      <c r="I15" s="7">
        <v>1140</v>
      </c>
      <c r="J15" s="5">
        <v>45940</v>
      </c>
      <c r="K15" s="1" t="s">
        <v>30</v>
      </c>
      <c r="L15" s="8">
        <v>0.26</v>
      </c>
      <c r="M15" s="6"/>
      <c r="N15" s="6"/>
      <c r="O15" s="9">
        <v>-46</v>
      </c>
    </row>
    <row r="16" spans="1:15" ht="19.5" customHeight="1">
      <c r="A16" s="1" t="s">
        <v>776</v>
      </c>
      <c r="B16" s="5">
        <v>45943</v>
      </c>
      <c r="C16" s="1" t="s">
        <v>31</v>
      </c>
      <c r="D16" s="1" t="s">
        <v>32</v>
      </c>
      <c r="E16" s="1" t="s">
        <v>25</v>
      </c>
      <c r="F16" s="1" t="s">
        <v>26</v>
      </c>
      <c r="G16" s="1" t="s">
        <v>21</v>
      </c>
      <c r="H16" s="6">
        <v>1</v>
      </c>
      <c r="I16" s="7">
        <v>1140</v>
      </c>
      <c r="J16" s="5">
        <v>45940</v>
      </c>
      <c r="K16" s="1" t="s">
        <v>30</v>
      </c>
      <c r="L16" s="8">
        <v>0</v>
      </c>
      <c r="M16" s="6"/>
      <c r="N16" s="6"/>
      <c r="O16" s="9">
        <v>659</v>
      </c>
    </row>
    <row r="17" spans="1:15" ht="19.5" customHeight="1">
      <c r="A17" s="1" t="s">
        <v>776</v>
      </c>
      <c r="B17" s="5">
        <v>45943</v>
      </c>
      <c r="C17" s="1" t="s">
        <v>31</v>
      </c>
      <c r="D17" s="1" t="s">
        <v>33</v>
      </c>
      <c r="E17" s="1" t="s">
        <v>25</v>
      </c>
      <c r="F17" s="1" t="s">
        <v>26</v>
      </c>
      <c r="G17" s="1" t="s">
        <v>21</v>
      </c>
      <c r="H17" s="6">
        <v>1</v>
      </c>
      <c r="I17" s="7">
        <v>1140</v>
      </c>
      <c r="J17" s="5">
        <v>45940</v>
      </c>
      <c r="K17" s="1" t="s">
        <v>30</v>
      </c>
      <c r="L17" s="8">
        <v>0</v>
      </c>
      <c r="M17" s="6"/>
      <c r="N17" s="6"/>
      <c r="O17" s="9">
        <v>6.59</v>
      </c>
    </row>
    <row r="18" spans="1:15" ht="19.5" customHeight="1">
      <c r="A18" s="1" t="s">
        <v>776</v>
      </c>
      <c r="B18" s="5">
        <v>45943</v>
      </c>
      <c r="C18" s="1" t="s">
        <v>31</v>
      </c>
      <c r="D18" s="1" t="s">
        <v>34</v>
      </c>
      <c r="E18" s="1" t="s">
        <v>25</v>
      </c>
      <c r="F18" s="1" t="s">
        <v>26</v>
      </c>
      <c r="G18" s="1" t="s">
        <v>21</v>
      </c>
      <c r="H18" s="6">
        <v>1</v>
      </c>
      <c r="I18" s="7">
        <v>1140</v>
      </c>
      <c r="J18" s="5">
        <v>45940</v>
      </c>
      <c r="K18" s="1" t="s">
        <v>30</v>
      </c>
      <c r="L18" s="8">
        <v>0</v>
      </c>
      <c r="M18" s="6"/>
      <c r="N18" s="6"/>
      <c r="O18" s="9">
        <v>474.41</v>
      </c>
    </row>
    <row r="19" spans="1:15" ht="19.5" customHeight="1">
      <c r="A19" s="1" t="s">
        <v>776</v>
      </c>
      <c r="B19" s="5">
        <v>45943</v>
      </c>
      <c r="C19" s="1" t="s">
        <v>35</v>
      </c>
      <c r="D19" s="1" t="s">
        <v>36</v>
      </c>
      <c r="E19" s="1" t="s">
        <v>25</v>
      </c>
      <c r="F19" s="1" t="s">
        <v>26</v>
      </c>
      <c r="G19" s="1" t="s">
        <v>21</v>
      </c>
      <c r="H19" s="6">
        <v>1</v>
      </c>
      <c r="I19" s="7">
        <v>1140</v>
      </c>
      <c r="J19" s="5">
        <v>45940</v>
      </c>
      <c r="K19" s="1" t="s">
        <v>30</v>
      </c>
      <c r="L19" s="8">
        <v>0.26</v>
      </c>
      <c r="M19" s="6"/>
      <c r="N19" s="6"/>
      <c r="O19" s="9">
        <v>-296.39999999999998</v>
      </c>
    </row>
    <row r="20" spans="1:15" ht="19.5" customHeight="1">
      <c r="A20" s="1" t="s">
        <v>776</v>
      </c>
      <c r="B20" s="5">
        <v>45943</v>
      </c>
      <c r="C20" s="1" t="s">
        <v>17</v>
      </c>
      <c r="D20" s="1" t="s">
        <v>37</v>
      </c>
      <c r="E20" s="1" t="s">
        <v>25</v>
      </c>
      <c r="F20" s="1" t="s">
        <v>26</v>
      </c>
      <c r="G20" s="1" t="s">
        <v>21</v>
      </c>
      <c r="H20" s="6">
        <v>1</v>
      </c>
      <c r="I20" s="7">
        <v>1140</v>
      </c>
      <c r="J20" s="5">
        <v>45940</v>
      </c>
      <c r="K20" s="1" t="s">
        <v>30</v>
      </c>
      <c r="L20" s="8">
        <v>0.26</v>
      </c>
      <c r="M20" s="6"/>
      <c r="N20" s="6"/>
      <c r="O20" s="9">
        <v>-6.46</v>
      </c>
    </row>
    <row r="21" spans="1:15" ht="19.5" customHeight="1">
      <c r="A21" s="1" t="s">
        <v>776</v>
      </c>
      <c r="B21" s="5">
        <v>45943</v>
      </c>
      <c r="C21" s="1" t="s">
        <v>17</v>
      </c>
      <c r="D21" s="1" t="s">
        <v>18</v>
      </c>
      <c r="E21" s="1" t="s">
        <v>25</v>
      </c>
      <c r="F21" s="1" t="s">
        <v>26</v>
      </c>
      <c r="G21" s="1" t="s">
        <v>21</v>
      </c>
      <c r="H21" s="6">
        <v>1</v>
      </c>
      <c r="I21" s="7">
        <v>0</v>
      </c>
      <c r="J21" s="5">
        <v>45940</v>
      </c>
      <c r="K21" s="1" t="s">
        <v>22</v>
      </c>
      <c r="L21" s="8">
        <v>0</v>
      </c>
      <c r="M21" s="6"/>
      <c r="N21" s="6"/>
      <c r="O21" s="9">
        <v>-12.52</v>
      </c>
    </row>
    <row r="22" spans="1:15" ht="19.5" customHeight="1">
      <c r="A22" s="1" t="s">
        <v>777</v>
      </c>
      <c r="B22" s="5">
        <v>45943</v>
      </c>
      <c r="C22" s="1" t="s">
        <v>17</v>
      </c>
      <c r="D22" s="1" t="s">
        <v>18</v>
      </c>
      <c r="E22" s="1" t="s">
        <v>25</v>
      </c>
      <c r="F22" s="1" t="s">
        <v>26</v>
      </c>
      <c r="G22" s="1" t="s">
        <v>21</v>
      </c>
      <c r="H22" s="6">
        <v>1</v>
      </c>
      <c r="I22" s="7">
        <v>0</v>
      </c>
      <c r="J22" s="5">
        <v>45943</v>
      </c>
      <c r="K22" s="1" t="s">
        <v>22</v>
      </c>
      <c r="L22" s="8">
        <v>0</v>
      </c>
      <c r="M22" s="6"/>
      <c r="N22" s="6"/>
      <c r="O22" s="9">
        <v>-12.5</v>
      </c>
    </row>
    <row r="23" spans="1:15" ht="19.5" customHeight="1">
      <c r="A23" s="1" t="s">
        <v>778</v>
      </c>
      <c r="B23" s="5">
        <v>45943</v>
      </c>
      <c r="C23" s="1" t="s">
        <v>28</v>
      </c>
      <c r="D23" s="1" t="s">
        <v>29</v>
      </c>
      <c r="E23" s="1" t="s">
        <v>25</v>
      </c>
      <c r="F23" s="1" t="s">
        <v>26</v>
      </c>
      <c r="G23" s="1" t="s">
        <v>21</v>
      </c>
      <c r="H23" s="6">
        <v>1</v>
      </c>
      <c r="I23" s="7">
        <v>1140</v>
      </c>
      <c r="J23" s="5">
        <v>45941</v>
      </c>
      <c r="K23" s="1" t="s">
        <v>30</v>
      </c>
      <c r="L23" s="8">
        <v>0.26</v>
      </c>
      <c r="M23" s="6"/>
      <c r="N23" s="6"/>
      <c r="O23" s="9">
        <v>-46</v>
      </c>
    </row>
    <row r="24" spans="1:15" ht="19.5" customHeight="1">
      <c r="A24" s="1" t="s">
        <v>778</v>
      </c>
      <c r="B24" s="5">
        <v>45943</v>
      </c>
      <c r="C24" s="1" t="s">
        <v>31</v>
      </c>
      <c r="D24" s="1" t="s">
        <v>32</v>
      </c>
      <c r="E24" s="1" t="s">
        <v>25</v>
      </c>
      <c r="F24" s="1" t="s">
        <v>26</v>
      </c>
      <c r="G24" s="1" t="s">
        <v>21</v>
      </c>
      <c r="H24" s="6">
        <v>1</v>
      </c>
      <c r="I24" s="7">
        <v>1140</v>
      </c>
      <c r="J24" s="5">
        <v>45941</v>
      </c>
      <c r="K24" s="1" t="s">
        <v>30</v>
      </c>
      <c r="L24" s="8">
        <v>0</v>
      </c>
      <c r="M24" s="6"/>
      <c r="N24" s="6"/>
      <c r="O24" s="9">
        <v>644</v>
      </c>
    </row>
    <row r="25" spans="1:15" ht="19.5" customHeight="1">
      <c r="A25" s="1" t="s">
        <v>778</v>
      </c>
      <c r="B25" s="5">
        <v>45943</v>
      </c>
      <c r="C25" s="1" t="s">
        <v>31</v>
      </c>
      <c r="D25" s="1" t="s">
        <v>33</v>
      </c>
      <c r="E25" s="1" t="s">
        <v>25</v>
      </c>
      <c r="F25" s="1" t="s">
        <v>26</v>
      </c>
      <c r="G25" s="1" t="s">
        <v>21</v>
      </c>
      <c r="H25" s="6">
        <v>1</v>
      </c>
      <c r="I25" s="7">
        <v>1140</v>
      </c>
      <c r="J25" s="5">
        <v>45941</v>
      </c>
      <c r="K25" s="1" t="s">
        <v>30</v>
      </c>
      <c r="L25" s="8">
        <v>0</v>
      </c>
      <c r="M25" s="6"/>
      <c r="N25" s="6"/>
      <c r="O25" s="9">
        <v>6.44</v>
      </c>
    </row>
    <row r="26" spans="1:15" ht="19.5" customHeight="1">
      <c r="A26" s="1" t="s">
        <v>778</v>
      </c>
      <c r="B26" s="5">
        <v>45943</v>
      </c>
      <c r="C26" s="1" t="s">
        <v>31</v>
      </c>
      <c r="D26" s="1" t="s">
        <v>34</v>
      </c>
      <c r="E26" s="1" t="s">
        <v>25</v>
      </c>
      <c r="F26" s="1" t="s">
        <v>26</v>
      </c>
      <c r="G26" s="1" t="s">
        <v>21</v>
      </c>
      <c r="H26" s="6">
        <v>1</v>
      </c>
      <c r="I26" s="7">
        <v>1140</v>
      </c>
      <c r="J26" s="5">
        <v>45941</v>
      </c>
      <c r="K26" s="1" t="s">
        <v>30</v>
      </c>
      <c r="L26" s="8">
        <v>0</v>
      </c>
      <c r="M26" s="6"/>
      <c r="N26" s="6"/>
      <c r="O26" s="9">
        <v>489.56</v>
      </c>
    </row>
    <row r="27" spans="1:15" ht="19.5" customHeight="1">
      <c r="A27" s="1" t="s">
        <v>778</v>
      </c>
      <c r="B27" s="5">
        <v>45943</v>
      </c>
      <c r="C27" s="1" t="s">
        <v>35</v>
      </c>
      <c r="D27" s="1" t="s">
        <v>36</v>
      </c>
      <c r="E27" s="1" t="s">
        <v>25</v>
      </c>
      <c r="F27" s="1" t="s">
        <v>26</v>
      </c>
      <c r="G27" s="1" t="s">
        <v>21</v>
      </c>
      <c r="H27" s="6">
        <v>1</v>
      </c>
      <c r="I27" s="7">
        <v>1140</v>
      </c>
      <c r="J27" s="5">
        <v>45941</v>
      </c>
      <c r="K27" s="1" t="s">
        <v>30</v>
      </c>
      <c r="L27" s="8">
        <v>0.26</v>
      </c>
      <c r="M27" s="6"/>
      <c r="N27" s="6"/>
      <c r="O27" s="9">
        <v>-296.39999999999998</v>
      </c>
    </row>
    <row r="28" spans="1:15" ht="19.5" customHeight="1">
      <c r="A28" s="1" t="s">
        <v>778</v>
      </c>
      <c r="B28" s="5">
        <v>45943</v>
      </c>
      <c r="C28" s="1" t="s">
        <v>17</v>
      </c>
      <c r="D28" s="1" t="s">
        <v>37</v>
      </c>
      <c r="E28" s="1" t="s">
        <v>25</v>
      </c>
      <c r="F28" s="1" t="s">
        <v>26</v>
      </c>
      <c r="G28" s="1" t="s">
        <v>21</v>
      </c>
      <c r="H28" s="6">
        <v>1</v>
      </c>
      <c r="I28" s="7">
        <v>1140</v>
      </c>
      <c r="J28" s="5">
        <v>45941</v>
      </c>
      <c r="K28" s="1" t="s">
        <v>30</v>
      </c>
      <c r="L28" s="8">
        <v>0.26</v>
      </c>
      <c r="M28" s="6"/>
      <c r="N28" s="6"/>
      <c r="O28" s="9">
        <v>-6.85</v>
      </c>
    </row>
    <row r="29" spans="1:15" ht="19.5" customHeight="1">
      <c r="A29" s="1" t="s">
        <v>778</v>
      </c>
      <c r="B29" s="5">
        <v>45943</v>
      </c>
      <c r="C29" s="1" t="s">
        <v>17</v>
      </c>
      <c r="D29" s="1" t="s">
        <v>18</v>
      </c>
      <c r="E29" s="1" t="s">
        <v>25</v>
      </c>
      <c r="F29" s="1" t="s">
        <v>26</v>
      </c>
      <c r="G29" s="1" t="s">
        <v>21</v>
      </c>
      <c r="H29" s="6">
        <v>1</v>
      </c>
      <c r="I29" s="7">
        <v>0</v>
      </c>
      <c r="J29" s="5">
        <v>45941</v>
      </c>
      <c r="K29" s="1" t="s">
        <v>22</v>
      </c>
      <c r="L29" s="8">
        <v>0</v>
      </c>
      <c r="M29" s="6"/>
      <c r="N29" s="6"/>
      <c r="O29" s="9">
        <v>-12.24</v>
      </c>
    </row>
    <row r="30" spans="1:15" ht="19.5" customHeight="1">
      <c r="A30" s="1" t="s">
        <v>779</v>
      </c>
      <c r="B30" s="5">
        <v>45943</v>
      </c>
      <c r="C30" s="1" t="s">
        <v>28</v>
      </c>
      <c r="D30" s="1" t="s">
        <v>29</v>
      </c>
      <c r="E30" s="1" t="s">
        <v>92</v>
      </c>
      <c r="F30" s="1" t="s">
        <v>93</v>
      </c>
      <c r="G30" s="1" t="s">
        <v>21</v>
      </c>
      <c r="H30" s="6">
        <v>1</v>
      </c>
      <c r="I30" s="7">
        <v>0</v>
      </c>
      <c r="J30" s="5">
        <v>45938</v>
      </c>
      <c r="K30" s="1" t="s">
        <v>30</v>
      </c>
      <c r="L30" s="8">
        <v>0</v>
      </c>
      <c r="M30" s="6"/>
      <c r="N30" s="6"/>
      <c r="O30" s="9">
        <v>-46</v>
      </c>
    </row>
    <row r="31" spans="1:15" ht="19.5" customHeight="1">
      <c r="A31" s="1" t="s">
        <v>779</v>
      </c>
      <c r="B31" s="5">
        <v>45943</v>
      </c>
      <c r="C31" s="1" t="s">
        <v>17</v>
      </c>
      <c r="D31" s="1" t="s">
        <v>37</v>
      </c>
      <c r="E31" s="1" t="s">
        <v>92</v>
      </c>
      <c r="F31" s="1" t="s">
        <v>93</v>
      </c>
      <c r="G31" s="1" t="s">
        <v>21</v>
      </c>
      <c r="H31" s="6">
        <v>1</v>
      </c>
      <c r="I31" s="7">
        <v>0</v>
      </c>
      <c r="J31" s="5">
        <v>45938</v>
      </c>
      <c r="K31" s="1" t="s">
        <v>30</v>
      </c>
      <c r="L31" s="8">
        <v>0</v>
      </c>
      <c r="M31" s="6"/>
      <c r="N31" s="6"/>
      <c r="O31" s="9">
        <v>-4.43</v>
      </c>
    </row>
    <row r="32" spans="1:15" ht="19.5" customHeight="1">
      <c r="A32" s="1" t="s">
        <v>779</v>
      </c>
      <c r="B32" s="5">
        <v>45943</v>
      </c>
      <c r="C32" s="1" t="s">
        <v>28</v>
      </c>
      <c r="D32" s="1" t="s">
        <v>45</v>
      </c>
      <c r="E32" s="1" t="s">
        <v>92</v>
      </c>
      <c r="F32" s="1" t="s">
        <v>93</v>
      </c>
      <c r="G32" s="1" t="s">
        <v>21</v>
      </c>
      <c r="H32" s="6">
        <v>1</v>
      </c>
      <c r="I32" s="7">
        <v>0</v>
      </c>
      <c r="J32" s="5">
        <v>45938</v>
      </c>
      <c r="K32" s="1" t="s">
        <v>30</v>
      </c>
      <c r="L32" s="8">
        <v>0</v>
      </c>
      <c r="M32" s="6"/>
      <c r="N32" s="6"/>
      <c r="O32" s="9">
        <v>0</v>
      </c>
    </row>
    <row r="33" spans="1:15" ht="19.5" customHeight="1">
      <c r="A33" s="1" t="s">
        <v>779</v>
      </c>
      <c r="B33" s="5">
        <v>45943</v>
      </c>
      <c r="C33" s="1" t="s">
        <v>28</v>
      </c>
      <c r="D33" s="1" t="s">
        <v>46</v>
      </c>
      <c r="E33" s="1" t="s">
        <v>92</v>
      </c>
      <c r="F33" s="1" t="s">
        <v>93</v>
      </c>
      <c r="G33" s="1" t="s">
        <v>21</v>
      </c>
      <c r="H33" s="6">
        <v>1</v>
      </c>
      <c r="I33" s="7">
        <v>0</v>
      </c>
      <c r="J33" s="5">
        <v>45938</v>
      </c>
      <c r="K33" s="1" t="s">
        <v>30</v>
      </c>
      <c r="L33" s="8">
        <v>0</v>
      </c>
      <c r="M33" s="6"/>
      <c r="N33" s="6"/>
      <c r="O33" s="9">
        <v>-46</v>
      </c>
    </row>
    <row r="34" spans="1:15" ht="19.5" customHeight="1">
      <c r="A34" s="1" t="s">
        <v>779</v>
      </c>
      <c r="B34" s="5">
        <v>45943</v>
      </c>
      <c r="C34" s="1" t="s">
        <v>17</v>
      </c>
      <c r="D34" s="1" t="s">
        <v>47</v>
      </c>
      <c r="E34" s="1" t="s">
        <v>92</v>
      </c>
      <c r="F34" s="1" t="s">
        <v>93</v>
      </c>
      <c r="G34" s="1" t="s">
        <v>21</v>
      </c>
      <c r="H34" s="6">
        <v>1</v>
      </c>
      <c r="I34" s="7">
        <v>0</v>
      </c>
      <c r="J34" s="5">
        <v>45938</v>
      </c>
      <c r="K34" s="1" t="s">
        <v>30</v>
      </c>
      <c r="L34" s="8">
        <v>0</v>
      </c>
      <c r="M34" s="6"/>
      <c r="N34" s="6"/>
      <c r="O34" s="9">
        <v>-15</v>
      </c>
    </row>
    <row r="35" spans="1:15" ht="19.5" customHeight="1">
      <c r="A35" s="1" t="s">
        <v>780</v>
      </c>
      <c r="B35" s="5">
        <v>45943</v>
      </c>
      <c r="C35" s="1" t="s">
        <v>28</v>
      </c>
      <c r="D35" s="1" t="s">
        <v>29</v>
      </c>
      <c r="E35" s="1" t="s">
        <v>66</v>
      </c>
      <c r="F35" s="1" t="s">
        <v>67</v>
      </c>
      <c r="G35" s="1" t="s">
        <v>41</v>
      </c>
      <c r="H35" s="6">
        <v>1</v>
      </c>
      <c r="I35" s="7">
        <v>3690</v>
      </c>
      <c r="J35" s="5">
        <v>45940</v>
      </c>
      <c r="K35" s="1" t="s">
        <v>30</v>
      </c>
      <c r="L35" s="8">
        <v>0.24</v>
      </c>
      <c r="M35" s="6"/>
      <c r="N35" s="6"/>
      <c r="O35" s="9">
        <v>-56</v>
      </c>
    </row>
    <row r="36" spans="1:15" ht="19.5" customHeight="1">
      <c r="A36" s="1" t="s">
        <v>780</v>
      </c>
      <c r="B36" s="5">
        <v>45943</v>
      </c>
      <c r="C36" s="1" t="s">
        <v>31</v>
      </c>
      <c r="D36" s="1" t="s">
        <v>32</v>
      </c>
      <c r="E36" s="1" t="s">
        <v>66</v>
      </c>
      <c r="F36" s="1" t="s">
        <v>67</v>
      </c>
      <c r="G36" s="1" t="s">
        <v>41</v>
      </c>
      <c r="H36" s="6">
        <v>1</v>
      </c>
      <c r="I36" s="7">
        <v>3690</v>
      </c>
      <c r="J36" s="5">
        <v>45940</v>
      </c>
      <c r="K36" s="1" t="s">
        <v>30</v>
      </c>
      <c r="L36" s="8">
        <v>0</v>
      </c>
      <c r="M36" s="6"/>
      <c r="N36" s="6"/>
      <c r="O36" s="9">
        <v>2490</v>
      </c>
    </row>
    <row r="37" spans="1:15" ht="19.5" customHeight="1">
      <c r="A37" s="1" t="s">
        <v>780</v>
      </c>
      <c r="B37" s="5">
        <v>45943</v>
      </c>
      <c r="C37" s="1" t="s">
        <v>31</v>
      </c>
      <c r="D37" s="1" t="s">
        <v>33</v>
      </c>
      <c r="E37" s="1" t="s">
        <v>66</v>
      </c>
      <c r="F37" s="1" t="s">
        <v>67</v>
      </c>
      <c r="G37" s="1" t="s">
        <v>41</v>
      </c>
      <c r="H37" s="6">
        <v>1</v>
      </c>
      <c r="I37" s="7">
        <v>3690</v>
      </c>
      <c r="J37" s="5">
        <v>45940</v>
      </c>
      <c r="K37" s="1" t="s">
        <v>30</v>
      </c>
      <c r="L37" s="8">
        <v>0</v>
      </c>
      <c r="M37" s="6"/>
      <c r="N37" s="6"/>
      <c r="O37" s="9">
        <v>0</v>
      </c>
    </row>
    <row r="38" spans="1:15" ht="19.5" customHeight="1">
      <c r="A38" s="1" t="s">
        <v>780</v>
      </c>
      <c r="B38" s="5">
        <v>45943</v>
      </c>
      <c r="C38" s="1" t="s">
        <v>31</v>
      </c>
      <c r="D38" s="1" t="s">
        <v>34</v>
      </c>
      <c r="E38" s="1" t="s">
        <v>66</v>
      </c>
      <c r="F38" s="1" t="s">
        <v>67</v>
      </c>
      <c r="G38" s="1" t="s">
        <v>41</v>
      </c>
      <c r="H38" s="6">
        <v>1</v>
      </c>
      <c r="I38" s="7">
        <v>3690</v>
      </c>
      <c r="J38" s="5">
        <v>45940</v>
      </c>
      <c r="K38" s="1" t="s">
        <v>30</v>
      </c>
      <c r="L38" s="8">
        <v>0</v>
      </c>
      <c r="M38" s="6"/>
      <c r="N38" s="6"/>
      <c r="O38" s="9">
        <v>1200</v>
      </c>
    </row>
    <row r="39" spans="1:15" ht="19.5" customHeight="1">
      <c r="A39" s="1" t="s">
        <v>780</v>
      </c>
      <c r="B39" s="5">
        <v>45943</v>
      </c>
      <c r="C39" s="1" t="s">
        <v>35</v>
      </c>
      <c r="D39" s="1" t="s">
        <v>36</v>
      </c>
      <c r="E39" s="1" t="s">
        <v>66</v>
      </c>
      <c r="F39" s="1" t="s">
        <v>67</v>
      </c>
      <c r="G39" s="1" t="s">
        <v>41</v>
      </c>
      <c r="H39" s="6">
        <v>1</v>
      </c>
      <c r="I39" s="7">
        <v>3690</v>
      </c>
      <c r="J39" s="5">
        <v>45940</v>
      </c>
      <c r="K39" s="1" t="s">
        <v>30</v>
      </c>
      <c r="L39" s="8">
        <v>0.24</v>
      </c>
      <c r="M39" s="6"/>
      <c r="N39" s="6"/>
      <c r="O39" s="9">
        <v>-885.6</v>
      </c>
    </row>
    <row r="40" spans="1:15" ht="19.5" customHeight="1">
      <c r="A40" s="1" t="s">
        <v>780</v>
      </c>
      <c r="B40" s="5">
        <v>45943</v>
      </c>
      <c r="C40" s="1" t="s">
        <v>17</v>
      </c>
      <c r="D40" s="1" t="s">
        <v>37</v>
      </c>
      <c r="E40" s="1" t="s">
        <v>66</v>
      </c>
      <c r="F40" s="1" t="s">
        <v>67</v>
      </c>
      <c r="G40" s="1" t="s">
        <v>41</v>
      </c>
      <c r="H40" s="6">
        <v>1</v>
      </c>
      <c r="I40" s="7">
        <v>3690</v>
      </c>
      <c r="J40" s="5">
        <v>45940</v>
      </c>
      <c r="K40" s="1" t="s">
        <v>30</v>
      </c>
      <c r="L40" s="8">
        <v>0.24</v>
      </c>
      <c r="M40" s="6"/>
      <c r="N40" s="6"/>
      <c r="O40" s="9">
        <v>-12.72</v>
      </c>
    </row>
    <row r="41" spans="1:15" ht="19.5" customHeight="1">
      <c r="A41" s="1" t="s">
        <v>780</v>
      </c>
      <c r="B41" s="5">
        <v>45943</v>
      </c>
      <c r="C41" s="1" t="s">
        <v>17</v>
      </c>
      <c r="D41" s="1" t="s">
        <v>18</v>
      </c>
      <c r="E41" s="1" t="s">
        <v>66</v>
      </c>
      <c r="F41" s="1" t="s">
        <v>67</v>
      </c>
      <c r="G41" s="1" t="s">
        <v>41</v>
      </c>
      <c r="H41" s="6">
        <v>1</v>
      </c>
      <c r="I41" s="7">
        <v>0</v>
      </c>
      <c r="J41" s="5">
        <v>45940</v>
      </c>
      <c r="K41" s="1" t="s">
        <v>22</v>
      </c>
      <c r="L41" s="8">
        <v>0</v>
      </c>
      <c r="M41" s="6"/>
      <c r="N41" s="6"/>
      <c r="O41" s="9">
        <v>-18.18</v>
      </c>
    </row>
    <row r="42" spans="1:15" ht="19.5" customHeight="1">
      <c r="A42" s="1" t="s">
        <v>781</v>
      </c>
      <c r="B42" s="5">
        <v>45943</v>
      </c>
      <c r="C42" s="1" t="s">
        <v>17</v>
      </c>
      <c r="D42" s="1" t="s">
        <v>18</v>
      </c>
      <c r="E42" s="1" t="s">
        <v>62</v>
      </c>
      <c r="F42" s="1" t="s">
        <v>63</v>
      </c>
      <c r="G42" s="1" t="s">
        <v>41</v>
      </c>
      <c r="H42" s="6">
        <v>1</v>
      </c>
      <c r="I42" s="7">
        <v>0</v>
      </c>
      <c r="J42" s="5">
        <v>45943</v>
      </c>
      <c r="K42" s="1" t="s">
        <v>22</v>
      </c>
      <c r="L42" s="8">
        <v>0</v>
      </c>
      <c r="M42" s="6"/>
      <c r="N42" s="6"/>
      <c r="O42" s="9">
        <v>-13.86</v>
      </c>
    </row>
    <row r="43" spans="1:15" ht="19.5" customHeight="1">
      <c r="A43" s="1" t="s">
        <v>782</v>
      </c>
      <c r="B43" s="5">
        <v>45943</v>
      </c>
      <c r="C43" s="1" t="s">
        <v>28</v>
      </c>
      <c r="D43" s="1" t="s">
        <v>29</v>
      </c>
      <c r="E43" s="1" t="s">
        <v>25</v>
      </c>
      <c r="F43" s="1" t="s">
        <v>26</v>
      </c>
      <c r="G43" s="1" t="s">
        <v>21</v>
      </c>
      <c r="H43" s="6">
        <v>1</v>
      </c>
      <c r="I43" s="7">
        <v>1200</v>
      </c>
      <c r="J43" s="5">
        <v>45936</v>
      </c>
      <c r="K43" s="1" t="s">
        <v>30</v>
      </c>
      <c r="L43" s="8">
        <v>0.26</v>
      </c>
      <c r="M43" s="6"/>
      <c r="N43" s="6"/>
      <c r="O43" s="9">
        <v>-46</v>
      </c>
    </row>
    <row r="44" spans="1:15" ht="19.5" customHeight="1">
      <c r="A44" s="1" t="s">
        <v>782</v>
      </c>
      <c r="B44" s="5">
        <v>45943</v>
      </c>
      <c r="C44" s="1" t="s">
        <v>31</v>
      </c>
      <c r="D44" s="1" t="s">
        <v>32</v>
      </c>
      <c r="E44" s="1" t="s">
        <v>25</v>
      </c>
      <c r="F44" s="1" t="s">
        <v>26</v>
      </c>
      <c r="G44" s="1" t="s">
        <v>21</v>
      </c>
      <c r="H44" s="6">
        <v>1</v>
      </c>
      <c r="I44" s="7">
        <v>1200</v>
      </c>
      <c r="J44" s="5">
        <v>45936</v>
      </c>
      <c r="K44" s="1" t="s">
        <v>30</v>
      </c>
      <c r="L44" s="8">
        <v>0</v>
      </c>
      <c r="M44" s="6"/>
      <c r="N44" s="6"/>
      <c r="O44" s="9">
        <v>679.05</v>
      </c>
    </row>
    <row r="45" spans="1:15" ht="19.5" customHeight="1">
      <c r="A45" s="1" t="s">
        <v>782</v>
      </c>
      <c r="B45" s="5">
        <v>45943</v>
      </c>
      <c r="C45" s="1" t="s">
        <v>31</v>
      </c>
      <c r="D45" s="1" t="s">
        <v>33</v>
      </c>
      <c r="E45" s="1" t="s">
        <v>25</v>
      </c>
      <c r="F45" s="1" t="s">
        <v>26</v>
      </c>
      <c r="G45" s="1" t="s">
        <v>21</v>
      </c>
      <c r="H45" s="6">
        <v>1</v>
      </c>
      <c r="I45" s="7">
        <v>1200</v>
      </c>
      <c r="J45" s="5">
        <v>45936</v>
      </c>
      <c r="K45" s="1" t="s">
        <v>30</v>
      </c>
      <c r="L45" s="8">
        <v>0</v>
      </c>
      <c r="M45" s="6"/>
      <c r="N45" s="6"/>
      <c r="O45" s="9">
        <v>6.79</v>
      </c>
    </row>
    <row r="46" spans="1:15" ht="19.5" customHeight="1">
      <c r="A46" s="1" t="s">
        <v>782</v>
      </c>
      <c r="B46" s="5">
        <v>45943</v>
      </c>
      <c r="C46" s="1" t="s">
        <v>31</v>
      </c>
      <c r="D46" s="1" t="s">
        <v>34</v>
      </c>
      <c r="E46" s="1" t="s">
        <v>25</v>
      </c>
      <c r="F46" s="1" t="s">
        <v>26</v>
      </c>
      <c r="G46" s="1" t="s">
        <v>21</v>
      </c>
      <c r="H46" s="6">
        <v>1</v>
      </c>
      <c r="I46" s="7">
        <v>1200</v>
      </c>
      <c r="J46" s="5">
        <v>45936</v>
      </c>
      <c r="K46" s="1" t="s">
        <v>30</v>
      </c>
      <c r="L46" s="8">
        <v>0</v>
      </c>
      <c r="M46" s="6"/>
      <c r="N46" s="6"/>
      <c r="O46" s="9">
        <v>514.16</v>
      </c>
    </row>
    <row r="47" spans="1:15" ht="19.5" customHeight="1">
      <c r="A47" s="1" t="s">
        <v>782</v>
      </c>
      <c r="B47" s="5">
        <v>45943</v>
      </c>
      <c r="C47" s="1" t="s">
        <v>35</v>
      </c>
      <c r="D47" s="1" t="s">
        <v>36</v>
      </c>
      <c r="E47" s="1" t="s">
        <v>25</v>
      </c>
      <c r="F47" s="1" t="s">
        <v>26</v>
      </c>
      <c r="G47" s="1" t="s">
        <v>21</v>
      </c>
      <c r="H47" s="6">
        <v>1</v>
      </c>
      <c r="I47" s="7">
        <v>1200</v>
      </c>
      <c r="J47" s="5">
        <v>45936</v>
      </c>
      <c r="K47" s="1" t="s">
        <v>30</v>
      </c>
      <c r="L47" s="8">
        <v>0.26</v>
      </c>
      <c r="M47" s="6"/>
      <c r="N47" s="6"/>
      <c r="O47" s="9">
        <v>-312</v>
      </c>
    </row>
    <row r="48" spans="1:15" ht="19.5" customHeight="1">
      <c r="A48" s="1" t="s">
        <v>783</v>
      </c>
      <c r="B48" s="5">
        <v>45943</v>
      </c>
      <c r="C48" s="1" t="s">
        <v>74</v>
      </c>
      <c r="D48" s="1" t="s">
        <v>784</v>
      </c>
      <c r="E48" s="1" t="s">
        <v>25</v>
      </c>
      <c r="F48" s="1" t="s">
        <v>26</v>
      </c>
      <c r="G48" s="1" t="s">
        <v>21</v>
      </c>
      <c r="H48" s="6">
        <v>1</v>
      </c>
      <c r="I48" s="7">
        <v>0</v>
      </c>
      <c r="J48" s="5">
        <v>45943</v>
      </c>
      <c r="K48" s="1" t="s">
        <v>22</v>
      </c>
      <c r="L48" s="8">
        <v>0</v>
      </c>
      <c r="M48" s="6"/>
      <c r="N48" s="6"/>
      <c r="O48" s="9">
        <v>-84</v>
      </c>
    </row>
    <row r="49" spans="1:15" ht="19.5" customHeight="1">
      <c r="A49" s="1" t="s">
        <v>785</v>
      </c>
      <c r="B49" s="5">
        <v>45943</v>
      </c>
      <c r="C49" s="1" t="s">
        <v>28</v>
      </c>
      <c r="D49" s="1" t="s">
        <v>29</v>
      </c>
      <c r="E49" s="1" t="s">
        <v>19</v>
      </c>
      <c r="F49" s="1" t="s">
        <v>20</v>
      </c>
      <c r="G49" s="1" t="s">
        <v>21</v>
      </c>
      <c r="H49" s="6">
        <v>1</v>
      </c>
      <c r="I49" s="7">
        <v>0</v>
      </c>
      <c r="J49" s="5">
        <v>45934</v>
      </c>
      <c r="K49" s="1" t="s">
        <v>30</v>
      </c>
      <c r="L49" s="8">
        <v>0</v>
      </c>
      <c r="M49" s="6"/>
      <c r="N49" s="6"/>
      <c r="O49" s="9">
        <v>-46</v>
      </c>
    </row>
    <row r="50" spans="1:15" ht="19.5" customHeight="1">
      <c r="A50" s="1" t="s">
        <v>785</v>
      </c>
      <c r="B50" s="5">
        <v>45943</v>
      </c>
      <c r="C50" s="1" t="s">
        <v>17</v>
      </c>
      <c r="D50" s="1" t="s">
        <v>37</v>
      </c>
      <c r="E50" s="1" t="s">
        <v>19</v>
      </c>
      <c r="F50" s="1" t="s">
        <v>20</v>
      </c>
      <c r="G50" s="1" t="s">
        <v>21</v>
      </c>
      <c r="H50" s="6">
        <v>1</v>
      </c>
      <c r="I50" s="7">
        <v>0</v>
      </c>
      <c r="J50" s="5">
        <v>45934</v>
      </c>
      <c r="K50" s="1" t="s">
        <v>30</v>
      </c>
      <c r="L50" s="8">
        <v>0</v>
      </c>
      <c r="M50" s="6"/>
      <c r="N50" s="6"/>
      <c r="O50" s="9">
        <v>-5.63</v>
      </c>
    </row>
    <row r="51" spans="1:15" ht="19.5" customHeight="1">
      <c r="A51" s="1" t="s">
        <v>785</v>
      </c>
      <c r="B51" s="5">
        <v>45943</v>
      </c>
      <c r="C51" s="1" t="s">
        <v>28</v>
      </c>
      <c r="D51" s="1" t="s">
        <v>45</v>
      </c>
      <c r="E51" s="1" t="s">
        <v>19</v>
      </c>
      <c r="F51" s="1" t="s">
        <v>20</v>
      </c>
      <c r="G51" s="1" t="s">
        <v>21</v>
      </c>
      <c r="H51" s="6">
        <v>1</v>
      </c>
      <c r="I51" s="7">
        <v>0</v>
      </c>
      <c r="J51" s="5">
        <v>45934</v>
      </c>
      <c r="K51" s="1" t="s">
        <v>30</v>
      </c>
      <c r="L51" s="8">
        <v>0</v>
      </c>
      <c r="M51" s="6"/>
      <c r="N51" s="6"/>
      <c r="O51" s="9">
        <v>0</v>
      </c>
    </row>
    <row r="52" spans="1:15" ht="19.5" customHeight="1">
      <c r="A52" s="1" t="s">
        <v>785</v>
      </c>
      <c r="B52" s="5">
        <v>45943</v>
      </c>
      <c r="C52" s="1" t="s">
        <v>28</v>
      </c>
      <c r="D52" s="1" t="s">
        <v>46</v>
      </c>
      <c r="E52" s="1" t="s">
        <v>19</v>
      </c>
      <c r="F52" s="1" t="s">
        <v>20</v>
      </c>
      <c r="G52" s="1" t="s">
        <v>21</v>
      </c>
      <c r="H52" s="6">
        <v>1</v>
      </c>
      <c r="I52" s="7">
        <v>0</v>
      </c>
      <c r="J52" s="5">
        <v>45934</v>
      </c>
      <c r="K52" s="1" t="s">
        <v>30</v>
      </c>
      <c r="L52" s="8">
        <v>0</v>
      </c>
      <c r="M52" s="6"/>
      <c r="N52" s="6"/>
      <c r="O52" s="9">
        <v>-46</v>
      </c>
    </row>
    <row r="53" spans="1:15" ht="19.5" customHeight="1">
      <c r="A53" s="1" t="s">
        <v>785</v>
      </c>
      <c r="B53" s="5">
        <v>45943</v>
      </c>
      <c r="C53" s="1" t="s">
        <v>17</v>
      </c>
      <c r="D53" s="1" t="s">
        <v>47</v>
      </c>
      <c r="E53" s="1" t="s">
        <v>19</v>
      </c>
      <c r="F53" s="1" t="s">
        <v>20</v>
      </c>
      <c r="G53" s="1" t="s">
        <v>21</v>
      </c>
      <c r="H53" s="6">
        <v>1</v>
      </c>
      <c r="I53" s="7">
        <v>0</v>
      </c>
      <c r="J53" s="5">
        <v>45934</v>
      </c>
      <c r="K53" s="1" t="s">
        <v>30</v>
      </c>
      <c r="L53" s="8">
        <v>0</v>
      </c>
      <c r="M53" s="6"/>
      <c r="N53" s="6"/>
      <c r="O53" s="9">
        <v>-15</v>
      </c>
    </row>
    <row r="54" spans="1:15" ht="19.5" customHeight="1">
      <c r="A54" s="1" t="s">
        <v>125</v>
      </c>
      <c r="B54" s="5">
        <v>45943</v>
      </c>
      <c r="C54" s="1" t="s">
        <v>28</v>
      </c>
      <c r="D54" s="1" t="s">
        <v>60</v>
      </c>
      <c r="E54" s="1" t="s">
        <v>25</v>
      </c>
      <c r="F54" s="1" t="s">
        <v>26</v>
      </c>
      <c r="G54" s="1" t="s">
        <v>21</v>
      </c>
      <c r="H54" s="6">
        <v>1</v>
      </c>
      <c r="I54" s="7">
        <v>0</v>
      </c>
      <c r="J54" s="5">
        <v>45936</v>
      </c>
      <c r="K54" s="1" t="s">
        <v>30</v>
      </c>
      <c r="L54" s="8">
        <v>0</v>
      </c>
      <c r="M54" s="6"/>
      <c r="N54" s="6"/>
      <c r="O54" s="9">
        <v>0</v>
      </c>
    </row>
    <row r="55" spans="1:15" ht="19.5" customHeight="1">
      <c r="A55" s="1" t="s">
        <v>125</v>
      </c>
      <c r="B55" s="5">
        <v>45943</v>
      </c>
      <c r="C55" s="1" t="s">
        <v>28</v>
      </c>
      <c r="D55" s="1" t="s">
        <v>46</v>
      </c>
      <c r="E55" s="1" t="s">
        <v>25</v>
      </c>
      <c r="F55" s="1" t="s">
        <v>26</v>
      </c>
      <c r="G55" s="1" t="s">
        <v>21</v>
      </c>
      <c r="H55" s="6">
        <v>1</v>
      </c>
      <c r="I55" s="7">
        <v>0</v>
      </c>
      <c r="J55" s="5">
        <v>45936</v>
      </c>
      <c r="K55" s="1" t="s">
        <v>30</v>
      </c>
      <c r="L55" s="8">
        <v>0</v>
      </c>
      <c r="M55" s="6"/>
      <c r="N55" s="6"/>
      <c r="O55" s="9">
        <v>-46</v>
      </c>
    </row>
    <row r="56" spans="1:15" ht="19.5" customHeight="1">
      <c r="A56" s="1" t="s">
        <v>125</v>
      </c>
      <c r="B56" s="5">
        <v>45943</v>
      </c>
      <c r="C56" s="1" t="s">
        <v>17</v>
      </c>
      <c r="D56" s="1" t="s">
        <v>47</v>
      </c>
      <c r="E56" s="1" t="s">
        <v>25</v>
      </c>
      <c r="F56" s="1" t="s">
        <v>26</v>
      </c>
      <c r="G56" s="1" t="s">
        <v>21</v>
      </c>
      <c r="H56" s="6">
        <v>1</v>
      </c>
      <c r="I56" s="7">
        <v>0</v>
      </c>
      <c r="J56" s="5">
        <v>45936</v>
      </c>
      <c r="K56" s="1" t="s">
        <v>30</v>
      </c>
      <c r="L56" s="8">
        <v>0</v>
      </c>
      <c r="M56" s="6"/>
      <c r="N56" s="6"/>
      <c r="O56" s="9">
        <v>-15</v>
      </c>
    </row>
    <row r="57" spans="1:15" ht="19.5" customHeight="1">
      <c r="A57" s="1" t="s">
        <v>786</v>
      </c>
      <c r="B57" s="5">
        <v>45943</v>
      </c>
      <c r="C57" s="1" t="s">
        <v>28</v>
      </c>
      <c r="D57" s="1" t="s">
        <v>29</v>
      </c>
      <c r="E57" s="1" t="s">
        <v>25</v>
      </c>
      <c r="F57" s="1" t="s">
        <v>26</v>
      </c>
      <c r="G57" s="1" t="s">
        <v>21</v>
      </c>
      <c r="H57" s="6">
        <v>1</v>
      </c>
      <c r="I57" s="7">
        <v>1140</v>
      </c>
      <c r="J57" s="5">
        <v>45942</v>
      </c>
      <c r="K57" s="1" t="s">
        <v>30</v>
      </c>
      <c r="L57" s="8">
        <v>0.26</v>
      </c>
      <c r="M57" s="6"/>
      <c r="N57" s="6"/>
      <c r="O57" s="9">
        <v>-46</v>
      </c>
    </row>
    <row r="58" spans="1:15" ht="19.5" customHeight="1">
      <c r="A58" s="1" t="s">
        <v>786</v>
      </c>
      <c r="B58" s="5">
        <v>45943</v>
      </c>
      <c r="C58" s="1" t="s">
        <v>31</v>
      </c>
      <c r="D58" s="1" t="s">
        <v>32</v>
      </c>
      <c r="E58" s="1" t="s">
        <v>25</v>
      </c>
      <c r="F58" s="1" t="s">
        <v>26</v>
      </c>
      <c r="G58" s="1" t="s">
        <v>21</v>
      </c>
      <c r="H58" s="6">
        <v>1</v>
      </c>
      <c r="I58" s="7">
        <v>1140</v>
      </c>
      <c r="J58" s="5">
        <v>45942</v>
      </c>
      <c r="K58" s="1" t="s">
        <v>30</v>
      </c>
      <c r="L58" s="8">
        <v>0</v>
      </c>
      <c r="M58" s="6"/>
      <c r="N58" s="6"/>
      <c r="O58" s="9">
        <v>658</v>
      </c>
    </row>
    <row r="59" spans="1:15" ht="19.5" customHeight="1">
      <c r="A59" s="1" t="s">
        <v>786</v>
      </c>
      <c r="B59" s="5">
        <v>45943</v>
      </c>
      <c r="C59" s="1" t="s">
        <v>31</v>
      </c>
      <c r="D59" s="1" t="s">
        <v>33</v>
      </c>
      <c r="E59" s="1" t="s">
        <v>25</v>
      </c>
      <c r="F59" s="1" t="s">
        <v>26</v>
      </c>
      <c r="G59" s="1" t="s">
        <v>21</v>
      </c>
      <c r="H59" s="6">
        <v>1</v>
      </c>
      <c r="I59" s="7">
        <v>1140</v>
      </c>
      <c r="J59" s="5">
        <v>45942</v>
      </c>
      <c r="K59" s="1" t="s">
        <v>30</v>
      </c>
      <c r="L59" s="8">
        <v>0</v>
      </c>
      <c r="M59" s="6"/>
      <c r="N59" s="6"/>
      <c r="O59" s="9">
        <v>6.58</v>
      </c>
    </row>
    <row r="60" spans="1:15" ht="19.5" customHeight="1">
      <c r="A60" s="1" t="s">
        <v>786</v>
      </c>
      <c r="B60" s="5">
        <v>45943</v>
      </c>
      <c r="C60" s="1" t="s">
        <v>31</v>
      </c>
      <c r="D60" s="1" t="s">
        <v>34</v>
      </c>
      <c r="E60" s="1" t="s">
        <v>25</v>
      </c>
      <c r="F60" s="1" t="s">
        <v>26</v>
      </c>
      <c r="G60" s="1" t="s">
        <v>21</v>
      </c>
      <c r="H60" s="6">
        <v>1</v>
      </c>
      <c r="I60" s="7">
        <v>1140</v>
      </c>
      <c r="J60" s="5">
        <v>45942</v>
      </c>
      <c r="K60" s="1" t="s">
        <v>30</v>
      </c>
      <c r="L60" s="8">
        <v>0</v>
      </c>
      <c r="M60" s="6"/>
      <c r="N60" s="6"/>
      <c r="O60" s="9">
        <v>475.42</v>
      </c>
    </row>
    <row r="61" spans="1:15" ht="19.5" customHeight="1">
      <c r="A61" s="1" t="s">
        <v>786</v>
      </c>
      <c r="B61" s="5">
        <v>45943</v>
      </c>
      <c r="C61" s="1" t="s">
        <v>35</v>
      </c>
      <c r="D61" s="1" t="s">
        <v>36</v>
      </c>
      <c r="E61" s="1" t="s">
        <v>25</v>
      </c>
      <c r="F61" s="1" t="s">
        <v>26</v>
      </c>
      <c r="G61" s="1" t="s">
        <v>21</v>
      </c>
      <c r="H61" s="6">
        <v>1</v>
      </c>
      <c r="I61" s="7">
        <v>1140</v>
      </c>
      <c r="J61" s="5">
        <v>45942</v>
      </c>
      <c r="K61" s="1" t="s">
        <v>30</v>
      </c>
      <c r="L61" s="8">
        <v>0.26</v>
      </c>
      <c r="M61" s="6"/>
      <c r="N61" s="6"/>
      <c r="O61" s="9">
        <v>-296.39999999999998</v>
      </c>
    </row>
    <row r="62" spans="1:15" ht="19.5" customHeight="1">
      <c r="A62" s="1" t="s">
        <v>786</v>
      </c>
      <c r="B62" s="5">
        <v>45943</v>
      </c>
      <c r="C62" s="1" t="s">
        <v>17</v>
      </c>
      <c r="D62" s="1" t="s">
        <v>37</v>
      </c>
      <c r="E62" s="1" t="s">
        <v>25</v>
      </c>
      <c r="F62" s="1" t="s">
        <v>26</v>
      </c>
      <c r="G62" s="1" t="s">
        <v>21</v>
      </c>
      <c r="H62" s="6">
        <v>1</v>
      </c>
      <c r="I62" s="7">
        <v>1140</v>
      </c>
      <c r="J62" s="5">
        <v>45942</v>
      </c>
      <c r="K62" s="1" t="s">
        <v>30</v>
      </c>
      <c r="L62" s="8">
        <v>0.26</v>
      </c>
      <c r="M62" s="6"/>
      <c r="N62" s="6"/>
      <c r="O62" s="9">
        <v>-5.86</v>
      </c>
    </row>
    <row r="63" spans="1:15" ht="19.5" customHeight="1">
      <c r="A63" s="1" t="s">
        <v>787</v>
      </c>
      <c r="B63" s="5">
        <v>45943</v>
      </c>
      <c r="C63" s="1" t="s">
        <v>28</v>
      </c>
      <c r="D63" s="1" t="s">
        <v>29</v>
      </c>
      <c r="E63" s="1" t="s">
        <v>25</v>
      </c>
      <c r="F63" s="1" t="s">
        <v>26</v>
      </c>
      <c r="G63" s="1" t="s">
        <v>21</v>
      </c>
      <c r="H63" s="6">
        <v>1</v>
      </c>
      <c r="I63" s="7">
        <v>0</v>
      </c>
      <c r="J63" s="5">
        <v>45925</v>
      </c>
      <c r="K63" s="1" t="s">
        <v>30</v>
      </c>
      <c r="L63" s="8">
        <v>0</v>
      </c>
      <c r="M63" s="6"/>
      <c r="N63" s="6"/>
      <c r="O63" s="9">
        <v>-46</v>
      </c>
    </row>
    <row r="64" spans="1:15" ht="19.5" customHeight="1">
      <c r="A64" s="1" t="s">
        <v>787</v>
      </c>
      <c r="B64" s="5">
        <v>45943</v>
      </c>
      <c r="C64" s="1" t="s">
        <v>17</v>
      </c>
      <c r="D64" s="1" t="s">
        <v>37</v>
      </c>
      <c r="E64" s="1" t="s">
        <v>25</v>
      </c>
      <c r="F64" s="1" t="s">
        <v>26</v>
      </c>
      <c r="G64" s="1" t="s">
        <v>21</v>
      </c>
      <c r="H64" s="6">
        <v>1</v>
      </c>
      <c r="I64" s="7">
        <v>0</v>
      </c>
      <c r="J64" s="5">
        <v>45925</v>
      </c>
      <c r="K64" s="1" t="s">
        <v>30</v>
      </c>
      <c r="L64" s="8">
        <v>0</v>
      </c>
      <c r="M64" s="6"/>
      <c r="N64" s="6"/>
      <c r="O64" s="9">
        <v>-7.73</v>
      </c>
    </row>
    <row r="65" spans="1:15" ht="19.5" customHeight="1">
      <c r="A65" s="1" t="s">
        <v>787</v>
      </c>
      <c r="B65" s="5">
        <v>45943</v>
      </c>
      <c r="C65" s="1" t="s">
        <v>28</v>
      </c>
      <c r="D65" s="1" t="s">
        <v>45</v>
      </c>
      <c r="E65" s="1" t="s">
        <v>25</v>
      </c>
      <c r="F65" s="1" t="s">
        <v>26</v>
      </c>
      <c r="G65" s="1" t="s">
        <v>21</v>
      </c>
      <c r="H65" s="6">
        <v>1</v>
      </c>
      <c r="I65" s="7">
        <v>0</v>
      </c>
      <c r="J65" s="5">
        <v>45925</v>
      </c>
      <c r="K65" s="1" t="s">
        <v>30</v>
      </c>
      <c r="L65" s="8">
        <v>0</v>
      </c>
      <c r="M65" s="6"/>
      <c r="N65" s="6"/>
      <c r="O65" s="9">
        <v>0</v>
      </c>
    </row>
    <row r="66" spans="1:15" ht="19.5" customHeight="1">
      <c r="A66" s="1" t="s">
        <v>787</v>
      </c>
      <c r="B66" s="5">
        <v>45943</v>
      </c>
      <c r="C66" s="1" t="s">
        <v>28</v>
      </c>
      <c r="D66" s="1" t="s">
        <v>46</v>
      </c>
      <c r="E66" s="1" t="s">
        <v>25</v>
      </c>
      <c r="F66" s="1" t="s">
        <v>26</v>
      </c>
      <c r="G66" s="1" t="s">
        <v>21</v>
      </c>
      <c r="H66" s="6">
        <v>1</v>
      </c>
      <c r="I66" s="7">
        <v>0</v>
      </c>
      <c r="J66" s="5">
        <v>45925</v>
      </c>
      <c r="K66" s="1" t="s">
        <v>30</v>
      </c>
      <c r="L66" s="8">
        <v>0</v>
      </c>
      <c r="M66" s="6"/>
      <c r="N66" s="6"/>
      <c r="O66" s="9">
        <v>-46</v>
      </c>
    </row>
    <row r="67" spans="1:15" ht="19.5" customHeight="1">
      <c r="A67" s="1" t="s">
        <v>787</v>
      </c>
      <c r="B67" s="5">
        <v>45943</v>
      </c>
      <c r="C67" s="1" t="s">
        <v>17</v>
      </c>
      <c r="D67" s="1" t="s">
        <v>47</v>
      </c>
      <c r="E67" s="1" t="s">
        <v>25</v>
      </c>
      <c r="F67" s="1" t="s">
        <v>26</v>
      </c>
      <c r="G67" s="1" t="s">
        <v>21</v>
      </c>
      <c r="H67" s="6">
        <v>1</v>
      </c>
      <c r="I67" s="7">
        <v>0</v>
      </c>
      <c r="J67" s="5">
        <v>45925</v>
      </c>
      <c r="K67" s="1" t="s">
        <v>30</v>
      </c>
      <c r="L67" s="8">
        <v>0</v>
      </c>
      <c r="M67" s="6"/>
      <c r="N67" s="6"/>
      <c r="O67" s="9">
        <v>-15</v>
      </c>
    </row>
    <row r="68" spans="1:15" ht="19.5" customHeight="1">
      <c r="A68" s="1" t="s">
        <v>22</v>
      </c>
      <c r="B68" s="5">
        <v>45943</v>
      </c>
      <c r="C68" s="1" t="s">
        <v>77</v>
      </c>
      <c r="D68" s="1" t="s">
        <v>78</v>
      </c>
      <c r="E68" s="1" t="s">
        <v>22</v>
      </c>
      <c r="F68" s="1" t="s">
        <v>22</v>
      </c>
      <c r="G68" s="1" t="s">
        <v>788</v>
      </c>
      <c r="H68" s="6">
        <v>0</v>
      </c>
      <c r="I68" s="7">
        <v>0</v>
      </c>
      <c r="J68" s="5">
        <v>45943</v>
      </c>
      <c r="K68" s="1" t="s">
        <v>22</v>
      </c>
      <c r="L68" s="8">
        <v>0</v>
      </c>
      <c r="M68" s="6"/>
      <c r="N68" s="6"/>
      <c r="O68" s="9">
        <v>-200</v>
      </c>
    </row>
    <row r="69" spans="1:15" ht="19.5" customHeight="1">
      <c r="A69" s="1" t="s">
        <v>118</v>
      </c>
      <c r="B69" s="5">
        <v>45943</v>
      </c>
      <c r="C69" s="1" t="s">
        <v>28</v>
      </c>
      <c r="D69" s="1" t="s">
        <v>60</v>
      </c>
      <c r="E69" s="1" t="s">
        <v>43</v>
      </c>
      <c r="F69" s="1" t="s">
        <v>44</v>
      </c>
      <c r="G69" s="1" t="s">
        <v>41</v>
      </c>
      <c r="H69" s="6">
        <v>1</v>
      </c>
      <c r="I69" s="7">
        <v>0</v>
      </c>
      <c r="J69" s="5">
        <v>45937</v>
      </c>
      <c r="K69" s="1" t="s">
        <v>30</v>
      </c>
      <c r="L69" s="8">
        <v>0</v>
      </c>
      <c r="M69" s="6"/>
      <c r="N69" s="6"/>
      <c r="O69" s="9">
        <v>0</v>
      </c>
    </row>
    <row r="70" spans="1:15" ht="19.5" customHeight="1">
      <c r="A70" s="1" t="s">
        <v>118</v>
      </c>
      <c r="B70" s="5">
        <v>45943</v>
      </c>
      <c r="C70" s="1" t="s">
        <v>28</v>
      </c>
      <c r="D70" s="1" t="s">
        <v>46</v>
      </c>
      <c r="E70" s="1" t="s">
        <v>43</v>
      </c>
      <c r="F70" s="1" t="s">
        <v>44</v>
      </c>
      <c r="G70" s="1" t="s">
        <v>41</v>
      </c>
      <c r="H70" s="6">
        <v>1</v>
      </c>
      <c r="I70" s="7">
        <v>0</v>
      </c>
      <c r="J70" s="5">
        <v>45937</v>
      </c>
      <c r="K70" s="1" t="s">
        <v>30</v>
      </c>
      <c r="L70" s="8">
        <v>0</v>
      </c>
      <c r="M70" s="6"/>
      <c r="N70" s="6"/>
      <c r="O70" s="9">
        <v>-56</v>
      </c>
    </row>
    <row r="71" spans="1:15" ht="19.5" customHeight="1">
      <c r="A71" s="1" t="s">
        <v>118</v>
      </c>
      <c r="B71" s="5">
        <v>45943</v>
      </c>
      <c r="C71" s="1" t="s">
        <v>17</v>
      </c>
      <c r="D71" s="1" t="s">
        <v>47</v>
      </c>
      <c r="E71" s="1" t="s">
        <v>43</v>
      </c>
      <c r="F71" s="1" t="s">
        <v>44</v>
      </c>
      <c r="G71" s="1" t="s">
        <v>41</v>
      </c>
      <c r="H71" s="6">
        <v>1</v>
      </c>
      <c r="I71" s="7">
        <v>0</v>
      </c>
      <c r="J71" s="5">
        <v>45937</v>
      </c>
      <c r="K71" s="1" t="s">
        <v>30</v>
      </c>
      <c r="L71" s="8">
        <v>0</v>
      </c>
      <c r="M71" s="6"/>
      <c r="N71" s="6"/>
      <c r="O71" s="9">
        <v>-15</v>
      </c>
    </row>
    <row r="72" spans="1:15" ht="19.5" customHeight="1">
      <c r="A72" s="1" t="s">
        <v>22</v>
      </c>
      <c r="B72" s="5">
        <v>45943</v>
      </c>
      <c r="C72" s="1" t="s">
        <v>77</v>
      </c>
      <c r="D72" s="1" t="s">
        <v>80</v>
      </c>
      <c r="E72" s="1" t="s">
        <v>22</v>
      </c>
      <c r="F72" s="1" t="s">
        <v>22</v>
      </c>
      <c r="G72" s="1" t="s">
        <v>22</v>
      </c>
      <c r="H72" s="6">
        <v>0</v>
      </c>
      <c r="I72" s="7">
        <v>0</v>
      </c>
      <c r="J72" s="5">
        <v>45943</v>
      </c>
      <c r="K72" s="1" t="s">
        <v>22</v>
      </c>
      <c r="L72" s="8">
        <v>0</v>
      </c>
      <c r="M72" s="6"/>
      <c r="N72" s="6"/>
      <c r="O72" s="9">
        <v>-216</v>
      </c>
    </row>
    <row r="73" spans="1:15" ht="19.5" customHeight="1">
      <c r="A73" s="1" t="s">
        <v>83</v>
      </c>
      <c r="B73" s="5">
        <v>45943</v>
      </c>
      <c r="C73" s="1" t="s">
        <v>77</v>
      </c>
      <c r="D73" s="1" t="s">
        <v>84</v>
      </c>
      <c r="E73" s="1" t="s">
        <v>22</v>
      </c>
      <c r="F73" s="1" t="s">
        <v>22</v>
      </c>
      <c r="G73" s="1" t="s">
        <v>22</v>
      </c>
      <c r="H73" s="6">
        <v>0</v>
      </c>
      <c r="I73" s="7">
        <v>0</v>
      </c>
      <c r="J73" s="5">
        <v>45943</v>
      </c>
      <c r="K73" s="1" t="s">
        <v>22</v>
      </c>
      <c r="L73" s="8">
        <v>0</v>
      </c>
      <c r="M73" s="6"/>
      <c r="N73" s="6"/>
      <c r="O73" s="9">
        <v>-639.9</v>
      </c>
    </row>
    <row r="74" spans="1:15" ht="19.5" customHeight="1">
      <c r="A74" s="1" t="s">
        <v>81</v>
      </c>
      <c r="B74" s="5">
        <v>45943</v>
      </c>
      <c r="C74" s="1" t="s">
        <v>77</v>
      </c>
      <c r="D74" s="1" t="s">
        <v>82</v>
      </c>
      <c r="E74" s="1" t="s">
        <v>22</v>
      </c>
      <c r="F74" s="1" t="s">
        <v>22</v>
      </c>
      <c r="G74" s="1" t="s">
        <v>22</v>
      </c>
      <c r="H74" s="6">
        <v>0</v>
      </c>
      <c r="I74" s="7">
        <v>0</v>
      </c>
      <c r="J74" s="5">
        <v>45943</v>
      </c>
      <c r="K74" s="1" t="s">
        <v>22</v>
      </c>
      <c r="L74" s="8">
        <v>0</v>
      </c>
      <c r="M74" s="6"/>
      <c r="N74" s="6"/>
      <c r="O74" s="9">
        <v>-1224.0999999999999</v>
      </c>
    </row>
    <row r="75" spans="1:15" ht="19.5" customHeight="1">
      <c r="A75" s="1" t="s">
        <v>86</v>
      </c>
      <c r="B75" s="5">
        <v>45943</v>
      </c>
      <c r="C75" s="1" t="s">
        <v>77</v>
      </c>
      <c r="D75" s="1" t="s">
        <v>82</v>
      </c>
      <c r="E75" s="1" t="s">
        <v>22</v>
      </c>
      <c r="F75" s="1" t="s">
        <v>22</v>
      </c>
      <c r="G75" s="1" t="s">
        <v>22</v>
      </c>
      <c r="H75" s="6">
        <v>0</v>
      </c>
      <c r="I75" s="7">
        <v>0</v>
      </c>
      <c r="J75" s="5">
        <v>45943</v>
      </c>
      <c r="K75" s="1" t="s">
        <v>22</v>
      </c>
      <c r="L75" s="8">
        <v>0</v>
      </c>
      <c r="M75" s="6"/>
      <c r="N75" s="6"/>
      <c r="O75" s="9">
        <v>-1550.74</v>
      </c>
    </row>
    <row r="76" spans="1:15" ht="19.5" customHeight="1">
      <c r="A76" s="1" t="s">
        <v>145</v>
      </c>
      <c r="B76" s="5">
        <v>45943</v>
      </c>
      <c r="C76" s="1" t="s">
        <v>77</v>
      </c>
      <c r="D76" s="1" t="s">
        <v>82</v>
      </c>
      <c r="E76" s="1" t="s">
        <v>22</v>
      </c>
      <c r="F76" s="1" t="s">
        <v>22</v>
      </c>
      <c r="G76" s="1" t="s">
        <v>22</v>
      </c>
      <c r="H76" s="6">
        <v>0</v>
      </c>
      <c r="I76" s="7">
        <v>0</v>
      </c>
      <c r="J76" s="5">
        <v>45943</v>
      </c>
      <c r="K76" s="1" t="s">
        <v>22</v>
      </c>
      <c r="L76" s="8">
        <v>0</v>
      </c>
      <c r="M76" s="6"/>
      <c r="N76" s="6"/>
      <c r="O76" s="9">
        <v>-424.3</v>
      </c>
    </row>
    <row r="77" spans="1:15" ht="19.5" customHeight="1">
      <c r="A77" s="1" t="s">
        <v>789</v>
      </c>
      <c r="B77" s="5">
        <v>45944</v>
      </c>
      <c r="C77" s="1" t="s">
        <v>28</v>
      </c>
      <c r="D77" s="1" t="s">
        <v>45</v>
      </c>
      <c r="E77" s="1" t="s">
        <v>241</v>
      </c>
      <c r="F77" s="1" t="s">
        <v>790</v>
      </c>
      <c r="G77" s="1" t="s">
        <v>41</v>
      </c>
      <c r="H77" s="6">
        <v>1</v>
      </c>
      <c r="I77" s="7">
        <v>0</v>
      </c>
      <c r="J77" s="5">
        <v>45940</v>
      </c>
      <c r="K77" s="1" t="s">
        <v>30</v>
      </c>
      <c r="L77" s="8">
        <v>0</v>
      </c>
      <c r="M77" s="6"/>
      <c r="N77" s="6"/>
      <c r="O77" s="9">
        <v>0</v>
      </c>
    </row>
    <row r="78" spans="1:15" ht="19.5" customHeight="1">
      <c r="A78" s="1" t="s">
        <v>789</v>
      </c>
      <c r="B78" s="5">
        <v>45944</v>
      </c>
      <c r="C78" s="1" t="s">
        <v>28</v>
      </c>
      <c r="D78" s="1" t="s">
        <v>46</v>
      </c>
      <c r="E78" s="1" t="s">
        <v>241</v>
      </c>
      <c r="F78" s="1" t="s">
        <v>790</v>
      </c>
      <c r="G78" s="1" t="s">
        <v>41</v>
      </c>
      <c r="H78" s="6">
        <v>1</v>
      </c>
      <c r="I78" s="7">
        <v>0</v>
      </c>
      <c r="J78" s="5">
        <v>45940</v>
      </c>
      <c r="K78" s="1" t="s">
        <v>30</v>
      </c>
      <c r="L78" s="8">
        <v>0</v>
      </c>
      <c r="M78" s="6"/>
      <c r="N78" s="6"/>
      <c r="O78" s="9">
        <v>-56</v>
      </c>
    </row>
    <row r="79" spans="1:15" ht="19.5" customHeight="1">
      <c r="A79" s="1" t="s">
        <v>789</v>
      </c>
      <c r="B79" s="5">
        <v>45944</v>
      </c>
      <c r="C79" s="1" t="s">
        <v>17</v>
      </c>
      <c r="D79" s="1" t="s">
        <v>47</v>
      </c>
      <c r="E79" s="1" t="s">
        <v>241</v>
      </c>
      <c r="F79" s="1" t="s">
        <v>790</v>
      </c>
      <c r="G79" s="1" t="s">
        <v>41</v>
      </c>
      <c r="H79" s="6">
        <v>1</v>
      </c>
      <c r="I79" s="7">
        <v>0</v>
      </c>
      <c r="J79" s="5">
        <v>45940</v>
      </c>
      <c r="K79" s="1" t="s">
        <v>30</v>
      </c>
      <c r="L79" s="8">
        <v>0</v>
      </c>
      <c r="M79" s="6"/>
      <c r="N79" s="6"/>
      <c r="O79" s="9">
        <v>-15</v>
      </c>
    </row>
    <row r="80" spans="1:15" ht="19.5" customHeight="1">
      <c r="A80" s="1" t="s">
        <v>791</v>
      </c>
      <c r="B80" s="5">
        <v>45944</v>
      </c>
      <c r="C80" s="1" t="s">
        <v>28</v>
      </c>
      <c r="D80" s="1" t="s">
        <v>29</v>
      </c>
      <c r="E80" s="1" t="s">
        <v>237</v>
      </c>
      <c r="F80" s="1" t="s">
        <v>792</v>
      </c>
      <c r="G80" s="1" t="s">
        <v>41</v>
      </c>
      <c r="H80" s="6">
        <v>1</v>
      </c>
      <c r="I80" s="7">
        <v>0</v>
      </c>
      <c r="J80" s="5">
        <v>45940</v>
      </c>
      <c r="K80" s="1" t="s">
        <v>30</v>
      </c>
      <c r="L80" s="8">
        <v>0</v>
      </c>
      <c r="M80" s="6"/>
      <c r="N80" s="6"/>
      <c r="O80" s="9">
        <v>-56</v>
      </c>
    </row>
    <row r="81" spans="1:15" ht="19.5" customHeight="1">
      <c r="A81" s="1" t="s">
        <v>791</v>
      </c>
      <c r="B81" s="5">
        <v>45944</v>
      </c>
      <c r="C81" s="1" t="s">
        <v>17</v>
      </c>
      <c r="D81" s="1" t="s">
        <v>37</v>
      </c>
      <c r="E81" s="1" t="s">
        <v>237</v>
      </c>
      <c r="F81" s="1" t="s">
        <v>792</v>
      </c>
      <c r="G81" s="1" t="s">
        <v>41</v>
      </c>
      <c r="H81" s="6">
        <v>1</v>
      </c>
      <c r="I81" s="7">
        <v>0</v>
      </c>
      <c r="J81" s="5">
        <v>45940</v>
      </c>
      <c r="K81" s="1" t="s">
        <v>30</v>
      </c>
      <c r="L81" s="8">
        <v>0</v>
      </c>
      <c r="M81" s="6"/>
      <c r="N81" s="6"/>
      <c r="O81" s="9">
        <v>-12.46</v>
      </c>
    </row>
    <row r="82" spans="1:15" ht="19.5" customHeight="1">
      <c r="A82" s="1" t="s">
        <v>789</v>
      </c>
      <c r="B82" s="5">
        <v>45944</v>
      </c>
      <c r="C82" s="1" t="s">
        <v>28</v>
      </c>
      <c r="D82" s="1" t="s">
        <v>29</v>
      </c>
      <c r="E82" s="1" t="s">
        <v>241</v>
      </c>
      <c r="F82" s="1" t="s">
        <v>790</v>
      </c>
      <c r="G82" s="1" t="s">
        <v>41</v>
      </c>
      <c r="H82" s="6">
        <v>1</v>
      </c>
      <c r="I82" s="7">
        <v>0</v>
      </c>
      <c r="J82" s="5">
        <v>45940</v>
      </c>
      <c r="K82" s="1" t="s">
        <v>30</v>
      </c>
      <c r="L82" s="8">
        <v>0</v>
      </c>
      <c r="M82" s="6"/>
      <c r="N82" s="6"/>
      <c r="O82" s="9">
        <v>-56</v>
      </c>
    </row>
    <row r="83" spans="1:15" ht="19.5" customHeight="1">
      <c r="A83" s="1" t="s">
        <v>789</v>
      </c>
      <c r="B83" s="5">
        <v>45944</v>
      </c>
      <c r="C83" s="1" t="s">
        <v>17</v>
      </c>
      <c r="D83" s="1" t="s">
        <v>37</v>
      </c>
      <c r="E83" s="1" t="s">
        <v>241</v>
      </c>
      <c r="F83" s="1" t="s">
        <v>790</v>
      </c>
      <c r="G83" s="1" t="s">
        <v>41</v>
      </c>
      <c r="H83" s="6">
        <v>1</v>
      </c>
      <c r="I83" s="7">
        <v>0</v>
      </c>
      <c r="J83" s="5">
        <v>45940</v>
      </c>
      <c r="K83" s="1" t="s">
        <v>30</v>
      </c>
      <c r="L83" s="8">
        <v>0</v>
      </c>
      <c r="M83" s="6"/>
      <c r="N83" s="6"/>
      <c r="O83" s="9">
        <v>-12.46</v>
      </c>
    </row>
    <row r="84" spans="1:15" ht="19.5" customHeight="1">
      <c r="A84" s="1" t="s">
        <v>791</v>
      </c>
      <c r="B84" s="5">
        <v>45944</v>
      </c>
      <c r="C84" s="1" t="s">
        <v>28</v>
      </c>
      <c r="D84" s="1" t="s">
        <v>45</v>
      </c>
      <c r="E84" s="1" t="s">
        <v>237</v>
      </c>
      <c r="F84" s="1" t="s">
        <v>792</v>
      </c>
      <c r="G84" s="1" t="s">
        <v>41</v>
      </c>
      <c r="H84" s="6">
        <v>1</v>
      </c>
      <c r="I84" s="7">
        <v>0</v>
      </c>
      <c r="J84" s="5">
        <v>45940</v>
      </c>
      <c r="K84" s="1" t="s">
        <v>30</v>
      </c>
      <c r="L84" s="8">
        <v>0</v>
      </c>
      <c r="M84" s="6"/>
      <c r="N84" s="6"/>
      <c r="O84" s="9">
        <v>0</v>
      </c>
    </row>
    <row r="85" spans="1:15" ht="19.5" customHeight="1">
      <c r="A85" s="1" t="s">
        <v>791</v>
      </c>
      <c r="B85" s="5">
        <v>45944</v>
      </c>
      <c r="C85" s="1" t="s">
        <v>28</v>
      </c>
      <c r="D85" s="1" t="s">
        <v>46</v>
      </c>
      <c r="E85" s="1" t="s">
        <v>237</v>
      </c>
      <c r="F85" s="1" t="s">
        <v>792</v>
      </c>
      <c r="G85" s="1" t="s">
        <v>41</v>
      </c>
      <c r="H85" s="6">
        <v>1</v>
      </c>
      <c r="I85" s="7">
        <v>0</v>
      </c>
      <c r="J85" s="5">
        <v>45940</v>
      </c>
      <c r="K85" s="1" t="s">
        <v>30</v>
      </c>
      <c r="L85" s="8">
        <v>0</v>
      </c>
      <c r="M85" s="6"/>
      <c r="N85" s="6"/>
      <c r="O85" s="9">
        <v>-56</v>
      </c>
    </row>
    <row r="86" spans="1:15" ht="19.5" customHeight="1">
      <c r="A86" s="1" t="s">
        <v>791</v>
      </c>
      <c r="B86" s="5">
        <v>45944</v>
      </c>
      <c r="C86" s="1" t="s">
        <v>17</v>
      </c>
      <c r="D86" s="1" t="s">
        <v>47</v>
      </c>
      <c r="E86" s="1" t="s">
        <v>237</v>
      </c>
      <c r="F86" s="1" t="s">
        <v>792</v>
      </c>
      <c r="G86" s="1" t="s">
        <v>41</v>
      </c>
      <c r="H86" s="6">
        <v>1</v>
      </c>
      <c r="I86" s="7">
        <v>0</v>
      </c>
      <c r="J86" s="5">
        <v>45940</v>
      </c>
      <c r="K86" s="1" t="s">
        <v>30</v>
      </c>
      <c r="L86" s="8">
        <v>0</v>
      </c>
      <c r="M86" s="6"/>
      <c r="N86" s="6"/>
      <c r="O86" s="9">
        <v>-15</v>
      </c>
    </row>
    <row r="87" spans="1:15" ht="19.5" customHeight="1">
      <c r="A87" s="1" t="s">
        <v>793</v>
      </c>
      <c r="B87" s="5">
        <v>45944</v>
      </c>
      <c r="C87" s="1" t="s">
        <v>17</v>
      </c>
      <c r="D87" s="1" t="s">
        <v>18</v>
      </c>
      <c r="E87" s="1" t="s">
        <v>70</v>
      </c>
      <c r="F87" s="1" t="s">
        <v>71</v>
      </c>
      <c r="G87" s="1" t="s">
        <v>41</v>
      </c>
      <c r="H87" s="6">
        <v>1</v>
      </c>
      <c r="I87" s="7">
        <v>0</v>
      </c>
      <c r="J87" s="5">
        <v>45944</v>
      </c>
      <c r="K87" s="1" t="s">
        <v>22</v>
      </c>
      <c r="L87" s="8">
        <v>0</v>
      </c>
      <c r="M87" s="6"/>
      <c r="N87" s="6"/>
      <c r="O87" s="9">
        <v>-7.57</v>
      </c>
    </row>
    <row r="88" spans="1:15" ht="19.5" customHeight="1">
      <c r="A88" s="1" t="s">
        <v>794</v>
      </c>
      <c r="B88" s="5">
        <v>45944</v>
      </c>
      <c r="C88" s="1" t="s">
        <v>28</v>
      </c>
      <c r="D88" s="1" t="s">
        <v>29</v>
      </c>
      <c r="E88" s="1" t="s">
        <v>70</v>
      </c>
      <c r="F88" s="1" t="s">
        <v>71</v>
      </c>
      <c r="G88" s="1" t="s">
        <v>41</v>
      </c>
      <c r="H88" s="6">
        <v>1</v>
      </c>
      <c r="I88" s="7">
        <v>0</v>
      </c>
      <c r="J88" s="5">
        <v>45931</v>
      </c>
      <c r="K88" s="1" t="s">
        <v>30</v>
      </c>
      <c r="L88" s="8">
        <v>0</v>
      </c>
      <c r="M88" s="6"/>
      <c r="N88" s="6"/>
      <c r="O88" s="9">
        <v>-56</v>
      </c>
    </row>
    <row r="89" spans="1:15" ht="19.5" customHeight="1">
      <c r="A89" s="1" t="s">
        <v>794</v>
      </c>
      <c r="B89" s="5">
        <v>45944</v>
      </c>
      <c r="C89" s="1" t="s">
        <v>17</v>
      </c>
      <c r="D89" s="1" t="s">
        <v>37</v>
      </c>
      <c r="E89" s="1" t="s">
        <v>70</v>
      </c>
      <c r="F89" s="1" t="s">
        <v>71</v>
      </c>
      <c r="G89" s="1" t="s">
        <v>41</v>
      </c>
      <c r="H89" s="6">
        <v>1</v>
      </c>
      <c r="I89" s="7">
        <v>0</v>
      </c>
      <c r="J89" s="5">
        <v>45931</v>
      </c>
      <c r="K89" s="1" t="s">
        <v>30</v>
      </c>
      <c r="L89" s="8">
        <v>0</v>
      </c>
      <c r="M89" s="6"/>
      <c r="N89" s="6"/>
      <c r="O89" s="9">
        <v>-7.46</v>
      </c>
    </row>
    <row r="90" spans="1:15" ht="19.5" customHeight="1">
      <c r="A90" s="1" t="s">
        <v>794</v>
      </c>
      <c r="B90" s="5">
        <v>45944</v>
      </c>
      <c r="C90" s="1" t="s">
        <v>28</v>
      </c>
      <c r="D90" s="1" t="s">
        <v>45</v>
      </c>
      <c r="E90" s="1" t="s">
        <v>70</v>
      </c>
      <c r="F90" s="1" t="s">
        <v>71</v>
      </c>
      <c r="G90" s="1" t="s">
        <v>41</v>
      </c>
      <c r="H90" s="6">
        <v>1</v>
      </c>
      <c r="I90" s="7">
        <v>0</v>
      </c>
      <c r="J90" s="5">
        <v>45931</v>
      </c>
      <c r="K90" s="1" t="s">
        <v>30</v>
      </c>
      <c r="L90" s="8">
        <v>0</v>
      </c>
      <c r="M90" s="6"/>
      <c r="N90" s="6"/>
      <c r="O90" s="9">
        <v>0</v>
      </c>
    </row>
    <row r="91" spans="1:15" ht="19.5" customHeight="1">
      <c r="A91" s="1" t="s">
        <v>794</v>
      </c>
      <c r="B91" s="5">
        <v>45944</v>
      </c>
      <c r="C91" s="1" t="s">
        <v>28</v>
      </c>
      <c r="D91" s="1" t="s">
        <v>46</v>
      </c>
      <c r="E91" s="1" t="s">
        <v>70</v>
      </c>
      <c r="F91" s="1" t="s">
        <v>71</v>
      </c>
      <c r="G91" s="1" t="s">
        <v>41</v>
      </c>
      <c r="H91" s="6">
        <v>1</v>
      </c>
      <c r="I91" s="7">
        <v>0</v>
      </c>
      <c r="J91" s="5">
        <v>45931</v>
      </c>
      <c r="K91" s="1" t="s">
        <v>30</v>
      </c>
      <c r="L91" s="8">
        <v>0</v>
      </c>
      <c r="M91" s="6"/>
      <c r="N91" s="6"/>
      <c r="O91" s="9">
        <v>-56</v>
      </c>
    </row>
    <row r="92" spans="1:15" ht="19.5" customHeight="1">
      <c r="A92" s="1" t="s">
        <v>794</v>
      </c>
      <c r="B92" s="5">
        <v>45944</v>
      </c>
      <c r="C92" s="1" t="s">
        <v>17</v>
      </c>
      <c r="D92" s="1" t="s">
        <v>47</v>
      </c>
      <c r="E92" s="1" t="s">
        <v>70</v>
      </c>
      <c r="F92" s="1" t="s">
        <v>71</v>
      </c>
      <c r="G92" s="1" t="s">
        <v>41</v>
      </c>
      <c r="H92" s="6">
        <v>1</v>
      </c>
      <c r="I92" s="7">
        <v>0</v>
      </c>
      <c r="J92" s="5">
        <v>45931</v>
      </c>
      <c r="K92" s="1" t="s">
        <v>30</v>
      </c>
      <c r="L92" s="8">
        <v>0</v>
      </c>
      <c r="M92" s="6"/>
      <c r="N92" s="6"/>
      <c r="O92" s="9">
        <v>-15</v>
      </c>
    </row>
    <row r="93" spans="1:15" ht="19.5" customHeight="1">
      <c r="A93" s="1" t="s">
        <v>795</v>
      </c>
      <c r="B93" s="5">
        <v>45944</v>
      </c>
      <c r="C93" s="1" t="s">
        <v>28</v>
      </c>
      <c r="D93" s="1" t="s">
        <v>29</v>
      </c>
      <c r="E93" s="1" t="s">
        <v>19</v>
      </c>
      <c r="F93" s="1" t="s">
        <v>20</v>
      </c>
      <c r="G93" s="1" t="s">
        <v>21</v>
      </c>
      <c r="H93" s="6">
        <v>1</v>
      </c>
      <c r="I93" s="7">
        <v>1366</v>
      </c>
      <c r="J93" s="5">
        <v>45942</v>
      </c>
      <c r="K93" s="1" t="s">
        <v>30</v>
      </c>
      <c r="L93" s="8">
        <v>0.26</v>
      </c>
      <c r="M93" s="6"/>
      <c r="N93" s="6"/>
      <c r="O93" s="9">
        <v>-46</v>
      </c>
    </row>
    <row r="94" spans="1:15" ht="19.5" customHeight="1">
      <c r="A94" s="1" t="s">
        <v>795</v>
      </c>
      <c r="B94" s="5">
        <v>45944</v>
      </c>
      <c r="C94" s="1" t="s">
        <v>31</v>
      </c>
      <c r="D94" s="1" t="s">
        <v>32</v>
      </c>
      <c r="E94" s="1" t="s">
        <v>19</v>
      </c>
      <c r="F94" s="1" t="s">
        <v>20</v>
      </c>
      <c r="G94" s="1" t="s">
        <v>21</v>
      </c>
      <c r="H94" s="6">
        <v>1</v>
      </c>
      <c r="I94" s="7">
        <v>1366</v>
      </c>
      <c r="J94" s="5">
        <v>45942</v>
      </c>
      <c r="K94" s="1" t="s">
        <v>30</v>
      </c>
      <c r="L94" s="8">
        <v>0</v>
      </c>
      <c r="M94" s="6"/>
      <c r="N94" s="6"/>
      <c r="O94" s="9">
        <v>858</v>
      </c>
    </row>
    <row r="95" spans="1:15" ht="19.5" customHeight="1">
      <c r="A95" s="1" t="s">
        <v>795</v>
      </c>
      <c r="B95" s="5">
        <v>45944</v>
      </c>
      <c r="C95" s="1" t="s">
        <v>31</v>
      </c>
      <c r="D95" s="1" t="s">
        <v>33</v>
      </c>
      <c r="E95" s="1" t="s">
        <v>19</v>
      </c>
      <c r="F95" s="1" t="s">
        <v>20</v>
      </c>
      <c r="G95" s="1" t="s">
        <v>21</v>
      </c>
      <c r="H95" s="6">
        <v>1</v>
      </c>
      <c r="I95" s="7">
        <v>1366</v>
      </c>
      <c r="J95" s="5">
        <v>45942</v>
      </c>
      <c r="K95" s="1" t="s">
        <v>30</v>
      </c>
      <c r="L95" s="8">
        <v>0</v>
      </c>
      <c r="M95" s="6"/>
      <c r="N95" s="6"/>
      <c r="O95" s="9">
        <v>8.58</v>
      </c>
    </row>
    <row r="96" spans="1:15" ht="19.5" customHeight="1">
      <c r="A96" s="1" t="s">
        <v>795</v>
      </c>
      <c r="B96" s="5">
        <v>45944</v>
      </c>
      <c r="C96" s="1" t="s">
        <v>31</v>
      </c>
      <c r="D96" s="1" t="s">
        <v>34</v>
      </c>
      <c r="E96" s="1" t="s">
        <v>19</v>
      </c>
      <c r="F96" s="1" t="s">
        <v>20</v>
      </c>
      <c r="G96" s="1" t="s">
        <v>21</v>
      </c>
      <c r="H96" s="6">
        <v>1</v>
      </c>
      <c r="I96" s="7">
        <v>1366</v>
      </c>
      <c r="J96" s="5">
        <v>45942</v>
      </c>
      <c r="K96" s="1" t="s">
        <v>30</v>
      </c>
      <c r="L96" s="8">
        <v>0</v>
      </c>
      <c r="M96" s="6"/>
      <c r="N96" s="6"/>
      <c r="O96" s="9">
        <v>499.42</v>
      </c>
    </row>
    <row r="97" spans="1:15" ht="19.5" customHeight="1">
      <c r="A97" s="1" t="s">
        <v>795</v>
      </c>
      <c r="B97" s="5">
        <v>45944</v>
      </c>
      <c r="C97" s="1" t="s">
        <v>35</v>
      </c>
      <c r="D97" s="1" t="s">
        <v>36</v>
      </c>
      <c r="E97" s="1" t="s">
        <v>19</v>
      </c>
      <c r="F97" s="1" t="s">
        <v>20</v>
      </c>
      <c r="G97" s="1" t="s">
        <v>21</v>
      </c>
      <c r="H97" s="6">
        <v>1</v>
      </c>
      <c r="I97" s="7">
        <v>1366</v>
      </c>
      <c r="J97" s="5">
        <v>45942</v>
      </c>
      <c r="K97" s="1" t="s">
        <v>30</v>
      </c>
      <c r="L97" s="8">
        <v>0.26</v>
      </c>
      <c r="M97" s="6"/>
      <c r="N97" s="6"/>
      <c r="O97" s="9">
        <v>-355.16</v>
      </c>
    </row>
    <row r="98" spans="1:15" ht="19.5" customHeight="1">
      <c r="A98" s="1" t="s">
        <v>795</v>
      </c>
      <c r="B98" s="5">
        <v>45944</v>
      </c>
      <c r="C98" s="1" t="s">
        <v>17</v>
      </c>
      <c r="D98" s="1" t="s">
        <v>37</v>
      </c>
      <c r="E98" s="1" t="s">
        <v>19</v>
      </c>
      <c r="F98" s="1" t="s">
        <v>20</v>
      </c>
      <c r="G98" s="1" t="s">
        <v>21</v>
      </c>
      <c r="H98" s="6">
        <v>1</v>
      </c>
      <c r="I98" s="7">
        <v>1366</v>
      </c>
      <c r="J98" s="5">
        <v>45942</v>
      </c>
      <c r="K98" s="1" t="s">
        <v>30</v>
      </c>
      <c r="L98" s="8">
        <v>0.26</v>
      </c>
      <c r="M98" s="6"/>
      <c r="N98" s="6"/>
      <c r="O98" s="9">
        <v>-6.39</v>
      </c>
    </row>
    <row r="99" spans="1:15" ht="19.5" customHeight="1">
      <c r="A99" s="1" t="s">
        <v>159</v>
      </c>
      <c r="B99" s="5">
        <v>45944</v>
      </c>
      <c r="C99" s="1" t="s">
        <v>126</v>
      </c>
      <c r="D99" s="1" t="s">
        <v>127</v>
      </c>
      <c r="E99" s="1" t="s">
        <v>51</v>
      </c>
      <c r="F99" s="1" t="s">
        <v>52</v>
      </c>
      <c r="G99" s="1" t="s">
        <v>41</v>
      </c>
      <c r="H99" s="6">
        <v>1</v>
      </c>
      <c r="I99" s="7">
        <v>-2610</v>
      </c>
      <c r="J99" s="5">
        <v>45931</v>
      </c>
      <c r="K99" s="1" t="s">
        <v>30</v>
      </c>
      <c r="L99" s="8">
        <v>0</v>
      </c>
      <c r="M99" s="6"/>
      <c r="N99" s="6"/>
      <c r="O99" s="9">
        <v>-1505.21</v>
      </c>
    </row>
    <row r="100" spans="1:15" ht="19.5" customHeight="1">
      <c r="A100" s="1" t="s">
        <v>159</v>
      </c>
      <c r="B100" s="5">
        <v>45944</v>
      </c>
      <c r="C100" s="1" t="s">
        <v>126</v>
      </c>
      <c r="D100" s="1" t="s">
        <v>33</v>
      </c>
      <c r="E100" s="1" t="s">
        <v>51</v>
      </c>
      <c r="F100" s="1" t="s">
        <v>52</v>
      </c>
      <c r="G100" s="1" t="s">
        <v>41</v>
      </c>
      <c r="H100" s="6">
        <v>1</v>
      </c>
      <c r="I100" s="7">
        <v>-2610</v>
      </c>
      <c r="J100" s="5">
        <v>45931</v>
      </c>
      <c r="K100" s="1" t="s">
        <v>30</v>
      </c>
      <c r="L100" s="8">
        <v>0</v>
      </c>
      <c r="M100" s="6"/>
      <c r="N100" s="6"/>
      <c r="O100" s="9">
        <v>-15.05</v>
      </c>
    </row>
    <row r="101" spans="1:15" ht="19.5" customHeight="1">
      <c r="A101" s="1" t="s">
        <v>159</v>
      </c>
      <c r="B101" s="5">
        <v>45944</v>
      </c>
      <c r="C101" s="1" t="s">
        <v>126</v>
      </c>
      <c r="D101" s="1" t="s">
        <v>34</v>
      </c>
      <c r="E101" s="1" t="s">
        <v>51</v>
      </c>
      <c r="F101" s="1" t="s">
        <v>52</v>
      </c>
      <c r="G101" s="1" t="s">
        <v>41</v>
      </c>
      <c r="H101" s="6">
        <v>1</v>
      </c>
      <c r="I101" s="7">
        <v>-2610</v>
      </c>
      <c r="J101" s="5">
        <v>45931</v>
      </c>
      <c r="K101" s="1" t="s">
        <v>30</v>
      </c>
      <c r="L101" s="8">
        <v>0</v>
      </c>
      <c r="M101" s="6"/>
      <c r="N101" s="6"/>
      <c r="O101" s="9">
        <v>-1089.74</v>
      </c>
    </row>
    <row r="102" spans="1:15" ht="19.5" customHeight="1">
      <c r="A102" s="1" t="s">
        <v>159</v>
      </c>
      <c r="B102" s="5">
        <v>45944</v>
      </c>
      <c r="C102" s="1" t="s">
        <v>35</v>
      </c>
      <c r="D102" s="1" t="s">
        <v>128</v>
      </c>
      <c r="E102" s="1" t="s">
        <v>51</v>
      </c>
      <c r="F102" s="1" t="s">
        <v>52</v>
      </c>
      <c r="G102" s="1" t="s">
        <v>41</v>
      </c>
      <c r="H102" s="6">
        <v>1</v>
      </c>
      <c r="I102" s="7">
        <v>-2610</v>
      </c>
      <c r="J102" s="5">
        <v>45931</v>
      </c>
      <c r="K102" s="1" t="s">
        <v>30</v>
      </c>
      <c r="L102" s="8">
        <v>0.24</v>
      </c>
      <c r="M102" s="6"/>
      <c r="N102" s="6"/>
      <c r="O102" s="9">
        <v>626.4</v>
      </c>
    </row>
    <row r="103" spans="1:15" ht="19.5" customHeight="1">
      <c r="A103" s="1" t="s">
        <v>159</v>
      </c>
      <c r="B103" s="5">
        <v>45944</v>
      </c>
      <c r="C103" s="1" t="s">
        <v>17</v>
      </c>
      <c r="D103" s="1" t="s">
        <v>18</v>
      </c>
      <c r="E103" s="1" t="s">
        <v>51</v>
      </c>
      <c r="F103" s="1" t="s">
        <v>52</v>
      </c>
      <c r="G103" s="1" t="s">
        <v>41</v>
      </c>
      <c r="H103" s="6">
        <v>1</v>
      </c>
      <c r="I103" s="7">
        <v>0</v>
      </c>
      <c r="J103" s="5">
        <v>45931</v>
      </c>
      <c r="K103" s="1" t="s">
        <v>22</v>
      </c>
      <c r="L103" s="8">
        <v>0</v>
      </c>
      <c r="M103" s="6"/>
      <c r="N103" s="6"/>
      <c r="O103" s="9">
        <v>28.6</v>
      </c>
    </row>
    <row r="104" spans="1:15" ht="19.5" customHeight="1">
      <c r="A104" s="1" t="s">
        <v>796</v>
      </c>
      <c r="B104" s="5">
        <v>45944</v>
      </c>
      <c r="C104" s="1" t="s">
        <v>28</v>
      </c>
      <c r="D104" s="1" t="s">
        <v>29</v>
      </c>
      <c r="E104" s="1" t="s">
        <v>25</v>
      </c>
      <c r="F104" s="1" t="s">
        <v>26</v>
      </c>
      <c r="G104" s="1" t="s">
        <v>21</v>
      </c>
      <c r="H104" s="6">
        <v>1</v>
      </c>
      <c r="I104" s="7">
        <v>0</v>
      </c>
      <c r="J104" s="5">
        <v>45941</v>
      </c>
      <c r="K104" s="1" t="s">
        <v>30</v>
      </c>
      <c r="L104" s="8">
        <v>0</v>
      </c>
      <c r="M104" s="6"/>
      <c r="N104" s="6"/>
      <c r="O104" s="9">
        <v>-46</v>
      </c>
    </row>
    <row r="105" spans="1:15" ht="19.5" customHeight="1">
      <c r="A105" s="1" t="s">
        <v>796</v>
      </c>
      <c r="B105" s="5">
        <v>45944</v>
      </c>
      <c r="C105" s="1" t="s">
        <v>28</v>
      </c>
      <c r="D105" s="1" t="s">
        <v>45</v>
      </c>
      <c r="E105" s="1" t="s">
        <v>25</v>
      </c>
      <c r="F105" s="1" t="s">
        <v>26</v>
      </c>
      <c r="G105" s="1" t="s">
        <v>21</v>
      </c>
      <c r="H105" s="6">
        <v>1</v>
      </c>
      <c r="I105" s="7">
        <v>0</v>
      </c>
      <c r="J105" s="5">
        <v>45941</v>
      </c>
      <c r="K105" s="1" t="s">
        <v>30</v>
      </c>
      <c r="L105" s="8">
        <v>0</v>
      </c>
      <c r="M105" s="6"/>
      <c r="N105" s="6"/>
      <c r="O105" s="9">
        <v>0</v>
      </c>
    </row>
    <row r="106" spans="1:15" ht="19.5" customHeight="1">
      <c r="A106" s="1" t="s">
        <v>796</v>
      </c>
      <c r="B106" s="5">
        <v>45944</v>
      </c>
      <c r="C106" s="1" t="s">
        <v>28</v>
      </c>
      <c r="D106" s="1" t="s">
        <v>46</v>
      </c>
      <c r="E106" s="1" t="s">
        <v>25</v>
      </c>
      <c r="F106" s="1" t="s">
        <v>26</v>
      </c>
      <c r="G106" s="1" t="s">
        <v>21</v>
      </c>
      <c r="H106" s="6">
        <v>1</v>
      </c>
      <c r="I106" s="7">
        <v>0</v>
      </c>
      <c r="J106" s="5">
        <v>45941</v>
      </c>
      <c r="K106" s="1" t="s">
        <v>30</v>
      </c>
      <c r="L106" s="8">
        <v>0</v>
      </c>
      <c r="M106" s="6"/>
      <c r="N106" s="6"/>
      <c r="O106" s="9">
        <v>-46</v>
      </c>
    </row>
    <row r="107" spans="1:15" ht="19.5" customHeight="1">
      <c r="A107" s="1" t="s">
        <v>797</v>
      </c>
      <c r="B107" s="5">
        <v>45944</v>
      </c>
      <c r="C107" s="1" t="s">
        <v>28</v>
      </c>
      <c r="D107" s="1" t="s">
        <v>29</v>
      </c>
      <c r="E107" s="1" t="s">
        <v>25</v>
      </c>
      <c r="F107" s="1" t="s">
        <v>26</v>
      </c>
      <c r="G107" s="1" t="s">
        <v>21</v>
      </c>
      <c r="H107" s="6">
        <v>1</v>
      </c>
      <c r="I107" s="7">
        <v>0</v>
      </c>
      <c r="J107" s="5">
        <v>45938</v>
      </c>
      <c r="K107" s="1" t="s">
        <v>30</v>
      </c>
      <c r="L107" s="8">
        <v>0</v>
      </c>
      <c r="M107" s="6"/>
      <c r="N107" s="6"/>
      <c r="O107" s="9">
        <v>-46</v>
      </c>
    </row>
    <row r="108" spans="1:15" ht="19.5" customHeight="1">
      <c r="A108" s="1" t="s">
        <v>797</v>
      </c>
      <c r="B108" s="5">
        <v>45944</v>
      </c>
      <c r="C108" s="1" t="s">
        <v>17</v>
      </c>
      <c r="D108" s="1" t="s">
        <v>37</v>
      </c>
      <c r="E108" s="1" t="s">
        <v>25</v>
      </c>
      <c r="F108" s="1" t="s">
        <v>26</v>
      </c>
      <c r="G108" s="1" t="s">
        <v>21</v>
      </c>
      <c r="H108" s="6">
        <v>1</v>
      </c>
      <c r="I108" s="7">
        <v>0</v>
      </c>
      <c r="J108" s="5">
        <v>45938</v>
      </c>
      <c r="K108" s="1" t="s">
        <v>30</v>
      </c>
      <c r="L108" s="8">
        <v>0</v>
      </c>
      <c r="M108" s="6"/>
      <c r="N108" s="6"/>
      <c r="O108" s="9">
        <v>-8.32</v>
      </c>
    </row>
    <row r="109" spans="1:15" ht="19.5" customHeight="1">
      <c r="A109" s="1" t="s">
        <v>797</v>
      </c>
      <c r="B109" s="5">
        <v>45944</v>
      </c>
      <c r="C109" s="1" t="s">
        <v>28</v>
      </c>
      <c r="D109" s="1" t="s">
        <v>45</v>
      </c>
      <c r="E109" s="1" t="s">
        <v>25</v>
      </c>
      <c r="F109" s="1" t="s">
        <v>26</v>
      </c>
      <c r="G109" s="1" t="s">
        <v>21</v>
      </c>
      <c r="H109" s="6">
        <v>1</v>
      </c>
      <c r="I109" s="7">
        <v>0</v>
      </c>
      <c r="J109" s="5">
        <v>45938</v>
      </c>
      <c r="K109" s="1" t="s">
        <v>30</v>
      </c>
      <c r="L109" s="8">
        <v>0</v>
      </c>
      <c r="M109" s="6"/>
      <c r="N109" s="6"/>
      <c r="O109" s="9">
        <v>0</v>
      </c>
    </row>
    <row r="110" spans="1:15" ht="19.5" customHeight="1">
      <c r="A110" s="1" t="s">
        <v>797</v>
      </c>
      <c r="B110" s="5">
        <v>45944</v>
      </c>
      <c r="C110" s="1" t="s">
        <v>28</v>
      </c>
      <c r="D110" s="1" t="s">
        <v>46</v>
      </c>
      <c r="E110" s="1" t="s">
        <v>25</v>
      </c>
      <c r="F110" s="1" t="s">
        <v>26</v>
      </c>
      <c r="G110" s="1" t="s">
        <v>21</v>
      </c>
      <c r="H110" s="6">
        <v>1</v>
      </c>
      <c r="I110" s="7">
        <v>0</v>
      </c>
      <c r="J110" s="5">
        <v>45938</v>
      </c>
      <c r="K110" s="1" t="s">
        <v>30</v>
      </c>
      <c r="L110" s="8">
        <v>0</v>
      </c>
      <c r="M110" s="6"/>
      <c r="N110" s="6"/>
      <c r="O110" s="9">
        <v>-46</v>
      </c>
    </row>
    <row r="111" spans="1:15" ht="19.5" customHeight="1">
      <c r="A111" s="1" t="s">
        <v>797</v>
      </c>
      <c r="B111" s="5">
        <v>45944</v>
      </c>
      <c r="C111" s="1" t="s">
        <v>17</v>
      </c>
      <c r="D111" s="1" t="s">
        <v>47</v>
      </c>
      <c r="E111" s="1" t="s">
        <v>25</v>
      </c>
      <c r="F111" s="1" t="s">
        <v>26</v>
      </c>
      <c r="G111" s="1" t="s">
        <v>21</v>
      </c>
      <c r="H111" s="6">
        <v>1</v>
      </c>
      <c r="I111" s="7">
        <v>0</v>
      </c>
      <c r="J111" s="5">
        <v>45938</v>
      </c>
      <c r="K111" s="1" t="s">
        <v>30</v>
      </c>
      <c r="L111" s="8">
        <v>0</v>
      </c>
      <c r="M111" s="6"/>
      <c r="N111" s="6"/>
      <c r="O111" s="9">
        <v>-15</v>
      </c>
    </row>
    <row r="112" spans="1:15" ht="19.5" customHeight="1">
      <c r="A112" s="1" t="s">
        <v>798</v>
      </c>
      <c r="B112" s="5">
        <v>45944</v>
      </c>
      <c r="C112" s="1" t="s">
        <v>28</v>
      </c>
      <c r="D112" s="1" t="s">
        <v>29</v>
      </c>
      <c r="E112" s="1" t="s">
        <v>98</v>
      </c>
      <c r="F112" s="1" t="s">
        <v>99</v>
      </c>
      <c r="G112" s="1" t="s">
        <v>41</v>
      </c>
      <c r="H112" s="6">
        <v>1</v>
      </c>
      <c r="I112" s="7">
        <v>3690</v>
      </c>
      <c r="J112" s="5">
        <v>45941</v>
      </c>
      <c r="K112" s="1" t="s">
        <v>30</v>
      </c>
      <c r="L112" s="8">
        <v>0.24</v>
      </c>
      <c r="M112" s="6"/>
      <c r="N112" s="6"/>
      <c r="O112" s="9">
        <v>-56</v>
      </c>
    </row>
    <row r="113" spans="1:15" ht="19.5" customHeight="1">
      <c r="A113" s="1" t="s">
        <v>798</v>
      </c>
      <c r="B113" s="5">
        <v>45944</v>
      </c>
      <c r="C113" s="1" t="s">
        <v>31</v>
      </c>
      <c r="D113" s="1" t="s">
        <v>32</v>
      </c>
      <c r="E113" s="1" t="s">
        <v>98</v>
      </c>
      <c r="F113" s="1" t="s">
        <v>99</v>
      </c>
      <c r="G113" s="1" t="s">
        <v>41</v>
      </c>
      <c r="H113" s="6">
        <v>1</v>
      </c>
      <c r="I113" s="7">
        <v>3690</v>
      </c>
      <c r="J113" s="5">
        <v>45941</v>
      </c>
      <c r="K113" s="1" t="s">
        <v>30</v>
      </c>
      <c r="L113" s="8">
        <v>0</v>
      </c>
      <c r="M113" s="6"/>
      <c r="N113" s="6"/>
      <c r="O113" s="9">
        <v>2321</v>
      </c>
    </row>
    <row r="114" spans="1:15" ht="19.5" customHeight="1">
      <c r="A114" s="1" t="s">
        <v>798</v>
      </c>
      <c r="B114" s="5">
        <v>45944</v>
      </c>
      <c r="C114" s="1" t="s">
        <v>31</v>
      </c>
      <c r="D114" s="1" t="s">
        <v>33</v>
      </c>
      <c r="E114" s="1" t="s">
        <v>98</v>
      </c>
      <c r="F114" s="1" t="s">
        <v>99</v>
      </c>
      <c r="G114" s="1" t="s">
        <v>41</v>
      </c>
      <c r="H114" s="6">
        <v>1</v>
      </c>
      <c r="I114" s="7">
        <v>3690</v>
      </c>
      <c r="J114" s="5">
        <v>45941</v>
      </c>
      <c r="K114" s="1" t="s">
        <v>30</v>
      </c>
      <c r="L114" s="8">
        <v>0</v>
      </c>
      <c r="M114" s="6"/>
      <c r="N114" s="6"/>
      <c r="O114" s="9">
        <v>23.21</v>
      </c>
    </row>
    <row r="115" spans="1:15" ht="19.5" customHeight="1">
      <c r="A115" s="1" t="s">
        <v>798</v>
      </c>
      <c r="B115" s="5">
        <v>45944</v>
      </c>
      <c r="C115" s="1" t="s">
        <v>31</v>
      </c>
      <c r="D115" s="1" t="s">
        <v>34</v>
      </c>
      <c r="E115" s="1" t="s">
        <v>98</v>
      </c>
      <c r="F115" s="1" t="s">
        <v>99</v>
      </c>
      <c r="G115" s="1" t="s">
        <v>41</v>
      </c>
      <c r="H115" s="6">
        <v>1</v>
      </c>
      <c r="I115" s="7">
        <v>3690</v>
      </c>
      <c r="J115" s="5">
        <v>45941</v>
      </c>
      <c r="K115" s="1" t="s">
        <v>30</v>
      </c>
      <c r="L115" s="8">
        <v>0</v>
      </c>
      <c r="M115" s="6"/>
      <c r="N115" s="6"/>
      <c r="O115" s="9">
        <v>1345.79</v>
      </c>
    </row>
    <row r="116" spans="1:15" ht="19.5" customHeight="1">
      <c r="A116" s="1" t="s">
        <v>798</v>
      </c>
      <c r="B116" s="5">
        <v>45944</v>
      </c>
      <c r="C116" s="1" t="s">
        <v>35</v>
      </c>
      <c r="D116" s="1" t="s">
        <v>36</v>
      </c>
      <c r="E116" s="1" t="s">
        <v>98</v>
      </c>
      <c r="F116" s="1" t="s">
        <v>99</v>
      </c>
      <c r="G116" s="1" t="s">
        <v>41</v>
      </c>
      <c r="H116" s="6">
        <v>1</v>
      </c>
      <c r="I116" s="7">
        <v>3690</v>
      </c>
      <c r="J116" s="5">
        <v>45941</v>
      </c>
      <c r="K116" s="1" t="s">
        <v>30</v>
      </c>
      <c r="L116" s="8">
        <v>0.24</v>
      </c>
      <c r="M116" s="6"/>
      <c r="N116" s="6"/>
      <c r="O116" s="9">
        <v>-885.6</v>
      </c>
    </row>
    <row r="117" spans="1:15" ht="19.5" customHeight="1">
      <c r="A117" s="1" t="s">
        <v>798</v>
      </c>
      <c r="B117" s="5">
        <v>45944</v>
      </c>
      <c r="C117" s="1" t="s">
        <v>17</v>
      </c>
      <c r="D117" s="1" t="s">
        <v>37</v>
      </c>
      <c r="E117" s="1" t="s">
        <v>98</v>
      </c>
      <c r="F117" s="1" t="s">
        <v>99</v>
      </c>
      <c r="G117" s="1" t="s">
        <v>41</v>
      </c>
      <c r="H117" s="6">
        <v>1</v>
      </c>
      <c r="I117" s="7">
        <v>3690</v>
      </c>
      <c r="J117" s="5">
        <v>45941</v>
      </c>
      <c r="K117" s="1" t="s">
        <v>30</v>
      </c>
      <c r="L117" s="8">
        <v>0.24</v>
      </c>
      <c r="M117" s="6"/>
      <c r="N117" s="6"/>
      <c r="O117" s="9">
        <v>-10.49</v>
      </c>
    </row>
    <row r="118" spans="1:15" ht="19.5" customHeight="1">
      <c r="A118" s="1" t="s">
        <v>799</v>
      </c>
      <c r="B118" s="5">
        <v>45944</v>
      </c>
      <c r="C118" s="1" t="s">
        <v>28</v>
      </c>
      <c r="D118" s="1" t="s">
        <v>29</v>
      </c>
      <c r="E118" s="1" t="s">
        <v>51</v>
      </c>
      <c r="F118" s="1" t="s">
        <v>52</v>
      </c>
      <c r="G118" s="1" t="s">
        <v>41</v>
      </c>
      <c r="H118" s="6">
        <v>1</v>
      </c>
      <c r="I118" s="7">
        <v>0</v>
      </c>
      <c r="J118" s="5">
        <v>45939</v>
      </c>
      <c r="K118" s="1" t="s">
        <v>30</v>
      </c>
      <c r="L118" s="8">
        <v>0</v>
      </c>
      <c r="M118" s="6"/>
      <c r="N118" s="6"/>
      <c r="O118" s="9">
        <v>-56</v>
      </c>
    </row>
    <row r="119" spans="1:15" ht="19.5" customHeight="1">
      <c r="A119" s="1" t="s">
        <v>799</v>
      </c>
      <c r="B119" s="5">
        <v>45944</v>
      </c>
      <c r="C119" s="1" t="s">
        <v>17</v>
      </c>
      <c r="D119" s="1" t="s">
        <v>37</v>
      </c>
      <c r="E119" s="1" t="s">
        <v>51</v>
      </c>
      <c r="F119" s="1" t="s">
        <v>52</v>
      </c>
      <c r="G119" s="1" t="s">
        <v>41</v>
      </c>
      <c r="H119" s="6">
        <v>1</v>
      </c>
      <c r="I119" s="7">
        <v>0</v>
      </c>
      <c r="J119" s="5">
        <v>45939</v>
      </c>
      <c r="K119" s="1" t="s">
        <v>30</v>
      </c>
      <c r="L119" s="8">
        <v>0</v>
      </c>
      <c r="M119" s="6"/>
      <c r="N119" s="6"/>
      <c r="O119" s="9">
        <v>-14.27</v>
      </c>
    </row>
    <row r="120" spans="1:15" ht="19.5" customHeight="1">
      <c r="A120" s="1" t="s">
        <v>798</v>
      </c>
      <c r="B120" s="5">
        <v>45944</v>
      </c>
      <c r="C120" s="1" t="s">
        <v>17</v>
      </c>
      <c r="D120" s="1" t="s">
        <v>18</v>
      </c>
      <c r="E120" s="1" t="s">
        <v>98</v>
      </c>
      <c r="F120" s="1" t="s">
        <v>99</v>
      </c>
      <c r="G120" s="1" t="s">
        <v>41</v>
      </c>
      <c r="H120" s="6">
        <v>1</v>
      </c>
      <c r="I120" s="7">
        <v>0</v>
      </c>
      <c r="J120" s="5">
        <v>45941</v>
      </c>
      <c r="K120" s="1" t="s">
        <v>22</v>
      </c>
      <c r="L120" s="8">
        <v>0</v>
      </c>
      <c r="M120" s="6"/>
      <c r="N120" s="6"/>
      <c r="O120" s="9">
        <v>-44.1</v>
      </c>
    </row>
    <row r="121" spans="1:15" ht="19.5" customHeight="1">
      <c r="A121" s="1" t="s">
        <v>799</v>
      </c>
      <c r="B121" s="5">
        <v>45944</v>
      </c>
      <c r="C121" s="1" t="s">
        <v>28</v>
      </c>
      <c r="D121" s="1" t="s">
        <v>45</v>
      </c>
      <c r="E121" s="1" t="s">
        <v>51</v>
      </c>
      <c r="F121" s="1" t="s">
        <v>52</v>
      </c>
      <c r="G121" s="1" t="s">
        <v>41</v>
      </c>
      <c r="H121" s="6">
        <v>1</v>
      </c>
      <c r="I121" s="7">
        <v>0</v>
      </c>
      <c r="J121" s="5">
        <v>45939</v>
      </c>
      <c r="K121" s="1" t="s">
        <v>30</v>
      </c>
      <c r="L121" s="8">
        <v>0</v>
      </c>
      <c r="M121" s="6"/>
      <c r="N121" s="6"/>
      <c r="O121" s="9">
        <v>0</v>
      </c>
    </row>
    <row r="122" spans="1:15" ht="19.5" customHeight="1">
      <c r="A122" s="1" t="s">
        <v>799</v>
      </c>
      <c r="B122" s="5">
        <v>45944</v>
      </c>
      <c r="C122" s="1" t="s">
        <v>28</v>
      </c>
      <c r="D122" s="1" t="s">
        <v>46</v>
      </c>
      <c r="E122" s="1" t="s">
        <v>51</v>
      </c>
      <c r="F122" s="1" t="s">
        <v>52</v>
      </c>
      <c r="G122" s="1" t="s">
        <v>41</v>
      </c>
      <c r="H122" s="6">
        <v>1</v>
      </c>
      <c r="I122" s="7">
        <v>0</v>
      </c>
      <c r="J122" s="5">
        <v>45939</v>
      </c>
      <c r="K122" s="1" t="s">
        <v>30</v>
      </c>
      <c r="L122" s="8">
        <v>0</v>
      </c>
      <c r="M122" s="6"/>
      <c r="N122" s="6"/>
      <c r="O122" s="9">
        <v>-56</v>
      </c>
    </row>
    <row r="123" spans="1:15" ht="19.5" customHeight="1">
      <c r="A123" s="1" t="s">
        <v>799</v>
      </c>
      <c r="B123" s="5">
        <v>45944</v>
      </c>
      <c r="C123" s="1" t="s">
        <v>17</v>
      </c>
      <c r="D123" s="1" t="s">
        <v>47</v>
      </c>
      <c r="E123" s="1" t="s">
        <v>51</v>
      </c>
      <c r="F123" s="1" t="s">
        <v>52</v>
      </c>
      <c r="G123" s="1" t="s">
        <v>41</v>
      </c>
      <c r="H123" s="6">
        <v>1</v>
      </c>
      <c r="I123" s="7">
        <v>0</v>
      </c>
      <c r="J123" s="5">
        <v>45939</v>
      </c>
      <c r="K123" s="1" t="s">
        <v>30</v>
      </c>
      <c r="L123" s="8">
        <v>0</v>
      </c>
      <c r="M123" s="6"/>
      <c r="N123" s="6"/>
      <c r="O123" s="9">
        <v>-15</v>
      </c>
    </row>
    <row r="124" spans="1:15" ht="19.5" customHeight="1">
      <c r="A124" s="1" t="s">
        <v>800</v>
      </c>
      <c r="B124" s="5">
        <v>45944</v>
      </c>
      <c r="C124" s="1" t="s">
        <v>28</v>
      </c>
      <c r="D124" s="1" t="s">
        <v>29</v>
      </c>
      <c r="E124" s="1" t="s">
        <v>62</v>
      </c>
      <c r="F124" s="1" t="s">
        <v>63</v>
      </c>
      <c r="G124" s="1" t="s">
        <v>41</v>
      </c>
      <c r="H124" s="6">
        <v>1</v>
      </c>
      <c r="I124" s="7">
        <v>3690</v>
      </c>
      <c r="J124" s="5">
        <v>45943</v>
      </c>
      <c r="K124" s="1" t="s">
        <v>30</v>
      </c>
      <c r="L124" s="8">
        <v>0.24</v>
      </c>
      <c r="M124" s="6"/>
      <c r="N124" s="6"/>
      <c r="O124" s="9">
        <v>-56</v>
      </c>
    </row>
    <row r="125" spans="1:15" ht="19.5" customHeight="1">
      <c r="A125" s="1" t="s">
        <v>800</v>
      </c>
      <c r="B125" s="5">
        <v>45944</v>
      </c>
      <c r="C125" s="1" t="s">
        <v>31</v>
      </c>
      <c r="D125" s="1" t="s">
        <v>32</v>
      </c>
      <c r="E125" s="1" t="s">
        <v>62</v>
      </c>
      <c r="F125" s="1" t="s">
        <v>63</v>
      </c>
      <c r="G125" s="1" t="s">
        <v>41</v>
      </c>
      <c r="H125" s="6">
        <v>1</v>
      </c>
      <c r="I125" s="7">
        <v>3690</v>
      </c>
      <c r="J125" s="5">
        <v>45943</v>
      </c>
      <c r="K125" s="1" t="s">
        <v>30</v>
      </c>
      <c r="L125" s="8">
        <v>0</v>
      </c>
      <c r="M125" s="6"/>
      <c r="N125" s="6"/>
      <c r="O125" s="9">
        <v>2519.58</v>
      </c>
    </row>
    <row r="126" spans="1:15" ht="19.5" customHeight="1">
      <c r="A126" s="1" t="s">
        <v>800</v>
      </c>
      <c r="B126" s="5">
        <v>45944</v>
      </c>
      <c r="C126" s="1" t="s">
        <v>31</v>
      </c>
      <c r="D126" s="1" t="s">
        <v>33</v>
      </c>
      <c r="E126" s="1" t="s">
        <v>62</v>
      </c>
      <c r="F126" s="1" t="s">
        <v>63</v>
      </c>
      <c r="G126" s="1" t="s">
        <v>41</v>
      </c>
      <c r="H126" s="6">
        <v>1</v>
      </c>
      <c r="I126" s="7">
        <v>3690</v>
      </c>
      <c r="J126" s="5">
        <v>45943</v>
      </c>
      <c r="K126" s="1" t="s">
        <v>30</v>
      </c>
      <c r="L126" s="8">
        <v>0</v>
      </c>
      <c r="M126" s="6"/>
      <c r="N126" s="6"/>
      <c r="O126" s="9">
        <v>0</v>
      </c>
    </row>
    <row r="127" spans="1:15" ht="19.5" customHeight="1">
      <c r="A127" s="1" t="s">
        <v>800</v>
      </c>
      <c r="B127" s="5">
        <v>45944</v>
      </c>
      <c r="C127" s="1" t="s">
        <v>31</v>
      </c>
      <c r="D127" s="1" t="s">
        <v>34</v>
      </c>
      <c r="E127" s="1" t="s">
        <v>62</v>
      </c>
      <c r="F127" s="1" t="s">
        <v>63</v>
      </c>
      <c r="G127" s="1" t="s">
        <v>41</v>
      </c>
      <c r="H127" s="6">
        <v>1</v>
      </c>
      <c r="I127" s="7">
        <v>3690</v>
      </c>
      <c r="J127" s="5">
        <v>45943</v>
      </c>
      <c r="K127" s="1" t="s">
        <v>30</v>
      </c>
      <c r="L127" s="8">
        <v>0</v>
      </c>
      <c r="M127" s="6"/>
      <c r="N127" s="6"/>
      <c r="O127" s="9">
        <v>1170.42</v>
      </c>
    </row>
    <row r="128" spans="1:15" ht="19.5" customHeight="1">
      <c r="A128" s="1" t="s">
        <v>800</v>
      </c>
      <c r="B128" s="5">
        <v>45944</v>
      </c>
      <c r="C128" s="1" t="s">
        <v>35</v>
      </c>
      <c r="D128" s="1" t="s">
        <v>36</v>
      </c>
      <c r="E128" s="1" t="s">
        <v>62</v>
      </c>
      <c r="F128" s="1" t="s">
        <v>63</v>
      </c>
      <c r="G128" s="1" t="s">
        <v>41</v>
      </c>
      <c r="H128" s="6">
        <v>1</v>
      </c>
      <c r="I128" s="7">
        <v>3690</v>
      </c>
      <c r="J128" s="5">
        <v>45943</v>
      </c>
      <c r="K128" s="1" t="s">
        <v>30</v>
      </c>
      <c r="L128" s="8">
        <v>0.24</v>
      </c>
      <c r="M128" s="6"/>
      <c r="N128" s="6"/>
      <c r="O128" s="9">
        <v>-885.6</v>
      </c>
    </row>
    <row r="129" spans="1:15" ht="19.5" customHeight="1">
      <c r="A129" s="1" t="s">
        <v>801</v>
      </c>
      <c r="B129" s="5">
        <v>45944</v>
      </c>
      <c r="C129" s="1" t="s">
        <v>28</v>
      </c>
      <c r="D129" s="1" t="s">
        <v>29</v>
      </c>
      <c r="E129" s="1" t="s">
        <v>240</v>
      </c>
      <c r="F129" s="1" t="s">
        <v>802</v>
      </c>
      <c r="G129" s="1" t="s">
        <v>41</v>
      </c>
      <c r="H129" s="6">
        <v>1</v>
      </c>
      <c r="I129" s="7">
        <v>3600</v>
      </c>
      <c r="J129" s="5">
        <v>45942</v>
      </c>
      <c r="K129" s="1" t="s">
        <v>30</v>
      </c>
      <c r="L129" s="8">
        <v>0.24</v>
      </c>
      <c r="M129" s="6"/>
      <c r="N129" s="6"/>
      <c r="O129" s="9">
        <v>-56</v>
      </c>
    </row>
    <row r="130" spans="1:15" ht="19.5" customHeight="1">
      <c r="A130" s="1" t="s">
        <v>801</v>
      </c>
      <c r="B130" s="5">
        <v>45944</v>
      </c>
      <c r="C130" s="1" t="s">
        <v>31</v>
      </c>
      <c r="D130" s="1" t="s">
        <v>32</v>
      </c>
      <c r="E130" s="1" t="s">
        <v>240</v>
      </c>
      <c r="F130" s="1" t="s">
        <v>802</v>
      </c>
      <c r="G130" s="1" t="s">
        <v>41</v>
      </c>
      <c r="H130" s="6">
        <v>1</v>
      </c>
      <c r="I130" s="7">
        <v>3600</v>
      </c>
      <c r="J130" s="5">
        <v>45942</v>
      </c>
      <c r="K130" s="1" t="s">
        <v>30</v>
      </c>
      <c r="L130" s="8">
        <v>0</v>
      </c>
      <c r="M130" s="6"/>
      <c r="N130" s="6"/>
      <c r="O130" s="9">
        <v>2264</v>
      </c>
    </row>
    <row r="131" spans="1:15" ht="19.5" customHeight="1">
      <c r="A131" s="1" t="s">
        <v>801</v>
      </c>
      <c r="B131" s="5">
        <v>45944</v>
      </c>
      <c r="C131" s="1" t="s">
        <v>31</v>
      </c>
      <c r="D131" s="1" t="s">
        <v>33</v>
      </c>
      <c r="E131" s="1" t="s">
        <v>240</v>
      </c>
      <c r="F131" s="1" t="s">
        <v>802</v>
      </c>
      <c r="G131" s="1" t="s">
        <v>41</v>
      </c>
      <c r="H131" s="6">
        <v>1</v>
      </c>
      <c r="I131" s="7">
        <v>3600</v>
      </c>
      <c r="J131" s="5">
        <v>45942</v>
      </c>
      <c r="K131" s="1" t="s">
        <v>30</v>
      </c>
      <c r="L131" s="8">
        <v>0</v>
      </c>
      <c r="M131" s="6"/>
      <c r="N131" s="6"/>
      <c r="O131" s="9">
        <v>22.64</v>
      </c>
    </row>
    <row r="132" spans="1:15" ht="19.5" customHeight="1">
      <c r="A132" s="1" t="s">
        <v>801</v>
      </c>
      <c r="B132" s="5">
        <v>45944</v>
      </c>
      <c r="C132" s="1" t="s">
        <v>31</v>
      </c>
      <c r="D132" s="1" t="s">
        <v>34</v>
      </c>
      <c r="E132" s="1" t="s">
        <v>240</v>
      </c>
      <c r="F132" s="1" t="s">
        <v>802</v>
      </c>
      <c r="G132" s="1" t="s">
        <v>41</v>
      </c>
      <c r="H132" s="6">
        <v>1</v>
      </c>
      <c r="I132" s="7">
        <v>3600</v>
      </c>
      <c r="J132" s="5">
        <v>45942</v>
      </c>
      <c r="K132" s="1" t="s">
        <v>30</v>
      </c>
      <c r="L132" s="8">
        <v>0</v>
      </c>
      <c r="M132" s="6"/>
      <c r="N132" s="6"/>
      <c r="O132" s="9">
        <v>1313.36</v>
      </c>
    </row>
    <row r="133" spans="1:15" ht="19.5" customHeight="1">
      <c r="A133" s="1" t="s">
        <v>801</v>
      </c>
      <c r="B133" s="5">
        <v>45944</v>
      </c>
      <c r="C133" s="1" t="s">
        <v>35</v>
      </c>
      <c r="D133" s="1" t="s">
        <v>36</v>
      </c>
      <c r="E133" s="1" t="s">
        <v>240</v>
      </c>
      <c r="F133" s="1" t="s">
        <v>802</v>
      </c>
      <c r="G133" s="1" t="s">
        <v>41</v>
      </c>
      <c r="H133" s="6">
        <v>1</v>
      </c>
      <c r="I133" s="7">
        <v>3600</v>
      </c>
      <c r="J133" s="5">
        <v>45942</v>
      </c>
      <c r="K133" s="1" t="s">
        <v>30</v>
      </c>
      <c r="L133" s="8">
        <v>0.24</v>
      </c>
      <c r="M133" s="6"/>
      <c r="N133" s="6"/>
      <c r="O133" s="9">
        <v>-864</v>
      </c>
    </row>
    <row r="134" spans="1:15" ht="19.5" customHeight="1">
      <c r="A134" s="1" t="s">
        <v>801</v>
      </c>
      <c r="B134" s="5">
        <v>45944</v>
      </c>
      <c r="C134" s="1" t="s">
        <v>17</v>
      </c>
      <c r="D134" s="1" t="s">
        <v>37</v>
      </c>
      <c r="E134" s="1" t="s">
        <v>240</v>
      </c>
      <c r="F134" s="1" t="s">
        <v>802</v>
      </c>
      <c r="G134" s="1" t="s">
        <v>41</v>
      </c>
      <c r="H134" s="6">
        <v>1</v>
      </c>
      <c r="I134" s="7">
        <v>3600</v>
      </c>
      <c r="J134" s="5">
        <v>45942</v>
      </c>
      <c r="K134" s="1" t="s">
        <v>30</v>
      </c>
      <c r="L134" s="8">
        <v>0.24</v>
      </c>
      <c r="M134" s="6"/>
      <c r="N134" s="6"/>
      <c r="O134" s="9">
        <v>-12.95</v>
      </c>
    </row>
    <row r="135" spans="1:15" ht="19.5" customHeight="1">
      <c r="A135" s="1" t="s">
        <v>801</v>
      </c>
      <c r="B135" s="5">
        <v>45944</v>
      </c>
      <c r="C135" s="1" t="s">
        <v>17</v>
      </c>
      <c r="D135" s="1" t="s">
        <v>18</v>
      </c>
      <c r="E135" s="1" t="s">
        <v>240</v>
      </c>
      <c r="F135" s="1" t="s">
        <v>802</v>
      </c>
      <c r="G135" s="1" t="s">
        <v>41</v>
      </c>
      <c r="H135" s="6">
        <v>1</v>
      </c>
      <c r="I135" s="7">
        <v>0</v>
      </c>
      <c r="J135" s="5">
        <v>45942</v>
      </c>
      <c r="K135" s="1" t="s">
        <v>22</v>
      </c>
      <c r="L135" s="8">
        <v>0</v>
      </c>
      <c r="M135" s="6"/>
      <c r="N135" s="6"/>
      <c r="O135" s="9">
        <v>-43.02</v>
      </c>
    </row>
    <row r="136" spans="1:15" ht="19.5" customHeight="1">
      <c r="A136" s="1" t="s">
        <v>130</v>
      </c>
      <c r="B136" s="5">
        <v>45944</v>
      </c>
      <c r="C136" s="1" t="s">
        <v>126</v>
      </c>
      <c r="D136" s="1" t="s">
        <v>127</v>
      </c>
      <c r="E136" s="1" t="s">
        <v>66</v>
      </c>
      <c r="F136" s="1" t="s">
        <v>67</v>
      </c>
      <c r="G136" s="1" t="s">
        <v>41</v>
      </c>
      <c r="H136" s="6">
        <v>1</v>
      </c>
      <c r="I136" s="7">
        <v>-2340</v>
      </c>
      <c r="J136" s="5">
        <v>45931</v>
      </c>
      <c r="K136" s="1" t="s">
        <v>30</v>
      </c>
      <c r="L136" s="8">
        <v>0</v>
      </c>
      <c r="M136" s="6"/>
      <c r="N136" s="6"/>
      <c r="O136" s="9">
        <v>-1392.46</v>
      </c>
    </row>
    <row r="137" spans="1:15" ht="19.5" customHeight="1">
      <c r="A137" s="1" t="s">
        <v>130</v>
      </c>
      <c r="B137" s="5">
        <v>45944</v>
      </c>
      <c r="C137" s="1" t="s">
        <v>126</v>
      </c>
      <c r="D137" s="1" t="s">
        <v>33</v>
      </c>
      <c r="E137" s="1" t="s">
        <v>66</v>
      </c>
      <c r="F137" s="1" t="s">
        <v>67</v>
      </c>
      <c r="G137" s="1" t="s">
        <v>41</v>
      </c>
      <c r="H137" s="6">
        <v>1</v>
      </c>
      <c r="I137" s="7">
        <v>-2340</v>
      </c>
      <c r="J137" s="5">
        <v>45931</v>
      </c>
      <c r="K137" s="1" t="s">
        <v>30</v>
      </c>
      <c r="L137" s="8">
        <v>0</v>
      </c>
      <c r="M137" s="6"/>
      <c r="N137" s="6"/>
      <c r="O137" s="9">
        <v>-13.92</v>
      </c>
    </row>
    <row r="138" spans="1:15" ht="19.5" customHeight="1">
      <c r="A138" s="1" t="s">
        <v>130</v>
      </c>
      <c r="B138" s="5">
        <v>45944</v>
      </c>
      <c r="C138" s="1" t="s">
        <v>126</v>
      </c>
      <c r="D138" s="1" t="s">
        <v>34</v>
      </c>
      <c r="E138" s="1" t="s">
        <v>66</v>
      </c>
      <c r="F138" s="1" t="s">
        <v>67</v>
      </c>
      <c r="G138" s="1" t="s">
        <v>41</v>
      </c>
      <c r="H138" s="6">
        <v>1</v>
      </c>
      <c r="I138" s="7">
        <v>-2340</v>
      </c>
      <c r="J138" s="5">
        <v>45931</v>
      </c>
      <c r="K138" s="1" t="s">
        <v>30</v>
      </c>
      <c r="L138" s="8">
        <v>0</v>
      </c>
      <c r="M138" s="6"/>
      <c r="N138" s="6"/>
      <c r="O138" s="9">
        <v>-933.62</v>
      </c>
    </row>
    <row r="139" spans="1:15" ht="19.5" customHeight="1">
      <c r="A139" s="1" t="s">
        <v>130</v>
      </c>
      <c r="B139" s="5">
        <v>45944</v>
      </c>
      <c r="C139" s="1" t="s">
        <v>35</v>
      </c>
      <c r="D139" s="1" t="s">
        <v>128</v>
      </c>
      <c r="E139" s="1" t="s">
        <v>66</v>
      </c>
      <c r="F139" s="1" t="s">
        <v>67</v>
      </c>
      <c r="G139" s="1" t="s">
        <v>41</v>
      </c>
      <c r="H139" s="6">
        <v>1</v>
      </c>
      <c r="I139" s="7">
        <v>-2340</v>
      </c>
      <c r="J139" s="5">
        <v>45931</v>
      </c>
      <c r="K139" s="1" t="s">
        <v>30</v>
      </c>
      <c r="L139" s="8">
        <v>0.24</v>
      </c>
      <c r="M139" s="6"/>
      <c r="N139" s="6"/>
      <c r="O139" s="9">
        <v>561.6</v>
      </c>
    </row>
    <row r="140" spans="1:15" ht="19.5" customHeight="1">
      <c r="A140" s="1" t="s">
        <v>690</v>
      </c>
      <c r="B140" s="5">
        <v>45944</v>
      </c>
      <c r="C140" s="1" t="s">
        <v>17</v>
      </c>
      <c r="D140" s="1" t="s">
        <v>18</v>
      </c>
      <c r="E140" s="1" t="s">
        <v>66</v>
      </c>
      <c r="F140" s="1" t="s">
        <v>67</v>
      </c>
      <c r="G140" s="1" t="s">
        <v>41</v>
      </c>
      <c r="H140" s="6">
        <v>1</v>
      </c>
      <c r="I140" s="7">
        <v>0</v>
      </c>
      <c r="J140" s="5">
        <v>45931</v>
      </c>
      <c r="K140" s="1" t="s">
        <v>22</v>
      </c>
      <c r="L140" s="8">
        <v>0</v>
      </c>
      <c r="M140" s="6"/>
      <c r="N140" s="6"/>
      <c r="O140" s="9">
        <v>26.46</v>
      </c>
    </row>
    <row r="141" spans="1:15" ht="19.5" customHeight="1">
      <c r="A141" s="1" t="s">
        <v>803</v>
      </c>
      <c r="B141" s="5">
        <v>45944</v>
      </c>
      <c r="C141" s="1" t="s">
        <v>28</v>
      </c>
      <c r="D141" s="1" t="s">
        <v>45</v>
      </c>
      <c r="E141" s="1" t="s">
        <v>51</v>
      </c>
      <c r="F141" s="1" t="s">
        <v>52</v>
      </c>
      <c r="G141" s="1" t="s">
        <v>41</v>
      </c>
      <c r="H141" s="6">
        <v>1</v>
      </c>
      <c r="I141" s="7">
        <v>0</v>
      </c>
      <c r="J141" s="5">
        <v>45932</v>
      </c>
      <c r="K141" s="1" t="s">
        <v>30</v>
      </c>
      <c r="L141" s="8">
        <v>0</v>
      </c>
      <c r="M141" s="6"/>
      <c r="N141" s="6"/>
      <c r="O141" s="9">
        <v>0</v>
      </c>
    </row>
    <row r="142" spans="1:15" ht="19.5" customHeight="1">
      <c r="A142" s="1" t="s">
        <v>803</v>
      </c>
      <c r="B142" s="5">
        <v>45944</v>
      </c>
      <c r="C142" s="1" t="s">
        <v>28</v>
      </c>
      <c r="D142" s="1" t="s">
        <v>46</v>
      </c>
      <c r="E142" s="1" t="s">
        <v>51</v>
      </c>
      <c r="F142" s="1" t="s">
        <v>52</v>
      </c>
      <c r="G142" s="1" t="s">
        <v>41</v>
      </c>
      <c r="H142" s="6">
        <v>1</v>
      </c>
      <c r="I142" s="7">
        <v>0</v>
      </c>
      <c r="J142" s="5">
        <v>45932</v>
      </c>
      <c r="K142" s="1" t="s">
        <v>30</v>
      </c>
      <c r="L142" s="8">
        <v>0</v>
      </c>
      <c r="M142" s="6"/>
      <c r="N142" s="6"/>
      <c r="O142" s="9">
        <v>-56</v>
      </c>
    </row>
    <row r="143" spans="1:15" ht="19.5" customHeight="1">
      <c r="A143" s="1" t="s">
        <v>803</v>
      </c>
      <c r="B143" s="5">
        <v>45944</v>
      </c>
      <c r="C143" s="1" t="s">
        <v>17</v>
      </c>
      <c r="D143" s="1" t="s">
        <v>47</v>
      </c>
      <c r="E143" s="1" t="s">
        <v>51</v>
      </c>
      <c r="F143" s="1" t="s">
        <v>52</v>
      </c>
      <c r="G143" s="1" t="s">
        <v>41</v>
      </c>
      <c r="H143" s="6">
        <v>1</v>
      </c>
      <c r="I143" s="7">
        <v>0</v>
      </c>
      <c r="J143" s="5">
        <v>45932</v>
      </c>
      <c r="K143" s="1" t="s">
        <v>30</v>
      </c>
      <c r="L143" s="8">
        <v>0</v>
      </c>
      <c r="M143" s="6"/>
      <c r="N143" s="6"/>
      <c r="O143" s="9">
        <v>-15</v>
      </c>
    </row>
    <row r="144" spans="1:15" ht="19.5" customHeight="1">
      <c r="A144" s="1" t="s">
        <v>803</v>
      </c>
      <c r="B144" s="5">
        <v>45944</v>
      </c>
      <c r="C144" s="1" t="s">
        <v>28</v>
      </c>
      <c r="D144" s="1" t="s">
        <v>29</v>
      </c>
      <c r="E144" s="1" t="s">
        <v>51</v>
      </c>
      <c r="F144" s="1" t="s">
        <v>52</v>
      </c>
      <c r="G144" s="1" t="s">
        <v>41</v>
      </c>
      <c r="H144" s="6">
        <v>1</v>
      </c>
      <c r="I144" s="7">
        <v>0</v>
      </c>
      <c r="J144" s="5">
        <v>45932</v>
      </c>
      <c r="K144" s="1" t="s">
        <v>30</v>
      </c>
      <c r="L144" s="8">
        <v>0</v>
      </c>
      <c r="M144" s="6"/>
      <c r="N144" s="6"/>
      <c r="O144" s="9">
        <v>-56</v>
      </c>
    </row>
    <row r="145" spans="1:15" ht="19.5" customHeight="1">
      <c r="A145" s="1" t="s">
        <v>803</v>
      </c>
      <c r="B145" s="5">
        <v>45944</v>
      </c>
      <c r="C145" s="1" t="s">
        <v>17</v>
      </c>
      <c r="D145" s="1" t="s">
        <v>37</v>
      </c>
      <c r="E145" s="1" t="s">
        <v>51</v>
      </c>
      <c r="F145" s="1" t="s">
        <v>52</v>
      </c>
      <c r="G145" s="1" t="s">
        <v>41</v>
      </c>
      <c r="H145" s="6">
        <v>1</v>
      </c>
      <c r="I145" s="7">
        <v>0</v>
      </c>
      <c r="J145" s="5">
        <v>45932</v>
      </c>
      <c r="K145" s="1" t="s">
        <v>30</v>
      </c>
      <c r="L145" s="8">
        <v>0</v>
      </c>
      <c r="M145" s="6"/>
      <c r="N145" s="6"/>
      <c r="O145" s="9">
        <v>-8.74</v>
      </c>
    </row>
    <row r="146" spans="1:15" ht="19.5" customHeight="1">
      <c r="A146" s="1" t="s">
        <v>804</v>
      </c>
      <c r="B146" s="5">
        <v>45944</v>
      </c>
      <c r="C146" s="1" t="s">
        <v>17</v>
      </c>
      <c r="D146" s="1" t="s">
        <v>18</v>
      </c>
      <c r="E146" s="1" t="s">
        <v>92</v>
      </c>
      <c r="F146" s="1" t="s">
        <v>93</v>
      </c>
      <c r="G146" s="1" t="s">
        <v>21</v>
      </c>
      <c r="H146" s="6">
        <v>1</v>
      </c>
      <c r="I146" s="7">
        <v>0</v>
      </c>
      <c r="J146" s="5">
        <v>45944</v>
      </c>
      <c r="K146" s="1" t="s">
        <v>22</v>
      </c>
      <c r="L146" s="8">
        <v>0</v>
      </c>
      <c r="M146" s="6"/>
      <c r="N146" s="6"/>
      <c r="O146" s="9">
        <v>-12.91</v>
      </c>
    </row>
    <row r="147" spans="1:15" ht="19.5" customHeight="1">
      <c r="A147" s="1" t="s">
        <v>22</v>
      </c>
      <c r="B147" s="5">
        <v>45944</v>
      </c>
      <c r="C147" s="1" t="s">
        <v>77</v>
      </c>
      <c r="D147" s="1" t="s">
        <v>78</v>
      </c>
      <c r="E147" s="1" t="s">
        <v>22</v>
      </c>
      <c r="F147" s="1" t="s">
        <v>22</v>
      </c>
      <c r="G147" s="1" t="s">
        <v>805</v>
      </c>
      <c r="H147" s="6">
        <v>0</v>
      </c>
      <c r="I147" s="7">
        <v>0</v>
      </c>
      <c r="J147" s="5">
        <v>45944</v>
      </c>
      <c r="K147" s="1" t="s">
        <v>22</v>
      </c>
      <c r="L147" s="8">
        <v>0</v>
      </c>
      <c r="M147" s="6"/>
      <c r="N147" s="6"/>
      <c r="O147" s="9">
        <v>-200</v>
      </c>
    </row>
    <row r="148" spans="1:15" ht="19.5" customHeight="1">
      <c r="A148" s="1" t="s">
        <v>806</v>
      </c>
      <c r="B148" s="5">
        <v>45944</v>
      </c>
      <c r="C148" s="1" t="s">
        <v>28</v>
      </c>
      <c r="D148" s="1" t="s">
        <v>29</v>
      </c>
      <c r="E148" s="1" t="s">
        <v>25</v>
      </c>
      <c r="F148" s="1" t="s">
        <v>26</v>
      </c>
      <c r="G148" s="1" t="s">
        <v>21</v>
      </c>
      <c r="H148" s="6">
        <v>1</v>
      </c>
      <c r="I148" s="7">
        <v>0</v>
      </c>
      <c r="J148" s="5">
        <v>45940</v>
      </c>
      <c r="K148" s="1" t="s">
        <v>30</v>
      </c>
      <c r="L148" s="8">
        <v>0</v>
      </c>
      <c r="M148" s="6"/>
      <c r="N148" s="6"/>
      <c r="O148" s="9">
        <v>-46</v>
      </c>
    </row>
    <row r="149" spans="1:15" ht="19.5" customHeight="1">
      <c r="A149" s="1" t="s">
        <v>806</v>
      </c>
      <c r="B149" s="5">
        <v>45944</v>
      </c>
      <c r="C149" s="1" t="s">
        <v>17</v>
      </c>
      <c r="D149" s="1" t="s">
        <v>37</v>
      </c>
      <c r="E149" s="1" t="s">
        <v>25</v>
      </c>
      <c r="F149" s="1" t="s">
        <v>26</v>
      </c>
      <c r="G149" s="1" t="s">
        <v>21</v>
      </c>
      <c r="H149" s="6">
        <v>1</v>
      </c>
      <c r="I149" s="7">
        <v>0</v>
      </c>
      <c r="J149" s="5">
        <v>45940</v>
      </c>
      <c r="K149" s="1" t="s">
        <v>30</v>
      </c>
      <c r="L149" s="8">
        <v>0</v>
      </c>
      <c r="M149" s="6"/>
      <c r="N149" s="6"/>
      <c r="O149" s="9">
        <v>-5.9</v>
      </c>
    </row>
    <row r="150" spans="1:15" ht="19.5" customHeight="1">
      <c r="A150" s="1" t="s">
        <v>806</v>
      </c>
      <c r="B150" s="5">
        <v>45944</v>
      </c>
      <c r="C150" s="1" t="s">
        <v>28</v>
      </c>
      <c r="D150" s="1" t="s">
        <v>45</v>
      </c>
      <c r="E150" s="1" t="s">
        <v>25</v>
      </c>
      <c r="F150" s="1" t="s">
        <v>26</v>
      </c>
      <c r="G150" s="1" t="s">
        <v>21</v>
      </c>
      <c r="H150" s="6">
        <v>1</v>
      </c>
      <c r="I150" s="7">
        <v>0</v>
      </c>
      <c r="J150" s="5">
        <v>45940</v>
      </c>
      <c r="K150" s="1" t="s">
        <v>30</v>
      </c>
      <c r="L150" s="8">
        <v>0</v>
      </c>
      <c r="M150" s="6"/>
      <c r="N150" s="6"/>
      <c r="O150" s="9">
        <v>0</v>
      </c>
    </row>
    <row r="151" spans="1:15" ht="19.5" customHeight="1">
      <c r="A151" s="1" t="s">
        <v>806</v>
      </c>
      <c r="B151" s="5">
        <v>45944</v>
      </c>
      <c r="C151" s="1" t="s">
        <v>28</v>
      </c>
      <c r="D151" s="1" t="s">
        <v>46</v>
      </c>
      <c r="E151" s="1" t="s">
        <v>25</v>
      </c>
      <c r="F151" s="1" t="s">
        <v>26</v>
      </c>
      <c r="G151" s="1" t="s">
        <v>21</v>
      </c>
      <c r="H151" s="6">
        <v>1</v>
      </c>
      <c r="I151" s="7">
        <v>0</v>
      </c>
      <c r="J151" s="5">
        <v>45940</v>
      </c>
      <c r="K151" s="1" t="s">
        <v>30</v>
      </c>
      <c r="L151" s="8">
        <v>0</v>
      </c>
      <c r="M151" s="6"/>
      <c r="N151" s="6"/>
      <c r="O151" s="9">
        <v>-46</v>
      </c>
    </row>
    <row r="152" spans="1:15" ht="19.5" customHeight="1">
      <c r="A152" s="1" t="s">
        <v>806</v>
      </c>
      <c r="B152" s="5">
        <v>45944</v>
      </c>
      <c r="C152" s="1" t="s">
        <v>17</v>
      </c>
      <c r="D152" s="1" t="s">
        <v>47</v>
      </c>
      <c r="E152" s="1" t="s">
        <v>25</v>
      </c>
      <c r="F152" s="1" t="s">
        <v>26</v>
      </c>
      <c r="G152" s="1" t="s">
        <v>21</v>
      </c>
      <c r="H152" s="6">
        <v>1</v>
      </c>
      <c r="I152" s="7">
        <v>0</v>
      </c>
      <c r="J152" s="5">
        <v>45940</v>
      </c>
      <c r="K152" s="1" t="s">
        <v>30</v>
      </c>
      <c r="L152" s="8">
        <v>0</v>
      </c>
      <c r="M152" s="6"/>
      <c r="N152" s="6"/>
      <c r="O152" s="9">
        <v>-15</v>
      </c>
    </row>
    <row r="153" spans="1:15" ht="19.5" customHeight="1">
      <c r="A153" s="1" t="s">
        <v>22</v>
      </c>
      <c r="B153" s="5">
        <v>45944</v>
      </c>
      <c r="C153" s="1" t="s">
        <v>77</v>
      </c>
      <c r="D153" s="1" t="s">
        <v>80</v>
      </c>
      <c r="E153" s="1" t="s">
        <v>22</v>
      </c>
      <c r="F153" s="1" t="s">
        <v>22</v>
      </c>
      <c r="G153" s="1" t="s">
        <v>22</v>
      </c>
      <c r="H153" s="6">
        <v>0</v>
      </c>
      <c r="I153" s="7">
        <v>0</v>
      </c>
      <c r="J153" s="5">
        <v>45944</v>
      </c>
      <c r="K153" s="1" t="s">
        <v>22</v>
      </c>
      <c r="L153" s="8">
        <v>0</v>
      </c>
      <c r="M153" s="6"/>
      <c r="N153" s="6"/>
      <c r="O153" s="9">
        <v>-216</v>
      </c>
    </row>
    <row r="154" spans="1:15" ht="19.5" customHeight="1">
      <c r="A154" s="1" t="s">
        <v>83</v>
      </c>
      <c r="B154" s="5">
        <v>45944</v>
      </c>
      <c r="C154" s="1" t="s">
        <v>77</v>
      </c>
      <c r="D154" s="1" t="s">
        <v>84</v>
      </c>
      <c r="E154" s="1" t="s">
        <v>22</v>
      </c>
      <c r="F154" s="1" t="s">
        <v>22</v>
      </c>
      <c r="G154" s="1" t="s">
        <v>22</v>
      </c>
      <c r="H154" s="6">
        <v>0</v>
      </c>
      <c r="I154" s="7">
        <v>0</v>
      </c>
      <c r="J154" s="5">
        <v>45944</v>
      </c>
      <c r="K154" s="1" t="s">
        <v>22</v>
      </c>
      <c r="L154" s="8">
        <v>0</v>
      </c>
      <c r="M154" s="6"/>
      <c r="N154" s="6"/>
      <c r="O154" s="9">
        <v>-439.74</v>
      </c>
    </row>
    <row r="155" spans="1:15" ht="19.5" customHeight="1">
      <c r="A155" s="1" t="s">
        <v>807</v>
      </c>
      <c r="B155" s="5">
        <v>45944</v>
      </c>
      <c r="C155" s="1" t="s">
        <v>77</v>
      </c>
      <c r="D155" s="1" t="s">
        <v>82</v>
      </c>
      <c r="E155" s="1" t="s">
        <v>22</v>
      </c>
      <c r="F155" s="1" t="s">
        <v>22</v>
      </c>
      <c r="G155" s="1" t="s">
        <v>22</v>
      </c>
      <c r="H155" s="6">
        <v>0</v>
      </c>
      <c r="I155" s="7">
        <v>0</v>
      </c>
      <c r="J155" s="5">
        <v>45944</v>
      </c>
      <c r="K155" s="1" t="s">
        <v>22</v>
      </c>
      <c r="L155" s="8">
        <v>0</v>
      </c>
      <c r="M155" s="6"/>
      <c r="N155" s="6"/>
      <c r="O155" s="9">
        <v>-289.48</v>
      </c>
    </row>
    <row r="156" spans="1:15" ht="19.5" customHeight="1">
      <c r="A156" s="1" t="s">
        <v>808</v>
      </c>
      <c r="B156" s="5">
        <v>45944</v>
      </c>
      <c r="C156" s="1" t="s">
        <v>77</v>
      </c>
      <c r="D156" s="1" t="s">
        <v>82</v>
      </c>
      <c r="E156" s="1" t="s">
        <v>22</v>
      </c>
      <c r="F156" s="1" t="s">
        <v>22</v>
      </c>
      <c r="G156" s="1" t="s">
        <v>22</v>
      </c>
      <c r="H156" s="6">
        <v>0</v>
      </c>
      <c r="I156" s="7">
        <v>0</v>
      </c>
      <c r="J156" s="5">
        <v>45944</v>
      </c>
      <c r="K156" s="1" t="s">
        <v>22</v>
      </c>
      <c r="L156" s="8">
        <v>0</v>
      </c>
      <c r="M156" s="6"/>
      <c r="N156" s="6"/>
      <c r="O156" s="9">
        <v>-222.62</v>
      </c>
    </row>
    <row r="157" spans="1:15" ht="19.5" customHeight="1">
      <c r="A157" s="1" t="s">
        <v>809</v>
      </c>
      <c r="B157" s="5">
        <v>45944</v>
      </c>
      <c r="C157" s="1" t="s">
        <v>77</v>
      </c>
      <c r="D157" s="1" t="s">
        <v>82</v>
      </c>
      <c r="E157" s="1" t="s">
        <v>22</v>
      </c>
      <c r="F157" s="1" t="s">
        <v>22</v>
      </c>
      <c r="G157" s="1" t="s">
        <v>22</v>
      </c>
      <c r="H157" s="6">
        <v>0</v>
      </c>
      <c r="I157" s="7">
        <v>0</v>
      </c>
      <c r="J157" s="5">
        <v>45944</v>
      </c>
      <c r="K157" s="1" t="s">
        <v>22</v>
      </c>
      <c r="L157" s="8">
        <v>0</v>
      </c>
      <c r="M157" s="6"/>
      <c r="N157" s="6"/>
      <c r="O157" s="9">
        <v>-964.24</v>
      </c>
    </row>
    <row r="158" spans="1:15" ht="19.5" customHeight="1">
      <c r="A158" s="1" t="s">
        <v>810</v>
      </c>
      <c r="B158" s="5">
        <v>45944</v>
      </c>
      <c r="C158" s="1" t="s">
        <v>77</v>
      </c>
      <c r="D158" s="1" t="s">
        <v>82</v>
      </c>
      <c r="E158" s="1" t="s">
        <v>22</v>
      </c>
      <c r="F158" s="1" t="s">
        <v>22</v>
      </c>
      <c r="G158" s="1" t="s">
        <v>22</v>
      </c>
      <c r="H158" s="6">
        <v>0</v>
      </c>
      <c r="I158" s="7">
        <v>0</v>
      </c>
      <c r="J158" s="5">
        <v>45944</v>
      </c>
      <c r="K158" s="1" t="s">
        <v>22</v>
      </c>
      <c r="L158" s="8">
        <v>0</v>
      </c>
      <c r="M158" s="6"/>
      <c r="N158" s="6"/>
      <c r="O158" s="9">
        <v>-356.28</v>
      </c>
    </row>
    <row r="159" spans="1:15" ht="19.5" customHeight="1">
      <c r="A159" s="1" t="s">
        <v>811</v>
      </c>
      <c r="B159" s="5">
        <v>45944</v>
      </c>
      <c r="C159" s="1" t="s">
        <v>77</v>
      </c>
      <c r="D159" s="1" t="s">
        <v>82</v>
      </c>
      <c r="E159" s="1" t="s">
        <v>22</v>
      </c>
      <c r="F159" s="1" t="s">
        <v>22</v>
      </c>
      <c r="G159" s="1" t="s">
        <v>22</v>
      </c>
      <c r="H159" s="6">
        <v>0</v>
      </c>
      <c r="I159" s="7">
        <v>0</v>
      </c>
      <c r="J159" s="5">
        <v>45944</v>
      </c>
      <c r="K159" s="1" t="s">
        <v>22</v>
      </c>
      <c r="L159" s="8">
        <v>0</v>
      </c>
      <c r="M159" s="6"/>
      <c r="N159" s="6"/>
      <c r="O159" s="9">
        <v>-595.14</v>
      </c>
    </row>
    <row r="160" spans="1:15" ht="19.5" customHeight="1">
      <c r="A160" s="1" t="s">
        <v>812</v>
      </c>
      <c r="B160" s="5">
        <v>45945</v>
      </c>
      <c r="C160" s="1" t="s">
        <v>28</v>
      </c>
      <c r="D160" s="1" t="s">
        <v>29</v>
      </c>
      <c r="E160" s="1" t="s">
        <v>25</v>
      </c>
      <c r="F160" s="1" t="s">
        <v>26</v>
      </c>
      <c r="G160" s="1" t="s">
        <v>21</v>
      </c>
      <c r="H160" s="6">
        <v>1</v>
      </c>
      <c r="I160" s="7">
        <v>0</v>
      </c>
      <c r="J160" s="5">
        <v>45939</v>
      </c>
      <c r="K160" s="1" t="s">
        <v>30</v>
      </c>
      <c r="L160" s="8">
        <v>0</v>
      </c>
      <c r="M160" s="6"/>
      <c r="N160" s="6"/>
      <c r="O160" s="9">
        <v>-46</v>
      </c>
    </row>
    <row r="161" spans="1:15" ht="19.5" customHeight="1">
      <c r="A161" s="1" t="s">
        <v>812</v>
      </c>
      <c r="B161" s="5">
        <v>45945</v>
      </c>
      <c r="C161" s="1" t="s">
        <v>17</v>
      </c>
      <c r="D161" s="1" t="s">
        <v>37</v>
      </c>
      <c r="E161" s="1" t="s">
        <v>25</v>
      </c>
      <c r="F161" s="1" t="s">
        <v>26</v>
      </c>
      <c r="G161" s="1" t="s">
        <v>21</v>
      </c>
      <c r="H161" s="6">
        <v>1</v>
      </c>
      <c r="I161" s="7">
        <v>0</v>
      </c>
      <c r="J161" s="5">
        <v>45939</v>
      </c>
      <c r="K161" s="1" t="s">
        <v>30</v>
      </c>
      <c r="L161" s="8">
        <v>0</v>
      </c>
      <c r="M161" s="6"/>
      <c r="N161" s="6"/>
      <c r="O161" s="9">
        <v>-8.77</v>
      </c>
    </row>
    <row r="162" spans="1:15" ht="19.5" customHeight="1">
      <c r="A162" s="1" t="s">
        <v>812</v>
      </c>
      <c r="B162" s="5">
        <v>45945</v>
      </c>
      <c r="C162" s="1" t="s">
        <v>28</v>
      </c>
      <c r="D162" s="1" t="s">
        <v>45</v>
      </c>
      <c r="E162" s="1" t="s">
        <v>25</v>
      </c>
      <c r="F162" s="1" t="s">
        <v>26</v>
      </c>
      <c r="G162" s="1" t="s">
        <v>21</v>
      </c>
      <c r="H162" s="6">
        <v>1</v>
      </c>
      <c r="I162" s="7">
        <v>0</v>
      </c>
      <c r="J162" s="5">
        <v>45939</v>
      </c>
      <c r="K162" s="1" t="s">
        <v>30</v>
      </c>
      <c r="L162" s="8">
        <v>0</v>
      </c>
      <c r="M162" s="6"/>
      <c r="N162" s="6"/>
      <c r="O162" s="9">
        <v>0</v>
      </c>
    </row>
    <row r="163" spans="1:15" ht="19.5" customHeight="1">
      <c r="A163" s="1" t="s">
        <v>812</v>
      </c>
      <c r="B163" s="5">
        <v>45945</v>
      </c>
      <c r="C163" s="1" t="s">
        <v>28</v>
      </c>
      <c r="D163" s="1" t="s">
        <v>46</v>
      </c>
      <c r="E163" s="1" t="s">
        <v>25</v>
      </c>
      <c r="F163" s="1" t="s">
        <v>26</v>
      </c>
      <c r="G163" s="1" t="s">
        <v>21</v>
      </c>
      <c r="H163" s="6">
        <v>1</v>
      </c>
      <c r="I163" s="7">
        <v>0</v>
      </c>
      <c r="J163" s="5">
        <v>45939</v>
      </c>
      <c r="K163" s="1" t="s">
        <v>30</v>
      </c>
      <c r="L163" s="8">
        <v>0</v>
      </c>
      <c r="M163" s="6"/>
      <c r="N163" s="6"/>
      <c r="O163" s="9">
        <v>-46</v>
      </c>
    </row>
    <row r="164" spans="1:15" ht="19.5" customHeight="1">
      <c r="A164" s="1" t="s">
        <v>812</v>
      </c>
      <c r="B164" s="5">
        <v>45945</v>
      </c>
      <c r="C164" s="1" t="s">
        <v>17</v>
      </c>
      <c r="D164" s="1" t="s">
        <v>47</v>
      </c>
      <c r="E164" s="1" t="s">
        <v>25</v>
      </c>
      <c r="F164" s="1" t="s">
        <v>26</v>
      </c>
      <c r="G164" s="1" t="s">
        <v>21</v>
      </c>
      <c r="H164" s="6">
        <v>1</v>
      </c>
      <c r="I164" s="7">
        <v>0</v>
      </c>
      <c r="J164" s="5">
        <v>45939</v>
      </c>
      <c r="K164" s="1" t="s">
        <v>30</v>
      </c>
      <c r="L164" s="8">
        <v>0</v>
      </c>
      <c r="M164" s="6"/>
      <c r="N164" s="6"/>
      <c r="O164" s="9">
        <v>-15</v>
      </c>
    </row>
    <row r="165" spans="1:15" ht="19.5" customHeight="1">
      <c r="A165" s="1" t="s">
        <v>813</v>
      </c>
      <c r="B165" s="5">
        <v>45945</v>
      </c>
      <c r="C165" s="1" t="s">
        <v>28</v>
      </c>
      <c r="D165" s="1" t="s">
        <v>29</v>
      </c>
      <c r="E165" s="1" t="s">
        <v>237</v>
      </c>
      <c r="F165" s="1" t="s">
        <v>792</v>
      </c>
      <c r="G165" s="1" t="s">
        <v>41</v>
      </c>
      <c r="H165" s="6">
        <v>1</v>
      </c>
      <c r="I165" s="7">
        <v>0</v>
      </c>
      <c r="J165" s="5">
        <v>45929</v>
      </c>
      <c r="K165" s="1" t="s">
        <v>30</v>
      </c>
      <c r="L165" s="8">
        <v>0</v>
      </c>
      <c r="M165" s="6"/>
      <c r="N165" s="6"/>
      <c r="O165" s="9">
        <v>-56</v>
      </c>
    </row>
    <row r="166" spans="1:15" ht="19.5" customHeight="1">
      <c r="A166" s="1" t="s">
        <v>813</v>
      </c>
      <c r="B166" s="5">
        <v>45945</v>
      </c>
      <c r="C166" s="1" t="s">
        <v>17</v>
      </c>
      <c r="D166" s="1" t="s">
        <v>37</v>
      </c>
      <c r="E166" s="1" t="s">
        <v>237</v>
      </c>
      <c r="F166" s="1" t="s">
        <v>792</v>
      </c>
      <c r="G166" s="1" t="s">
        <v>41</v>
      </c>
      <c r="H166" s="6">
        <v>1</v>
      </c>
      <c r="I166" s="7">
        <v>0</v>
      </c>
      <c r="J166" s="5">
        <v>45929</v>
      </c>
      <c r="K166" s="1" t="s">
        <v>30</v>
      </c>
      <c r="L166" s="8">
        <v>0</v>
      </c>
      <c r="M166" s="6"/>
      <c r="N166" s="6"/>
      <c r="O166" s="9">
        <v>-17.850000000000001</v>
      </c>
    </row>
    <row r="167" spans="1:15" ht="19.5" customHeight="1">
      <c r="A167" s="1" t="s">
        <v>813</v>
      </c>
      <c r="B167" s="5">
        <v>45945</v>
      </c>
      <c r="C167" s="1" t="s">
        <v>28</v>
      </c>
      <c r="D167" s="1" t="s">
        <v>45</v>
      </c>
      <c r="E167" s="1" t="s">
        <v>237</v>
      </c>
      <c r="F167" s="1" t="s">
        <v>792</v>
      </c>
      <c r="G167" s="1" t="s">
        <v>41</v>
      </c>
      <c r="H167" s="6">
        <v>1</v>
      </c>
      <c r="I167" s="7">
        <v>0</v>
      </c>
      <c r="J167" s="5">
        <v>45929</v>
      </c>
      <c r="K167" s="1" t="s">
        <v>30</v>
      </c>
      <c r="L167" s="8">
        <v>0</v>
      </c>
      <c r="M167" s="6"/>
      <c r="N167" s="6"/>
      <c r="O167" s="9">
        <v>0</v>
      </c>
    </row>
    <row r="168" spans="1:15" ht="19.5" customHeight="1">
      <c r="A168" s="1" t="s">
        <v>813</v>
      </c>
      <c r="B168" s="5">
        <v>45945</v>
      </c>
      <c r="C168" s="1" t="s">
        <v>28</v>
      </c>
      <c r="D168" s="1" t="s">
        <v>46</v>
      </c>
      <c r="E168" s="1" t="s">
        <v>237</v>
      </c>
      <c r="F168" s="1" t="s">
        <v>792</v>
      </c>
      <c r="G168" s="1" t="s">
        <v>41</v>
      </c>
      <c r="H168" s="6">
        <v>1</v>
      </c>
      <c r="I168" s="7">
        <v>0</v>
      </c>
      <c r="J168" s="5">
        <v>45929</v>
      </c>
      <c r="K168" s="1" t="s">
        <v>30</v>
      </c>
      <c r="L168" s="8">
        <v>0</v>
      </c>
      <c r="M168" s="6"/>
      <c r="N168" s="6"/>
      <c r="O168" s="9">
        <v>-56</v>
      </c>
    </row>
    <row r="169" spans="1:15" ht="19.5" customHeight="1">
      <c r="A169" s="1" t="s">
        <v>813</v>
      </c>
      <c r="B169" s="5">
        <v>45945</v>
      </c>
      <c r="C169" s="1" t="s">
        <v>17</v>
      </c>
      <c r="D169" s="1" t="s">
        <v>47</v>
      </c>
      <c r="E169" s="1" t="s">
        <v>237</v>
      </c>
      <c r="F169" s="1" t="s">
        <v>792</v>
      </c>
      <c r="G169" s="1" t="s">
        <v>41</v>
      </c>
      <c r="H169" s="6">
        <v>1</v>
      </c>
      <c r="I169" s="7">
        <v>0</v>
      </c>
      <c r="J169" s="5">
        <v>45929</v>
      </c>
      <c r="K169" s="1" t="s">
        <v>30</v>
      </c>
      <c r="L169" s="8">
        <v>0</v>
      </c>
      <c r="M169" s="6"/>
      <c r="N169" s="6"/>
      <c r="O169" s="9">
        <v>-15</v>
      </c>
    </row>
    <row r="170" spans="1:15" ht="19.5" customHeight="1">
      <c r="A170" s="1" t="s">
        <v>814</v>
      </c>
      <c r="B170" s="5">
        <v>45945</v>
      </c>
      <c r="C170" s="1" t="s">
        <v>17</v>
      </c>
      <c r="D170" s="1" t="s">
        <v>18</v>
      </c>
      <c r="E170" s="1" t="s">
        <v>226</v>
      </c>
      <c r="F170" s="1" t="s">
        <v>428</v>
      </c>
      <c r="G170" s="1" t="s">
        <v>21</v>
      </c>
      <c r="H170" s="6">
        <v>1</v>
      </c>
      <c r="I170" s="7">
        <v>0</v>
      </c>
      <c r="J170" s="5">
        <v>45945</v>
      </c>
      <c r="K170" s="1" t="s">
        <v>22</v>
      </c>
      <c r="L170" s="8">
        <v>0</v>
      </c>
      <c r="M170" s="6"/>
      <c r="N170" s="6"/>
      <c r="O170" s="9">
        <v>-14.43</v>
      </c>
    </row>
    <row r="171" spans="1:15" ht="19.5" customHeight="1">
      <c r="A171" s="1" t="s">
        <v>777</v>
      </c>
      <c r="B171" s="5">
        <v>45945</v>
      </c>
      <c r="C171" s="1" t="s">
        <v>17</v>
      </c>
      <c r="D171" s="1" t="s">
        <v>18</v>
      </c>
      <c r="E171" s="1" t="s">
        <v>25</v>
      </c>
      <c r="F171" s="1" t="s">
        <v>26</v>
      </c>
      <c r="G171" s="1" t="s">
        <v>21</v>
      </c>
      <c r="H171" s="6">
        <v>1</v>
      </c>
      <c r="I171" s="7">
        <v>0</v>
      </c>
      <c r="J171" s="5">
        <v>45943</v>
      </c>
      <c r="K171" s="1" t="s">
        <v>22</v>
      </c>
      <c r="L171" s="8">
        <v>0</v>
      </c>
      <c r="M171" s="6"/>
      <c r="N171" s="6"/>
      <c r="O171" s="9">
        <v>12.5</v>
      </c>
    </row>
    <row r="172" spans="1:15" ht="19.5" customHeight="1">
      <c r="A172" s="1" t="s">
        <v>122</v>
      </c>
      <c r="B172" s="5">
        <v>45945</v>
      </c>
      <c r="C172" s="1" t="s">
        <v>17</v>
      </c>
      <c r="D172" s="1" t="s">
        <v>18</v>
      </c>
      <c r="E172" s="1" t="s">
        <v>70</v>
      </c>
      <c r="F172" s="1" t="s">
        <v>71</v>
      </c>
      <c r="G172" s="1" t="s">
        <v>41</v>
      </c>
      <c r="H172" s="6">
        <v>1</v>
      </c>
      <c r="I172" s="7">
        <v>0</v>
      </c>
      <c r="J172" s="5">
        <v>45938</v>
      </c>
      <c r="K172" s="1" t="s">
        <v>22</v>
      </c>
      <c r="L172" s="8">
        <v>0</v>
      </c>
      <c r="M172" s="6"/>
      <c r="N172" s="6"/>
      <c r="O172" s="9">
        <v>50.35</v>
      </c>
    </row>
    <row r="173" spans="1:15" ht="19.5" customHeight="1">
      <c r="A173" s="1" t="s">
        <v>815</v>
      </c>
      <c r="B173" s="5">
        <v>45945</v>
      </c>
      <c r="C173" s="1" t="s">
        <v>28</v>
      </c>
      <c r="D173" s="1" t="s">
        <v>29</v>
      </c>
      <c r="E173" s="1" t="s">
        <v>62</v>
      </c>
      <c r="F173" s="1" t="s">
        <v>63</v>
      </c>
      <c r="G173" s="1" t="s">
        <v>41</v>
      </c>
      <c r="H173" s="6">
        <v>1</v>
      </c>
      <c r="I173" s="7">
        <v>3690</v>
      </c>
      <c r="J173" s="5">
        <v>45935</v>
      </c>
      <c r="K173" s="1" t="s">
        <v>30</v>
      </c>
      <c r="L173" s="8">
        <v>0.24</v>
      </c>
      <c r="M173" s="6"/>
      <c r="N173" s="6"/>
      <c r="O173" s="9">
        <v>-56</v>
      </c>
    </row>
    <row r="174" spans="1:15" ht="19.5" customHeight="1">
      <c r="A174" s="1" t="s">
        <v>815</v>
      </c>
      <c r="B174" s="5">
        <v>45945</v>
      </c>
      <c r="C174" s="1" t="s">
        <v>31</v>
      </c>
      <c r="D174" s="1" t="s">
        <v>32</v>
      </c>
      <c r="E174" s="1" t="s">
        <v>62</v>
      </c>
      <c r="F174" s="1" t="s">
        <v>63</v>
      </c>
      <c r="G174" s="1" t="s">
        <v>41</v>
      </c>
      <c r="H174" s="6">
        <v>1</v>
      </c>
      <c r="I174" s="7">
        <v>3690</v>
      </c>
      <c r="J174" s="5">
        <v>45935</v>
      </c>
      <c r="K174" s="1" t="s">
        <v>30</v>
      </c>
      <c r="L174" s="8">
        <v>0</v>
      </c>
      <c r="M174" s="6"/>
      <c r="N174" s="6"/>
      <c r="O174" s="9">
        <v>2213.33</v>
      </c>
    </row>
    <row r="175" spans="1:15" ht="19.5" customHeight="1">
      <c r="A175" s="1" t="s">
        <v>815</v>
      </c>
      <c r="B175" s="5">
        <v>45945</v>
      </c>
      <c r="C175" s="1" t="s">
        <v>31</v>
      </c>
      <c r="D175" s="1" t="s">
        <v>33</v>
      </c>
      <c r="E175" s="1" t="s">
        <v>62</v>
      </c>
      <c r="F175" s="1" t="s">
        <v>63</v>
      </c>
      <c r="G175" s="1" t="s">
        <v>41</v>
      </c>
      <c r="H175" s="6">
        <v>1</v>
      </c>
      <c r="I175" s="7">
        <v>3690</v>
      </c>
      <c r="J175" s="5">
        <v>45935</v>
      </c>
      <c r="K175" s="1" t="s">
        <v>30</v>
      </c>
      <c r="L175" s="8">
        <v>0</v>
      </c>
      <c r="M175" s="6"/>
      <c r="N175" s="6"/>
      <c r="O175" s="9">
        <v>0</v>
      </c>
    </row>
    <row r="176" spans="1:15" ht="19.5" customHeight="1">
      <c r="A176" s="1" t="s">
        <v>815</v>
      </c>
      <c r="B176" s="5">
        <v>45945</v>
      </c>
      <c r="C176" s="1" t="s">
        <v>31</v>
      </c>
      <c r="D176" s="1" t="s">
        <v>34</v>
      </c>
      <c r="E176" s="1" t="s">
        <v>62</v>
      </c>
      <c r="F176" s="1" t="s">
        <v>63</v>
      </c>
      <c r="G176" s="1" t="s">
        <v>41</v>
      </c>
      <c r="H176" s="6">
        <v>1</v>
      </c>
      <c r="I176" s="7">
        <v>3690</v>
      </c>
      <c r="J176" s="5">
        <v>45935</v>
      </c>
      <c r="K176" s="1" t="s">
        <v>30</v>
      </c>
      <c r="L176" s="8">
        <v>0</v>
      </c>
      <c r="M176" s="6"/>
      <c r="N176" s="6"/>
      <c r="O176" s="9">
        <v>1476.67</v>
      </c>
    </row>
    <row r="177" spans="1:15" ht="19.5" customHeight="1">
      <c r="A177" s="1" t="s">
        <v>815</v>
      </c>
      <c r="B177" s="5">
        <v>45945</v>
      </c>
      <c r="C177" s="1" t="s">
        <v>35</v>
      </c>
      <c r="D177" s="1" t="s">
        <v>36</v>
      </c>
      <c r="E177" s="1" t="s">
        <v>62</v>
      </c>
      <c r="F177" s="1" t="s">
        <v>63</v>
      </c>
      <c r="G177" s="1" t="s">
        <v>41</v>
      </c>
      <c r="H177" s="6">
        <v>1</v>
      </c>
      <c r="I177" s="7">
        <v>3690</v>
      </c>
      <c r="J177" s="5">
        <v>45935</v>
      </c>
      <c r="K177" s="1" t="s">
        <v>30</v>
      </c>
      <c r="L177" s="8">
        <v>0.24</v>
      </c>
      <c r="M177" s="6"/>
      <c r="N177" s="6"/>
      <c r="O177" s="9">
        <v>-885.6</v>
      </c>
    </row>
    <row r="178" spans="1:15" ht="19.5" customHeight="1">
      <c r="A178" s="1" t="s">
        <v>816</v>
      </c>
      <c r="B178" s="5">
        <v>45945</v>
      </c>
      <c r="C178" s="1" t="s">
        <v>28</v>
      </c>
      <c r="D178" s="1" t="s">
        <v>29</v>
      </c>
      <c r="E178" s="1" t="s">
        <v>70</v>
      </c>
      <c r="F178" s="1" t="s">
        <v>71</v>
      </c>
      <c r="G178" s="1" t="s">
        <v>41</v>
      </c>
      <c r="H178" s="6">
        <v>1</v>
      </c>
      <c r="I178" s="7">
        <v>3690</v>
      </c>
      <c r="J178" s="5">
        <v>45933</v>
      </c>
      <c r="K178" s="1" t="s">
        <v>30</v>
      </c>
      <c r="L178" s="8">
        <v>0.24</v>
      </c>
      <c r="M178" s="6"/>
      <c r="N178" s="6"/>
      <c r="O178" s="9">
        <v>-56</v>
      </c>
    </row>
    <row r="179" spans="1:15" ht="19.5" customHeight="1">
      <c r="A179" s="1" t="s">
        <v>816</v>
      </c>
      <c r="B179" s="5">
        <v>45945</v>
      </c>
      <c r="C179" s="1" t="s">
        <v>31</v>
      </c>
      <c r="D179" s="1" t="s">
        <v>32</v>
      </c>
      <c r="E179" s="1" t="s">
        <v>70</v>
      </c>
      <c r="F179" s="1" t="s">
        <v>71</v>
      </c>
      <c r="G179" s="1" t="s">
        <v>41</v>
      </c>
      <c r="H179" s="6">
        <v>1</v>
      </c>
      <c r="I179" s="7">
        <v>3690</v>
      </c>
      <c r="J179" s="5">
        <v>45933</v>
      </c>
      <c r="K179" s="1" t="s">
        <v>30</v>
      </c>
      <c r="L179" s="8">
        <v>0</v>
      </c>
      <c r="M179" s="6"/>
      <c r="N179" s="6"/>
      <c r="O179" s="9">
        <v>1978.12</v>
      </c>
    </row>
    <row r="180" spans="1:15" ht="19.5" customHeight="1">
      <c r="A180" s="1" t="s">
        <v>816</v>
      </c>
      <c r="B180" s="5">
        <v>45945</v>
      </c>
      <c r="C180" s="1" t="s">
        <v>31</v>
      </c>
      <c r="D180" s="1" t="s">
        <v>33</v>
      </c>
      <c r="E180" s="1" t="s">
        <v>70</v>
      </c>
      <c r="F180" s="1" t="s">
        <v>71</v>
      </c>
      <c r="G180" s="1" t="s">
        <v>41</v>
      </c>
      <c r="H180" s="6">
        <v>1</v>
      </c>
      <c r="I180" s="7">
        <v>3690</v>
      </c>
      <c r="J180" s="5">
        <v>45933</v>
      </c>
      <c r="K180" s="1" t="s">
        <v>30</v>
      </c>
      <c r="L180" s="8">
        <v>0</v>
      </c>
      <c r="M180" s="6"/>
      <c r="N180" s="6"/>
      <c r="O180" s="9">
        <v>19.78</v>
      </c>
    </row>
    <row r="181" spans="1:15" ht="19.5" customHeight="1">
      <c r="A181" s="1" t="s">
        <v>816</v>
      </c>
      <c r="B181" s="5">
        <v>45945</v>
      </c>
      <c r="C181" s="1" t="s">
        <v>31</v>
      </c>
      <c r="D181" s="1" t="s">
        <v>34</v>
      </c>
      <c r="E181" s="1" t="s">
        <v>70</v>
      </c>
      <c r="F181" s="1" t="s">
        <v>71</v>
      </c>
      <c r="G181" s="1" t="s">
        <v>41</v>
      </c>
      <c r="H181" s="6">
        <v>1</v>
      </c>
      <c r="I181" s="7">
        <v>3690</v>
      </c>
      <c r="J181" s="5">
        <v>45933</v>
      </c>
      <c r="K181" s="1" t="s">
        <v>30</v>
      </c>
      <c r="L181" s="8">
        <v>0</v>
      </c>
      <c r="M181" s="6"/>
      <c r="N181" s="6"/>
      <c r="O181" s="9">
        <v>1692.1</v>
      </c>
    </row>
    <row r="182" spans="1:15" ht="19.5" customHeight="1">
      <c r="A182" s="1" t="s">
        <v>816</v>
      </c>
      <c r="B182" s="5">
        <v>45945</v>
      </c>
      <c r="C182" s="1" t="s">
        <v>35</v>
      </c>
      <c r="D182" s="1" t="s">
        <v>36</v>
      </c>
      <c r="E182" s="1" t="s">
        <v>70</v>
      </c>
      <c r="F182" s="1" t="s">
        <v>71</v>
      </c>
      <c r="G182" s="1" t="s">
        <v>41</v>
      </c>
      <c r="H182" s="6">
        <v>1</v>
      </c>
      <c r="I182" s="7">
        <v>3690</v>
      </c>
      <c r="J182" s="5">
        <v>45933</v>
      </c>
      <c r="K182" s="1" t="s">
        <v>30</v>
      </c>
      <c r="L182" s="8">
        <v>0.24</v>
      </c>
      <c r="M182" s="6"/>
      <c r="N182" s="6"/>
      <c r="O182" s="9">
        <v>-885.6</v>
      </c>
    </row>
    <row r="183" spans="1:15" ht="19.5" customHeight="1">
      <c r="A183" s="1" t="s">
        <v>816</v>
      </c>
      <c r="B183" s="5">
        <v>45945</v>
      </c>
      <c r="C183" s="1" t="s">
        <v>17</v>
      </c>
      <c r="D183" s="1" t="s">
        <v>37</v>
      </c>
      <c r="E183" s="1" t="s">
        <v>70</v>
      </c>
      <c r="F183" s="1" t="s">
        <v>71</v>
      </c>
      <c r="G183" s="1" t="s">
        <v>41</v>
      </c>
      <c r="H183" s="6">
        <v>1</v>
      </c>
      <c r="I183" s="7">
        <v>3690</v>
      </c>
      <c r="J183" s="5">
        <v>45933</v>
      </c>
      <c r="K183" s="1" t="s">
        <v>30</v>
      </c>
      <c r="L183" s="8">
        <v>0.24</v>
      </c>
      <c r="M183" s="6"/>
      <c r="N183" s="6"/>
      <c r="O183" s="9">
        <v>-11.97</v>
      </c>
    </row>
    <row r="184" spans="1:15" ht="19.5" customHeight="1">
      <c r="A184" s="1" t="s">
        <v>815</v>
      </c>
      <c r="B184" s="5">
        <v>45945</v>
      </c>
      <c r="C184" s="1" t="s">
        <v>17</v>
      </c>
      <c r="D184" s="1" t="s">
        <v>18</v>
      </c>
      <c r="E184" s="1" t="s">
        <v>62</v>
      </c>
      <c r="F184" s="1" t="s">
        <v>63</v>
      </c>
      <c r="G184" s="1" t="s">
        <v>41</v>
      </c>
      <c r="H184" s="6">
        <v>1</v>
      </c>
      <c r="I184" s="7">
        <v>0</v>
      </c>
      <c r="J184" s="5">
        <v>45935</v>
      </c>
      <c r="K184" s="1" t="s">
        <v>22</v>
      </c>
      <c r="L184" s="8">
        <v>0</v>
      </c>
      <c r="M184" s="6"/>
      <c r="N184" s="6"/>
      <c r="O184" s="9">
        <v>-16.16</v>
      </c>
    </row>
    <row r="185" spans="1:15" ht="19.5" customHeight="1">
      <c r="A185" s="1" t="s">
        <v>816</v>
      </c>
      <c r="B185" s="5">
        <v>45945</v>
      </c>
      <c r="C185" s="1" t="s">
        <v>17</v>
      </c>
      <c r="D185" s="1" t="s">
        <v>18</v>
      </c>
      <c r="E185" s="1" t="s">
        <v>70</v>
      </c>
      <c r="F185" s="1" t="s">
        <v>71</v>
      </c>
      <c r="G185" s="1" t="s">
        <v>41</v>
      </c>
      <c r="H185" s="6">
        <v>1</v>
      </c>
      <c r="I185" s="7">
        <v>0</v>
      </c>
      <c r="J185" s="5">
        <v>45933</v>
      </c>
      <c r="K185" s="1" t="s">
        <v>22</v>
      </c>
      <c r="L185" s="8">
        <v>0</v>
      </c>
      <c r="M185" s="6"/>
      <c r="N185" s="6"/>
      <c r="O185" s="9">
        <v>-37.58</v>
      </c>
    </row>
    <row r="186" spans="1:15" ht="19.5" customHeight="1">
      <c r="A186" s="1" t="s">
        <v>817</v>
      </c>
      <c r="B186" s="5">
        <v>45945</v>
      </c>
      <c r="C186" s="1" t="s">
        <v>28</v>
      </c>
      <c r="D186" s="1" t="s">
        <v>29</v>
      </c>
      <c r="E186" s="1" t="s">
        <v>54</v>
      </c>
      <c r="F186" s="1" t="s">
        <v>55</v>
      </c>
      <c r="G186" s="1" t="s">
        <v>21</v>
      </c>
      <c r="H186" s="6">
        <v>1</v>
      </c>
      <c r="I186" s="7">
        <v>1142</v>
      </c>
      <c r="J186" s="5">
        <v>45943</v>
      </c>
      <c r="K186" s="1" t="s">
        <v>30</v>
      </c>
      <c r="L186" s="8">
        <v>0.26</v>
      </c>
      <c r="M186" s="6"/>
      <c r="N186" s="6"/>
      <c r="O186" s="9">
        <v>-46</v>
      </c>
    </row>
    <row r="187" spans="1:15" ht="19.5" customHeight="1">
      <c r="A187" s="1" t="s">
        <v>817</v>
      </c>
      <c r="B187" s="5">
        <v>45945</v>
      </c>
      <c r="C187" s="1" t="s">
        <v>31</v>
      </c>
      <c r="D187" s="1" t="s">
        <v>32</v>
      </c>
      <c r="E187" s="1" t="s">
        <v>54</v>
      </c>
      <c r="F187" s="1" t="s">
        <v>55</v>
      </c>
      <c r="G187" s="1" t="s">
        <v>21</v>
      </c>
      <c r="H187" s="6">
        <v>1</v>
      </c>
      <c r="I187" s="7">
        <v>1142</v>
      </c>
      <c r="J187" s="5">
        <v>45943</v>
      </c>
      <c r="K187" s="1" t="s">
        <v>30</v>
      </c>
      <c r="L187" s="8">
        <v>0</v>
      </c>
      <c r="M187" s="6"/>
      <c r="N187" s="6"/>
      <c r="O187" s="9">
        <v>659</v>
      </c>
    </row>
    <row r="188" spans="1:15" ht="19.5" customHeight="1">
      <c r="A188" s="1" t="s">
        <v>817</v>
      </c>
      <c r="B188" s="5">
        <v>45945</v>
      </c>
      <c r="C188" s="1" t="s">
        <v>31</v>
      </c>
      <c r="D188" s="1" t="s">
        <v>33</v>
      </c>
      <c r="E188" s="1" t="s">
        <v>54</v>
      </c>
      <c r="F188" s="1" t="s">
        <v>55</v>
      </c>
      <c r="G188" s="1" t="s">
        <v>21</v>
      </c>
      <c r="H188" s="6">
        <v>1</v>
      </c>
      <c r="I188" s="7">
        <v>1142</v>
      </c>
      <c r="J188" s="5">
        <v>45943</v>
      </c>
      <c r="K188" s="1" t="s">
        <v>30</v>
      </c>
      <c r="L188" s="8">
        <v>0</v>
      </c>
      <c r="M188" s="6"/>
      <c r="N188" s="6"/>
      <c r="O188" s="9">
        <v>6.59</v>
      </c>
    </row>
    <row r="189" spans="1:15" ht="19.5" customHeight="1">
      <c r="A189" s="1" t="s">
        <v>817</v>
      </c>
      <c r="B189" s="5">
        <v>45945</v>
      </c>
      <c r="C189" s="1" t="s">
        <v>31</v>
      </c>
      <c r="D189" s="1" t="s">
        <v>34</v>
      </c>
      <c r="E189" s="1" t="s">
        <v>54</v>
      </c>
      <c r="F189" s="1" t="s">
        <v>55</v>
      </c>
      <c r="G189" s="1" t="s">
        <v>21</v>
      </c>
      <c r="H189" s="6">
        <v>1</v>
      </c>
      <c r="I189" s="7">
        <v>1142</v>
      </c>
      <c r="J189" s="5">
        <v>45943</v>
      </c>
      <c r="K189" s="1" t="s">
        <v>30</v>
      </c>
      <c r="L189" s="8">
        <v>0</v>
      </c>
      <c r="M189" s="6"/>
      <c r="N189" s="6"/>
      <c r="O189" s="9">
        <v>476.41</v>
      </c>
    </row>
    <row r="190" spans="1:15" ht="19.5" customHeight="1">
      <c r="A190" s="1" t="s">
        <v>817</v>
      </c>
      <c r="B190" s="5">
        <v>45945</v>
      </c>
      <c r="C190" s="1" t="s">
        <v>35</v>
      </c>
      <c r="D190" s="1" t="s">
        <v>36</v>
      </c>
      <c r="E190" s="1" t="s">
        <v>54</v>
      </c>
      <c r="F190" s="1" t="s">
        <v>55</v>
      </c>
      <c r="G190" s="1" t="s">
        <v>21</v>
      </c>
      <c r="H190" s="6">
        <v>1</v>
      </c>
      <c r="I190" s="7">
        <v>1142</v>
      </c>
      <c r="J190" s="5">
        <v>45943</v>
      </c>
      <c r="K190" s="1" t="s">
        <v>30</v>
      </c>
      <c r="L190" s="8">
        <v>0.26</v>
      </c>
      <c r="M190" s="6"/>
      <c r="N190" s="6"/>
      <c r="O190" s="9">
        <v>-296.92</v>
      </c>
    </row>
    <row r="191" spans="1:15" ht="19.5" customHeight="1">
      <c r="A191" s="1" t="s">
        <v>817</v>
      </c>
      <c r="B191" s="5">
        <v>45945</v>
      </c>
      <c r="C191" s="1" t="s">
        <v>17</v>
      </c>
      <c r="D191" s="1" t="s">
        <v>37</v>
      </c>
      <c r="E191" s="1" t="s">
        <v>54</v>
      </c>
      <c r="F191" s="1" t="s">
        <v>55</v>
      </c>
      <c r="G191" s="1" t="s">
        <v>21</v>
      </c>
      <c r="H191" s="6">
        <v>1</v>
      </c>
      <c r="I191" s="7">
        <v>1142</v>
      </c>
      <c r="J191" s="5">
        <v>45943</v>
      </c>
      <c r="K191" s="1" t="s">
        <v>30</v>
      </c>
      <c r="L191" s="8">
        <v>0.26</v>
      </c>
      <c r="M191" s="6"/>
      <c r="N191" s="6"/>
      <c r="O191" s="9">
        <v>-9.66</v>
      </c>
    </row>
    <row r="192" spans="1:15" ht="19.5" customHeight="1">
      <c r="A192" s="1" t="s">
        <v>817</v>
      </c>
      <c r="B192" s="5">
        <v>45945</v>
      </c>
      <c r="C192" s="1" t="s">
        <v>17</v>
      </c>
      <c r="D192" s="1" t="s">
        <v>18</v>
      </c>
      <c r="E192" s="1" t="s">
        <v>54</v>
      </c>
      <c r="F192" s="1" t="s">
        <v>55</v>
      </c>
      <c r="G192" s="1" t="s">
        <v>21</v>
      </c>
      <c r="H192" s="6">
        <v>1</v>
      </c>
      <c r="I192" s="7">
        <v>0</v>
      </c>
      <c r="J192" s="5">
        <v>45943</v>
      </c>
      <c r="K192" s="1" t="s">
        <v>22</v>
      </c>
      <c r="L192" s="8">
        <v>0</v>
      </c>
      <c r="M192" s="6"/>
      <c r="N192" s="6"/>
      <c r="O192" s="9">
        <v>-12.52</v>
      </c>
    </row>
    <row r="193" spans="1:15" ht="19.5" customHeight="1">
      <c r="A193" s="1" t="s">
        <v>818</v>
      </c>
      <c r="B193" s="5">
        <v>45945</v>
      </c>
      <c r="C193" s="1" t="s">
        <v>28</v>
      </c>
      <c r="D193" s="1" t="s">
        <v>45</v>
      </c>
      <c r="E193" s="1" t="s">
        <v>70</v>
      </c>
      <c r="F193" s="1" t="s">
        <v>71</v>
      </c>
      <c r="G193" s="1" t="s">
        <v>41</v>
      </c>
      <c r="H193" s="6">
        <v>1</v>
      </c>
      <c r="I193" s="7">
        <v>0</v>
      </c>
      <c r="J193" s="5">
        <v>45931</v>
      </c>
      <c r="K193" s="1" t="s">
        <v>30</v>
      </c>
      <c r="L193" s="8">
        <v>0</v>
      </c>
      <c r="M193" s="6"/>
      <c r="N193" s="6"/>
      <c r="O193" s="9">
        <v>0</v>
      </c>
    </row>
    <row r="194" spans="1:15" ht="19.5" customHeight="1">
      <c r="A194" s="1" t="s">
        <v>818</v>
      </c>
      <c r="B194" s="5">
        <v>45945</v>
      </c>
      <c r="C194" s="1" t="s">
        <v>28</v>
      </c>
      <c r="D194" s="1" t="s">
        <v>46</v>
      </c>
      <c r="E194" s="1" t="s">
        <v>70</v>
      </c>
      <c r="F194" s="1" t="s">
        <v>71</v>
      </c>
      <c r="G194" s="1" t="s">
        <v>41</v>
      </c>
      <c r="H194" s="6">
        <v>1</v>
      </c>
      <c r="I194" s="7">
        <v>0</v>
      </c>
      <c r="J194" s="5">
        <v>45931</v>
      </c>
      <c r="K194" s="1" t="s">
        <v>30</v>
      </c>
      <c r="L194" s="8">
        <v>0</v>
      </c>
      <c r="M194" s="6"/>
      <c r="N194" s="6"/>
      <c r="O194" s="9">
        <v>-56</v>
      </c>
    </row>
    <row r="195" spans="1:15" ht="19.5" customHeight="1">
      <c r="A195" s="1" t="s">
        <v>818</v>
      </c>
      <c r="B195" s="5">
        <v>45945</v>
      </c>
      <c r="C195" s="1" t="s">
        <v>17</v>
      </c>
      <c r="D195" s="1" t="s">
        <v>47</v>
      </c>
      <c r="E195" s="1" t="s">
        <v>70</v>
      </c>
      <c r="F195" s="1" t="s">
        <v>71</v>
      </c>
      <c r="G195" s="1" t="s">
        <v>41</v>
      </c>
      <c r="H195" s="6">
        <v>1</v>
      </c>
      <c r="I195" s="7">
        <v>0</v>
      </c>
      <c r="J195" s="5">
        <v>45931</v>
      </c>
      <c r="K195" s="1" t="s">
        <v>30</v>
      </c>
      <c r="L195" s="8">
        <v>0</v>
      </c>
      <c r="M195" s="6"/>
      <c r="N195" s="6"/>
      <c r="O195" s="9">
        <v>-15</v>
      </c>
    </row>
    <row r="196" spans="1:15" ht="19.5" customHeight="1">
      <c r="A196" s="1" t="s">
        <v>818</v>
      </c>
      <c r="B196" s="5">
        <v>45945</v>
      </c>
      <c r="C196" s="1" t="s">
        <v>28</v>
      </c>
      <c r="D196" s="1" t="s">
        <v>29</v>
      </c>
      <c r="E196" s="1" t="s">
        <v>70</v>
      </c>
      <c r="F196" s="1" t="s">
        <v>71</v>
      </c>
      <c r="G196" s="1" t="s">
        <v>41</v>
      </c>
      <c r="H196" s="6">
        <v>1</v>
      </c>
      <c r="I196" s="7">
        <v>0</v>
      </c>
      <c r="J196" s="5">
        <v>45931</v>
      </c>
      <c r="K196" s="1" t="s">
        <v>30</v>
      </c>
      <c r="L196" s="8">
        <v>0</v>
      </c>
      <c r="M196" s="6"/>
      <c r="N196" s="6"/>
      <c r="O196" s="9">
        <v>-56</v>
      </c>
    </row>
    <row r="197" spans="1:15" ht="19.5" customHeight="1">
      <c r="A197" s="1" t="s">
        <v>818</v>
      </c>
      <c r="B197" s="5">
        <v>45945</v>
      </c>
      <c r="C197" s="1" t="s">
        <v>17</v>
      </c>
      <c r="D197" s="1" t="s">
        <v>37</v>
      </c>
      <c r="E197" s="1" t="s">
        <v>70</v>
      </c>
      <c r="F197" s="1" t="s">
        <v>71</v>
      </c>
      <c r="G197" s="1" t="s">
        <v>41</v>
      </c>
      <c r="H197" s="6">
        <v>1</v>
      </c>
      <c r="I197" s="7">
        <v>0</v>
      </c>
      <c r="J197" s="5">
        <v>45931</v>
      </c>
      <c r="K197" s="1" t="s">
        <v>30</v>
      </c>
      <c r="L197" s="8">
        <v>0</v>
      </c>
      <c r="M197" s="6"/>
      <c r="N197" s="6"/>
      <c r="O197" s="9">
        <v>-9.76</v>
      </c>
    </row>
    <row r="198" spans="1:15" ht="19.5" customHeight="1">
      <c r="A198" s="1" t="s">
        <v>22</v>
      </c>
      <c r="B198" s="5">
        <v>45945</v>
      </c>
      <c r="C198" s="1" t="s">
        <v>77</v>
      </c>
      <c r="D198" s="1" t="s">
        <v>78</v>
      </c>
      <c r="E198" s="1" t="s">
        <v>22</v>
      </c>
      <c r="F198" s="1" t="s">
        <v>22</v>
      </c>
      <c r="G198" s="1" t="s">
        <v>819</v>
      </c>
      <c r="H198" s="6">
        <v>0</v>
      </c>
      <c r="I198" s="7">
        <v>0</v>
      </c>
      <c r="J198" s="5">
        <v>45945</v>
      </c>
      <c r="K198" s="1" t="s">
        <v>22</v>
      </c>
      <c r="L198" s="8">
        <v>0</v>
      </c>
      <c r="M198" s="6"/>
      <c r="N198" s="6"/>
      <c r="O198" s="9">
        <v>-200</v>
      </c>
    </row>
    <row r="199" spans="1:15" ht="19.5" customHeight="1">
      <c r="A199" s="1" t="s">
        <v>820</v>
      </c>
      <c r="B199" s="5">
        <v>45945</v>
      </c>
      <c r="C199" s="1" t="s">
        <v>17</v>
      </c>
      <c r="D199" s="1" t="s">
        <v>18</v>
      </c>
      <c r="E199" s="1" t="s">
        <v>245</v>
      </c>
      <c r="F199" s="1" t="s">
        <v>515</v>
      </c>
      <c r="G199" s="1" t="s">
        <v>41</v>
      </c>
      <c r="H199" s="6">
        <v>1</v>
      </c>
      <c r="I199" s="7">
        <v>0</v>
      </c>
      <c r="J199" s="5">
        <v>45945</v>
      </c>
      <c r="K199" s="1" t="s">
        <v>22</v>
      </c>
      <c r="L199" s="8">
        <v>0</v>
      </c>
      <c r="M199" s="6"/>
      <c r="N199" s="6"/>
      <c r="O199" s="9">
        <v>-17.88</v>
      </c>
    </row>
    <row r="200" spans="1:15" ht="19.5" customHeight="1">
      <c r="A200" s="1" t="s">
        <v>83</v>
      </c>
      <c r="B200" s="5">
        <v>45945</v>
      </c>
      <c r="C200" s="1" t="s">
        <v>77</v>
      </c>
      <c r="D200" s="1" t="s">
        <v>84</v>
      </c>
      <c r="E200" s="1" t="s">
        <v>22</v>
      </c>
      <c r="F200" s="1" t="s">
        <v>22</v>
      </c>
      <c r="G200" s="1" t="s">
        <v>22</v>
      </c>
      <c r="H200" s="6">
        <v>0</v>
      </c>
      <c r="I200" s="7">
        <v>0</v>
      </c>
      <c r="J200" s="5">
        <v>45945</v>
      </c>
      <c r="K200" s="1" t="s">
        <v>22</v>
      </c>
      <c r="L200" s="8">
        <v>0</v>
      </c>
      <c r="M200" s="6"/>
      <c r="N200" s="6"/>
      <c r="O200" s="9">
        <v>-1237.1400000000001</v>
      </c>
    </row>
    <row r="201" spans="1:15" ht="19.5" customHeight="1">
      <c r="A201" s="1" t="s">
        <v>810</v>
      </c>
      <c r="B201" s="5">
        <v>45945</v>
      </c>
      <c r="C201" s="1" t="s">
        <v>77</v>
      </c>
      <c r="D201" s="1" t="s">
        <v>82</v>
      </c>
      <c r="E201" s="1" t="s">
        <v>22</v>
      </c>
      <c r="F201" s="1" t="s">
        <v>22</v>
      </c>
      <c r="G201" s="1" t="s">
        <v>22</v>
      </c>
      <c r="H201" s="6">
        <v>0</v>
      </c>
      <c r="I201" s="7">
        <v>0</v>
      </c>
      <c r="J201" s="5">
        <v>45945</v>
      </c>
      <c r="K201" s="1" t="s">
        <v>22</v>
      </c>
      <c r="L201" s="8">
        <v>0</v>
      </c>
      <c r="M201" s="6"/>
      <c r="N201" s="6"/>
      <c r="O201" s="9">
        <v>-405.72</v>
      </c>
    </row>
    <row r="202" spans="1:15" ht="19.5" customHeight="1">
      <c r="A202" s="1" t="s">
        <v>807</v>
      </c>
      <c r="B202" s="5">
        <v>45945</v>
      </c>
      <c r="C202" s="1" t="s">
        <v>77</v>
      </c>
      <c r="D202" s="1" t="s">
        <v>82</v>
      </c>
      <c r="E202" s="1" t="s">
        <v>22</v>
      </c>
      <c r="F202" s="1" t="s">
        <v>22</v>
      </c>
      <c r="G202" s="1" t="s">
        <v>22</v>
      </c>
      <c r="H202" s="6">
        <v>0</v>
      </c>
      <c r="I202" s="7">
        <v>0</v>
      </c>
      <c r="J202" s="5">
        <v>45945</v>
      </c>
      <c r="K202" s="1" t="s">
        <v>22</v>
      </c>
      <c r="L202" s="8">
        <v>0</v>
      </c>
      <c r="M202" s="6"/>
      <c r="N202" s="6"/>
      <c r="O202" s="9">
        <v>-345.74</v>
      </c>
    </row>
    <row r="203" spans="1:15" ht="19.5" customHeight="1">
      <c r="A203" s="1" t="s">
        <v>808</v>
      </c>
      <c r="B203" s="5">
        <v>45945</v>
      </c>
      <c r="C203" s="1" t="s">
        <v>77</v>
      </c>
      <c r="D203" s="1" t="s">
        <v>82</v>
      </c>
      <c r="E203" s="1" t="s">
        <v>22</v>
      </c>
      <c r="F203" s="1" t="s">
        <v>22</v>
      </c>
      <c r="G203" s="1" t="s">
        <v>22</v>
      </c>
      <c r="H203" s="6">
        <v>0</v>
      </c>
      <c r="I203" s="7">
        <v>0</v>
      </c>
      <c r="J203" s="5">
        <v>45945</v>
      </c>
      <c r="K203" s="1" t="s">
        <v>22</v>
      </c>
      <c r="L203" s="8">
        <v>0</v>
      </c>
      <c r="M203" s="6"/>
      <c r="N203" s="6"/>
      <c r="O203" s="9">
        <v>-395.28</v>
      </c>
    </row>
    <row r="204" spans="1:15" ht="19.5" customHeight="1">
      <c r="A204" s="1" t="s">
        <v>809</v>
      </c>
      <c r="B204" s="5">
        <v>45945</v>
      </c>
      <c r="C204" s="1" t="s">
        <v>77</v>
      </c>
      <c r="D204" s="1" t="s">
        <v>82</v>
      </c>
      <c r="E204" s="1" t="s">
        <v>22</v>
      </c>
      <c r="F204" s="1" t="s">
        <v>22</v>
      </c>
      <c r="G204" s="1" t="s">
        <v>22</v>
      </c>
      <c r="H204" s="6">
        <v>0</v>
      </c>
      <c r="I204" s="7">
        <v>0</v>
      </c>
      <c r="J204" s="5">
        <v>45945</v>
      </c>
      <c r="K204" s="1" t="s">
        <v>22</v>
      </c>
      <c r="L204" s="8">
        <v>0</v>
      </c>
      <c r="M204" s="6"/>
      <c r="N204" s="6"/>
      <c r="O204" s="9">
        <v>-256.37</v>
      </c>
    </row>
    <row r="205" spans="1:15" ht="19.5" customHeight="1">
      <c r="A205" s="1" t="s">
        <v>811</v>
      </c>
      <c r="B205" s="5">
        <v>45945</v>
      </c>
      <c r="C205" s="1" t="s">
        <v>77</v>
      </c>
      <c r="D205" s="1" t="s">
        <v>82</v>
      </c>
      <c r="E205" s="1" t="s">
        <v>22</v>
      </c>
      <c r="F205" s="1" t="s">
        <v>22</v>
      </c>
      <c r="G205" s="1" t="s">
        <v>22</v>
      </c>
      <c r="H205" s="6">
        <v>0</v>
      </c>
      <c r="I205" s="7">
        <v>0</v>
      </c>
      <c r="J205" s="5">
        <v>45945</v>
      </c>
      <c r="K205" s="1" t="s">
        <v>22</v>
      </c>
      <c r="L205" s="8">
        <v>0</v>
      </c>
      <c r="M205" s="6"/>
      <c r="N205" s="6"/>
      <c r="O205" s="9">
        <v>-805.51</v>
      </c>
    </row>
    <row r="206" spans="1:15" ht="19.5" customHeight="1">
      <c r="A206" s="1" t="s">
        <v>821</v>
      </c>
      <c r="B206" s="5">
        <v>45946</v>
      </c>
      <c r="C206" s="1" t="s">
        <v>17</v>
      </c>
      <c r="D206" s="1" t="s">
        <v>18</v>
      </c>
      <c r="E206" s="1" t="s">
        <v>19</v>
      </c>
      <c r="F206" s="1" t="s">
        <v>20</v>
      </c>
      <c r="G206" s="1" t="s">
        <v>21</v>
      </c>
      <c r="H206" s="6">
        <v>1</v>
      </c>
      <c r="I206" s="7">
        <v>0</v>
      </c>
      <c r="J206" s="5">
        <v>45946</v>
      </c>
      <c r="K206" s="1" t="s">
        <v>22</v>
      </c>
      <c r="L206" s="8">
        <v>0</v>
      </c>
      <c r="M206" s="6"/>
      <c r="N206" s="6"/>
      <c r="O206" s="9">
        <v>-6.47</v>
      </c>
    </row>
    <row r="207" spans="1:15" ht="19.5" customHeight="1">
      <c r="A207" s="1" t="s">
        <v>822</v>
      </c>
      <c r="B207" s="5">
        <v>45946</v>
      </c>
      <c r="C207" s="1" t="s">
        <v>28</v>
      </c>
      <c r="D207" s="1" t="s">
        <v>135</v>
      </c>
      <c r="E207" s="1" t="s">
        <v>232</v>
      </c>
      <c r="F207" s="1" t="s">
        <v>823</v>
      </c>
      <c r="G207" s="1" t="s">
        <v>21</v>
      </c>
      <c r="H207" s="6">
        <v>1</v>
      </c>
      <c r="I207" s="7">
        <v>3000</v>
      </c>
      <c r="J207" s="5">
        <v>45941</v>
      </c>
      <c r="K207" s="1" t="s">
        <v>113</v>
      </c>
      <c r="L207" s="8">
        <v>0.38</v>
      </c>
      <c r="M207" s="6"/>
      <c r="N207" s="6"/>
      <c r="O207" s="9">
        <v>-10</v>
      </c>
    </row>
    <row r="208" spans="1:15" ht="19.5" customHeight="1">
      <c r="A208" s="1" t="s">
        <v>822</v>
      </c>
      <c r="B208" s="5">
        <v>45946</v>
      </c>
      <c r="C208" s="1" t="s">
        <v>28</v>
      </c>
      <c r="D208" s="1" t="s">
        <v>29</v>
      </c>
      <c r="E208" s="1" t="s">
        <v>232</v>
      </c>
      <c r="F208" s="1" t="s">
        <v>823</v>
      </c>
      <c r="G208" s="1" t="s">
        <v>21</v>
      </c>
      <c r="H208" s="6">
        <v>1</v>
      </c>
      <c r="I208" s="7">
        <v>3000</v>
      </c>
      <c r="J208" s="5">
        <v>45941</v>
      </c>
      <c r="K208" s="1" t="s">
        <v>113</v>
      </c>
      <c r="L208" s="8">
        <v>0.38</v>
      </c>
      <c r="M208" s="6"/>
      <c r="N208" s="6"/>
      <c r="O208" s="9">
        <v>-98</v>
      </c>
    </row>
    <row r="209" spans="1:15" ht="19.5" customHeight="1">
      <c r="A209" s="1" t="s">
        <v>822</v>
      </c>
      <c r="B209" s="5">
        <v>45946</v>
      </c>
      <c r="C209" s="1" t="s">
        <v>31</v>
      </c>
      <c r="D209" s="1" t="s">
        <v>32</v>
      </c>
      <c r="E209" s="1" t="s">
        <v>232</v>
      </c>
      <c r="F209" s="1" t="s">
        <v>823</v>
      </c>
      <c r="G209" s="1" t="s">
        <v>21</v>
      </c>
      <c r="H209" s="6">
        <v>1</v>
      </c>
      <c r="I209" s="7">
        <v>3000</v>
      </c>
      <c r="J209" s="5">
        <v>45941</v>
      </c>
      <c r="K209" s="1" t="s">
        <v>113</v>
      </c>
      <c r="L209" s="8">
        <v>0</v>
      </c>
      <c r="M209" s="6"/>
      <c r="N209" s="6"/>
      <c r="O209" s="9">
        <v>1851</v>
      </c>
    </row>
    <row r="210" spans="1:15" ht="19.5" customHeight="1">
      <c r="A210" s="1" t="s">
        <v>822</v>
      </c>
      <c r="B210" s="5">
        <v>45946</v>
      </c>
      <c r="C210" s="1" t="s">
        <v>31</v>
      </c>
      <c r="D210" s="1" t="s">
        <v>33</v>
      </c>
      <c r="E210" s="1" t="s">
        <v>232</v>
      </c>
      <c r="F210" s="1" t="s">
        <v>823</v>
      </c>
      <c r="G210" s="1" t="s">
        <v>21</v>
      </c>
      <c r="H210" s="6">
        <v>1</v>
      </c>
      <c r="I210" s="7">
        <v>3000</v>
      </c>
      <c r="J210" s="5">
        <v>45941</v>
      </c>
      <c r="K210" s="1" t="s">
        <v>113</v>
      </c>
      <c r="L210" s="8">
        <v>0</v>
      </c>
      <c r="M210" s="6"/>
      <c r="N210" s="6"/>
      <c r="O210" s="9">
        <v>18.510000000000002</v>
      </c>
    </row>
    <row r="211" spans="1:15" ht="19.5" customHeight="1">
      <c r="A211" s="1" t="s">
        <v>822</v>
      </c>
      <c r="B211" s="5">
        <v>45946</v>
      </c>
      <c r="C211" s="1" t="s">
        <v>31</v>
      </c>
      <c r="D211" s="1" t="s">
        <v>34</v>
      </c>
      <c r="E211" s="1" t="s">
        <v>232</v>
      </c>
      <c r="F211" s="1" t="s">
        <v>823</v>
      </c>
      <c r="G211" s="1" t="s">
        <v>21</v>
      </c>
      <c r="H211" s="6">
        <v>1</v>
      </c>
      <c r="I211" s="7">
        <v>3000</v>
      </c>
      <c r="J211" s="5">
        <v>45941</v>
      </c>
      <c r="K211" s="1" t="s">
        <v>113</v>
      </c>
      <c r="L211" s="8">
        <v>0</v>
      </c>
      <c r="M211" s="6"/>
      <c r="N211" s="6"/>
      <c r="O211" s="9">
        <v>1130.49</v>
      </c>
    </row>
    <row r="212" spans="1:15" ht="19.5" customHeight="1">
      <c r="A212" s="1" t="s">
        <v>822</v>
      </c>
      <c r="B212" s="5">
        <v>45946</v>
      </c>
      <c r="C212" s="1" t="s">
        <v>35</v>
      </c>
      <c r="D212" s="1" t="s">
        <v>36</v>
      </c>
      <c r="E212" s="1" t="s">
        <v>232</v>
      </c>
      <c r="F212" s="1" t="s">
        <v>823</v>
      </c>
      <c r="G212" s="1" t="s">
        <v>21</v>
      </c>
      <c r="H212" s="6">
        <v>1</v>
      </c>
      <c r="I212" s="7">
        <v>3000</v>
      </c>
      <c r="J212" s="5">
        <v>45941</v>
      </c>
      <c r="K212" s="1" t="s">
        <v>113</v>
      </c>
      <c r="L212" s="8">
        <v>0.38</v>
      </c>
      <c r="M212" s="6"/>
      <c r="N212" s="6"/>
      <c r="O212" s="9">
        <v>-1140</v>
      </c>
    </row>
    <row r="213" spans="1:15" ht="19.5" customHeight="1">
      <c r="A213" s="1" t="s">
        <v>822</v>
      </c>
      <c r="B213" s="5">
        <v>45946</v>
      </c>
      <c r="C213" s="1" t="s">
        <v>17</v>
      </c>
      <c r="D213" s="1" t="s">
        <v>138</v>
      </c>
      <c r="E213" s="1" t="s">
        <v>232</v>
      </c>
      <c r="F213" s="1" t="s">
        <v>823</v>
      </c>
      <c r="G213" s="1" t="s">
        <v>21</v>
      </c>
      <c r="H213" s="6">
        <v>1</v>
      </c>
      <c r="I213" s="7">
        <v>3000</v>
      </c>
      <c r="J213" s="5">
        <v>45941</v>
      </c>
      <c r="K213" s="1" t="s">
        <v>113</v>
      </c>
      <c r="L213" s="8">
        <v>0.38</v>
      </c>
      <c r="M213" s="6"/>
      <c r="N213" s="6"/>
      <c r="O213" s="9">
        <v>-20</v>
      </c>
    </row>
    <row r="214" spans="1:15" ht="19.5" customHeight="1">
      <c r="A214" s="1" t="s">
        <v>822</v>
      </c>
      <c r="B214" s="5">
        <v>45946</v>
      </c>
      <c r="C214" s="1" t="s">
        <v>17</v>
      </c>
      <c r="D214" s="1" t="s">
        <v>37</v>
      </c>
      <c r="E214" s="1" t="s">
        <v>232</v>
      </c>
      <c r="F214" s="1" t="s">
        <v>823</v>
      </c>
      <c r="G214" s="1" t="s">
        <v>21</v>
      </c>
      <c r="H214" s="6">
        <v>1</v>
      </c>
      <c r="I214" s="7">
        <v>3000</v>
      </c>
      <c r="J214" s="5">
        <v>45941</v>
      </c>
      <c r="K214" s="1" t="s">
        <v>113</v>
      </c>
      <c r="L214" s="8">
        <v>0.38</v>
      </c>
      <c r="M214" s="6"/>
      <c r="N214" s="6"/>
      <c r="O214" s="9">
        <v>-14.53</v>
      </c>
    </row>
    <row r="215" spans="1:15" ht="19.5" customHeight="1">
      <c r="A215" s="1" t="s">
        <v>130</v>
      </c>
      <c r="B215" s="5">
        <v>45946</v>
      </c>
      <c r="C215" s="1" t="s">
        <v>28</v>
      </c>
      <c r="D215" s="1" t="s">
        <v>60</v>
      </c>
      <c r="E215" s="1" t="s">
        <v>66</v>
      </c>
      <c r="F215" s="1" t="s">
        <v>67</v>
      </c>
      <c r="G215" s="1" t="s">
        <v>41</v>
      </c>
      <c r="H215" s="6">
        <v>1</v>
      </c>
      <c r="I215" s="7">
        <v>0</v>
      </c>
      <c r="J215" s="5">
        <v>45931</v>
      </c>
      <c r="K215" s="1" t="s">
        <v>30</v>
      </c>
      <c r="L215" s="8">
        <v>0</v>
      </c>
      <c r="M215" s="6"/>
      <c r="N215" s="6"/>
      <c r="O215" s="9">
        <v>0</v>
      </c>
    </row>
    <row r="216" spans="1:15" ht="19.5" customHeight="1">
      <c r="A216" s="1" t="s">
        <v>130</v>
      </c>
      <c r="B216" s="5">
        <v>45946</v>
      </c>
      <c r="C216" s="1" t="s">
        <v>28</v>
      </c>
      <c r="D216" s="1" t="s">
        <v>46</v>
      </c>
      <c r="E216" s="1" t="s">
        <v>66</v>
      </c>
      <c r="F216" s="1" t="s">
        <v>67</v>
      </c>
      <c r="G216" s="1" t="s">
        <v>41</v>
      </c>
      <c r="H216" s="6">
        <v>1</v>
      </c>
      <c r="I216" s="7">
        <v>0</v>
      </c>
      <c r="J216" s="5">
        <v>45931</v>
      </c>
      <c r="K216" s="1" t="s">
        <v>30</v>
      </c>
      <c r="L216" s="8">
        <v>0</v>
      </c>
      <c r="M216" s="6"/>
      <c r="N216" s="6"/>
      <c r="O216" s="9">
        <v>-56</v>
      </c>
    </row>
    <row r="217" spans="1:15" ht="19.5" customHeight="1">
      <c r="A217" s="1" t="s">
        <v>822</v>
      </c>
      <c r="B217" s="5">
        <v>45946</v>
      </c>
      <c r="C217" s="1" t="s">
        <v>17</v>
      </c>
      <c r="D217" s="1" t="s">
        <v>18</v>
      </c>
      <c r="E217" s="1" t="s">
        <v>232</v>
      </c>
      <c r="F217" s="1" t="s">
        <v>823</v>
      </c>
      <c r="G217" s="1" t="s">
        <v>21</v>
      </c>
      <c r="H217" s="6">
        <v>1</v>
      </c>
      <c r="I217" s="7">
        <v>0</v>
      </c>
      <c r="J217" s="5">
        <v>45941</v>
      </c>
      <c r="K217" s="1" t="s">
        <v>22</v>
      </c>
      <c r="L217" s="8">
        <v>0</v>
      </c>
      <c r="M217" s="6"/>
      <c r="N217" s="6"/>
      <c r="O217" s="9">
        <v>-35.17</v>
      </c>
    </row>
    <row r="218" spans="1:15" ht="19.5" customHeight="1">
      <c r="A218" s="1" t="s">
        <v>824</v>
      </c>
      <c r="B218" s="5">
        <v>45946</v>
      </c>
      <c r="C218" s="1" t="s">
        <v>28</v>
      </c>
      <c r="D218" s="1" t="s">
        <v>29</v>
      </c>
      <c r="E218" s="1" t="s">
        <v>229</v>
      </c>
      <c r="F218" s="1" t="s">
        <v>464</v>
      </c>
      <c r="G218" s="1" t="s">
        <v>21</v>
      </c>
      <c r="H218" s="6">
        <v>1</v>
      </c>
      <c r="I218" s="7">
        <v>0</v>
      </c>
      <c r="J218" s="5">
        <v>45939</v>
      </c>
      <c r="K218" s="1" t="s">
        <v>30</v>
      </c>
      <c r="L218" s="8">
        <v>0</v>
      </c>
      <c r="M218" s="6"/>
      <c r="N218" s="6"/>
      <c r="O218" s="9">
        <v>-56</v>
      </c>
    </row>
    <row r="219" spans="1:15" ht="19.5" customHeight="1">
      <c r="A219" s="1" t="s">
        <v>824</v>
      </c>
      <c r="B219" s="5">
        <v>45946</v>
      </c>
      <c r="C219" s="1" t="s">
        <v>17</v>
      </c>
      <c r="D219" s="1" t="s">
        <v>37</v>
      </c>
      <c r="E219" s="1" t="s">
        <v>229</v>
      </c>
      <c r="F219" s="1" t="s">
        <v>464</v>
      </c>
      <c r="G219" s="1" t="s">
        <v>21</v>
      </c>
      <c r="H219" s="6">
        <v>1</v>
      </c>
      <c r="I219" s="7">
        <v>0</v>
      </c>
      <c r="J219" s="5">
        <v>45939</v>
      </c>
      <c r="K219" s="1" t="s">
        <v>30</v>
      </c>
      <c r="L219" s="8">
        <v>0</v>
      </c>
      <c r="M219" s="6"/>
      <c r="N219" s="6"/>
      <c r="O219" s="9">
        <v>-8.99</v>
      </c>
    </row>
    <row r="220" spans="1:15" ht="19.5" customHeight="1">
      <c r="A220" s="1" t="s">
        <v>824</v>
      </c>
      <c r="B220" s="5">
        <v>45946</v>
      </c>
      <c r="C220" s="1" t="s">
        <v>28</v>
      </c>
      <c r="D220" s="1" t="s">
        <v>45</v>
      </c>
      <c r="E220" s="1" t="s">
        <v>229</v>
      </c>
      <c r="F220" s="1" t="s">
        <v>464</v>
      </c>
      <c r="G220" s="1" t="s">
        <v>21</v>
      </c>
      <c r="H220" s="6">
        <v>1</v>
      </c>
      <c r="I220" s="7">
        <v>0</v>
      </c>
      <c r="J220" s="5">
        <v>45939</v>
      </c>
      <c r="K220" s="1" t="s">
        <v>30</v>
      </c>
      <c r="L220" s="8">
        <v>0</v>
      </c>
      <c r="M220" s="6"/>
      <c r="N220" s="6"/>
      <c r="O220" s="9">
        <v>0</v>
      </c>
    </row>
    <row r="221" spans="1:15" ht="19.5" customHeight="1">
      <c r="A221" s="1" t="s">
        <v>824</v>
      </c>
      <c r="B221" s="5">
        <v>45946</v>
      </c>
      <c r="C221" s="1" t="s">
        <v>28</v>
      </c>
      <c r="D221" s="1" t="s">
        <v>46</v>
      </c>
      <c r="E221" s="1" t="s">
        <v>229</v>
      </c>
      <c r="F221" s="1" t="s">
        <v>464</v>
      </c>
      <c r="G221" s="1" t="s">
        <v>21</v>
      </c>
      <c r="H221" s="6">
        <v>1</v>
      </c>
      <c r="I221" s="7">
        <v>0</v>
      </c>
      <c r="J221" s="5">
        <v>45939</v>
      </c>
      <c r="K221" s="1" t="s">
        <v>30</v>
      </c>
      <c r="L221" s="8">
        <v>0</v>
      </c>
      <c r="M221" s="6"/>
      <c r="N221" s="6"/>
      <c r="O221" s="9">
        <v>-56</v>
      </c>
    </row>
    <row r="222" spans="1:15" ht="19.5" customHeight="1">
      <c r="A222" s="1" t="s">
        <v>824</v>
      </c>
      <c r="B222" s="5">
        <v>45946</v>
      </c>
      <c r="C222" s="1" t="s">
        <v>17</v>
      </c>
      <c r="D222" s="1" t="s">
        <v>47</v>
      </c>
      <c r="E222" s="1" t="s">
        <v>229</v>
      </c>
      <c r="F222" s="1" t="s">
        <v>464</v>
      </c>
      <c r="G222" s="1" t="s">
        <v>21</v>
      </c>
      <c r="H222" s="6">
        <v>1</v>
      </c>
      <c r="I222" s="7">
        <v>0</v>
      </c>
      <c r="J222" s="5">
        <v>45939</v>
      </c>
      <c r="K222" s="1" t="s">
        <v>30</v>
      </c>
      <c r="L222" s="8">
        <v>0</v>
      </c>
      <c r="M222" s="6"/>
      <c r="N222" s="6"/>
      <c r="O222" s="9">
        <v>-15</v>
      </c>
    </row>
    <row r="223" spans="1:15" ht="19.5" customHeight="1">
      <c r="A223" s="1" t="s">
        <v>825</v>
      </c>
      <c r="B223" s="5">
        <v>45946</v>
      </c>
      <c r="C223" s="1" t="s">
        <v>28</v>
      </c>
      <c r="D223" s="1" t="s">
        <v>29</v>
      </c>
      <c r="E223" s="1" t="s">
        <v>25</v>
      </c>
      <c r="F223" s="1" t="s">
        <v>26</v>
      </c>
      <c r="G223" s="1" t="s">
        <v>21</v>
      </c>
      <c r="H223" s="6">
        <v>1</v>
      </c>
      <c r="I223" s="7">
        <v>0</v>
      </c>
      <c r="J223" s="5">
        <v>45943</v>
      </c>
      <c r="K223" s="1" t="s">
        <v>30</v>
      </c>
      <c r="L223" s="8">
        <v>0</v>
      </c>
      <c r="M223" s="6"/>
      <c r="N223" s="6"/>
      <c r="O223" s="9">
        <v>-46</v>
      </c>
    </row>
    <row r="224" spans="1:15" ht="19.5" customHeight="1">
      <c r="A224" s="1" t="s">
        <v>825</v>
      </c>
      <c r="B224" s="5">
        <v>45946</v>
      </c>
      <c r="C224" s="1" t="s">
        <v>17</v>
      </c>
      <c r="D224" s="1" t="s">
        <v>37</v>
      </c>
      <c r="E224" s="1" t="s">
        <v>25</v>
      </c>
      <c r="F224" s="1" t="s">
        <v>26</v>
      </c>
      <c r="G224" s="1" t="s">
        <v>21</v>
      </c>
      <c r="H224" s="6">
        <v>1</v>
      </c>
      <c r="I224" s="7">
        <v>0</v>
      </c>
      <c r="J224" s="5">
        <v>45943</v>
      </c>
      <c r="K224" s="1" t="s">
        <v>30</v>
      </c>
      <c r="L224" s="8">
        <v>0</v>
      </c>
      <c r="M224" s="6"/>
      <c r="N224" s="6"/>
      <c r="O224" s="9">
        <v>-8.42</v>
      </c>
    </row>
    <row r="225" spans="1:15" ht="19.5" customHeight="1">
      <c r="A225" s="1" t="s">
        <v>825</v>
      </c>
      <c r="B225" s="5">
        <v>45946</v>
      </c>
      <c r="C225" s="1" t="s">
        <v>28</v>
      </c>
      <c r="D225" s="1" t="s">
        <v>45</v>
      </c>
      <c r="E225" s="1" t="s">
        <v>25</v>
      </c>
      <c r="F225" s="1" t="s">
        <v>26</v>
      </c>
      <c r="G225" s="1" t="s">
        <v>21</v>
      </c>
      <c r="H225" s="6">
        <v>1</v>
      </c>
      <c r="I225" s="7">
        <v>0</v>
      </c>
      <c r="J225" s="5">
        <v>45943</v>
      </c>
      <c r="K225" s="1" t="s">
        <v>30</v>
      </c>
      <c r="L225" s="8">
        <v>0</v>
      </c>
      <c r="M225" s="6"/>
      <c r="N225" s="6"/>
      <c r="O225" s="9">
        <v>0</v>
      </c>
    </row>
    <row r="226" spans="1:15" ht="19.5" customHeight="1">
      <c r="A226" s="1" t="s">
        <v>825</v>
      </c>
      <c r="B226" s="5">
        <v>45946</v>
      </c>
      <c r="C226" s="1" t="s">
        <v>28</v>
      </c>
      <c r="D226" s="1" t="s">
        <v>46</v>
      </c>
      <c r="E226" s="1" t="s">
        <v>25</v>
      </c>
      <c r="F226" s="1" t="s">
        <v>26</v>
      </c>
      <c r="G226" s="1" t="s">
        <v>21</v>
      </c>
      <c r="H226" s="6">
        <v>1</v>
      </c>
      <c r="I226" s="7">
        <v>0</v>
      </c>
      <c r="J226" s="5">
        <v>45943</v>
      </c>
      <c r="K226" s="1" t="s">
        <v>30</v>
      </c>
      <c r="L226" s="8">
        <v>0</v>
      </c>
      <c r="M226" s="6"/>
      <c r="N226" s="6"/>
      <c r="O226" s="9">
        <v>-46</v>
      </c>
    </row>
    <row r="227" spans="1:15" ht="19.5" customHeight="1">
      <c r="A227" s="1" t="s">
        <v>825</v>
      </c>
      <c r="B227" s="5">
        <v>45946</v>
      </c>
      <c r="C227" s="1" t="s">
        <v>17</v>
      </c>
      <c r="D227" s="1" t="s">
        <v>47</v>
      </c>
      <c r="E227" s="1" t="s">
        <v>25</v>
      </c>
      <c r="F227" s="1" t="s">
        <v>26</v>
      </c>
      <c r="G227" s="1" t="s">
        <v>21</v>
      </c>
      <c r="H227" s="6">
        <v>1</v>
      </c>
      <c r="I227" s="7">
        <v>0</v>
      </c>
      <c r="J227" s="5">
        <v>45943</v>
      </c>
      <c r="K227" s="1" t="s">
        <v>30</v>
      </c>
      <c r="L227" s="8">
        <v>0</v>
      </c>
      <c r="M227" s="6"/>
      <c r="N227" s="6"/>
      <c r="O227" s="9">
        <v>-15</v>
      </c>
    </row>
    <row r="228" spans="1:15" ht="19.5" customHeight="1">
      <c r="A228" s="1" t="s">
        <v>826</v>
      </c>
      <c r="B228" s="5">
        <v>45946</v>
      </c>
      <c r="C228" s="1" t="s">
        <v>28</v>
      </c>
      <c r="D228" s="1" t="s">
        <v>29</v>
      </c>
      <c r="E228" s="1" t="s">
        <v>62</v>
      </c>
      <c r="F228" s="1" t="s">
        <v>63</v>
      </c>
      <c r="G228" s="1" t="s">
        <v>41</v>
      </c>
      <c r="H228" s="6">
        <v>1</v>
      </c>
      <c r="I228" s="7">
        <v>0</v>
      </c>
      <c r="J228" s="5">
        <v>45936</v>
      </c>
      <c r="K228" s="1" t="s">
        <v>30</v>
      </c>
      <c r="L228" s="8">
        <v>0</v>
      </c>
      <c r="M228" s="6"/>
      <c r="N228" s="6"/>
      <c r="O228" s="9">
        <v>-56</v>
      </c>
    </row>
    <row r="229" spans="1:15" ht="19.5" customHeight="1">
      <c r="A229" s="1" t="s">
        <v>826</v>
      </c>
      <c r="B229" s="5">
        <v>45946</v>
      </c>
      <c r="C229" s="1" t="s">
        <v>17</v>
      </c>
      <c r="D229" s="1" t="s">
        <v>37</v>
      </c>
      <c r="E229" s="1" t="s">
        <v>62</v>
      </c>
      <c r="F229" s="1" t="s">
        <v>63</v>
      </c>
      <c r="G229" s="1" t="s">
        <v>41</v>
      </c>
      <c r="H229" s="6">
        <v>1</v>
      </c>
      <c r="I229" s="7">
        <v>0</v>
      </c>
      <c r="J229" s="5">
        <v>45936</v>
      </c>
      <c r="K229" s="1" t="s">
        <v>30</v>
      </c>
      <c r="L229" s="8">
        <v>0</v>
      </c>
      <c r="M229" s="6"/>
      <c r="N229" s="6"/>
      <c r="O229" s="9">
        <v>-15.54</v>
      </c>
    </row>
    <row r="230" spans="1:15" ht="19.5" customHeight="1">
      <c r="A230" s="1" t="s">
        <v>826</v>
      </c>
      <c r="B230" s="5">
        <v>45946</v>
      </c>
      <c r="C230" s="1" t="s">
        <v>28</v>
      </c>
      <c r="D230" s="1" t="s">
        <v>45</v>
      </c>
      <c r="E230" s="1" t="s">
        <v>62</v>
      </c>
      <c r="F230" s="1" t="s">
        <v>63</v>
      </c>
      <c r="G230" s="1" t="s">
        <v>41</v>
      </c>
      <c r="H230" s="6">
        <v>1</v>
      </c>
      <c r="I230" s="7">
        <v>0</v>
      </c>
      <c r="J230" s="5">
        <v>45936</v>
      </c>
      <c r="K230" s="1" t="s">
        <v>30</v>
      </c>
      <c r="L230" s="8">
        <v>0</v>
      </c>
      <c r="M230" s="6"/>
      <c r="N230" s="6"/>
      <c r="O230" s="9">
        <v>0</v>
      </c>
    </row>
    <row r="231" spans="1:15" ht="19.5" customHeight="1">
      <c r="A231" s="1" t="s">
        <v>826</v>
      </c>
      <c r="B231" s="5">
        <v>45946</v>
      </c>
      <c r="C231" s="1" t="s">
        <v>28</v>
      </c>
      <c r="D231" s="1" t="s">
        <v>46</v>
      </c>
      <c r="E231" s="1" t="s">
        <v>62</v>
      </c>
      <c r="F231" s="1" t="s">
        <v>63</v>
      </c>
      <c r="G231" s="1" t="s">
        <v>41</v>
      </c>
      <c r="H231" s="6">
        <v>1</v>
      </c>
      <c r="I231" s="7">
        <v>0</v>
      </c>
      <c r="J231" s="5">
        <v>45936</v>
      </c>
      <c r="K231" s="1" t="s">
        <v>30</v>
      </c>
      <c r="L231" s="8">
        <v>0</v>
      </c>
      <c r="M231" s="6"/>
      <c r="N231" s="6"/>
      <c r="O231" s="9">
        <v>-56</v>
      </c>
    </row>
    <row r="232" spans="1:15" ht="19.5" customHeight="1">
      <c r="A232" s="1" t="s">
        <v>826</v>
      </c>
      <c r="B232" s="5">
        <v>45946</v>
      </c>
      <c r="C232" s="1" t="s">
        <v>17</v>
      </c>
      <c r="D232" s="1" t="s">
        <v>47</v>
      </c>
      <c r="E232" s="1" t="s">
        <v>62</v>
      </c>
      <c r="F232" s="1" t="s">
        <v>63</v>
      </c>
      <c r="G232" s="1" t="s">
        <v>41</v>
      </c>
      <c r="H232" s="6">
        <v>1</v>
      </c>
      <c r="I232" s="7">
        <v>0</v>
      </c>
      <c r="J232" s="5">
        <v>45936</v>
      </c>
      <c r="K232" s="1" t="s">
        <v>30</v>
      </c>
      <c r="L232" s="8">
        <v>0</v>
      </c>
      <c r="M232" s="6"/>
      <c r="N232" s="6"/>
      <c r="O232" s="9">
        <v>-15</v>
      </c>
    </row>
    <row r="233" spans="1:15" ht="19.5" customHeight="1">
      <c r="A233" s="1" t="s">
        <v>827</v>
      </c>
      <c r="B233" s="5">
        <v>45946</v>
      </c>
      <c r="C233" s="1" t="s">
        <v>28</v>
      </c>
      <c r="D233" s="1" t="s">
        <v>29</v>
      </c>
      <c r="E233" s="1" t="s">
        <v>111</v>
      </c>
      <c r="F233" s="1" t="s">
        <v>112</v>
      </c>
      <c r="G233" s="1" t="s">
        <v>21</v>
      </c>
      <c r="H233" s="6">
        <v>1</v>
      </c>
      <c r="I233" s="7">
        <v>0</v>
      </c>
      <c r="J233" s="5">
        <v>45941</v>
      </c>
      <c r="K233" s="1" t="s">
        <v>30</v>
      </c>
      <c r="L233" s="8">
        <v>0</v>
      </c>
      <c r="M233" s="6"/>
      <c r="N233" s="6"/>
      <c r="O233" s="9">
        <v>-56</v>
      </c>
    </row>
    <row r="234" spans="1:15" ht="19.5" customHeight="1">
      <c r="A234" s="1" t="s">
        <v>827</v>
      </c>
      <c r="B234" s="5">
        <v>45946</v>
      </c>
      <c r="C234" s="1" t="s">
        <v>17</v>
      </c>
      <c r="D234" s="1" t="s">
        <v>37</v>
      </c>
      <c r="E234" s="1" t="s">
        <v>111</v>
      </c>
      <c r="F234" s="1" t="s">
        <v>112</v>
      </c>
      <c r="G234" s="1" t="s">
        <v>21</v>
      </c>
      <c r="H234" s="6">
        <v>1</v>
      </c>
      <c r="I234" s="7">
        <v>0</v>
      </c>
      <c r="J234" s="5">
        <v>45941</v>
      </c>
      <c r="K234" s="1" t="s">
        <v>30</v>
      </c>
      <c r="L234" s="8">
        <v>0</v>
      </c>
      <c r="M234" s="6"/>
      <c r="N234" s="6"/>
      <c r="O234" s="9">
        <v>-15.13</v>
      </c>
    </row>
    <row r="235" spans="1:15" ht="19.5" customHeight="1">
      <c r="A235" s="1" t="s">
        <v>828</v>
      </c>
      <c r="B235" s="5">
        <v>45946</v>
      </c>
      <c r="C235" s="1" t="s">
        <v>28</v>
      </c>
      <c r="D235" s="1" t="s">
        <v>29</v>
      </c>
      <c r="E235" s="1" t="s">
        <v>25</v>
      </c>
      <c r="F235" s="1" t="s">
        <v>26</v>
      </c>
      <c r="G235" s="1" t="s">
        <v>21</v>
      </c>
      <c r="H235" s="6">
        <v>1</v>
      </c>
      <c r="I235" s="7">
        <v>0</v>
      </c>
      <c r="J235" s="5">
        <v>45942</v>
      </c>
      <c r="K235" s="1" t="s">
        <v>30</v>
      </c>
      <c r="L235" s="8">
        <v>0</v>
      </c>
      <c r="M235" s="6"/>
      <c r="N235" s="6"/>
      <c r="O235" s="9">
        <v>-46</v>
      </c>
    </row>
    <row r="236" spans="1:15" ht="19.5" customHeight="1">
      <c r="A236" s="1" t="s">
        <v>828</v>
      </c>
      <c r="B236" s="5">
        <v>45946</v>
      </c>
      <c r="C236" s="1" t="s">
        <v>17</v>
      </c>
      <c r="D236" s="1" t="s">
        <v>37</v>
      </c>
      <c r="E236" s="1" t="s">
        <v>25</v>
      </c>
      <c r="F236" s="1" t="s">
        <v>26</v>
      </c>
      <c r="G236" s="1" t="s">
        <v>21</v>
      </c>
      <c r="H236" s="6">
        <v>1</v>
      </c>
      <c r="I236" s="7">
        <v>0</v>
      </c>
      <c r="J236" s="5">
        <v>45942</v>
      </c>
      <c r="K236" s="1" t="s">
        <v>30</v>
      </c>
      <c r="L236" s="8">
        <v>0</v>
      </c>
      <c r="M236" s="6"/>
      <c r="N236" s="6"/>
      <c r="O236" s="9">
        <v>-4.51</v>
      </c>
    </row>
    <row r="237" spans="1:15" ht="19.5" customHeight="1">
      <c r="A237" s="1" t="s">
        <v>828</v>
      </c>
      <c r="B237" s="5">
        <v>45946</v>
      </c>
      <c r="C237" s="1" t="s">
        <v>28</v>
      </c>
      <c r="D237" s="1" t="s">
        <v>45</v>
      </c>
      <c r="E237" s="1" t="s">
        <v>25</v>
      </c>
      <c r="F237" s="1" t="s">
        <v>26</v>
      </c>
      <c r="G237" s="1" t="s">
        <v>21</v>
      </c>
      <c r="H237" s="6">
        <v>1</v>
      </c>
      <c r="I237" s="7">
        <v>0</v>
      </c>
      <c r="J237" s="5">
        <v>45942</v>
      </c>
      <c r="K237" s="1" t="s">
        <v>30</v>
      </c>
      <c r="L237" s="8">
        <v>0</v>
      </c>
      <c r="M237" s="6"/>
      <c r="N237" s="6"/>
      <c r="O237" s="9">
        <v>0</v>
      </c>
    </row>
    <row r="238" spans="1:15" ht="19.5" customHeight="1">
      <c r="A238" s="1" t="s">
        <v>828</v>
      </c>
      <c r="B238" s="5">
        <v>45946</v>
      </c>
      <c r="C238" s="1" t="s">
        <v>28</v>
      </c>
      <c r="D238" s="1" t="s">
        <v>46</v>
      </c>
      <c r="E238" s="1" t="s">
        <v>25</v>
      </c>
      <c r="F238" s="1" t="s">
        <v>26</v>
      </c>
      <c r="G238" s="1" t="s">
        <v>21</v>
      </c>
      <c r="H238" s="6">
        <v>1</v>
      </c>
      <c r="I238" s="7">
        <v>0</v>
      </c>
      <c r="J238" s="5">
        <v>45942</v>
      </c>
      <c r="K238" s="1" t="s">
        <v>30</v>
      </c>
      <c r="L238" s="8">
        <v>0</v>
      </c>
      <c r="M238" s="6"/>
      <c r="N238" s="6"/>
      <c r="O238" s="9">
        <v>-46</v>
      </c>
    </row>
    <row r="239" spans="1:15" ht="19.5" customHeight="1">
      <c r="A239" s="1" t="s">
        <v>828</v>
      </c>
      <c r="B239" s="5">
        <v>45946</v>
      </c>
      <c r="C239" s="1" t="s">
        <v>17</v>
      </c>
      <c r="D239" s="1" t="s">
        <v>47</v>
      </c>
      <c r="E239" s="1" t="s">
        <v>25</v>
      </c>
      <c r="F239" s="1" t="s">
        <v>26</v>
      </c>
      <c r="G239" s="1" t="s">
        <v>21</v>
      </c>
      <c r="H239" s="6">
        <v>1</v>
      </c>
      <c r="I239" s="7">
        <v>0</v>
      </c>
      <c r="J239" s="5">
        <v>45942</v>
      </c>
      <c r="K239" s="1" t="s">
        <v>30</v>
      </c>
      <c r="L239" s="8">
        <v>0</v>
      </c>
      <c r="M239" s="6"/>
      <c r="N239" s="6"/>
      <c r="O239" s="9">
        <v>-15</v>
      </c>
    </row>
    <row r="240" spans="1:15" ht="19.5" customHeight="1">
      <c r="A240" s="1" t="s">
        <v>827</v>
      </c>
      <c r="B240" s="5">
        <v>45946</v>
      </c>
      <c r="C240" s="1" t="s">
        <v>28</v>
      </c>
      <c r="D240" s="1" t="s">
        <v>45</v>
      </c>
      <c r="E240" s="1" t="s">
        <v>111</v>
      </c>
      <c r="F240" s="1" t="s">
        <v>112</v>
      </c>
      <c r="G240" s="1" t="s">
        <v>21</v>
      </c>
      <c r="H240" s="6">
        <v>1</v>
      </c>
      <c r="I240" s="7">
        <v>0</v>
      </c>
      <c r="J240" s="5">
        <v>45941</v>
      </c>
      <c r="K240" s="1" t="s">
        <v>30</v>
      </c>
      <c r="L240" s="8">
        <v>0</v>
      </c>
      <c r="M240" s="6"/>
      <c r="N240" s="6"/>
      <c r="O240" s="9">
        <v>0</v>
      </c>
    </row>
    <row r="241" spans="1:15" ht="19.5" customHeight="1">
      <c r="A241" s="1" t="s">
        <v>827</v>
      </c>
      <c r="B241" s="5">
        <v>45946</v>
      </c>
      <c r="C241" s="1" t="s">
        <v>28</v>
      </c>
      <c r="D241" s="1" t="s">
        <v>46</v>
      </c>
      <c r="E241" s="1" t="s">
        <v>111</v>
      </c>
      <c r="F241" s="1" t="s">
        <v>112</v>
      </c>
      <c r="G241" s="1" t="s">
        <v>21</v>
      </c>
      <c r="H241" s="6">
        <v>1</v>
      </c>
      <c r="I241" s="7">
        <v>0</v>
      </c>
      <c r="J241" s="5">
        <v>45941</v>
      </c>
      <c r="K241" s="1" t="s">
        <v>30</v>
      </c>
      <c r="L241" s="8">
        <v>0</v>
      </c>
      <c r="M241" s="6"/>
      <c r="N241" s="6"/>
      <c r="O241" s="9">
        <v>-56</v>
      </c>
    </row>
    <row r="242" spans="1:15" ht="19.5" customHeight="1">
      <c r="A242" s="1" t="s">
        <v>827</v>
      </c>
      <c r="B242" s="5">
        <v>45946</v>
      </c>
      <c r="C242" s="1" t="s">
        <v>17</v>
      </c>
      <c r="D242" s="1" t="s">
        <v>47</v>
      </c>
      <c r="E242" s="1" t="s">
        <v>111</v>
      </c>
      <c r="F242" s="1" t="s">
        <v>112</v>
      </c>
      <c r="G242" s="1" t="s">
        <v>21</v>
      </c>
      <c r="H242" s="6">
        <v>1</v>
      </c>
      <c r="I242" s="7">
        <v>0</v>
      </c>
      <c r="J242" s="5">
        <v>45941</v>
      </c>
      <c r="K242" s="1" t="s">
        <v>30</v>
      </c>
      <c r="L242" s="8">
        <v>0</v>
      </c>
      <c r="M242" s="6"/>
      <c r="N242" s="6"/>
      <c r="O242" s="9">
        <v>-15</v>
      </c>
    </row>
    <row r="243" spans="1:15" ht="19.5" customHeight="1">
      <c r="A243" s="1" t="s">
        <v>829</v>
      </c>
      <c r="B243" s="5">
        <v>45946</v>
      </c>
      <c r="C243" s="1" t="s">
        <v>28</v>
      </c>
      <c r="D243" s="1" t="s">
        <v>45</v>
      </c>
      <c r="E243" s="1" t="s">
        <v>25</v>
      </c>
      <c r="F243" s="1" t="s">
        <v>26</v>
      </c>
      <c r="G243" s="1" t="s">
        <v>21</v>
      </c>
      <c r="H243" s="6">
        <v>1</v>
      </c>
      <c r="I243" s="7">
        <v>0</v>
      </c>
      <c r="J243" s="5">
        <v>45925</v>
      </c>
      <c r="K243" s="1" t="s">
        <v>30</v>
      </c>
      <c r="L243" s="8">
        <v>0</v>
      </c>
      <c r="M243" s="6"/>
      <c r="N243" s="6"/>
      <c r="O243" s="9">
        <v>0</v>
      </c>
    </row>
    <row r="244" spans="1:15" ht="19.5" customHeight="1">
      <c r="A244" s="1" t="s">
        <v>829</v>
      </c>
      <c r="B244" s="5">
        <v>45946</v>
      </c>
      <c r="C244" s="1" t="s">
        <v>28</v>
      </c>
      <c r="D244" s="1" t="s">
        <v>46</v>
      </c>
      <c r="E244" s="1" t="s">
        <v>25</v>
      </c>
      <c r="F244" s="1" t="s">
        <v>26</v>
      </c>
      <c r="G244" s="1" t="s">
        <v>21</v>
      </c>
      <c r="H244" s="6">
        <v>1</v>
      </c>
      <c r="I244" s="7">
        <v>0</v>
      </c>
      <c r="J244" s="5">
        <v>45925</v>
      </c>
      <c r="K244" s="1" t="s">
        <v>30</v>
      </c>
      <c r="L244" s="8">
        <v>0</v>
      </c>
      <c r="M244" s="6"/>
      <c r="N244" s="6"/>
      <c r="O244" s="9">
        <v>-46</v>
      </c>
    </row>
    <row r="245" spans="1:15" ht="19.5" customHeight="1">
      <c r="A245" s="1" t="s">
        <v>829</v>
      </c>
      <c r="B245" s="5">
        <v>45946</v>
      </c>
      <c r="C245" s="1" t="s">
        <v>28</v>
      </c>
      <c r="D245" s="1" t="s">
        <v>29</v>
      </c>
      <c r="E245" s="1" t="s">
        <v>25</v>
      </c>
      <c r="F245" s="1" t="s">
        <v>26</v>
      </c>
      <c r="G245" s="1" t="s">
        <v>21</v>
      </c>
      <c r="H245" s="6">
        <v>1</v>
      </c>
      <c r="I245" s="7">
        <v>0</v>
      </c>
      <c r="J245" s="5">
        <v>45925</v>
      </c>
      <c r="K245" s="1" t="s">
        <v>30</v>
      </c>
      <c r="L245" s="8">
        <v>0</v>
      </c>
      <c r="M245" s="6"/>
      <c r="N245" s="6"/>
      <c r="O245" s="9">
        <v>-46</v>
      </c>
    </row>
    <row r="246" spans="1:15" ht="19.5" customHeight="1">
      <c r="A246" s="1" t="s">
        <v>829</v>
      </c>
      <c r="B246" s="5">
        <v>45946</v>
      </c>
      <c r="C246" s="1" t="s">
        <v>17</v>
      </c>
      <c r="D246" s="1" t="s">
        <v>37</v>
      </c>
      <c r="E246" s="1" t="s">
        <v>25</v>
      </c>
      <c r="F246" s="1" t="s">
        <v>26</v>
      </c>
      <c r="G246" s="1" t="s">
        <v>21</v>
      </c>
      <c r="H246" s="6">
        <v>1</v>
      </c>
      <c r="I246" s="7">
        <v>0</v>
      </c>
      <c r="J246" s="5">
        <v>45925</v>
      </c>
      <c r="K246" s="1" t="s">
        <v>30</v>
      </c>
      <c r="L246" s="8">
        <v>0</v>
      </c>
      <c r="M246" s="6"/>
      <c r="N246" s="6"/>
      <c r="O246" s="9">
        <v>-25</v>
      </c>
    </row>
    <row r="247" spans="1:15" ht="19.5" customHeight="1">
      <c r="A247" s="1" t="s">
        <v>830</v>
      </c>
      <c r="B247" s="5">
        <v>45946</v>
      </c>
      <c r="C247" s="1" t="s">
        <v>28</v>
      </c>
      <c r="D247" s="1" t="s">
        <v>29</v>
      </c>
      <c r="E247" s="1" t="s">
        <v>62</v>
      </c>
      <c r="F247" s="1" t="s">
        <v>63</v>
      </c>
      <c r="G247" s="1" t="s">
        <v>41</v>
      </c>
      <c r="H247" s="6">
        <v>1</v>
      </c>
      <c r="I247" s="7">
        <v>0</v>
      </c>
      <c r="J247" s="5">
        <v>45938</v>
      </c>
      <c r="K247" s="1" t="s">
        <v>30</v>
      </c>
      <c r="L247" s="8">
        <v>0</v>
      </c>
      <c r="M247" s="6"/>
      <c r="N247" s="6"/>
      <c r="O247" s="9">
        <v>-56</v>
      </c>
    </row>
    <row r="248" spans="1:15" ht="19.5" customHeight="1">
      <c r="A248" s="1" t="s">
        <v>830</v>
      </c>
      <c r="B248" s="5">
        <v>45946</v>
      </c>
      <c r="C248" s="1" t="s">
        <v>17</v>
      </c>
      <c r="D248" s="1" t="s">
        <v>37</v>
      </c>
      <c r="E248" s="1" t="s">
        <v>62</v>
      </c>
      <c r="F248" s="1" t="s">
        <v>63</v>
      </c>
      <c r="G248" s="1" t="s">
        <v>41</v>
      </c>
      <c r="H248" s="6">
        <v>1</v>
      </c>
      <c r="I248" s="7">
        <v>0</v>
      </c>
      <c r="J248" s="5">
        <v>45938</v>
      </c>
      <c r="K248" s="1" t="s">
        <v>30</v>
      </c>
      <c r="L248" s="8">
        <v>0</v>
      </c>
      <c r="M248" s="6"/>
      <c r="N248" s="6"/>
      <c r="O248" s="9">
        <v>-10.25</v>
      </c>
    </row>
    <row r="249" spans="1:15" ht="19.5" customHeight="1">
      <c r="A249" s="1" t="s">
        <v>830</v>
      </c>
      <c r="B249" s="5">
        <v>45946</v>
      </c>
      <c r="C249" s="1" t="s">
        <v>28</v>
      </c>
      <c r="D249" s="1" t="s">
        <v>45</v>
      </c>
      <c r="E249" s="1" t="s">
        <v>62</v>
      </c>
      <c r="F249" s="1" t="s">
        <v>63</v>
      </c>
      <c r="G249" s="1" t="s">
        <v>41</v>
      </c>
      <c r="H249" s="6">
        <v>1</v>
      </c>
      <c r="I249" s="7">
        <v>0</v>
      </c>
      <c r="J249" s="5">
        <v>45938</v>
      </c>
      <c r="K249" s="1" t="s">
        <v>30</v>
      </c>
      <c r="L249" s="8">
        <v>0</v>
      </c>
      <c r="M249" s="6"/>
      <c r="N249" s="6"/>
      <c r="O249" s="9">
        <v>0</v>
      </c>
    </row>
    <row r="250" spans="1:15" ht="19.5" customHeight="1">
      <c r="A250" s="1" t="s">
        <v>830</v>
      </c>
      <c r="B250" s="5">
        <v>45946</v>
      </c>
      <c r="C250" s="1" t="s">
        <v>28</v>
      </c>
      <c r="D250" s="1" t="s">
        <v>46</v>
      </c>
      <c r="E250" s="1" t="s">
        <v>62</v>
      </c>
      <c r="F250" s="1" t="s">
        <v>63</v>
      </c>
      <c r="G250" s="1" t="s">
        <v>41</v>
      </c>
      <c r="H250" s="6">
        <v>1</v>
      </c>
      <c r="I250" s="7">
        <v>0</v>
      </c>
      <c r="J250" s="5">
        <v>45938</v>
      </c>
      <c r="K250" s="1" t="s">
        <v>30</v>
      </c>
      <c r="L250" s="8">
        <v>0</v>
      </c>
      <c r="M250" s="6"/>
      <c r="N250" s="6"/>
      <c r="O250" s="9">
        <v>-56</v>
      </c>
    </row>
    <row r="251" spans="1:15" ht="19.5" customHeight="1">
      <c r="A251" s="1" t="s">
        <v>830</v>
      </c>
      <c r="B251" s="5">
        <v>45946</v>
      </c>
      <c r="C251" s="1" t="s">
        <v>17</v>
      </c>
      <c r="D251" s="1" t="s">
        <v>47</v>
      </c>
      <c r="E251" s="1" t="s">
        <v>62</v>
      </c>
      <c r="F251" s="1" t="s">
        <v>63</v>
      </c>
      <c r="G251" s="1" t="s">
        <v>41</v>
      </c>
      <c r="H251" s="6">
        <v>1</v>
      </c>
      <c r="I251" s="7">
        <v>0</v>
      </c>
      <c r="J251" s="5">
        <v>45938</v>
      </c>
      <c r="K251" s="1" t="s">
        <v>30</v>
      </c>
      <c r="L251" s="8">
        <v>0</v>
      </c>
      <c r="M251" s="6"/>
      <c r="N251" s="6"/>
      <c r="O251" s="9">
        <v>-15</v>
      </c>
    </row>
    <row r="252" spans="1:15" ht="19.5" customHeight="1">
      <c r="A252" s="1" t="s">
        <v>831</v>
      </c>
      <c r="B252" s="5">
        <v>45946</v>
      </c>
      <c r="C252" s="1" t="s">
        <v>28</v>
      </c>
      <c r="D252" s="1" t="s">
        <v>29</v>
      </c>
      <c r="E252" s="1" t="s">
        <v>66</v>
      </c>
      <c r="F252" s="1" t="s">
        <v>67</v>
      </c>
      <c r="G252" s="1" t="s">
        <v>41</v>
      </c>
      <c r="H252" s="6">
        <v>1</v>
      </c>
      <c r="I252" s="7">
        <v>2340</v>
      </c>
      <c r="J252" s="5">
        <v>45932</v>
      </c>
      <c r="K252" s="1" t="s">
        <v>30</v>
      </c>
      <c r="L252" s="8">
        <v>0.24</v>
      </c>
      <c r="M252" s="6"/>
      <c r="N252" s="6"/>
      <c r="O252" s="9">
        <v>-56</v>
      </c>
    </row>
    <row r="253" spans="1:15" ht="19.5" customHeight="1">
      <c r="A253" s="1" t="s">
        <v>831</v>
      </c>
      <c r="B253" s="5">
        <v>45946</v>
      </c>
      <c r="C253" s="1" t="s">
        <v>31</v>
      </c>
      <c r="D253" s="1" t="s">
        <v>32</v>
      </c>
      <c r="E253" s="1" t="s">
        <v>66</v>
      </c>
      <c r="F253" s="1" t="s">
        <v>67</v>
      </c>
      <c r="G253" s="1" t="s">
        <v>41</v>
      </c>
      <c r="H253" s="6">
        <v>1</v>
      </c>
      <c r="I253" s="7">
        <v>2340</v>
      </c>
      <c r="J253" s="5">
        <v>45932</v>
      </c>
      <c r="K253" s="1" t="s">
        <v>30</v>
      </c>
      <c r="L253" s="8">
        <v>0</v>
      </c>
      <c r="M253" s="6"/>
      <c r="N253" s="6"/>
      <c r="O253" s="9">
        <v>1395.24</v>
      </c>
    </row>
    <row r="254" spans="1:15" ht="19.5" customHeight="1">
      <c r="A254" s="1" t="s">
        <v>831</v>
      </c>
      <c r="B254" s="5">
        <v>45946</v>
      </c>
      <c r="C254" s="1" t="s">
        <v>31</v>
      </c>
      <c r="D254" s="1" t="s">
        <v>33</v>
      </c>
      <c r="E254" s="1" t="s">
        <v>66</v>
      </c>
      <c r="F254" s="1" t="s">
        <v>67</v>
      </c>
      <c r="G254" s="1" t="s">
        <v>41</v>
      </c>
      <c r="H254" s="6">
        <v>1</v>
      </c>
      <c r="I254" s="7">
        <v>2340</v>
      </c>
      <c r="J254" s="5">
        <v>45932</v>
      </c>
      <c r="K254" s="1" t="s">
        <v>30</v>
      </c>
      <c r="L254" s="8">
        <v>0</v>
      </c>
      <c r="M254" s="6"/>
      <c r="N254" s="6"/>
      <c r="O254" s="9">
        <v>13.95</v>
      </c>
    </row>
    <row r="255" spans="1:15" ht="19.5" customHeight="1">
      <c r="A255" s="1" t="s">
        <v>831</v>
      </c>
      <c r="B255" s="5">
        <v>45946</v>
      </c>
      <c r="C255" s="1" t="s">
        <v>31</v>
      </c>
      <c r="D255" s="1" t="s">
        <v>34</v>
      </c>
      <c r="E255" s="1" t="s">
        <v>66</v>
      </c>
      <c r="F255" s="1" t="s">
        <v>67</v>
      </c>
      <c r="G255" s="1" t="s">
        <v>41</v>
      </c>
      <c r="H255" s="6">
        <v>1</v>
      </c>
      <c r="I255" s="7">
        <v>2340</v>
      </c>
      <c r="J255" s="5">
        <v>45932</v>
      </c>
      <c r="K255" s="1" t="s">
        <v>30</v>
      </c>
      <c r="L255" s="8">
        <v>0</v>
      </c>
      <c r="M255" s="6"/>
      <c r="N255" s="6"/>
      <c r="O255" s="9">
        <v>930.81</v>
      </c>
    </row>
    <row r="256" spans="1:15" ht="19.5" customHeight="1">
      <c r="A256" s="1" t="s">
        <v>831</v>
      </c>
      <c r="B256" s="5">
        <v>45946</v>
      </c>
      <c r="C256" s="1" t="s">
        <v>35</v>
      </c>
      <c r="D256" s="1" t="s">
        <v>36</v>
      </c>
      <c r="E256" s="1" t="s">
        <v>66</v>
      </c>
      <c r="F256" s="1" t="s">
        <v>67</v>
      </c>
      <c r="G256" s="1" t="s">
        <v>41</v>
      </c>
      <c r="H256" s="6">
        <v>1</v>
      </c>
      <c r="I256" s="7">
        <v>2340</v>
      </c>
      <c r="J256" s="5">
        <v>45932</v>
      </c>
      <c r="K256" s="1" t="s">
        <v>30</v>
      </c>
      <c r="L256" s="8">
        <v>0.24</v>
      </c>
      <c r="M256" s="6"/>
      <c r="N256" s="6"/>
      <c r="O256" s="9">
        <v>-561.6</v>
      </c>
    </row>
    <row r="257" spans="1:15" ht="19.5" customHeight="1">
      <c r="A257" s="1" t="s">
        <v>831</v>
      </c>
      <c r="B257" s="5">
        <v>45946</v>
      </c>
      <c r="C257" s="1" t="s">
        <v>17</v>
      </c>
      <c r="D257" s="1" t="s">
        <v>37</v>
      </c>
      <c r="E257" s="1" t="s">
        <v>66</v>
      </c>
      <c r="F257" s="1" t="s">
        <v>67</v>
      </c>
      <c r="G257" s="1" t="s">
        <v>41</v>
      </c>
      <c r="H257" s="6">
        <v>1</v>
      </c>
      <c r="I257" s="7">
        <v>2340</v>
      </c>
      <c r="J257" s="5">
        <v>45932</v>
      </c>
      <c r="K257" s="1" t="s">
        <v>30</v>
      </c>
      <c r="L257" s="8">
        <v>0.24</v>
      </c>
      <c r="M257" s="6"/>
      <c r="N257" s="6"/>
      <c r="O257" s="9">
        <v>-12.78</v>
      </c>
    </row>
    <row r="258" spans="1:15" ht="19.5" customHeight="1">
      <c r="A258" s="1" t="s">
        <v>831</v>
      </c>
      <c r="B258" s="5">
        <v>45946</v>
      </c>
      <c r="C258" s="1" t="s">
        <v>17</v>
      </c>
      <c r="D258" s="1" t="s">
        <v>18</v>
      </c>
      <c r="E258" s="1" t="s">
        <v>66</v>
      </c>
      <c r="F258" s="1" t="s">
        <v>67</v>
      </c>
      <c r="G258" s="1" t="s">
        <v>41</v>
      </c>
      <c r="H258" s="6">
        <v>1</v>
      </c>
      <c r="I258" s="7">
        <v>0</v>
      </c>
      <c r="J258" s="5">
        <v>45932</v>
      </c>
      <c r="K258" s="1" t="s">
        <v>22</v>
      </c>
      <c r="L258" s="8">
        <v>0</v>
      </c>
      <c r="M258" s="6"/>
      <c r="N258" s="6"/>
      <c r="O258" s="9">
        <v>-26.51</v>
      </c>
    </row>
    <row r="259" spans="1:15" ht="19.5" customHeight="1">
      <c r="A259" s="1" t="s">
        <v>832</v>
      </c>
      <c r="B259" s="5">
        <v>45946</v>
      </c>
      <c r="C259" s="1" t="s">
        <v>74</v>
      </c>
      <c r="D259" s="1" t="s">
        <v>75</v>
      </c>
      <c r="E259" s="1" t="s">
        <v>66</v>
      </c>
      <c r="F259" s="1" t="s">
        <v>67</v>
      </c>
      <c r="G259" s="1" t="s">
        <v>41</v>
      </c>
      <c r="H259" s="6">
        <v>1</v>
      </c>
      <c r="I259" s="7">
        <v>0</v>
      </c>
      <c r="J259" s="5">
        <v>45943</v>
      </c>
      <c r="K259" s="1" t="s">
        <v>30</v>
      </c>
      <c r="L259" s="8">
        <v>0</v>
      </c>
      <c r="M259" s="6"/>
      <c r="N259" s="6"/>
      <c r="O259" s="9">
        <v>-5</v>
      </c>
    </row>
    <row r="260" spans="1:15" ht="19.5" customHeight="1">
      <c r="A260" s="1" t="s">
        <v>832</v>
      </c>
      <c r="B260" s="5">
        <v>45946</v>
      </c>
      <c r="C260" s="1" t="s">
        <v>17</v>
      </c>
      <c r="D260" s="1" t="s">
        <v>76</v>
      </c>
      <c r="E260" s="1" t="s">
        <v>66</v>
      </c>
      <c r="F260" s="1" t="s">
        <v>67</v>
      </c>
      <c r="G260" s="1" t="s">
        <v>41</v>
      </c>
      <c r="H260" s="6">
        <v>1</v>
      </c>
      <c r="I260" s="7">
        <v>0</v>
      </c>
      <c r="J260" s="5">
        <v>45943</v>
      </c>
      <c r="K260" s="1" t="s">
        <v>30</v>
      </c>
      <c r="L260" s="8">
        <v>0</v>
      </c>
      <c r="M260" s="6"/>
      <c r="N260" s="6"/>
      <c r="O260" s="9">
        <v>-10</v>
      </c>
    </row>
    <row r="261" spans="1:15" ht="19.5" customHeight="1">
      <c r="A261" s="1" t="s">
        <v>833</v>
      </c>
      <c r="B261" s="5">
        <v>45946</v>
      </c>
      <c r="C261" s="1" t="s">
        <v>17</v>
      </c>
      <c r="D261" s="1" t="s">
        <v>18</v>
      </c>
      <c r="E261" s="1" t="s">
        <v>223</v>
      </c>
      <c r="F261" s="1" t="s">
        <v>395</v>
      </c>
      <c r="G261" s="1" t="s">
        <v>21</v>
      </c>
      <c r="H261" s="6">
        <v>1</v>
      </c>
      <c r="I261" s="7">
        <v>0</v>
      </c>
      <c r="J261" s="5">
        <v>45946</v>
      </c>
      <c r="K261" s="1" t="s">
        <v>22</v>
      </c>
      <c r="L261" s="8">
        <v>0</v>
      </c>
      <c r="M261" s="6"/>
      <c r="N261" s="6"/>
      <c r="O261" s="9">
        <v>-13.73</v>
      </c>
    </row>
    <row r="262" spans="1:15" ht="19.5" customHeight="1">
      <c r="A262" s="1" t="s">
        <v>834</v>
      </c>
      <c r="B262" s="5">
        <v>45946</v>
      </c>
      <c r="C262" s="1" t="s">
        <v>17</v>
      </c>
      <c r="D262" s="1" t="s">
        <v>18</v>
      </c>
      <c r="E262" s="1" t="s">
        <v>223</v>
      </c>
      <c r="F262" s="1" t="s">
        <v>395</v>
      </c>
      <c r="G262" s="1" t="s">
        <v>21</v>
      </c>
      <c r="H262" s="6">
        <v>1</v>
      </c>
      <c r="I262" s="7">
        <v>0</v>
      </c>
      <c r="J262" s="5">
        <v>45945</v>
      </c>
      <c r="K262" s="1" t="s">
        <v>22</v>
      </c>
      <c r="L262" s="8">
        <v>0</v>
      </c>
      <c r="M262" s="6"/>
      <c r="N262" s="6"/>
      <c r="O262" s="9">
        <v>-14.42</v>
      </c>
    </row>
    <row r="263" spans="1:15" ht="19.5" customHeight="1">
      <c r="A263" s="1" t="s">
        <v>834</v>
      </c>
      <c r="B263" s="5">
        <v>45946</v>
      </c>
      <c r="C263" s="1" t="s">
        <v>28</v>
      </c>
      <c r="D263" s="1" t="s">
        <v>29</v>
      </c>
      <c r="E263" s="1" t="s">
        <v>223</v>
      </c>
      <c r="F263" s="1" t="s">
        <v>395</v>
      </c>
      <c r="G263" s="1" t="s">
        <v>21</v>
      </c>
      <c r="H263" s="6">
        <v>1</v>
      </c>
      <c r="I263" s="7">
        <v>1378</v>
      </c>
      <c r="J263" s="5">
        <v>45945</v>
      </c>
      <c r="K263" s="1" t="s">
        <v>30</v>
      </c>
      <c r="L263" s="8">
        <v>0.34</v>
      </c>
      <c r="M263" s="6"/>
      <c r="N263" s="6"/>
      <c r="O263" s="9">
        <v>-46</v>
      </c>
    </row>
    <row r="264" spans="1:15" ht="19.5" customHeight="1">
      <c r="A264" s="1" t="s">
        <v>834</v>
      </c>
      <c r="B264" s="5">
        <v>45946</v>
      </c>
      <c r="C264" s="1" t="s">
        <v>31</v>
      </c>
      <c r="D264" s="1" t="s">
        <v>32</v>
      </c>
      <c r="E264" s="1" t="s">
        <v>223</v>
      </c>
      <c r="F264" s="1" t="s">
        <v>395</v>
      </c>
      <c r="G264" s="1" t="s">
        <v>21</v>
      </c>
      <c r="H264" s="6">
        <v>1</v>
      </c>
      <c r="I264" s="7">
        <v>1378</v>
      </c>
      <c r="J264" s="5">
        <v>45945</v>
      </c>
      <c r="K264" s="1" t="s">
        <v>30</v>
      </c>
      <c r="L264" s="8">
        <v>0</v>
      </c>
      <c r="M264" s="6"/>
      <c r="N264" s="6"/>
      <c r="O264" s="9">
        <v>759.05</v>
      </c>
    </row>
    <row r="265" spans="1:15" ht="19.5" customHeight="1">
      <c r="A265" s="1" t="s">
        <v>834</v>
      </c>
      <c r="B265" s="5">
        <v>45946</v>
      </c>
      <c r="C265" s="1" t="s">
        <v>31</v>
      </c>
      <c r="D265" s="1" t="s">
        <v>33</v>
      </c>
      <c r="E265" s="1" t="s">
        <v>223</v>
      </c>
      <c r="F265" s="1" t="s">
        <v>395</v>
      </c>
      <c r="G265" s="1" t="s">
        <v>21</v>
      </c>
      <c r="H265" s="6">
        <v>1</v>
      </c>
      <c r="I265" s="7">
        <v>1378</v>
      </c>
      <c r="J265" s="5">
        <v>45945</v>
      </c>
      <c r="K265" s="1" t="s">
        <v>30</v>
      </c>
      <c r="L265" s="8">
        <v>0</v>
      </c>
      <c r="M265" s="6"/>
      <c r="N265" s="6"/>
      <c r="O265" s="9">
        <v>7.59</v>
      </c>
    </row>
    <row r="266" spans="1:15" ht="19.5" customHeight="1">
      <c r="A266" s="1" t="s">
        <v>834</v>
      </c>
      <c r="B266" s="5">
        <v>45946</v>
      </c>
      <c r="C266" s="1" t="s">
        <v>31</v>
      </c>
      <c r="D266" s="1" t="s">
        <v>34</v>
      </c>
      <c r="E266" s="1" t="s">
        <v>223</v>
      </c>
      <c r="F266" s="1" t="s">
        <v>395</v>
      </c>
      <c r="G266" s="1" t="s">
        <v>21</v>
      </c>
      <c r="H266" s="6">
        <v>1</v>
      </c>
      <c r="I266" s="7">
        <v>1378</v>
      </c>
      <c r="J266" s="5">
        <v>45945</v>
      </c>
      <c r="K266" s="1" t="s">
        <v>30</v>
      </c>
      <c r="L266" s="8">
        <v>0</v>
      </c>
      <c r="M266" s="6"/>
      <c r="N266" s="6"/>
      <c r="O266" s="9">
        <v>611.36</v>
      </c>
    </row>
    <row r="267" spans="1:15" ht="19.5" customHeight="1">
      <c r="A267" s="1" t="s">
        <v>834</v>
      </c>
      <c r="B267" s="5">
        <v>45946</v>
      </c>
      <c r="C267" s="1" t="s">
        <v>35</v>
      </c>
      <c r="D267" s="1" t="s">
        <v>36</v>
      </c>
      <c r="E267" s="1" t="s">
        <v>223</v>
      </c>
      <c r="F267" s="1" t="s">
        <v>395</v>
      </c>
      <c r="G267" s="1" t="s">
        <v>21</v>
      </c>
      <c r="H267" s="6">
        <v>1</v>
      </c>
      <c r="I267" s="7">
        <v>1378</v>
      </c>
      <c r="J267" s="5">
        <v>45945</v>
      </c>
      <c r="K267" s="1" t="s">
        <v>30</v>
      </c>
      <c r="L267" s="8">
        <v>0.34</v>
      </c>
      <c r="M267" s="6"/>
      <c r="N267" s="6"/>
      <c r="O267" s="9">
        <v>-468.52</v>
      </c>
    </row>
    <row r="268" spans="1:15" ht="19.5" customHeight="1">
      <c r="A268" s="1" t="s">
        <v>834</v>
      </c>
      <c r="B268" s="5">
        <v>45946</v>
      </c>
      <c r="C268" s="1" t="s">
        <v>17</v>
      </c>
      <c r="D268" s="1" t="s">
        <v>37</v>
      </c>
      <c r="E268" s="1" t="s">
        <v>223</v>
      </c>
      <c r="F268" s="1" t="s">
        <v>395</v>
      </c>
      <c r="G268" s="1" t="s">
        <v>21</v>
      </c>
      <c r="H268" s="6">
        <v>1</v>
      </c>
      <c r="I268" s="7">
        <v>1378</v>
      </c>
      <c r="J268" s="5">
        <v>45945</v>
      </c>
      <c r="K268" s="1" t="s">
        <v>30</v>
      </c>
      <c r="L268" s="8">
        <v>0.34</v>
      </c>
      <c r="M268" s="6"/>
      <c r="N268" s="6"/>
      <c r="O268" s="9">
        <v>-6.49</v>
      </c>
    </row>
    <row r="269" spans="1:15" ht="19.5" customHeight="1">
      <c r="A269" s="1" t="s">
        <v>22</v>
      </c>
      <c r="B269" s="5">
        <v>45946</v>
      </c>
      <c r="C269" s="1" t="s">
        <v>77</v>
      </c>
      <c r="D269" s="1" t="s">
        <v>78</v>
      </c>
      <c r="E269" s="1" t="s">
        <v>22</v>
      </c>
      <c r="F269" s="1" t="s">
        <v>22</v>
      </c>
      <c r="G269" s="1" t="s">
        <v>835</v>
      </c>
      <c r="H269" s="6">
        <v>0</v>
      </c>
      <c r="I269" s="7">
        <v>0</v>
      </c>
      <c r="J269" s="5">
        <v>45946</v>
      </c>
      <c r="K269" s="1" t="s">
        <v>22</v>
      </c>
      <c r="L269" s="8">
        <v>0</v>
      </c>
      <c r="M269" s="6"/>
      <c r="N269" s="6"/>
      <c r="O269" s="9">
        <v>-200</v>
      </c>
    </row>
    <row r="270" spans="1:15" ht="19.5" customHeight="1">
      <c r="A270" s="1" t="s">
        <v>836</v>
      </c>
      <c r="B270" s="5">
        <v>45946</v>
      </c>
      <c r="C270" s="1" t="s">
        <v>28</v>
      </c>
      <c r="D270" s="1" t="s">
        <v>29</v>
      </c>
      <c r="E270" s="1" t="s">
        <v>19</v>
      </c>
      <c r="F270" s="1" t="s">
        <v>20</v>
      </c>
      <c r="G270" s="1" t="s">
        <v>21</v>
      </c>
      <c r="H270" s="6">
        <v>1</v>
      </c>
      <c r="I270" s="7">
        <v>0</v>
      </c>
      <c r="J270" s="5">
        <v>45938</v>
      </c>
      <c r="K270" s="1" t="s">
        <v>30</v>
      </c>
      <c r="L270" s="8">
        <v>0</v>
      </c>
      <c r="M270" s="6"/>
      <c r="N270" s="6"/>
      <c r="O270" s="9">
        <v>-46</v>
      </c>
    </row>
    <row r="271" spans="1:15" ht="19.5" customHeight="1">
      <c r="A271" s="1" t="s">
        <v>836</v>
      </c>
      <c r="B271" s="5">
        <v>45946</v>
      </c>
      <c r="C271" s="1" t="s">
        <v>17</v>
      </c>
      <c r="D271" s="1" t="s">
        <v>37</v>
      </c>
      <c r="E271" s="1" t="s">
        <v>19</v>
      </c>
      <c r="F271" s="1" t="s">
        <v>20</v>
      </c>
      <c r="G271" s="1" t="s">
        <v>21</v>
      </c>
      <c r="H271" s="6">
        <v>1</v>
      </c>
      <c r="I271" s="7">
        <v>0</v>
      </c>
      <c r="J271" s="5">
        <v>45938</v>
      </c>
      <c r="K271" s="1" t="s">
        <v>30</v>
      </c>
      <c r="L271" s="8">
        <v>0</v>
      </c>
      <c r="M271" s="6"/>
      <c r="N271" s="6"/>
      <c r="O271" s="9">
        <v>-6.78</v>
      </c>
    </row>
    <row r="272" spans="1:15" ht="19.5" customHeight="1">
      <c r="A272" s="1" t="s">
        <v>836</v>
      </c>
      <c r="B272" s="5">
        <v>45946</v>
      </c>
      <c r="C272" s="1" t="s">
        <v>28</v>
      </c>
      <c r="D272" s="1" t="s">
        <v>45</v>
      </c>
      <c r="E272" s="1" t="s">
        <v>19</v>
      </c>
      <c r="F272" s="1" t="s">
        <v>20</v>
      </c>
      <c r="G272" s="1" t="s">
        <v>21</v>
      </c>
      <c r="H272" s="6">
        <v>1</v>
      </c>
      <c r="I272" s="7">
        <v>0</v>
      </c>
      <c r="J272" s="5">
        <v>45938</v>
      </c>
      <c r="K272" s="1" t="s">
        <v>30</v>
      </c>
      <c r="L272" s="8">
        <v>0</v>
      </c>
      <c r="M272" s="6"/>
      <c r="N272" s="6"/>
      <c r="O272" s="9">
        <v>0</v>
      </c>
    </row>
    <row r="273" spans="1:15" ht="19.5" customHeight="1">
      <c r="A273" s="1" t="s">
        <v>836</v>
      </c>
      <c r="B273" s="5">
        <v>45946</v>
      </c>
      <c r="C273" s="1" t="s">
        <v>28</v>
      </c>
      <c r="D273" s="1" t="s">
        <v>46</v>
      </c>
      <c r="E273" s="1" t="s">
        <v>19</v>
      </c>
      <c r="F273" s="1" t="s">
        <v>20</v>
      </c>
      <c r="G273" s="1" t="s">
        <v>21</v>
      </c>
      <c r="H273" s="6">
        <v>1</v>
      </c>
      <c r="I273" s="7">
        <v>0</v>
      </c>
      <c r="J273" s="5">
        <v>45938</v>
      </c>
      <c r="K273" s="1" t="s">
        <v>30</v>
      </c>
      <c r="L273" s="8">
        <v>0</v>
      </c>
      <c r="M273" s="6"/>
      <c r="N273" s="6"/>
      <c r="O273" s="9">
        <v>-46</v>
      </c>
    </row>
    <row r="274" spans="1:15" ht="19.5" customHeight="1">
      <c r="A274" s="1" t="s">
        <v>836</v>
      </c>
      <c r="B274" s="5">
        <v>45946</v>
      </c>
      <c r="C274" s="1" t="s">
        <v>17</v>
      </c>
      <c r="D274" s="1" t="s">
        <v>47</v>
      </c>
      <c r="E274" s="1" t="s">
        <v>19</v>
      </c>
      <c r="F274" s="1" t="s">
        <v>20</v>
      </c>
      <c r="G274" s="1" t="s">
        <v>21</v>
      </c>
      <c r="H274" s="6">
        <v>1</v>
      </c>
      <c r="I274" s="7">
        <v>0</v>
      </c>
      <c r="J274" s="5">
        <v>45938</v>
      </c>
      <c r="K274" s="1" t="s">
        <v>30</v>
      </c>
      <c r="L274" s="8">
        <v>0</v>
      </c>
      <c r="M274" s="6"/>
      <c r="N274" s="6"/>
      <c r="O274" s="9">
        <v>-15</v>
      </c>
    </row>
    <row r="275" spans="1:15" ht="19.5" customHeight="1">
      <c r="A275" s="1" t="s">
        <v>83</v>
      </c>
      <c r="B275" s="5">
        <v>45946</v>
      </c>
      <c r="C275" s="1" t="s">
        <v>77</v>
      </c>
      <c r="D275" s="1" t="s">
        <v>84</v>
      </c>
      <c r="E275" s="1" t="s">
        <v>22</v>
      </c>
      <c r="F275" s="1" t="s">
        <v>22</v>
      </c>
      <c r="G275" s="1" t="s">
        <v>22</v>
      </c>
      <c r="H275" s="6">
        <v>0</v>
      </c>
      <c r="I275" s="7">
        <v>0</v>
      </c>
      <c r="J275" s="5">
        <v>45946</v>
      </c>
      <c r="K275" s="1" t="s">
        <v>22</v>
      </c>
      <c r="L275" s="8">
        <v>0</v>
      </c>
      <c r="M275" s="6"/>
      <c r="N275" s="6"/>
      <c r="O275" s="9">
        <v>-603.54</v>
      </c>
    </row>
    <row r="276" spans="1:15" ht="19.5" customHeight="1">
      <c r="A276" s="1" t="s">
        <v>807</v>
      </c>
      <c r="B276" s="5">
        <v>45946</v>
      </c>
      <c r="C276" s="1" t="s">
        <v>77</v>
      </c>
      <c r="D276" s="1" t="s">
        <v>82</v>
      </c>
      <c r="E276" s="1" t="s">
        <v>22</v>
      </c>
      <c r="F276" s="1" t="s">
        <v>22</v>
      </c>
      <c r="G276" s="1" t="s">
        <v>22</v>
      </c>
      <c r="H276" s="6">
        <v>0</v>
      </c>
      <c r="I276" s="7">
        <v>0</v>
      </c>
      <c r="J276" s="5">
        <v>45946</v>
      </c>
      <c r="K276" s="1" t="s">
        <v>22</v>
      </c>
      <c r="L276" s="8">
        <v>0</v>
      </c>
      <c r="M276" s="6"/>
      <c r="N276" s="6"/>
      <c r="O276" s="9">
        <v>-394.8</v>
      </c>
    </row>
    <row r="277" spans="1:15" ht="19.5" customHeight="1">
      <c r="A277" s="1" t="s">
        <v>808</v>
      </c>
      <c r="B277" s="5">
        <v>45946</v>
      </c>
      <c r="C277" s="1" t="s">
        <v>77</v>
      </c>
      <c r="D277" s="1" t="s">
        <v>82</v>
      </c>
      <c r="E277" s="1" t="s">
        <v>22</v>
      </c>
      <c r="F277" s="1" t="s">
        <v>22</v>
      </c>
      <c r="G277" s="1" t="s">
        <v>22</v>
      </c>
      <c r="H277" s="6">
        <v>0</v>
      </c>
      <c r="I277" s="7">
        <v>0</v>
      </c>
      <c r="J277" s="5">
        <v>45946</v>
      </c>
      <c r="K277" s="1" t="s">
        <v>22</v>
      </c>
      <c r="L277" s="8">
        <v>0</v>
      </c>
      <c r="M277" s="6"/>
      <c r="N277" s="6"/>
      <c r="O277" s="9">
        <v>-331.8</v>
      </c>
    </row>
    <row r="278" spans="1:15" ht="19.5" customHeight="1">
      <c r="A278" s="1" t="s">
        <v>811</v>
      </c>
      <c r="B278" s="5">
        <v>45946</v>
      </c>
      <c r="C278" s="1" t="s">
        <v>77</v>
      </c>
      <c r="D278" s="1" t="s">
        <v>82</v>
      </c>
      <c r="E278" s="1" t="s">
        <v>22</v>
      </c>
      <c r="F278" s="1" t="s">
        <v>22</v>
      </c>
      <c r="G278" s="1" t="s">
        <v>22</v>
      </c>
      <c r="H278" s="6">
        <v>0</v>
      </c>
      <c r="I278" s="7">
        <v>0</v>
      </c>
      <c r="J278" s="5">
        <v>45946</v>
      </c>
      <c r="K278" s="1" t="s">
        <v>22</v>
      </c>
      <c r="L278" s="8">
        <v>0</v>
      </c>
      <c r="M278" s="6"/>
      <c r="N278" s="6"/>
      <c r="O278" s="9">
        <v>-815.5</v>
      </c>
    </row>
    <row r="279" spans="1:15" ht="19.5" customHeight="1">
      <c r="A279" s="1" t="s">
        <v>810</v>
      </c>
      <c r="B279" s="5">
        <v>45946</v>
      </c>
      <c r="C279" s="1" t="s">
        <v>77</v>
      </c>
      <c r="D279" s="1" t="s">
        <v>82</v>
      </c>
      <c r="E279" s="1" t="s">
        <v>22</v>
      </c>
      <c r="F279" s="1" t="s">
        <v>22</v>
      </c>
      <c r="G279" s="1" t="s">
        <v>22</v>
      </c>
      <c r="H279" s="6">
        <v>0</v>
      </c>
      <c r="I279" s="7">
        <v>0</v>
      </c>
      <c r="J279" s="5">
        <v>45946</v>
      </c>
      <c r="K279" s="1" t="s">
        <v>22</v>
      </c>
      <c r="L279" s="8">
        <v>0</v>
      </c>
      <c r="M279" s="6"/>
      <c r="N279" s="6"/>
      <c r="O279" s="9">
        <v>-397.58</v>
      </c>
    </row>
    <row r="280" spans="1:15" ht="19.5" customHeight="1">
      <c r="A280" s="1" t="s">
        <v>837</v>
      </c>
      <c r="B280" s="5">
        <v>45947</v>
      </c>
      <c r="C280" s="1" t="s">
        <v>28</v>
      </c>
      <c r="D280" s="1" t="s">
        <v>45</v>
      </c>
      <c r="E280" s="1" t="s">
        <v>25</v>
      </c>
      <c r="F280" s="1" t="s">
        <v>26</v>
      </c>
      <c r="G280" s="1" t="s">
        <v>21</v>
      </c>
      <c r="H280" s="6">
        <v>1</v>
      </c>
      <c r="I280" s="7">
        <v>0</v>
      </c>
      <c r="J280" s="5">
        <v>45940</v>
      </c>
      <c r="K280" s="1" t="s">
        <v>30</v>
      </c>
      <c r="L280" s="8">
        <v>0</v>
      </c>
      <c r="M280" s="6"/>
      <c r="N280" s="6"/>
      <c r="O280" s="9">
        <v>0</v>
      </c>
    </row>
    <row r="281" spans="1:15" ht="19.5" customHeight="1">
      <c r="A281" s="1" t="s">
        <v>837</v>
      </c>
      <c r="B281" s="5">
        <v>45947</v>
      </c>
      <c r="C281" s="1" t="s">
        <v>28</v>
      </c>
      <c r="D281" s="1" t="s">
        <v>46</v>
      </c>
      <c r="E281" s="1" t="s">
        <v>25</v>
      </c>
      <c r="F281" s="1" t="s">
        <v>26</v>
      </c>
      <c r="G281" s="1" t="s">
        <v>21</v>
      </c>
      <c r="H281" s="6">
        <v>1</v>
      </c>
      <c r="I281" s="7">
        <v>0</v>
      </c>
      <c r="J281" s="5">
        <v>45940</v>
      </c>
      <c r="K281" s="1" t="s">
        <v>30</v>
      </c>
      <c r="L281" s="8">
        <v>0</v>
      </c>
      <c r="M281" s="6"/>
      <c r="N281" s="6"/>
      <c r="O281" s="9">
        <v>-46</v>
      </c>
    </row>
    <row r="282" spans="1:15" ht="19.5" customHeight="1">
      <c r="A282" s="1" t="s">
        <v>837</v>
      </c>
      <c r="B282" s="5">
        <v>45947</v>
      </c>
      <c r="C282" s="1" t="s">
        <v>17</v>
      </c>
      <c r="D282" s="1" t="s">
        <v>47</v>
      </c>
      <c r="E282" s="1" t="s">
        <v>25</v>
      </c>
      <c r="F282" s="1" t="s">
        <v>26</v>
      </c>
      <c r="G282" s="1" t="s">
        <v>21</v>
      </c>
      <c r="H282" s="6">
        <v>1</v>
      </c>
      <c r="I282" s="7">
        <v>0</v>
      </c>
      <c r="J282" s="5">
        <v>45940</v>
      </c>
      <c r="K282" s="1" t="s">
        <v>30</v>
      </c>
      <c r="L282" s="8">
        <v>0</v>
      </c>
      <c r="M282" s="6"/>
      <c r="N282" s="6"/>
      <c r="O282" s="9">
        <v>-15</v>
      </c>
    </row>
    <row r="283" spans="1:15" ht="19.5" customHeight="1">
      <c r="A283" s="1" t="s">
        <v>837</v>
      </c>
      <c r="B283" s="5">
        <v>45947</v>
      </c>
      <c r="C283" s="1" t="s">
        <v>28</v>
      </c>
      <c r="D283" s="1" t="s">
        <v>29</v>
      </c>
      <c r="E283" s="1" t="s">
        <v>25</v>
      </c>
      <c r="F283" s="1" t="s">
        <v>26</v>
      </c>
      <c r="G283" s="1" t="s">
        <v>21</v>
      </c>
      <c r="H283" s="6">
        <v>1</v>
      </c>
      <c r="I283" s="7">
        <v>0</v>
      </c>
      <c r="J283" s="5">
        <v>45940</v>
      </c>
      <c r="K283" s="1" t="s">
        <v>30</v>
      </c>
      <c r="L283" s="8">
        <v>0</v>
      </c>
      <c r="M283" s="6"/>
      <c r="N283" s="6"/>
      <c r="O283" s="9">
        <v>-46</v>
      </c>
    </row>
    <row r="284" spans="1:15" ht="19.5" customHeight="1">
      <c r="A284" s="1" t="s">
        <v>837</v>
      </c>
      <c r="B284" s="5">
        <v>45947</v>
      </c>
      <c r="C284" s="1" t="s">
        <v>17</v>
      </c>
      <c r="D284" s="1" t="s">
        <v>37</v>
      </c>
      <c r="E284" s="1" t="s">
        <v>25</v>
      </c>
      <c r="F284" s="1" t="s">
        <v>26</v>
      </c>
      <c r="G284" s="1" t="s">
        <v>21</v>
      </c>
      <c r="H284" s="6">
        <v>1</v>
      </c>
      <c r="I284" s="7">
        <v>0</v>
      </c>
      <c r="J284" s="5">
        <v>45940</v>
      </c>
      <c r="K284" s="1" t="s">
        <v>30</v>
      </c>
      <c r="L284" s="8">
        <v>0</v>
      </c>
      <c r="M284" s="6"/>
      <c r="N284" s="6"/>
      <c r="O284" s="9">
        <v>-5.12</v>
      </c>
    </row>
    <row r="285" spans="1:15" ht="19.5" customHeight="1">
      <c r="A285" s="1" t="s">
        <v>783</v>
      </c>
      <c r="B285" s="5">
        <v>45947</v>
      </c>
      <c r="C285" s="1" t="s">
        <v>74</v>
      </c>
      <c r="D285" s="1" t="s">
        <v>838</v>
      </c>
      <c r="E285" s="1" t="s">
        <v>25</v>
      </c>
      <c r="F285" s="1" t="s">
        <v>26</v>
      </c>
      <c r="G285" s="1" t="s">
        <v>21</v>
      </c>
      <c r="H285" s="6">
        <v>1</v>
      </c>
      <c r="I285" s="7">
        <v>0</v>
      </c>
      <c r="J285" s="5">
        <v>45947</v>
      </c>
      <c r="K285" s="1" t="s">
        <v>22</v>
      </c>
      <c r="L285" s="8">
        <v>0</v>
      </c>
      <c r="M285" s="6"/>
      <c r="N285" s="6"/>
      <c r="O285" s="9">
        <v>-75</v>
      </c>
    </row>
    <row r="286" spans="1:15" ht="19.5" customHeight="1">
      <c r="A286" s="1" t="s">
        <v>839</v>
      </c>
      <c r="B286" s="5">
        <v>45947</v>
      </c>
      <c r="C286" s="1" t="s">
        <v>28</v>
      </c>
      <c r="D286" s="1" t="s">
        <v>45</v>
      </c>
      <c r="E286" s="1" t="s">
        <v>70</v>
      </c>
      <c r="F286" s="1" t="s">
        <v>71</v>
      </c>
      <c r="G286" s="1" t="s">
        <v>41</v>
      </c>
      <c r="H286" s="6">
        <v>1</v>
      </c>
      <c r="I286" s="7">
        <v>0</v>
      </c>
      <c r="J286" s="5">
        <v>45938</v>
      </c>
      <c r="K286" s="1" t="s">
        <v>30</v>
      </c>
      <c r="L286" s="8">
        <v>0</v>
      </c>
      <c r="M286" s="6"/>
      <c r="N286" s="6"/>
      <c r="O286" s="9">
        <v>0</v>
      </c>
    </row>
    <row r="287" spans="1:15" ht="19.5" customHeight="1">
      <c r="A287" s="1" t="s">
        <v>839</v>
      </c>
      <c r="B287" s="5">
        <v>45947</v>
      </c>
      <c r="C287" s="1" t="s">
        <v>28</v>
      </c>
      <c r="D287" s="1" t="s">
        <v>46</v>
      </c>
      <c r="E287" s="1" t="s">
        <v>70</v>
      </c>
      <c r="F287" s="1" t="s">
        <v>71</v>
      </c>
      <c r="G287" s="1" t="s">
        <v>41</v>
      </c>
      <c r="H287" s="6">
        <v>1</v>
      </c>
      <c r="I287" s="7">
        <v>0</v>
      </c>
      <c r="J287" s="5">
        <v>45938</v>
      </c>
      <c r="K287" s="1" t="s">
        <v>30</v>
      </c>
      <c r="L287" s="8">
        <v>0</v>
      </c>
      <c r="M287" s="6"/>
      <c r="N287" s="6"/>
      <c r="O287" s="9">
        <v>-56</v>
      </c>
    </row>
    <row r="288" spans="1:15" ht="19.5" customHeight="1">
      <c r="A288" s="1" t="s">
        <v>839</v>
      </c>
      <c r="B288" s="5">
        <v>45947</v>
      </c>
      <c r="C288" s="1" t="s">
        <v>17</v>
      </c>
      <c r="D288" s="1" t="s">
        <v>47</v>
      </c>
      <c r="E288" s="1" t="s">
        <v>70</v>
      </c>
      <c r="F288" s="1" t="s">
        <v>71</v>
      </c>
      <c r="G288" s="1" t="s">
        <v>41</v>
      </c>
      <c r="H288" s="6">
        <v>1</v>
      </c>
      <c r="I288" s="7">
        <v>0</v>
      </c>
      <c r="J288" s="5">
        <v>45938</v>
      </c>
      <c r="K288" s="1" t="s">
        <v>30</v>
      </c>
      <c r="L288" s="8">
        <v>0</v>
      </c>
      <c r="M288" s="6"/>
      <c r="N288" s="6"/>
      <c r="O288" s="9">
        <v>-15</v>
      </c>
    </row>
    <row r="289" spans="1:15" ht="19.5" customHeight="1">
      <c r="A289" s="1" t="s">
        <v>839</v>
      </c>
      <c r="B289" s="5">
        <v>45947</v>
      </c>
      <c r="C289" s="1" t="s">
        <v>28</v>
      </c>
      <c r="D289" s="1" t="s">
        <v>29</v>
      </c>
      <c r="E289" s="1" t="s">
        <v>70</v>
      </c>
      <c r="F289" s="1" t="s">
        <v>71</v>
      </c>
      <c r="G289" s="1" t="s">
        <v>41</v>
      </c>
      <c r="H289" s="6">
        <v>1</v>
      </c>
      <c r="I289" s="7">
        <v>0</v>
      </c>
      <c r="J289" s="5">
        <v>45938</v>
      </c>
      <c r="K289" s="1" t="s">
        <v>30</v>
      </c>
      <c r="L289" s="8">
        <v>0</v>
      </c>
      <c r="M289" s="6"/>
      <c r="N289" s="6"/>
      <c r="O289" s="9">
        <v>-56</v>
      </c>
    </row>
    <row r="290" spans="1:15" ht="19.5" customHeight="1">
      <c r="A290" s="1" t="s">
        <v>839</v>
      </c>
      <c r="B290" s="5">
        <v>45947</v>
      </c>
      <c r="C290" s="1" t="s">
        <v>17</v>
      </c>
      <c r="D290" s="1" t="s">
        <v>37</v>
      </c>
      <c r="E290" s="1" t="s">
        <v>70</v>
      </c>
      <c r="F290" s="1" t="s">
        <v>71</v>
      </c>
      <c r="G290" s="1" t="s">
        <v>41</v>
      </c>
      <c r="H290" s="6">
        <v>1</v>
      </c>
      <c r="I290" s="7">
        <v>0</v>
      </c>
      <c r="J290" s="5">
        <v>45938</v>
      </c>
      <c r="K290" s="1" t="s">
        <v>30</v>
      </c>
      <c r="L290" s="8">
        <v>0</v>
      </c>
      <c r="M290" s="6"/>
      <c r="N290" s="6"/>
      <c r="O290" s="9">
        <v>-17.09</v>
      </c>
    </row>
    <row r="291" spans="1:15" ht="19.5" customHeight="1">
      <c r="A291" s="1" t="s">
        <v>840</v>
      </c>
      <c r="B291" s="5">
        <v>45947</v>
      </c>
      <c r="C291" s="1" t="s">
        <v>17</v>
      </c>
      <c r="D291" s="1" t="s">
        <v>18</v>
      </c>
      <c r="E291" s="1" t="s">
        <v>239</v>
      </c>
      <c r="F291" s="1" t="s">
        <v>733</v>
      </c>
      <c r="G291" s="1" t="s">
        <v>41</v>
      </c>
      <c r="H291" s="6">
        <v>1</v>
      </c>
      <c r="I291" s="7">
        <v>0</v>
      </c>
      <c r="J291" s="5">
        <v>45947</v>
      </c>
      <c r="K291" s="1" t="s">
        <v>22</v>
      </c>
      <c r="L291" s="8">
        <v>0</v>
      </c>
      <c r="M291" s="6"/>
      <c r="N291" s="6"/>
      <c r="O291" s="9">
        <v>-51.71</v>
      </c>
    </row>
    <row r="292" spans="1:15" ht="19.5" customHeight="1">
      <c r="A292" s="1" t="s">
        <v>822</v>
      </c>
      <c r="B292" s="5">
        <v>45947</v>
      </c>
      <c r="C292" s="1" t="s">
        <v>28</v>
      </c>
      <c r="D292" s="1" t="s">
        <v>29</v>
      </c>
      <c r="E292" s="1" t="s">
        <v>231</v>
      </c>
      <c r="F292" s="1" t="s">
        <v>841</v>
      </c>
      <c r="G292" s="1" t="s">
        <v>21</v>
      </c>
      <c r="H292" s="6">
        <v>1</v>
      </c>
      <c r="I292" s="7">
        <v>0</v>
      </c>
      <c r="J292" s="5">
        <v>45941</v>
      </c>
      <c r="K292" s="1" t="s">
        <v>113</v>
      </c>
      <c r="L292" s="8">
        <v>0</v>
      </c>
      <c r="M292" s="6"/>
      <c r="N292" s="6"/>
      <c r="O292" s="9">
        <v>-98</v>
      </c>
    </row>
    <row r="293" spans="1:15" ht="19.5" customHeight="1">
      <c r="A293" s="1" t="s">
        <v>822</v>
      </c>
      <c r="B293" s="5">
        <v>45947</v>
      </c>
      <c r="C293" s="1" t="s">
        <v>17</v>
      </c>
      <c r="D293" s="1" t="s">
        <v>37</v>
      </c>
      <c r="E293" s="1" t="s">
        <v>231</v>
      </c>
      <c r="F293" s="1" t="s">
        <v>841</v>
      </c>
      <c r="G293" s="1" t="s">
        <v>21</v>
      </c>
      <c r="H293" s="6">
        <v>1</v>
      </c>
      <c r="I293" s="7">
        <v>0</v>
      </c>
      <c r="J293" s="5">
        <v>45941</v>
      </c>
      <c r="K293" s="1" t="s">
        <v>113</v>
      </c>
      <c r="L293" s="8">
        <v>0</v>
      </c>
      <c r="M293" s="6"/>
      <c r="N293" s="6"/>
      <c r="O293" s="9">
        <v>-14.53</v>
      </c>
    </row>
    <row r="294" spans="1:15" ht="19.5" customHeight="1">
      <c r="A294" s="1" t="s">
        <v>822</v>
      </c>
      <c r="B294" s="5">
        <v>45947</v>
      </c>
      <c r="C294" s="1" t="s">
        <v>28</v>
      </c>
      <c r="D294" s="1" t="s">
        <v>356</v>
      </c>
      <c r="E294" s="1" t="s">
        <v>231</v>
      </c>
      <c r="F294" s="1" t="s">
        <v>841</v>
      </c>
      <c r="G294" s="1" t="s">
        <v>21</v>
      </c>
      <c r="H294" s="6">
        <v>1</v>
      </c>
      <c r="I294" s="7">
        <v>0</v>
      </c>
      <c r="J294" s="5">
        <v>45941</v>
      </c>
      <c r="K294" s="1" t="s">
        <v>113</v>
      </c>
      <c r="L294" s="8">
        <v>0</v>
      </c>
      <c r="M294" s="6"/>
      <c r="N294" s="6"/>
      <c r="O294" s="9">
        <v>0</v>
      </c>
    </row>
    <row r="295" spans="1:15" ht="19.5" customHeight="1">
      <c r="A295" s="1" t="s">
        <v>822</v>
      </c>
      <c r="B295" s="5">
        <v>45947</v>
      </c>
      <c r="C295" s="1" t="s">
        <v>28</v>
      </c>
      <c r="D295" s="1" t="s">
        <v>46</v>
      </c>
      <c r="E295" s="1" t="s">
        <v>231</v>
      </c>
      <c r="F295" s="1" t="s">
        <v>841</v>
      </c>
      <c r="G295" s="1" t="s">
        <v>21</v>
      </c>
      <c r="H295" s="6">
        <v>1</v>
      </c>
      <c r="I295" s="7">
        <v>0</v>
      </c>
      <c r="J295" s="5">
        <v>45941</v>
      </c>
      <c r="K295" s="1" t="s">
        <v>113</v>
      </c>
      <c r="L295" s="8">
        <v>0</v>
      </c>
      <c r="M295" s="6"/>
      <c r="N295" s="6"/>
      <c r="O295" s="9">
        <v>-56</v>
      </c>
    </row>
    <row r="296" spans="1:15" ht="19.5" customHeight="1">
      <c r="A296" s="1" t="s">
        <v>842</v>
      </c>
      <c r="B296" s="5">
        <v>45947</v>
      </c>
      <c r="C296" s="1" t="s">
        <v>28</v>
      </c>
      <c r="D296" s="1" t="s">
        <v>29</v>
      </c>
      <c r="E296" s="1" t="s">
        <v>70</v>
      </c>
      <c r="F296" s="1" t="s">
        <v>71</v>
      </c>
      <c r="G296" s="1" t="s">
        <v>41</v>
      </c>
      <c r="H296" s="6">
        <v>1</v>
      </c>
      <c r="I296" s="7">
        <v>3690</v>
      </c>
      <c r="J296" s="5">
        <v>45944</v>
      </c>
      <c r="K296" s="1" t="s">
        <v>30</v>
      </c>
      <c r="L296" s="8">
        <v>0.24</v>
      </c>
      <c r="M296" s="6"/>
      <c r="N296" s="6"/>
      <c r="O296" s="9">
        <v>-56</v>
      </c>
    </row>
    <row r="297" spans="1:15" ht="19.5" customHeight="1">
      <c r="A297" s="1" t="s">
        <v>842</v>
      </c>
      <c r="B297" s="5">
        <v>45947</v>
      </c>
      <c r="C297" s="1" t="s">
        <v>31</v>
      </c>
      <c r="D297" s="1" t="s">
        <v>32</v>
      </c>
      <c r="E297" s="1" t="s">
        <v>70</v>
      </c>
      <c r="F297" s="1" t="s">
        <v>71</v>
      </c>
      <c r="G297" s="1" t="s">
        <v>41</v>
      </c>
      <c r="H297" s="6">
        <v>1</v>
      </c>
      <c r="I297" s="7">
        <v>3690</v>
      </c>
      <c r="J297" s="5">
        <v>45944</v>
      </c>
      <c r="K297" s="1" t="s">
        <v>30</v>
      </c>
      <c r="L297" s="8">
        <v>0</v>
      </c>
      <c r="M297" s="6"/>
      <c r="N297" s="6"/>
      <c r="O297" s="9">
        <v>2365.9699999999998</v>
      </c>
    </row>
    <row r="298" spans="1:15" ht="19.5" customHeight="1">
      <c r="A298" s="1" t="s">
        <v>842</v>
      </c>
      <c r="B298" s="5">
        <v>45947</v>
      </c>
      <c r="C298" s="1" t="s">
        <v>31</v>
      </c>
      <c r="D298" s="1" t="s">
        <v>33</v>
      </c>
      <c r="E298" s="1" t="s">
        <v>70</v>
      </c>
      <c r="F298" s="1" t="s">
        <v>71</v>
      </c>
      <c r="G298" s="1" t="s">
        <v>41</v>
      </c>
      <c r="H298" s="6">
        <v>1</v>
      </c>
      <c r="I298" s="7">
        <v>3690</v>
      </c>
      <c r="J298" s="5">
        <v>45944</v>
      </c>
      <c r="K298" s="1" t="s">
        <v>30</v>
      </c>
      <c r="L298" s="8">
        <v>0</v>
      </c>
      <c r="M298" s="6"/>
      <c r="N298" s="6"/>
      <c r="O298" s="9">
        <v>0</v>
      </c>
    </row>
    <row r="299" spans="1:15" ht="19.5" customHeight="1">
      <c r="A299" s="1" t="s">
        <v>842</v>
      </c>
      <c r="B299" s="5">
        <v>45947</v>
      </c>
      <c r="C299" s="1" t="s">
        <v>31</v>
      </c>
      <c r="D299" s="1" t="s">
        <v>34</v>
      </c>
      <c r="E299" s="1" t="s">
        <v>70</v>
      </c>
      <c r="F299" s="1" t="s">
        <v>71</v>
      </c>
      <c r="G299" s="1" t="s">
        <v>41</v>
      </c>
      <c r="H299" s="6">
        <v>1</v>
      </c>
      <c r="I299" s="7">
        <v>3690</v>
      </c>
      <c r="J299" s="5">
        <v>45944</v>
      </c>
      <c r="K299" s="1" t="s">
        <v>30</v>
      </c>
      <c r="L299" s="8">
        <v>0</v>
      </c>
      <c r="M299" s="6"/>
      <c r="N299" s="6"/>
      <c r="O299" s="9">
        <v>1324.03</v>
      </c>
    </row>
    <row r="300" spans="1:15" ht="19.5" customHeight="1">
      <c r="A300" s="1" t="s">
        <v>842</v>
      </c>
      <c r="B300" s="5">
        <v>45947</v>
      </c>
      <c r="C300" s="1" t="s">
        <v>35</v>
      </c>
      <c r="D300" s="1" t="s">
        <v>36</v>
      </c>
      <c r="E300" s="1" t="s">
        <v>70</v>
      </c>
      <c r="F300" s="1" t="s">
        <v>71</v>
      </c>
      <c r="G300" s="1" t="s">
        <v>41</v>
      </c>
      <c r="H300" s="6">
        <v>1</v>
      </c>
      <c r="I300" s="7">
        <v>3690</v>
      </c>
      <c r="J300" s="5">
        <v>45944</v>
      </c>
      <c r="K300" s="1" t="s">
        <v>30</v>
      </c>
      <c r="L300" s="8">
        <v>0.24</v>
      </c>
      <c r="M300" s="6"/>
      <c r="N300" s="6"/>
      <c r="O300" s="9">
        <v>-885.6</v>
      </c>
    </row>
    <row r="301" spans="1:15" ht="19.5" customHeight="1">
      <c r="A301" s="1" t="s">
        <v>842</v>
      </c>
      <c r="B301" s="5">
        <v>45947</v>
      </c>
      <c r="C301" s="1" t="s">
        <v>17</v>
      </c>
      <c r="D301" s="1" t="s">
        <v>37</v>
      </c>
      <c r="E301" s="1" t="s">
        <v>70</v>
      </c>
      <c r="F301" s="1" t="s">
        <v>71</v>
      </c>
      <c r="G301" s="1" t="s">
        <v>41</v>
      </c>
      <c r="H301" s="6">
        <v>1</v>
      </c>
      <c r="I301" s="7">
        <v>3690</v>
      </c>
      <c r="J301" s="5">
        <v>45944</v>
      </c>
      <c r="K301" s="1" t="s">
        <v>30</v>
      </c>
      <c r="L301" s="8">
        <v>0.24</v>
      </c>
      <c r="M301" s="6"/>
      <c r="N301" s="6"/>
      <c r="O301" s="9">
        <v>-10.51</v>
      </c>
    </row>
    <row r="302" spans="1:15" ht="19.5" customHeight="1">
      <c r="A302" s="1" t="s">
        <v>843</v>
      </c>
      <c r="B302" s="5">
        <v>45947</v>
      </c>
      <c r="C302" s="1" t="s">
        <v>28</v>
      </c>
      <c r="D302" s="1" t="s">
        <v>29</v>
      </c>
      <c r="E302" s="1" t="s">
        <v>66</v>
      </c>
      <c r="F302" s="1" t="s">
        <v>67</v>
      </c>
      <c r="G302" s="1" t="s">
        <v>41</v>
      </c>
      <c r="H302" s="6">
        <v>1</v>
      </c>
      <c r="I302" s="7">
        <v>5000</v>
      </c>
      <c r="J302" s="5">
        <v>45945</v>
      </c>
      <c r="K302" s="1" t="s">
        <v>30</v>
      </c>
      <c r="L302" s="8">
        <v>0.34</v>
      </c>
      <c r="M302" s="6"/>
      <c r="N302" s="6"/>
      <c r="O302" s="9">
        <v>-56</v>
      </c>
    </row>
    <row r="303" spans="1:15" ht="19.5" customHeight="1">
      <c r="A303" s="1" t="s">
        <v>843</v>
      </c>
      <c r="B303" s="5">
        <v>45947</v>
      </c>
      <c r="C303" s="1" t="s">
        <v>31</v>
      </c>
      <c r="D303" s="1" t="s">
        <v>32</v>
      </c>
      <c r="E303" s="1" t="s">
        <v>66</v>
      </c>
      <c r="F303" s="1" t="s">
        <v>67</v>
      </c>
      <c r="G303" s="1" t="s">
        <v>41</v>
      </c>
      <c r="H303" s="6">
        <v>1</v>
      </c>
      <c r="I303" s="7">
        <v>5000</v>
      </c>
      <c r="J303" s="5">
        <v>45945</v>
      </c>
      <c r="K303" s="1" t="s">
        <v>30</v>
      </c>
      <c r="L303" s="8">
        <v>0</v>
      </c>
      <c r="M303" s="6"/>
      <c r="N303" s="6"/>
      <c r="O303" s="9">
        <v>3060.61</v>
      </c>
    </row>
    <row r="304" spans="1:15" ht="19.5" customHeight="1">
      <c r="A304" s="1" t="s">
        <v>843</v>
      </c>
      <c r="B304" s="5">
        <v>45947</v>
      </c>
      <c r="C304" s="1" t="s">
        <v>31</v>
      </c>
      <c r="D304" s="1" t="s">
        <v>33</v>
      </c>
      <c r="E304" s="1" t="s">
        <v>66</v>
      </c>
      <c r="F304" s="1" t="s">
        <v>67</v>
      </c>
      <c r="G304" s="1" t="s">
        <v>41</v>
      </c>
      <c r="H304" s="6">
        <v>1</v>
      </c>
      <c r="I304" s="7">
        <v>5000</v>
      </c>
      <c r="J304" s="5">
        <v>45945</v>
      </c>
      <c r="K304" s="1" t="s">
        <v>30</v>
      </c>
      <c r="L304" s="8">
        <v>0</v>
      </c>
      <c r="M304" s="6"/>
      <c r="N304" s="6"/>
      <c r="O304" s="9">
        <v>0</v>
      </c>
    </row>
    <row r="305" spans="1:15" ht="19.5" customHeight="1">
      <c r="A305" s="1" t="s">
        <v>843</v>
      </c>
      <c r="B305" s="5">
        <v>45947</v>
      </c>
      <c r="C305" s="1" t="s">
        <v>31</v>
      </c>
      <c r="D305" s="1" t="s">
        <v>34</v>
      </c>
      <c r="E305" s="1" t="s">
        <v>66</v>
      </c>
      <c r="F305" s="1" t="s">
        <v>67</v>
      </c>
      <c r="G305" s="1" t="s">
        <v>41</v>
      </c>
      <c r="H305" s="6">
        <v>1</v>
      </c>
      <c r="I305" s="7">
        <v>5000</v>
      </c>
      <c r="J305" s="5">
        <v>45945</v>
      </c>
      <c r="K305" s="1" t="s">
        <v>30</v>
      </c>
      <c r="L305" s="8">
        <v>0</v>
      </c>
      <c r="M305" s="6"/>
      <c r="N305" s="6"/>
      <c r="O305" s="9">
        <v>1939.39</v>
      </c>
    </row>
    <row r="306" spans="1:15" ht="19.5" customHeight="1">
      <c r="A306" s="1" t="s">
        <v>843</v>
      </c>
      <c r="B306" s="5">
        <v>45947</v>
      </c>
      <c r="C306" s="1" t="s">
        <v>35</v>
      </c>
      <c r="D306" s="1" t="s">
        <v>36</v>
      </c>
      <c r="E306" s="1" t="s">
        <v>66</v>
      </c>
      <c r="F306" s="1" t="s">
        <v>67</v>
      </c>
      <c r="G306" s="1" t="s">
        <v>41</v>
      </c>
      <c r="H306" s="6">
        <v>1</v>
      </c>
      <c r="I306" s="7">
        <v>5000</v>
      </c>
      <c r="J306" s="5">
        <v>45945</v>
      </c>
      <c r="K306" s="1" t="s">
        <v>30</v>
      </c>
      <c r="L306" s="8">
        <v>0.34</v>
      </c>
      <c r="M306" s="6"/>
      <c r="N306" s="6"/>
      <c r="O306" s="9">
        <v>-1700</v>
      </c>
    </row>
    <row r="307" spans="1:15" ht="19.5" customHeight="1">
      <c r="A307" s="1" t="s">
        <v>843</v>
      </c>
      <c r="B307" s="5">
        <v>45947</v>
      </c>
      <c r="C307" s="1" t="s">
        <v>17</v>
      </c>
      <c r="D307" s="1" t="s">
        <v>18</v>
      </c>
      <c r="E307" s="1" t="s">
        <v>66</v>
      </c>
      <c r="F307" s="1" t="s">
        <v>67</v>
      </c>
      <c r="G307" s="1" t="s">
        <v>41</v>
      </c>
      <c r="H307" s="6">
        <v>1</v>
      </c>
      <c r="I307" s="7">
        <v>0</v>
      </c>
      <c r="J307" s="5">
        <v>45945</v>
      </c>
      <c r="K307" s="1" t="s">
        <v>22</v>
      </c>
      <c r="L307" s="8">
        <v>0</v>
      </c>
      <c r="M307" s="6"/>
      <c r="N307" s="6"/>
      <c r="O307" s="9">
        <v>-22.34</v>
      </c>
    </row>
    <row r="308" spans="1:15" ht="19.5" customHeight="1">
      <c r="A308" s="1" t="s">
        <v>833</v>
      </c>
      <c r="B308" s="5">
        <v>45947</v>
      </c>
      <c r="C308" s="1" t="s">
        <v>17</v>
      </c>
      <c r="D308" s="1" t="s">
        <v>18</v>
      </c>
      <c r="E308" s="1" t="s">
        <v>223</v>
      </c>
      <c r="F308" s="1" t="s">
        <v>395</v>
      </c>
      <c r="G308" s="1" t="s">
        <v>21</v>
      </c>
      <c r="H308" s="6">
        <v>1</v>
      </c>
      <c r="I308" s="7">
        <v>0</v>
      </c>
      <c r="J308" s="5">
        <v>45946</v>
      </c>
      <c r="K308" s="1" t="s">
        <v>22</v>
      </c>
      <c r="L308" s="8">
        <v>0</v>
      </c>
      <c r="M308" s="6"/>
      <c r="N308" s="6"/>
      <c r="O308" s="9">
        <v>13.73</v>
      </c>
    </row>
    <row r="309" spans="1:15" ht="19.5" customHeight="1">
      <c r="A309" s="1" t="s">
        <v>844</v>
      </c>
      <c r="B309" s="5">
        <v>45947</v>
      </c>
      <c r="C309" s="1" t="s">
        <v>28</v>
      </c>
      <c r="D309" s="1" t="s">
        <v>29</v>
      </c>
      <c r="E309" s="1" t="s">
        <v>98</v>
      </c>
      <c r="F309" s="1" t="s">
        <v>99</v>
      </c>
      <c r="G309" s="1" t="s">
        <v>41</v>
      </c>
      <c r="H309" s="6">
        <v>1</v>
      </c>
      <c r="I309" s="7">
        <v>5000</v>
      </c>
      <c r="J309" s="5">
        <v>45945</v>
      </c>
      <c r="K309" s="1" t="s">
        <v>30</v>
      </c>
      <c r="L309" s="8">
        <v>0.34</v>
      </c>
      <c r="M309" s="6"/>
      <c r="N309" s="6"/>
      <c r="O309" s="9">
        <v>-56</v>
      </c>
    </row>
    <row r="310" spans="1:15" ht="19.5" customHeight="1">
      <c r="A310" s="1" t="s">
        <v>844</v>
      </c>
      <c r="B310" s="5">
        <v>45947</v>
      </c>
      <c r="C310" s="1" t="s">
        <v>31</v>
      </c>
      <c r="D310" s="1" t="s">
        <v>32</v>
      </c>
      <c r="E310" s="1" t="s">
        <v>98</v>
      </c>
      <c r="F310" s="1" t="s">
        <v>99</v>
      </c>
      <c r="G310" s="1" t="s">
        <v>41</v>
      </c>
      <c r="H310" s="6">
        <v>1</v>
      </c>
      <c r="I310" s="7">
        <v>5000</v>
      </c>
      <c r="J310" s="5">
        <v>45945</v>
      </c>
      <c r="K310" s="1" t="s">
        <v>30</v>
      </c>
      <c r="L310" s="8">
        <v>0</v>
      </c>
      <c r="M310" s="6"/>
      <c r="N310" s="6"/>
      <c r="O310" s="9">
        <v>2924.76</v>
      </c>
    </row>
    <row r="311" spans="1:15" ht="19.5" customHeight="1">
      <c r="A311" s="1" t="s">
        <v>844</v>
      </c>
      <c r="B311" s="5">
        <v>45947</v>
      </c>
      <c r="C311" s="1" t="s">
        <v>31</v>
      </c>
      <c r="D311" s="1" t="s">
        <v>33</v>
      </c>
      <c r="E311" s="1" t="s">
        <v>98</v>
      </c>
      <c r="F311" s="1" t="s">
        <v>99</v>
      </c>
      <c r="G311" s="1" t="s">
        <v>41</v>
      </c>
      <c r="H311" s="6">
        <v>1</v>
      </c>
      <c r="I311" s="7">
        <v>5000</v>
      </c>
      <c r="J311" s="5">
        <v>45945</v>
      </c>
      <c r="K311" s="1" t="s">
        <v>30</v>
      </c>
      <c r="L311" s="8">
        <v>0</v>
      </c>
      <c r="M311" s="6"/>
      <c r="N311" s="6"/>
      <c r="O311" s="9">
        <v>29.25</v>
      </c>
    </row>
    <row r="312" spans="1:15" ht="19.5" customHeight="1">
      <c r="A312" s="1" t="s">
        <v>844</v>
      </c>
      <c r="B312" s="5">
        <v>45947</v>
      </c>
      <c r="C312" s="1" t="s">
        <v>31</v>
      </c>
      <c r="D312" s="1" t="s">
        <v>34</v>
      </c>
      <c r="E312" s="1" t="s">
        <v>98</v>
      </c>
      <c r="F312" s="1" t="s">
        <v>99</v>
      </c>
      <c r="G312" s="1" t="s">
        <v>41</v>
      </c>
      <c r="H312" s="6">
        <v>1</v>
      </c>
      <c r="I312" s="7">
        <v>5000</v>
      </c>
      <c r="J312" s="5">
        <v>45945</v>
      </c>
      <c r="K312" s="1" t="s">
        <v>30</v>
      </c>
      <c r="L312" s="8">
        <v>0</v>
      </c>
      <c r="M312" s="6"/>
      <c r="N312" s="6"/>
      <c r="O312" s="9">
        <v>2045.99</v>
      </c>
    </row>
    <row r="313" spans="1:15" ht="19.5" customHeight="1">
      <c r="A313" s="1" t="s">
        <v>844</v>
      </c>
      <c r="B313" s="5">
        <v>45947</v>
      </c>
      <c r="C313" s="1" t="s">
        <v>35</v>
      </c>
      <c r="D313" s="1" t="s">
        <v>36</v>
      </c>
      <c r="E313" s="1" t="s">
        <v>98</v>
      </c>
      <c r="F313" s="1" t="s">
        <v>99</v>
      </c>
      <c r="G313" s="1" t="s">
        <v>41</v>
      </c>
      <c r="H313" s="6">
        <v>1</v>
      </c>
      <c r="I313" s="7">
        <v>5000</v>
      </c>
      <c r="J313" s="5">
        <v>45945</v>
      </c>
      <c r="K313" s="1" t="s">
        <v>30</v>
      </c>
      <c r="L313" s="8">
        <v>0.34</v>
      </c>
      <c r="M313" s="6"/>
      <c r="N313" s="6"/>
      <c r="O313" s="9">
        <v>-1700</v>
      </c>
    </row>
    <row r="314" spans="1:15" ht="19.5" customHeight="1">
      <c r="A314" s="1" t="s">
        <v>844</v>
      </c>
      <c r="B314" s="5">
        <v>45947</v>
      </c>
      <c r="C314" s="1" t="s">
        <v>17</v>
      </c>
      <c r="D314" s="1" t="s">
        <v>37</v>
      </c>
      <c r="E314" s="1" t="s">
        <v>98</v>
      </c>
      <c r="F314" s="1" t="s">
        <v>99</v>
      </c>
      <c r="G314" s="1" t="s">
        <v>41</v>
      </c>
      <c r="H314" s="6">
        <v>1</v>
      </c>
      <c r="I314" s="7">
        <v>5000</v>
      </c>
      <c r="J314" s="5">
        <v>45945</v>
      </c>
      <c r="K314" s="1" t="s">
        <v>30</v>
      </c>
      <c r="L314" s="8">
        <v>0.34</v>
      </c>
      <c r="M314" s="6"/>
      <c r="N314" s="6"/>
      <c r="O314" s="9">
        <v>-12.4</v>
      </c>
    </row>
    <row r="315" spans="1:15" ht="19.5" customHeight="1">
      <c r="A315" s="1" t="s">
        <v>844</v>
      </c>
      <c r="B315" s="5">
        <v>45947</v>
      </c>
      <c r="C315" s="1" t="s">
        <v>17</v>
      </c>
      <c r="D315" s="1" t="s">
        <v>18</v>
      </c>
      <c r="E315" s="1" t="s">
        <v>98</v>
      </c>
      <c r="F315" s="1" t="s">
        <v>99</v>
      </c>
      <c r="G315" s="1" t="s">
        <v>41</v>
      </c>
      <c r="H315" s="6">
        <v>1</v>
      </c>
      <c r="I315" s="7">
        <v>0</v>
      </c>
      <c r="J315" s="5">
        <v>45945</v>
      </c>
      <c r="K315" s="1" t="s">
        <v>22</v>
      </c>
      <c r="L315" s="8">
        <v>0</v>
      </c>
      <c r="M315" s="6"/>
      <c r="N315" s="6"/>
      <c r="O315" s="9">
        <v>-55.57</v>
      </c>
    </row>
    <row r="316" spans="1:15" ht="19.5" customHeight="1">
      <c r="A316" s="1" t="s">
        <v>845</v>
      </c>
      <c r="B316" s="5">
        <v>45947</v>
      </c>
      <c r="C316" s="1" t="s">
        <v>28</v>
      </c>
      <c r="D316" s="1" t="s">
        <v>29</v>
      </c>
      <c r="E316" s="1" t="s">
        <v>43</v>
      </c>
      <c r="F316" s="1" t="s">
        <v>44</v>
      </c>
      <c r="G316" s="1" t="s">
        <v>41</v>
      </c>
      <c r="H316" s="6">
        <v>1</v>
      </c>
      <c r="I316" s="7">
        <v>0</v>
      </c>
      <c r="J316" s="5">
        <v>45940</v>
      </c>
      <c r="K316" s="1" t="s">
        <v>30</v>
      </c>
      <c r="L316" s="8">
        <v>0</v>
      </c>
      <c r="M316" s="6"/>
      <c r="N316" s="6"/>
      <c r="O316" s="9">
        <v>-56</v>
      </c>
    </row>
    <row r="317" spans="1:15" ht="19.5" customHeight="1">
      <c r="A317" s="1" t="s">
        <v>845</v>
      </c>
      <c r="B317" s="5">
        <v>45947</v>
      </c>
      <c r="C317" s="1" t="s">
        <v>17</v>
      </c>
      <c r="D317" s="1" t="s">
        <v>37</v>
      </c>
      <c r="E317" s="1" t="s">
        <v>43</v>
      </c>
      <c r="F317" s="1" t="s">
        <v>44</v>
      </c>
      <c r="G317" s="1" t="s">
        <v>41</v>
      </c>
      <c r="H317" s="6">
        <v>1</v>
      </c>
      <c r="I317" s="7">
        <v>0</v>
      </c>
      <c r="J317" s="5">
        <v>45940</v>
      </c>
      <c r="K317" s="1" t="s">
        <v>30</v>
      </c>
      <c r="L317" s="8">
        <v>0</v>
      </c>
      <c r="M317" s="6"/>
      <c r="N317" s="6"/>
      <c r="O317" s="9">
        <v>-10.06</v>
      </c>
    </row>
    <row r="318" spans="1:15" ht="19.5" customHeight="1">
      <c r="A318" s="1" t="s">
        <v>845</v>
      </c>
      <c r="B318" s="5">
        <v>45947</v>
      </c>
      <c r="C318" s="1" t="s">
        <v>28</v>
      </c>
      <c r="D318" s="1" t="s">
        <v>45</v>
      </c>
      <c r="E318" s="1" t="s">
        <v>43</v>
      </c>
      <c r="F318" s="1" t="s">
        <v>44</v>
      </c>
      <c r="G318" s="1" t="s">
        <v>41</v>
      </c>
      <c r="H318" s="6">
        <v>1</v>
      </c>
      <c r="I318" s="7">
        <v>0</v>
      </c>
      <c r="J318" s="5">
        <v>45940</v>
      </c>
      <c r="K318" s="1" t="s">
        <v>30</v>
      </c>
      <c r="L318" s="8">
        <v>0</v>
      </c>
      <c r="M318" s="6"/>
      <c r="N318" s="6"/>
      <c r="O318" s="9">
        <v>0</v>
      </c>
    </row>
    <row r="319" spans="1:15" ht="19.5" customHeight="1">
      <c r="A319" s="1" t="s">
        <v>845</v>
      </c>
      <c r="B319" s="5">
        <v>45947</v>
      </c>
      <c r="C319" s="1" t="s">
        <v>28</v>
      </c>
      <c r="D319" s="1" t="s">
        <v>46</v>
      </c>
      <c r="E319" s="1" t="s">
        <v>43</v>
      </c>
      <c r="F319" s="1" t="s">
        <v>44</v>
      </c>
      <c r="G319" s="1" t="s">
        <v>41</v>
      </c>
      <c r="H319" s="6">
        <v>1</v>
      </c>
      <c r="I319" s="7">
        <v>0</v>
      </c>
      <c r="J319" s="5">
        <v>45940</v>
      </c>
      <c r="K319" s="1" t="s">
        <v>30</v>
      </c>
      <c r="L319" s="8">
        <v>0</v>
      </c>
      <c r="M319" s="6"/>
      <c r="N319" s="6"/>
      <c r="O319" s="9">
        <v>-56</v>
      </c>
    </row>
    <row r="320" spans="1:15" ht="19.5" customHeight="1">
      <c r="A320" s="1" t="s">
        <v>845</v>
      </c>
      <c r="B320" s="5">
        <v>45947</v>
      </c>
      <c r="C320" s="1" t="s">
        <v>17</v>
      </c>
      <c r="D320" s="1" t="s">
        <v>47</v>
      </c>
      <c r="E320" s="1" t="s">
        <v>43</v>
      </c>
      <c r="F320" s="1" t="s">
        <v>44</v>
      </c>
      <c r="G320" s="1" t="s">
        <v>41</v>
      </c>
      <c r="H320" s="6">
        <v>1</v>
      </c>
      <c r="I320" s="7">
        <v>0</v>
      </c>
      <c r="J320" s="5">
        <v>45940</v>
      </c>
      <c r="K320" s="1" t="s">
        <v>30</v>
      </c>
      <c r="L320" s="8">
        <v>0</v>
      </c>
      <c r="M320" s="6"/>
      <c r="N320" s="6"/>
      <c r="O320" s="9">
        <v>-15</v>
      </c>
    </row>
    <row r="321" spans="1:15" ht="19.5" customHeight="1">
      <c r="A321" s="1" t="s">
        <v>846</v>
      </c>
      <c r="B321" s="5">
        <v>45947</v>
      </c>
      <c r="C321" s="1" t="s">
        <v>28</v>
      </c>
      <c r="D321" s="1" t="s">
        <v>45</v>
      </c>
      <c r="E321" s="1" t="s">
        <v>62</v>
      </c>
      <c r="F321" s="1" t="s">
        <v>63</v>
      </c>
      <c r="G321" s="1" t="s">
        <v>41</v>
      </c>
      <c r="H321" s="6">
        <v>1</v>
      </c>
      <c r="I321" s="7">
        <v>0</v>
      </c>
      <c r="J321" s="5">
        <v>45941</v>
      </c>
      <c r="K321" s="1" t="s">
        <v>30</v>
      </c>
      <c r="L321" s="8">
        <v>0</v>
      </c>
      <c r="M321" s="6"/>
      <c r="N321" s="6"/>
      <c r="O321" s="9">
        <v>0</v>
      </c>
    </row>
    <row r="322" spans="1:15" ht="19.5" customHeight="1">
      <c r="A322" s="1" t="s">
        <v>846</v>
      </c>
      <c r="B322" s="5">
        <v>45947</v>
      </c>
      <c r="C322" s="1" t="s">
        <v>28</v>
      </c>
      <c r="D322" s="1" t="s">
        <v>46</v>
      </c>
      <c r="E322" s="1" t="s">
        <v>62</v>
      </c>
      <c r="F322" s="1" t="s">
        <v>63</v>
      </c>
      <c r="G322" s="1" t="s">
        <v>41</v>
      </c>
      <c r="H322" s="6">
        <v>1</v>
      </c>
      <c r="I322" s="7">
        <v>0</v>
      </c>
      <c r="J322" s="5">
        <v>45941</v>
      </c>
      <c r="K322" s="1" t="s">
        <v>30</v>
      </c>
      <c r="L322" s="8">
        <v>0</v>
      </c>
      <c r="M322" s="6"/>
      <c r="N322" s="6"/>
      <c r="O322" s="9">
        <v>-56</v>
      </c>
    </row>
    <row r="323" spans="1:15" ht="19.5" customHeight="1">
      <c r="A323" s="1" t="s">
        <v>846</v>
      </c>
      <c r="B323" s="5">
        <v>45947</v>
      </c>
      <c r="C323" s="1" t="s">
        <v>17</v>
      </c>
      <c r="D323" s="1" t="s">
        <v>47</v>
      </c>
      <c r="E323" s="1" t="s">
        <v>62</v>
      </c>
      <c r="F323" s="1" t="s">
        <v>63</v>
      </c>
      <c r="G323" s="1" t="s">
        <v>41</v>
      </c>
      <c r="H323" s="6">
        <v>1</v>
      </c>
      <c r="I323" s="7">
        <v>0</v>
      </c>
      <c r="J323" s="5">
        <v>45941</v>
      </c>
      <c r="K323" s="1" t="s">
        <v>30</v>
      </c>
      <c r="L323" s="8">
        <v>0</v>
      </c>
      <c r="M323" s="6"/>
      <c r="N323" s="6"/>
      <c r="O323" s="9">
        <v>-15</v>
      </c>
    </row>
    <row r="324" spans="1:15" ht="19.5" customHeight="1">
      <c r="A324" s="1" t="s">
        <v>846</v>
      </c>
      <c r="B324" s="5">
        <v>45947</v>
      </c>
      <c r="C324" s="1" t="s">
        <v>28</v>
      </c>
      <c r="D324" s="1" t="s">
        <v>29</v>
      </c>
      <c r="E324" s="1" t="s">
        <v>62</v>
      </c>
      <c r="F324" s="1" t="s">
        <v>63</v>
      </c>
      <c r="G324" s="1" t="s">
        <v>41</v>
      </c>
      <c r="H324" s="6">
        <v>1</v>
      </c>
      <c r="I324" s="7">
        <v>0</v>
      </c>
      <c r="J324" s="5">
        <v>45941</v>
      </c>
      <c r="K324" s="1" t="s">
        <v>30</v>
      </c>
      <c r="L324" s="8">
        <v>0</v>
      </c>
      <c r="M324" s="6"/>
      <c r="N324" s="6"/>
      <c r="O324" s="9">
        <v>-56</v>
      </c>
    </row>
    <row r="325" spans="1:15" ht="19.5" customHeight="1">
      <c r="A325" s="1" t="s">
        <v>846</v>
      </c>
      <c r="B325" s="5">
        <v>45947</v>
      </c>
      <c r="C325" s="1" t="s">
        <v>17</v>
      </c>
      <c r="D325" s="1" t="s">
        <v>37</v>
      </c>
      <c r="E325" s="1" t="s">
        <v>62</v>
      </c>
      <c r="F325" s="1" t="s">
        <v>63</v>
      </c>
      <c r="G325" s="1" t="s">
        <v>41</v>
      </c>
      <c r="H325" s="6">
        <v>1</v>
      </c>
      <c r="I325" s="7">
        <v>0</v>
      </c>
      <c r="J325" s="5">
        <v>45941</v>
      </c>
      <c r="K325" s="1" t="s">
        <v>30</v>
      </c>
      <c r="L325" s="8">
        <v>0</v>
      </c>
      <c r="M325" s="6"/>
      <c r="N325" s="6"/>
      <c r="O325" s="9">
        <v>-8.14</v>
      </c>
    </row>
    <row r="326" spans="1:15" ht="19.5" customHeight="1">
      <c r="A326" s="1" t="s">
        <v>22</v>
      </c>
      <c r="B326" s="5">
        <v>45947</v>
      </c>
      <c r="C326" s="1" t="s">
        <v>77</v>
      </c>
      <c r="D326" s="1" t="s">
        <v>78</v>
      </c>
      <c r="E326" s="1" t="s">
        <v>22</v>
      </c>
      <c r="F326" s="1" t="s">
        <v>22</v>
      </c>
      <c r="G326" s="1" t="s">
        <v>847</v>
      </c>
      <c r="H326" s="6">
        <v>0</v>
      </c>
      <c r="I326" s="7">
        <v>0</v>
      </c>
      <c r="J326" s="5">
        <v>45947</v>
      </c>
      <c r="K326" s="1" t="s">
        <v>22</v>
      </c>
      <c r="L326" s="8">
        <v>0</v>
      </c>
      <c r="M326" s="6"/>
      <c r="N326" s="6"/>
      <c r="O326" s="9">
        <v>-200</v>
      </c>
    </row>
    <row r="327" spans="1:15" ht="19.5" customHeight="1">
      <c r="A327" s="1" t="s">
        <v>844</v>
      </c>
      <c r="B327" s="5">
        <v>45947</v>
      </c>
      <c r="C327" s="1" t="s">
        <v>126</v>
      </c>
      <c r="D327" s="1" t="s">
        <v>127</v>
      </c>
      <c r="E327" s="1" t="s">
        <v>98</v>
      </c>
      <c r="F327" s="1" t="s">
        <v>99</v>
      </c>
      <c r="G327" s="1" t="s">
        <v>41</v>
      </c>
      <c r="H327" s="6">
        <v>1</v>
      </c>
      <c r="I327" s="7">
        <v>-5000</v>
      </c>
      <c r="J327" s="5">
        <v>45945</v>
      </c>
      <c r="K327" s="1" t="s">
        <v>30</v>
      </c>
      <c r="L327" s="8">
        <v>0</v>
      </c>
      <c r="M327" s="6"/>
      <c r="N327" s="6"/>
      <c r="O327" s="9">
        <v>-2924.76</v>
      </c>
    </row>
    <row r="328" spans="1:15" ht="19.5" customHeight="1">
      <c r="A328" s="1" t="s">
        <v>844</v>
      </c>
      <c r="B328" s="5">
        <v>45947</v>
      </c>
      <c r="C328" s="1" t="s">
        <v>126</v>
      </c>
      <c r="D328" s="1" t="s">
        <v>33</v>
      </c>
      <c r="E328" s="1" t="s">
        <v>98</v>
      </c>
      <c r="F328" s="1" t="s">
        <v>99</v>
      </c>
      <c r="G328" s="1" t="s">
        <v>41</v>
      </c>
      <c r="H328" s="6">
        <v>1</v>
      </c>
      <c r="I328" s="7">
        <v>-5000</v>
      </c>
      <c r="J328" s="5">
        <v>45945</v>
      </c>
      <c r="K328" s="1" t="s">
        <v>30</v>
      </c>
      <c r="L328" s="8">
        <v>0</v>
      </c>
      <c r="M328" s="6"/>
      <c r="N328" s="6"/>
      <c r="O328" s="9">
        <v>-29.25</v>
      </c>
    </row>
    <row r="329" spans="1:15" ht="19.5" customHeight="1">
      <c r="A329" s="1" t="s">
        <v>844</v>
      </c>
      <c r="B329" s="5">
        <v>45947</v>
      </c>
      <c r="C329" s="1" t="s">
        <v>126</v>
      </c>
      <c r="D329" s="1" t="s">
        <v>34</v>
      </c>
      <c r="E329" s="1" t="s">
        <v>98</v>
      </c>
      <c r="F329" s="1" t="s">
        <v>99</v>
      </c>
      <c r="G329" s="1" t="s">
        <v>41</v>
      </c>
      <c r="H329" s="6">
        <v>1</v>
      </c>
      <c r="I329" s="7">
        <v>-5000</v>
      </c>
      <c r="J329" s="5">
        <v>45945</v>
      </c>
      <c r="K329" s="1" t="s">
        <v>30</v>
      </c>
      <c r="L329" s="8">
        <v>0</v>
      </c>
      <c r="M329" s="6"/>
      <c r="N329" s="6"/>
      <c r="O329" s="9">
        <v>-2045.99</v>
      </c>
    </row>
    <row r="330" spans="1:15" ht="19.5" customHeight="1">
      <c r="A330" s="1" t="s">
        <v>844</v>
      </c>
      <c r="B330" s="5">
        <v>45947</v>
      </c>
      <c r="C330" s="1" t="s">
        <v>35</v>
      </c>
      <c r="D330" s="1" t="s">
        <v>128</v>
      </c>
      <c r="E330" s="1" t="s">
        <v>98</v>
      </c>
      <c r="F330" s="1" t="s">
        <v>99</v>
      </c>
      <c r="G330" s="1" t="s">
        <v>41</v>
      </c>
      <c r="H330" s="6">
        <v>1</v>
      </c>
      <c r="I330" s="7">
        <v>-5000</v>
      </c>
      <c r="J330" s="5">
        <v>45945</v>
      </c>
      <c r="K330" s="1" t="s">
        <v>30</v>
      </c>
      <c r="L330" s="8">
        <v>0.34</v>
      </c>
      <c r="M330" s="6"/>
      <c r="N330" s="6"/>
      <c r="O330" s="9">
        <v>1700</v>
      </c>
    </row>
    <row r="331" spans="1:15" ht="19.5" customHeight="1">
      <c r="A331" s="1" t="s">
        <v>844</v>
      </c>
      <c r="B331" s="5">
        <v>45947</v>
      </c>
      <c r="C331" s="1" t="s">
        <v>17</v>
      </c>
      <c r="D331" s="1" t="s">
        <v>18</v>
      </c>
      <c r="E331" s="1" t="s">
        <v>98</v>
      </c>
      <c r="F331" s="1" t="s">
        <v>99</v>
      </c>
      <c r="G331" s="1" t="s">
        <v>41</v>
      </c>
      <c r="H331" s="6">
        <v>1</v>
      </c>
      <c r="I331" s="7">
        <v>0</v>
      </c>
      <c r="J331" s="5">
        <v>45945</v>
      </c>
      <c r="K331" s="1" t="s">
        <v>22</v>
      </c>
      <c r="L331" s="8">
        <v>0</v>
      </c>
      <c r="M331" s="6"/>
      <c r="N331" s="6"/>
      <c r="O331" s="9">
        <v>55.57</v>
      </c>
    </row>
    <row r="332" spans="1:15" ht="19.5" customHeight="1">
      <c r="A332" s="1" t="s">
        <v>848</v>
      </c>
      <c r="B332" s="5">
        <v>45947</v>
      </c>
      <c r="C332" s="1" t="s">
        <v>28</v>
      </c>
      <c r="D332" s="1" t="s">
        <v>45</v>
      </c>
      <c r="E332" s="1" t="s">
        <v>43</v>
      </c>
      <c r="F332" s="1" t="s">
        <v>44</v>
      </c>
      <c r="G332" s="1" t="s">
        <v>41</v>
      </c>
      <c r="H332" s="6">
        <v>1</v>
      </c>
      <c r="I332" s="7">
        <v>0</v>
      </c>
      <c r="J332" s="5">
        <v>45942</v>
      </c>
      <c r="K332" s="1" t="s">
        <v>30</v>
      </c>
      <c r="L332" s="8">
        <v>0</v>
      </c>
      <c r="M332" s="6"/>
      <c r="N332" s="6"/>
      <c r="O332" s="9">
        <v>0</v>
      </c>
    </row>
    <row r="333" spans="1:15" ht="19.5" customHeight="1">
      <c r="A333" s="1" t="s">
        <v>848</v>
      </c>
      <c r="B333" s="5">
        <v>45947</v>
      </c>
      <c r="C333" s="1" t="s">
        <v>28</v>
      </c>
      <c r="D333" s="1" t="s">
        <v>46</v>
      </c>
      <c r="E333" s="1" t="s">
        <v>43</v>
      </c>
      <c r="F333" s="1" t="s">
        <v>44</v>
      </c>
      <c r="G333" s="1" t="s">
        <v>41</v>
      </c>
      <c r="H333" s="6">
        <v>1</v>
      </c>
      <c r="I333" s="7">
        <v>0</v>
      </c>
      <c r="J333" s="5">
        <v>45942</v>
      </c>
      <c r="K333" s="1" t="s">
        <v>30</v>
      </c>
      <c r="L333" s="8">
        <v>0</v>
      </c>
      <c r="M333" s="6"/>
      <c r="N333" s="6"/>
      <c r="O333" s="9">
        <v>-56</v>
      </c>
    </row>
    <row r="334" spans="1:15" ht="19.5" customHeight="1">
      <c r="A334" s="1" t="s">
        <v>848</v>
      </c>
      <c r="B334" s="5">
        <v>45947</v>
      </c>
      <c r="C334" s="1" t="s">
        <v>17</v>
      </c>
      <c r="D334" s="1" t="s">
        <v>47</v>
      </c>
      <c r="E334" s="1" t="s">
        <v>43</v>
      </c>
      <c r="F334" s="1" t="s">
        <v>44</v>
      </c>
      <c r="G334" s="1" t="s">
        <v>41</v>
      </c>
      <c r="H334" s="6">
        <v>1</v>
      </c>
      <c r="I334" s="7">
        <v>0</v>
      </c>
      <c r="J334" s="5">
        <v>45942</v>
      </c>
      <c r="K334" s="1" t="s">
        <v>30</v>
      </c>
      <c r="L334" s="8">
        <v>0</v>
      </c>
      <c r="M334" s="6"/>
      <c r="N334" s="6"/>
      <c r="O334" s="9">
        <v>-15</v>
      </c>
    </row>
    <row r="335" spans="1:15" ht="19.5" customHeight="1">
      <c r="A335" s="1" t="s">
        <v>849</v>
      </c>
      <c r="B335" s="5">
        <v>45947</v>
      </c>
      <c r="C335" s="1" t="s">
        <v>28</v>
      </c>
      <c r="D335" s="1" t="s">
        <v>29</v>
      </c>
      <c r="E335" s="1" t="s">
        <v>70</v>
      </c>
      <c r="F335" s="1" t="s">
        <v>71</v>
      </c>
      <c r="G335" s="1" t="s">
        <v>41</v>
      </c>
      <c r="H335" s="6">
        <v>1</v>
      </c>
      <c r="I335" s="7">
        <v>3690</v>
      </c>
      <c r="J335" s="5">
        <v>45942</v>
      </c>
      <c r="K335" s="1" t="s">
        <v>30</v>
      </c>
      <c r="L335" s="8">
        <v>0.24</v>
      </c>
      <c r="M335" s="6"/>
      <c r="N335" s="6"/>
      <c r="O335" s="9">
        <v>-56</v>
      </c>
    </row>
    <row r="336" spans="1:15" ht="19.5" customHeight="1">
      <c r="A336" s="1" t="s">
        <v>849</v>
      </c>
      <c r="B336" s="5">
        <v>45947</v>
      </c>
      <c r="C336" s="1" t="s">
        <v>31</v>
      </c>
      <c r="D336" s="1" t="s">
        <v>32</v>
      </c>
      <c r="E336" s="1" t="s">
        <v>70</v>
      </c>
      <c r="F336" s="1" t="s">
        <v>71</v>
      </c>
      <c r="G336" s="1" t="s">
        <v>41</v>
      </c>
      <c r="H336" s="6">
        <v>1</v>
      </c>
      <c r="I336" s="7">
        <v>3690</v>
      </c>
      <c r="J336" s="5">
        <v>45942</v>
      </c>
      <c r="K336" s="1" t="s">
        <v>30</v>
      </c>
      <c r="L336" s="8">
        <v>0</v>
      </c>
      <c r="M336" s="6"/>
      <c r="N336" s="6"/>
      <c r="O336" s="9">
        <v>2208.17</v>
      </c>
    </row>
    <row r="337" spans="1:15" ht="19.5" customHeight="1">
      <c r="A337" s="1" t="s">
        <v>849</v>
      </c>
      <c r="B337" s="5">
        <v>45947</v>
      </c>
      <c r="C337" s="1" t="s">
        <v>31</v>
      </c>
      <c r="D337" s="1" t="s">
        <v>33</v>
      </c>
      <c r="E337" s="1" t="s">
        <v>70</v>
      </c>
      <c r="F337" s="1" t="s">
        <v>71</v>
      </c>
      <c r="G337" s="1" t="s">
        <v>41</v>
      </c>
      <c r="H337" s="6">
        <v>1</v>
      </c>
      <c r="I337" s="7">
        <v>3690</v>
      </c>
      <c r="J337" s="5">
        <v>45942</v>
      </c>
      <c r="K337" s="1" t="s">
        <v>30</v>
      </c>
      <c r="L337" s="8">
        <v>0</v>
      </c>
      <c r="M337" s="6"/>
      <c r="N337" s="6"/>
      <c r="O337" s="9">
        <v>22.08</v>
      </c>
    </row>
    <row r="338" spans="1:15" ht="19.5" customHeight="1">
      <c r="A338" s="1" t="s">
        <v>849</v>
      </c>
      <c r="B338" s="5">
        <v>45947</v>
      </c>
      <c r="C338" s="1" t="s">
        <v>31</v>
      </c>
      <c r="D338" s="1" t="s">
        <v>34</v>
      </c>
      <c r="E338" s="1" t="s">
        <v>70</v>
      </c>
      <c r="F338" s="1" t="s">
        <v>71</v>
      </c>
      <c r="G338" s="1" t="s">
        <v>41</v>
      </c>
      <c r="H338" s="6">
        <v>1</v>
      </c>
      <c r="I338" s="7">
        <v>3690</v>
      </c>
      <c r="J338" s="5">
        <v>45942</v>
      </c>
      <c r="K338" s="1" t="s">
        <v>30</v>
      </c>
      <c r="L338" s="8">
        <v>0</v>
      </c>
      <c r="M338" s="6"/>
      <c r="N338" s="6"/>
      <c r="O338" s="9">
        <v>1459.75</v>
      </c>
    </row>
    <row r="339" spans="1:15" ht="19.5" customHeight="1">
      <c r="A339" s="1" t="s">
        <v>849</v>
      </c>
      <c r="B339" s="5">
        <v>45947</v>
      </c>
      <c r="C339" s="1" t="s">
        <v>35</v>
      </c>
      <c r="D339" s="1" t="s">
        <v>36</v>
      </c>
      <c r="E339" s="1" t="s">
        <v>70</v>
      </c>
      <c r="F339" s="1" t="s">
        <v>71</v>
      </c>
      <c r="G339" s="1" t="s">
        <v>41</v>
      </c>
      <c r="H339" s="6">
        <v>1</v>
      </c>
      <c r="I339" s="7">
        <v>3690</v>
      </c>
      <c r="J339" s="5">
        <v>45942</v>
      </c>
      <c r="K339" s="1" t="s">
        <v>30</v>
      </c>
      <c r="L339" s="8">
        <v>0.24</v>
      </c>
      <c r="M339" s="6"/>
      <c r="N339" s="6"/>
      <c r="O339" s="9">
        <v>-885.6</v>
      </c>
    </row>
    <row r="340" spans="1:15" ht="19.5" customHeight="1">
      <c r="A340" s="1" t="s">
        <v>849</v>
      </c>
      <c r="B340" s="5">
        <v>45947</v>
      </c>
      <c r="C340" s="1" t="s">
        <v>17</v>
      </c>
      <c r="D340" s="1" t="s">
        <v>37</v>
      </c>
      <c r="E340" s="1" t="s">
        <v>70</v>
      </c>
      <c r="F340" s="1" t="s">
        <v>71</v>
      </c>
      <c r="G340" s="1" t="s">
        <v>41</v>
      </c>
      <c r="H340" s="6">
        <v>1</v>
      </c>
      <c r="I340" s="7">
        <v>3690</v>
      </c>
      <c r="J340" s="5">
        <v>45942</v>
      </c>
      <c r="K340" s="1" t="s">
        <v>30</v>
      </c>
      <c r="L340" s="8">
        <v>0.24</v>
      </c>
      <c r="M340" s="6"/>
      <c r="N340" s="6"/>
      <c r="O340" s="9">
        <v>-14.98</v>
      </c>
    </row>
    <row r="341" spans="1:15" ht="19.5" customHeight="1">
      <c r="A341" s="1" t="s">
        <v>848</v>
      </c>
      <c r="B341" s="5">
        <v>45947</v>
      </c>
      <c r="C341" s="1" t="s">
        <v>28</v>
      </c>
      <c r="D341" s="1" t="s">
        <v>29</v>
      </c>
      <c r="E341" s="1" t="s">
        <v>43</v>
      </c>
      <c r="F341" s="1" t="s">
        <v>44</v>
      </c>
      <c r="G341" s="1" t="s">
        <v>41</v>
      </c>
      <c r="H341" s="6">
        <v>1</v>
      </c>
      <c r="I341" s="7">
        <v>0</v>
      </c>
      <c r="J341" s="5">
        <v>45942</v>
      </c>
      <c r="K341" s="1" t="s">
        <v>30</v>
      </c>
      <c r="L341" s="8">
        <v>0</v>
      </c>
      <c r="M341" s="6"/>
      <c r="N341" s="6"/>
      <c r="O341" s="9">
        <v>-56</v>
      </c>
    </row>
    <row r="342" spans="1:15" ht="19.5" customHeight="1">
      <c r="A342" s="1" t="s">
        <v>848</v>
      </c>
      <c r="B342" s="5">
        <v>45947</v>
      </c>
      <c r="C342" s="1" t="s">
        <v>17</v>
      </c>
      <c r="D342" s="1" t="s">
        <v>37</v>
      </c>
      <c r="E342" s="1" t="s">
        <v>43</v>
      </c>
      <c r="F342" s="1" t="s">
        <v>44</v>
      </c>
      <c r="G342" s="1" t="s">
        <v>41</v>
      </c>
      <c r="H342" s="6">
        <v>1</v>
      </c>
      <c r="I342" s="7">
        <v>0</v>
      </c>
      <c r="J342" s="5">
        <v>45942</v>
      </c>
      <c r="K342" s="1" t="s">
        <v>30</v>
      </c>
      <c r="L342" s="8">
        <v>0</v>
      </c>
      <c r="M342" s="6"/>
      <c r="N342" s="6"/>
      <c r="O342" s="9">
        <v>-11.67</v>
      </c>
    </row>
    <row r="343" spans="1:15" ht="19.5" customHeight="1">
      <c r="A343" s="1" t="s">
        <v>22</v>
      </c>
      <c r="B343" s="5">
        <v>45947</v>
      </c>
      <c r="C343" s="1" t="s">
        <v>77</v>
      </c>
      <c r="D343" s="1" t="s">
        <v>80</v>
      </c>
      <c r="E343" s="1" t="s">
        <v>22</v>
      </c>
      <c r="F343" s="1" t="s">
        <v>22</v>
      </c>
      <c r="G343" s="1" t="s">
        <v>22</v>
      </c>
      <c r="H343" s="6">
        <v>0</v>
      </c>
      <c r="I343" s="7">
        <v>0</v>
      </c>
      <c r="J343" s="5">
        <v>45947</v>
      </c>
      <c r="K343" s="1" t="s">
        <v>22</v>
      </c>
      <c r="L343" s="8">
        <v>0</v>
      </c>
      <c r="M343" s="6"/>
      <c r="N343" s="6"/>
      <c r="O343" s="9">
        <v>-216</v>
      </c>
    </row>
    <row r="344" spans="1:15" ht="19.5" customHeight="1">
      <c r="A344" s="1" t="s">
        <v>83</v>
      </c>
      <c r="B344" s="5">
        <v>45947</v>
      </c>
      <c r="C344" s="1" t="s">
        <v>77</v>
      </c>
      <c r="D344" s="1" t="s">
        <v>84</v>
      </c>
      <c r="E344" s="1" t="s">
        <v>22</v>
      </c>
      <c r="F344" s="1" t="s">
        <v>22</v>
      </c>
      <c r="G344" s="1" t="s">
        <v>22</v>
      </c>
      <c r="H344" s="6">
        <v>0</v>
      </c>
      <c r="I344" s="7">
        <v>0</v>
      </c>
      <c r="J344" s="5">
        <v>45947</v>
      </c>
      <c r="K344" s="1" t="s">
        <v>22</v>
      </c>
      <c r="L344" s="8">
        <v>0</v>
      </c>
      <c r="M344" s="6"/>
      <c r="N344" s="6"/>
      <c r="O344" s="9">
        <v>-440.1</v>
      </c>
    </row>
    <row r="345" spans="1:15" ht="19.5" customHeight="1">
      <c r="A345" s="1" t="s">
        <v>807</v>
      </c>
      <c r="B345" s="5">
        <v>45947</v>
      </c>
      <c r="C345" s="1" t="s">
        <v>77</v>
      </c>
      <c r="D345" s="1" t="s">
        <v>82</v>
      </c>
      <c r="E345" s="1" t="s">
        <v>22</v>
      </c>
      <c r="F345" s="1" t="s">
        <v>22</v>
      </c>
      <c r="G345" s="1" t="s">
        <v>22</v>
      </c>
      <c r="H345" s="6">
        <v>0</v>
      </c>
      <c r="I345" s="7">
        <v>0</v>
      </c>
      <c r="J345" s="5">
        <v>45947</v>
      </c>
      <c r="K345" s="1" t="s">
        <v>22</v>
      </c>
      <c r="L345" s="8">
        <v>0</v>
      </c>
      <c r="M345" s="6"/>
      <c r="N345" s="6"/>
      <c r="O345" s="9">
        <v>-388.66</v>
      </c>
    </row>
    <row r="346" spans="1:15" ht="19.5" customHeight="1">
      <c r="A346" s="1" t="s">
        <v>808</v>
      </c>
      <c r="B346" s="5">
        <v>45947</v>
      </c>
      <c r="C346" s="1" t="s">
        <v>77</v>
      </c>
      <c r="D346" s="1" t="s">
        <v>82</v>
      </c>
      <c r="E346" s="1" t="s">
        <v>22</v>
      </c>
      <c r="F346" s="1" t="s">
        <v>22</v>
      </c>
      <c r="G346" s="1" t="s">
        <v>22</v>
      </c>
      <c r="H346" s="6">
        <v>0</v>
      </c>
      <c r="I346" s="7">
        <v>0</v>
      </c>
      <c r="J346" s="5">
        <v>45947</v>
      </c>
      <c r="K346" s="1" t="s">
        <v>22</v>
      </c>
      <c r="L346" s="8">
        <v>0</v>
      </c>
      <c r="M346" s="6"/>
      <c r="N346" s="6"/>
      <c r="O346" s="9">
        <v>-334.56</v>
      </c>
    </row>
    <row r="347" spans="1:15" ht="19.5" customHeight="1">
      <c r="A347" s="1" t="s">
        <v>811</v>
      </c>
      <c r="B347" s="5">
        <v>45947</v>
      </c>
      <c r="C347" s="1" t="s">
        <v>77</v>
      </c>
      <c r="D347" s="1" t="s">
        <v>82</v>
      </c>
      <c r="E347" s="1" t="s">
        <v>22</v>
      </c>
      <c r="F347" s="1" t="s">
        <v>22</v>
      </c>
      <c r="G347" s="1" t="s">
        <v>22</v>
      </c>
      <c r="H347" s="6">
        <v>0</v>
      </c>
      <c r="I347" s="7">
        <v>0</v>
      </c>
      <c r="J347" s="5">
        <v>45947</v>
      </c>
      <c r="K347" s="1" t="s">
        <v>22</v>
      </c>
      <c r="L347" s="8">
        <v>0</v>
      </c>
      <c r="M347" s="6"/>
      <c r="N347" s="6"/>
      <c r="O347" s="9">
        <v>-780.32</v>
      </c>
    </row>
    <row r="348" spans="1:15" ht="19.5" customHeight="1">
      <c r="A348" s="1" t="s">
        <v>810</v>
      </c>
      <c r="B348" s="5">
        <v>45947</v>
      </c>
      <c r="C348" s="1" t="s">
        <v>77</v>
      </c>
      <c r="D348" s="1" t="s">
        <v>82</v>
      </c>
      <c r="E348" s="1" t="s">
        <v>22</v>
      </c>
      <c r="F348" s="1" t="s">
        <v>22</v>
      </c>
      <c r="G348" s="1" t="s">
        <v>22</v>
      </c>
      <c r="H348" s="6">
        <v>0</v>
      </c>
      <c r="I348" s="7">
        <v>0</v>
      </c>
      <c r="J348" s="5">
        <v>45947</v>
      </c>
      <c r="K348" s="1" t="s">
        <v>22</v>
      </c>
      <c r="L348" s="8">
        <v>0</v>
      </c>
      <c r="M348" s="6"/>
      <c r="N348" s="6"/>
      <c r="O348" s="9">
        <v>-405.7</v>
      </c>
    </row>
    <row r="349" spans="1:15" ht="19.5" customHeight="1">
      <c r="A349" s="1" t="s">
        <v>850</v>
      </c>
      <c r="B349" s="5">
        <v>45948</v>
      </c>
      <c r="C349" s="1" t="s">
        <v>28</v>
      </c>
      <c r="D349" s="1" t="s">
        <v>29</v>
      </c>
      <c r="E349" s="1" t="s">
        <v>771</v>
      </c>
      <c r="F349" s="1" t="s">
        <v>851</v>
      </c>
      <c r="G349" s="1" t="s">
        <v>41</v>
      </c>
      <c r="H349" s="6">
        <v>1</v>
      </c>
      <c r="I349" s="7">
        <v>0</v>
      </c>
      <c r="J349" s="5">
        <v>45940</v>
      </c>
      <c r="K349" s="1" t="s">
        <v>30</v>
      </c>
      <c r="L349" s="8">
        <v>0</v>
      </c>
      <c r="M349" s="6"/>
      <c r="N349" s="6"/>
      <c r="O349" s="9">
        <v>-56</v>
      </c>
    </row>
    <row r="350" spans="1:15" ht="19.5" customHeight="1">
      <c r="A350" s="1" t="s">
        <v>850</v>
      </c>
      <c r="B350" s="5">
        <v>45948</v>
      </c>
      <c r="C350" s="1" t="s">
        <v>17</v>
      </c>
      <c r="D350" s="1" t="s">
        <v>37</v>
      </c>
      <c r="E350" s="1" t="s">
        <v>771</v>
      </c>
      <c r="F350" s="1" t="s">
        <v>851</v>
      </c>
      <c r="G350" s="1" t="s">
        <v>41</v>
      </c>
      <c r="H350" s="6">
        <v>1</v>
      </c>
      <c r="I350" s="7">
        <v>0</v>
      </c>
      <c r="J350" s="5">
        <v>45940</v>
      </c>
      <c r="K350" s="1" t="s">
        <v>30</v>
      </c>
      <c r="L350" s="8">
        <v>0</v>
      </c>
      <c r="M350" s="6"/>
      <c r="N350" s="6"/>
      <c r="O350" s="9">
        <v>-11.87</v>
      </c>
    </row>
    <row r="351" spans="1:15" ht="19.5" customHeight="1">
      <c r="A351" s="1" t="s">
        <v>850</v>
      </c>
      <c r="B351" s="5">
        <v>45948</v>
      </c>
      <c r="C351" s="1" t="s">
        <v>28</v>
      </c>
      <c r="D351" s="1" t="s">
        <v>45</v>
      </c>
      <c r="E351" s="1" t="s">
        <v>771</v>
      </c>
      <c r="F351" s="1" t="s">
        <v>851</v>
      </c>
      <c r="G351" s="1" t="s">
        <v>41</v>
      </c>
      <c r="H351" s="6">
        <v>1</v>
      </c>
      <c r="I351" s="7">
        <v>0</v>
      </c>
      <c r="J351" s="5">
        <v>45940</v>
      </c>
      <c r="K351" s="1" t="s">
        <v>30</v>
      </c>
      <c r="L351" s="8">
        <v>0</v>
      </c>
      <c r="M351" s="6"/>
      <c r="N351" s="6"/>
      <c r="O351" s="9">
        <v>0</v>
      </c>
    </row>
    <row r="352" spans="1:15" ht="19.5" customHeight="1">
      <c r="A352" s="1" t="s">
        <v>850</v>
      </c>
      <c r="B352" s="5">
        <v>45948</v>
      </c>
      <c r="C352" s="1" t="s">
        <v>28</v>
      </c>
      <c r="D352" s="1" t="s">
        <v>46</v>
      </c>
      <c r="E352" s="1" t="s">
        <v>771</v>
      </c>
      <c r="F352" s="1" t="s">
        <v>851</v>
      </c>
      <c r="G352" s="1" t="s">
        <v>41</v>
      </c>
      <c r="H352" s="6">
        <v>1</v>
      </c>
      <c r="I352" s="7">
        <v>0</v>
      </c>
      <c r="J352" s="5">
        <v>45940</v>
      </c>
      <c r="K352" s="1" t="s">
        <v>30</v>
      </c>
      <c r="L352" s="8">
        <v>0</v>
      </c>
      <c r="M352" s="6"/>
      <c r="N352" s="6"/>
      <c r="O352" s="9">
        <v>-56</v>
      </c>
    </row>
    <row r="353" spans="1:15" ht="19.5" customHeight="1">
      <c r="A353" s="1" t="s">
        <v>850</v>
      </c>
      <c r="B353" s="5">
        <v>45948</v>
      </c>
      <c r="C353" s="1" t="s">
        <v>17</v>
      </c>
      <c r="D353" s="1" t="s">
        <v>47</v>
      </c>
      <c r="E353" s="1" t="s">
        <v>771</v>
      </c>
      <c r="F353" s="1" t="s">
        <v>851</v>
      </c>
      <c r="G353" s="1" t="s">
        <v>41</v>
      </c>
      <c r="H353" s="6">
        <v>1</v>
      </c>
      <c r="I353" s="7">
        <v>0</v>
      </c>
      <c r="J353" s="5">
        <v>45940</v>
      </c>
      <c r="K353" s="1" t="s">
        <v>30</v>
      </c>
      <c r="L353" s="8">
        <v>0</v>
      </c>
      <c r="M353" s="6"/>
      <c r="N353" s="6"/>
      <c r="O353" s="9">
        <v>-15</v>
      </c>
    </row>
    <row r="354" spans="1:15" ht="19.5" customHeight="1">
      <c r="A354" s="1" t="s">
        <v>852</v>
      </c>
      <c r="B354" s="5">
        <v>45948</v>
      </c>
      <c r="C354" s="1" t="s">
        <v>17</v>
      </c>
      <c r="D354" s="1" t="s">
        <v>18</v>
      </c>
      <c r="E354" s="1" t="s">
        <v>25</v>
      </c>
      <c r="F354" s="1" t="s">
        <v>26</v>
      </c>
      <c r="G354" s="1" t="s">
        <v>21</v>
      </c>
      <c r="H354" s="6">
        <v>1</v>
      </c>
      <c r="I354" s="7">
        <v>0</v>
      </c>
      <c r="J354" s="5">
        <v>45948</v>
      </c>
      <c r="K354" s="1" t="s">
        <v>22</v>
      </c>
      <c r="L354" s="8">
        <v>0</v>
      </c>
      <c r="M354" s="6"/>
      <c r="N354" s="6"/>
      <c r="O354" s="9">
        <v>-4.5</v>
      </c>
    </row>
    <row r="355" spans="1:15" ht="19.5" customHeight="1">
      <c r="A355" s="1" t="s">
        <v>853</v>
      </c>
      <c r="B355" s="5">
        <v>45948</v>
      </c>
      <c r="C355" s="1" t="s">
        <v>28</v>
      </c>
      <c r="D355" s="1" t="s">
        <v>45</v>
      </c>
      <c r="E355" s="1" t="s">
        <v>229</v>
      </c>
      <c r="F355" s="1" t="s">
        <v>464</v>
      </c>
      <c r="G355" s="1" t="s">
        <v>21</v>
      </c>
      <c r="H355" s="6">
        <v>1</v>
      </c>
      <c r="I355" s="7">
        <v>0</v>
      </c>
      <c r="J355" s="5">
        <v>45926</v>
      </c>
      <c r="K355" s="1" t="s">
        <v>113</v>
      </c>
      <c r="L355" s="8">
        <v>0</v>
      </c>
      <c r="M355" s="6"/>
      <c r="N355" s="6"/>
      <c r="O355" s="9">
        <v>0</v>
      </c>
    </row>
    <row r="356" spans="1:15" ht="19.5" customHeight="1">
      <c r="A356" s="1" t="s">
        <v>853</v>
      </c>
      <c r="B356" s="5">
        <v>45948</v>
      </c>
      <c r="C356" s="1" t="s">
        <v>28</v>
      </c>
      <c r="D356" s="1" t="s">
        <v>46</v>
      </c>
      <c r="E356" s="1" t="s">
        <v>229</v>
      </c>
      <c r="F356" s="1" t="s">
        <v>464</v>
      </c>
      <c r="G356" s="1" t="s">
        <v>21</v>
      </c>
      <c r="H356" s="6">
        <v>1</v>
      </c>
      <c r="I356" s="7">
        <v>0</v>
      </c>
      <c r="J356" s="5">
        <v>45926</v>
      </c>
      <c r="K356" s="1" t="s">
        <v>113</v>
      </c>
      <c r="L356" s="8">
        <v>0</v>
      </c>
      <c r="M356" s="6"/>
      <c r="N356" s="6"/>
      <c r="O356" s="9">
        <v>-56</v>
      </c>
    </row>
    <row r="357" spans="1:15" ht="19.5" customHeight="1">
      <c r="A357" s="1" t="s">
        <v>853</v>
      </c>
      <c r="B357" s="5">
        <v>45948</v>
      </c>
      <c r="C357" s="1" t="s">
        <v>28</v>
      </c>
      <c r="D357" s="1" t="s">
        <v>135</v>
      </c>
      <c r="E357" s="1" t="s">
        <v>229</v>
      </c>
      <c r="F357" s="1" t="s">
        <v>464</v>
      </c>
      <c r="G357" s="1" t="s">
        <v>21</v>
      </c>
      <c r="H357" s="6">
        <v>1</v>
      </c>
      <c r="I357" s="7">
        <v>0</v>
      </c>
      <c r="J357" s="5">
        <v>45926</v>
      </c>
      <c r="K357" s="1" t="s">
        <v>113</v>
      </c>
      <c r="L357" s="8">
        <v>0</v>
      </c>
      <c r="M357" s="6"/>
      <c r="N357" s="6"/>
      <c r="O357" s="9">
        <v>-10</v>
      </c>
    </row>
    <row r="358" spans="1:15" ht="19.5" customHeight="1">
      <c r="A358" s="1" t="s">
        <v>853</v>
      </c>
      <c r="B358" s="5">
        <v>45948</v>
      </c>
      <c r="C358" s="1" t="s">
        <v>28</v>
      </c>
      <c r="D358" s="1" t="s">
        <v>29</v>
      </c>
      <c r="E358" s="1" t="s">
        <v>229</v>
      </c>
      <c r="F358" s="1" t="s">
        <v>464</v>
      </c>
      <c r="G358" s="1" t="s">
        <v>21</v>
      </c>
      <c r="H358" s="6">
        <v>1</v>
      </c>
      <c r="I358" s="7">
        <v>0</v>
      </c>
      <c r="J358" s="5">
        <v>45926</v>
      </c>
      <c r="K358" s="1" t="s">
        <v>113</v>
      </c>
      <c r="L358" s="8">
        <v>0</v>
      </c>
      <c r="M358" s="6"/>
      <c r="N358" s="6"/>
      <c r="O358" s="9">
        <v>-98</v>
      </c>
    </row>
    <row r="359" spans="1:15" ht="19.5" customHeight="1">
      <c r="A359" s="1" t="s">
        <v>853</v>
      </c>
      <c r="B359" s="5">
        <v>45948</v>
      </c>
      <c r="C359" s="1" t="s">
        <v>17</v>
      </c>
      <c r="D359" s="1" t="s">
        <v>138</v>
      </c>
      <c r="E359" s="1" t="s">
        <v>229</v>
      </c>
      <c r="F359" s="1" t="s">
        <v>464</v>
      </c>
      <c r="G359" s="1" t="s">
        <v>21</v>
      </c>
      <c r="H359" s="6">
        <v>1</v>
      </c>
      <c r="I359" s="7">
        <v>0</v>
      </c>
      <c r="J359" s="5">
        <v>45926</v>
      </c>
      <c r="K359" s="1" t="s">
        <v>113</v>
      </c>
      <c r="L359" s="8">
        <v>0</v>
      </c>
      <c r="M359" s="6"/>
      <c r="N359" s="6"/>
      <c r="O359" s="9">
        <v>-20</v>
      </c>
    </row>
    <row r="360" spans="1:15" ht="19.5" customHeight="1">
      <c r="A360" s="1" t="s">
        <v>853</v>
      </c>
      <c r="B360" s="5">
        <v>45948</v>
      </c>
      <c r="C360" s="1" t="s">
        <v>17</v>
      </c>
      <c r="D360" s="1" t="s">
        <v>37</v>
      </c>
      <c r="E360" s="1" t="s">
        <v>229</v>
      </c>
      <c r="F360" s="1" t="s">
        <v>464</v>
      </c>
      <c r="G360" s="1" t="s">
        <v>21</v>
      </c>
      <c r="H360" s="6">
        <v>1</v>
      </c>
      <c r="I360" s="7">
        <v>0</v>
      </c>
      <c r="J360" s="5">
        <v>45926</v>
      </c>
      <c r="K360" s="1" t="s">
        <v>113</v>
      </c>
      <c r="L360" s="8">
        <v>0</v>
      </c>
      <c r="M360" s="6"/>
      <c r="N360" s="6"/>
      <c r="O360" s="9">
        <v>-8.7799999999999994</v>
      </c>
    </row>
    <row r="361" spans="1:15" ht="19.5" customHeight="1">
      <c r="A361" s="1" t="s">
        <v>832</v>
      </c>
      <c r="B361" s="5">
        <v>45948</v>
      </c>
      <c r="C361" s="1" t="s">
        <v>28</v>
      </c>
      <c r="D361" s="1" t="s">
        <v>29</v>
      </c>
      <c r="E361" s="1" t="s">
        <v>66</v>
      </c>
      <c r="F361" s="1" t="s">
        <v>67</v>
      </c>
      <c r="G361" s="1" t="s">
        <v>41</v>
      </c>
      <c r="H361" s="6">
        <v>1</v>
      </c>
      <c r="I361" s="7">
        <v>0</v>
      </c>
      <c r="J361" s="5">
        <v>45943</v>
      </c>
      <c r="K361" s="1" t="s">
        <v>30</v>
      </c>
      <c r="L361" s="8">
        <v>0</v>
      </c>
      <c r="M361" s="6"/>
      <c r="N361" s="6"/>
      <c r="O361" s="9">
        <v>-56</v>
      </c>
    </row>
    <row r="362" spans="1:15" ht="19.5" customHeight="1">
      <c r="A362" s="1" t="s">
        <v>832</v>
      </c>
      <c r="B362" s="5">
        <v>45948</v>
      </c>
      <c r="C362" s="1" t="s">
        <v>17</v>
      </c>
      <c r="D362" s="1" t="s">
        <v>37</v>
      </c>
      <c r="E362" s="1" t="s">
        <v>66</v>
      </c>
      <c r="F362" s="1" t="s">
        <v>67</v>
      </c>
      <c r="G362" s="1" t="s">
        <v>41</v>
      </c>
      <c r="H362" s="6">
        <v>1</v>
      </c>
      <c r="I362" s="7">
        <v>0</v>
      </c>
      <c r="J362" s="5">
        <v>45943</v>
      </c>
      <c r="K362" s="1" t="s">
        <v>30</v>
      </c>
      <c r="L362" s="8">
        <v>0</v>
      </c>
      <c r="M362" s="6"/>
      <c r="N362" s="6"/>
      <c r="O362" s="9">
        <v>-10.71</v>
      </c>
    </row>
    <row r="363" spans="1:15" ht="19.5" customHeight="1">
      <c r="A363" s="1" t="s">
        <v>832</v>
      </c>
      <c r="B363" s="5">
        <v>45948</v>
      </c>
      <c r="C363" s="1" t="s">
        <v>28</v>
      </c>
      <c r="D363" s="1" t="s">
        <v>45</v>
      </c>
      <c r="E363" s="1" t="s">
        <v>66</v>
      </c>
      <c r="F363" s="1" t="s">
        <v>67</v>
      </c>
      <c r="G363" s="1" t="s">
        <v>41</v>
      </c>
      <c r="H363" s="6">
        <v>1</v>
      </c>
      <c r="I363" s="7">
        <v>0</v>
      </c>
      <c r="J363" s="5">
        <v>45943</v>
      </c>
      <c r="K363" s="1" t="s">
        <v>30</v>
      </c>
      <c r="L363" s="8">
        <v>0</v>
      </c>
      <c r="M363" s="6"/>
      <c r="N363" s="6"/>
      <c r="O363" s="9">
        <v>0</v>
      </c>
    </row>
    <row r="364" spans="1:15" ht="19.5" customHeight="1">
      <c r="A364" s="1" t="s">
        <v>832</v>
      </c>
      <c r="B364" s="5">
        <v>45948</v>
      </c>
      <c r="C364" s="1" t="s">
        <v>28</v>
      </c>
      <c r="D364" s="1" t="s">
        <v>46</v>
      </c>
      <c r="E364" s="1" t="s">
        <v>66</v>
      </c>
      <c r="F364" s="1" t="s">
        <v>67</v>
      </c>
      <c r="G364" s="1" t="s">
        <v>41</v>
      </c>
      <c r="H364" s="6">
        <v>1</v>
      </c>
      <c r="I364" s="7">
        <v>0</v>
      </c>
      <c r="J364" s="5">
        <v>45943</v>
      </c>
      <c r="K364" s="1" t="s">
        <v>30</v>
      </c>
      <c r="L364" s="8">
        <v>0</v>
      </c>
      <c r="M364" s="6"/>
      <c r="N364" s="6"/>
      <c r="O364" s="9">
        <v>-56</v>
      </c>
    </row>
    <row r="365" spans="1:15" ht="19.5" customHeight="1">
      <c r="A365" s="1" t="s">
        <v>832</v>
      </c>
      <c r="B365" s="5">
        <v>45948</v>
      </c>
      <c r="C365" s="1" t="s">
        <v>17</v>
      </c>
      <c r="D365" s="1" t="s">
        <v>47</v>
      </c>
      <c r="E365" s="1" t="s">
        <v>66</v>
      </c>
      <c r="F365" s="1" t="s">
        <v>67</v>
      </c>
      <c r="G365" s="1" t="s">
        <v>41</v>
      </c>
      <c r="H365" s="6">
        <v>1</v>
      </c>
      <c r="I365" s="7">
        <v>0</v>
      </c>
      <c r="J365" s="5">
        <v>45943</v>
      </c>
      <c r="K365" s="1" t="s">
        <v>30</v>
      </c>
      <c r="L365" s="8">
        <v>0</v>
      </c>
      <c r="M365" s="6"/>
      <c r="N365" s="6"/>
      <c r="O365" s="9">
        <v>-15</v>
      </c>
    </row>
    <row r="366" spans="1:15" ht="19.5" customHeight="1">
      <c r="A366" s="1" t="s">
        <v>854</v>
      </c>
      <c r="B366" s="5">
        <v>45948</v>
      </c>
      <c r="C366" s="1" t="s">
        <v>28</v>
      </c>
      <c r="D366" s="1" t="s">
        <v>29</v>
      </c>
      <c r="E366" s="1" t="s">
        <v>25</v>
      </c>
      <c r="F366" s="1" t="s">
        <v>26</v>
      </c>
      <c r="G366" s="1" t="s">
        <v>21</v>
      </c>
      <c r="H366" s="6">
        <v>1</v>
      </c>
      <c r="I366" s="7">
        <v>0</v>
      </c>
      <c r="J366" s="5">
        <v>45938</v>
      </c>
      <c r="K366" s="1" t="s">
        <v>30</v>
      </c>
      <c r="L366" s="8">
        <v>0</v>
      </c>
      <c r="M366" s="6"/>
      <c r="N366" s="6"/>
      <c r="O366" s="9">
        <v>-46</v>
      </c>
    </row>
    <row r="367" spans="1:15" ht="19.5" customHeight="1">
      <c r="A367" s="1" t="s">
        <v>854</v>
      </c>
      <c r="B367" s="5">
        <v>45948</v>
      </c>
      <c r="C367" s="1" t="s">
        <v>17</v>
      </c>
      <c r="D367" s="1" t="s">
        <v>37</v>
      </c>
      <c r="E367" s="1" t="s">
        <v>25</v>
      </c>
      <c r="F367" s="1" t="s">
        <v>26</v>
      </c>
      <c r="G367" s="1" t="s">
        <v>21</v>
      </c>
      <c r="H367" s="6">
        <v>1</v>
      </c>
      <c r="I367" s="7">
        <v>0</v>
      </c>
      <c r="J367" s="5">
        <v>45938</v>
      </c>
      <c r="K367" s="1" t="s">
        <v>30</v>
      </c>
      <c r="L367" s="8">
        <v>0</v>
      </c>
      <c r="M367" s="6"/>
      <c r="N367" s="6"/>
      <c r="O367" s="9">
        <v>-10.07</v>
      </c>
    </row>
    <row r="368" spans="1:15" ht="19.5" customHeight="1">
      <c r="A368" s="1" t="s">
        <v>854</v>
      </c>
      <c r="B368" s="5">
        <v>45948</v>
      </c>
      <c r="C368" s="1" t="s">
        <v>28</v>
      </c>
      <c r="D368" s="1" t="s">
        <v>45</v>
      </c>
      <c r="E368" s="1" t="s">
        <v>25</v>
      </c>
      <c r="F368" s="1" t="s">
        <v>26</v>
      </c>
      <c r="G368" s="1" t="s">
        <v>21</v>
      </c>
      <c r="H368" s="6">
        <v>1</v>
      </c>
      <c r="I368" s="7">
        <v>0</v>
      </c>
      <c r="J368" s="5">
        <v>45938</v>
      </c>
      <c r="K368" s="1" t="s">
        <v>30</v>
      </c>
      <c r="L368" s="8">
        <v>0</v>
      </c>
      <c r="M368" s="6"/>
      <c r="N368" s="6"/>
      <c r="O368" s="9">
        <v>0</v>
      </c>
    </row>
    <row r="369" spans="1:15" ht="19.5" customHeight="1">
      <c r="A369" s="1" t="s">
        <v>854</v>
      </c>
      <c r="B369" s="5">
        <v>45948</v>
      </c>
      <c r="C369" s="1" t="s">
        <v>28</v>
      </c>
      <c r="D369" s="1" t="s">
        <v>46</v>
      </c>
      <c r="E369" s="1" t="s">
        <v>25</v>
      </c>
      <c r="F369" s="1" t="s">
        <v>26</v>
      </c>
      <c r="G369" s="1" t="s">
        <v>21</v>
      </c>
      <c r="H369" s="6">
        <v>1</v>
      </c>
      <c r="I369" s="7">
        <v>0</v>
      </c>
      <c r="J369" s="5">
        <v>45938</v>
      </c>
      <c r="K369" s="1" t="s">
        <v>30</v>
      </c>
      <c r="L369" s="8">
        <v>0</v>
      </c>
      <c r="M369" s="6"/>
      <c r="N369" s="6"/>
      <c r="O369" s="9">
        <v>-46</v>
      </c>
    </row>
    <row r="370" spans="1:15" ht="19.5" customHeight="1">
      <c r="A370" s="1" t="s">
        <v>854</v>
      </c>
      <c r="B370" s="5">
        <v>45948</v>
      </c>
      <c r="C370" s="1" t="s">
        <v>17</v>
      </c>
      <c r="D370" s="1" t="s">
        <v>47</v>
      </c>
      <c r="E370" s="1" t="s">
        <v>25</v>
      </c>
      <c r="F370" s="1" t="s">
        <v>26</v>
      </c>
      <c r="G370" s="1" t="s">
        <v>21</v>
      </c>
      <c r="H370" s="6">
        <v>1</v>
      </c>
      <c r="I370" s="7">
        <v>0</v>
      </c>
      <c r="J370" s="5">
        <v>45938</v>
      </c>
      <c r="K370" s="1" t="s">
        <v>30</v>
      </c>
      <c r="L370" s="8">
        <v>0</v>
      </c>
      <c r="M370" s="6"/>
      <c r="N370" s="6"/>
      <c r="O370" s="9">
        <v>-15</v>
      </c>
    </row>
    <row r="371" spans="1:15" ht="19.5" customHeight="1">
      <c r="A371" s="1" t="s">
        <v>855</v>
      </c>
      <c r="B371" s="5">
        <v>45948</v>
      </c>
      <c r="C371" s="1" t="s">
        <v>28</v>
      </c>
      <c r="D371" s="1" t="s">
        <v>29</v>
      </c>
      <c r="E371" s="1" t="s">
        <v>66</v>
      </c>
      <c r="F371" s="1" t="s">
        <v>67</v>
      </c>
      <c r="G371" s="1" t="s">
        <v>41</v>
      </c>
      <c r="H371" s="6">
        <v>1</v>
      </c>
      <c r="I371" s="7">
        <v>0</v>
      </c>
      <c r="J371" s="5">
        <v>45937</v>
      </c>
      <c r="K371" s="1" t="s">
        <v>30</v>
      </c>
      <c r="L371" s="8">
        <v>0</v>
      </c>
      <c r="M371" s="6"/>
      <c r="N371" s="6"/>
      <c r="O371" s="9">
        <v>-56</v>
      </c>
    </row>
    <row r="372" spans="1:15" ht="19.5" customHeight="1">
      <c r="A372" s="1" t="s">
        <v>855</v>
      </c>
      <c r="B372" s="5">
        <v>45948</v>
      </c>
      <c r="C372" s="1" t="s">
        <v>17</v>
      </c>
      <c r="D372" s="1" t="s">
        <v>37</v>
      </c>
      <c r="E372" s="1" t="s">
        <v>66</v>
      </c>
      <c r="F372" s="1" t="s">
        <v>67</v>
      </c>
      <c r="G372" s="1" t="s">
        <v>41</v>
      </c>
      <c r="H372" s="6">
        <v>1</v>
      </c>
      <c r="I372" s="7">
        <v>0</v>
      </c>
      <c r="J372" s="5">
        <v>45937</v>
      </c>
      <c r="K372" s="1" t="s">
        <v>30</v>
      </c>
      <c r="L372" s="8">
        <v>0</v>
      </c>
      <c r="M372" s="6"/>
      <c r="N372" s="6"/>
      <c r="O372" s="9">
        <v>-11.31</v>
      </c>
    </row>
    <row r="373" spans="1:15" ht="19.5" customHeight="1">
      <c r="A373" s="1" t="s">
        <v>855</v>
      </c>
      <c r="B373" s="5">
        <v>45948</v>
      </c>
      <c r="C373" s="1" t="s">
        <v>28</v>
      </c>
      <c r="D373" s="1" t="s">
        <v>45</v>
      </c>
      <c r="E373" s="1" t="s">
        <v>66</v>
      </c>
      <c r="F373" s="1" t="s">
        <v>67</v>
      </c>
      <c r="G373" s="1" t="s">
        <v>41</v>
      </c>
      <c r="H373" s="6">
        <v>1</v>
      </c>
      <c r="I373" s="7">
        <v>0</v>
      </c>
      <c r="J373" s="5">
        <v>45937</v>
      </c>
      <c r="K373" s="1" t="s">
        <v>30</v>
      </c>
      <c r="L373" s="8">
        <v>0</v>
      </c>
      <c r="M373" s="6"/>
      <c r="N373" s="6"/>
      <c r="O373" s="9">
        <v>0</v>
      </c>
    </row>
    <row r="374" spans="1:15" ht="19.5" customHeight="1">
      <c r="A374" s="1" t="s">
        <v>855</v>
      </c>
      <c r="B374" s="5">
        <v>45948</v>
      </c>
      <c r="C374" s="1" t="s">
        <v>28</v>
      </c>
      <c r="D374" s="1" t="s">
        <v>46</v>
      </c>
      <c r="E374" s="1" t="s">
        <v>66</v>
      </c>
      <c r="F374" s="1" t="s">
        <v>67</v>
      </c>
      <c r="G374" s="1" t="s">
        <v>41</v>
      </c>
      <c r="H374" s="6">
        <v>1</v>
      </c>
      <c r="I374" s="7">
        <v>0</v>
      </c>
      <c r="J374" s="5">
        <v>45937</v>
      </c>
      <c r="K374" s="1" t="s">
        <v>30</v>
      </c>
      <c r="L374" s="8">
        <v>0</v>
      </c>
      <c r="M374" s="6"/>
      <c r="N374" s="6"/>
      <c r="O374" s="9">
        <v>-56</v>
      </c>
    </row>
    <row r="375" spans="1:15" ht="19.5" customHeight="1">
      <c r="A375" s="1" t="s">
        <v>855</v>
      </c>
      <c r="B375" s="5">
        <v>45948</v>
      </c>
      <c r="C375" s="1" t="s">
        <v>17</v>
      </c>
      <c r="D375" s="1" t="s">
        <v>47</v>
      </c>
      <c r="E375" s="1" t="s">
        <v>66</v>
      </c>
      <c r="F375" s="1" t="s">
        <v>67</v>
      </c>
      <c r="G375" s="1" t="s">
        <v>41</v>
      </c>
      <c r="H375" s="6">
        <v>1</v>
      </c>
      <c r="I375" s="7">
        <v>0</v>
      </c>
      <c r="J375" s="5">
        <v>45937</v>
      </c>
      <c r="K375" s="1" t="s">
        <v>30</v>
      </c>
      <c r="L375" s="8">
        <v>0</v>
      </c>
      <c r="M375" s="6"/>
      <c r="N375" s="6"/>
      <c r="O375" s="9">
        <v>-15</v>
      </c>
    </row>
    <row r="376" spans="1:15" ht="19.5" customHeight="1">
      <c r="A376" s="1" t="s">
        <v>856</v>
      </c>
      <c r="B376" s="5">
        <v>45948</v>
      </c>
      <c r="C376" s="1" t="s">
        <v>28</v>
      </c>
      <c r="D376" s="1" t="s">
        <v>29</v>
      </c>
      <c r="E376" s="1" t="s">
        <v>239</v>
      </c>
      <c r="F376" s="1" t="s">
        <v>733</v>
      </c>
      <c r="G376" s="1" t="s">
        <v>41</v>
      </c>
      <c r="H376" s="6">
        <v>1</v>
      </c>
      <c r="I376" s="7">
        <v>3690</v>
      </c>
      <c r="J376" s="5">
        <v>45934</v>
      </c>
      <c r="K376" s="1" t="s">
        <v>30</v>
      </c>
      <c r="L376" s="8">
        <v>0.24</v>
      </c>
      <c r="M376" s="6"/>
      <c r="N376" s="6"/>
      <c r="O376" s="9">
        <v>-56</v>
      </c>
    </row>
    <row r="377" spans="1:15" ht="19.5" customHeight="1">
      <c r="A377" s="1" t="s">
        <v>856</v>
      </c>
      <c r="B377" s="5">
        <v>45948</v>
      </c>
      <c r="C377" s="1" t="s">
        <v>31</v>
      </c>
      <c r="D377" s="1" t="s">
        <v>32</v>
      </c>
      <c r="E377" s="1" t="s">
        <v>239</v>
      </c>
      <c r="F377" s="1" t="s">
        <v>733</v>
      </c>
      <c r="G377" s="1" t="s">
        <v>41</v>
      </c>
      <c r="H377" s="6">
        <v>1</v>
      </c>
      <c r="I377" s="7">
        <v>3690</v>
      </c>
      <c r="J377" s="5">
        <v>45934</v>
      </c>
      <c r="K377" s="1" t="s">
        <v>30</v>
      </c>
      <c r="L377" s="8">
        <v>0</v>
      </c>
      <c r="M377" s="6"/>
      <c r="N377" s="6"/>
      <c r="O377" s="9">
        <v>2034.29</v>
      </c>
    </row>
    <row r="378" spans="1:15" ht="19.5" customHeight="1">
      <c r="A378" s="1" t="s">
        <v>856</v>
      </c>
      <c r="B378" s="5">
        <v>45948</v>
      </c>
      <c r="C378" s="1" t="s">
        <v>31</v>
      </c>
      <c r="D378" s="1" t="s">
        <v>33</v>
      </c>
      <c r="E378" s="1" t="s">
        <v>239</v>
      </c>
      <c r="F378" s="1" t="s">
        <v>733</v>
      </c>
      <c r="G378" s="1" t="s">
        <v>41</v>
      </c>
      <c r="H378" s="6">
        <v>1</v>
      </c>
      <c r="I378" s="7">
        <v>3690</v>
      </c>
      <c r="J378" s="5">
        <v>45934</v>
      </c>
      <c r="K378" s="1" t="s">
        <v>30</v>
      </c>
      <c r="L378" s="8">
        <v>0</v>
      </c>
      <c r="M378" s="6"/>
      <c r="N378" s="6"/>
      <c r="O378" s="9">
        <v>20.34</v>
      </c>
    </row>
    <row r="379" spans="1:15" ht="19.5" customHeight="1">
      <c r="A379" s="1" t="s">
        <v>856</v>
      </c>
      <c r="B379" s="5">
        <v>45948</v>
      </c>
      <c r="C379" s="1" t="s">
        <v>31</v>
      </c>
      <c r="D379" s="1" t="s">
        <v>34</v>
      </c>
      <c r="E379" s="1" t="s">
        <v>239</v>
      </c>
      <c r="F379" s="1" t="s">
        <v>733</v>
      </c>
      <c r="G379" s="1" t="s">
        <v>41</v>
      </c>
      <c r="H379" s="6">
        <v>1</v>
      </c>
      <c r="I379" s="7">
        <v>3690</v>
      </c>
      <c r="J379" s="5">
        <v>45934</v>
      </c>
      <c r="K379" s="1" t="s">
        <v>30</v>
      </c>
      <c r="L379" s="8">
        <v>0</v>
      </c>
      <c r="M379" s="6"/>
      <c r="N379" s="6"/>
      <c r="O379" s="9">
        <v>1635.37</v>
      </c>
    </row>
    <row r="380" spans="1:15" ht="19.5" customHeight="1">
      <c r="A380" s="1" t="s">
        <v>856</v>
      </c>
      <c r="B380" s="5">
        <v>45948</v>
      </c>
      <c r="C380" s="1" t="s">
        <v>35</v>
      </c>
      <c r="D380" s="1" t="s">
        <v>36</v>
      </c>
      <c r="E380" s="1" t="s">
        <v>239</v>
      </c>
      <c r="F380" s="1" t="s">
        <v>733</v>
      </c>
      <c r="G380" s="1" t="s">
        <v>41</v>
      </c>
      <c r="H380" s="6">
        <v>1</v>
      </c>
      <c r="I380" s="7">
        <v>3690</v>
      </c>
      <c r="J380" s="5">
        <v>45934</v>
      </c>
      <c r="K380" s="1" t="s">
        <v>30</v>
      </c>
      <c r="L380" s="8">
        <v>0.24</v>
      </c>
      <c r="M380" s="6"/>
      <c r="N380" s="6"/>
      <c r="O380" s="9">
        <v>-885.6</v>
      </c>
    </row>
    <row r="381" spans="1:15" ht="19.5" customHeight="1">
      <c r="A381" s="1" t="s">
        <v>856</v>
      </c>
      <c r="B381" s="5">
        <v>45948</v>
      </c>
      <c r="C381" s="1" t="s">
        <v>17</v>
      </c>
      <c r="D381" s="1" t="s">
        <v>37</v>
      </c>
      <c r="E381" s="1" t="s">
        <v>239</v>
      </c>
      <c r="F381" s="1" t="s">
        <v>733</v>
      </c>
      <c r="G381" s="1" t="s">
        <v>41</v>
      </c>
      <c r="H381" s="6">
        <v>1</v>
      </c>
      <c r="I381" s="7">
        <v>3690</v>
      </c>
      <c r="J381" s="5">
        <v>45934</v>
      </c>
      <c r="K381" s="1" t="s">
        <v>30</v>
      </c>
      <c r="L381" s="8">
        <v>0.24</v>
      </c>
      <c r="M381" s="6"/>
      <c r="N381" s="6"/>
      <c r="O381" s="9">
        <v>-11.09</v>
      </c>
    </row>
    <row r="382" spans="1:15" ht="19.5" customHeight="1">
      <c r="A382" s="1" t="s">
        <v>57</v>
      </c>
      <c r="B382" s="5">
        <v>45948</v>
      </c>
      <c r="C382" s="1" t="s">
        <v>17</v>
      </c>
      <c r="D382" s="1" t="s">
        <v>18</v>
      </c>
      <c r="E382" s="1" t="s">
        <v>25</v>
      </c>
      <c r="F382" s="1" t="s">
        <v>26</v>
      </c>
      <c r="G382" s="1" t="s">
        <v>21</v>
      </c>
      <c r="H382" s="6">
        <v>1</v>
      </c>
      <c r="I382" s="7">
        <v>0</v>
      </c>
      <c r="J382" s="5">
        <v>45936</v>
      </c>
      <c r="K382" s="1" t="s">
        <v>22</v>
      </c>
      <c r="L382" s="8">
        <v>0</v>
      </c>
      <c r="M382" s="6"/>
      <c r="N382" s="6"/>
      <c r="O382" s="9">
        <v>4.6399999999999997</v>
      </c>
    </row>
    <row r="383" spans="1:15" ht="19.5" customHeight="1">
      <c r="A383" s="1" t="s">
        <v>159</v>
      </c>
      <c r="B383" s="5">
        <v>45948</v>
      </c>
      <c r="C383" s="1" t="s">
        <v>28</v>
      </c>
      <c r="D383" s="1" t="s">
        <v>60</v>
      </c>
      <c r="E383" s="1" t="s">
        <v>51</v>
      </c>
      <c r="F383" s="1" t="s">
        <v>52</v>
      </c>
      <c r="G383" s="1" t="s">
        <v>41</v>
      </c>
      <c r="H383" s="6">
        <v>1</v>
      </c>
      <c r="I383" s="7">
        <v>0</v>
      </c>
      <c r="J383" s="5">
        <v>45931</v>
      </c>
      <c r="K383" s="1" t="s">
        <v>30</v>
      </c>
      <c r="L383" s="8">
        <v>0</v>
      </c>
      <c r="M383" s="6"/>
      <c r="N383" s="6"/>
      <c r="O383" s="9">
        <v>0</v>
      </c>
    </row>
    <row r="384" spans="1:15" ht="19.5" customHeight="1">
      <c r="A384" s="1" t="s">
        <v>159</v>
      </c>
      <c r="B384" s="5">
        <v>45948</v>
      </c>
      <c r="C384" s="1" t="s">
        <v>28</v>
      </c>
      <c r="D384" s="1" t="s">
        <v>46</v>
      </c>
      <c r="E384" s="1" t="s">
        <v>51</v>
      </c>
      <c r="F384" s="1" t="s">
        <v>52</v>
      </c>
      <c r="G384" s="1" t="s">
        <v>41</v>
      </c>
      <c r="H384" s="6">
        <v>1</v>
      </c>
      <c r="I384" s="7">
        <v>0</v>
      </c>
      <c r="J384" s="5">
        <v>45931</v>
      </c>
      <c r="K384" s="1" t="s">
        <v>30</v>
      </c>
      <c r="L384" s="8">
        <v>0</v>
      </c>
      <c r="M384" s="6"/>
      <c r="N384" s="6"/>
      <c r="O384" s="9">
        <v>-56</v>
      </c>
    </row>
    <row r="385" spans="1:15" ht="19.5" customHeight="1">
      <c r="A385" s="1" t="s">
        <v>159</v>
      </c>
      <c r="B385" s="5">
        <v>45948</v>
      </c>
      <c r="C385" s="1" t="s">
        <v>17</v>
      </c>
      <c r="D385" s="1" t="s">
        <v>47</v>
      </c>
      <c r="E385" s="1" t="s">
        <v>51</v>
      </c>
      <c r="F385" s="1" t="s">
        <v>52</v>
      </c>
      <c r="G385" s="1" t="s">
        <v>41</v>
      </c>
      <c r="H385" s="6">
        <v>1</v>
      </c>
      <c r="I385" s="7">
        <v>0</v>
      </c>
      <c r="J385" s="5">
        <v>45931</v>
      </c>
      <c r="K385" s="1" t="s">
        <v>30</v>
      </c>
      <c r="L385" s="8">
        <v>0</v>
      </c>
      <c r="M385" s="6"/>
      <c r="N385" s="6"/>
      <c r="O385" s="9">
        <v>-15</v>
      </c>
    </row>
    <row r="386" spans="1:15" ht="19.5" customHeight="1">
      <c r="A386" s="1" t="s">
        <v>857</v>
      </c>
      <c r="B386" s="5">
        <v>45948</v>
      </c>
      <c r="C386" s="1" t="s">
        <v>28</v>
      </c>
      <c r="D386" s="1" t="s">
        <v>29</v>
      </c>
      <c r="E386" s="1" t="s">
        <v>66</v>
      </c>
      <c r="F386" s="1" t="s">
        <v>67</v>
      </c>
      <c r="G386" s="1" t="s">
        <v>41</v>
      </c>
      <c r="H386" s="6">
        <v>1</v>
      </c>
      <c r="I386" s="7">
        <v>3690</v>
      </c>
      <c r="J386" s="5">
        <v>45942</v>
      </c>
      <c r="K386" s="1" t="s">
        <v>30</v>
      </c>
      <c r="L386" s="8">
        <v>0.24</v>
      </c>
      <c r="M386" s="6"/>
      <c r="N386" s="6"/>
      <c r="O386" s="9">
        <v>-56</v>
      </c>
    </row>
    <row r="387" spans="1:15" ht="19.5" customHeight="1">
      <c r="A387" s="1" t="s">
        <v>857</v>
      </c>
      <c r="B387" s="5">
        <v>45948</v>
      </c>
      <c r="C387" s="1" t="s">
        <v>31</v>
      </c>
      <c r="D387" s="1" t="s">
        <v>32</v>
      </c>
      <c r="E387" s="1" t="s">
        <v>66</v>
      </c>
      <c r="F387" s="1" t="s">
        <v>67</v>
      </c>
      <c r="G387" s="1" t="s">
        <v>41</v>
      </c>
      <c r="H387" s="6">
        <v>1</v>
      </c>
      <c r="I387" s="7">
        <v>3690</v>
      </c>
      <c r="J387" s="5">
        <v>45942</v>
      </c>
      <c r="K387" s="1" t="s">
        <v>30</v>
      </c>
      <c r="L387" s="8">
        <v>0</v>
      </c>
      <c r="M387" s="6"/>
      <c r="N387" s="6"/>
      <c r="O387" s="9">
        <v>2323</v>
      </c>
    </row>
    <row r="388" spans="1:15" ht="19.5" customHeight="1">
      <c r="A388" s="1" t="s">
        <v>857</v>
      </c>
      <c r="B388" s="5">
        <v>45948</v>
      </c>
      <c r="C388" s="1" t="s">
        <v>31</v>
      </c>
      <c r="D388" s="1" t="s">
        <v>33</v>
      </c>
      <c r="E388" s="1" t="s">
        <v>66</v>
      </c>
      <c r="F388" s="1" t="s">
        <v>67</v>
      </c>
      <c r="G388" s="1" t="s">
        <v>41</v>
      </c>
      <c r="H388" s="6">
        <v>1</v>
      </c>
      <c r="I388" s="7">
        <v>3690</v>
      </c>
      <c r="J388" s="5">
        <v>45942</v>
      </c>
      <c r="K388" s="1" t="s">
        <v>30</v>
      </c>
      <c r="L388" s="8">
        <v>0</v>
      </c>
      <c r="M388" s="6"/>
      <c r="N388" s="6"/>
      <c r="O388" s="9">
        <v>23.23</v>
      </c>
    </row>
    <row r="389" spans="1:15" ht="19.5" customHeight="1">
      <c r="A389" s="1" t="s">
        <v>857</v>
      </c>
      <c r="B389" s="5">
        <v>45948</v>
      </c>
      <c r="C389" s="1" t="s">
        <v>31</v>
      </c>
      <c r="D389" s="1" t="s">
        <v>34</v>
      </c>
      <c r="E389" s="1" t="s">
        <v>66</v>
      </c>
      <c r="F389" s="1" t="s">
        <v>67</v>
      </c>
      <c r="G389" s="1" t="s">
        <v>41</v>
      </c>
      <c r="H389" s="6">
        <v>1</v>
      </c>
      <c r="I389" s="7">
        <v>3690</v>
      </c>
      <c r="J389" s="5">
        <v>45942</v>
      </c>
      <c r="K389" s="1" t="s">
        <v>30</v>
      </c>
      <c r="L389" s="8">
        <v>0</v>
      </c>
      <c r="M389" s="6"/>
      <c r="N389" s="6"/>
      <c r="O389" s="9">
        <v>1343.77</v>
      </c>
    </row>
    <row r="390" spans="1:15" ht="19.5" customHeight="1">
      <c r="A390" s="1" t="s">
        <v>857</v>
      </c>
      <c r="B390" s="5">
        <v>45948</v>
      </c>
      <c r="C390" s="1" t="s">
        <v>35</v>
      </c>
      <c r="D390" s="1" t="s">
        <v>36</v>
      </c>
      <c r="E390" s="1" t="s">
        <v>66</v>
      </c>
      <c r="F390" s="1" t="s">
        <v>67</v>
      </c>
      <c r="G390" s="1" t="s">
        <v>41</v>
      </c>
      <c r="H390" s="6">
        <v>1</v>
      </c>
      <c r="I390" s="7">
        <v>3690</v>
      </c>
      <c r="J390" s="5">
        <v>45942</v>
      </c>
      <c r="K390" s="1" t="s">
        <v>30</v>
      </c>
      <c r="L390" s="8">
        <v>0.24</v>
      </c>
      <c r="M390" s="6"/>
      <c r="N390" s="6"/>
      <c r="O390" s="9">
        <v>-885.6</v>
      </c>
    </row>
    <row r="391" spans="1:15" ht="19.5" customHeight="1">
      <c r="A391" s="1" t="s">
        <v>857</v>
      </c>
      <c r="B391" s="5">
        <v>45948</v>
      </c>
      <c r="C391" s="1" t="s">
        <v>17</v>
      </c>
      <c r="D391" s="1" t="s">
        <v>37</v>
      </c>
      <c r="E391" s="1" t="s">
        <v>66</v>
      </c>
      <c r="F391" s="1" t="s">
        <v>67</v>
      </c>
      <c r="G391" s="1" t="s">
        <v>41</v>
      </c>
      <c r="H391" s="6">
        <v>1</v>
      </c>
      <c r="I391" s="7">
        <v>3690</v>
      </c>
      <c r="J391" s="5">
        <v>45942</v>
      </c>
      <c r="K391" s="1" t="s">
        <v>30</v>
      </c>
      <c r="L391" s="8">
        <v>0.24</v>
      </c>
      <c r="M391" s="6"/>
      <c r="N391" s="6"/>
      <c r="O391" s="9">
        <v>-11.63</v>
      </c>
    </row>
    <row r="392" spans="1:15" ht="19.5" customHeight="1">
      <c r="A392" s="1" t="s">
        <v>857</v>
      </c>
      <c r="B392" s="5">
        <v>45948</v>
      </c>
      <c r="C392" s="1" t="s">
        <v>17</v>
      </c>
      <c r="D392" s="1" t="s">
        <v>18</v>
      </c>
      <c r="E392" s="1" t="s">
        <v>66</v>
      </c>
      <c r="F392" s="1" t="s">
        <v>67</v>
      </c>
      <c r="G392" s="1" t="s">
        <v>41</v>
      </c>
      <c r="H392" s="6">
        <v>1</v>
      </c>
      <c r="I392" s="7">
        <v>0</v>
      </c>
      <c r="J392" s="5">
        <v>45942</v>
      </c>
      <c r="K392" s="1" t="s">
        <v>22</v>
      </c>
      <c r="L392" s="8">
        <v>0</v>
      </c>
      <c r="M392" s="6"/>
      <c r="N392" s="6"/>
      <c r="O392" s="9">
        <v>-44.14</v>
      </c>
    </row>
    <row r="393" spans="1:15" ht="19.5" customHeight="1">
      <c r="A393" s="1" t="s">
        <v>858</v>
      </c>
      <c r="B393" s="5">
        <v>45948</v>
      </c>
      <c r="C393" s="1" t="s">
        <v>28</v>
      </c>
      <c r="D393" s="1" t="s">
        <v>29</v>
      </c>
      <c r="E393" s="1" t="s">
        <v>235</v>
      </c>
      <c r="F393" s="1" t="s">
        <v>528</v>
      </c>
      <c r="G393" s="1" t="s">
        <v>41</v>
      </c>
      <c r="H393" s="6">
        <v>1</v>
      </c>
      <c r="I393" s="7">
        <v>5000</v>
      </c>
      <c r="J393" s="5">
        <v>45947</v>
      </c>
      <c r="K393" s="1" t="s">
        <v>30</v>
      </c>
      <c r="L393" s="8">
        <v>0.34</v>
      </c>
      <c r="M393" s="6"/>
      <c r="N393" s="6"/>
      <c r="O393" s="9">
        <v>-56</v>
      </c>
    </row>
    <row r="394" spans="1:15" ht="19.5" customHeight="1">
      <c r="A394" s="1" t="s">
        <v>858</v>
      </c>
      <c r="B394" s="5">
        <v>45948</v>
      </c>
      <c r="C394" s="1" t="s">
        <v>31</v>
      </c>
      <c r="D394" s="1" t="s">
        <v>32</v>
      </c>
      <c r="E394" s="1" t="s">
        <v>235</v>
      </c>
      <c r="F394" s="1" t="s">
        <v>528</v>
      </c>
      <c r="G394" s="1" t="s">
        <v>41</v>
      </c>
      <c r="H394" s="6">
        <v>1</v>
      </c>
      <c r="I394" s="7">
        <v>5000</v>
      </c>
      <c r="J394" s="5">
        <v>45947</v>
      </c>
      <c r="K394" s="1" t="s">
        <v>30</v>
      </c>
      <c r="L394" s="8">
        <v>0</v>
      </c>
      <c r="M394" s="6"/>
      <c r="N394" s="6"/>
      <c r="O394" s="9">
        <v>2607.0100000000002</v>
      </c>
    </row>
    <row r="395" spans="1:15" ht="19.5" customHeight="1">
      <c r="A395" s="1" t="s">
        <v>858</v>
      </c>
      <c r="B395" s="5">
        <v>45948</v>
      </c>
      <c r="C395" s="1" t="s">
        <v>31</v>
      </c>
      <c r="D395" s="1" t="s">
        <v>33</v>
      </c>
      <c r="E395" s="1" t="s">
        <v>235</v>
      </c>
      <c r="F395" s="1" t="s">
        <v>528</v>
      </c>
      <c r="G395" s="1" t="s">
        <v>41</v>
      </c>
      <c r="H395" s="6">
        <v>1</v>
      </c>
      <c r="I395" s="7">
        <v>5000</v>
      </c>
      <c r="J395" s="5">
        <v>45947</v>
      </c>
      <c r="K395" s="1" t="s">
        <v>30</v>
      </c>
      <c r="L395" s="8">
        <v>0</v>
      </c>
      <c r="M395" s="6"/>
      <c r="N395" s="6"/>
      <c r="O395" s="9">
        <v>26.07</v>
      </c>
    </row>
    <row r="396" spans="1:15" ht="19.5" customHeight="1">
      <c r="A396" s="1" t="s">
        <v>858</v>
      </c>
      <c r="B396" s="5">
        <v>45948</v>
      </c>
      <c r="C396" s="1" t="s">
        <v>31</v>
      </c>
      <c r="D396" s="1" t="s">
        <v>34</v>
      </c>
      <c r="E396" s="1" t="s">
        <v>235</v>
      </c>
      <c r="F396" s="1" t="s">
        <v>528</v>
      </c>
      <c r="G396" s="1" t="s">
        <v>41</v>
      </c>
      <c r="H396" s="6">
        <v>1</v>
      </c>
      <c r="I396" s="7">
        <v>5000</v>
      </c>
      <c r="J396" s="5">
        <v>45947</v>
      </c>
      <c r="K396" s="1" t="s">
        <v>30</v>
      </c>
      <c r="L396" s="8">
        <v>0</v>
      </c>
      <c r="M396" s="6"/>
      <c r="N396" s="6"/>
      <c r="O396" s="9">
        <v>2366.92</v>
      </c>
    </row>
    <row r="397" spans="1:15" ht="19.5" customHeight="1">
      <c r="A397" s="1" t="s">
        <v>858</v>
      </c>
      <c r="B397" s="5">
        <v>45948</v>
      </c>
      <c r="C397" s="1" t="s">
        <v>35</v>
      </c>
      <c r="D397" s="1" t="s">
        <v>36</v>
      </c>
      <c r="E397" s="1" t="s">
        <v>235</v>
      </c>
      <c r="F397" s="1" t="s">
        <v>528</v>
      </c>
      <c r="G397" s="1" t="s">
        <v>41</v>
      </c>
      <c r="H397" s="6">
        <v>1</v>
      </c>
      <c r="I397" s="7">
        <v>5000</v>
      </c>
      <c r="J397" s="5">
        <v>45947</v>
      </c>
      <c r="K397" s="1" t="s">
        <v>30</v>
      </c>
      <c r="L397" s="8">
        <v>0.34</v>
      </c>
      <c r="M397" s="6"/>
      <c r="N397" s="6"/>
      <c r="O397" s="9">
        <v>-1700</v>
      </c>
    </row>
    <row r="398" spans="1:15" ht="19.5" customHeight="1">
      <c r="A398" s="1" t="s">
        <v>858</v>
      </c>
      <c r="B398" s="5">
        <v>45948</v>
      </c>
      <c r="C398" s="1" t="s">
        <v>17</v>
      </c>
      <c r="D398" s="1" t="s">
        <v>37</v>
      </c>
      <c r="E398" s="1" t="s">
        <v>235</v>
      </c>
      <c r="F398" s="1" t="s">
        <v>528</v>
      </c>
      <c r="G398" s="1" t="s">
        <v>41</v>
      </c>
      <c r="H398" s="6">
        <v>1</v>
      </c>
      <c r="I398" s="7">
        <v>5000</v>
      </c>
      <c r="J398" s="5">
        <v>45947</v>
      </c>
      <c r="K398" s="1" t="s">
        <v>30</v>
      </c>
      <c r="L398" s="8">
        <v>0.34</v>
      </c>
      <c r="M398" s="6"/>
      <c r="N398" s="6"/>
      <c r="O398" s="9">
        <v>-11.15</v>
      </c>
    </row>
    <row r="399" spans="1:15" ht="19.5" customHeight="1">
      <c r="A399" s="1" t="s">
        <v>858</v>
      </c>
      <c r="B399" s="5">
        <v>45948</v>
      </c>
      <c r="C399" s="1" t="s">
        <v>17</v>
      </c>
      <c r="D399" s="1" t="s">
        <v>18</v>
      </c>
      <c r="E399" s="1" t="s">
        <v>235</v>
      </c>
      <c r="F399" s="1" t="s">
        <v>528</v>
      </c>
      <c r="G399" s="1" t="s">
        <v>41</v>
      </c>
      <c r="H399" s="6">
        <v>1</v>
      </c>
      <c r="I399" s="7">
        <v>0</v>
      </c>
      <c r="J399" s="5">
        <v>45947</v>
      </c>
      <c r="K399" s="1" t="s">
        <v>22</v>
      </c>
      <c r="L399" s="8">
        <v>0</v>
      </c>
      <c r="M399" s="6"/>
      <c r="N399" s="6"/>
      <c r="O399" s="9">
        <v>-49.53</v>
      </c>
    </row>
    <row r="400" spans="1:15" ht="19.5" customHeight="1">
      <c r="A400" s="1" t="s">
        <v>859</v>
      </c>
      <c r="B400" s="5">
        <v>45948</v>
      </c>
      <c r="C400" s="1" t="s">
        <v>28</v>
      </c>
      <c r="D400" s="1" t="s">
        <v>29</v>
      </c>
      <c r="E400" s="1" t="s">
        <v>66</v>
      </c>
      <c r="F400" s="1" t="s">
        <v>67</v>
      </c>
      <c r="G400" s="1" t="s">
        <v>41</v>
      </c>
      <c r="H400" s="6">
        <v>1</v>
      </c>
      <c r="I400" s="7">
        <v>0</v>
      </c>
      <c r="J400" s="5">
        <v>45941</v>
      </c>
      <c r="K400" s="1" t="s">
        <v>30</v>
      </c>
      <c r="L400" s="8">
        <v>0</v>
      </c>
      <c r="M400" s="6"/>
      <c r="N400" s="6"/>
      <c r="O400" s="9">
        <v>-56</v>
      </c>
    </row>
    <row r="401" spans="1:15" ht="19.5" customHeight="1">
      <c r="A401" s="1" t="s">
        <v>859</v>
      </c>
      <c r="B401" s="5">
        <v>45948</v>
      </c>
      <c r="C401" s="1" t="s">
        <v>17</v>
      </c>
      <c r="D401" s="1" t="s">
        <v>37</v>
      </c>
      <c r="E401" s="1" t="s">
        <v>66</v>
      </c>
      <c r="F401" s="1" t="s">
        <v>67</v>
      </c>
      <c r="G401" s="1" t="s">
        <v>41</v>
      </c>
      <c r="H401" s="6">
        <v>1</v>
      </c>
      <c r="I401" s="7">
        <v>0</v>
      </c>
      <c r="J401" s="5">
        <v>45941</v>
      </c>
      <c r="K401" s="1" t="s">
        <v>30</v>
      </c>
      <c r="L401" s="8">
        <v>0</v>
      </c>
      <c r="M401" s="6"/>
      <c r="N401" s="6"/>
      <c r="O401" s="9">
        <v>-22.73</v>
      </c>
    </row>
    <row r="402" spans="1:15" ht="19.5" customHeight="1">
      <c r="A402" s="1" t="s">
        <v>859</v>
      </c>
      <c r="B402" s="5">
        <v>45948</v>
      </c>
      <c r="C402" s="1" t="s">
        <v>28</v>
      </c>
      <c r="D402" s="1" t="s">
        <v>45</v>
      </c>
      <c r="E402" s="1" t="s">
        <v>66</v>
      </c>
      <c r="F402" s="1" t="s">
        <v>67</v>
      </c>
      <c r="G402" s="1" t="s">
        <v>41</v>
      </c>
      <c r="H402" s="6">
        <v>1</v>
      </c>
      <c r="I402" s="7">
        <v>0</v>
      </c>
      <c r="J402" s="5">
        <v>45941</v>
      </c>
      <c r="K402" s="1" t="s">
        <v>30</v>
      </c>
      <c r="L402" s="8">
        <v>0</v>
      </c>
      <c r="M402" s="6"/>
      <c r="N402" s="6"/>
      <c r="O402" s="9">
        <v>0</v>
      </c>
    </row>
    <row r="403" spans="1:15" ht="19.5" customHeight="1">
      <c r="A403" s="1" t="s">
        <v>859</v>
      </c>
      <c r="B403" s="5">
        <v>45948</v>
      </c>
      <c r="C403" s="1" t="s">
        <v>28</v>
      </c>
      <c r="D403" s="1" t="s">
        <v>46</v>
      </c>
      <c r="E403" s="1" t="s">
        <v>66</v>
      </c>
      <c r="F403" s="1" t="s">
        <v>67</v>
      </c>
      <c r="G403" s="1" t="s">
        <v>41</v>
      </c>
      <c r="H403" s="6">
        <v>1</v>
      </c>
      <c r="I403" s="7">
        <v>0</v>
      </c>
      <c r="J403" s="5">
        <v>45941</v>
      </c>
      <c r="K403" s="1" t="s">
        <v>30</v>
      </c>
      <c r="L403" s="8">
        <v>0</v>
      </c>
      <c r="M403" s="6"/>
      <c r="N403" s="6"/>
      <c r="O403" s="9">
        <v>-56</v>
      </c>
    </row>
    <row r="404" spans="1:15" ht="19.5" customHeight="1">
      <c r="A404" s="1" t="s">
        <v>859</v>
      </c>
      <c r="B404" s="5">
        <v>45948</v>
      </c>
      <c r="C404" s="1" t="s">
        <v>17</v>
      </c>
      <c r="D404" s="1" t="s">
        <v>47</v>
      </c>
      <c r="E404" s="1" t="s">
        <v>66</v>
      </c>
      <c r="F404" s="1" t="s">
        <v>67</v>
      </c>
      <c r="G404" s="1" t="s">
        <v>41</v>
      </c>
      <c r="H404" s="6">
        <v>1</v>
      </c>
      <c r="I404" s="7">
        <v>0</v>
      </c>
      <c r="J404" s="5">
        <v>45941</v>
      </c>
      <c r="K404" s="1" t="s">
        <v>30</v>
      </c>
      <c r="L404" s="8">
        <v>0</v>
      </c>
      <c r="M404" s="6"/>
      <c r="N404" s="6"/>
      <c r="O404" s="9">
        <v>-15</v>
      </c>
    </row>
    <row r="405" spans="1:15" ht="19.5" customHeight="1">
      <c r="A405" s="1" t="s">
        <v>22</v>
      </c>
      <c r="B405" s="5">
        <v>45948</v>
      </c>
      <c r="C405" s="1" t="s">
        <v>77</v>
      </c>
      <c r="D405" s="1" t="s">
        <v>78</v>
      </c>
      <c r="E405" s="1" t="s">
        <v>22</v>
      </c>
      <c r="F405" s="1" t="s">
        <v>22</v>
      </c>
      <c r="G405" s="1" t="s">
        <v>860</v>
      </c>
      <c r="H405" s="6">
        <v>0</v>
      </c>
      <c r="I405" s="7">
        <v>0</v>
      </c>
      <c r="J405" s="5">
        <v>45948</v>
      </c>
      <c r="K405" s="1" t="s">
        <v>22</v>
      </c>
      <c r="L405" s="8">
        <v>0</v>
      </c>
      <c r="M405" s="6"/>
      <c r="N405" s="6"/>
      <c r="O405" s="9">
        <v>-200</v>
      </c>
    </row>
    <row r="406" spans="1:15" ht="19.5" customHeight="1">
      <c r="A406" s="1" t="s">
        <v>861</v>
      </c>
      <c r="B406" s="5">
        <v>45948</v>
      </c>
      <c r="C406" s="1" t="s">
        <v>28</v>
      </c>
      <c r="D406" s="1" t="s">
        <v>29</v>
      </c>
      <c r="E406" s="1" t="s">
        <v>19</v>
      </c>
      <c r="F406" s="1" t="s">
        <v>20</v>
      </c>
      <c r="G406" s="1" t="s">
        <v>21</v>
      </c>
      <c r="H406" s="6">
        <v>1</v>
      </c>
      <c r="I406" s="7">
        <v>0</v>
      </c>
      <c r="J406" s="5">
        <v>45942</v>
      </c>
      <c r="K406" s="1" t="s">
        <v>30</v>
      </c>
      <c r="L406" s="8">
        <v>0</v>
      </c>
      <c r="M406" s="6"/>
      <c r="N406" s="6"/>
      <c r="O406" s="9">
        <v>-46</v>
      </c>
    </row>
    <row r="407" spans="1:15" ht="19.5" customHeight="1">
      <c r="A407" s="1" t="s">
        <v>861</v>
      </c>
      <c r="B407" s="5">
        <v>45948</v>
      </c>
      <c r="C407" s="1" t="s">
        <v>17</v>
      </c>
      <c r="D407" s="1" t="s">
        <v>37</v>
      </c>
      <c r="E407" s="1" t="s">
        <v>19</v>
      </c>
      <c r="F407" s="1" t="s">
        <v>20</v>
      </c>
      <c r="G407" s="1" t="s">
        <v>21</v>
      </c>
      <c r="H407" s="6">
        <v>1</v>
      </c>
      <c r="I407" s="7">
        <v>0</v>
      </c>
      <c r="J407" s="5">
        <v>45942</v>
      </c>
      <c r="K407" s="1" t="s">
        <v>30</v>
      </c>
      <c r="L407" s="8">
        <v>0</v>
      </c>
      <c r="M407" s="6"/>
      <c r="N407" s="6"/>
      <c r="O407" s="9">
        <v>-6.73</v>
      </c>
    </row>
    <row r="408" spans="1:15" ht="19.5" customHeight="1">
      <c r="A408" s="1" t="s">
        <v>861</v>
      </c>
      <c r="B408" s="5">
        <v>45948</v>
      </c>
      <c r="C408" s="1" t="s">
        <v>28</v>
      </c>
      <c r="D408" s="1" t="s">
        <v>45</v>
      </c>
      <c r="E408" s="1" t="s">
        <v>19</v>
      </c>
      <c r="F408" s="1" t="s">
        <v>20</v>
      </c>
      <c r="G408" s="1" t="s">
        <v>21</v>
      </c>
      <c r="H408" s="6">
        <v>1</v>
      </c>
      <c r="I408" s="7">
        <v>0</v>
      </c>
      <c r="J408" s="5">
        <v>45942</v>
      </c>
      <c r="K408" s="1" t="s">
        <v>30</v>
      </c>
      <c r="L408" s="8">
        <v>0</v>
      </c>
      <c r="M408" s="6"/>
      <c r="N408" s="6"/>
      <c r="O408" s="9">
        <v>0</v>
      </c>
    </row>
    <row r="409" spans="1:15" ht="19.5" customHeight="1">
      <c r="A409" s="1" t="s">
        <v>861</v>
      </c>
      <c r="B409" s="5">
        <v>45948</v>
      </c>
      <c r="C409" s="1" t="s">
        <v>28</v>
      </c>
      <c r="D409" s="1" t="s">
        <v>46</v>
      </c>
      <c r="E409" s="1" t="s">
        <v>19</v>
      </c>
      <c r="F409" s="1" t="s">
        <v>20</v>
      </c>
      <c r="G409" s="1" t="s">
        <v>21</v>
      </c>
      <c r="H409" s="6">
        <v>1</v>
      </c>
      <c r="I409" s="7">
        <v>0</v>
      </c>
      <c r="J409" s="5">
        <v>45942</v>
      </c>
      <c r="K409" s="1" t="s">
        <v>30</v>
      </c>
      <c r="L409" s="8">
        <v>0</v>
      </c>
      <c r="M409" s="6"/>
      <c r="N409" s="6"/>
      <c r="O409" s="9">
        <v>-46</v>
      </c>
    </row>
    <row r="410" spans="1:15" ht="19.5" customHeight="1">
      <c r="A410" s="1" t="s">
        <v>861</v>
      </c>
      <c r="B410" s="5">
        <v>45948</v>
      </c>
      <c r="C410" s="1" t="s">
        <v>17</v>
      </c>
      <c r="D410" s="1" t="s">
        <v>47</v>
      </c>
      <c r="E410" s="1" t="s">
        <v>19</v>
      </c>
      <c r="F410" s="1" t="s">
        <v>20</v>
      </c>
      <c r="G410" s="1" t="s">
        <v>21</v>
      </c>
      <c r="H410" s="6">
        <v>1</v>
      </c>
      <c r="I410" s="7">
        <v>0</v>
      </c>
      <c r="J410" s="5">
        <v>45942</v>
      </c>
      <c r="K410" s="1" t="s">
        <v>30</v>
      </c>
      <c r="L410" s="8">
        <v>0</v>
      </c>
      <c r="M410" s="6"/>
      <c r="N410" s="6"/>
      <c r="O410" s="9">
        <v>-15</v>
      </c>
    </row>
    <row r="411" spans="1:15" ht="19.5" customHeight="1">
      <c r="A411" s="1" t="s">
        <v>810</v>
      </c>
      <c r="B411" s="5">
        <v>45948</v>
      </c>
      <c r="C411" s="1" t="s">
        <v>77</v>
      </c>
      <c r="D411" s="1" t="s">
        <v>82</v>
      </c>
      <c r="E411" s="1" t="s">
        <v>22</v>
      </c>
      <c r="F411" s="1" t="s">
        <v>22</v>
      </c>
      <c r="G411" s="1" t="s">
        <v>22</v>
      </c>
      <c r="H411" s="6">
        <v>0</v>
      </c>
      <c r="I411" s="7">
        <v>0</v>
      </c>
      <c r="J411" s="5">
        <v>45948</v>
      </c>
      <c r="K411" s="1" t="s">
        <v>22</v>
      </c>
      <c r="L411" s="8">
        <v>0</v>
      </c>
      <c r="M411" s="6"/>
      <c r="N411" s="6"/>
      <c r="O411" s="9">
        <v>-407.84</v>
      </c>
    </row>
    <row r="412" spans="1:15" ht="19.5" customHeight="1">
      <c r="A412" s="1" t="s">
        <v>811</v>
      </c>
      <c r="B412" s="5">
        <v>45948</v>
      </c>
      <c r="C412" s="1" t="s">
        <v>77</v>
      </c>
      <c r="D412" s="1" t="s">
        <v>82</v>
      </c>
      <c r="E412" s="1" t="s">
        <v>22</v>
      </c>
      <c r="F412" s="1" t="s">
        <v>22</v>
      </c>
      <c r="G412" s="1" t="s">
        <v>22</v>
      </c>
      <c r="H412" s="6">
        <v>0</v>
      </c>
      <c r="I412" s="7">
        <v>0</v>
      </c>
      <c r="J412" s="5">
        <v>45948</v>
      </c>
      <c r="K412" s="1" t="s">
        <v>22</v>
      </c>
      <c r="L412" s="8">
        <v>0</v>
      </c>
      <c r="M412" s="6"/>
      <c r="N412" s="6"/>
      <c r="O412" s="9">
        <v>-783.04</v>
      </c>
    </row>
    <row r="413" spans="1:15" ht="19.5" customHeight="1">
      <c r="A413" s="1" t="s">
        <v>808</v>
      </c>
      <c r="B413" s="5">
        <v>45948</v>
      </c>
      <c r="C413" s="1" t="s">
        <v>77</v>
      </c>
      <c r="D413" s="1" t="s">
        <v>82</v>
      </c>
      <c r="E413" s="1" t="s">
        <v>22</v>
      </c>
      <c r="F413" s="1" t="s">
        <v>22</v>
      </c>
      <c r="G413" s="1" t="s">
        <v>22</v>
      </c>
      <c r="H413" s="6">
        <v>0</v>
      </c>
      <c r="I413" s="7">
        <v>0</v>
      </c>
      <c r="J413" s="5">
        <v>45948</v>
      </c>
      <c r="K413" s="1" t="s">
        <v>22</v>
      </c>
      <c r="L413" s="8">
        <v>0</v>
      </c>
      <c r="M413" s="6"/>
      <c r="N413" s="6"/>
      <c r="O413" s="9">
        <v>-401.74</v>
      </c>
    </row>
    <row r="414" spans="1:15" ht="19.5" customHeight="1">
      <c r="A414" s="1" t="s">
        <v>807</v>
      </c>
      <c r="B414" s="5">
        <v>45948</v>
      </c>
      <c r="C414" s="1" t="s">
        <v>77</v>
      </c>
      <c r="D414" s="1" t="s">
        <v>82</v>
      </c>
      <c r="E414" s="1" t="s">
        <v>22</v>
      </c>
      <c r="F414" s="1" t="s">
        <v>22</v>
      </c>
      <c r="G414" s="1" t="s">
        <v>22</v>
      </c>
      <c r="H414" s="6">
        <v>0</v>
      </c>
      <c r="I414" s="7">
        <v>0</v>
      </c>
      <c r="J414" s="5">
        <v>45948</v>
      </c>
      <c r="K414" s="1" t="s">
        <v>22</v>
      </c>
      <c r="L414" s="8">
        <v>0</v>
      </c>
      <c r="M414" s="6"/>
      <c r="N414" s="6"/>
      <c r="O414" s="9">
        <v>-379.03</v>
      </c>
    </row>
    <row r="415" spans="1:15" ht="19.5" customHeight="1">
      <c r="A415" s="1" t="s">
        <v>83</v>
      </c>
      <c r="B415" s="5">
        <v>45948</v>
      </c>
      <c r="C415" s="1" t="s">
        <v>77</v>
      </c>
      <c r="D415" s="1" t="s">
        <v>84</v>
      </c>
      <c r="E415" s="1" t="s">
        <v>22</v>
      </c>
      <c r="F415" s="1" t="s">
        <v>22</v>
      </c>
      <c r="G415" s="1" t="s">
        <v>22</v>
      </c>
      <c r="H415" s="6">
        <v>0</v>
      </c>
      <c r="I415" s="7">
        <v>0</v>
      </c>
      <c r="J415" s="5">
        <v>45948</v>
      </c>
      <c r="K415" s="1" t="s">
        <v>22</v>
      </c>
      <c r="L415" s="8">
        <v>0</v>
      </c>
      <c r="M415" s="6"/>
      <c r="N415" s="6"/>
      <c r="O415" s="9">
        <v>-488.52</v>
      </c>
    </row>
    <row r="416" spans="1:15" ht="19.5" customHeight="1">
      <c r="A416" s="1" t="s">
        <v>862</v>
      </c>
      <c r="B416" s="5">
        <v>45949</v>
      </c>
      <c r="C416" s="1" t="s">
        <v>28</v>
      </c>
      <c r="D416" s="1" t="s">
        <v>29</v>
      </c>
      <c r="E416" s="1" t="s">
        <v>25</v>
      </c>
      <c r="F416" s="1" t="s">
        <v>26</v>
      </c>
      <c r="G416" s="1" t="s">
        <v>21</v>
      </c>
      <c r="H416" s="6">
        <v>1</v>
      </c>
      <c r="I416" s="7">
        <v>0</v>
      </c>
      <c r="J416" s="5">
        <v>45942</v>
      </c>
      <c r="K416" s="1" t="s">
        <v>30</v>
      </c>
      <c r="L416" s="8">
        <v>0</v>
      </c>
      <c r="M416" s="6"/>
      <c r="N416" s="6"/>
      <c r="O416" s="9">
        <v>-46</v>
      </c>
    </row>
    <row r="417" spans="1:15" ht="19.5" customHeight="1">
      <c r="A417" s="1" t="s">
        <v>862</v>
      </c>
      <c r="B417" s="5">
        <v>45949</v>
      </c>
      <c r="C417" s="1" t="s">
        <v>17</v>
      </c>
      <c r="D417" s="1" t="s">
        <v>37</v>
      </c>
      <c r="E417" s="1" t="s">
        <v>25</v>
      </c>
      <c r="F417" s="1" t="s">
        <v>26</v>
      </c>
      <c r="G417" s="1" t="s">
        <v>21</v>
      </c>
      <c r="H417" s="6">
        <v>1</v>
      </c>
      <c r="I417" s="7">
        <v>0</v>
      </c>
      <c r="J417" s="5">
        <v>45942</v>
      </c>
      <c r="K417" s="1" t="s">
        <v>30</v>
      </c>
      <c r="L417" s="8">
        <v>0</v>
      </c>
      <c r="M417" s="6"/>
      <c r="N417" s="6"/>
      <c r="O417" s="9">
        <v>-6.38</v>
      </c>
    </row>
    <row r="418" spans="1:15" ht="19.5" customHeight="1">
      <c r="A418" s="1" t="s">
        <v>862</v>
      </c>
      <c r="B418" s="5">
        <v>45949</v>
      </c>
      <c r="C418" s="1" t="s">
        <v>28</v>
      </c>
      <c r="D418" s="1" t="s">
        <v>45</v>
      </c>
      <c r="E418" s="1" t="s">
        <v>25</v>
      </c>
      <c r="F418" s="1" t="s">
        <v>26</v>
      </c>
      <c r="G418" s="1" t="s">
        <v>21</v>
      </c>
      <c r="H418" s="6">
        <v>1</v>
      </c>
      <c r="I418" s="7">
        <v>0</v>
      </c>
      <c r="J418" s="5">
        <v>45942</v>
      </c>
      <c r="K418" s="1" t="s">
        <v>30</v>
      </c>
      <c r="L418" s="8">
        <v>0</v>
      </c>
      <c r="M418" s="6"/>
      <c r="N418" s="6"/>
      <c r="O418" s="9">
        <v>0</v>
      </c>
    </row>
    <row r="419" spans="1:15" ht="19.5" customHeight="1">
      <c r="A419" s="1" t="s">
        <v>862</v>
      </c>
      <c r="B419" s="5">
        <v>45949</v>
      </c>
      <c r="C419" s="1" t="s">
        <v>28</v>
      </c>
      <c r="D419" s="1" t="s">
        <v>46</v>
      </c>
      <c r="E419" s="1" t="s">
        <v>25</v>
      </c>
      <c r="F419" s="1" t="s">
        <v>26</v>
      </c>
      <c r="G419" s="1" t="s">
        <v>21</v>
      </c>
      <c r="H419" s="6">
        <v>1</v>
      </c>
      <c r="I419" s="7">
        <v>0</v>
      </c>
      <c r="J419" s="5">
        <v>45942</v>
      </c>
      <c r="K419" s="1" t="s">
        <v>30</v>
      </c>
      <c r="L419" s="8">
        <v>0</v>
      </c>
      <c r="M419" s="6"/>
      <c r="N419" s="6"/>
      <c r="O419" s="9">
        <v>-46</v>
      </c>
    </row>
    <row r="420" spans="1:15" ht="19.5" customHeight="1">
      <c r="A420" s="1" t="s">
        <v>863</v>
      </c>
      <c r="B420" s="5">
        <v>45949</v>
      </c>
      <c r="C420" s="1" t="s">
        <v>74</v>
      </c>
      <c r="D420" s="1" t="s">
        <v>75</v>
      </c>
      <c r="E420" s="1" t="s">
        <v>51</v>
      </c>
      <c r="F420" s="1" t="s">
        <v>52</v>
      </c>
      <c r="G420" s="1" t="s">
        <v>41</v>
      </c>
      <c r="H420" s="6">
        <v>1</v>
      </c>
      <c r="I420" s="7">
        <v>0</v>
      </c>
      <c r="J420" s="5">
        <v>45938</v>
      </c>
      <c r="K420" s="1" t="s">
        <v>30</v>
      </c>
      <c r="L420" s="8">
        <v>0</v>
      </c>
      <c r="M420" s="6"/>
      <c r="N420" s="6"/>
      <c r="O420" s="9">
        <v>-5</v>
      </c>
    </row>
    <row r="421" spans="1:15" ht="19.5" customHeight="1">
      <c r="A421" s="1" t="s">
        <v>863</v>
      </c>
      <c r="B421" s="5">
        <v>45949</v>
      </c>
      <c r="C421" s="1" t="s">
        <v>17</v>
      </c>
      <c r="D421" s="1" t="s">
        <v>76</v>
      </c>
      <c r="E421" s="1" t="s">
        <v>51</v>
      </c>
      <c r="F421" s="1" t="s">
        <v>52</v>
      </c>
      <c r="G421" s="1" t="s">
        <v>41</v>
      </c>
      <c r="H421" s="6">
        <v>1</v>
      </c>
      <c r="I421" s="7">
        <v>0</v>
      </c>
      <c r="J421" s="5">
        <v>45938</v>
      </c>
      <c r="K421" s="1" t="s">
        <v>30</v>
      </c>
      <c r="L421" s="8">
        <v>0</v>
      </c>
      <c r="M421" s="6"/>
      <c r="N421" s="6"/>
      <c r="O421" s="9">
        <v>-10</v>
      </c>
    </row>
    <row r="422" spans="1:15" ht="19.5" customHeight="1">
      <c r="A422" s="1" t="s">
        <v>864</v>
      </c>
      <c r="B422" s="5">
        <v>45949</v>
      </c>
      <c r="C422" s="1" t="s">
        <v>28</v>
      </c>
      <c r="D422" s="1" t="s">
        <v>29</v>
      </c>
      <c r="E422" s="1" t="s">
        <v>226</v>
      </c>
      <c r="F422" s="1" t="s">
        <v>428</v>
      </c>
      <c r="G422" s="1" t="s">
        <v>21</v>
      </c>
      <c r="H422" s="6">
        <v>1</v>
      </c>
      <c r="I422" s="7">
        <v>1366</v>
      </c>
      <c r="J422" s="5">
        <v>45945</v>
      </c>
      <c r="K422" s="1" t="s">
        <v>30</v>
      </c>
      <c r="L422" s="8">
        <v>0.34</v>
      </c>
      <c r="M422" s="6"/>
      <c r="N422" s="6"/>
      <c r="O422" s="9">
        <v>-46</v>
      </c>
    </row>
    <row r="423" spans="1:15" ht="19.5" customHeight="1">
      <c r="A423" s="1" t="s">
        <v>864</v>
      </c>
      <c r="B423" s="5">
        <v>45949</v>
      </c>
      <c r="C423" s="1" t="s">
        <v>31</v>
      </c>
      <c r="D423" s="1" t="s">
        <v>32</v>
      </c>
      <c r="E423" s="1" t="s">
        <v>226</v>
      </c>
      <c r="F423" s="1" t="s">
        <v>428</v>
      </c>
      <c r="G423" s="1" t="s">
        <v>21</v>
      </c>
      <c r="H423" s="6">
        <v>1</v>
      </c>
      <c r="I423" s="7">
        <v>1366</v>
      </c>
      <c r="J423" s="5">
        <v>45945</v>
      </c>
      <c r="K423" s="1" t="s">
        <v>30</v>
      </c>
      <c r="L423" s="8">
        <v>0</v>
      </c>
      <c r="M423" s="6"/>
      <c r="N423" s="6"/>
      <c r="O423" s="9">
        <v>759.28</v>
      </c>
    </row>
    <row r="424" spans="1:15" ht="19.5" customHeight="1">
      <c r="A424" s="1" t="s">
        <v>864</v>
      </c>
      <c r="B424" s="5">
        <v>45949</v>
      </c>
      <c r="C424" s="1" t="s">
        <v>31</v>
      </c>
      <c r="D424" s="1" t="s">
        <v>33</v>
      </c>
      <c r="E424" s="1" t="s">
        <v>226</v>
      </c>
      <c r="F424" s="1" t="s">
        <v>428</v>
      </c>
      <c r="G424" s="1" t="s">
        <v>21</v>
      </c>
      <c r="H424" s="6">
        <v>1</v>
      </c>
      <c r="I424" s="7">
        <v>1366</v>
      </c>
      <c r="J424" s="5">
        <v>45945</v>
      </c>
      <c r="K424" s="1" t="s">
        <v>30</v>
      </c>
      <c r="L424" s="8">
        <v>0</v>
      </c>
      <c r="M424" s="6"/>
      <c r="N424" s="6"/>
      <c r="O424" s="9">
        <v>7.59</v>
      </c>
    </row>
    <row r="425" spans="1:15" ht="19.5" customHeight="1">
      <c r="A425" s="1" t="s">
        <v>864</v>
      </c>
      <c r="B425" s="5">
        <v>45949</v>
      </c>
      <c r="C425" s="1" t="s">
        <v>31</v>
      </c>
      <c r="D425" s="1" t="s">
        <v>34</v>
      </c>
      <c r="E425" s="1" t="s">
        <v>226</v>
      </c>
      <c r="F425" s="1" t="s">
        <v>428</v>
      </c>
      <c r="G425" s="1" t="s">
        <v>21</v>
      </c>
      <c r="H425" s="6">
        <v>1</v>
      </c>
      <c r="I425" s="7">
        <v>1366</v>
      </c>
      <c r="J425" s="5">
        <v>45945</v>
      </c>
      <c r="K425" s="1" t="s">
        <v>30</v>
      </c>
      <c r="L425" s="8">
        <v>0</v>
      </c>
      <c r="M425" s="6"/>
      <c r="N425" s="6"/>
      <c r="O425" s="9">
        <v>599.13</v>
      </c>
    </row>
    <row r="426" spans="1:15" ht="19.5" customHeight="1">
      <c r="A426" s="1" t="s">
        <v>864</v>
      </c>
      <c r="B426" s="5">
        <v>45949</v>
      </c>
      <c r="C426" s="1" t="s">
        <v>35</v>
      </c>
      <c r="D426" s="1" t="s">
        <v>36</v>
      </c>
      <c r="E426" s="1" t="s">
        <v>226</v>
      </c>
      <c r="F426" s="1" t="s">
        <v>428</v>
      </c>
      <c r="G426" s="1" t="s">
        <v>21</v>
      </c>
      <c r="H426" s="6">
        <v>1</v>
      </c>
      <c r="I426" s="7">
        <v>1366</v>
      </c>
      <c r="J426" s="5">
        <v>45945</v>
      </c>
      <c r="K426" s="1" t="s">
        <v>30</v>
      </c>
      <c r="L426" s="8">
        <v>0.34</v>
      </c>
      <c r="M426" s="6"/>
      <c r="N426" s="6"/>
      <c r="O426" s="9">
        <v>-464.44</v>
      </c>
    </row>
    <row r="427" spans="1:15" ht="19.5" customHeight="1">
      <c r="A427" s="1" t="s">
        <v>865</v>
      </c>
      <c r="B427" s="5">
        <v>45949</v>
      </c>
      <c r="C427" s="1" t="s">
        <v>28</v>
      </c>
      <c r="D427" s="1" t="s">
        <v>29</v>
      </c>
      <c r="E427" s="1" t="s">
        <v>43</v>
      </c>
      <c r="F427" s="1" t="s">
        <v>44</v>
      </c>
      <c r="G427" s="1" t="s">
        <v>41</v>
      </c>
      <c r="H427" s="6">
        <v>1</v>
      </c>
      <c r="I427" s="7">
        <v>0</v>
      </c>
      <c r="J427" s="5">
        <v>45943</v>
      </c>
      <c r="K427" s="1" t="s">
        <v>30</v>
      </c>
      <c r="L427" s="8">
        <v>0</v>
      </c>
      <c r="M427" s="6"/>
      <c r="N427" s="6"/>
      <c r="O427" s="9">
        <v>-56</v>
      </c>
    </row>
    <row r="428" spans="1:15" ht="19.5" customHeight="1">
      <c r="A428" s="1" t="s">
        <v>865</v>
      </c>
      <c r="B428" s="5">
        <v>45949</v>
      </c>
      <c r="C428" s="1" t="s">
        <v>17</v>
      </c>
      <c r="D428" s="1" t="s">
        <v>37</v>
      </c>
      <c r="E428" s="1" t="s">
        <v>43</v>
      </c>
      <c r="F428" s="1" t="s">
        <v>44</v>
      </c>
      <c r="G428" s="1" t="s">
        <v>41</v>
      </c>
      <c r="H428" s="6">
        <v>1</v>
      </c>
      <c r="I428" s="7">
        <v>0</v>
      </c>
      <c r="J428" s="5">
        <v>45943</v>
      </c>
      <c r="K428" s="1" t="s">
        <v>30</v>
      </c>
      <c r="L428" s="8">
        <v>0</v>
      </c>
      <c r="M428" s="6"/>
      <c r="N428" s="6"/>
      <c r="O428" s="9">
        <v>-13.04</v>
      </c>
    </row>
    <row r="429" spans="1:15" ht="19.5" customHeight="1">
      <c r="A429" s="1" t="s">
        <v>865</v>
      </c>
      <c r="B429" s="5">
        <v>45949</v>
      </c>
      <c r="C429" s="1" t="s">
        <v>28</v>
      </c>
      <c r="D429" s="1" t="s">
        <v>45</v>
      </c>
      <c r="E429" s="1" t="s">
        <v>43</v>
      </c>
      <c r="F429" s="1" t="s">
        <v>44</v>
      </c>
      <c r="G429" s="1" t="s">
        <v>41</v>
      </c>
      <c r="H429" s="6">
        <v>1</v>
      </c>
      <c r="I429" s="7">
        <v>0</v>
      </c>
      <c r="J429" s="5">
        <v>45943</v>
      </c>
      <c r="K429" s="1" t="s">
        <v>30</v>
      </c>
      <c r="L429" s="8">
        <v>0</v>
      </c>
      <c r="M429" s="6"/>
      <c r="N429" s="6"/>
      <c r="O429" s="9">
        <v>0</v>
      </c>
    </row>
    <row r="430" spans="1:15" ht="19.5" customHeight="1">
      <c r="A430" s="1" t="s">
        <v>865</v>
      </c>
      <c r="B430" s="5">
        <v>45949</v>
      </c>
      <c r="C430" s="1" t="s">
        <v>28</v>
      </c>
      <c r="D430" s="1" t="s">
        <v>46</v>
      </c>
      <c r="E430" s="1" t="s">
        <v>43</v>
      </c>
      <c r="F430" s="1" t="s">
        <v>44</v>
      </c>
      <c r="G430" s="1" t="s">
        <v>41</v>
      </c>
      <c r="H430" s="6">
        <v>1</v>
      </c>
      <c r="I430" s="7">
        <v>0</v>
      </c>
      <c r="J430" s="5">
        <v>45943</v>
      </c>
      <c r="K430" s="1" t="s">
        <v>30</v>
      </c>
      <c r="L430" s="8">
        <v>0</v>
      </c>
      <c r="M430" s="6"/>
      <c r="N430" s="6"/>
      <c r="O430" s="9">
        <v>-56</v>
      </c>
    </row>
    <row r="431" spans="1:15" ht="19.5" customHeight="1">
      <c r="A431" s="1" t="s">
        <v>865</v>
      </c>
      <c r="B431" s="5">
        <v>45949</v>
      </c>
      <c r="C431" s="1" t="s">
        <v>17</v>
      </c>
      <c r="D431" s="1" t="s">
        <v>47</v>
      </c>
      <c r="E431" s="1" t="s">
        <v>43</v>
      </c>
      <c r="F431" s="1" t="s">
        <v>44</v>
      </c>
      <c r="G431" s="1" t="s">
        <v>41</v>
      </c>
      <c r="H431" s="6">
        <v>1</v>
      </c>
      <c r="I431" s="7">
        <v>0</v>
      </c>
      <c r="J431" s="5">
        <v>45943</v>
      </c>
      <c r="K431" s="1" t="s">
        <v>30</v>
      </c>
      <c r="L431" s="8">
        <v>0</v>
      </c>
      <c r="M431" s="6"/>
      <c r="N431" s="6"/>
      <c r="O431" s="9">
        <v>-15</v>
      </c>
    </row>
    <row r="432" spans="1:15" ht="19.5" customHeight="1">
      <c r="A432" s="1" t="s">
        <v>866</v>
      </c>
      <c r="B432" s="5">
        <v>45949</v>
      </c>
      <c r="C432" s="1" t="s">
        <v>28</v>
      </c>
      <c r="D432" s="1" t="s">
        <v>29</v>
      </c>
      <c r="E432" s="1" t="s">
        <v>25</v>
      </c>
      <c r="F432" s="1" t="s">
        <v>26</v>
      </c>
      <c r="G432" s="1" t="s">
        <v>21</v>
      </c>
      <c r="H432" s="6">
        <v>1</v>
      </c>
      <c r="I432" s="7">
        <v>1140</v>
      </c>
      <c r="J432" s="5">
        <v>45940</v>
      </c>
      <c r="K432" s="1" t="s">
        <v>30</v>
      </c>
      <c r="L432" s="8">
        <v>0.26</v>
      </c>
      <c r="M432" s="6"/>
      <c r="N432" s="6"/>
      <c r="O432" s="9">
        <v>-46</v>
      </c>
    </row>
    <row r="433" spans="1:15" ht="19.5" customHeight="1">
      <c r="A433" s="1" t="s">
        <v>866</v>
      </c>
      <c r="B433" s="5">
        <v>45949</v>
      </c>
      <c r="C433" s="1" t="s">
        <v>31</v>
      </c>
      <c r="D433" s="1" t="s">
        <v>32</v>
      </c>
      <c r="E433" s="1" t="s">
        <v>25</v>
      </c>
      <c r="F433" s="1" t="s">
        <v>26</v>
      </c>
      <c r="G433" s="1" t="s">
        <v>21</v>
      </c>
      <c r="H433" s="6">
        <v>1</v>
      </c>
      <c r="I433" s="7">
        <v>1140</v>
      </c>
      <c r="J433" s="5">
        <v>45940</v>
      </c>
      <c r="K433" s="1" t="s">
        <v>30</v>
      </c>
      <c r="L433" s="8">
        <v>0</v>
      </c>
      <c r="M433" s="6"/>
      <c r="N433" s="6"/>
      <c r="O433" s="9">
        <v>644</v>
      </c>
    </row>
    <row r="434" spans="1:15" ht="19.5" customHeight="1">
      <c r="A434" s="1" t="s">
        <v>866</v>
      </c>
      <c r="B434" s="5">
        <v>45949</v>
      </c>
      <c r="C434" s="1" t="s">
        <v>31</v>
      </c>
      <c r="D434" s="1" t="s">
        <v>33</v>
      </c>
      <c r="E434" s="1" t="s">
        <v>25</v>
      </c>
      <c r="F434" s="1" t="s">
        <v>26</v>
      </c>
      <c r="G434" s="1" t="s">
        <v>21</v>
      </c>
      <c r="H434" s="6">
        <v>1</v>
      </c>
      <c r="I434" s="7">
        <v>1140</v>
      </c>
      <c r="J434" s="5">
        <v>45940</v>
      </c>
      <c r="K434" s="1" t="s">
        <v>30</v>
      </c>
      <c r="L434" s="8">
        <v>0</v>
      </c>
      <c r="M434" s="6"/>
      <c r="N434" s="6"/>
      <c r="O434" s="9">
        <v>6.44</v>
      </c>
    </row>
    <row r="435" spans="1:15" ht="19.5" customHeight="1">
      <c r="A435" s="1" t="s">
        <v>866</v>
      </c>
      <c r="B435" s="5">
        <v>45949</v>
      </c>
      <c r="C435" s="1" t="s">
        <v>31</v>
      </c>
      <c r="D435" s="1" t="s">
        <v>34</v>
      </c>
      <c r="E435" s="1" t="s">
        <v>25</v>
      </c>
      <c r="F435" s="1" t="s">
        <v>26</v>
      </c>
      <c r="G435" s="1" t="s">
        <v>21</v>
      </c>
      <c r="H435" s="6">
        <v>1</v>
      </c>
      <c r="I435" s="7">
        <v>1140</v>
      </c>
      <c r="J435" s="5">
        <v>45940</v>
      </c>
      <c r="K435" s="1" t="s">
        <v>30</v>
      </c>
      <c r="L435" s="8">
        <v>0</v>
      </c>
      <c r="M435" s="6"/>
      <c r="N435" s="6"/>
      <c r="O435" s="9">
        <v>489.56</v>
      </c>
    </row>
    <row r="436" spans="1:15" ht="19.5" customHeight="1">
      <c r="A436" s="1" t="s">
        <v>866</v>
      </c>
      <c r="B436" s="5">
        <v>45949</v>
      </c>
      <c r="C436" s="1" t="s">
        <v>35</v>
      </c>
      <c r="D436" s="1" t="s">
        <v>36</v>
      </c>
      <c r="E436" s="1" t="s">
        <v>25</v>
      </c>
      <c r="F436" s="1" t="s">
        <v>26</v>
      </c>
      <c r="G436" s="1" t="s">
        <v>21</v>
      </c>
      <c r="H436" s="6">
        <v>1</v>
      </c>
      <c r="I436" s="7">
        <v>1140</v>
      </c>
      <c r="J436" s="5">
        <v>45940</v>
      </c>
      <c r="K436" s="1" t="s">
        <v>30</v>
      </c>
      <c r="L436" s="8">
        <v>0.26</v>
      </c>
      <c r="M436" s="6"/>
      <c r="N436" s="6"/>
      <c r="O436" s="9">
        <v>-296.39999999999998</v>
      </c>
    </row>
    <row r="437" spans="1:15" ht="19.5" customHeight="1">
      <c r="A437" s="1" t="s">
        <v>866</v>
      </c>
      <c r="B437" s="5">
        <v>45949</v>
      </c>
      <c r="C437" s="1" t="s">
        <v>17</v>
      </c>
      <c r="D437" s="1" t="s">
        <v>37</v>
      </c>
      <c r="E437" s="1" t="s">
        <v>25</v>
      </c>
      <c r="F437" s="1" t="s">
        <v>26</v>
      </c>
      <c r="G437" s="1" t="s">
        <v>21</v>
      </c>
      <c r="H437" s="6">
        <v>1</v>
      </c>
      <c r="I437" s="7">
        <v>1140</v>
      </c>
      <c r="J437" s="5">
        <v>45940</v>
      </c>
      <c r="K437" s="1" t="s">
        <v>30</v>
      </c>
      <c r="L437" s="8">
        <v>0.26</v>
      </c>
      <c r="M437" s="6"/>
      <c r="N437" s="6"/>
      <c r="O437" s="9">
        <v>-6.02</v>
      </c>
    </row>
    <row r="438" spans="1:15" ht="19.5" customHeight="1">
      <c r="A438" s="1" t="s">
        <v>867</v>
      </c>
      <c r="B438" s="5">
        <v>45949</v>
      </c>
      <c r="C438" s="1" t="s">
        <v>28</v>
      </c>
      <c r="D438" s="1" t="s">
        <v>29</v>
      </c>
      <c r="E438" s="1" t="s">
        <v>92</v>
      </c>
      <c r="F438" s="1" t="s">
        <v>93</v>
      </c>
      <c r="G438" s="1" t="s">
        <v>21</v>
      </c>
      <c r="H438" s="6">
        <v>1</v>
      </c>
      <c r="I438" s="7">
        <v>1196</v>
      </c>
      <c r="J438" s="5">
        <v>45944</v>
      </c>
      <c r="K438" s="1" t="s">
        <v>30</v>
      </c>
      <c r="L438" s="8">
        <v>0.26</v>
      </c>
      <c r="M438" s="6"/>
      <c r="N438" s="6"/>
      <c r="O438" s="9">
        <v>-46</v>
      </c>
    </row>
    <row r="439" spans="1:15" ht="19.5" customHeight="1">
      <c r="A439" s="1" t="s">
        <v>867</v>
      </c>
      <c r="B439" s="5">
        <v>45949</v>
      </c>
      <c r="C439" s="1" t="s">
        <v>31</v>
      </c>
      <c r="D439" s="1" t="s">
        <v>32</v>
      </c>
      <c r="E439" s="1" t="s">
        <v>92</v>
      </c>
      <c r="F439" s="1" t="s">
        <v>93</v>
      </c>
      <c r="G439" s="1" t="s">
        <v>21</v>
      </c>
      <c r="H439" s="6">
        <v>1</v>
      </c>
      <c r="I439" s="7">
        <v>1196</v>
      </c>
      <c r="J439" s="5">
        <v>45944</v>
      </c>
      <c r="K439" s="1" t="s">
        <v>30</v>
      </c>
      <c r="L439" s="8">
        <v>0</v>
      </c>
      <c r="M439" s="6"/>
      <c r="N439" s="6"/>
      <c r="O439" s="9">
        <v>679.35</v>
      </c>
    </row>
    <row r="440" spans="1:15" ht="19.5" customHeight="1">
      <c r="A440" s="1" t="s">
        <v>867</v>
      </c>
      <c r="B440" s="5">
        <v>45949</v>
      </c>
      <c r="C440" s="1" t="s">
        <v>31</v>
      </c>
      <c r="D440" s="1" t="s">
        <v>33</v>
      </c>
      <c r="E440" s="1" t="s">
        <v>92</v>
      </c>
      <c r="F440" s="1" t="s">
        <v>93</v>
      </c>
      <c r="G440" s="1" t="s">
        <v>21</v>
      </c>
      <c r="H440" s="6">
        <v>1</v>
      </c>
      <c r="I440" s="7">
        <v>1196</v>
      </c>
      <c r="J440" s="5">
        <v>45944</v>
      </c>
      <c r="K440" s="1" t="s">
        <v>30</v>
      </c>
      <c r="L440" s="8">
        <v>0</v>
      </c>
      <c r="M440" s="6"/>
      <c r="N440" s="6"/>
      <c r="O440" s="9">
        <v>6.79</v>
      </c>
    </row>
    <row r="441" spans="1:15" ht="19.5" customHeight="1">
      <c r="A441" s="1" t="s">
        <v>867</v>
      </c>
      <c r="B441" s="5">
        <v>45949</v>
      </c>
      <c r="C441" s="1" t="s">
        <v>31</v>
      </c>
      <c r="D441" s="1" t="s">
        <v>34</v>
      </c>
      <c r="E441" s="1" t="s">
        <v>92</v>
      </c>
      <c r="F441" s="1" t="s">
        <v>93</v>
      </c>
      <c r="G441" s="1" t="s">
        <v>21</v>
      </c>
      <c r="H441" s="6">
        <v>1</v>
      </c>
      <c r="I441" s="7">
        <v>1196</v>
      </c>
      <c r="J441" s="5">
        <v>45944</v>
      </c>
      <c r="K441" s="1" t="s">
        <v>30</v>
      </c>
      <c r="L441" s="8">
        <v>0</v>
      </c>
      <c r="M441" s="6"/>
      <c r="N441" s="6"/>
      <c r="O441" s="9">
        <v>509.86</v>
      </c>
    </row>
    <row r="442" spans="1:15" ht="19.5" customHeight="1">
      <c r="A442" s="1" t="s">
        <v>867</v>
      </c>
      <c r="B442" s="5">
        <v>45949</v>
      </c>
      <c r="C442" s="1" t="s">
        <v>35</v>
      </c>
      <c r="D442" s="1" t="s">
        <v>36</v>
      </c>
      <c r="E442" s="1" t="s">
        <v>92</v>
      </c>
      <c r="F442" s="1" t="s">
        <v>93</v>
      </c>
      <c r="G442" s="1" t="s">
        <v>21</v>
      </c>
      <c r="H442" s="6">
        <v>1</v>
      </c>
      <c r="I442" s="7">
        <v>1196</v>
      </c>
      <c r="J442" s="5">
        <v>45944</v>
      </c>
      <c r="K442" s="1" t="s">
        <v>30</v>
      </c>
      <c r="L442" s="8">
        <v>0.26</v>
      </c>
      <c r="M442" s="6"/>
      <c r="N442" s="6"/>
      <c r="O442" s="9">
        <v>-310.95999999999998</v>
      </c>
    </row>
    <row r="443" spans="1:15" ht="19.5" customHeight="1">
      <c r="A443" s="1" t="s">
        <v>867</v>
      </c>
      <c r="B443" s="5">
        <v>45949</v>
      </c>
      <c r="C443" s="1" t="s">
        <v>17</v>
      </c>
      <c r="D443" s="1" t="s">
        <v>37</v>
      </c>
      <c r="E443" s="1" t="s">
        <v>92</v>
      </c>
      <c r="F443" s="1" t="s">
        <v>93</v>
      </c>
      <c r="G443" s="1" t="s">
        <v>21</v>
      </c>
      <c r="H443" s="6">
        <v>1</v>
      </c>
      <c r="I443" s="7">
        <v>1196</v>
      </c>
      <c r="J443" s="5">
        <v>45944</v>
      </c>
      <c r="K443" s="1" t="s">
        <v>30</v>
      </c>
      <c r="L443" s="8">
        <v>0.26</v>
      </c>
      <c r="M443" s="6"/>
      <c r="N443" s="6"/>
      <c r="O443" s="9">
        <v>-5.01</v>
      </c>
    </row>
    <row r="444" spans="1:15" ht="19.5" customHeight="1">
      <c r="A444" s="1" t="s">
        <v>866</v>
      </c>
      <c r="B444" s="5">
        <v>45949</v>
      </c>
      <c r="C444" s="1" t="s">
        <v>17</v>
      </c>
      <c r="D444" s="1" t="s">
        <v>18</v>
      </c>
      <c r="E444" s="1" t="s">
        <v>25</v>
      </c>
      <c r="F444" s="1" t="s">
        <v>26</v>
      </c>
      <c r="G444" s="1" t="s">
        <v>21</v>
      </c>
      <c r="H444" s="6">
        <v>1</v>
      </c>
      <c r="I444" s="7">
        <v>0</v>
      </c>
      <c r="J444" s="5">
        <v>45940</v>
      </c>
      <c r="K444" s="1" t="s">
        <v>22</v>
      </c>
      <c r="L444" s="8">
        <v>0</v>
      </c>
      <c r="M444" s="6"/>
      <c r="N444" s="6"/>
      <c r="O444" s="9">
        <v>-12.24</v>
      </c>
    </row>
    <row r="445" spans="1:15" ht="19.5" customHeight="1">
      <c r="A445" s="1" t="s">
        <v>868</v>
      </c>
      <c r="B445" s="5">
        <v>45949</v>
      </c>
      <c r="C445" s="1" t="s">
        <v>74</v>
      </c>
      <c r="D445" s="1" t="s">
        <v>75</v>
      </c>
      <c r="E445" s="1" t="s">
        <v>51</v>
      </c>
      <c r="F445" s="1" t="s">
        <v>52</v>
      </c>
      <c r="G445" s="1" t="s">
        <v>41</v>
      </c>
      <c r="H445" s="6">
        <v>1</v>
      </c>
      <c r="I445" s="7">
        <v>0</v>
      </c>
      <c r="J445" s="5">
        <v>45940</v>
      </c>
      <c r="K445" s="1" t="s">
        <v>30</v>
      </c>
      <c r="L445" s="8">
        <v>0</v>
      </c>
      <c r="M445" s="6"/>
      <c r="N445" s="6"/>
      <c r="O445" s="9">
        <v>-5</v>
      </c>
    </row>
    <row r="446" spans="1:15" ht="19.5" customHeight="1">
      <c r="A446" s="1" t="s">
        <v>868</v>
      </c>
      <c r="B446" s="5">
        <v>45949</v>
      </c>
      <c r="C446" s="1" t="s">
        <v>17</v>
      </c>
      <c r="D446" s="1" t="s">
        <v>76</v>
      </c>
      <c r="E446" s="1" t="s">
        <v>51</v>
      </c>
      <c r="F446" s="1" t="s">
        <v>52</v>
      </c>
      <c r="G446" s="1" t="s">
        <v>41</v>
      </c>
      <c r="H446" s="6">
        <v>1</v>
      </c>
      <c r="I446" s="7">
        <v>0</v>
      </c>
      <c r="J446" s="5">
        <v>45940</v>
      </c>
      <c r="K446" s="1" t="s">
        <v>30</v>
      </c>
      <c r="L446" s="8">
        <v>0</v>
      </c>
      <c r="M446" s="6"/>
      <c r="N446" s="6"/>
      <c r="O446" s="9">
        <v>-10</v>
      </c>
    </row>
    <row r="447" spans="1:15" ht="19.5" customHeight="1">
      <c r="A447" s="1" t="s">
        <v>869</v>
      </c>
      <c r="B447" s="5">
        <v>45949</v>
      </c>
      <c r="C447" s="1" t="s">
        <v>28</v>
      </c>
      <c r="D447" s="1" t="s">
        <v>29</v>
      </c>
      <c r="E447" s="1" t="s">
        <v>239</v>
      </c>
      <c r="F447" s="1" t="s">
        <v>733</v>
      </c>
      <c r="G447" s="1" t="s">
        <v>41</v>
      </c>
      <c r="H447" s="6">
        <v>1</v>
      </c>
      <c r="I447" s="7">
        <v>4548</v>
      </c>
      <c r="J447" s="5">
        <v>45947</v>
      </c>
      <c r="K447" s="1" t="s">
        <v>30</v>
      </c>
      <c r="L447" s="8">
        <v>0.34</v>
      </c>
      <c r="M447" s="6"/>
      <c r="N447" s="6"/>
      <c r="O447" s="9">
        <v>-56</v>
      </c>
    </row>
    <row r="448" spans="1:15" ht="19.5" customHeight="1">
      <c r="A448" s="1" t="s">
        <v>869</v>
      </c>
      <c r="B448" s="5">
        <v>45949</v>
      </c>
      <c r="C448" s="1" t="s">
        <v>31</v>
      </c>
      <c r="D448" s="1" t="s">
        <v>32</v>
      </c>
      <c r="E448" s="1" t="s">
        <v>239</v>
      </c>
      <c r="F448" s="1" t="s">
        <v>733</v>
      </c>
      <c r="G448" s="1" t="s">
        <v>41</v>
      </c>
      <c r="H448" s="6">
        <v>1</v>
      </c>
      <c r="I448" s="7">
        <v>4548</v>
      </c>
      <c r="J448" s="5">
        <v>45947</v>
      </c>
      <c r="K448" s="1" t="s">
        <v>30</v>
      </c>
      <c r="L448" s="8">
        <v>0</v>
      </c>
      <c r="M448" s="6"/>
      <c r="N448" s="6"/>
      <c r="O448" s="9">
        <v>2721.58</v>
      </c>
    </row>
    <row r="449" spans="1:15" ht="19.5" customHeight="1">
      <c r="A449" s="1" t="s">
        <v>869</v>
      </c>
      <c r="B449" s="5">
        <v>45949</v>
      </c>
      <c r="C449" s="1" t="s">
        <v>31</v>
      </c>
      <c r="D449" s="1" t="s">
        <v>33</v>
      </c>
      <c r="E449" s="1" t="s">
        <v>239</v>
      </c>
      <c r="F449" s="1" t="s">
        <v>733</v>
      </c>
      <c r="G449" s="1" t="s">
        <v>41</v>
      </c>
      <c r="H449" s="6">
        <v>1</v>
      </c>
      <c r="I449" s="7">
        <v>4548</v>
      </c>
      <c r="J449" s="5">
        <v>45947</v>
      </c>
      <c r="K449" s="1" t="s">
        <v>30</v>
      </c>
      <c r="L449" s="8">
        <v>0</v>
      </c>
      <c r="M449" s="6"/>
      <c r="N449" s="6"/>
      <c r="O449" s="9">
        <v>27.22</v>
      </c>
    </row>
    <row r="450" spans="1:15" ht="19.5" customHeight="1">
      <c r="A450" s="1" t="s">
        <v>869</v>
      </c>
      <c r="B450" s="5">
        <v>45949</v>
      </c>
      <c r="C450" s="1" t="s">
        <v>31</v>
      </c>
      <c r="D450" s="1" t="s">
        <v>34</v>
      </c>
      <c r="E450" s="1" t="s">
        <v>239</v>
      </c>
      <c r="F450" s="1" t="s">
        <v>733</v>
      </c>
      <c r="G450" s="1" t="s">
        <v>41</v>
      </c>
      <c r="H450" s="6">
        <v>1</v>
      </c>
      <c r="I450" s="7">
        <v>4548</v>
      </c>
      <c r="J450" s="5">
        <v>45947</v>
      </c>
      <c r="K450" s="1" t="s">
        <v>30</v>
      </c>
      <c r="L450" s="8">
        <v>0</v>
      </c>
      <c r="M450" s="6"/>
      <c r="N450" s="6"/>
      <c r="O450" s="9">
        <v>1799.2</v>
      </c>
    </row>
    <row r="451" spans="1:15" ht="19.5" customHeight="1">
      <c r="A451" s="1" t="s">
        <v>869</v>
      </c>
      <c r="B451" s="5">
        <v>45949</v>
      </c>
      <c r="C451" s="1" t="s">
        <v>35</v>
      </c>
      <c r="D451" s="1" t="s">
        <v>36</v>
      </c>
      <c r="E451" s="1" t="s">
        <v>239</v>
      </c>
      <c r="F451" s="1" t="s">
        <v>733</v>
      </c>
      <c r="G451" s="1" t="s">
        <v>41</v>
      </c>
      <c r="H451" s="6">
        <v>1</v>
      </c>
      <c r="I451" s="7">
        <v>4548</v>
      </c>
      <c r="J451" s="5">
        <v>45947</v>
      </c>
      <c r="K451" s="1" t="s">
        <v>30</v>
      </c>
      <c r="L451" s="8">
        <v>0.34</v>
      </c>
      <c r="M451" s="6"/>
      <c r="N451" s="6"/>
      <c r="O451" s="9">
        <v>-1546.32</v>
      </c>
    </row>
    <row r="452" spans="1:15" ht="19.5" customHeight="1">
      <c r="A452" s="1" t="s">
        <v>870</v>
      </c>
      <c r="B452" s="5">
        <v>45949</v>
      </c>
      <c r="C452" s="1" t="s">
        <v>28</v>
      </c>
      <c r="D452" s="1" t="s">
        <v>29</v>
      </c>
      <c r="E452" s="1" t="s">
        <v>25</v>
      </c>
      <c r="F452" s="1" t="s">
        <v>26</v>
      </c>
      <c r="G452" s="1" t="s">
        <v>21</v>
      </c>
      <c r="H452" s="6">
        <v>1</v>
      </c>
      <c r="I452" s="7">
        <v>1140</v>
      </c>
      <c r="J452" s="5">
        <v>45941</v>
      </c>
      <c r="K452" s="1" t="s">
        <v>30</v>
      </c>
      <c r="L452" s="8">
        <v>0.26</v>
      </c>
      <c r="M452" s="6"/>
      <c r="N452" s="6"/>
      <c r="O452" s="9">
        <v>-46</v>
      </c>
    </row>
    <row r="453" spans="1:15" ht="19.5" customHeight="1">
      <c r="A453" s="1" t="s">
        <v>870</v>
      </c>
      <c r="B453" s="5">
        <v>45949</v>
      </c>
      <c r="C453" s="1" t="s">
        <v>31</v>
      </c>
      <c r="D453" s="1" t="s">
        <v>32</v>
      </c>
      <c r="E453" s="1" t="s">
        <v>25</v>
      </c>
      <c r="F453" s="1" t="s">
        <v>26</v>
      </c>
      <c r="G453" s="1" t="s">
        <v>21</v>
      </c>
      <c r="H453" s="6">
        <v>1</v>
      </c>
      <c r="I453" s="7">
        <v>1140</v>
      </c>
      <c r="J453" s="5">
        <v>45941</v>
      </c>
      <c r="K453" s="1" t="s">
        <v>30</v>
      </c>
      <c r="L453" s="8">
        <v>0</v>
      </c>
      <c r="M453" s="6"/>
      <c r="N453" s="6"/>
      <c r="O453" s="9">
        <v>744</v>
      </c>
    </row>
    <row r="454" spans="1:15" ht="19.5" customHeight="1">
      <c r="A454" s="1" t="s">
        <v>870</v>
      </c>
      <c r="B454" s="5">
        <v>45949</v>
      </c>
      <c r="C454" s="1" t="s">
        <v>31</v>
      </c>
      <c r="D454" s="1" t="s">
        <v>33</v>
      </c>
      <c r="E454" s="1" t="s">
        <v>25</v>
      </c>
      <c r="F454" s="1" t="s">
        <v>26</v>
      </c>
      <c r="G454" s="1" t="s">
        <v>21</v>
      </c>
      <c r="H454" s="6">
        <v>1</v>
      </c>
      <c r="I454" s="7">
        <v>1140</v>
      </c>
      <c r="J454" s="5">
        <v>45941</v>
      </c>
      <c r="K454" s="1" t="s">
        <v>30</v>
      </c>
      <c r="L454" s="8">
        <v>0</v>
      </c>
      <c r="M454" s="6"/>
      <c r="N454" s="6"/>
      <c r="O454" s="9">
        <v>0</v>
      </c>
    </row>
    <row r="455" spans="1:15" ht="19.5" customHeight="1">
      <c r="A455" s="1" t="s">
        <v>870</v>
      </c>
      <c r="B455" s="5">
        <v>45949</v>
      </c>
      <c r="C455" s="1" t="s">
        <v>31</v>
      </c>
      <c r="D455" s="1" t="s">
        <v>34</v>
      </c>
      <c r="E455" s="1" t="s">
        <v>25</v>
      </c>
      <c r="F455" s="1" t="s">
        <v>26</v>
      </c>
      <c r="G455" s="1" t="s">
        <v>21</v>
      </c>
      <c r="H455" s="6">
        <v>1</v>
      </c>
      <c r="I455" s="7">
        <v>1140</v>
      </c>
      <c r="J455" s="5">
        <v>45941</v>
      </c>
      <c r="K455" s="1" t="s">
        <v>30</v>
      </c>
      <c r="L455" s="8">
        <v>0</v>
      </c>
      <c r="M455" s="6"/>
      <c r="N455" s="6"/>
      <c r="O455" s="9">
        <v>396</v>
      </c>
    </row>
    <row r="456" spans="1:15" ht="19.5" customHeight="1">
      <c r="A456" s="1" t="s">
        <v>870</v>
      </c>
      <c r="B456" s="5">
        <v>45949</v>
      </c>
      <c r="C456" s="1" t="s">
        <v>35</v>
      </c>
      <c r="D456" s="1" t="s">
        <v>36</v>
      </c>
      <c r="E456" s="1" t="s">
        <v>25</v>
      </c>
      <c r="F456" s="1" t="s">
        <v>26</v>
      </c>
      <c r="G456" s="1" t="s">
        <v>21</v>
      </c>
      <c r="H456" s="6">
        <v>1</v>
      </c>
      <c r="I456" s="7">
        <v>1140</v>
      </c>
      <c r="J456" s="5">
        <v>45941</v>
      </c>
      <c r="K456" s="1" t="s">
        <v>30</v>
      </c>
      <c r="L456" s="8">
        <v>0.26</v>
      </c>
      <c r="M456" s="6"/>
      <c r="N456" s="6"/>
      <c r="O456" s="9">
        <v>-296.39999999999998</v>
      </c>
    </row>
    <row r="457" spans="1:15" ht="19.5" customHeight="1">
      <c r="A457" s="1" t="s">
        <v>870</v>
      </c>
      <c r="B457" s="5">
        <v>45949</v>
      </c>
      <c r="C457" s="1" t="s">
        <v>17</v>
      </c>
      <c r="D457" s="1" t="s">
        <v>37</v>
      </c>
      <c r="E457" s="1" t="s">
        <v>25</v>
      </c>
      <c r="F457" s="1" t="s">
        <v>26</v>
      </c>
      <c r="G457" s="1" t="s">
        <v>21</v>
      </c>
      <c r="H457" s="6">
        <v>1</v>
      </c>
      <c r="I457" s="7">
        <v>1140</v>
      </c>
      <c r="J457" s="5">
        <v>45941</v>
      </c>
      <c r="K457" s="1" t="s">
        <v>30</v>
      </c>
      <c r="L457" s="8">
        <v>0.26</v>
      </c>
      <c r="M457" s="6"/>
      <c r="N457" s="6"/>
      <c r="O457" s="9">
        <v>-4.96</v>
      </c>
    </row>
    <row r="458" spans="1:15" ht="19.5" customHeight="1">
      <c r="A458" s="1" t="s">
        <v>871</v>
      </c>
      <c r="B458" s="5">
        <v>45949</v>
      </c>
      <c r="C458" s="1" t="s">
        <v>28</v>
      </c>
      <c r="D458" s="1" t="s">
        <v>29</v>
      </c>
      <c r="E458" s="1" t="s">
        <v>25</v>
      </c>
      <c r="F458" s="1" t="s">
        <v>26</v>
      </c>
      <c r="G458" s="1" t="s">
        <v>21</v>
      </c>
      <c r="H458" s="6">
        <v>1</v>
      </c>
      <c r="I458" s="7">
        <v>1738</v>
      </c>
      <c r="J458" s="5">
        <v>45947</v>
      </c>
      <c r="K458" s="1" t="s">
        <v>30</v>
      </c>
      <c r="L458" s="8">
        <v>0.34</v>
      </c>
      <c r="M458" s="6"/>
      <c r="N458" s="6"/>
      <c r="O458" s="9">
        <v>-46</v>
      </c>
    </row>
    <row r="459" spans="1:15" ht="19.5" customHeight="1">
      <c r="A459" s="1" t="s">
        <v>871</v>
      </c>
      <c r="B459" s="5">
        <v>45949</v>
      </c>
      <c r="C459" s="1" t="s">
        <v>31</v>
      </c>
      <c r="D459" s="1" t="s">
        <v>32</v>
      </c>
      <c r="E459" s="1" t="s">
        <v>25</v>
      </c>
      <c r="F459" s="1" t="s">
        <v>26</v>
      </c>
      <c r="G459" s="1" t="s">
        <v>21</v>
      </c>
      <c r="H459" s="6">
        <v>1</v>
      </c>
      <c r="I459" s="7">
        <v>1738</v>
      </c>
      <c r="J459" s="5">
        <v>45947</v>
      </c>
      <c r="K459" s="1" t="s">
        <v>30</v>
      </c>
      <c r="L459" s="8">
        <v>0</v>
      </c>
      <c r="M459" s="6"/>
      <c r="N459" s="6"/>
      <c r="O459" s="9">
        <v>924.76</v>
      </c>
    </row>
    <row r="460" spans="1:15" ht="19.5" customHeight="1">
      <c r="A460" s="1" t="s">
        <v>871</v>
      </c>
      <c r="B460" s="5">
        <v>45949</v>
      </c>
      <c r="C460" s="1" t="s">
        <v>31</v>
      </c>
      <c r="D460" s="1" t="s">
        <v>33</v>
      </c>
      <c r="E460" s="1" t="s">
        <v>25</v>
      </c>
      <c r="F460" s="1" t="s">
        <v>26</v>
      </c>
      <c r="G460" s="1" t="s">
        <v>21</v>
      </c>
      <c r="H460" s="6">
        <v>1</v>
      </c>
      <c r="I460" s="7">
        <v>1738</v>
      </c>
      <c r="J460" s="5">
        <v>45947</v>
      </c>
      <c r="K460" s="1" t="s">
        <v>30</v>
      </c>
      <c r="L460" s="8">
        <v>0</v>
      </c>
      <c r="M460" s="6"/>
      <c r="N460" s="6"/>
      <c r="O460" s="9">
        <v>9.25</v>
      </c>
    </row>
    <row r="461" spans="1:15" ht="19.5" customHeight="1">
      <c r="A461" s="1" t="s">
        <v>871</v>
      </c>
      <c r="B461" s="5">
        <v>45949</v>
      </c>
      <c r="C461" s="1" t="s">
        <v>31</v>
      </c>
      <c r="D461" s="1" t="s">
        <v>34</v>
      </c>
      <c r="E461" s="1" t="s">
        <v>25</v>
      </c>
      <c r="F461" s="1" t="s">
        <v>26</v>
      </c>
      <c r="G461" s="1" t="s">
        <v>21</v>
      </c>
      <c r="H461" s="6">
        <v>1</v>
      </c>
      <c r="I461" s="7">
        <v>1738</v>
      </c>
      <c r="J461" s="5">
        <v>45947</v>
      </c>
      <c r="K461" s="1" t="s">
        <v>30</v>
      </c>
      <c r="L461" s="8">
        <v>0</v>
      </c>
      <c r="M461" s="6"/>
      <c r="N461" s="6"/>
      <c r="O461" s="9">
        <v>803.99</v>
      </c>
    </row>
    <row r="462" spans="1:15" ht="19.5" customHeight="1">
      <c r="A462" s="1" t="s">
        <v>871</v>
      </c>
      <c r="B462" s="5">
        <v>45949</v>
      </c>
      <c r="C462" s="1" t="s">
        <v>35</v>
      </c>
      <c r="D462" s="1" t="s">
        <v>36</v>
      </c>
      <c r="E462" s="1" t="s">
        <v>25</v>
      </c>
      <c r="F462" s="1" t="s">
        <v>26</v>
      </c>
      <c r="G462" s="1" t="s">
        <v>21</v>
      </c>
      <c r="H462" s="6">
        <v>1</v>
      </c>
      <c r="I462" s="7">
        <v>1738</v>
      </c>
      <c r="J462" s="5">
        <v>45947</v>
      </c>
      <c r="K462" s="1" t="s">
        <v>30</v>
      </c>
      <c r="L462" s="8">
        <v>0.34</v>
      </c>
      <c r="M462" s="6"/>
      <c r="N462" s="6"/>
      <c r="O462" s="9">
        <v>-590.91999999999996</v>
      </c>
    </row>
    <row r="463" spans="1:15" ht="19.5" customHeight="1">
      <c r="A463" s="1" t="s">
        <v>871</v>
      </c>
      <c r="B463" s="5">
        <v>45949</v>
      </c>
      <c r="C463" s="1" t="s">
        <v>17</v>
      </c>
      <c r="D463" s="1" t="s">
        <v>37</v>
      </c>
      <c r="E463" s="1" t="s">
        <v>25</v>
      </c>
      <c r="F463" s="1" t="s">
        <v>26</v>
      </c>
      <c r="G463" s="1" t="s">
        <v>21</v>
      </c>
      <c r="H463" s="6">
        <v>1</v>
      </c>
      <c r="I463" s="7">
        <v>1738</v>
      </c>
      <c r="J463" s="5">
        <v>45947</v>
      </c>
      <c r="K463" s="1" t="s">
        <v>30</v>
      </c>
      <c r="L463" s="8">
        <v>0.34</v>
      </c>
      <c r="M463" s="6"/>
      <c r="N463" s="6"/>
      <c r="O463" s="9">
        <v>-7.54</v>
      </c>
    </row>
    <row r="464" spans="1:15" ht="19.5" customHeight="1">
      <c r="A464" s="1" t="s">
        <v>871</v>
      </c>
      <c r="B464" s="5">
        <v>45949</v>
      </c>
      <c r="C464" s="1" t="s">
        <v>17</v>
      </c>
      <c r="D464" s="1" t="s">
        <v>18</v>
      </c>
      <c r="E464" s="1" t="s">
        <v>25</v>
      </c>
      <c r="F464" s="1" t="s">
        <v>26</v>
      </c>
      <c r="G464" s="1" t="s">
        <v>21</v>
      </c>
      <c r="H464" s="6">
        <v>1</v>
      </c>
      <c r="I464" s="7">
        <v>0</v>
      </c>
      <c r="J464" s="5">
        <v>45947</v>
      </c>
      <c r="K464" s="1" t="s">
        <v>22</v>
      </c>
      <c r="L464" s="8">
        <v>0</v>
      </c>
      <c r="M464" s="6"/>
      <c r="N464" s="6"/>
      <c r="O464" s="9">
        <v>-17.57</v>
      </c>
    </row>
    <row r="465" spans="1:15">
      <c r="A465" t="s">
        <v>22</v>
      </c>
      <c r="B465">
        <v>45949</v>
      </c>
      <c r="C465" t="s">
        <v>77</v>
      </c>
      <c r="D465" t="s">
        <v>78</v>
      </c>
      <c r="E465" t="s">
        <v>22</v>
      </c>
      <c r="F465" t="s">
        <v>22</v>
      </c>
      <c r="G465" t="s">
        <v>872</v>
      </c>
      <c r="H465">
        <v>0</v>
      </c>
      <c r="I465">
        <v>0</v>
      </c>
      <c r="J465">
        <v>45949</v>
      </c>
      <c r="K465" t="s">
        <v>22</v>
      </c>
      <c r="L465">
        <v>0</v>
      </c>
      <c r="O465" s="2">
        <v>-200</v>
      </c>
    </row>
    <row r="466" spans="1:15">
      <c r="A466" t="s">
        <v>873</v>
      </c>
      <c r="B466">
        <v>45949</v>
      </c>
      <c r="C466" t="s">
        <v>17</v>
      </c>
      <c r="D466" t="s">
        <v>18</v>
      </c>
      <c r="E466" t="s">
        <v>19</v>
      </c>
      <c r="F466" t="s">
        <v>20</v>
      </c>
      <c r="G466" t="s">
        <v>21</v>
      </c>
      <c r="H466">
        <v>1</v>
      </c>
      <c r="I466">
        <v>0</v>
      </c>
      <c r="J466">
        <v>45949</v>
      </c>
      <c r="K466" t="s">
        <v>22</v>
      </c>
      <c r="L466">
        <v>0</v>
      </c>
      <c r="O466" s="2">
        <v>-13.75</v>
      </c>
    </row>
    <row r="467" spans="1:15">
      <c r="A467" t="s">
        <v>810</v>
      </c>
      <c r="B467">
        <v>45949</v>
      </c>
      <c r="C467" t="s">
        <v>77</v>
      </c>
      <c r="D467" t="s">
        <v>82</v>
      </c>
      <c r="E467" t="s">
        <v>22</v>
      </c>
      <c r="F467" t="s">
        <v>22</v>
      </c>
      <c r="G467" t="s">
        <v>22</v>
      </c>
      <c r="H467">
        <v>0</v>
      </c>
      <c r="I467">
        <v>0</v>
      </c>
      <c r="J467">
        <v>45949</v>
      </c>
      <c r="K467" t="s">
        <v>22</v>
      </c>
      <c r="L467">
        <v>0</v>
      </c>
      <c r="O467" s="2">
        <v>-18.920000000000002</v>
      </c>
    </row>
    <row r="468" spans="1:15">
      <c r="A468" t="s">
        <v>811</v>
      </c>
      <c r="B468">
        <v>45949</v>
      </c>
      <c r="C468" t="s">
        <v>77</v>
      </c>
      <c r="D468" t="s">
        <v>82</v>
      </c>
      <c r="E468" t="s">
        <v>22</v>
      </c>
      <c r="F468" t="s">
        <v>22</v>
      </c>
      <c r="G468" t="s">
        <v>22</v>
      </c>
      <c r="H468">
        <v>0</v>
      </c>
      <c r="I468">
        <v>0</v>
      </c>
      <c r="J468">
        <v>45949</v>
      </c>
      <c r="K468" t="s">
        <v>22</v>
      </c>
      <c r="L468">
        <v>0</v>
      </c>
      <c r="O468" s="2">
        <v>-709.73</v>
      </c>
    </row>
    <row r="469" spans="1:15">
      <c r="A469" t="s">
        <v>808</v>
      </c>
      <c r="B469">
        <v>45949</v>
      </c>
      <c r="C469" t="s">
        <v>77</v>
      </c>
      <c r="D469" t="s">
        <v>82</v>
      </c>
      <c r="E469" t="s">
        <v>22</v>
      </c>
      <c r="F469" t="s">
        <v>22</v>
      </c>
      <c r="G469" t="s">
        <v>22</v>
      </c>
      <c r="H469">
        <v>0</v>
      </c>
      <c r="I469">
        <v>0</v>
      </c>
      <c r="J469">
        <v>45949</v>
      </c>
      <c r="K469" t="s">
        <v>22</v>
      </c>
      <c r="L469">
        <v>0</v>
      </c>
      <c r="O469" s="2">
        <v>-508.14</v>
      </c>
    </row>
    <row r="470" spans="1:15">
      <c r="A470" t="s">
        <v>807</v>
      </c>
      <c r="B470">
        <v>45949</v>
      </c>
      <c r="C470" t="s">
        <v>77</v>
      </c>
      <c r="D470" t="s">
        <v>82</v>
      </c>
      <c r="E470" t="s">
        <v>22</v>
      </c>
      <c r="F470" t="s">
        <v>22</v>
      </c>
      <c r="G470" t="s">
        <v>22</v>
      </c>
      <c r="H470">
        <v>0</v>
      </c>
      <c r="I470">
        <v>0</v>
      </c>
      <c r="J470">
        <v>45949</v>
      </c>
      <c r="K470" t="s">
        <v>22</v>
      </c>
      <c r="L470">
        <v>0</v>
      </c>
      <c r="O470" s="2">
        <v>-498.18</v>
      </c>
    </row>
    <row r="471" spans="1:15">
      <c r="A471" t="s">
        <v>83</v>
      </c>
      <c r="B471">
        <v>45949</v>
      </c>
      <c r="C471" t="s">
        <v>77</v>
      </c>
      <c r="D471" t="s">
        <v>84</v>
      </c>
      <c r="E471" t="s">
        <v>22</v>
      </c>
      <c r="F471" t="s">
        <v>22</v>
      </c>
      <c r="G471" t="s">
        <v>22</v>
      </c>
      <c r="H471">
        <v>0</v>
      </c>
      <c r="I471">
        <v>0</v>
      </c>
      <c r="J471">
        <v>45949</v>
      </c>
      <c r="K471" t="s">
        <v>22</v>
      </c>
      <c r="L471">
        <v>0</v>
      </c>
      <c r="O471" s="2">
        <v>-378.27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1C3C-C4EB-4FBC-B61F-B4BF1C8D494E}">
  <dimension ref="A1:O464"/>
  <sheetViews>
    <sheetView zoomScale="80" zoomScaleNormal="80" workbookViewId="0">
      <selection activeCell="E12" sqref="E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4" width="20.7265625" customWidth="1"/>
    <col min="15" max="15" width="20.7265625" style="2" customWidth="1"/>
  </cols>
  <sheetData>
    <row r="1" spans="1:15" ht="19.5" customHeight="1">
      <c r="A1" s="1" t="s">
        <v>0</v>
      </c>
    </row>
    <row r="2" spans="1:15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</row>
    <row r="3" spans="1:15" ht="19.5" customHeight="1">
      <c r="A3" s="1" t="s">
        <v>16</v>
      </c>
      <c r="B3" s="5">
        <v>45936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6">
        <v>1</v>
      </c>
      <c r="I3" s="7">
        <v>0</v>
      </c>
      <c r="J3" s="5">
        <v>45936</v>
      </c>
      <c r="K3" s="1" t="s">
        <v>22</v>
      </c>
      <c r="L3" s="8">
        <v>0</v>
      </c>
      <c r="M3" s="6"/>
      <c r="N3" s="6"/>
      <c r="O3" s="9">
        <v>-17.62</v>
      </c>
    </row>
    <row r="4" spans="1:15" ht="19.5" customHeight="1">
      <c r="A4" s="1" t="s">
        <v>23</v>
      </c>
      <c r="B4" s="5">
        <v>45936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6">
        <v>1</v>
      </c>
      <c r="I4" s="7">
        <v>0</v>
      </c>
      <c r="J4" s="5">
        <v>45936</v>
      </c>
      <c r="K4" s="1" t="s">
        <v>22</v>
      </c>
      <c r="L4" s="8">
        <v>0</v>
      </c>
      <c r="M4" s="6"/>
      <c r="N4" s="6"/>
      <c r="O4" s="9">
        <v>-17.62</v>
      </c>
    </row>
    <row r="5" spans="1:15" ht="19.5" customHeight="1">
      <c r="A5" s="1" t="s">
        <v>24</v>
      </c>
      <c r="B5" s="5">
        <v>45936</v>
      </c>
      <c r="C5" s="1" t="s">
        <v>17</v>
      </c>
      <c r="D5" s="1" t="s">
        <v>18</v>
      </c>
      <c r="E5" s="1" t="s">
        <v>25</v>
      </c>
      <c r="F5" s="1" t="s">
        <v>26</v>
      </c>
      <c r="G5" s="1" t="s">
        <v>21</v>
      </c>
      <c r="H5" s="6">
        <v>1</v>
      </c>
      <c r="I5" s="7">
        <v>0</v>
      </c>
      <c r="J5" s="5">
        <v>45936</v>
      </c>
      <c r="K5" s="1" t="s">
        <v>22</v>
      </c>
      <c r="L5" s="8">
        <v>0</v>
      </c>
      <c r="M5" s="6"/>
      <c r="N5" s="6"/>
      <c r="O5" s="9">
        <v>-12.9</v>
      </c>
    </row>
    <row r="6" spans="1:15" ht="19.5" customHeight="1">
      <c r="A6" s="1" t="s">
        <v>27</v>
      </c>
      <c r="B6" s="5">
        <v>45936</v>
      </c>
      <c r="C6" s="1" t="s">
        <v>28</v>
      </c>
      <c r="D6" s="1" t="s">
        <v>29</v>
      </c>
      <c r="E6" s="1" t="s">
        <v>25</v>
      </c>
      <c r="F6" s="1" t="s">
        <v>26</v>
      </c>
      <c r="G6" s="1" t="s">
        <v>21</v>
      </c>
      <c r="H6" s="6">
        <v>1</v>
      </c>
      <c r="I6" s="7">
        <v>1200</v>
      </c>
      <c r="J6" s="5">
        <v>45934</v>
      </c>
      <c r="K6" s="1" t="s">
        <v>30</v>
      </c>
      <c r="L6" s="8">
        <v>0.26</v>
      </c>
      <c r="M6" s="6"/>
      <c r="N6" s="6"/>
      <c r="O6" s="9">
        <v>-46</v>
      </c>
    </row>
    <row r="7" spans="1:15" ht="19.5" customHeight="1">
      <c r="A7" s="1" t="s">
        <v>27</v>
      </c>
      <c r="B7" s="5">
        <v>45936</v>
      </c>
      <c r="C7" s="1" t="s">
        <v>31</v>
      </c>
      <c r="D7" s="1" t="s">
        <v>32</v>
      </c>
      <c r="E7" s="1" t="s">
        <v>25</v>
      </c>
      <c r="F7" s="1" t="s">
        <v>26</v>
      </c>
      <c r="G7" s="1" t="s">
        <v>21</v>
      </c>
      <c r="H7" s="6">
        <v>1</v>
      </c>
      <c r="I7" s="7">
        <v>1200</v>
      </c>
      <c r="J7" s="5">
        <v>45934</v>
      </c>
      <c r="K7" s="1" t="s">
        <v>30</v>
      </c>
      <c r="L7" s="8">
        <v>0</v>
      </c>
      <c r="M7" s="6"/>
      <c r="N7" s="6"/>
      <c r="O7" s="9">
        <v>697.14</v>
      </c>
    </row>
    <row r="8" spans="1:15" ht="19.5" customHeight="1">
      <c r="A8" s="1" t="s">
        <v>27</v>
      </c>
      <c r="B8" s="5">
        <v>45936</v>
      </c>
      <c r="C8" s="1" t="s">
        <v>31</v>
      </c>
      <c r="D8" s="1" t="s">
        <v>33</v>
      </c>
      <c r="E8" s="1" t="s">
        <v>25</v>
      </c>
      <c r="F8" s="1" t="s">
        <v>26</v>
      </c>
      <c r="G8" s="1" t="s">
        <v>21</v>
      </c>
      <c r="H8" s="6">
        <v>1</v>
      </c>
      <c r="I8" s="7">
        <v>1200</v>
      </c>
      <c r="J8" s="5">
        <v>45934</v>
      </c>
      <c r="K8" s="1" t="s">
        <v>30</v>
      </c>
      <c r="L8" s="8">
        <v>0</v>
      </c>
      <c r="M8" s="6"/>
      <c r="N8" s="6"/>
      <c r="O8" s="9">
        <v>6.97</v>
      </c>
    </row>
    <row r="9" spans="1:15" ht="19.5" customHeight="1">
      <c r="A9" s="1" t="s">
        <v>27</v>
      </c>
      <c r="B9" s="5">
        <v>45936</v>
      </c>
      <c r="C9" s="1" t="s">
        <v>31</v>
      </c>
      <c r="D9" s="1" t="s">
        <v>34</v>
      </c>
      <c r="E9" s="1" t="s">
        <v>25</v>
      </c>
      <c r="F9" s="1" t="s">
        <v>26</v>
      </c>
      <c r="G9" s="1" t="s">
        <v>21</v>
      </c>
      <c r="H9" s="6">
        <v>1</v>
      </c>
      <c r="I9" s="7">
        <v>1200</v>
      </c>
      <c r="J9" s="5">
        <v>45934</v>
      </c>
      <c r="K9" s="1" t="s">
        <v>30</v>
      </c>
      <c r="L9" s="8">
        <v>0</v>
      </c>
      <c r="M9" s="6"/>
      <c r="N9" s="6"/>
      <c r="O9" s="9">
        <v>495.89</v>
      </c>
    </row>
    <row r="10" spans="1:15" ht="19.5" customHeight="1">
      <c r="A10" s="1" t="s">
        <v>27</v>
      </c>
      <c r="B10" s="5">
        <v>45936</v>
      </c>
      <c r="C10" s="1" t="s">
        <v>35</v>
      </c>
      <c r="D10" s="1" t="s">
        <v>36</v>
      </c>
      <c r="E10" s="1" t="s">
        <v>25</v>
      </c>
      <c r="F10" s="1" t="s">
        <v>26</v>
      </c>
      <c r="G10" s="1" t="s">
        <v>21</v>
      </c>
      <c r="H10" s="6">
        <v>1</v>
      </c>
      <c r="I10" s="7">
        <v>1200</v>
      </c>
      <c r="J10" s="5">
        <v>45934</v>
      </c>
      <c r="K10" s="1" t="s">
        <v>30</v>
      </c>
      <c r="L10" s="8">
        <v>0.26</v>
      </c>
      <c r="M10" s="6"/>
      <c r="N10" s="6"/>
      <c r="O10" s="9">
        <v>-312</v>
      </c>
    </row>
    <row r="11" spans="1:15" ht="19.5" customHeight="1">
      <c r="A11" s="1" t="s">
        <v>27</v>
      </c>
      <c r="B11" s="5">
        <v>45936</v>
      </c>
      <c r="C11" s="1" t="s">
        <v>17</v>
      </c>
      <c r="D11" s="1" t="s">
        <v>37</v>
      </c>
      <c r="E11" s="1" t="s">
        <v>25</v>
      </c>
      <c r="F11" s="1" t="s">
        <v>26</v>
      </c>
      <c r="G11" s="1" t="s">
        <v>21</v>
      </c>
      <c r="H11" s="6">
        <v>1</v>
      </c>
      <c r="I11" s="7">
        <v>1200</v>
      </c>
      <c r="J11" s="5">
        <v>45934</v>
      </c>
      <c r="K11" s="1" t="s">
        <v>30</v>
      </c>
      <c r="L11" s="8">
        <v>0.26</v>
      </c>
      <c r="M11" s="6"/>
      <c r="N11" s="6"/>
      <c r="O11" s="9">
        <v>-4.7699999999999996</v>
      </c>
    </row>
    <row r="12" spans="1:15" ht="19.5" customHeight="1">
      <c r="A12" s="1" t="s">
        <v>38</v>
      </c>
      <c r="B12" s="5">
        <v>45936</v>
      </c>
      <c r="C12" s="1" t="s">
        <v>28</v>
      </c>
      <c r="D12" s="1" t="s">
        <v>29</v>
      </c>
      <c r="E12" s="1" t="s">
        <v>39</v>
      </c>
      <c r="F12" s="1" t="s">
        <v>40</v>
      </c>
      <c r="G12" s="1" t="s">
        <v>41</v>
      </c>
      <c r="H12" s="6">
        <v>1</v>
      </c>
      <c r="I12" s="7">
        <v>0</v>
      </c>
      <c r="J12" s="5">
        <v>45931</v>
      </c>
      <c r="K12" s="1" t="s">
        <v>30</v>
      </c>
      <c r="L12" s="8">
        <v>0</v>
      </c>
      <c r="M12" s="6"/>
      <c r="N12" s="6"/>
      <c r="O12" s="9">
        <v>-56</v>
      </c>
    </row>
    <row r="13" spans="1:15" ht="19.5" customHeight="1">
      <c r="A13" s="1" t="s">
        <v>38</v>
      </c>
      <c r="B13" s="5">
        <v>45936</v>
      </c>
      <c r="C13" s="1" t="s">
        <v>17</v>
      </c>
      <c r="D13" s="1" t="s">
        <v>37</v>
      </c>
      <c r="E13" s="1" t="s">
        <v>39</v>
      </c>
      <c r="F13" s="1" t="s">
        <v>40</v>
      </c>
      <c r="G13" s="1" t="s">
        <v>41</v>
      </c>
      <c r="H13" s="6">
        <v>1</v>
      </c>
      <c r="I13" s="7">
        <v>0</v>
      </c>
      <c r="J13" s="5">
        <v>45931</v>
      </c>
      <c r="K13" s="1" t="s">
        <v>30</v>
      </c>
      <c r="L13" s="8">
        <v>0</v>
      </c>
      <c r="M13" s="6"/>
      <c r="N13" s="6"/>
      <c r="O13" s="9">
        <v>-9.0500000000000007</v>
      </c>
    </row>
    <row r="14" spans="1:15" ht="19.5" customHeight="1">
      <c r="A14" s="1" t="s">
        <v>42</v>
      </c>
      <c r="B14" s="5">
        <v>45936</v>
      </c>
      <c r="C14" s="1" t="s">
        <v>28</v>
      </c>
      <c r="D14" s="1" t="s">
        <v>29</v>
      </c>
      <c r="E14" s="1" t="s">
        <v>43</v>
      </c>
      <c r="F14" s="1" t="s">
        <v>44</v>
      </c>
      <c r="G14" s="1" t="s">
        <v>41</v>
      </c>
      <c r="H14" s="6">
        <v>1</v>
      </c>
      <c r="I14" s="7">
        <v>0</v>
      </c>
      <c r="J14" s="5">
        <v>45931</v>
      </c>
      <c r="K14" s="1" t="s">
        <v>30</v>
      </c>
      <c r="L14" s="8">
        <v>0</v>
      </c>
      <c r="M14" s="6"/>
      <c r="N14" s="6"/>
      <c r="O14" s="9">
        <v>-56</v>
      </c>
    </row>
    <row r="15" spans="1:15" ht="19.5" customHeight="1">
      <c r="A15" s="1" t="s">
        <v>42</v>
      </c>
      <c r="B15" s="5">
        <v>45936</v>
      </c>
      <c r="C15" s="1" t="s">
        <v>17</v>
      </c>
      <c r="D15" s="1" t="s">
        <v>37</v>
      </c>
      <c r="E15" s="1" t="s">
        <v>43</v>
      </c>
      <c r="F15" s="1" t="s">
        <v>44</v>
      </c>
      <c r="G15" s="1" t="s">
        <v>41</v>
      </c>
      <c r="H15" s="6">
        <v>1</v>
      </c>
      <c r="I15" s="7">
        <v>0</v>
      </c>
      <c r="J15" s="5">
        <v>45931</v>
      </c>
      <c r="K15" s="1" t="s">
        <v>30</v>
      </c>
      <c r="L15" s="8">
        <v>0</v>
      </c>
      <c r="M15" s="6"/>
      <c r="N15" s="6"/>
      <c r="O15" s="9">
        <v>-9.23</v>
      </c>
    </row>
    <row r="16" spans="1:15" ht="19.5" customHeight="1">
      <c r="A16" s="1" t="s">
        <v>38</v>
      </c>
      <c r="B16" s="5">
        <v>45936</v>
      </c>
      <c r="C16" s="1" t="s">
        <v>28</v>
      </c>
      <c r="D16" s="1" t="s">
        <v>45</v>
      </c>
      <c r="E16" s="1" t="s">
        <v>39</v>
      </c>
      <c r="F16" s="1" t="s">
        <v>40</v>
      </c>
      <c r="G16" s="1" t="s">
        <v>41</v>
      </c>
      <c r="H16" s="6">
        <v>1</v>
      </c>
      <c r="I16" s="7">
        <v>0</v>
      </c>
      <c r="J16" s="5">
        <v>45931</v>
      </c>
      <c r="K16" s="1" t="s">
        <v>30</v>
      </c>
      <c r="L16" s="8">
        <v>0</v>
      </c>
      <c r="M16" s="6"/>
      <c r="N16" s="6"/>
      <c r="O16" s="9">
        <v>0</v>
      </c>
    </row>
    <row r="17" spans="1:15" ht="19.5" customHeight="1">
      <c r="A17" s="1" t="s">
        <v>38</v>
      </c>
      <c r="B17" s="5">
        <v>45936</v>
      </c>
      <c r="C17" s="1" t="s">
        <v>28</v>
      </c>
      <c r="D17" s="1" t="s">
        <v>46</v>
      </c>
      <c r="E17" s="1" t="s">
        <v>39</v>
      </c>
      <c r="F17" s="1" t="s">
        <v>40</v>
      </c>
      <c r="G17" s="1" t="s">
        <v>41</v>
      </c>
      <c r="H17" s="6">
        <v>1</v>
      </c>
      <c r="I17" s="7">
        <v>0</v>
      </c>
      <c r="J17" s="5">
        <v>45931</v>
      </c>
      <c r="K17" s="1" t="s">
        <v>30</v>
      </c>
      <c r="L17" s="8">
        <v>0</v>
      </c>
      <c r="M17" s="6"/>
      <c r="N17" s="6"/>
      <c r="O17" s="9">
        <v>-56</v>
      </c>
    </row>
    <row r="18" spans="1:15" ht="19.5" customHeight="1">
      <c r="A18" s="1" t="s">
        <v>38</v>
      </c>
      <c r="B18" s="5">
        <v>45936</v>
      </c>
      <c r="C18" s="1" t="s">
        <v>17</v>
      </c>
      <c r="D18" s="1" t="s">
        <v>47</v>
      </c>
      <c r="E18" s="1" t="s">
        <v>39</v>
      </c>
      <c r="F18" s="1" t="s">
        <v>40</v>
      </c>
      <c r="G18" s="1" t="s">
        <v>41</v>
      </c>
      <c r="H18" s="6">
        <v>1</v>
      </c>
      <c r="I18" s="7">
        <v>0</v>
      </c>
      <c r="J18" s="5">
        <v>45931</v>
      </c>
      <c r="K18" s="1" t="s">
        <v>30</v>
      </c>
      <c r="L18" s="8">
        <v>0</v>
      </c>
      <c r="M18" s="6"/>
      <c r="N18" s="6"/>
      <c r="O18" s="9">
        <v>-15</v>
      </c>
    </row>
    <row r="19" spans="1:15" ht="19.5" customHeight="1">
      <c r="A19" s="1" t="s">
        <v>42</v>
      </c>
      <c r="B19" s="5">
        <v>45936</v>
      </c>
      <c r="C19" s="1" t="s">
        <v>28</v>
      </c>
      <c r="D19" s="1" t="s">
        <v>45</v>
      </c>
      <c r="E19" s="1" t="s">
        <v>43</v>
      </c>
      <c r="F19" s="1" t="s">
        <v>44</v>
      </c>
      <c r="G19" s="1" t="s">
        <v>41</v>
      </c>
      <c r="H19" s="6">
        <v>1</v>
      </c>
      <c r="I19" s="7">
        <v>0</v>
      </c>
      <c r="J19" s="5">
        <v>45931</v>
      </c>
      <c r="K19" s="1" t="s">
        <v>30</v>
      </c>
      <c r="L19" s="8">
        <v>0</v>
      </c>
      <c r="M19" s="6"/>
      <c r="N19" s="6"/>
      <c r="O19" s="9">
        <v>0</v>
      </c>
    </row>
    <row r="20" spans="1:15" ht="19.5" customHeight="1">
      <c r="A20" s="1" t="s">
        <v>42</v>
      </c>
      <c r="B20" s="5">
        <v>45936</v>
      </c>
      <c r="C20" s="1" t="s">
        <v>28</v>
      </c>
      <c r="D20" s="1" t="s">
        <v>46</v>
      </c>
      <c r="E20" s="1" t="s">
        <v>43</v>
      </c>
      <c r="F20" s="1" t="s">
        <v>44</v>
      </c>
      <c r="G20" s="1" t="s">
        <v>41</v>
      </c>
      <c r="H20" s="6">
        <v>1</v>
      </c>
      <c r="I20" s="7">
        <v>0</v>
      </c>
      <c r="J20" s="5">
        <v>45931</v>
      </c>
      <c r="K20" s="1" t="s">
        <v>30</v>
      </c>
      <c r="L20" s="8">
        <v>0</v>
      </c>
      <c r="M20" s="6"/>
      <c r="N20" s="6"/>
      <c r="O20" s="9">
        <v>-56</v>
      </c>
    </row>
    <row r="21" spans="1:15" ht="19.5" customHeight="1">
      <c r="A21" s="1" t="s">
        <v>42</v>
      </c>
      <c r="B21" s="5">
        <v>45936</v>
      </c>
      <c r="C21" s="1" t="s">
        <v>17</v>
      </c>
      <c r="D21" s="1" t="s">
        <v>47</v>
      </c>
      <c r="E21" s="1" t="s">
        <v>43</v>
      </c>
      <c r="F21" s="1" t="s">
        <v>44</v>
      </c>
      <c r="G21" s="1" t="s">
        <v>41</v>
      </c>
      <c r="H21" s="6">
        <v>1</v>
      </c>
      <c r="I21" s="7">
        <v>0</v>
      </c>
      <c r="J21" s="5">
        <v>45931</v>
      </c>
      <c r="K21" s="1" t="s">
        <v>30</v>
      </c>
      <c r="L21" s="8">
        <v>0</v>
      </c>
      <c r="M21" s="6"/>
      <c r="N21" s="6"/>
      <c r="O21" s="9">
        <v>-15</v>
      </c>
    </row>
    <row r="22" spans="1:15" ht="19.5" customHeight="1">
      <c r="A22" s="1" t="s">
        <v>48</v>
      </c>
      <c r="B22" s="5">
        <v>45936</v>
      </c>
      <c r="C22" s="1" t="s">
        <v>17</v>
      </c>
      <c r="D22" s="1" t="s">
        <v>18</v>
      </c>
      <c r="E22" s="1" t="s">
        <v>25</v>
      </c>
      <c r="F22" s="1" t="s">
        <v>26</v>
      </c>
      <c r="G22" s="1" t="s">
        <v>21</v>
      </c>
      <c r="H22" s="6">
        <v>1</v>
      </c>
      <c r="I22" s="7">
        <v>0</v>
      </c>
      <c r="J22" s="5">
        <v>45936</v>
      </c>
      <c r="K22" s="1" t="s">
        <v>22</v>
      </c>
      <c r="L22" s="8">
        <v>0</v>
      </c>
      <c r="M22" s="6"/>
      <c r="N22" s="6"/>
      <c r="O22" s="9">
        <v>-3.25</v>
      </c>
    </row>
    <row r="23" spans="1:15" ht="19.5" customHeight="1">
      <c r="A23" s="1" t="s">
        <v>27</v>
      </c>
      <c r="B23" s="5">
        <v>45936</v>
      </c>
      <c r="C23" s="1" t="s">
        <v>17</v>
      </c>
      <c r="D23" s="1" t="s">
        <v>18</v>
      </c>
      <c r="E23" s="1" t="s">
        <v>25</v>
      </c>
      <c r="F23" s="1" t="s">
        <v>26</v>
      </c>
      <c r="G23" s="1" t="s">
        <v>21</v>
      </c>
      <c r="H23" s="6">
        <v>1</v>
      </c>
      <c r="I23" s="7">
        <v>0</v>
      </c>
      <c r="J23" s="5">
        <v>45934</v>
      </c>
      <c r="K23" s="1" t="s">
        <v>22</v>
      </c>
      <c r="L23" s="8">
        <v>0</v>
      </c>
      <c r="M23" s="6"/>
      <c r="N23" s="6"/>
      <c r="O23" s="9">
        <v>-13.25</v>
      </c>
    </row>
    <row r="24" spans="1:15" ht="19.5" customHeight="1">
      <c r="A24" s="1" t="s">
        <v>49</v>
      </c>
      <c r="B24" s="5">
        <v>45936</v>
      </c>
      <c r="C24" s="1" t="s">
        <v>28</v>
      </c>
      <c r="D24" s="1" t="s">
        <v>29</v>
      </c>
      <c r="E24" s="1" t="s">
        <v>25</v>
      </c>
      <c r="F24" s="1" t="s">
        <v>26</v>
      </c>
      <c r="G24" s="1" t="s">
        <v>21</v>
      </c>
      <c r="H24" s="6">
        <v>1</v>
      </c>
      <c r="I24" s="7">
        <v>1212</v>
      </c>
      <c r="J24" s="5">
        <v>45925</v>
      </c>
      <c r="K24" s="1" t="s">
        <v>30</v>
      </c>
      <c r="L24" s="8">
        <v>0.26</v>
      </c>
      <c r="M24" s="6"/>
      <c r="N24" s="6"/>
      <c r="O24" s="9">
        <v>-46</v>
      </c>
    </row>
    <row r="25" spans="1:15" ht="19.5" customHeight="1">
      <c r="A25" s="1" t="s">
        <v>49</v>
      </c>
      <c r="B25" s="5">
        <v>45936</v>
      </c>
      <c r="C25" s="1" t="s">
        <v>31</v>
      </c>
      <c r="D25" s="1" t="s">
        <v>32</v>
      </c>
      <c r="E25" s="1" t="s">
        <v>25</v>
      </c>
      <c r="F25" s="1" t="s">
        <v>26</v>
      </c>
      <c r="G25" s="1" t="s">
        <v>21</v>
      </c>
      <c r="H25" s="6">
        <v>1</v>
      </c>
      <c r="I25" s="7">
        <v>1212</v>
      </c>
      <c r="J25" s="5">
        <v>45925</v>
      </c>
      <c r="K25" s="1" t="s">
        <v>30</v>
      </c>
      <c r="L25" s="8">
        <v>0</v>
      </c>
      <c r="M25" s="6"/>
      <c r="N25" s="6"/>
      <c r="O25" s="9">
        <v>704.76</v>
      </c>
    </row>
    <row r="26" spans="1:15" ht="19.5" customHeight="1">
      <c r="A26" s="1" t="s">
        <v>49</v>
      </c>
      <c r="B26" s="5">
        <v>45936</v>
      </c>
      <c r="C26" s="1" t="s">
        <v>31</v>
      </c>
      <c r="D26" s="1" t="s">
        <v>33</v>
      </c>
      <c r="E26" s="1" t="s">
        <v>25</v>
      </c>
      <c r="F26" s="1" t="s">
        <v>26</v>
      </c>
      <c r="G26" s="1" t="s">
        <v>21</v>
      </c>
      <c r="H26" s="6">
        <v>1</v>
      </c>
      <c r="I26" s="7">
        <v>1212</v>
      </c>
      <c r="J26" s="5">
        <v>45925</v>
      </c>
      <c r="K26" s="1" t="s">
        <v>30</v>
      </c>
      <c r="L26" s="8">
        <v>0</v>
      </c>
      <c r="M26" s="6"/>
      <c r="N26" s="6"/>
      <c r="O26" s="9">
        <v>5.18</v>
      </c>
    </row>
    <row r="27" spans="1:15" ht="19.5" customHeight="1">
      <c r="A27" s="1" t="s">
        <v>49</v>
      </c>
      <c r="B27" s="5">
        <v>45936</v>
      </c>
      <c r="C27" s="1" t="s">
        <v>31</v>
      </c>
      <c r="D27" s="1" t="s">
        <v>34</v>
      </c>
      <c r="E27" s="1" t="s">
        <v>25</v>
      </c>
      <c r="F27" s="1" t="s">
        <v>26</v>
      </c>
      <c r="G27" s="1" t="s">
        <v>21</v>
      </c>
      <c r="H27" s="6">
        <v>1</v>
      </c>
      <c r="I27" s="7">
        <v>1212</v>
      </c>
      <c r="J27" s="5">
        <v>45925</v>
      </c>
      <c r="K27" s="1" t="s">
        <v>30</v>
      </c>
      <c r="L27" s="8">
        <v>0</v>
      </c>
      <c r="M27" s="6"/>
      <c r="N27" s="6"/>
      <c r="O27" s="9">
        <v>502.06</v>
      </c>
    </row>
    <row r="28" spans="1:15" ht="19.5" customHeight="1">
      <c r="A28" s="1" t="s">
        <v>49</v>
      </c>
      <c r="B28" s="5">
        <v>45936</v>
      </c>
      <c r="C28" s="1" t="s">
        <v>35</v>
      </c>
      <c r="D28" s="1" t="s">
        <v>36</v>
      </c>
      <c r="E28" s="1" t="s">
        <v>25</v>
      </c>
      <c r="F28" s="1" t="s">
        <v>26</v>
      </c>
      <c r="G28" s="1" t="s">
        <v>21</v>
      </c>
      <c r="H28" s="6">
        <v>1</v>
      </c>
      <c r="I28" s="7">
        <v>1212</v>
      </c>
      <c r="J28" s="5">
        <v>45925</v>
      </c>
      <c r="K28" s="1" t="s">
        <v>30</v>
      </c>
      <c r="L28" s="8">
        <v>0.26</v>
      </c>
      <c r="M28" s="6"/>
      <c r="N28" s="6"/>
      <c r="O28" s="9">
        <v>-315.12</v>
      </c>
    </row>
    <row r="29" spans="1:15" ht="19.5" customHeight="1">
      <c r="A29" s="1" t="s">
        <v>49</v>
      </c>
      <c r="B29" s="5">
        <v>45936</v>
      </c>
      <c r="C29" s="1" t="s">
        <v>17</v>
      </c>
      <c r="D29" s="1" t="s">
        <v>37</v>
      </c>
      <c r="E29" s="1" t="s">
        <v>25</v>
      </c>
      <c r="F29" s="1" t="s">
        <v>26</v>
      </c>
      <c r="G29" s="1" t="s">
        <v>21</v>
      </c>
      <c r="H29" s="6">
        <v>1</v>
      </c>
      <c r="I29" s="7">
        <v>1212</v>
      </c>
      <c r="J29" s="5">
        <v>45925</v>
      </c>
      <c r="K29" s="1" t="s">
        <v>30</v>
      </c>
      <c r="L29" s="8">
        <v>0.26</v>
      </c>
      <c r="M29" s="6"/>
      <c r="N29" s="6"/>
      <c r="O29" s="9">
        <v>-5.49</v>
      </c>
    </row>
    <row r="30" spans="1:15" ht="19.5" customHeight="1">
      <c r="A30" s="1" t="s">
        <v>50</v>
      </c>
      <c r="B30" s="5">
        <v>45936</v>
      </c>
      <c r="C30" s="1" t="s">
        <v>28</v>
      </c>
      <c r="D30" s="1" t="s">
        <v>29</v>
      </c>
      <c r="E30" s="1" t="s">
        <v>51</v>
      </c>
      <c r="F30" s="1" t="s">
        <v>52</v>
      </c>
      <c r="G30" s="1" t="s">
        <v>41</v>
      </c>
      <c r="H30" s="6">
        <v>1</v>
      </c>
      <c r="I30" s="7">
        <v>2610</v>
      </c>
      <c r="J30" s="5">
        <v>45932</v>
      </c>
      <c r="K30" s="1" t="s">
        <v>30</v>
      </c>
      <c r="L30" s="8">
        <v>0.24</v>
      </c>
      <c r="M30" s="6"/>
      <c r="N30" s="6"/>
      <c r="O30" s="9">
        <v>-56</v>
      </c>
    </row>
    <row r="31" spans="1:15" ht="19.5" customHeight="1">
      <c r="A31" s="1" t="s">
        <v>50</v>
      </c>
      <c r="B31" s="5">
        <v>45936</v>
      </c>
      <c r="C31" s="1" t="s">
        <v>31</v>
      </c>
      <c r="D31" s="1" t="s">
        <v>32</v>
      </c>
      <c r="E31" s="1" t="s">
        <v>51</v>
      </c>
      <c r="F31" s="1" t="s">
        <v>52</v>
      </c>
      <c r="G31" s="1" t="s">
        <v>41</v>
      </c>
      <c r="H31" s="6">
        <v>1</v>
      </c>
      <c r="I31" s="7">
        <v>2610</v>
      </c>
      <c r="J31" s="5">
        <v>45932</v>
      </c>
      <c r="K31" s="1" t="s">
        <v>30</v>
      </c>
      <c r="L31" s="8">
        <v>0</v>
      </c>
      <c r="M31" s="6"/>
      <c r="N31" s="6"/>
      <c r="O31" s="9">
        <v>1511.43</v>
      </c>
    </row>
    <row r="32" spans="1:15" ht="19.5" customHeight="1">
      <c r="A32" s="1" t="s">
        <v>50</v>
      </c>
      <c r="B32" s="5">
        <v>45936</v>
      </c>
      <c r="C32" s="1" t="s">
        <v>31</v>
      </c>
      <c r="D32" s="1" t="s">
        <v>33</v>
      </c>
      <c r="E32" s="1" t="s">
        <v>51</v>
      </c>
      <c r="F32" s="1" t="s">
        <v>52</v>
      </c>
      <c r="G32" s="1" t="s">
        <v>41</v>
      </c>
      <c r="H32" s="6">
        <v>1</v>
      </c>
      <c r="I32" s="7">
        <v>2610</v>
      </c>
      <c r="J32" s="5">
        <v>45932</v>
      </c>
      <c r="K32" s="1" t="s">
        <v>30</v>
      </c>
      <c r="L32" s="8">
        <v>0</v>
      </c>
      <c r="M32" s="6"/>
      <c r="N32" s="6"/>
      <c r="O32" s="9">
        <v>15.11</v>
      </c>
    </row>
    <row r="33" spans="1:15" ht="19.5" customHeight="1">
      <c r="A33" s="1" t="s">
        <v>50</v>
      </c>
      <c r="B33" s="5">
        <v>45936</v>
      </c>
      <c r="C33" s="1" t="s">
        <v>31</v>
      </c>
      <c r="D33" s="1" t="s">
        <v>34</v>
      </c>
      <c r="E33" s="1" t="s">
        <v>51</v>
      </c>
      <c r="F33" s="1" t="s">
        <v>52</v>
      </c>
      <c r="G33" s="1" t="s">
        <v>41</v>
      </c>
      <c r="H33" s="6">
        <v>1</v>
      </c>
      <c r="I33" s="7">
        <v>2610</v>
      </c>
      <c r="J33" s="5">
        <v>45932</v>
      </c>
      <c r="K33" s="1" t="s">
        <v>30</v>
      </c>
      <c r="L33" s="8">
        <v>0</v>
      </c>
      <c r="M33" s="6"/>
      <c r="N33" s="6"/>
      <c r="O33" s="9">
        <v>1083.46</v>
      </c>
    </row>
    <row r="34" spans="1:15" ht="19.5" customHeight="1">
      <c r="A34" s="1" t="s">
        <v>50</v>
      </c>
      <c r="B34" s="5">
        <v>45936</v>
      </c>
      <c r="C34" s="1" t="s">
        <v>35</v>
      </c>
      <c r="D34" s="1" t="s">
        <v>36</v>
      </c>
      <c r="E34" s="1" t="s">
        <v>51</v>
      </c>
      <c r="F34" s="1" t="s">
        <v>52</v>
      </c>
      <c r="G34" s="1" t="s">
        <v>41</v>
      </c>
      <c r="H34" s="6">
        <v>1</v>
      </c>
      <c r="I34" s="7">
        <v>2610</v>
      </c>
      <c r="J34" s="5">
        <v>45932</v>
      </c>
      <c r="K34" s="1" t="s">
        <v>30</v>
      </c>
      <c r="L34" s="8">
        <v>0.24</v>
      </c>
      <c r="M34" s="6"/>
      <c r="N34" s="6"/>
      <c r="O34" s="9">
        <v>-626.4</v>
      </c>
    </row>
    <row r="35" spans="1:15" ht="19.5" customHeight="1">
      <c r="A35" s="1" t="s">
        <v>50</v>
      </c>
      <c r="B35" s="5">
        <v>45936</v>
      </c>
      <c r="C35" s="1" t="s">
        <v>17</v>
      </c>
      <c r="D35" s="1" t="s">
        <v>37</v>
      </c>
      <c r="E35" s="1" t="s">
        <v>51</v>
      </c>
      <c r="F35" s="1" t="s">
        <v>52</v>
      </c>
      <c r="G35" s="1" t="s">
        <v>41</v>
      </c>
      <c r="H35" s="6">
        <v>1</v>
      </c>
      <c r="I35" s="7">
        <v>2610</v>
      </c>
      <c r="J35" s="5">
        <v>45932</v>
      </c>
      <c r="K35" s="1" t="s">
        <v>30</v>
      </c>
      <c r="L35" s="8">
        <v>0.24</v>
      </c>
      <c r="M35" s="6"/>
      <c r="N35" s="6"/>
      <c r="O35" s="9">
        <v>-11.89</v>
      </c>
    </row>
    <row r="36" spans="1:15" ht="19.5" customHeight="1">
      <c r="A36" s="1" t="s">
        <v>49</v>
      </c>
      <c r="B36" s="5">
        <v>45936</v>
      </c>
      <c r="C36" s="1" t="s">
        <v>17</v>
      </c>
      <c r="D36" s="1" t="s">
        <v>18</v>
      </c>
      <c r="E36" s="1" t="s">
        <v>25</v>
      </c>
      <c r="F36" s="1" t="s">
        <v>26</v>
      </c>
      <c r="G36" s="1" t="s">
        <v>21</v>
      </c>
      <c r="H36" s="6">
        <v>1</v>
      </c>
      <c r="I36" s="7">
        <v>0</v>
      </c>
      <c r="J36" s="5">
        <v>45925</v>
      </c>
      <c r="K36" s="1" t="s">
        <v>22</v>
      </c>
      <c r="L36" s="8">
        <v>0</v>
      </c>
      <c r="M36" s="6"/>
      <c r="N36" s="6"/>
      <c r="O36" s="9">
        <v>-13.39</v>
      </c>
    </row>
    <row r="37" spans="1:15" ht="19.5" customHeight="1">
      <c r="A37" s="1" t="s">
        <v>50</v>
      </c>
      <c r="B37" s="5">
        <v>45936</v>
      </c>
      <c r="C37" s="1" t="s">
        <v>17</v>
      </c>
      <c r="D37" s="1" t="s">
        <v>18</v>
      </c>
      <c r="E37" s="1" t="s">
        <v>51</v>
      </c>
      <c r="F37" s="1" t="s">
        <v>52</v>
      </c>
      <c r="G37" s="1" t="s">
        <v>41</v>
      </c>
      <c r="H37" s="6">
        <v>1</v>
      </c>
      <c r="I37" s="7">
        <v>0</v>
      </c>
      <c r="J37" s="5">
        <v>45932</v>
      </c>
      <c r="K37" s="1" t="s">
        <v>22</v>
      </c>
      <c r="L37" s="8">
        <v>0</v>
      </c>
      <c r="M37" s="6"/>
      <c r="N37" s="6"/>
      <c r="O37" s="9">
        <v>-28.72</v>
      </c>
    </row>
    <row r="38" spans="1:15" ht="19.5" customHeight="1">
      <c r="A38" s="1" t="s">
        <v>53</v>
      </c>
      <c r="B38" s="5">
        <v>45936</v>
      </c>
      <c r="C38" s="1" t="s">
        <v>28</v>
      </c>
      <c r="D38" s="1" t="s">
        <v>29</v>
      </c>
      <c r="E38" s="1" t="s">
        <v>54</v>
      </c>
      <c r="F38" s="1" t="s">
        <v>55</v>
      </c>
      <c r="G38" s="1" t="s">
        <v>21</v>
      </c>
      <c r="H38" s="6">
        <v>1</v>
      </c>
      <c r="I38" s="7">
        <v>1344</v>
      </c>
      <c r="J38" s="5">
        <v>45922</v>
      </c>
      <c r="K38" s="1" t="s">
        <v>30</v>
      </c>
      <c r="L38" s="8">
        <v>0.2</v>
      </c>
      <c r="M38" s="6"/>
      <c r="N38" s="6"/>
      <c r="O38" s="9">
        <v>-46</v>
      </c>
    </row>
    <row r="39" spans="1:15" ht="19.5" customHeight="1">
      <c r="A39" s="1" t="s">
        <v>53</v>
      </c>
      <c r="B39" s="5">
        <v>45936</v>
      </c>
      <c r="C39" s="1" t="s">
        <v>31</v>
      </c>
      <c r="D39" s="1" t="s">
        <v>32</v>
      </c>
      <c r="E39" s="1" t="s">
        <v>54</v>
      </c>
      <c r="F39" s="1" t="s">
        <v>55</v>
      </c>
      <c r="G39" s="1" t="s">
        <v>21</v>
      </c>
      <c r="H39" s="6">
        <v>1</v>
      </c>
      <c r="I39" s="7">
        <v>1344</v>
      </c>
      <c r="J39" s="5">
        <v>45922</v>
      </c>
      <c r="K39" s="1" t="s">
        <v>30</v>
      </c>
      <c r="L39" s="8">
        <v>0</v>
      </c>
      <c r="M39" s="6"/>
      <c r="N39" s="6"/>
      <c r="O39" s="9">
        <v>678.4</v>
      </c>
    </row>
    <row r="40" spans="1:15" ht="19.5" customHeight="1">
      <c r="A40" s="1" t="s">
        <v>53</v>
      </c>
      <c r="B40" s="5">
        <v>45936</v>
      </c>
      <c r="C40" s="1" t="s">
        <v>31</v>
      </c>
      <c r="D40" s="1" t="s">
        <v>33</v>
      </c>
      <c r="E40" s="1" t="s">
        <v>54</v>
      </c>
      <c r="F40" s="1" t="s">
        <v>55</v>
      </c>
      <c r="G40" s="1" t="s">
        <v>21</v>
      </c>
      <c r="H40" s="6">
        <v>1</v>
      </c>
      <c r="I40" s="7">
        <v>1344</v>
      </c>
      <c r="J40" s="5">
        <v>45922</v>
      </c>
      <c r="K40" s="1" t="s">
        <v>30</v>
      </c>
      <c r="L40" s="8">
        <v>0</v>
      </c>
      <c r="M40" s="6"/>
      <c r="N40" s="6"/>
      <c r="O40" s="9">
        <v>4.99</v>
      </c>
    </row>
    <row r="41" spans="1:15" ht="19.5" customHeight="1">
      <c r="A41" s="1" t="s">
        <v>53</v>
      </c>
      <c r="B41" s="5">
        <v>45936</v>
      </c>
      <c r="C41" s="1" t="s">
        <v>31</v>
      </c>
      <c r="D41" s="1" t="s">
        <v>34</v>
      </c>
      <c r="E41" s="1" t="s">
        <v>54</v>
      </c>
      <c r="F41" s="1" t="s">
        <v>55</v>
      </c>
      <c r="G41" s="1" t="s">
        <v>21</v>
      </c>
      <c r="H41" s="6">
        <v>1</v>
      </c>
      <c r="I41" s="7">
        <v>1344</v>
      </c>
      <c r="J41" s="5">
        <v>45922</v>
      </c>
      <c r="K41" s="1" t="s">
        <v>30</v>
      </c>
      <c r="L41" s="8">
        <v>0</v>
      </c>
      <c r="M41" s="6"/>
      <c r="N41" s="6"/>
      <c r="O41" s="9">
        <v>660.61</v>
      </c>
    </row>
    <row r="42" spans="1:15" ht="19.5" customHeight="1">
      <c r="A42" s="1" t="s">
        <v>53</v>
      </c>
      <c r="B42" s="5">
        <v>45936</v>
      </c>
      <c r="C42" s="1" t="s">
        <v>35</v>
      </c>
      <c r="D42" s="1" t="s">
        <v>36</v>
      </c>
      <c r="E42" s="1" t="s">
        <v>54</v>
      </c>
      <c r="F42" s="1" t="s">
        <v>55</v>
      </c>
      <c r="G42" s="1" t="s">
        <v>21</v>
      </c>
      <c r="H42" s="6">
        <v>1</v>
      </c>
      <c r="I42" s="7">
        <v>1344</v>
      </c>
      <c r="J42" s="5">
        <v>45922</v>
      </c>
      <c r="K42" s="1" t="s">
        <v>30</v>
      </c>
      <c r="L42" s="8">
        <v>0.2</v>
      </c>
      <c r="M42" s="6"/>
      <c r="N42" s="6"/>
      <c r="O42" s="9">
        <v>-268.8</v>
      </c>
    </row>
    <row r="43" spans="1:15" ht="19.5" customHeight="1">
      <c r="A43" s="1" t="s">
        <v>53</v>
      </c>
      <c r="B43" s="5">
        <v>45936</v>
      </c>
      <c r="C43" s="1" t="s">
        <v>17</v>
      </c>
      <c r="D43" s="1" t="s">
        <v>37</v>
      </c>
      <c r="E43" s="1" t="s">
        <v>54</v>
      </c>
      <c r="F43" s="1" t="s">
        <v>55</v>
      </c>
      <c r="G43" s="1" t="s">
        <v>21</v>
      </c>
      <c r="H43" s="6">
        <v>1</v>
      </c>
      <c r="I43" s="7">
        <v>1344</v>
      </c>
      <c r="J43" s="5">
        <v>45922</v>
      </c>
      <c r="K43" s="1" t="s">
        <v>30</v>
      </c>
      <c r="L43" s="8">
        <v>0.2</v>
      </c>
      <c r="M43" s="6"/>
      <c r="N43" s="6"/>
      <c r="O43" s="9">
        <v>-4.9800000000000004</v>
      </c>
    </row>
    <row r="44" spans="1:15" ht="19.5" customHeight="1">
      <c r="A44" s="1" t="s">
        <v>56</v>
      </c>
      <c r="B44" s="5">
        <v>45936</v>
      </c>
      <c r="C44" s="1" t="s">
        <v>28</v>
      </c>
      <c r="D44" s="1" t="s">
        <v>29</v>
      </c>
      <c r="E44" s="1" t="s">
        <v>25</v>
      </c>
      <c r="F44" s="1" t="s">
        <v>26</v>
      </c>
      <c r="G44" s="1" t="s">
        <v>21</v>
      </c>
      <c r="H44" s="6">
        <v>1</v>
      </c>
      <c r="I44" s="7">
        <v>1200</v>
      </c>
      <c r="J44" s="5">
        <v>45934</v>
      </c>
      <c r="K44" s="1" t="s">
        <v>30</v>
      </c>
      <c r="L44" s="8">
        <v>0.26</v>
      </c>
      <c r="M44" s="6"/>
      <c r="N44" s="6"/>
      <c r="O44" s="9">
        <v>-46</v>
      </c>
    </row>
    <row r="45" spans="1:15" ht="19.5" customHeight="1">
      <c r="A45" s="1" t="s">
        <v>56</v>
      </c>
      <c r="B45" s="5">
        <v>45936</v>
      </c>
      <c r="C45" s="1" t="s">
        <v>31</v>
      </c>
      <c r="D45" s="1" t="s">
        <v>32</v>
      </c>
      <c r="E45" s="1" t="s">
        <v>25</v>
      </c>
      <c r="F45" s="1" t="s">
        <v>26</v>
      </c>
      <c r="G45" s="1" t="s">
        <v>21</v>
      </c>
      <c r="H45" s="6">
        <v>1</v>
      </c>
      <c r="I45" s="7">
        <v>1200</v>
      </c>
      <c r="J45" s="5">
        <v>45934</v>
      </c>
      <c r="K45" s="1" t="s">
        <v>30</v>
      </c>
      <c r="L45" s="8">
        <v>0</v>
      </c>
      <c r="M45" s="6"/>
      <c r="N45" s="6"/>
      <c r="O45" s="9">
        <v>756.63</v>
      </c>
    </row>
    <row r="46" spans="1:15" ht="19.5" customHeight="1">
      <c r="A46" s="1" t="s">
        <v>56</v>
      </c>
      <c r="B46" s="5">
        <v>45936</v>
      </c>
      <c r="C46" s="1" t="s">
        <v>31</v>
      </c>
      <c r="D46" s="1" t="s">
        <v>33</v>
      </c>
      <c r="E46" s="1" t="s">
        <v>25</v>
      </c>
      <c r="F46" s="1" t="s">
        <v>26</v>
      </c>
      <c r="G46" s="1" t="s">
        <v>21</v>
      </c>
      <c r="H46" s="6">
        <v>1</v>
      </c>
      <c r="I46" s="7">
        <v>1200</v>
      </c>
      <c r="J46" s="5">
        <v>45934</v>
      </c>
      <c r="K46" s="1" t="s">
        <v>30</v>
      </c>
      <c r="L46" s="8">
        <v>0</v>
      </c>
      <c r="M46" s="6"/>
      <c r="N46" s="6"/>
      <c r="O46" s="9">
        <v>0</v>
      </c>
    </row>
    <row r="47" spans="1:15" ht="19.5" customHeight="1">
      <c r="A47" s="1" t="s">
        <v>56</v>
      </c>
      <c r="B47" s="5">
        <v>45936</v>
      </c>
      <c r="C47" s="1" t="s">
        <v>31</v>
      </c>
      <c r="D47" s="1" t="s">
        <v>34</v>
      </c>
      <c r="E47" s="1" t="s">
        <v>25</v>
      </c>
      <c r="F47" s="1" t="s">
        <v>26</v>
      </c>
      <c r="G47" s="1" t="s">
        <v>21</v>
      </c>
      <c r="H47" s="6">
        <v>1</v>
      </c>
      <c r="I47" s="7">
        <v>1200</v>
      </c>
      <c r="J47" s="5">
        <v>45934</v>
      </c>
      <c r="K47" s="1" t="s">
        <v>30</v>
      </c>
      <c r="L47" s="8">
        <v>0</v>
      </c>
      <c r="M47" s="6"/>
      <c r="N47" s="6"/>
      <c r="O47" s="9">
        <v>443.37</v>
      </c>
    </row>
    <row r="48" spans="1:15" ht="19.5" customHeight="1">
      <c r="A48" s="1" t="s">
        <v>56</v>
      </c>
      <c r="B48" s="5">
        <v>45936</v>
      </c>
      <c r="C48" s="1" t="s">
        <v>35</v>
      </c>
      <c r="D48" s="1" t="s">
        <v>36</v>
      </c>
      <c r="E48" s="1" t="s">
        <v>25</v>
      </c>
      <c r="F48" s="1" t="s">
        <v>26</v>
      </c>
      <c r="G48" s="1" t="s">
        <v>21</v>
      </c>
      <c r="H48" s="6">
        <v>1</v>
      </c>
      <c r="I48" s="7">
        <v>1200</v>
      </c>
      <c r="J48" s="5">
        <v>45934</v>
      </c>
      <c r="K48" s="1" t="s">
        <v>30</v>
      </c>
      <c r="L48" s="8">
        <v>0.26</v>
      </c>
      <c r="M48" s="6"/>
      <c r="N48" s="6"/>
      <c r="O48" s="9">
        <v>-312</v>
      </c>
    </row>
    <row r="49" spans="1:15" ht="19.5" customHeight="1">
      <c r="A49" s="1" t="s">
        <v>56</v>
      </c>
      <c r="B49" s="5">
        <v>45936</v>
      </c>
      <c r="C49" s="1" t="s">
        <v>17</v>
      </c>
      <c r="D49" s="1" t="s">
        <v>37</v>
      </c>
      <c r="E49" s="1" t="s">
        <v>25</v>
      </c>
      <c r="F49" s="1" t="s">
        <v>26</v>
      </c>
      <c r="G49" s="1" t="s">
        <v>21</v>
      </c>
      <c r="H49" s="6">
        <v>1</v>
      </c>
      <c r="I49" s="7">
        <v>1200</v>
      </c>
      <c r="J49" s="5">
        <v>45934</v>
      </c>
      <c r="K49" s="1" t="s">
        <v>30</v>
      </c>
      <c r="L49" s="8">
        <v>0.26</v>
      </c>
      <c r="M49" s="6"/>
      <c r="N49" s="6"/>
      <c r="O49" s="9">
        <v>-5.0199999999999996</v>
      </c>
    </row>
    <row r="50" spans="1:15" ht="19.5" customHeight="1">
      <c r="A50" s="1" t="s">
        <v>57</v>
      </c>
      <c r="B50" s="5">
        <v>45936</v>
      </c>
      <c r="C50" s="1" t="s">
        <v>17</v>
      </c>
      <c r="D50" s="1" t="s">
        <v>18</v>
      </c>
      <c r="E50" s="1" t="s">
        <v>25</v>
      </c>
      <c r="F50" s="1" t="s">
        <v>26</v>
      </c>
      <c r="G50" s="1" t="s">
        <v>21</v>
      </c>
      <c r="H50" s="6">
        <v>1</v>
      </c>
      <c r="I50" s="7">
        <v>0</v>
      </c>
      <c r="J50" s="5">
        <v>45936</v>
      </c>
      <c r="K50" s="1" t="s">
        <v>22</v>
      </c>
      <c r="L50" s="8">
        <v>0</v>
      </c>
      <c r="M50" s="6"/>
      <c r="N50" s="6"/>
      <c r="O50" s="9">
        <v>-4.6399999999999997</v>
      </c>
    </row>
    <row r="51" spans="1:15" ht="19.5" customHeight="1">
      <c r="A51" s="1" t="s">
        <v>53</v>
      </c>
      <c r="B51" s="5">
        <v>45936</v>
      </c>
      <c r="C51" s="1" t="s">
        <v>17</v>
      </c>
      <c r="D51" s="1" t="s">
        <v>18</v>
      </c>
      <c r="E51" s="1" t="s">
        <v>54</v>
      </c>
      <c r="F51" s="1" t="s">
        <v>55</v>
      </c>
      <c r="G51" s="1" t="s">
        <v>21</v>
      </c>
      <c r="H51" s="6">
        <v>1</v>
      </c>
      <c r="I51" s="7">
        <v>0</v>
      </c>
      <c r="J51" s="5">
        <v>45922</v>
      </c>
      <c r="K51" s="1" t="s">
        <v>22</v>
      </c>
      <c r="L51" s="8">
        <v>0</v>
      </c>
      <c r="M51" s="6"/>
      <c r="N51" s="6"/>
      <c r="O51" s="9">
        <v>-12.89</v>
      </c>
    </row>
    <row r="52" spans="1:15" ht="19.5" customHeight="1">
      <c r="A52" s="1" t="s">
        <v>56</v>
      </c>
      <c r="B52" s="5">
        <v>45936</v>
      </c>
      <c r="C52" s="1" t="s">
        <v>17</v>
      </c>
      <c r="D52" s="1" t="s">
        <v>18</v>
      </c>
      <c r="E52" s="1" t="s">
        <v>25</v>
      </c>
      <c r="F52" s="1" t="s">
        <v>26</v>
      </c>
      <c r="G52" s="1" t="s">
        <v>21</v>
      </c>
      <c r="H52" s="6">
        <v>1</v>
      </c>
      <c r="I52" s="7">
        <v>0</v>
      </c>
      <c r="J52" s="5">
        <v>45934</v>
      </c>
      <c r="K52" s="1" t="s">
        <v>22</v>
      </c>
      <c r="L52" s="8">
        <v>0</v>
      </c>
      <c r="M52" s="6"/>
      <c r="N52" s="6"/>
      <c r="O52" s="9">
        <v>-5.98</v>
      </c>
    </row>
    <row r="53" spans="1:15" ht="19.5" customHeight="1">
      <c r="A53" s="1" t="s">
        <v>58</v>
      </c>
      <c r="B53" s="5">
        <v>45936</v>
      </c>
      <c r="C53" s="1" t="s">
        <v>17</v>
      </c>
      <c r="D53" s="1" t="s">
        <v>18</v>
      </c>
      <c r="E53" s="1" t="s">
        <v>25</v>
      </c>
      <c r="F53" s="1" t="s">
        <v>26</v>
      </c>
      <c r="G53" s="1" t="s">
        <v>21</v>
      </c>
      <c r="H53" s="6">
        <v>1</v>
      </c>
      <c r="I53" s="7">
        <v>0</v>
      </c>
      <c r="J53" s="5">
        <v>45936</v>
      </c>
      <c r="K53" s="1" t="s">
        <v>22</v>
      </c>
      <c r="L53" s="8">
        <v>0</v>
      </c>
      <c r="M53" s="6"/>
      <c r="N53" s="6"/>
      <c r="O53" s="9">
        <v>-12.9</v>
      </c>
    </row>
    <row r="54" spans="1:15" ht="19.5" customHeight="1">
      <c r="A54" s="1" t="s">
        <v>59</v>
      </c>
      <c r="B54" s="5">
        <v>45936</v>
      </c>
      <c r="C54" s="1" t="s">
        <v>28</v>
      </c>
      <c r="D54" s="1" t="s">
        <v>60</v>
      </c>
      <c r="E54" s="1" t="s">
        <v>51</v>
      </c>
      <c r="F54" s="1" t="s">
        <v>52</v>
      </c>
      <c r="G54" s="1" t="s">
        <v>41</v>
      </c>
      <c r="H54" s="6">
        <v>1</v>
      </c>
      <c r="I54" s="7">
        <v>0</v>
      </c>
      <c r="J54" s="5">
        <v>45928</v>
      </c>
      <c r="K54" s="1" t="s">
        <v>30</v>
      </c>
      <c r="L54" s="8">
        <v>0</v>
      </c>
      <c r="M54" s="6"/>
      <c r="N54" s="6"/>
      <c r="O54" s="9">
        <v>0</v>
      </c>
    </row>
    <row r="55" spans="1:15" ht="19.5" customHeight="1">
      <c r="A55" s="1" t="s">
        <v>59</v>
      </c>
      <c r="B55" s="5">
        <v>45936</v>
      </c>
      <c r="C55" s="1" t="s">
        <v>28</v>
      </c>
      <c r="D55" s="1" t="s">
        <v>46</v>
      </c>
      <c r="E55" s="1" t="s">
        <v>51</v>
      </c>
      <c r="F55" s="1" t="s">
        <v>52</v>
      </c>
      <c r="G55" s="1" t="s">
        <v>41</v>
      </c>
      <c r="H55" s="6">
        <v>1</v>
      </c>
      <c r="I55" s="7">
        <v>0</v>
      </c>
      <c r="J55" s="5">
        <v>45928</v>
      </c>
      <c r="K55" s="1" t="s">
        <v>30</v>
      </c>
      <c r="L55" s="8">
        <v>0</v>
      </c>
      <c r="M55" s="6"/>
      <c r="N55" s="6"/>
      <c r="O55" s="9">
        <v>-56</v>
      </c>
    </row>
    <row r="56" spans="1:15" ht="19.5" customHeight="1">
      <c r="A56" s="1" t="s">
        <v>59</v>
      </c>
      <c r="B56" s="5">
        <v>45936</v>
      </c>
      <c r="C56" s="1" t="s">
        <v>17</v>
      </c>
      <c r="D56" s="1" t="s">
        <v>47</v>
      </c>
      <c r="E56" s="1" t="s">
        <v>51</v>
      </c>
      <c r="F56" s="1" t="s">
        <v>52</v>
      </c>
      <c r="G56" s="1" t="s">
        <v>41</v>
      </c>
      <c r="H56" s="6">
        <v>1</v>
      </c>
      <c r="I56" s="7">
        <v>0</v>
      </c>
      <c r="J56" s="5">
        <v>45928</v>
      </c>
      <c r="K56" s="1" t="s">
        <v>30</v>
      </c>
      <c r="L56" s="8">
        <v>0</v>
      </c>
      <c r="M56" s="6"/>
      <c r="N56" s="6"/>
      <c r="O56" s="9">
        <v>-15</v>
      </c>
    </row>
    <row r="57" spans="1:15" ht="19.5" customHeight="1">
      <c r="A57" s="1" t="s">
        <v>61</v>
      </c>
      <c r="B57" s="5">
        <v>45936</v>
      </c>
      <c r="C57" s="1" t="s">
        <v>28</v>
      </c>
      <c r="D57" s="1" t="s">
        <v>29</v>
      </c>
      <c r="E57" s="1" t="s">
        <v>62</v>
      </c>
      <c r="F57" s="1" t="s">
        <v>63</v>
      </c>
      <c r="G57" s="1" t="s">
        <v>41</v>
      </c>
      <c r="H57" s="6">
        <v>1</v>
      </c>
      <c r="I57" s="7">
        <v>3690</v>
      </c>
      <c r="J57" s="5">
        <v>45934</v>
      </c>
      <c r="K57" s="1" t="s">
        <v>30</v>
      </c>
      <c r="L57" s="8">
        <v>0.24</v>
      </c>
      <c r="M57" s="6"/>
      <c r="N57" s="6"/>
      <c r="O57" s="9">
        <v>-56</v>
      </c>
    </row>
    <row r="58" spans="1:15" ht="19.5" customHeight="1">
      <c r="A58" s="1" t="s">
        <v>61</v>
      </c>
      <c r="B58" s="5">
        <v>45936</v>
      </c>
      <c r="C58" s="1" t="s">
        <v>31</v>
      </c>
      <c r="D58" s="1" t="s">
        <v>32</v>
      </c>
      <c r="E58" s="1" t="s">
        <v>62</v>
      </c>
      <c r="F58" s="1" t="s">
        <v>63</v>
      </c>
      <c r="G58" s="1" t="s">
        <v>41</v>
      </c>
      <c r="H58" s="6">
        <v>1</v>
      </c>
      <c r="I58" s="7">
        <v>3690</v>
      </c>
      <c r="J58" s="5">
        <v>45934</v>
      </c>
      <c r="K58" s="1" t="s">
        <v>30</v>
      </c>
      <c r="L58" s="8">
        <v>0</v>
      </c>
      <c r="M58" s="6"/>
      <c r="N58" s="6"/>
      <c r="O58" s="9">
        <v>2201.9</v>
      </c>
    </row>
    <row r="59" spans="1:15" ht="19.5" customHeight="1">
      <c r="A59" s="1" t="s">
        <v>61</v>
      </c>
      <c r="B59" s="5">
        <v>45936</v>
      </c>
      <c r="C59" s="1" t="s">
        <v>31</v>
      </c>
      <c r="D59" s="1" t="s">
        <v>33</v>
      </c>
      <c r="E59" s="1" t="s">
        <v>62</v>
      </c>
      <c r="F59" s="1" t="s">
        <v>63</v>
      </c>
      <c r="G59" s="1" t="s">
        <v>41</v>
      </c>
      <c r="H59" s="6">
        <v>1</v>
      </c>
      <c r="I59" s="7">
        <v>3690</v>
      </c>
      <c r="J59" s="5">
        <v>45934</v>
      </c>
      <c r="K59" s="1" t="s">
        <v>30</v>
      </c>
      <c r="L59" s="8">
        <v>0</v>
      </c>
      <c r="M59" s="6"/>
      <c r="N59" s="6"/>
      <c r="O59" s="9">
        <v>22.02</v>
      </c>
    </row>
    <row r="60" spans="1:15" ht="19.5" customHeight="1">
      <c r="A60" s="1" t="s">
        <v>61</v>
      </c>
      <c r="B60" s="5">
        <v>45936</v>
      </c>
      <c r="C60" s="1" t="s">
        <v>31</v>
      </c>
      <c r="D60" s="1" t="s">
        <v>34</v>
      </c>
      <c r="E60" s="1" t="s">
        <v>62</v>
      </c>
      <c r="F60" s="1" t="s">
        <v>63</v>
      </c>
      <c r="G60" s="1" t="s">
        <v>41</v>
      </c>
      <c r="H60" s="6">
        <v>1</v>
      </c>
      <c r="I60" s="7">
        <v>3690</v>
      </c>
      <c r="J60" s="5">
        <v>45934</v>
      </c>
      <c r="K60" s="1" t="s">
        <v>30</v>
      </c>
      <c r="L60" s="8">
        <v>0</v>
      </c>
      <c r="M60" s="6"/>
      <c r="N60" s="6"/>
      <c r="O60" s="9">
        <v>1466.08</v>
      </c>
    </row>
    <row r="61" spans="1:15" ht="19.5" customHeight="1">
      <c r="A61" s="1" t="s">
        <v>61</v>
      </c>
      <c r="B61" s="5">
        <v>45936</v>
      </c>
      <c r="C61" s="1" t="s">
        <v>35</v>
      </c>
      <c r="D61" s="1" t="s">
        <v>36</v>
      </c>
      <c r="E61" s="1" t="s">
        <v>62</v>
      </c>
      <c r="F61" s="1" t="s">
        <v>63</v>
      </c>
      <c r="G61" s="1" t="s">
        <v>41</v>
      </c>
      <c r="H61" s="6">
        <v>1</v>
      </c>
      <c r="I61" s="7">
        <v>3690</v>
      </c>
      <c r="J61" s="5">
        <v>45934</v>
      </c>
      <c r="K61" s="1" t="s">
        <v>30</v>
      </c>
      <c r="L61" s="8">
        <v>0.24</v>
      </c>
      <c r="M61" s="6"/>
      <c r="N61" s="6"/>
      <c r="O61" s="9">
        <v>-885.6</v>
      </c>
    </row>
    <row r="62" spans="1:15" ht="19.5" customHeight="1">
      <c r="A62" s="1" t="s">
        <v>61</v>
      </c>
      <c r="B62" s="5">
        <v>45936</v>
      </c>
      <c r="C62" s="1" t="s">
        <v>17</v>
      </c>
      <c r="D62" s="1" t="s">
        <v>37</v>
      </c>
      <c r="E62" s="1" t="s">
        <v>62</v>
      </c>
      <c r="F62" s="1" t="s">
        <v>63</v>
      </c>
      <c r="G62" s="1" t="s">
        <v>41</v>
      </c>
      <c r="H62" s="6">
        <v>1</v>
      </c>
      <c r="I62" s="7">
        <v>3690</v>
      </c>
      <c r="J62" s="5">
        <v>45934</v>
      </c>
      <c r="K62" s="1" t="s">
        <v>30</v>
      </c>
      <c r="L62" s="8">
        <v>0.24</v>
      </c>
      <c r="M62" s="6"/>
      <c r="N62" s="6"/>
      <c r="O62" s="9">
        <v>-12.25</v>
      </c>
    </row>
    <row r="63" spans="1:15" ht="19.5" customHeight="1">
      <c r="A63" s="1" t="s">
        <v>61</v>
      </c>
      <c r="B63" s="5">
        <v>45936</v>
      </c>
      <c r="C63" s="1" t="s">
        <v>17</v>
      </c>
      <c r="D63" s="1" t="s">
        <v>18</v>
      </c>
      <c r="E63" s="1" t="s">
        <v>62</v>
      </c>
      <c r="F63" s="1" t="s">
        <v>63</v>
      </c>
      <c r="G63" s="1" t="s">
        <v>41</v>
      </c>
      <c r="H63" s="6">
        <v>1</v>
      </c>
      <c r="I63" s="7">
        <v>0</v>
      </c>
      <c r="J63" s="5">
        <v>45934</v>
      </c>
      <c r="K63" s="1" t="s">
        <v>22</v>
      </c>
      <c r="L63" s="8">
        <v>0</v>
      </c>
      <c r="M63" s="6"/>
      <c r="N63" s="6"/>
      <c r="O63" s="9">
        <v>-41.84</v>
      </c>
    </row>
    <row r="64" spans="1:15" ht="19.5" customHeight="1">
      <c r="A64" s="1" t="s">
        <v>64</v>
      </c>
      <c r="B64" s="5">
        <v>45936</v>
      </c>
      <c r="C64" s="1" t="s">
        <v>28</v>
      </c>
      <c r="D64" s="1" t="s">
        <v>29</v>
      </c>
      <c r="E64" s="1" t="s">
        <v>25</v>
      </c>
      <c r="F64" s="1" t="s">
        <v>26</v>
      </c>
      <c r="G64" s="1" t="s">
        <v>21</v>
      </c>
      <c r="H64" s="6">
        <v>1</v>
      </c>
      <c r="I64" s="7">
        <v>1200</v>
      </c>
      <c r="J64" s="5">
        <v>45927</v>
      </c>
      <c r="K64" s="1" t="s">
        <v>30</v>
      </c>
      <c r="L64" s="8">
        <v>0.26</v>
      </c>
      <c r="M64" s="6"/>
      <c r="N64" s="6"/>
      <c r="O64" s="9">
        <v>-46</v>
      </c>
    </row>
    <row r="65" spans="1:15" ht="19.5" customHeight="1">
      <c r="A65" s="1" t="s">
        <v>64</v>
      </c>
      <c r="B65" s="5">
        <v>45936</v>
      </c>
      <c r="C65" s="1" t="s">
        <v>31</v>
      </c>
      <c r="D65" s="1" t="s">
        <v>32</v>
      </c>
      <c r="E65" s="1" t="s">
        <v>25</v>
      </c>
      <c r="F65" s="1" t="s">
        <v>26</v>
      </c>
      <c r="G65" s="1" t="s">
        <v>21</v>
      </c>
      <c r="H65" s="6">
        <v>1</v>
      </c>
      <c r="I65" s="7">
        <v>1200</v>
      </c>
      <c r="J65" s="5">
        <v>45927</v>
      </c>
      <c r="K65" s="1" t="s">
        <v>30</v>
      </c>
      <c r="L65" s="8">
        <v>0</v>
      </c>
      <c r="M65" s="6"/>
      <c r="N65" s="6"/>
      <c r="O65" s="9">
        <v>720.95</v>
      </c>
    </row>
    <row r="66" spans="1:15" ht="19.5" customHeight="1">
      <c r="A66" s="1" t="s">
        <v>64</v>
      </c>
      <c r="B66" s="5">
        <v>45936</v>
      </c>
      <c r="C66" s="1" t="s">
        <v>31</v>
      </c>
      <c r="D66" s="1" t="s">
        <v>33</v>
      </c>
      <c r="E66" s="1" t="s">
        <v>25</v>
      </c>
      <c r="F66" s="1" t="s">
        <v>26</v>
      </c>
      <c r="G66" s="1" t="s">
        <v>21</v>
      </c>
      <c r="H66" s="6">
        <v>1</v>
      </c>
      <c r="I66" s="7">
        <v>1200</v>
      </c>
      <c r="J66" s="5">
        <v>45927</v>
      </c>
      <c r="K66" s="1" t="s">
        <v>30</v>
      </c>
      <c r="L66" s="8">
        <v>0</v>
      </c>
      <c r="M66" s="6"/>
      <c r="N66" s="6"/>
      <c r="O66" s="9">
        <v>5.3</v>
      </c>
    </row>
    <row r="67" spans="1:15" ht="19.5" customHeight="1">
      <c r="A67" s="1" t="s">
        <v>64</v>
      </c>
      <c r="B67" s="5">
        <v>45936</v>
      </c>
      <c r="C67" s="1" t="s">
        <v>31</v>
      </c>
      <c r="D67" s="1" t="s">
        <v>34</v>
      </c>
      <c r="E67" s="1" t="s">
        <v>25</v>
      </c>
      <c r="F67" s="1" t="s">
        <v>26</v>
      </c>
      <c r="G67" s="1" t="s">
        <v>21</v>
      </c>
      <c r="H67" s="6">
        <v>1</v>
      </c>
      <c r="I67" s="7">
        <v>1200</v>
      </c>
      <c r="J67" s="5">
        <v>45927</v>
      </c>
      <c r="K67" s="1" t="s">
        <v>30</v>
      </c>
      <c r="L67" s="8">
        <v>0</v>
      </c>
      <c r="M67" s="6"/>
      <c r="N67" s="6"/>
      <c r="O67" s="9">
        <v>473.75</v>
      </c>
    </row>
    <row r="68" spans="1:15" ht="19.5" customHeight="1">
      <c r="A68" s="1" t="s">
        <v>64</v>
      </c>
      <c r="B68" s="5">
        <v>45936</v>
      </c>
      <c r="C68" s="1" t="s">
        <v>35</v>
      </c>
      <c r="D68" s="1" t="s">
        <v>36</v>
      </c>
      <c r="E68" s="1" t="s">
        <v>25</v>
      </c>
      <c r="F68" s="1" t="s">
        <v>26</v>
      </c>
      <c r="G68" s="1" t="s">
        <v>21</v>
      </c>
      <c r="H68" s="6">
        <v>1</v>
      </c>
      <c r="I68" s="7">
        <v>1200</v>
      </c>
      <c r="J68" s="5">
        <v>45927</v>
      </c>
      <c r="K68" s="1" t="s">
        <v>30</v>
      </c>
      <c r="L68" s="8">
        <v>0.26</v>
      </c>
      <c r="M68" s="6"/>
      <c r="N68" s="6"/>
      <c r="O68" s="9">
        <v>-312</v>
      </c>
    </row>
    <row r="69" spans="1:15" ht="19.5" customHeight="1">
      <c r="A69" s="1" t="s">
        <v>65</v>
      </c>
      <c r="B69" s="5">
        <v>45936</v>
      </c>
      <c r="C69" s="1" t="s">
        <v>28</v>
      </c>
      <c r="D69" s="1" t="s">
        <v>45</v>
      </c>
      <c r="E69" s="1" t="s">
        <v>66</v>
      </c>
      <c r="F69" s="1" t="s">
        <v>67</v>
      </c>
      <c r="G69" s="1" t="s">
        <v>41</v>
      </c>
      <c r="H69" s="6">
        <v>1</v>
      </c>
      <c r="I69" s="7">
        <v>0</v>
      </c>
      <c r="J69" s="5">
        <v>45930</v>
      </c>
      <c r="K69" s="1" t="s">
        <v>30</v>
      </c>
      <c r="L69" s="8">
        <v>0</v>
      </c>
      <c r="M69" s="6"/>
      <c r="N69" s="6"/>
      <c r="O69" s="9">
        <v>0</v>
      </c>
    </row>
    <row r="70" spans="1:15" ht="19.5" customHeight="1">
      <c r="A70" s="1" t="s">
        <v>65</v>
      </c>
      <c r="B70" s="5">
        <v>45936</v>
      </c>
      <c r="C70" s="1" t="s">
        <v>28</v>
      </c>
      <c r="D70" s="1" t="s">
        <v>46</v>
      </c>
      <c r="E70" s="1" t="s">
        <v>66</v>
      </c>
      <c r="F70" s="1" t="s">
        <v>67</v>
      </c>
      <c r="G70" s="1" t="s">
        <v>41</v>
      </c>
      <c r="H70" s="6">
        <v>1</v>
      </c>
      <c r="I70" s="7">
        <v>0</v>
      </c>
      <c r="J70" s="5">
        <v>45930</v>
      </c>
      <c r="K70" s="1" t="s">
        <v>30</v>
      </c>
      <c r="L70" s="8">
        <v>0</v>
      </c>
      <c r="M70" s="6"/>
      <c r="N70" s="6"/>
      <c r="O70" s="9">
        <v>-56</v>
      </c>
    </row>
    <row r="71" spans="1:15" ht="19.5" customHeight="1">
      <c r="A71" s="1" t="s">
        <v>65</v>
      </c>
      <c r="B71" s="5">
        <v>45936</v>
      </c>
      <c r="C71" s="1" t="s">
        <v>17</v>
      </c>
      <c r="D71" s="1" t="s">
        <v>47</v>
      </c>
      <c r="E71" s="1" t="s">
        <v>66</v>
      </c>
      <c r="F71" s="1" t="s">
        <v>67</v>
      </c>
      <c r="G71" s="1" t="s">
        <v>41</v>
      </c>
      <c r="H71" s="6">
        <v>1</v>
      </c>
      <c r="I71" s="7">
        <v>0</v>
      </c>
      <c r="J71" s="5">
        <v>45930</v>
      </c>
      <c r="K71" s="1" t="s">
        <v>30</v>
      </c>
      <c r="L71" s="8">
        <v>0</v>
      </c>
      <c r="M71" s="6"/>
      <c r="N71" s="6"/>
      <c r="O71" s="9">
        <v>-15</v>
      </c>
    </row>
    <row r="72" spans="1:15" ht="19.5" customHeight="1">
      <c r="A72" s="1" t="s">
        <v>65</v>
      </c>
      <c r="B72" s="5">
        <v>45936</v>
      </c>
      <c r="C72" s="1" t="s">
        <v>28</v>
      </c>
      <c r="D72" s="1" t="s">
        <v>29</v>
      </c>
      <c r="E72" s="1" t="s">
        <v>66</v>
      </c>
      <c r="F72" s="1" t="s">
        <v>67</v>
      </c>
      <c r="G72" s="1" t="s">
        <v>41</v>
      </c>
      <c r="H72" s="6">
        <v>1</v>
      </c>
      <c r="I72" s="7">
        <v>0</v>
      </c>
      <c r="J72" s="5">
        <v>45930</v>
      </c>
      <c r="K72" s="1" t="s">
        <v>30</v>
      </c>
      <c r="L72" s="8">
        <v>0</v>
      </c>
      <c r="M72" s="6"/>
      <c r="N72" s="6"/>
      <c r="O72" s="9">
        <v>-56</v>
      </c>
    </row>
    <row r="73" spans="1:15" ht="19.5" customHeight="1">
      <c r="A73" s="1" t="s">
        <v>65</v>
      </c>
      <c r="B73" s="5">
        <v>45936</v>
      </c>
      <c r="C73" s="1" t="s">
        <v>17</v>
      </c>
      <c r="D73" s="1" t="s">
        <v>37</v>
      </c>
      <c r="E73" s="1" t="s">
        <v>66</v>
      </c>
      <c r="F73" s="1" t="s">
        <v>67</v>
      </c>
      <c r="G73" s="1" t="s">
        <v>41</v>
      </c>
      <c r="H73" s="6">
        <v>1</v>
      </c>
      <c r="I73" s="7">
        <v>0</v>
      </c>
      <c r="J73" s="5">
        <v>45930</v>
      </c>
      <c r="K73" s="1" t="s">
        <v>30</v>
      </c>
      <c r="L73" s="8">
        <v>0</v>
      </c>
      <c r="M73" s="6"/>
      <c r="N73" s="6"/>
      <c r="O73" s="9">
        <v>-8.66</v>
      </c>
    </row>
    <row r="74" spans="1:15" ht="19.5" customHeight="1">
      <c r="A74" s="1" t="s">
        <v>68</v>
      </c>
      <c r="B74" s="5">
        <v>45936</v>
      </c>
      <c r="C74" s="1" t="s">
        <v>28</v>
      </c>
      <c r="D74" s="1" t="s">
        <v>29</v>
      </c>
      <c r="E74" s="1" t="s">
        <v>66</v>
      </c>
      <c r="F74" s="1" t="s">
        <v>67</v>
      </c>
      <c r="G74" s="1" t="s">
        <v>41</v>
      </c>
      <c r="H74" s="6">
        <v>1</v>
      </c>
      <c r="I74" s="7">
        <v>5000</v>
      </c>
      <c r="J74" s="5">
        <v>45935</v>
      </c>
      <c r="K74" s="1" t="s">
        <v>30</v>
      </c>
      <c r="L74" s="8">
        <v>0.24</v>
      </c>
      <c r="M74" s="6"/>
      <c r="N74" s="6"/>
      <c r="O74" s="9">
        <v>-56</v>
      </c>
    </row>
    <row r="75" spans="1:15" ht="19.5" customHeight="1">
      <c r="A75" s="1" t="s">
        <v>68</v>
      </c>
      <c r="B75" s="5">
        <v>45936</v>
      </c>
      <c r="C75" s="1" t="s">
        <v>31</v>
      </c>
      <c r="D75" s="1" t="s">
        <v>32</v>
      </c>
      <c r="E75" s="1" t="s">
        <v>66</v>
      </c>
      <c r="F75" s="1" t="s">
        <v>67</v>
      </c>
      <c r="G75" s="1" t="s">
        <v>41</v>
      </c>
      <c r="H75" s="6">
        <v>1</v>
      </c>
      <c r="I75" s="7">
        <v>5000</v>
      </c>
      <c r="J75" s="5">
        <v>45935</v>
      </c>
      <c r="K75" s="1" t="s">
        <v>30</v>
      </c>
      <c r="L75" s="8">
        <v>0</v>
      </c>
      <c r="M75" s="6"/>
      <c r="N75" s="6"/>
      <c r="O75" s="9">
        <v>2968.61</v>
      </c>
    </row>
    <row r="76" spans="1:15" ht="19.5" customHeight="1">
      <c r="A76" s="1" t="s">
        <v>68</v>
      </c>
      <c r="B76" s="5">
        <v>45936</v>
      </c>
      <c r="C76" s="1" t="s">
        <v>31</v>
      </c>
      <c r="D76" s="1" t="s">
        <v>33</v>
      </c>
      <c r="E76" s="1" t="s">
        <v>66</v>
      </c>
      <c r="F76" s="1" t="s">
        <v>67</v>
      </c>
      <c r="G76" s="1" t="s">
        <v>41</v>
      </c>
      <c r="H76" s="6">
        <v>1</v>
      </c>
      <c r="I76" s="7">
        <v>5000</v>
      </c>
      <c r="J76" s="5">
        <v>45935</v>
      </c>
      <c r="K76" s="1" t="s">
        <v>30</v>
      </c>
      <c r="L76" s="8">
        <v>0</v>
      </c>
      <c r="M76" s="6"/>
      <c r="N76" s="6"/>
      <c r="O76" s="9">
        <v>29.69</v>
      </c>
    </row>
    <row r="77" spans="1:15" ht="19.5" customHeight="1">
      <c r="A77" s="1" t="s">
        <v>68</v>
      </c>
      <c r="B77" s="5">
        <v>45936</v>
      </c>
      <c r="C77" s="1" t="s">
        <v>31</v>
      </c>
      <c r="D77" s="1" t="s">
        <v>34</v>
      </c>
      <c r="E77" s="1" t="s">
        <v>66</v>
      </c>
      <c r="F77" s="1" t="s">
        <v>67</v>
      </c>
      <c r="G77" s="1" t="s">
        <v>41</v>
      </c>
      <c r="H77" s="6">
        <v>1</v>
      </c>
      <c r="I77" s="7">
        <v>5000</v>
      </c>
      <c r="J77" s="5">
        <v>45935</v>
      </c>
      <c r="K77" s="1" t="s">
        <v>30</v>
      </c>
      <c r="L77" s="8">
        <v>0</v>
      </c>
      <c r="M77" s="6"/>
      <c r="N77" s="6"/>
      <c r="O77" s="9">
        <v>2001.7</v>
      </c>
    </row>
    <row r="78" spans="1:15" ht="19.5" customHeight="1">
      <c r="A78" s="1" t="s">
        <v>68</v>
      </c>
      <c r="B78" s="5">
        <v>45936</v>
      </c>
      <c r="C78" s="1" t="s">
        <v>35</v>
      </c>
      <c r="D78" s="1" t="s">
        <v>36</v>
      </c>
      <c r="E78" s="1" t="s">
        <v>66</v>
      </c>
      <c r="F78" s="1" t="s">
        <v>67</v>
      </c>
      <c r="G78" s="1" t="s">
        <v>41</v>
      </c>
      <c r="H78" s="6">
        <v>1</v>
      </c>
      <c r="I78" s="7">
        <v>5000</v>
      </c>
      <c r="J78" s="5">
        <v>45935</v>
      </c>
      <c r="K78" s="1" t="s">
        <v>30</v>
      </c>
      <c r="L78" s="8">
        <v>0.24</v>
      </c>
      <c r="M78" s="6"/>
      <c r="N78" s="6"/>
      <c r="O78" s="9">
        <v>-1200</v>
      </c>
    </row>
    <row r="79" spans="1:15" ht="19.5" customHeight="1">
      <c r="A79" s="1" t="s">
        <v>69</v>
      </c>
      <c r="B79" s="5">
        <v>45936</v>
      </c>
      <c r="C79" s="1" t="s">
        <v>28</v>
      </c>
      <c r="D79" s="1" t="s">
        <v>29</v>
      </c>
      <c r="E79" s="1" t="s">
        <v>70</v>
      </c>
      <c r="F79" s="1" t="s">
        <v>71</v>
      </c>
      <c r="G79" s="1" t="s">
        <v>41</v>
      </c>
      <c r="H79" s="6">
        <v>1</v>
      </c>
      <c r="I79" s="7">
        <v>0</v>
      </c>
      <c r="J79" s="5">
        <v>45931</v>
      </c>
      <c r="K79" s="1" t="s">
        <v>30</v>
      </c>
      <c r="L79" s="8">
        <v>0</v>
      </c>
      <c r="M79" s="6"/>
      <c r="N79" s="6"/>
      <c r="O79" s="9">
        <v>-56</v>
      </c>
    </row>
    <row r="80" spans="1:15" ht="19.5" customHeight="1">
      <c r="A80" s="1" t="s">
        <v>69</v>
      </c>
      <c r="B80" s="5">
        <v>45936</v>
      </c>
      <c r="C80" s="1" t="s">
        <v>17</v>
      </c>
      <c r="D80" s="1" t="s">
        <v>37</v>
      </c>
      <c r="E80" s="1" t="s">
        <v>70</v>
      </c>
      <c r="F80" s="1" t="s">
        <v>71</v>
      </c>
      <c r="G80" s="1" t="s">
        <v>41</v>
      </c>
      <c r="H80" s="6">
        <v>1</v>
      </c>
      <c r="I80" s="7">
        <v>0</v>
      </c>
      <c r="J80" s="5">
        <v>45931</v>
      </c>
      <c r="K80" s="1" t="s">
        <v>30</v>
      </c>
      <c r="L80" s="8">
        <v>0</v>
      </c>
      <c r="M80" s="6"/>
      <c r="N80" s="6"/>
      <c r="O80" s="9">
        <v>-9.2799999999999994</v>
      </c>
    </row>
    <row r="81" spans="1:15" ht="19.5" customHeight="1">
      <c r="A81" s="1" t="s">
        <v>72</v>
      </c>
      <c r="B81" s="5">
        <v>45936</v>
      </c>
      <c r="C81" s="1" t="s">
        <v>28</v>
      </c>
      <c r="D81" s="1" t="s">
        <v>29</v>
      </c>
      <c r="E81" s="1" t="s">
        <v>62</v>
      </c>
      <c r="F81" s="1" t="s">
        <v>63</v>
      </c>
      <c r="G81" s="1" t="s">
        <v>41</v>
      </c>
      <c r="H81" s="6">
        <v>1</v>
      </c>
      <c r="I81" s="7">
        <v>0</v>
      </c>
      <c r="J81" s="5">
        <v>45931</v>
      </c>
      <c r="K81" s="1" t="s">
        <v>30</v>
      </c>
      <c r="L81" s="8">
        <v>0</v>
      </c>
      <c r="M81" s="6"/>
      <c r="N81" s="6"/>
      <c r="O81" s="9">
        <v>-56</v>
      </c>
    </row>
    <row r="82" spans="1:15" ht="19.5" customHeight="1">
      <c r="A82" s="1" t="s">
        <v>72</v>
      </c>
      <c r="B82" s="5">
        <v>45936</v>
      </c>
      <c r="C82" s="1" t="s">
        <v>17</v>
      </c>
      <c r="D82" s="1" t="s">
        <v>37</v>
      </c>
      <c r="E82" s="1" t="s">
        <v>62</v>
      </c>
      <c r="F82" s="1" t="s">
        <v>63</v>
      </c>
      <c r="G82" s="1" t="s">
        <v>41</v>
      </c>
      <c r="H82" s="6">
        <v>1</v>
      </c>
      <c r="I82" s="7">
        <v>0</v>
      </c>
      <c r="J82" s="5">
        <v>45931</v>
      </c>
      <c r="K82" s="1" t="s">
        <v>30</v>
      </c>
      <c r="L82" s="8">
        <v>0</v>
      </c>
      <c r="M82" s="6"/>
      <c r="N82" s="6"/>
      <c r="O82" s="9">
        <v>-9.2899999999999991</v>
      </c>
    </row>
    <row r="83" spans="1:15" ht="19.5" customHeight="1">
      <c r="A83" s="1" t="s">
        <v>72</v>
      </c>
      <c r="B83" s="5">
        <v>45936</v>
      </c>
      <c r="C83" s="1" t="s">
        <v>28</v>
      </c>
      <c r="D83" s="1" t="s">
        <v>45</v>
      </c>
      <c r="E83" s="1" t="s">
        <v>62</v>
      </c>
      <c r="F83" s="1" t="s">
        <v>63</v>
      </c>
      <c r="G83" s="1" t="s">
        <v>41</v>
      </c>
      <c r="H83" s="6">
        <v>1</v>
      </c>
      <c r="I83" s="7">
        <v>0</v>
      </c>
      <c r="J83" s="5">
        <v>45931</v>
      </c>
      <c r="K83" s="1" t="s">
        <v>30</v>
      </c>
      <c r="L83" s="8">
        <v>0</v>
      </c>
      <c r="M83" s="6"/>
      <c r="N83" s="6"/>
      <c r="O83" s="9">
        <v>0</v>
      </c>
    </row>
    <row r="84" spans="1:15" ht="19.5" customHeight="1">
      <c r="A84" s="1" t="s">
        <v>72</v>
      </c>
      <c r="B84" s="5">
        <v>45936</v>
      </c>
      <c r="C84" s="1" t="s">
        <v>28</v>
      </c>
      <c r="D84" s="1" t="s">
        <v>46</v>
      </c>
      <c r="E84" s="1" t="s">
        <v>62</v>
      </c>
      <c r="F84" s="1" t="s">
        <v>63</v>
      </c>
      <c r="G84" s="1" t="s">
        <v>41</v>
      </c>
      <c r="H84" s="6">
        <v>1</v>
      </c>
      <c r="I84" s="7">
        <v>0</v>
      </c>
      <c r="J84" s="5">
        <v>45931</v>
      </c>
      <c r="K84" s="1" t="s">
        <v>30</v>
      </c>
      <c r="L84" s="8">
        <v>0</v>
      </c>
      <c r="M84" s="6"/>
      <c r="N84" s="6"/>
      <c r="O84" s="9">
        <v>-56</v>
      </c>
    </row>
    <row r="85" spans="1:15" ht="19.5" customHeight="1">
      <c r="A85" s="1" t="s">
        <v>72</v>
      </c>
      <c r="B85" s="5">
        <v>45936</v>
      </c>
      <c r="C85" s="1" t="s">
        <v>17</v>
      </c>
      <c r="D85" s="1" t="s">
        <v>47</v>
      </c>
      <c r="E85" s="1" t="s">
        <v>62</v>
      </c>
      <c r="F85" s="1" t="s">
        <v>63</v>
      </c>
      <c r="G85" s="1" t="s">
        <v>41</v>
      </c>
      <c r="H85" s="6">
        <v>1</v>
      </c>
      <c r="I85" s="7">
        <v>0</v>
      </c>
      <c r="J85" s="5">
        <v>45931</v>
      </c>
      <c r="K85" s="1" t="s">
        <v>30</v>
      </c>
      <c r="L85" s="8">
        <v>0</v>
      </c>
      <c r="M85" s="6"/>
      <c r="N85" s="6"/>
      <c r="O85" s="9">
        <v>-15</v>
      </c>
    </row>
    <row r="86" spans="1:15" ht="19.5" customHeight="1">
      <c r="A86" s="1" t="s">
        <v>69</v>
      </c>
      <c r="B86" s="5">
        <v>45936</v>
      </c>
      <c r="C86" s="1" t="s">
        <v>28</v>
      </c>
      <c r="D86" s="1" t="s">
        <v>45</v>
      </c>
      <c r="E86" s="1" t="s">
        <v>70</v>
      </c>
      <c r="F86" s="1" t="s">
        <v>71</v>
      </c>
      <c r="G86" s="1" t="s">
        <v>41</v>
      </c>
      <c r="H86" s="6">
        <v>1</v>
      </c>
      <c r="I86" s="7">
        <v>0</v>
      </c>
      <c r="J86" s="5">
        <v>45931</v>
      </c>
      <c r="K86" s="1" t="s">
        <v>30</v>
      </c>
      <c r="L86" s="8">
        <v>0</v>
      </c>
      <c r="M86" s="6"/>
      <c r="N86" s="6"/>
      <c r="O86" s="9">
        <v>0</v>
      </c>
    </row>
    <row r="87" spans="1:15" ht="19.5" customHeight="1">
      <c r="A87" s="1" t="s">
        <v>69</v>
      </c>
      <c r="B87" s="5">
        <v>45936</v>
      </c>
      <c r="C87" s="1" t="s">
        <v>28</v>
      </c>
      <c r="D87" s="1" t="s">
        <v>46</v>
      </c>
      <c r="E87" s="1" t="s">
        <v>70</v>
      </c>
      <c r="F87" s="1" t="s">
        <v>71</v>
      </c>
      <c r="G87" s="1" t="s">
        <v>41</v>
      </c>
      <c r="H87" s="6">
        <v>1</v>
      </c>
      <c r="I87" s="7">
        <v>0</v>
      </c>
      <c r="J87" s="5">
        <v>45931</v>
      </c>
      <c r="K87" s="1" t="s">
        <v>30</v>
      </c>
      <c r="L87" s="8">
        <v>0</v>
      </c>
      <c r="M87" s="6"/>
      <c r="N87" s="6"/>
      <c r="O87" s="9">
        <v>-56</v>
      </c>
    </row>
    <row r="88" spans="1:15" ht="19.5" customHeight="1">
      <c r="A88" s="1" t="s">
        <v>69</v>
      </c>
      <c r="B88" s="5">
        <v>45936</v>
      </c>
      <c r="C88" s="1" t="s">
        <v>17</v>
      </c>
      <c r="D88" s="1" t="s">
        <v>47</v>
      </c>
      <c r="E88" s="1" t="s">
        <v>70</v>
      </c>
      <c r="F88" s="1" t="s">
        <v>71</v>
      </c>
      <c r="G88" s="1" t="s">
        <v>41</v>
      </c>
      <c r="H88" s="6">
        <v>1</v>
      </c>
      <c r="I88" s="7">
        <v>0</v>
      </c>
      <c r="J88" s="5">
        <v>45931</v>
      </c>
      <c r="K88" s="1" t="s">
        <v>30</v>
      </c>
      <c r="L88" s="8">
        <v>0</v>
      </c>
      <c r="M88" s="6"/>
      <c r="N88" s="6"/>
      <c r="O88" s="9">
        <v>-15</v>
      </c>
    </row>
    <row r="89" spans="1:15" ht="19.5" customHeight="1">
      <c r="A89" s="1" t="s">
        <v>73</v>
      </c>
      <c r="B89" s="5">
        <v>45936</v>
      </c>
      <c r="C89" s="1" t="s">
        <v>74</v>
      </c>
      <c r="D89" s="1" t="s">
        <v>75</v>
      </c>
      <c r="E89" s="1" t="s">
        <v>51</v>
      </c>
      <c r="F89" s="1" t="s">
        <v>52</v>
      </c>
      <c r="G89" s="1" t="s">
        <v>41</v>
      </c>
      <c r="H89" s="6">
        <v>1</v>
      </c>
      <c r="I89" s="7">
        <v>0</v>
      </c>
      <c r="J89" s="5">
        <v>45930</v>
      </c>
      <c r="K89" s="1" t="s">
        <v>30</v>
      </c>
      <c r="L89" s="8">
        <v>0</v>
      </c>
      <c r="M89" s="6"/>
      <c r="N89" s="6"/>
      <c r="O89" s="9">
        <v>-5</v>
      </c>
    </row>
    <row r="90" spans="1:15" ht="19.5" customHeight="1">
      <c r="A90" s="1" t="s">
        <v>73</v>
      </c>
      <c r="B90" s="5">
        <v>45936</v>
      </c>
      <c r="C90" s="1" t="s">
        <v>17</v>
      </c>
      <c r="D90" s="1" t="s">
        <v>76</v>
      </c>
      <c r="E90" s="1" t="s">
        <v>51</v>
      </c>
      <c r="F90" s="1" t="s">
        <v>52</v>
      </c>
      <c r="G90" s="1" t="s">
        <v>41</v>
      </c>
      <c r="H90" s="6">
        <v>1</v>
      </c>
      <c r="I90" s="7">
        <v>0</v>
      </c>
      <c r="J90" s="5">
        <v>45930</v>
      </c>
      <c r="K90" s="1" t="s">
        <v>30</v>
      </c>
      <c r="L90" s="8">
        <v>0</v>
      </c>
      <c r="M90" s="6"/>
      <c r="N90" s="6"/>
      <c r="O90" s="9">
        <v>-10</v>
      </c>
    </row>
    <row r="91" spans="1:15" ht="19.5" customHeight="1">
      <c r="A91" s="1" t="s">
        <v>22</v>
      </c>
      <c r="B91" s="5">
        <v>45936</v>
      </c>
      <c r="C91" s="1" t="s">
        <v>77</v>
      </c>
      <c r="D91" s="1" t="s">
        <v>78</v>
      </c>
      <c r="E91" s="1" t="s">
        <v>22</v>
      </c>
      <c r="F91" s="1" t="s">
        <v>22</v>
      </c>
      <c r="G91" s="1" t="s">
        <v>79</v>
      </c>
      <c r="H91" s="6">
        <v>0</v>
      </c>
      <c r="I91" s="7">
        <v>0</v>
      </c>
      <c r="J91" s="5">
        <v>45936</v>
      </c>
      <c r="K91" s="1" t="s">
        <v>22</v>
      </c>
      <c r="L91" s="8">
        <v>0</v>
      </c>
      <c r="M91" s="6"/>
      <c r="N91" s="6"/>
      <c r="O91" s="9">
        <v>-200</v>
      </c>
    </row>
    <row r="92" spans="1:15" ht="19.5" customHeight="1">
      <c r="A92" s="1" t="s">
        <v>22</v>
      </c>
      <c r="B92" s="5">
        <v>45936</v>
      </c>
      <c r="C92" s="1" t="s">
        <v>77</v>
      </c>
      <c r="D92" s="1" t="s">
        <v>80</v>
      </c>
      <c r="E92" s="1" t="s">
        <v>22</v>
      </c>
      <c r="F92" s="1" t="s">
        <v>22</v>
      </c>
      <c r="G92" s="1" t="s">
        <v>22</v>
      </c>
      <c r="H92" s="6">
        <v>0</v>
      </c>
      <c r="I92" s="7">
        <v>0</v>
      </c>
      <c r="J92" s="5">
        <v>45936</v>
      </c>
      <c r="K92" s="1" t="s">
        <v>22</v>
      </c>
      <c r="L92" s="8">
        <v>0</v>
      </c>
      <c r="M92" s="6"/>
      <c r="N92" s="6"/>
      <c r="O92" s="9">
        <v>-288</v>
      </c>
    </row>
    <row r="93" spans="1:15" ht="19.5" customHeight="1">
      <c r="A93" s="1" t="s">
        <v>81</v>
      </c>
      <c r="B93" s="5">
        <v>45936</v>
      </c>
      <c r="C93" s="1" t="s">
        <v>77</v>
      </c>
      <c r="D93" s="1" t="s">
        <v>82</v>
      </c>
      <c r="E93" s="1" t="s">
        <v>22</v>
      </c>
      <c r="F93" s="1" t="s">
        <v>22</v>
      </c>
      <c r="G93" s="1" t="s">
        <v>22</v>
      </c>
      <c r="H93" s="6">
        <v>0</v>
      </c>
      <c r="I93" s="7">
        <v>0</v>
      </c>
      <c r="J93" s="5">
        <v>45936</v>
      </c>
      <c r="K93" s="1" t="s">
        <v>22</v>
      </c>
      <c r="L93" s="8">
        <v>0</v>
      </c>
      <c r="M93" s="6"/>
      <c r="N93" s="6"/>
      <c r="O93" s="9">
        <v>-1598.71</v>
      </c>
    </row>
    <row r="94" spans="1:15" ht="19.5" customHeight="1">
      <c r="A94" s="1" t="s">
        <v>83</v>
      </c>
      <c r="B94" s="5">
        <v>45936</v>
      </c>
      <c r="C94" s="1" t="s">
        <v>77</v>
      </c>
      <c r="D94" s="1" t="s">
        <v>84</v>
      </c>
      <c r="E94" s="1" t="s">
        <v>22</v>
      </c>
      <c r="F94" s="1" t="s">
        <v>22</v>
      </c>
      <c r="G94" s="1" t="s">
        <v>22</v>
      </c>
      <c r="H94" s="6">
        <v>0</v>
      </c>
      <c r="I94" s="7">
        <v>0</v>
      </c>
      <c r="J94" s="5">
        <v>45936</v>
      </c>
      <c r="K94" s="1" t="s">
        <v>22</v>
      </c>
      <c r="L94" s="8">
        <v>0</v>
      </c>
      <c r="M94" s="6"/>
      <c r="N94" s="6"/>
      <c r="O94" s="9">
        <v>-1578.12</v>
      </c>
    </row>
    <row r="95" spans="1:15" ht="19.5" customHeight="1">
      <c r="A95" s="1" t="s">
        <v>85</v>
      </c>
      <c r="B95" s="5">
        <v>45936</v>
      </c>
      <c r="C95" s="1" t="s">
        <v>77</v>
      </c>
      <c r="D95" s="1" t="s">
        <v>82</v>
      </c>
      <c r="E95" s="1" t="s">
        <v>22</v>
      </c>
      <c r="F95" s="1" t="s">
        <v>22</v>
      </c>
      <c r="G95" s="1" t="s">
        <v>22</v>
      </c>
      <c r="H95" s="6">
        <v>0</v>
      </c>
      <c r="I95" s="7">
        <v>0</v>
      </c>
      <c r="J95" s="5">
        <v>45936</v>
      </c>
      <c r="K95" s="1" t="s">
        <v>22</v>
      </c>
      <c r="L95" s="8">
        <v>0</v>
      </c>
      <c r="M95" s="6"/>
      <c r="N95" s="6"/>
      <c r="O95" s="9">
        <v>-886.74</v>
      </c>
    </row>
    <row r="96" spans="1:15" ht="19.5" customHeight="1">
      <c r="A96" s="1" t="s">
        <v>86</v>
      </c>
      <c r="B96" s="5">
        <v>45936</v>
      </c>
      <c r="C96" s="1" t="s">
        <v>77</v>
      </c>
      <c r="D96" s="1" t="s">
        <v>82</v>
      </c>
      <c r="E96" s="1" t="s">
        <v>22</v>
      </c>
      <c r="F96" s="1" t="s">
        <v>22</v>
      </c>
      <c r="G96" s="1" t="s">
        <v>22</v>
      </c>
      <c r="H96" s="6">
        <v>0</v>
      </c>
      <c r="I96" s="7">
        <v>0</v>
      </c>
      <c r="J96" s="5">
        <v>45936</v>
      </c>
      <c r="K96" s="1" t="s">
        <v>22</v>
      </c>
      <c r="L96" s="8">
        <v>0</v>
      </c>
      <c r="M96" s="6"/>
      <c r="N96" s="6"/>
      <c r="O96" s="9">
        <v>-1618.21</v>
      </c>
    </row>
    <row r="97" spans="1:15" ht="19.5" customHeight="1">
      <c r="A97" s="1" t="s">
        <v>87</v>
      </c>
      <c r="B97" s="5">
        <v>45937</v>
      </c>
      <c r="C97" s="1" t="s">
        <v>28</v>
      </c>
      <c r="D97" s="1" t="s">
        <v>29</v>
      </c>
      <c r="E97" s="1" t="s">
        <v>88</v>
      </c>
      <c r="F97" s="1" t="s">
        <v>89</v>
      </c>
      <c r="G97" s="1" t="s">
        <v>21</v>
      </c>
      <c r="H97" s="6">
        <v>1</v>
      </c>
      <c r="I97" s="7">
        <v>0</v>
      </c>
      <c r="J97" s="5">
        <v>45925</v>
      </c>
      <c r="K97" s="1" t="s">
        <v>30</v>
      </c>
      <c r="L97" s="8">
        <v>0</v>
      </c>
      <c r="M97" s="6"/>
      <c r="N97" s="6"/>
      <c r="O97" s="9">
        <v>-46</v>
      </c>
    </row>
    <row r="98" spans="1:15" ht="19.5" customHeight="1">
      <c r="A98" s="1" t="s">
        <v>87</v>
      </c>
      <c r="B98" s="5">
        <v>45937</v>
      </c>
      <c r="C98" s="1" t="s">
        <v>17</v>
      </c>
      <c r="D98" s="1" t="s">
        <v>37</v>
      </c>
      <c r="E98" s="1" t="s">
        <v>88</v>
      </c>
      <c r="F98" s="1" t="s">
        <v>89</v>
      </c>
      <c r="G98" s="1" t="s">
        <v>21</v>
      </c>
      <c r="H98" s="6">
        <v>1</v>
      </c>
      <c r="I98" s="7">
        <v>0</v>
      </c>
      <c r="J98" s="5">
        <v>45925</v>
      </c>
      <c r="K98" s="1" t="s">
        <v>30</v>
      </c>
      <c r="L98" s="8">
        <v>0</v>
      </c>
      <c r="M98" s="6"/>
      <c r="N98" s="6"/>
      <c r="O98" s="9">
        <v>-17.440000000000001</v>
      </c>
    </row>
    <row r="99" spans="1:15" ht="19.5" customHeight="1">
      <c r="A99" s="1" t="s">
        <v>87</v>
      </c>
      <c r="B99" s="5">
        <v>45937</v>
      </c>
      <c r="C99" s="1" t="s">
        <v>28</v>
      </c>
      <c r="D99" s="1" t="s">
        <v>45</v>
      </c>
      <c r="E99" s="1" t="s">
        <v>88</v>
      </c>
      <c r="F99" s="1" t="s">
        <v>89</v>
      </c>
      <c r="G99" s="1" t="s">
        <v>21</v>
      </c>
      <c r="H99" s="6">
        <v>1</v>
      </c>
      <c r="I99" s="7">
        <v>0</v>
      </c>
      <c r="J99" s="5">
        <v>45925</v>
      </c>
      <c r="K99" s="1" t="s">
        <v>30</v>
      </c>
      <c r="L99" s="8">
        <v>0</v>
      </c>
      <c r="M99" s="6"/>
      <c r="N99" s="6"/>
      <c r="O99" s="9">
        <v>0</v>
      </c>
    </row>
    <row r="100" spans="1:15" ht="19.5" customHeight="1">
      <c r="A100" s="1" t="s">
        <v>87</v>
      </c>
      <c r="B100" s="5">
        <v>45937</v>
      </c>
      <c r="C100" s="1" t="s">
        <v>28</v>
      </c>
      <c r="D100" s="1" t="s">
        <v>46</v>
      </c>
      <c r="E100" s="1" t="s">
        <v>88</v>
      </c>
      <c r="F100" s="1" t="s">
        <v>89</v>
      </c>
      <c r="G100" s="1" t="s">
        <v>21</v>
      </c>
      <c r="H100" s="6">
        <v>1</v>
      </c>
      <c r="I100" s="7">
        <v>0</v>
      </c>
      <c r="J100" s="5">
        <v>45925</v>
      </c>
      <c r="K100" s="1" t="s">
        <v>30</v>
      </c>
      <c r="L100" s="8">
        <v>0</v>
      </c>
      <c r="M100" s="6"/>
      <c r="N100" s="6"/>
      <c r="O100" s="9">
        <v>-46</v>
      </c>
    </row>
    <row r="101" spans="1:15" ht="19.5" customHeight="1">
      <c r="A101" s="1" t="s">
        <v>87</v>
      </c>
      <c r="B101" s="5">
        <v>45937</v>
      </c>
      <c r="C101" s="1" t="s">
        <v>17</v>
      </c>
      <c r="D101" s="1" t="s">
        <v>47</v>
      </c>
      <c r="E101" s="1" t="s">
        <v>88</v>
      </c>
      <c r="F101" s="1" t="s">
        <v>89</v>
      </c>
      <c r="G101" s="1" t="s">
        <v>21</v>
      </c>
      <c r="H101" s="6">
        <v>1</v>
      </c>
      <c r="I101" s="7">
        <v>0</v>
      </c>
      <c r="J101" s="5">
        <v>45925</v>
      </c>
      <c r="K101" s="1" t="s">
        <v>30</v>
      </c>
      <c r="L101" s="8">
        <v>0</v>
      </c>
      <c r="M101" s="6"/>
      <c r="N101" s="6"/>
      <c r="O101" s="9">
        <v>-15</v>
      </c>
    </row>
    <row r="102" spans="1:15" ht="19.5" customHeight="1">
      <c r="A102" s="1" t="s">
        <v>90</v>
      </c>
      <c r="B102" s="5">
        <v>45937</v>
      </c>
      <c r="C102" s="1" t="s">
        <v>28</v>
      </c>
      <c r="D102" s="1" t="s">
        <v>29</v>
      </c>
      <c r="E102" s="1" t="s">
        <v>25</v>
      </c>
      <c r="F102" s="1" t="s">
        <v>26</v>
      </c>
      <c r="G102" s="1" t="s">
        <v>21</v>
      </c>
      <c r="H102" s="6">
        <v>1</v>
      </c>
      <c r="I102" s="7">
        <v>0</v>
      </c>
      <c r="J102" s="5">
        <v>45925</v>
      </c>
      <c r="K102" s="1" t="s">
        <v>30</v>
      </c>
      <c r="L102" s="8">
        <v>0</v>
      </c>
      <c r="M102" s="6"/>
      <c r="N102" s="6"/>
      <c r="O102" s="9">
        <v>-46</v>
      </c>
    </row>
    <row r="103" spans="1:15" ht="19.5" customHeight="1">
      <c r="A103" s="1" t="s">
        <v>90</v>
      </c>
      <c r="B103" s="5">
        <v>45937</v>
      </c>
      <c r="C103" s="1" t="s">
        <v>17</v>
      </c>
      <c r="D103" s="1" t="s">
        <v>37</v>
      </c>
      <c r="E103" s="1" t="s">
        <v>25</v>
      </c>
      <c r="F103" s="1" t="s">
        <v>26</v>
      </c>
      <c r="G103" s="1" t="s">
        <v>21</v>
      </c>
      <c r="H103" s="6">
        <v>1</v>
      </c>
      <c r="I103" s="7">
        <v>0</v>
      </c>
      <c r="J103" s="5">
        <v>45925</v>
      </c>
      <c r="K103" s="1" t="s">
        <v>30</v>
      </c>
      <c r="L103" s="8">
        <v>0</v>
      </c>
      <c r="M103" s="6"/>
      <c r="N103" s="6"/>
      <c r="O103" s="9">
        <v>-15.1</v>
      </c>
    </row>
    <row r="104" spans="1:15" ht="19.5" customHeight="1">
      <c r="A104" s="1" t="s">
        <v>91</v>
      </c>
      <c r="B104" s="5">
        <v>45937</v>
      </c>
      <c r="C104" s="1" t="s">
        <v>28</v>
      </c>
      <c r="D104" s="1" t="s">
        <v>29</v>
      </c>
      <c r="E104" s="1" t="s">
        <v>92</v>
      </c>
      <c r="F104" s="1" t="s">
        <v>93</v>
      </c>
      <c r="G104" s="1" t="s">
        <v>21</v>
      </c>
      <c r="H104" s="6">
        <v>1</v>
      </c>
      <c r="I104" s="7">
        <v>0</v>
      </c>
      <c r="J104" s="5">
        <v>45925</v>
      </c>
      <c r="K104" s="1" t="s">
        <v>30</v>
      </c>
      <c r="L104" s="8">
        <v>0</v>
      </c>
      <c r="M104" s="6"/>
      <c r="N104" s="6"/>
      <c r="O104" s="9">
        <v>-46</v>
      </c>
    </row>
    <row r="105" spans="1:15" ht="19.5" customHeight="1">
      <c r="A105" s="1" t="s">
        <v>91</v>
      </c>
      <c r="B105" s="5">
        <v>45937</v>
      </c>
      <c r="C105" s="1" t="s">
        <v>17</v>
      </c>
      <c r="D105" s="1" t="s">
        <v>37</v>
      </c>
      <c r="E105" s="1" t="s">
        <v>92</v>
      </c>
      <c r="F105" s="1" t="s">
        <v>93</v>
      </c>
      <c r="G105" s="1" t="s">
        <v>21</v>
      </c>
      <c r="H105" s="6">
        <v>1</v>
      </c>
      <c r="I105" s="7">
        <v>0</v>
      </c>
      <c r="J105" s="5">
        <v>45925</v>
      </c>
      <c r="K105" s="1" t="s">
        <v>30</v>
      </c>
      <c r="L105" s="8">
        <v>0</v>
      </c>
      <c r="M105" s="6"/>
      <c r="N105" s="6"/>
      <c r="O105" s="9">
        <v>-16.190000000000001</v>
      </c>
    </row>
    <row r="106" spans="1:15" ht="19.5" customHeight="1">
      <c r="A106" s="1" t="s">
        <v>90</v>
      </c>
      <c r="B106" s="5">
        <v>45937</v>
      </c>
      <c r="C106" s="1" t="s">
        <v>28</v>
      </c>
      <c r="D106" s="1" t="s">
        <v>45</v>
      </c>
      <c r="E106" s="1" t="s">
        <v>25</v>
      </c>
      <c r="F106" s="1" t="s">
        <v>26</v>
      </c>
      <c r="G106" s="1" t="s">
        <v>21</v>
      </c>
      <c r="H106" s="6">
        <v>1</v>
      </c>
      <c r="I106" s="7">
        <v>0</v>
      </c>
      <c r="J106" s="5">
        <v>45925</v>
      </c>
      <c r="K106" s="1" t="s">
        <v>30</v>
      </c>
      <c r="L106" s="8">
        <v>0</v>
      </c>
      <c r="M106" s="6"/>
      <c r="N106" s="6"/>
      <c r="O106" s="9">
        <v>0</v>
      </c>
    </row>
    <row r="107" spans="1:15" ht="19.5" customHeight="1">
      <c r="A107" s="1" t="s">
        <v>90</v>
      </c>
      <c r="B107" s="5">
        <v>45937</v>
      </c>
      <c r="C107" s="1" t="s">
        <v>28</v>
      </c>
      <c r="D107" s="1" t="s">
        <v>46</v>
      </c>
      <c r="E107" s="1" t="s">
        <v>25</v>
      </c>
      <c r="F107" s="1" t="s">
        <v>26</v>
      </c>
      <c r="G107" s="1" t="s">
        <v>21</v>
      </c>
      <c r="H107" s="6">
        <v>1</v>
      </c>
      <c r="I107" s="7">
        <v>0</v>
      </c>
      <c r="J107" s="5">
        <v>45925</v>
      </c>
      <c r="K107" s="1" t="s">
        <v>30</v>
      </c>
      <c r="L107" s="8">
        <v>0</v>
      </c>
      <c r="M107" s="6"/>
      <c r="N107" s="6"/>
      <c r="O107" s="9">
        <v>-46</v>
      </c>
    </row>
    <row r="108" spans="1:15" ht="19.5" customHeight="1">
      <c r="A108" s="1" t="s">
        <v>90</v>
      </c>
      <c r="B108" s="5">
        <v>45937</v>
      </c>
      <c r="C108" s="1" t="s">
        <v>17</v>
      </c>
      <c r="D108" s="1" t="s">
        <v>47</v>
      </c>
      <c r="E108" s="1" t="s">
        <v>25</v>
      </c>
      <c r="F108" s="1" t="s">
        <v>26</v>
      </c>
      <c r="G108" s="1" t="s">
        <v>21</v>
      </c>
      <c r="H108" s="6">
        <v>1</v>
      </c>
      <c r="I108" s="7">
        <v>0</v>
      </c>
      <c r="J108" s="5">
        <v>45925</v>
      </c>
      <c r="K108" s="1" t="s">
        <v>30</v>
      </c>
      <c r="L108" s="8">
        <v>0</v>
      </c>
      <c r="M108" s="6"/>
      <c r="N108" s="6"/>
      <c r="O108" s="9">
        <v>-15</v>
      </c>
    </row>
    <row r="109" spans="1:15" ht="19.5" customHeight="1">
      <c r="A109" s="1" t="s">
        <v>91</v>
      </c>
      <c r="B109" s="5">
        <v>45937</v>
      </c>
      <c r="C109" s="1" t="s">
        <v>28</v>
      </c>
      <c r="D109" s="1" t="s">
        <v>45</v>
      </c>
      <c r="E109" s="1" t="s">
        <v>92</v>
      </c>
      <c r="F109" s="1" t="s">
        <v>93</v>
      </c>
      <c r="G109" s="1" t="s">
        <v>21</v>
      </c>
      <c r="H109" s="6">
        <v>1</v>
      </c>
      <c r="I109" s="7">
        <v>0</v>
      </c>
      <c r="J109" s="5">
        <v>45925</v>
      </c>
      <c r="K109" s="1" t="s">
        <v>30</v>
      </c>
      <c r="L109" s="8">
        <v>0</v>
      </c>
      <c r="M109" s="6"/>
      <c r="N109" s="6"/>
      <c r="O109" s="9">
        <v>0</v>
      </c>
    </row>
    <row r="110" spans="1:15" ht="19.5" customHeight="1">
      <c r="A110" s="1" t="s">
        <v>91</v>
      </c>
      <c r="B110" s="5">
        <v>45937</v>
      </c>
      <c r="C110" s="1" t="s">
        <v>28</v>
      </c>
      <c r="D110" s="1" t="s">
        <v>46</v>
      </c>
      <c r="E110" s="1" t="s">
        <v>92</v>
      </c>
      <c r="F110" s="1" t="s">
        <v>93</v>
      </c>
      <c r="G110" s="1" t="s">
        <v>21</v>
      </c>
      <c r="H110" s="6">
        <v>1</v>
      </c>
      <c r="I110" s="7">
        <v>0</v>
      </c>
      <c r="J110" s="5">
        <v>45925</v>
      </c>
      <c r="K110" s="1" t="s">
        <v>30</v>
      </c>
      <c r="L110" s="8">
        <v>0</v>
      </c>
      <c r="M110" s="6"/>
      <c r="N110" s="6"/>
      <c r="O110" s="9">
        <v>-46</v>
      </c>
    </row>
    <row r="111" spans="1:15" ht="19.5" customHeight="1">
      <c r="A111" s="1" t="s">
        <v>91</v>
      </c>
      <c r="B111" s="5">
        <v>45937</v>
      </c>
      <c r="C111" s="1" t="s">
        <v>17</v>
      </c>
      <c r="D111" s="1" t="s">
        <v>47</v>
      </c>
      <c r="E111" s="1" t="s">
        <v>92</v>
      </c>
      <c r="F111" s="1" t="s">
        <v>93</v>
      </c>
      <c r="G111" s="1" t="s">
        <v>21</v>
      </c>
      <c r="H111" s="6">
        <v>1</v>
      </c>
      <c r="I111" s="7">
        <v>0</v>
      </c>
      <c r="J111" s="5">
        <v>45925</v>
      </c>
      <c r="K111" s="1" t="s">
        <v>30</v>
      </c>
      <c r="L111" s="8">
        <v>0</v>
      </c>
      <c r="M111" s="6"/>
      <c r="N111" s="6"/>
      <c r="O111" s="9">
        <v>-15</v>
      </c>
    </row>
    <row r="112" spans="1:15" ht="19.5" customHeight="1">
      <c r="A112" s="1" t="s">
        <v>94</v>
      </c>
      <c r="B112" s="5">
        <v>45937</v>
      </c>
      <c r="C112" s="1" t="s">
        <v>28</v>
      </c>
      <c r="D112" s="1" t="s">
        <v>29</v>
      </c>
      <c r="E112" s="1" t="s">
        <v>70</v>
      </c>
      <c r="F112" s="1" t="s">
        <v>71</v>
      </c>
      <c r="G112" s="1" t="s">
        <v>41</v>
      </c>
      <c r="H112" s="6">
        <v>1</v>
      </c>
      <c r="I112" s="7">
        <v>0</v>
      </c>
      <c r="J112" s="5">
        <v>45931</v>
      </c>
      <c r="K112" s="1" t="s">
        <v>30</v>
      </c>
      <c r="L112" s="8">
        <v>0</v>
      </c>
      <c r="M112" s="6"/>
      <c r="N112" s="6"/>
      <c r="O112" s="9">
        <v>-56</v>
      </c>
    </row>
    <row r="113" spans="1:15" ht="19.5" customHeight="1">
      <c r="A113" s="1" t="s">
        <v>94</v>
      </c>
      <c r="B113" s="5">
        <v>45937</v>
      </c>
      <c r="C113" s="1" t="s">
        <v>17</v>
      </c>
      <c r="D113" s="1" t="s">
        <v>37</v>
      </c>
      <c r="E113" s="1" t="s">
        <v>70</v>
      </c>
      <c r="F113" s="1" t="s">
        <v>71</v>
      </c>
      <c r="G113" s="1" t="s">
        <v>41</v>
      </c>
      <c r="H113" s="6">
        <v>1</v>
      </c>
      <c r="I113" s="7">
        <v>0</v>
      </c>
      <c r="J113" s="5">
        <v>45931</v>
      </c>
      <c r="K113" s="1" t="s">
        <v>30</v>
      </c>
      <c r="L113" s="8">
        <v>0</v>
      </c>
      <c r="M113" s="6"/>
      <c r="N113" s="6"/>
      <c r="O113" s="9">
        <v>-8.59</v>
      </c>
    </row>
    <row r="114" spans="1:15" ht="19.5" customHeight="1">
      <c r="A114" s="1" t="s">
        <v>94</v>
      </c>
      <c r="B114" s="5">
        <v>45937</v>
      </c>
      <c r="C114" s="1" t="s">
        <v>28</v>
      </c>
      <c r="D114" s="1" t="s">
        <v>45</v>
      </c>
      <c r="E114" s="1" t="s">
        <v>70</v>
      </c>
      <c r="F114" s="1" t="s">
        <v>71</v>
      </c>
      <c r="G114" s="1" t="s">
        <v>41</v>
      </c>
      <c r="H114" s="6">
        <v>1</v>
      </c>
      <c r="I114" s="7">
        <v>0</v>
      </c>
      <c r="J114" s="5">
        <v>45931</v>
      </c>
      <c r="K114" s="1" t="s">
        <v>30</v>
      </c>
      <c r="L114" s="8">
        <v>0</v>
      </c>
      <c r="M114" s="6"/>
      <c r="N114" s="6"/>
      <c r="O114" s="9">
        <v>0</v>
      </c>
    </row>
    <row r="115" spans="1:15" ht="19.5" customHeight="1">
      <c r="A115" s="1" t="s">
        <v>94</v>
      </c>
      <c r="B115" s="5">
        <v>45937</v>
      </c>
      <c r="C115" s="1" t="s">
        <v>28</v>
      </c>
      <c r="D115" s="1" t="s">
        <v>46</v>
      </c>
      <c r="E115" s="1" t="s">
        <v>70</v>
      </c>
      <c r="F115" s="1" t="s">
        <v>71</v>
      </c>
      <c r="G115" s="1" t="s">
        <v>41</v>
      </c>
      <c r="H115" s="6">
        <v>1</v>
      </c>
      <c r="I115" s="7">
        <v>0</v>
      </c>
      <c r="J115" s="5">
        <v>45931</v>
      </c>
      <c r="K115" s="1" t="s">
        <v>30</v>
      </c>
      <c r="L115" s="8">
        <v>0</v>
      </c>
      <c r="M115" s="6"/>
      <c r="N115" s="6"/>
      <c r="O115" s="9">
        <v>-56</v>
      </c>
    </row>
    <row r="116" spans="1:15" ht="19.5" customHeight="1">
      <c r="A116" s="1" t="s">
        <v>94</v>
      </c>
      <c r="B116" s="5">
        <v>45937</v>
      </c>
      <c r="C116" s="1" t="s">
        <v>17</v>
      </c>
      <c r="D116" s="1" t="s">
        <v>47</v>
      </c>
      <c r="E116" s="1" t="s">
        <v>70</v>
      </c>
      <c r="F116" s="1" t="s">
        <v>71</v>
      </c>
      <c r="G116" s="1" t="s">
        <v>41</v>
      </c>
      <c r="H116" s="6">
        <v>1</v>
      </c>
      <c r="I116" s="7">
        <v>0</v>
      </c>
      <c r="J116" s="5">
        <v>45931</v>
      </c>
      <c r="K116" s="1" t="s">
        <v>30</v>
      </c>
      <c r="L116" s="8">
        <v>0</v>
      </c>
      <c r="M116" s="6"/>
      <c r="N116" s="6"/>
      <c r="O116" s="9">
        <v>-15</v>
      </c>
    </row>
    <row r="117" spans="1:15" ht="19.5" customHeight="1">
      <c r="A117" s="1" t="s">
        <v>95</v>
      </c>
      <c r="B117" s="5">
        <v>45937</v>
      </c>
      <c r="C117" s="1" t="s">
        <v>28</v>
      </c>
      <c r="D117" s="1" t="s">
        <v>29</v>
      </c>
      <c r="E117" s="1" t="s">
        <v>66</v>
      </c>
      <c r="F117" s="1" t="s">
        <v>67</v>
      </c>
      <c r="G117" s="1" t="s">
        <v>41</v>
      </c>
      <c r="H117" s="6">
        <v>1</v>
      </c>
      <c r="I117" s="7">
        <v>0</v>
      </c>
      <c r="J117" s="5">
        <v>45932</v>
      </c>
      <c r="K117" s="1" t="s">
        <v>30</v>
      </c>
      <c r="L117" s="8">
        <v>0</v>
      </c>
      <c r="M117" s="6"/>
      <c r="N117" s="6"/>
      <c r="O117" s="9">
        <v>-56</v>
      </c>
    </row>
    <row r="118" spans="1:15" ht="19.5" customHeight="1">
      <c r="A118" s="1" t="s">
        <v>95</v>
      </c>
      <c r="B118" s="5">
        <v>45937</v>
      </c>
      <c r="C118" s="1" t="s">
        <v>17</v>
      </c>
      <c r="D118" s="1" t="s">
        <v>37</v>
      </c>
      <c r="E118" s="1" t="s">
        <v>66</v>
      </c>
      <c r="F118" s="1" t="s">
        <v>67</v>
      </c>
      <c r="G118" s="1" t="s">
        <v>41</v>
      </c>
      <c r="H118" s="6">
        <v>1</v>
      </c>
      <c r="I118" s="7">
        <v>0</v>
      </c>
      <c r="J118" s="5">
        <v>45932</v>
      </c>
      <c r="K118" s="1" t="s">
        <v>30</v>
      </c>
      <c r="L118" s="8">
        <v>0</v>
      </c>
      <c r="M118" s="6"/>
      <c r="N118" s="6"/>
      <c r="O118" s="9">
        <v>-10.88</v>
      </c>
    </row>
    <row r="119" spans="1:15" ht="19.5" customHeight="1">
      <c r="A119" s="1" t="s">
        <v>95</v>
      </c>
      <c r="B119" s="5">
        <v>45937</v>
      </c>
      <c r="C119" s="1" t="s">
        <v>28</v>
      </c>
      <c r="D119" s="1" t="s">
        <v>45</v>
      </c>
      <c r="E119" s="1" t="s">
        <v>66</v>
      </c>
      <c r="F119" s="1" t="s">
        <v>67</v>
      </c>
      <c r="G119" s="1" t="s">
        <v>41</v>
      </c>
      <c r="H119" s="6">
        <v>1</v>
      </c>
      <c r="I119" s="7">
        <v>0</v>
      </c>
      <c r="J119" s="5">
        <v>45932</v>
      </c>
      <c r="K119" s="1" t="s">
        <v>30</v>
      </c>
      <c r="L119" s="8">
        <v>0</v>
      </c>
      <c r="M119" s="6"/>
      <c r="N119" s="6"/>
      <c r="O119" s="9">
        <v>0</v>
      </c>
    </row>
    <row r="120" spans="1:15" ht="19.5" customHeight="1">
      <c r="A120" s="1" t="s">
        <v>95</v>
      </c>
      <c r="B120" s="5">
        <v>45937</v>
      </c>
      <c r="C120" s="1" t="s">
        <v>28</v>
      </c>
      <c r="D120" s="1" t="s">
        <v>46</v>
      </c>
      <c r="E120" s="1" t="s">
        <v>66</v>
      </c>
      <c r="F120" s="1" t="s">
        <v>67</v>
      </c>
      <c r="G120" s="1" t="s">
        <v>41</v>
      </c>
      <c r="H120" s="6">
        <v>1</v>
      </c>
      <c r="I120" s="7">
        <v>0</v>
      </c>
      <c r="J120" s="5">
        <v>45932</v>
      </c>
      <c r="K120" s="1" t="s">
        <v>30</v>
      </c>
      <c r="L120" s="8">
        <v>0</v>
      </c>
      <c r="M120" s="6"/>
      <c r="N120" s="6"/>
      <c r="O120" s="9">
        <v>-56</v>
      </c>
    </row>
    <row r="121" spans="1:15" ht="19.5" customHeight="1">
      <c r="A121" s="1" t="s">
        <v>95</v>
      </c>
      <c r="B121" s="5">
        <v>45937</v>
      </c>
      <c r="C121" s="1" t="s">
        <v>17</v>
      </c>
      <c r="D121" s="1" t="s">
        <v>47</v>
      </c>
      <c r="E121" s="1" t="s">
        <v>66</v>
      </c>
      <c r="F121" s="1" t="s">
        <v>67</v>
      </c>
      <c r="G121" s="1" t="s">
        <v>41</v>
      </c>
      <c r="H121" s="6">
        <v>1</v>
      </c>
      <c r="I121" s="7">
        <v>0</v>
      </c>
      <c r="J121" s="5">
        <v>45932</v>
      </c>
      <c r="K121" s="1" t="s">
        <v>30</v>
      </c>
      <c r="L121" s="8">
        <v>0</v>
      </c>
      <c r="M121" s="6"/>
      <c r="N121" s="6"/>
      <c r="O121" s="9">
        <v>-15</v>
      </c>
    </row>
    <row r="122" spans="1:15" ht="19.5" customHeight="1">
      <c r="A122" s="1" t="s">
        <v>96</v>
      </c>
      <c r="B122" s="5">
        <v>45937</v>
      </c>
      <c r="C122" s="1" t="s">
        <v>17</v>
      </c>
      <c r="D122" s="1" t="s">
        <v>18</v>
      </c>
      <c r="E122" s="1" t="s">
        <v>19</v>
      </c>
      <c r="F122" s="1" t="s">
        <v>20</v>
      </c>
      <c r="G122" s="1" t="s">
        <v>21</v>
      </c>
      <c r="H122" s="6">
        <v>1</v>
      </c>
      <c r="I122" s="7">
        <v>0</v>
      </c>
      <c r="J122" s="5">
        <v>45934</v>
      </c>
      <c r="K122" s="1" t="s">
        <v>22</v>
      </c>
      <c r="L122" s="8">
        <v>0</v>
      </c>
      <c r="M122" s="6"/>
      <c r="N122" s="6"/>
      <c r="O122" s="9">
        <v>4.32</v>
      </c>
    </row>
    <row r="123" spans="1:15" ht="19.5" customHeight="1">
      <c r="A123" s="1" t="s">
        <v>97</v>
      </c>
      <c r="B123" s="5">
        <v>45937</v>
      </c>
      <c r="C123" s="1" t="s">
        <v>17</v>
      </c>
      <c r="D123" s="1" t="s">
        <v>18</v>
      </c>
      <c r="E123" s="1" t="s">
        <v>98</v>
      </c>
      <c r="F123" s="1" t="s">
        <v>99</v>
      </c>
      <c r="G123" s="1" t="s">
        <v>41</v>
      </c>
      <c r="H123" s="6">
        <v>1</v>
      </c>
      <c r="I123" s="7">
        <v>0</v>
      </c>
      <c r="J123" s="5">
        <v>45937</v>
      </c>
      <c r="K123" s="1" t="s">
        <v>22</v>
      </c>
      <c r="L123" s="8">
        <v>0</v>
      </c>
      <c r="M123" s="6"/>
      <c r="N123" s="6"/>
      <c r="O123" s="9">
        <v>-21.66</v>
      </c>
    </row>
    <row r="124" spans="1:15" ht="19.5" customHeight="1">
      <c r="A124" s="1" t="s">
        <v>100</v>
      </c>
      <c r="B124" s="5">
        <v>45937</v>
      </c>
      <c r="C124" s="1" t="s">
        <v>28</v>
      </c>
      <c r="D124" s="1" t="s">
        <v>29</v>
      </c>
      <c r="E124" s="1" t="s">
        <v>70</v>
      </c>
      <c r="F124" s="1" t="s">
        <v>71</v>
      </c>
      <c r="G124" s="1" t="s">
        <v>41</v>
      </c>
      <c r="H124" s="6">
        <v>1</v>
      </c>
      <c r="I124" s="7">
        <v>3690</v>
      </c>
      <c r="J124" s="5">
        <v>45933</v>
      </c>
      <c r="K124" s="1" t="s">
        <v>30</v>
      </c>
      <c r="L124" s="8">
        <v>0.24</v>
      </c>
      <c r="M124" s="6"/>
      <c r="N124" s="6"/>
      <c r="O124" s="9">
        <v>-56</v>
      </c>
    </row>
    <row r="125" spans="1:15" ht="19.5" customHeight="1">
      <c r="A125" s="1" t="s">
        <v>100</v>
      </c>
      <c r="B125" s="5">
        <v>45937</v>
      </c>
      <c r="C125" s="1" t="s">
        <v>31</v>
      </c>
      <c r="D125" s="1" t="s">
        <v>32</v>
      </c>
      <c r="E125" s="1" t="s">
        <v>70</v>
      </c>
      <c r="F125" s="1" t="s">
        <v>71</v>
      </c>
      <c r="G125" s="1" t="s">
        <v>41</v>
      </c>
      <c r="H125" s="6">
        <v>1</v>
      </c>
      <c r="I125" s="7">
        <v>3690</v>
      </c>
      <c r="J125" s="5">
        <v>45933</v>
      </c>
      <c r="K125" s="1" t="s">
        <v>30</v>
      </c>
      <c r="L125" s="8">
        <v>0</v>
      </c>
      <c r="M125" s="6"/>
      <c r="N125" s="6"/>
      <c r="O125" s="9">
        <v>2149.52</v>
      </c>
    </row>
    <row r="126" spans="1:15" ht="19.5" customHeight="1">
      <c r="A126" s="1" t="s">
        <v>100</v>
      </c>
      <c r="B126" s="5">
        <v>45937</v>
      </c>
      <c r="C126" s="1" t="s">
        <v>31</v>
      </c>
      <c r="D126" s="1" t="s">
        <v>33</v>
      </c>
      <c r="E126" s="1" t="s">
        <v>70</v>
      </c>
      <c r="F126" s="1" t="s">
        <v>71</v>
      </c>
      <c r="G126" s="1" t="s">
        <v>41</v>
      </c>
      <c r="H126" s="6">
        <v>1</v>
      </c>
      <c r="I126" s="7">
        <v>3690</v>
      </c>
      <c r="J126" s="5">
        <v>45933</v>
      </c>
      <c r="K126" s="1" t="s">
        <v>30</v>
      </c>
      <c r="L126" s="8">
        <v>0</v>
      </c>
      <c r="M126" s="6"/>
      <c r="N126" s="6"/>
      <c r="O126" s="9">
        <v>21.5</v>
      </c>
    </row>
    <row r="127" spans="1:15" ht="19.5" customHeight="1">
      <c r="A127" s="1" t="s">
        <v>100</v>
      </c>
      <c r="B127" s="5">
        <v>45937</v>
      </c>
      <c r="C127" s="1" t="s">
        <v>31</v>
      </c>
      <c r="D127" s="1" t="s">
        <v>34</v>
      </c>
      <c r="E127" s="1" t="s">
        <v>70</v>
      </c>
      <c r="F127" s="1" t="s">
        <v>71</v>
      </c>
      <c r="G127" s="1" t="s">
        <v>41</v>
      </c>
      <c r="H127" s="6">
        <v>1</v>
      </c>
      <c r="I127" s="7">
        <v>3690</v>
      </c>
      <c r="J127" s="5">
        <v>45933</v>
      </c>
      <c r="K127" s="1" t="s">
        <v>30</v>
      </c>
      <c r="L127" s="8">
        <v>0</v>
      </c>
      <c r="M127" s="6"/>
      <c r="N127" s="6"/>
      <c r="O127" s="9">
        <v>1518.98</v>
      </c>
    </row>
    <row r="128" spans="1:15" ht="19.5" customHeight="1">
      <c r="A128" s="1" t="s">
        <v>100</v>
      </c>
      <c r="B128" s="5">
        <v>45937</v>
      </c>
      <c r="C128" s="1" t="s">
        <v>35</v>
      </c>
      <c r="D128" s="1" t="s">
        <v>36</v>
      </c>
      <c r="E128" s="1" t="s">
        <v>70</v>
      </c>
      <c r="F128" s="1" t="s">
        <v>71</v>
      </c>
      <c r="G128" s="1" t="s">
        <v>41</v>
      </c>
      <c r="H128" s="6">
        <v>1</v>
      </c>
      <c r="I128" s="7">
        <v>3690</v>
      </c>
      <c r="J128" s="5">
        <v>45933</v>
      </c>
      <c r="K128" s="1" t="s">
        <v>30</v>
      </c>
      <c r="L128" s="8">
        <v>0.24</v>
      </c>
      <c r="M128" s="6"/>
      <c r="N128" s="6"/>
      <c r="O128" s="9">
        <v>-885.6</v>
      </c>
    </row>
    <row r="129" spans="1:15" ht="19.5" customHeight="1">
      <c r="A129" s="1" t="s">
        <v>100</v>
      </c>
      <c r="B129" s="5">
        <v>45937</v>
      </c>
      <c r="C129" s="1" t="s">
        <v>17</v>
      </c>
      <c r="D129" s="1" t="s">
        <v>37</v>
      </c>
      <c r="E129" s="1" t="s">
        <v>70</v>
      </c>
      <c r="F129" s="1" t="s">
        <v>71</v>
      </c>
      <c r="G129" s="1" t="s">
        <v>41</v>
      </c>
      <c r="H129" s="6">
        <v>1</v>
      </c>
      <c r="I129" s="7">
        <v>3690</v>
      </c>
      <c r="J129" s="5">
        <v>45933</v>
      </c>
      <c r="K129" s="1" t="s">
        <v>30</v>
      </c>
      <c r="L129" s="8">
        <v>0.24</v>
      </c>
      <c r="M129" s="6"/>
      <c r="N129" s="6"/>
      <c r="O129" s="9">
        <v>-9.16</v>
      </c>
    </row>
    <row r="130" spans="1:15" ht="19.5" customHeight="1">
      <c r="A130" s="1" t="s">
        <v>101</v>
      </c>
      <c r="B130" s="5">
        <v>45937</v>
      </c>
      <c r="C130" s="1" t="s">
        <v>28</v>
      </c>
      <c r="D130" s="1" t="s">
        <v>29</v>
      </c>
      <c r="E130" s="1" t="s">
        <v>19</v>
      </c>
      <c r="F130" s="1" t="s">
        <v>20</v>
      </c>
      <c r="G130" s="1" t="s">
        <v>21</v>
      </c>
      <c r="H130" s="6">
        <v>1</v>
      </c>
      <c r="I130" s="7">
        <v>1500</v>
      </c>
      <c r="J130" s="5">
        <v>45936</v>
      </c>
      <c r="K130" s="1" t="s">
        <v>30</v>
      </c>
      <c r="L130" s="8">
        <v>0.26</v>
      </c>
      <c r="M130" s="6"/>
      <c r="N130" s="6"/>
      <c r="O130" s="9">
        <v>-46</v>
      </c>
    </row>
    <row r="131" spans="1:15" ht="19.5" customHeight="1">
      <c r="A131" s="1" t="s">
        <v>101</v>
      </c>
      <c r="B131" s="5">
        <v>45937</v>
      </c>
      <c r="C131" s="1" t="s">
        <v>31</v>
      </c>
      <c r="D131" s="1" t="s">
        <v>32</v>
      </c>
      <c r="E131" s="1" t="s">
        <v>19</v>
      </c>
      <c r="F131" s="1" t="s">
        <v>20</v>
      </c>
      <c r="G131" s="1" t="s">
        <v>21</v>
      </c>
      <c r="H131" s="6">
        <v>1</v>
      </c>
      <c r="I131" s="7">
        <v>1500</v>
      </c>
      <c r="J131" s="5">
        <v>45936</v>
      </c>
      <c r="K131" s="1" t="s">
        <v>30</v>
      </c>
      <c r="L131" s="8">
        <v>0</v>
      </c>
      <c r="M131" s="6"/>
      <c r="N131" s="6"/>
      <c r="O131" s="9">
        <v>927.62</v>
      </c>
    </row>
    <row r="132" spans="1:15" ht="19.5" customHeight="1">
      <c r="A132" s="1" t="s">
        <v>101</v>
      </c>
      <c r="B132" s="5">
        <v>45937</v>
      </c>
      <c r="C132" s="1" t="s">
        <v>31</v>
      </c>
      <c r="D132" s="1" t="s">
        <v>33</v>
      </c>
      <c r="E132" s="1" t="s">
        <v>19</v>
      </c>
      <c r="F132" s="1" t="s">
        <v>20</v>
      </c>
      <c r="G132" s="1" t="s">
        <v>21</v>
      </c>
      <c r="H132" s="6">
        <v>1</v>
      </c>
      <c r="I132" s="7">
        <v>1500</v>
      </c>
      <c r="J132" s="5">
        <v>45936</v>
      </c>
      <c r="K132" s="1" t="s">
        <v>30</v>
      </c>
      <c r="L132" s="8">
        <v>0</v>
      </c>
      <c r="M132" s="6"/>
      <c r="N132" s="6"/>
      <c r="O132" s="9">
        <v>9.2799999999999994</v>
      </c>
    </row>
    <row r="133" spans="1:15" ht="19.5" customHeight="1">
      <c r="A133" s="1" t="s">
        <v>101</v>
      </c>
      <c r="B133" s="5">
        <v>45937</v>
      </c>
      <c r="C133" s="1" t="s">
        <v>31</v>
      </c>
      <c r="D133" s="1" t="s">
        <v>34</v>
      </c>
      <c r="E133" s="1" t="s">
        <v>19</v>
      </c>
      <c r="F133" s="1" t="s">
        <v>20</v>
      </c>
      <c r="G133" s="1" t="s">
        <v>21</v>
      </c>
      <c r="H133" s="6">
        <v>1</v>
      </c>
      <c r="I133" s="7">
        <v>1500</v>
      </c>
      <c r="J133" s="5">
        <v>45936</v>
      </c>
      <c r="K133" s="1" t="s">
        <v>30</v>
      </c>
      <c r="L133" s="8">
        <v>0</v>
      </c>
      <c r="M133" s="6"/>
      <c r="N133" s="6"/>
      <c r="O133" s="9">
        <v>563.1</v>
      </c>
    </row>
    <row r="134" spans="1:15" ht="19.5" customHeight="1">
      <c r="A134" s="1" t="s">
        <v>101</v>
      </c>
      <c r="B134" s="5">
        <v>45937</v>
      </c>
      <c r="C134" s="1" t="s">
        <v>35</v>
      </c>
      <c r="D134" s="1" t="s">
        <v>36</v>
      </c>
      <c r="E134" s="1" t="s">
        <v>19</v>
      </c>
      <c r="F134" s="1" t="s">
        <v>20</v>
      </c>
      <c r="G134" s="1" t="s">
        <v>21</v>
      </c>
      <c r="H134" s="6">
        <v>1</v>
      </c>
      <c r="I134" s="7">
        <v>1500</v>
      </c>
      <c r="J134" s="5">
        <v>45936</v>
      </c>
      <c r="K134" s="1" t="s">
        <v>30</v>
      </c>
      <c r="L134" s="8">
        <v>0.26</v>
      </c>
      <c r="M134" s="6"/>
      <c r="N134" s="6"/>
      <c r="O134" s="9">
        <v>-390</v>
      </c>
    </row>
    <row r="135" spans="1:15" ht="19.5" customHeight="1">
      <c r="A135" s="1" t="s">
        <v>101</v>
      </c>
      <c r="B135" s="5">
        <v>45937</v>
      </c>
      <c r="C135" s="1" t="s">
        <v>17</v>
      </c>
      <c r="D135" s="1" t="s">
        <v>37</v>
      </c>
      <c r="E135" s="1" t="s">
        <v>19</v>
      </c>
      <c r="F135" s="1" t="s">
        <v>20</v>
      </c>
      <c r="G135" s="1" t="s">
        <v>21</v>
      </c>
      <c r="H135" s="6">
        <v>1</v>
      </c>
      <c r="I135" s="7">
        <v>1500</v>
      </c>
      <c r="J135" s="5">
        <v>45936</v>
      </c>
      <c r="K135" s="1" t="s">
        <v>30</v>
      </c>
      <c r="L135" s="8">
        <v>0.26</v>
      </c>
      <c r="M135" s="6"/>
      <c r="N135" s="6"/>
      <c r="O135" s="9">
        <v>-8.49</v>
      </c>
    </row>
    <row r="136" spans="1:15" ht="19.5" customHeight="1">
      <c r="A136" s="1" t="s">
        <v>102</v>
      </c>
      <c r="B136" s="5">
        <v>45937</v>
      </c>
      <c r="C136" s="1" t="s">
        <v>74</v>
      </c>
      <c r="D136" s="1" t="s">
        <v>75</v>
      </c>
      <c r="E136" s="1" t="s">
        <v>51</v>
      </c>
      <c r="F136" s="1" t="s">
        <v>52</v>
      </c>
      <c r="G136" s="1" t="s">
        <v>41</v>
      </c>
      <c r="H136" s="6">
        <v>1</v>
      </c>
      <c r="I136" s="7">
        <v>0</v>
      </c>
      <c r="J136" s="5">
        <v>45933</v>
      </c>
      <c r="K136" s="1" t="s">
        <v>30</v>
      </c>
      <c r="L136" s="8">
        <v>0</v>
      </c>
      <c r="M136" s="6"/>
      <c r="N136" s="6"/>
      <c r="O136" s="9">
        <v>-5</v>
      </c>
    </row>
    <row r="137" spans="1:15" ht="19.5" customHeight="1">
      <c r="A137" s="1" t="s">
        <v>102</v>
      </c>
      <c r="B137" s="5">
        <v>45937</v>
      </c>
      <c r="C137" s="1" t="s">
        <v>17</v>
      </c>
      <c r="D137" s="1" t="s">
        <v>76</v>
      </c>
      <c r="E137" s="1" t="s">
        <v>51</v>
      </c>
      <c r="F137" s="1" t="s">
        <v>52</v>
      </c>
      <c r="G137" s="1" t="s">
        <v>41</v>
      </c>
      <c r="H137" s="6">
        <v>1</v>
      </c>
      <c r="I137" s="7">
        <v>0</v>
      </c>
      <c r="J137" s="5">
        <v>45933</v>
      </c>
      <c r="K137" s="1" t="s">
        <v>30</v>
      </c>
      <c r="L137" s="8">
        <v>0</v>
      </c>
      <c r="M137" s="6"/>
      <c r="N137" s="6"/>
      <c r="O137" s="9">
        <v>-10</v>
      </c>
    </row>
    <row r="138" spans="1:15" ht="19.5" customHeight="1">
      <c r="A138" s="1" t="s">
        <v>103</v>
      </c>
      <c r="B138" s="5">
        <v>45937</v>
      </c>
      <c r="C138" s="1" t="s">
        <v>28</v>
      </c>
      <c r="D138" s="1" t="s">
        <v>29</v>
      </c>
      <c r="E138" s="1" t="s">
        <v>70</v>
      </c>
      <c r="F138" s="1" t="s">
        <v>71</v>
      </c>
      <c r="G138" s="1" t="s">
        <v>41</v>
      </c>
      <c r="H138" s="6">
        <v>1</v>
      </c>
      <c r="I138" s="7">
        <v>0</v>
      </c>
      <c r="J138" s="5">
        <v>45933</v>
      </c>
      <c r="K138" s="1" t="s">
        <v>30</v>
      </c>
      <c r="L138" s="8">
        <v>0</v>
      </c>
      <c r="M138" s="6"/>
      <c r="N138" s="6"/>
      <c r="O138" s="9">
        <v>-56</v>
      </c>
    </row>
    <row r="139" spans="1:15" ht="19.5" customHeight="1">
      <c r="A139" s="1" t="s">
        <v>103</v>
      </c>
      <c r="B139" s="5">
        <v>45937</v>
      </c>
      <c r="C139" s="1" t="s">
        <v>17</v>
      </c>
      <c r="D139" s="1" t="s">
        <v>37</v>
      </c>
      <c r="E139" s="1" t="s">
        <v>70</v>
      </c>
      <c r="F139" s="1" t="s">
        <v>71</v>
      </c>
      <c r="G139" s="1" t="s">
        <v>41</v>
      </c>
      <c r="H139" s="6">
        <v>1</v>
      </c>
      <c r="I139" s="7">
        <v>0</v>
      </c>
      <c r="J139" s="5">
        <v>45933</v>
      </c>
      <c r="K139" s="1" t="s">
        <v>30</v>
      </c>
      <c r="L139" s="8">
        <v>0</v>
      </c>
      <c r="M139" s="6"/>
      <c r="N139" s="6"/>
      <c r="O139" s="9">
        <v>-10.28</v>
      </c>
    </row>
    <row r="140" spans="1:15" ht="19.5" customHeight="1">
      <c r="A140" s="1" t="s">
        <v>103</v>
      </c>
      <c r="B140" s="5">
        <v>45937</v>
      </c>
      <c r="C140" s="1" t="s">
        <v>28</v>
      </c>
      <c r="D140" s="1" t="s">
        <v>45</v>
      </c>
      <c r="E140" s="1" t="s">
        <v>70</v>
      </c>
      <c r="F140" s="1" t="s">
        <v>71</v>
      </c>
      <c r="G140" s="1" t="s">
        <v>41</v>
      </c>
      <c r="H140" s="6">
        <v>1</v>
      </c>
      <c r="I140" s="7">
        <v>0</v>
      </c>
      <c r="J140" s="5">
        <v>45933</v>
      </c>
      <c r="K140" s="1" t="s">
        <v>30</v>
      </c>
      <c r="L140" s="8">
        <v>0</v>
      </c>
      <c r="M140" s="6"/>
      <c r="N140" s="6"/>
      <c r="O140" s="9">
        <v>0</v>
      </c>
    </row>
    <row r="141" spans="1:15" ht="19.5" customHeight="1">
      <c r="A141" s="1" t="s">
        <v>103</v>
      </c>
      <c r="B141" s="5">
        <v>45937</v>
      </c>
      <c r="C141" s="1" t="s">
        <v>28</v>
      </c>
      <c r="D141" s="1" t="s">
        <v>46</v>
      </c>
      <c r="E141" s="1" t="s">
        <v>70</v>
      </c>
      <c r="F141" s="1" t="s">
        <v>71</v>
      </c>
      <c r="G141" s="1" t="s">
        <v>41</v>
      </c>
      <c r="H141" s="6">
        <v>1</v>
      </c>
      <c r="I141" s="7">
        <v>0</v>
      </c>
      <c r="J141" s="5">
        <v>45933</v>
      </c>
      <c r="K141" s="1" t="s">
        <v>30</v>
      </c>
      <c r="L141" s="8">
        <v>0</v>
      </c>
      <c r="M141" s="6"/>
      <c r="N141" s="6"/>
      <c r="O141" s="9">
        <v>-56</v>
      </c>
    </row>
    <row r="142" spans="1:15" ht="19.5" customHeight="1">
      <c r="A142" s="1" t="s">
        <v>103</v>
      </c>
      <c r="B142" s="5">
        <v>45937</v>
      </c>
      <c r="C142" s="1" t="s">
        <v>17</v>
      </c>
      <c r="D142" s="1" t="s">
        <v>47</v>
      </c>
      <c r="E142" s="1" t="s">
        <v>70</v>
      </c>
      <c r="F142" s="1" t="s">
        <v>71</v>
      </c>
      <c r="G142" s="1" t="s">
        <v>41</v>
      </c>
      <c r="H142" s="6">
        <v>1</v>
      </c>
      <c r="I142" s="7">
        <v>0</v>
      </c>
      <c r="J142" s="5">
        <v>45933</v>
      </c>
      <c r="K142" s="1" t="s">
        <v>30</v>
      </c>
      <c r="L142" s="8">
        <v>0</v>
      </c>
      <c r="M142" s="6"/>
      <c r="N142" s="6"/>
      <c r="O142" s="9">
        <v>-15</v>
      </c>
    </row>
    <row r="143" spans="1:15" ht="19.5" customHeight="1">
      <c r="A143" s="1" t="s">
        <v>104</v>
      </c>
      <c r="B143" s="5">
        <v>45937</v>
      </c>
      <c r="C143" s="1" t="s">
        <v>28</v>
      </c>
      <c r="D143" s="1" t="s">
        <v>45</v>
      </c>
      <c r="E143" s="1" t="s">
        <v>25</v>
      </c>
      <c r="F143" s="1" t="s">
        <v>26</v>
      </c>
      <c r="G143" s="1" t="s">
        <v>21</v>
      </c>
      <c r="H143" s="6">
        <v>1</v>
      </c>
      <c r="I143" s="7">
        <v>0</v>
      </c>
      <c r="J143" s="5">
        <v>45919</v>
      </c>
      <c r="K143" s="1" t="s">
        <v>30</v>
      </c>
      <c r="L143" s="8">
        <v>0</v>
      </c>
      <c r="M143" s="6"/>
      <c r="N143" s="6"/>
      <c r="O143" s="9">
        <v>0</v>
      </c>
    </row>
    <row r="144" spans="1:15" ht="19.5" customHeight="1">
      <c r="A144" s="1" t="s">
        <v>104</v>
      </c>
      <c r="B144" s="5">
        <v>45937</v>
      </c>
      <c r="C144" s="1" t="s">
        <v>28</v>
      </c>
      <c r="D144" s="1" t="s">
        <v>46</v>
      </c>
      <c r="E144" s="1" t="s">
        <v>25</v>
      </c>
      <c r="F144" s="1" t="s">
        <v>26</v>
      </c>
      <c r="G144" s="1" t="s">
        <v>21</v>
      </c>
      <c r="H144" s="6">
        <v>1</v>
      </c>
      <c r="I144" s="7">
        <v>0</v>
      </c>
      <c r="J144" s="5">
        <v>45919</v>
      </c>
      <c r="K144" s="1" t="s">
        <v>30</v>
      </c>
      <c r="L144" s="8">
        <v>0</v>
      </c>
      <c r="M144" s="6"/>
      <c r="N144" s="6"/>
      <c r="O144" s="9">
        <v>-46</v>
      </c>
    </row>
    <row r="145" spans="1:15" ht="19.5" customHeight="1">
      <c r="A145" s="1" t="s">
        <v>104</v>
      </c>
      <c r="B145" s="5">
        <v>45937</v>
      </c>
      <c r="C145" s="1" t="s">
        <v>28</v>
      </c>
      <c r="D145" s="1" t="s">
        <v>29</v>
      </c>
      <c r="E145" s="1" t="s">
        <v>25</v>
      </c>
      <c r="F145" s="1" t="s">
        <v>26</v>
      </c>
      <c r="G145" s="1" t="s">
        <v>21</v>
      </c>
      <c r="H145" s="6">
        <v>1</v>
      </c>
      <c r="I145" s="7">
        <v>0</v>
      </c>
      <c r="J145" s="5">
        <v>45919</v>
      </c>
      <c r="K145" s="1" t="s">
        <v>30</v>
      </c>
      <c r="L145" s="8">
        <v>0</v>
      </c>
      <c r="M145" s="6"/>
      <c r="N145" s="6"/>
      <c r="O145" s="9">
        <v>-46</v>
      </c>
    </row>
    <row r="146" spans="1:15" ht="19.5" customHeight="1">
      <c r="A146" s="1" t="s">
        <v>104</v>
      </c>
      <c r="B146" s="5">
        <v>45937</v>
      </c>
      <c r="C146" s="1" t="s">
        <v>17</v>
      </c>
      <c r="D146" s="1" t="s">
        <v>37</v>
      </c>
      <c r="E146" s="1" t="s">
        <v>25</v>
      </c>
      <c r="F146" s="1" t="s">
        <v>26</v>
      </c>
      <c r="G146" s="1" t="s">
        <v>21</v>
      </c>
      <c r="H146" s="6">
        <v>1</v>
      </c>
      <c r="I146" s="7">
        <v>0</v>
      </c>
      <c r="J146" s="5">
        <v>45919</v>
      </c>
      <c r="K146" s="1" t="s">
        <v>30</v>
      </c>
      <c r="L146" s="8">
        <v>0</v>
      </c>
      <c r="M146" s="6"/>
      <c r="N146" s="6"/>
      <c r="O146" s="9">
        <v>-4.32</v>
      </c>
    </row>
    <row r="147" spans="1:15" ht="19.5" customHeight="1">
      <c r="A147" s="1" t="s">
        <v>22</v>
      </c>
      <c r="B147" s="5">
        <v>45937</v>
      </c>
      <c r="C147" s="1" t="s">
        <v>77</v>
      </c>
      <c r="D147" s="1" t="s">
        <v>78</v>
      </c>
      <c r="E147" s="1" t="s">
        <v>22</v>
      </c>
      <c r="F147" s="1" t="s">
        <v>22</v>
      </c>
      <c r="G147" s="1" t="s">
        <v>105</v>
      </c>
      <c r="H147" s="6">
        <v>0</v>
      </c>
      <c r="I147" s="7">
        <v>0</v>
      </c>
      <c r="J147" s="5">
        <v>45937</v>
      </c>
      <c r="K147" s="1" t="s">
        <v>22</v>
      </c>
      <c r="L147" s="8">
        <v>0</v>
      </c>
      <c r="M147" s="6"/>
      <c r="N147" s="6"/>
      <c r="O147" s="9">
        <v>-200</v>
      </c>
    </row>
    <row r="148" spans="1:15" ht="19.5" customHeight="1">
      <c r="A148" s="1" t="s">
        <v>106</v>
      </c>
      <c r="B148" s="5">
        <v>45937</v>
      </c>
      <c r="C148" s="1" t="s">
        <v>17</v>
      </c>
      <c r="D148" s="1" t="s">
        <v>18</v>
      </c>
      <c r="E148" s="1" t="s">
        <v>43</v>
      </c>
      <c r="F148" s="1" t="s">
        <v>44</v>
      </c>
      <c r="G148" s="1" t="s">
        <v>41</v>
      </c>
      <c r="H148" s="6">
        <v>1</v>
      </c>
      <c r="I148" s="7">
        <v>0</v>
      </c>
      <c r="J148" s="5">
        <v>45937</v>
      </c>
      <c r="K148" s="1" t="s">
        <v>22</v>
      </c>
      <c r="L148" s="8">
        <v>0</v>
      </c>
      <c r="M148" s="6"/>
      <c r="N148" s="6"/>
      <c r="O148" s="9">
        <v>-42.82</v>
      </c>
    </row>
    <row r="149" spans="1:15" ht="19.5" customHeight="1">
      <c r="A149" s="1" t="s">
        <v>107</v>
      </c>
      <c r="B149" s="5">
        <v>45937</v>
      </c>
      <c r="C149" s="1" t="s">
        <v>28</v>
      </c>
      <c r="D149" s="1" t="s">
        <v>60</v>
      </c>
      <c r="E149" s="1" t="s">
        <v>25</v>
      </c>
      <c r="F149" s="1" t="s">
        <v>26</v>
      </c>
      <c r="G149" s="1" t="s">
        <v>21</v>
      </c>
      <c r="H149" s="6">
        <v>1</v>
      </c>
      <c r="I149" s="7">
        <v>0</v>
      </c>
      <c r="J149" s="5">
        <v>45931</v>
      </c>
      <c r="K149" s="1" t="s">
        <v>30</v>
      </c>
      <c r="L149" s="8">
        <v>0</v>
      </c>
      <c r="M149" s="6"/>
      <c r="N149" s="6"/>
      <c r="O149" s="9">
        <v>0</v>
      </c>
    </row>
    <row r="150" spans="1:15" ht="19.5" customHeight="1">
      <c r="A150" s="1" t="s">
        <v>107</v>
      </c>
      <c r="B150" s="5">
        <v>45937</v>
      </c>
      <c r="C150" s="1" t="s">
        <v>28</v>
      </c>
      <c r="D150" s="1" t="s">
        <v>46</v>
      </c>
      <c r="E150" s="1" t="s">
        <v>25</v>
      </c>
      <c r="F150" s="1" t="s">
        <v>26</v>
      </c>
      <c r="G150" s="1" t="s">
        <v>21</v>
      </c>
      <c r="H150" s="6">
        <v>1</v>
      </c>
      <c r="I150" s="7">
        <v>0</v>
      </c>
      <c r="J150" s="5">
        <v>45931</v>
      </c>
      <c r="K150" s="1" t="s">
        <v>30</v>
      </c>
      <c r="L150" s="8">
        <v>0</v>
      </c>
      <c r="M150" s="6"/>
      <c r="N150" s="6"/>
      <c r="O150" s="9">
        <v>-46</v>
      </c>
    </row>
    <row r="151" spans="1:15" ht="19.5" customHeight="1">
      <c r="A151" s="1" t="s">
        <v>107</v>
      </c>
      <c r="B151" s="5">
        <v>45937</v>
      </c>
      <c r="C151" s="1" t="s">
        <v>17</v>
      </c>
      <c r="D151" s="1" t="s">
        <v>47</v>
      </c>
      <c r="E151" s="1" t="s">
        <v>25</v>
      </c>
      <c r="F151" s="1" t="s">
        <v>26</v>
      </c>
      <c r="G151" s="1" t="s">
        <v>21</v>
      </c>
      <c r="H151" s="6">
        <v>1</v>
      </c>
      <c r="I151" s="7">
        <v>0</v>
      </c>
      <c r="J151" s="5">
        <v>45931</v>
      </c>
      <c r="K151" s="1" t="s">
        <v>30</v>
      </c>
      <c r="L151" s="8">
        <v>0</v>
      </c>
      <c r="M151" s="6"/>
      <c r="N151" s="6"/>
      <c r="O151" s="9">
        <v>-15</v>
      </c>
    </row>
    <row r="152" spans="1:15" ht="19.5" customHeight="1">
      <c r="A152" s="1" t="s">
        <v>83</v>
      </c>
      <c r="B152" s="5">
        <v>45937</v>
      </c>
      <c r="C152" s="1" t="s">
        <v>77</v>
      </c>
      <c r="D152" s="1" t="s">
        <v>84</v>
      </c>
      <c r="E152" s="1" t="s">
        <v>22</v>
      </c>
      <c r="F152" s="1" t="s">
        <v>22</v>
      </c>
      <c r="G152" s="1" t="s">
        <v>22</v>
      </c>
      <c r="H152" s="6">
        <v>0</v>
      </c>
      <c r="I152" s="7">
        <v>0</v>
      </c>
      <c r="J152" s="5">
        <v>45937</v>
      </c>
      <c r="K152" s="1" t="s">
        <v>22</v>
      </c>
      <c r="L152" s="8">
        <v>0</v>
      </c>
      <c r="M152" s="6"/>
      <c r="N152" s="6"/>
      <c r="O152" s="9">
        <v>-1180.8</v>
      </c>
    </row>
    <row r="153" spans="1:15" ht="19.5" customHeight="1">
      <c r="A153" s="1" t="s">
        <v>81</v>
      </c>
      <c r="B153" s="5">
        <v>45937</v>
      </c>
      <c r="C153" s="1" t="s">
        <v>77</v>
      </c>
      <c r="D153" s="1" t="s">
        <v>82</v>
      </c>
      <c r="E153" s="1" t="s">
        <v>22</v>
      </c>
      <c r="F153" s="1" t="s">
        <v>22</v>
      </c>
      <c r="G153" s="1" t="s">
        <v>22</v>
      </c>
      <c r="H153" s="6">
        <v>0</v>
      </c>
      <c r="I153" s="7">
        <v>0</v>
      </c>
      <c r="J153" s="5">
        <v>45937</v>
      </c>
      <c r="K153" s="1" t="s">
        <v>22</v>
      </c>
      <c r="L153" s="8">
        <v>0</v>
      </c>
      <c r="M153" s="6"/>
      <c r="N153" s="6"/>
      <c r="O153" s="9">
        <v>-1595.9</v>
      </c>
    </row>
    <row r="154" spans="1:15" ht="19.5" customHeight="1">
      <c r="A154" s="1" t="s">
        <v>85</v>
      </c>
      <c r="B154" s="5">
        <v>45937</v>
      </c>
      <c r="C154" s="1" t="s">
        <v>77</v>
      </c>
      <c r="D154" s="1" t="s">
        <v>82</v>
      </c>
      <c r="E154" s="1" t="s">
        <v>22</v>
      </c>
      <c r="F154" s="1" t="s">
        <v>22</v>
      </c>
      <c r="G154" s="1" t="s">
        <v>22</v>
      </c>
      <c r="H154" s="6">
        <v>0</v>
      </c>
      <c r="I154" s="7">
        <v>0</v>
      </c>
      <c r="J154" s="5">
        <v>45937</v>
      </c>
      <c r="K154" s="1" t="s">
        <v>22</v>
      </c>
      <c r="L154" s="8">
        <v>0</v>
      </c>
      <c r="M154" s="6"/>
      <c r="N154" s="6"/>
      <c r="O154" s="9">
        <v>-918.16</v>
      </c>
    </row>
    <row r="155" spans="1:15" ht="19.5" customHeight="1">
      <c r="A155" s="1" t="s">
        <v>86</v>
      </c>
      <c r="B155" s="5">
        <v>45937</v>
      </c>
      <c r="C155" s="1" t="s">
        <v>77</v>
      </c>
      <c r="D155" s="1" t="s">
        <v>82</v>
      </c>
      <c r="E155" s="1" t="s">
        <v>22</v>
      </c>
      <c r="F155" s="1" t="s">
        <v>22</v>
      </c>
      <c r="G155" s="1" t="s">
        <v>22</v>
      </c>
      <c r="H155" s="6">
        <v>0</v>
      </c>
      <c r="I155" s="7">
        <v>0</v>
      </c>
      <c r="J155" s="5">
        <v>45937</v>
      </c>
      <c r="K155" s="1" t="s">
        <v>22</v>
      </c>
      <c r="L155" s="8">
        <v>0</v>
      </c>
      <c r="M155" s="6"/>
      <c r="N155" s="6"/>
      <c r="O155" s="9">
        <v>-2026.13</v>
      </c>
    </row>
    <row r="156" spans="1:15" ht="19.5" customHeight="1">
      <c r="A156" s="1" t="s">
        <v>108</v>
      </c>
      <c r="B156" s="5">
        <v>45938</v>
      </c>
      <c r="C156" s="1" t="s">
        <v>28</v>
      </c>
      <c r="D156" s="1" t="s">
        <v>29</v>
      </c>
      <c r="E156" s="1" t="s">
        <v>25</v>
      </c>
      <c r="F156" s="1" t="s">
        <v>26</v>
      </c>
      <c r="G156" s="1" t="s">
        <v>21</v>
      </c>
      <c r="H156" s="6">
        <v>1</v>
      </c>
      <c r="I156" s="7">
        <v>0</v>
      </c>
      <c r="J156" s="5">
        <v>45919</v>
      </c>
      <c r="K156" s="1" t="s">
        <v>30</v>
      </c>
      <c r="L156" s="8">
        <v>0</v>
      </c>
      <c r="M156" s="6"/>
      <c r="N156" s="6"/>
      <c r="O156" s="9">
        <v>-46</v>
      </c>
    </row>
    <row r="157" spans="1:15" ht="19.5" customHeight="1">
      <c r="A157" s="1" t="s">
        <v>108</v>
      </c>
      <c r="B157" s="5">
        <v>45938</v>
      </c>
      <c r="C157" s="1" t="s">
        <v>17</v>
      </c>
      <c r="D157" s="1" t="s">
        <v>37</v>
      </c>
      <c r="E157" s="1" t="s">
        <v>25</v>
      </c>
      <c r="F157" s="1" t="s">
        <v>26</v>
      </c>
      <c r="G157" s="1" t="s">
        <v>21</v>
      </c>
      <c r="H157" s="6">
        <v>1</v>
      </c>
      <c r="I157" s="7">
        <v>0</v>
      </c>
      <c r="J157" s="5">
        <v>45919</v>
      </c>
      <c r="K157" s="1" t="s">
        <v>30</v>
      </c>
      <c r="L157" s="8">
        <v>0</v>
      </c>
      <c r="M157" s="6"/>
      <c r="N157" s="6"/>
      <c r="O157" s="9">
        <v>-5.04</v>
      </c>
    </row>
    <row r="158" spans="1:15" ht="19.5" customHeight="1">
      <c r="A158" s="1" t="s">
        <v>108</v>
      </c>
      <c r="B158" s="5">
        <v>45938</v>
      </c>
      <c r="C158" s="1" t="s">
        <v>28</v>
      </c>
      <c r="D158" s="1" t="s">
        <v>45</v>
      </c>
      <c r="E158" s="1" t="s">
        <v>25</v>
      </c>
      <c r="F158" s="1" t="s">
        <v>26</v>
      </c>
      <c r="G158" s="1" t="s">
        <v>21</v>
      </c>
      <c r="H158" s="6">
        <v>1</v>
      </c>
      <c r="I158" s="7">
        <v>0</v>
      </c>
      <c r="J158" s="5">
        <v>45919</v>
      </c>
      <c r="K158" s="1" t="s">
        <v>30</v>
      </c>
      <c r="L158" s="8">
        <v>0</v>
      </c>
      <c r="M158" s="6"/>
      <c r="N158" s="6"/>
      <c r="O158" s="9">
        <v>0</v>
      </c>
    </row>
    <row r="159" spans="1:15" ht="19.5" customHeight="1">
      <c r="A159" s="1" t="s">
        <v>108</v>
      </c>
      <c r="B159" s="5">
        <v>45938</v>
      </c>
      <c r="C159" s="1" t="s">
        <v>28</v>
      </c>
      <c r="D159" s="1" t="s">
        <v>46</v>
      </c>
      <c r="E159" s="1" t="s">
        <v>25</v>
      </c>
      <c r="F159" s="1" t="s">
        <v>26</v>
      </c>
      <c r="G159" s="1" t="s">
        <v>21</v>
      </c>
      <c r="H159" s="6">
        <v>1</v>
      </c>
      <c r="I159" s="7">
        <v>0</v>
      </c>
      <c r="J159" s="5">
        <v>45919</v>
      </c>
      <c r="K159" s="1" t="s">
        <v>30</v>
      </c>
      <c r="L159" s="8">
        <v>0</v>
      </c>
      <c r="M159" s="6"/>
      <c r="N159" s="6"/>
      <c r="O159" s="9">
        <v>-46</v>
      </c>
    </row>
    <row r="160" spans="1:15" ht="19.5" customHeight="1">
      <c r="A160" s="1" t="s">
        <v>109</v>
      </c>
      <c r="B160" s="5">
        <v>45938</v>
      </c>
      <c r="C160" s="1" t="s">
        <v>28</v>
      </c>
      <c r="D160" s="1" t="s">
        <v>45</v>
      </c>
      <c r="E160" s="1" t="s">
        <v>25</v>
      </c>
      <c r="F160" s="1" t="s">
        <v>26</v>
      </c>
      <c r="G160" s="1" t="s">
        <v>21</v>
      </c>
      <c r="H160" s="6">
        <v>1</v>
      </c>
      <c r="I160" s="7">
        <v>0</v>
      </c>
      <c r="J160" s="5">
        <v>45934</v>
      </c>
      <c r="K160" s="1" t="s">
        <v>30</v>
      </c>
      <c r="L160" s="8">
        <v>0</v>
      </c>
      <c r="M160" s="6"/>
      <c r="N160" s="6"/>
      <c r="O160" s="9">
        <v>0</v>
      </c>
    </row>
    <row r="161" spans="1:15" ht="19.5" customHeight="1">
      <c r="A161" s="1" t="s">
        <v>109</v>
      </c>
      <c r="B161" s="5">
        <v>45938</v>
      </c>
      <c r="C161" s="1" t="s">
        <v>28</v>
      </c>
      <c r="D161" s="1" t="s">
        <v>46</v>
      </c>
      <c r="E161" s="1" t="s">
        <v>25</v>
      </c>
      <c r="F161" s="1" t="s">
        <v>26</v>
      </c>
      <c r="G161" s="1" t="s">
        <v>21</v>
      </c>
      <c r="H161" s="6">
        <v>1</v>
      </c>
      <c r="I161" s="7">
        <v>0</v>
      </c>
      <c r="J161" s="5">
        <v>45934</v>
      </c>
      <c r="K161" s="1" t="s">
        <v>30</v>
      </c>
      <c r="L161" s="8">
        <v>0</v>
      </c>
      <c r="M161" s="6"/>
      <c r="N161" s="6"/>
      <c r="O161" s="9">
        <v>-46</v>
      </c>
    </row>
    <row r="162" spans="1:15" ht="19.5" customHeight="1">
      <c r="A162" s="1" t="s">
        <v>109</v>
      </c>
      <c r="B162" s="5">
        <v>45938</v>
      </c>
      <c r="C162" s="1" t="s">
        <v>17</v>
      </c>
      <c r="D162" s="1" t="s">
        <v>47</v>
      </c>
      <c r="E162" s="1" t="s">
        <v>25</v>
      </c>
      <c r="F162" s="1" t="s">
        <v>26</v>
      </c>
      <c r="G162" s="1" t="s">
        <v>21</v>
      </c>
      <c r="H162" s="6">
        <v>1</v>
      </c>
      <c r="I162" s="7">
        <v>0</v>
      </c>
      <c r="J162" s="5">
        <v>45934</v>
      </c>
      <c r="K162" s="1" t="s">
        <v>30</v>
      </c>
      <c r="L162" s="8">
        <v>0</v>
      </c>
      <c r="M162" s="6"/>
      <c r="N162" s="6"/>
      <c r="O162" s="9">
        <v>-15</v>
      </c>
    </row>
    <row r="163" spans="1:15" ht="19.5" customHeight="1">
      <c r="A163" s="1" t="s">
        <v>109</v>
      </c>
      <c r="B163" s="5">
        <v>45938</v>
      </c>
      <c r="C163" s="1" t="s">
        <v>28</v>
      </c>
      <c r="D163" s="1" t="s">
        <v>29</v>
      </c>
      <c r="E163" s="1" t="s">
        <v>25</v>
      </c>
      <c r="F163" s="1" t="s">
        <v>26</v>
      </c>
      <c r="G163" s="1" t="s">
        <v>21</v>
      </c>
      <c r="H163" s="6">
        <v>1</v>
      </c>
      <c r="I163" s="7">
        <v>0</v>
      </c>
      <c r="J163" s="5">
        <v>45934</v>
      </c>
      <c r="K163" s="1" t="s">
        <v>30</v>
      </c>
      <c r="L163" s="8">
        <v>0</v>
      </c>
      <c r="M163" s="6"/>
      <c r="N163" s="6"/>
      <c r="O163" s="9">
        <v>-46</v>
      </c>
    </row>
    <row r="164" spans="1:15" ht="19.5" customHeight="1">
      <c r="A164" s="1" t="s">
        <v>109</v>
      </c>
      <c r="B164" s="5">
        <v>45938</v>
      </c>
      <c r="C164" s="1" t="s">
        <v>17</v>
      </c>
      <c r="D164" s="1" t="s">
        <v>37</v>
      </c>
      <c r="E164" s="1" t="s">
        <v>25</v>
      </c>
      <c r="F164" s="1" t="s">
        <v>26</v>
      </c>
      <c r="G164" s="1" t="s">
        <v>21</v>
      </c>
      <c r="H164" s="6">
        <v>1</v>
      </c>
      <c r="I164" s="7">
        <v>0</v>
      </c>
      <c r="J164" s="5">
        <v>45934</v>
      </c>
      <c r="K164" s="1" t="s">
        <v>30</v>
      </c>
      <c r="L164" s="8">
        <v>0</v>
      </c>
      <c r="M164" s="6"/>
      <c r="N164" s="6"/>
      <c r="O164" s="9">
        <v>-14.5</v>
      </c>
    </row>
    <row r="165" spans="1:15" ht="19.5" customHeight="1">
      <c r="A165" s="1" t="s">
        <v>110</v>
      </c>
      <c r="B165" s="5">
        <v>45938</v>
      </c>
      <c r="C165" s="1" t="s">
        <v>28</v>
      </c>
      <c r="D165" s="1" t="s">
        <v>60</v>
      </c>
      <c r="E165" s="1" t="s">
        <v>111</v>
      </c>
      <c r="F165" s="1" t="s">
        <v>112</v>
      </c>
      <c r="G165" s="1" t="s">
        <v>21</v>
      </c>
      <c r="H165" s="6">
        <v>1</v>
      </c>
      <c r="I165" s="7">
        <v>0</v>
      </c>
      <c r="J165" s="5">
        <v>45928</v>
      </c>
      <c r="K165" s="1" t="s">
        <v>113</v>
      </c>
      <c r="L165" s="8">
        <v>0</v>
      </c>
      <c r="M165" s="6"/>
      <c r="N165" s="6"/>
      <c r="O165" s="9">
        <v>0</v>
      </c>
    </row>
    <row r="166" spans="1:15" ht="19.5" customHeight="1">
      <c r="A166" s="1" t="s">
        <v>110</v>
      </c>
      <c r="B166" s="5">
        <v>45938</v>
      </c>
      <c r="C166" s="1" t="s">
        <v>28</v>
      </c>
      <c r="D166" s="1" t="s">
        <v>46</v>
      </c>
      <c r="E166" s="1" t="s">
        <v>111</v>
      </c>
      <c r="F166" s="1" t="s">
        <v>112</v>
      </c>
      <c r="G166" s="1" t="s">
        <v>21</v>
      </c>
      <c r="H166" s="6">
        <v>1</v>
      </c>
      <c r="I166" s="7">
        <v>0</v>
      </c>
      <c r="J166" s="5">
        <v>45928</v>
      </c>
      <c r="K166" s="1" t="s">
        <v>113</v>
      </c>
      <c r="L166" s="8">
        <v>0</v>
      </c>
      <c r="M166" s="6"/>
      <c r="N166" s="6"/>
      <c r="O166" s="9">
        <v>-56</v>
      </c>
    </row>
    <row r="167" spans="1:15" ht="19.5" customHeight="1">
      <c r="A167" s="1" t="s">
        <v>110</v>
      </c>
      <c r="B167" s="5">
        <v>45938</v>
      </c>
      <c r="C167" s="1" t="s">
        <v>17</v>
      </c>
      <c r="D167" s="1" t="s">
        <v>47</v>
      </c>
      <c r="E167" s="1" t="s">
        <v>111</v>
      </c>
      <c r="F167" s="1" t="s">
        <v>112</v>
      </c>
      <c r="G167" s="1" t="s">
        <v>21</v>
      </c>
      <c r="H167" s="6">
        <v>1</v>
      </c>
      <c r="I167" s="7">
        <v>0</v>
      </c>
      <c r="J167" s="5">
        <v>45928</v>
      </c>
      <c r="K167" s="1" t="s">
        <v>113</v>
      </c>
      <c r="L167" s="8">
        <v>0</v>
      </c>
      <c r="M167" s="6"/>
      <c r="N167" s="6"/>
      <c r="O167" s="9">
        <v>-15</v>
      </c>
    </row>
    <row r="168" spans="1:15" ht="19.5" customHeight="1">
      <c r="A168" s="1" t="s">
        <v>114</v>
      </c>
      <c r="B168" s="5">
        <v>45938</v>
      </c>
      <c r="C168" s="1" t="s">
        <v>28</v>
      </c>
      <c r="D168" s="1" t="s">
        <v>29</v>
      </c>
      <c r="E168" s="1" t="s">
        <v>51</v>
      </c>
      <c r="F168" s="1" t="s">
        <v>52</v>
      </c>
      <c r="G168" s="1" t="s">
        <v>41</v>
      </c>
      <c r="H168" s="6">
        <v>1</v>
      </c>
      <c r="I168" s="7">
        <v>0</v>
      </c>
      <c r="J168" s="5">
        <v>45932</v>
      </c>
      <c r="K168" s="1" t="s">
        <v>30</v>
      </c>
      <c r="L168" s="8">
        <v>0</v>
      </c>
      <c r="M168" s="6"/>
      <c r="N168" s="6"/>
      <c r="O168" s="9">
        <v>-56</v>
      </c>
    </row>
    <row r="169" spans="1:15" ht="19.5" customHeight="1">
      <c r="A169" s="1" t="s">
        <v>114</v>
      </c>
      <c r="B169" s="5">
        <v>45938</v>
      </c>
      <c r="C169" s="1" t="s">
        <v>17</v>
      </c>
      <c r="D169" s="1" t="s">
        <v>37</v>
      </c>
      <c r="E169" s="1" t="s">
        <v>51</v>
      </c>
      <c r="F169" s="1" t="s">
        <v>52</v>
      </c>
      <c r="G169" s="1" t="s">
        <v>41</v>
      </c>
      <c r="H169" s="6">
        <v>1</v>
      </c>
      <c r="I169" s="7">
        <v>0</v>
      </c>
      <c r="J169" s="5">
        <v>45932</v>
      </c>
      <c r="K169" s="1" t="s">
        <v>30</v>
      </c>
      <c r="L169" s="8">
        <v>0</v>
      </c>
      <c r="M169" s="6"/>
      <c r="N169" s="6"/>
      <c r="O169" s="9">
        <v>-8.44</v>
      </c>
    </row>
    <row r="170" spans="1:15" ht="19.5" customHeight="1">
      <c r="A170" s="1" t="s">
        <v>114</v>
      </c>
      <c r="B170" s="5">
        <v>45938</v>
      </c>
      <c r="C170" s="1" t="s">
        <v>28</v>
      </c>
      <c r="D170" s="1" t="s">
        <v>45</v>
      </c>
      <c r="E170" s="1" t="s">
        <v>51</v>
      </c>
      <c r="F170" s="1" t="s">
        <v>52</v>
      </c>
      <c r="G170" s="1" t="s">
        <v>41</v>
      </c>
      <c r="H170" s="6">
        <v>1</v>
      </c>
      <c r="I170" s="7">
        <v>0</v>
      </c>
      <c r="J170" s="5">
        <v>45932</v>
      </c>
      <c r="K170" s="1" t="s">
        <v>30</v>
      </c>
      <c r="L170" s="8">
        <v>0</v>
      </c>
      <c r="M170" s="6"/>
      <c r="N170" s="6"/>
      <c r="O170" s="9">
        <v>0</v>
      </c>
    </row>
    <row r="171" spans="1:15" ht="19.5" customHeight="1">
      <c r="A171" s="1" t="s">
        <v>114</v>
      </c>
      <c r="B171" s="5">
        <v>45938</v>
      </c>
      <c r="C171" s="1" t="s">
        <v>28</v>
      </c>
      <c r="D171" s="1" t="s">
        <v>46</v>
      </c>
      <c r="E171" s="1" t="s">
        <v>51</v>
      </c>
      <c r="F171" s="1" t="s">
        <v>52</v>
      </c>
      <c r="G171" s="1" t="s">
        <v>41</v>
      </c>
      <c r="H171" s="6">
        <v>1</v>
      </c>
      <c r="I171" s="7">
        <v>0</v>
      </c>
      <c r="J171" s="5">
        <v>45932</v>
      </c>
      <c r="K171" s="1" t="s">
        <v>30</v>
      </c>
      <c r="L171" s="8">
        <v>0</v>
      </c>
      <c r="M171" s="6"/>
      <c r="N171" s="6"/>
      <c r="O171" s="9">
        <v>-56</v>
      </c>
    </row>
    <row r="172" spans="1:15" ht="19.5" customHeight="1">
      <c r="A172" s="1" t="s">
        <v>114</v>
      </c>
      <c r="B172" s="5">
        <v>45938</v>
      </c>
      <c r="C172" s="1" t="s">
        <v>17</v>
      </c>
      <c r="D172" s="1" t="s">
        <v>47</v>
      </c>
      <c r="E172" s="1" t="s">
        <v>51</v>
      </c>
      <c r="F172" s="1" t="s">
        <v>52</v>
      </c>
      <c r="G172" s="1" t="s">
        <v>41</v>
      </c>
      <c r="H172" s="6">
        <v>1</v>
      </c>
      <c r="I172" s="7">
        <v>0</v>
      </c>
      <c r="J172" s="5">
        <v>45932</v>
      </c>
      <c r="K172" s="1" t="s">
        <v>30</v>
      </c>
      <c r="L172" s="8">
        <v>0</v>
      </c>
      <c r="M172" s="6"/>
      <c r="N172" s="6"/>
      <c r="O172" s="9">
        <v>-15</v>
      </c>
    </row>
    <row r="173" spans="1:15" ht="19.5" customHeight="1">
      <c r="A173" s="1" t="s">
        <v>115</v>
      </c>
      <c r="B173" s="5">
        <v>45938</v>
      </c>
      <c r="C173" s="1" t="s">
        <v>28</v>
      </c>
      <c r="D173" s="1" t="s">
        <v>29</v>
      </c>
      <c r="E173" s="1" t="s">
        <v>92</v>
      </c>
      <c r="F173" s="1" t="s">
        <v>93</v>
      </c>
      <c r="G173" s="1" t="s">
        <v>21</v>
      </c>
      <c r="H173" s="6">
        <v>1</v>
      </c>
      <c r="I173" s="7">
        <v>0</v>
      </c>
      <c r="J173" s="5">
        <v>45934</v>
      </c>
      <c r="K173" s="1" t="s">
        <v>30</v>
      </c>
      <c r="L173" s="8">
        <v>0</v>
      </c>
      <c r="M173" s="6"/>
      <c r="N173" s="6"/>
      <c r="O173" s="9">
        <v>-46</v>
      </c>
    </row>
    <row r="174" spans="1:15" ht="19.5" customHeight="1">
      <c r="A174" s="1" t="s">
        <v>115</v>
      </c>
      <c r="B174" s="5">
        <v>45938</v>
      </c>
      <c r="C174" s="1" t="s">
        <v>17</v>
      </c>
      <c r="D174" s="1" t="s">
        <v>37</v>
      </c>
      <c r="E174" s="1" t="s">
        <v>92</v>
      </c>
      <c r="F174" s="1" t="s">
        <v>93</v>
      </c>
      <c r="G174" s="1" t="s">
        <v>21</v>
      </c>
      <c r="H174" s="6">
        <v>1</v>
      </c>
      <c r="I174" s="7">
        <v>0</v>
      </c>
      <c r="J174" s="5">
        <v>45934</v>
      </c>
      <c r="K174" s="1" t="s">
        <v>30</v>
      </c>
      <c r="L174" s="8">
        <v>0</v>
      </c>
      <c r="M174" s="6"/>
      <c r="N174" s="6"/>
      <c r="O174" s="9">
        <v>-5.56</v>
      </c>
    </row>
    <row r="175" spans="1:15" ht="19.5" customHeight="1">
      <c r="A175" s="1" t="s">
        <v>115</v>
      </c>
      <c r="B175" s="5">
        <v>45938</v>
      </c>
      <c r="C175" s="1" t="s">
        <v>28</v>
      </c>
      <c r="D175" s="1" t="s">
        <v>45</v>
      </c>
      <c r="E175" s="1" t="s">
        <v>92</v>
      </c>
      <c r="F175" s="1" t="s">
        <v>93</v>
      </c>
      <c r="G175" s="1" t="s">
        <v>21</v>
      </c>
      <c r="H175" s="6">
        <v>1</v>
      </c>
      <c r="I175" s="7">
        <v>0</v>
      </c>
      <c r="J175" s="5">
        <v>45934</v>
      </c>
      <c r="K175" s="1" t="s">
        <v>30</v>
      </c>
      <c r="L175" s="8">
        <v>0</v>
      </c>
      <c r="M175" s="6"/>
      <c r="N175" s="6"/>
      <c r="O175" s="9">
        <v>0</v>
      </c>
    </row>
    <row r="176" spans="1:15" ht="19.5" customHeight="1">
      <c r="A176" s="1" t="s">
        <v>115</v>
      </c>
      <c r="B176" s="5">
        <v>45938</v>
      </c>
      <c r="C176" s="1" t="s">
        <v>28</v>
      </c>
      <c r="D176" s="1" t="s">
        <v>46</v>
      </c>
      <c r="E176" s="1" t="s">
        <v>92</v>
      </c>
      <c r="F176" s="1" t="s">
        <v>93</v>
      </c>
      <c r="G176" s="1" t="s">
        <v>21</v>
      </c>
      <c r="H176" s="6">
        <v>1</v>
      </c>
      <c r="I176" s="7">
        <v>0</v>
      </c>
      <c r="J176" s="5">
        <v>45934</v>
      </c>
      <c r="K176" s="1" t="s">
        <v>30</v>
      </c>
      <c r="L176" s="8">
        <v>0</v>
      </c>
      <c r="M176" s="6"/>
      <c r="N176" s="6"/>
      <c r="O176" s="9">
        <v>-46</v>
      </c>
    </row>
    <row r="177" spans="1:15" ht="19.5" customHeight="1">
      <c r="A177" s="1" t="s">
        <v>115</v>
      </c>
      <c r="B177" s="5">
        <v>45938</v>
      </c>
      <c r="C177" s="1" t="s">
        <v>17</v>
      </c>
      <c r="D177" s="1" t="s">
        <v>47</v>
      </c>
      <c r="E177" s="1" t="s">
        <v>92</v>
      </c>
      <c r="F177" s="1" t="s">
        <v>93</v>
      </c>
      <c r="G177" s="1" t="s">
        <v>21</v>
      </c>
      <c r="H177" s="6">
        <v>1</v>
      </c>
      <c r="I177" s="7">
        <v>0</v>
      </c>
      <c r="J177" s="5">
        <v>45934</v>
      </c>
      <c r="K177" s="1" t="s">
        <v>30</v>
      </c>
      <c r="L177" s="8">
        <v>0</v>
      </c>
      <c r="M177" s="6"/>
      <c r="N177" s="6"/>
      <c r="O177" s="9">
        <v>-15</v>
      </c>
    </row>
    <row r="178" spans="1:15" ht="19.5" customHeight="1">
      <c r="A178" s="1" t="s">
        <v>116</v>
      </c>
      <c r="B178" s="5">
        <v>45938</v>
      </c>
      <c r="C178" s="1" t="s">
        <v>28</v>
      </c>
      <c r="D178" s="1" t="s">
        <v>29</v>
      </c>
      <c r="E178" s="1" t="s">
        <v>51</v>
      </c>
      <c r="F178" s="1" t="s">
        <v>52</v>
      </c>
      <c r="G178" s="1" t="s">
        <v>41</v>
      </c>
      <c r="H178" s="6">
        <v>1</v>
      </c>
      <c r="I178" s="7">
        <v>2610</v>
      </c>
      <c r="J178" s="5">
        <v>45932</v>
      </c>
      <c r="K178" s="1" t="s">
        <v>30</v>
      </c>
      <c r="L178" s="8">
        <v>0.24</v>
      </c>
      <c r="M178" s="6"/>
      <c r="N178" s="6"/>
      <c r="O178" s="9">
        <v>-56</v>
      </c>
    </row>
    <row r="179" spans="1:15" ht="19.5" customHeight="1">
      <c r="A179" s="1" t="s">
        <v>116</v>
      </c>
      <c r="B179" s="5">
        <v>45938</v>
      </c>
      <c r="C179" s="1" t="s">
        <v>31</v>
      </c>
      <c r="D179" s="1" t="s">
        <v>32</v>
      </c>
      <c r="E179" s="1" t="s">
        <v>51</v>
      </c>
      <c r="F179" s="1" t="s">
        <v>52</v>
      </c>
      <c r="G179" s="1" t="s">
        <v>41</v>
      </c>
      <c r="H179" s="6">
        <v>1</v>
      </c>
      <c r="I179" s="7">
        <v>2610</v>
      </c>
      <c r="J179" s="5">
        <v>45932</v>
      </c>
      <c r="K179" s="1" t="s">
        <v>30</v>
      </c>
      <c r="L179" s="8">
        <v>0</v>
      </c>
      <c r="M179" s="6"/>
      <c r="N179" s="6"/>
      <c r="O179" s="9">
        <v>1385.71</v>
      </c>
    </row>
    <row r="180" spans="1:15" ht="19.5" customHeight="1">
      <c r="A180" s="1" t="s">
        <v>116</v>
      </c>
      <c r="B180" s="5">
        <v>45938</v>
      </c>
      <c r="C180" s="1" t="s">
        <v>31</v>
      </c>
      <c r="D180" s="1" t="s">
        <v>33</v>
      </c>
      <c r="E180" s="1" t="s">
        <v>51</v>
      </c>
      <c r="F180" s="1" t="s">
        <v>52</v>
      </c>
      <c r="G180" s="1" t="s">
        <v>41</v>
      </c>
      <c r="H180" s="6">
        <v>1</v>
      </c>
      <c r="I180" s="7">
        <v>2610</v>
      </c>
      <c r="J180" s="5">
        <v>45932</v>
      </c>
      <c r="K180" s="1" t="s">
        <v>30</v>
      </c>
      <c r="L180" s="8">
        <v>0</v>
      </c>
      <c r="M180" s="6"/>
      <c r="N180" s="6"/>
      <c r="O180" s="9">
        <v>13.86</v>
      </c>
    </row>
    <row r="181" spans="1:15" ht="19.5" customHeight="1">
      <c r="A181" s="1" t="s">
        <v>116</v>
      </c>
      <c r="B181" s="5">
        <v>45938</v>
      </c>
      <c r="C181" s="1" t="s">
        <v>31</v>
      </c>
      <c r="D181" s="1" t="s">
        <v>34</v>
      </c>
      <c r="E181" s="1" t="s">
        <v>51</v>
      </c>
      <c r="F181" s="1" t="s">
        <v>52</v>
      </c>
      <c r="G181" s="1" t="s">
        <v>41</v>
      </c>
      <c r="H181" s="6">
        <v>1</v>
      </c>
      <c r="I181" s="7">
        <v>2610</v>
      </c>
      <c r="J181" s="5">
        <v>45932</v>
      </c>
      <c r="K181" s="1" t="s">
        <v>30</v>
      </c>
      <c r="L181" s="8">
        <v>0</v>
      </c>
      <c r="M181" s="6"/>
      <c r="N181" s="6"/>
      <c r="O181" s="9">
        <v>1210.43</v>
      </c>
    </row>
    <row r="182" spans="1:15" ht="19.5" customHeight="1">
      <c r="A182" s="1" t="s">
        <v>116</v>
      </c>
      <c r="B182" s="5">
        <v>45938</v>
      </c>
      <c r="C182" s="1" t="s">
        <v>35</v>
      </c>
      <c r="D182" s="1" t="s">
        <v>36</v>
      </c>
      <c r="E182" s="1" t="s">
        <v>51</v>
      </c>
      <c r="F182" s="1" t="s">
        <v>52</v>
      </c>
      <c r="G182" s="1" t="s">
        <v>41</v>
      </c>
      <c r="H182" s="6">
        <v>1</v>
      </c>
      <c r="I182" s="7">
        <v>2610</v>
      </c>
      <c r="J182" s="5">
        <v>45932</v>
      </c>
      <c r="K182" s="1" t="s">
        <v>30</v>
      </c>
      <c r="L182" s="8">
        <v>0.24</v>
      </c>
      <c r="M182" s="6"/>
      <c r="N182" s="6"/>
      <c r="O182" s="9">
        <v>-626.4</v>
      </c>
    </row>
    <row r="183" spans="1:15" ht="19.5" customHeight="1">
      <c r="A183" s="1" t="s">
        <v>116</v>
      </c>
      <c r="B183" s="5">
        <v>45938</v>
      </c>
      <c r="C183" s="1" t="s">
        <v>17</v>
      </c>
      <c r="D183" s="1" t="s">
        <v>37</v>
      </c>
      <c r="E183" s="1" t="s">
        <v>51</v>
      </c>
      <c r="F183" s="1" t="s">
        <v>52</v>
      </c>
      <c r="G183" s="1" t="s">
        <v>41</v>
      </c>
      <c r="H183" s="6">
        <v>1</v>
      </c>
      <c r="I183" s="7">
        <v>2610</v>
      </c>
      <c r="J183" s="5">
        <v>45932</v>
      </c>
      <c r="K183" s="1" t="s">
        <v>30</v>
      </c>
      <c r="L183" s="8">
        <v>0.24</v>
      </c>
      <c r="M183" s="6"/>
      <c r="N183" s="6"/>
      <c r="O183" s="9">
        <v>-9.24</v>
      </c>
    </row>
    <row r="184" spans="1:15" ht="19.5" customHeight="1">
      <c r="A184" s="1" t="s">
        <v>116</v>
      </c>
      <c r="B184" s="5">
        <v>45938</v>
      </c>
      <c r="C184" s="1" t="s">
        <v>17</v>
      </c>
      <c r="D184" s="1" t="s">
        <v>18</v>
      </c>
      <c r="E184" s="1" t="s">
        <v>51</v>
      </c>
      <c r="F184" s="1" t="s">
        <v>52</v>
      </c>
      <c r="G184" s="1" t="s">
        <v>41</v>
      </c>
      <c r="H184" s="6">
        <v>1</v>
      </c>
      <c r="I184" s="7">
        <v>0</v>
      </c>
      <c r="J184" s="5">
        <v>45932</v>
      </c>
      <c r="K184" s="1" t="s">
        <v>22</v>
      </c>
      <c r="L184" s="8">
        <v>0</v>
      </c>
      <c r="M184" s="6"/>
      <c r="N184" s="6"/>
      <c r="O184" s="9">
        <v>-26.33</v>
      </c>
    </row>
    <row r="185" spans="1:15" ht="19.5" customHeight="1">
      <c r="A185" s="1" t="s">
        <v>117</v>
      </c>
      <c r="B185" s="5">
        <v>45938</v>
      </c>
      <c r="C185" s="1" t="s">
        <v>28</v>
      </c>
      <c r="D185" s="1" t="s">
        <v>29</v>
      </c>
      <c r="E185" s="1" t="s">
        <v>19</v>
      </c>
      <c r="F185" s="1" t="s">
        <v>20</v>
      </c>
      <c r="G185" s="1" t="s">
        <v>21</v>
      </c>
      <c r="H185" s="6">
        <v>1</v>
      </c>
      <c r="I185" s="7">
        <v>1500</v>
      </c>
      <c r="J185" s="5">
        <v>45936</v>
      </c>
      <c r="K185" s="1" t="s">
        <v>30</v>
      </c>
      <c r="L185" s="8">
        <v>0.26</v>
      </c>
      <c r="M185" s="6"/>
      <c r="N185" s="6"/>
      <c r="O185" s="9">
        <v>-46</v>
      </c>
    </row>
    <row r="186" spans="1:15" ht="19.5" customHeight="1">
      <c r="A186" s="1" t="s">
        <v>117</v>
      </c>
      <c r="B186" s="5">
        <v>45938</v>
      </c>
      <c r="C186" s="1" t="s">
        <v>31</v>
      </c>
      <c r="D186" s="1" t="s">
        <v>32</v>
      </c>
      <c r="E186" s="1" t="s">
        <v>19</v>
      </c>
      <c r="F186" s="1" t="s">
        <v>20</v>
      </c>
      <c r="G186" s="1" t="s">
        <v>21</v>
      </c>
      <c r="H186" s="6">
        <v>1</v>
      </c>
      <c r="I186" s="7">
        <v>1500</v>
      </c>
      <c r="J186" s="5">
        <v>45936</v>
      </c>
      <c r="K186" s="1" t="s">
        <v>30</v>
      </c>
      <c r="L186" s="8">
        <v>0</v>
      </c>
      <c r="M186" s="6"/>
      <c r="N186" s="6"/>
      <c r="O186" s="9">
        <v>927.62</v>
      </c>
    </row>
    <row r="187" spans="1:15" ht="19.5" customHeight="1">
      <c r="A187" s="1" t="s">
        <v>117</v>
      </c>
      <c r="B187" s="5">
        <v>45938</v>
      </c>
      <c r="C187" s="1" t="s">
        <v>31</v>
      </c>
      <c r="D187" s="1" t="s">
        <v>33</v>
      </c>
      <c r="E187" s="1" t="s">
        <v>19</v>
      </c>
      <c r="F187" s="1" t="s">
        <v>20</v>
      </c>
      <c r="G187" s="1" t="s">
        <v>21</v>
      </c>
      <c r="H187" s="6">
        <v>1</v>
      </c>
      <c r="I187" s="7">
        <v>1500</v>
      </c>
      <c r="J187" s="5">
        <v>45936</v>
      </c>
      <c r="K187" s="1" t="s">
        <v>30</v>
      </c>
      <c r="L187" s="8">
        <v>0</v>
      </c>
      <c r="M187" s="6"/>
      <c r="N187" s="6"/>
      <c r="O187" s="9">
        <v>9.2799999999999994</v>
      </c>
    </row>
    <row r="188" spans="1:15" ht="19.5" customHeight="1">
      <c r="A188" s="1" t="s">
        <v>117</v>
      </c>
      <c r="B188" s="5">
        <v>45938</v>
      </c>
      <c r="C188" s="1" t="s">
        <v>31</v>
      </c>
      <c r="D188" s="1" t="s">
        <v>34</v>
      </c>
      <c r="E188" s="1" t="s">
        <v>19</v>
      </c>
      <c r="F188" s="1" t="s">
        <v>20</v>
      </c>
      <c r="G188" s="1" t="s">
        <v>21</v>
      </c>
      <c r="H188" s="6">
        <v>1</v>
      </c>
      <c r="I188" s="7">
        <v>1500</v>
      </c>
      <c r="J188" s="5">
        <v>45936</v>
      </c>
      <c r="K188" s="1" t="s">
        <v>30</v>
      </c>
      <c r="L188" s="8">
        <v>0</v>
      </c>
      <c r="M188" s="6"/>
      <c r="N188" s="6"/>
      <c r="O188" s="9">
        <v>563.1</v>
      </c>
    </row>
    <row r="189" spans="1:15" ht="19.5" customHeight="1">
      <c r="A189" s="1" t="s">
        <v>117</v>
      </c>
      <c r="B189" s="5">
        <v>45938</v>
      </c>
      <c r="C189" s="1" t="s">
        <v>35</v>
      </c>
      <c r="D189" s="1" t="s">
        <v>36</v>
      </c>
      <c r="E189" s="1" t="s">
        <v>19</v>
      </c>
      <c r="F189" s="1" t="s">
        <v>20</v>
      </c>
      <c r="G189" s="1" t="s">
        <v>21</v>
      </c>
      <c r="H189" s="6">
        <v>1</v>
      </c>
      <c r="I189" s="7">
        <v>1500</v>
      </c>
      <c r="J189" s="5">
        <v>45936</v>
      </c>
      <c r="K189" s="1" t="s">
        <v>30</v>
      </c>
      <c r="L189" s="8">
        <v>0.26</v>
      </c>
      <c r="M189" s="6"/>
      <c r="N189" s="6"/>
      <c r="O189" s="9">
        <v>-390</v>
      </c>
    </row>
    <row r="190" spans="1:15" ht="19.5" customHeight="1">
      <c r="A190" s="1" t="s">
        <v>117</v>
      </c>
      <c r="B190" s="5">
        <v>45938</v>
      </c>
      <c r="C190" s="1" t="s">
        <v>17</v>
      </c>
      <c r="D190" s="1" t="s">
        <v>37</v>
      </c>
      <c r="E190" s="1" t="s">
        <v>19</v>
      </c>
      <c r="F190" s="1" t="s">
        <v>20</v>
      </c>
      <c r="G190" s="1" t="s">
        <v>21</v>
      </c>
      <c r="H190" s="6">
        <v>1</v>
      </c>
      <c r="I190" s="7">
        <v>1500</v>
      </c>
      <c r="J190" s="5">
        <v>45936</v>
      </c>
      <c r="K190" s="1" t="s">
        <v>30</v>
      </c>
      <c r="L190" s="8">
        <v>0.26</v>
      </c>
      <c r="M190" s="6"/>
      <c r="N190" s="6"/>
      <c r="O190" s="9">
        <v>-9.9600000000000009</v>
      </c>
    </row>
    <row r="191" spans="1:15" ht="19.5" customHeight="1">
      <c r="A191" s="1" t="s">
        <v>118</v>
      </c>
      <c r="B191" s="5">
        <v>45938</v>
      </c>
      <c r="C191" s="1" t="s">
        <v>28</v>
      </c>
      <c r="D191" s="1" t="s">
        <v>29</v>
      </c>
      <c r="E191" s="1" t="s">
        <v>43</v>
      </c>
      <c r="F191" s="1" t="s">
        <v>44</v>
      </c>
      <c r="G191" s="1" t="s">
        <v>41</v>
      </c>
      <c r="H191" s="6">
        <v>1</v>
      </c>
      <c r="I191" s="7">
        <v>3690</v>
      </c>
      <c r="J191" s="5">
        <v>45937</v>
      </c>
      <c r="K191" s="1" t="s">
        <v>30</v>
      </c>
      <c r="L191" s="8">
        <v>0.24</v>
      </c>
      <c r="M191" s="6"/>
      <c r="N191" s="6"/>
      <c r="O191" s="9">
        <v>-56</v>
      </c>
    </row>
    <row r="192" spans="1:15" ht="19.5" customHeight="1">
      <c r="A192" s="1" t="s">
        <v>118</v>
      </c>
      <c r="B192" s="5">
        <v>45938</v>
      </c>
      <c r="C192" s="1" t="s">
        <v>31</v>
      </c>
      <c r="D192" s="1" t="s">
        <v>32</v>
      </c>
      <c r="E192" s="1" t="s">
        <v>43</v>
      </c>
      <c r="F192" s="1" t="s">
        <v>44</v>
      </c>
      <c r="G192" s="1" t="s">
        <v>41</v>
      </c>
      <c r="H192" s="6">
        <v>1</v>
      </c>
      <c r="I192" s="7">
        <v>3690</v>
      </c>
      <c r="J192" s="5">
        <v>45937</v>
      </c>
      <c r="K192" s="1" t="s">
        <v>30</v>
      </c>
      <c r="L192" s="8">
        <v>0</v>
      </c>
      <c r="M192" s="6"/>
      <c r="N192" s="6"/>
      <c r="O192" s="9">
        <v>2253.8200000000002</v>
      </c>
    </row>
    <row r="193" spans="1:15" ht="19.5" customHeight="1">
      <c r="A193" s="1" t="s">
        <v>118</v>
      </c>
      <c r="B193" s="5">
        <v>45938</v>
      </c>
      <c r="C193" s="1" t="s">
        <v>31</v>
      </c>
      <c r="D193" s="1" t="s">
        <v>33</v>
      </c>
      <c r="E193" s="1" t="s">
        <v>43</v>
      </c>
      <c r="F193" s="1" t="s">
        <v>44</v>
      </c>
      <c r="G193" s="1" t="s">
        <v>41</v>
      </c>
      <c r="H193" s="6">
        <v>1</v>
      </c>
      <c r="I193" s="7">
        <v>3690</v>
      </c>
      <c r="J193" s="5">
        <v>45937</v>
      </c>
      <c r="K193" s="1" t="s">
        <v>30</v>
      </c>
      <c r="L193" s="8">
        <v>0</v>
      </c>
      <c r="M193" s="6"/>
      <c r="N193" s="6"/>
      <c r="O193" s="9">
        <v>22.54</v>
      </c>
    </row>
    <row r="194" spans="1:15" ht="19.5" customHeight="1">
      <c r="A194" s="1" t="s">
        <v>118</v>
      </c>
      <c r="B194" s="5">
        <v>45938</v>
      </c>
      <c r="C194" s="1" t="s">
        <v>31</v>
      </c>
      <c r="D194" s="1" t="s">
        <v>34</v>
      </c>
      <c r="E194" s="1" t="s">
        <v>43</v>
      </c>
      <c r="F194" s="1" t="s">
        <v>44</v>
      </c>
      <c r="G194" s="1" t="s">
        <v>41</v>
      </c>
      <c r="H194" s="6">
        <v>1</v>
      </c>
      <c r="I194" s="7">
        <v>3690</v>
      </c>
      <c r="J194" s="5">
        <v>45937</v>
      </c>
      <c r="K194" s="1" t="s">
        <v>30</v>
      </c>
      <c r="L194" s="8">
        <v>0</v>
      </c>
      <c r="M194" s="6"/>
      <c r="N194" s="6"/>
      <c r="O194" s="9">
        <v>1413.64</v>
      </c>
    </row>
    <row r="195" spans="1:15" ht="19.5" customHeight="1">
      <c r="A195" s="1" t="s">
        <v>118</v>
      </c>
      <c r="B195" s="5">
        <v>45938</v>
      </c>
      <c r="C195" s="1" t="s">
        <v>35</v>
      </c>
      <c r="D195" s="1" t="s">
        <v>36</v>
      </c>
      <c r="E195" s="1" t="s">
        <v>43</v>
      </c>
      <c r="F195" s="1" t="s">
        <v>44</v>
      </c>
      <c r="G195" s="1" t="s">
        <v>41</v>
      </c>
      <c r="H195" s="6">
        <v>1</v>
      </c>
      <c r="I195" s="7">
        <v>3690</v>
      </c>
      <c r="J195" s="5">
        <v>45937</v>
      </c>
      <c r="K195" s="1" t="s">
        <v>30</v>
      </c>
      <c r="L195" s="8">
        <v>0.24</v>
      </c>
      <c r="M195" s="6"/>
      <c r="N195" s="6"/>
      <c r="O195" s="9">
        <v>-885.6</v>
      </c>
    </row>
    <row r="196" spans="1:15" ht="19.5" customHeight="1">
      <c r="A196" s="1" t="s">
        <v>119</v>
      </c>
      <c r="B196" s="5">
        <v>45938</v>
      </c>
      <c r="C196" s="1" t="s">
        <v>28</v>
      </c>
      <c r="D196" s="1" t="s">
        <v>29</v>
      </c>
      <c r="E196" s="1" t="s">
        <v>51</v>
      </c>
      <c r="F196" s="1" t="s">
        <v>52</v>
      </c>
      <c r="G196" s="1" t="s">
        <v>41</v>
      </c>
      <c r="H196" s="6">
        <v>1</v>
      </c>
      <c r="I196" s="7">
        <v>0</v>
      </c>
      <c r="J196" s="5">
        <v>45930</v>
      </c>
      <c r="K196" s="1" t="s">
        <v>30</v>
      </c>
      <c r="L196" s="8">
        <v>0</v>
      </c>
      <c r="M196" s="6"/>
      <c r="N196" s="6"/>
      <c r="O196" s="9">
        <v>-56</v>
      </c>
    </row>
    <row r="197" spans="1:15" ht="19.5" customHeight="1">
      <c r="A197" s="1" t="s">
        <v>119</v>
      </c>
      <c r="B197" s="5">
        <v>45938</v>
      </c>
      <c r="C197" s="1" t="s">
        <v>17</v>
      </c>
      <c r="D197" s="1" t="s">
        <v>37</v>
      </c>
      <c r="E197" s="1" t="s">
        <v>51</v>
      </c>
      <c r="F197" s="1" t="s">
        <v>52</v>
      </c>
      <c r="G197" s="1" t="s">
        <v>41</v>
      </c>
      <c r="H197" s="6">
        <v>1</v>
      </c>
      <c r="I197" s="7">
        <v>0</v>
      </c>
      <c r="J197" s="5">
        <v>45930</v>
      </c>
      <c r="K197" s="1" t="s">
        <v>30</v>
      </c>
      <c r="L197" s="8">
        <v>0</v>
      </c>
      <c r="M197" s="6"/>
      <c r="N197" s="6"/>
      <c r="O197" s="9">
        <v>-14.82</v>
      </c>
    </row>
    <row r="198" spans="1:15" ht="19.5" customHeight="1">
      <c r="A198" s="1" t="s">
        <v>119</v>
      </c>
      <c r="B198" s="5">
        <v>45938</v>
      </c>
      <c r="C198" s="1" t="s">
        <v>28</v>
      </c>
      <c r="D198" s="1" t="s">
        <v>45</v>
      </c>
      <c r="E198" s="1" t="s">
        <v>51</v>
      </c>
      <c r="F198" s="1" t="s">
        <v>52</v>
      </c>
      <c r="G198" s="1" t="s">
        <v>41</v>
      </c>
      <c r="H198" s="6">
        <v>1</v>
      </c>
      <c r="I198" s="7">
        <v>0</v>
      </c>
      <c r="J198" s="5">
        <v>45930</v>
      </c>
      <c r="K198" s="1" t="s">
        <v>30</v>
      </c>
      <c r="L198" s="8">
        <v>0</v>
      </c>
      <c r="M198" s="6"/>
      <c r="N198" s="6"/>
      <c r="O198" s="9">
        <v>0</v>
      </c>
    </row>
    <row r="199" spans="1:15" ht="19.5" customHeight="1">
      <c r="A199" s="1" t="s">
        <v>119</v>
      </c>
      <c r="B199" s="5">
        <v>45938</v>
      </c>
      <c r="C199" s="1" t="s">
        <v>28</v>
      </c>
      <c r="D199" s="1" t="s">
        <v>46</v>
      </c>
      <c r="E199" s="1" t="s">
        <v>51</v>
      </c>
      <c r="F199" s="1" t="s">
        <v>52</v>
      </c>
      <c r="G199" s="1" t="s">
        <v>41</v>
      </c>
      <c r="H199" s="6">
        <v>1</v>
      </c>
      <c r="I199" s="7">
        <v>0</v>
      </c>
      <c r="J199" s="5">
        <v>45930</v>
      </c>
      <c r="K199" s="1" t="s">
        <v>30</v>
      </c>
      <c r="L199" s="8">
        <v>0</v>
      </c>
      <c r="M199" s="6"/>
      <c r="N199" s="6"/>
      <c r="O199" s="9">
        <v>-56</v>
      </c>
    </row>
    <row r="200" spans="1:15" ht="19.5" customHeight="1">
      <c r="A200" s="1" t="s">
        <v>119</v>
      </c>
      <c r="B200" s="5">
        <v>45938</v>
      </c>
      <c r="C200" s="1" t="s">
        <v>17</v>
      </c>
      <c r="D200" s="1" t="s">
        <v>47</v>
      </c>
      <c r="E200" s="1" t="s">
        <v>51</v>
      </c>
      <c r="F200" s="1" t="s">
        <v>52</v>
      </c>
      <c r="G200" s="1" t="s">
        <v>41</v>
      </c>
      <c r="H200" s="6">
        <v>1</v>
      </c>
      <c r="I200" s="7">
        <v>0</v>
      </c>
      <c r="J200" s="5">
        <v>45930</v>
      </c>
      <c r="K200" s="1" t="s">
        <v>30</v>
      </c>
      <c r="L200" s="8">
        <v>0</v>
      </c>
      <c r="M200" s="6"/>
      <c r="N200" s="6"/>
      <c r="O200" s="9">
        <v>-15</v>
      </c>
    </row>
    <row r="201" spans="1:15" ht="19.5" customHeight="1">
      <c r="A201" s="1" t="s">
        <v>120</v>
      </c>
      <c r="B201" s="5">
        <v>45938</v>
      </c>
      <c r="C201" s="1" t="s">
        <v>17</v>
      </c>
      <c r="D201" s="1" t="s">
        <v>18</v>
      </c>
      <c r="E201" s="1" t="s">
        <v>25</v>
      </c>
      <c r="F201" s="1" t="s">
        <v>26</v>
      </c>
      <c r="G201" s="1" t="s">
        <v>21</v>
      </c>
      <c r="H201" s="6">
        <v>1</v>
      </c>
      <c r="I201" s="7">
        <v>0</v>
      </c>
      <c r="J201" s="5">
        <v>45938</v>
      </c>
      <c r="K201" s="1" t="s">
        <v>22</v>
      </c>
      <c r="L201" s="8">
        <v>0</v>
      </c>
      <c r="M201" s="6"/>
      <c r="N201" s="6"/>
      <c r="O201" s="9">
        <v>-12.21</v>
      </c>
    </row>
    <row r="202" spans="1:15" ht="19.5" customHeight="1">
      <c r="A202" s="1" t="s">
        <v>22</v>
      </c>
      <c r="B202" s="5">
        <v>45938</v>
      </c>
      <c r="C202" s="1" t="s">
        <v>77</v>
      </c>
      <c r="D202" s="1" t="s">
        <v>78</v>
      </c>
      <c r="E202" s="1" t="s">
        <v>22</v>
      </c>
      <c r="F202" s="1" t="s">
        <v>22</v>
      </c>
      <c r="G202" s="1" t="s">
        <v>121</v>
      </c>
      <c r="H202" s="6">
        <v>0</v>
      </c>
      <c r="I202" s="7">
        <v>0</v>
      </c>
      <c r="J202" s="5">
        <v>45938</v>
      </c>
      <c r="K202" s="1" t="s">
        <v>22</v>
      </c>
      <c r="L202" s="8">
        <v>0</v>
      </c>
      <c r="M202" s="6"/>
      <c r="N202" s="6"/>
      <c r="O202" s="9">
        <v>-200</v>
      </c>
    </row>
    <row r="203" spans="1:15" ht="19.5" customHeight="1">
      <c r="A203" s="1" t="s">
        <v>122</v>
      </c>
      <c r="B203" s="5">
        <v>45938</v>
      </c>
      <c r="C203" s="1" t="s">
        <v>17</v>
      </c>
      <c r="D203" s="1" t="s">
        <v>18</v>
      </c>
      <c r="E203" s="1" t="s">
        <v>70</v>
      </c>
      <c r="F203" s="1" t="s">
        <v>71</v>
      </c>
      <c r="G203" s="1" t="s">
        <v>41</v>
      </c>
      <c r="H203" s="6">
        <v>1</v>
      </c>
      <c r="I203" s="7">
        <v>0</v>
      </c>
      <c r="J203" s="5">
        <v>45938</v>
      </c>
      <c r="K203" s="1" t="s">
        <v>22</v>
      </c>
      <c r="L203" s="8">
        <v>0</v>
      </c>
      <c r="M203" s="6"/>
      <c r="N203" s="6"/>
      <c r="O203" s="9">
        <v>-50.35</v>
      </c>
    </row>
    <row r="204" spans="1:15" ht="19.5" customHeight="1">
      <c r="A204" s="1" t="s">
        <v>123</v>
      </c>
      <c r="B204" s="5">
        <v>45938</v>
      </c>
      <c r="C204" s="1" t="s">
        <v>28</v>
      </c>
      <c r="D204" s="1" t="s">
        <v>45</v>
      </c>
      <c r="E204" s="1" t="s">
        <v>70</v>
      </c>
      <c r="F204" s="1" t="s">
        <v>71</v>
      </c>
      <c r="G204" s="1" t="s">
        <v>41</v>
      </c>
      <c r="H204" s="6">
        <v>1</v>
      </c>
      <c r="I204" s="7">
        <v>0</v>
      </c>
      <c r="J204" s="5">
        <v>45933</v>
      </c>
      <c r="K204" s="1" t="s">
        <v>30</v>
      </c>
      <c r="L204" s="8">
        <v>0</v>
      </c>
      <c r="M204" s="6"/>
      <c r="N204" s="6"/>
      <c r="O204" s="9">
        <v>0</v>
      </c>
    </row>
    <row r="205" spans="1:15" ht="19.5" customHeight="1">
      <c r="A205" s="1" t="s">
        <v>123</v>
      </c>
      <c r="B205" s="5">
        <v>45938</v>
      </c>
      <c r="C205" s="1" t="s">
        <v>28</v>
      </c>
      <c r="D205" s="1" t="s">
        <v>46</v>
      </c>
      <c r="E205" s="1" t="s">
        <v>70</v>
      </c>
      <c r="F205" s="1" t="s">
        <v>71</v>
      </c>
      <c r="G205" s="1" t="s">
        <v>41</v>
      </c>
      <c r="H205" s="6">
        <v>1</v>
      </c>
      <c r="I205" s="7">
        <v>0</v>
      </c>
      <c r="J205" s="5">
        <v>45933</v>
      </c>
      <c r="K205" s="1" t="s">
        <v>30</v>
      </c>
      <c r="L205" s="8">
        <v>0</v>
      </c>
      <c r="M205" s="6"/>
      <c r="N205" s="6"/>
      <c r="O205" s="9">
        <v>-56</v>
      </c>
    </row>
    <row r="206" spans="1:15" ht="19.5" customHeight="1">
      <c r="A206" s="1" t="s">
        <v>123</v>
      </c>
      <c r="B206" s="5">
        <v>45938</v>
      </c>
      <c r="C206" s="1" t="s">
        <v>17</v>
      </c>
      <c r="D206" s="1" t="s">
        <v>47</v>
      </c>
      <c r="E206" s="1" t="s">
        <v>70</v>
      </c>
      <c r="F206" s="1" t="s">
        <v>71</v>
      </c>
      <c r="G206" s="1" t="s">
        <v>41</v>
      </c>
      <c r="H206" s="6">
        <v>1</v>
      </c>
      <c r="I206" s="7">
        <v>0</v>
      </c>
      <c r="J206" s="5">
        <v>45933</v>
      </c>
      <c r="K206" s="1" t="s">
        <v>30</v>
      </c>
      <c r="L206" s="8">
        <v>0</v>
      </c>
      <c r="M206" s="6"/>
      <c r="N206" s="6"/>
      <c r="O206" s="9">
        <v>-15</v>
      </c>
    </row>
    <row r="207" spans="1:15" ht="19.5" customHeight="1">
      <c r="A207" s="1" t="s">
        <v>123</v>
      </c>
      <c r="B207" s="5">
        <v>45938</v>
      </c>
      <c r="C207" s="1" t="s">
        <v>28</v>
      </c>
      <c r="D207" s="1" t="s">
        <v>29</v>
      </c>
      <c r="E207" s="1" t="s">
        <v>70</v>
      </c>
      <c r="F207" s="1" t="s">
        <v>71</v>
      </c>
      <c r="G207" s="1" t="s">
        <v>41</v>
      </c>
      <c r="H207" s="6">
        <v>1</v>
      </c>
      <c r="I207" s="7">
        <v>0</v>
      </c>
      <c r="J207" s="5">
        <v>45933</v>
      </c>
      <c r="K207" s="1" t="s">
        <v>30</v>
      </c>
      <c r="L207" s="8">
        <v>0</v>
      </c>
      <c r="M207" s="6"/>
      <c r="N207" s="6"/>
      <c r="O207" s="9">
        <v>-56</v>
      </c>
    </row>
    <row r="208" spans="1:15" ht="19.5" customHeight="1">
      <c r="A208" s="1" t="s">
        <v>123</v>
      </c>
      <c r="B208" s="5">
        <v>45938</v>
      </c>
      <c r="C208" s="1" t="s">
        <v>17</v>
      </c>
      <c r="D208" s="1" t="s">
        <v>37</v>
      </c>
      <c r="E208" s="1" t="s">
        <v>70</v>
      </c>
      <c r="F208" s="1" t="s">
        <v>71</v>
      </c>
      <c r="G208" s="1" t="s">
        <v>41</v>
      </c>
      <c r="H208" s="6">
        <v>1</v>
      </c>
      <c r="I208" s="7">
        <v>0</v>
      </c>
      <c r="J208" s="5">
        <v>45933</v>
      </c>
      <c r="K208" s="1" t="s">
        <v>30</v>
      </c>
      <c r="L208" s="8">
        <v>0</v>
      </c>
      <c r="M208" s="6"/>
      <c r="N208" s="6"/>
      <c r="O208" s="9">
        <v>-10.32</v>
      </c>
    </row>
    <row r="209" spans="1:15" ht="19.5" customHeight="1">
      <c r="A209" s="1" t="s">
        <v>22</v>
      </c>
      <c r="B209" s="5">
        <v>45938</v>
      </c>
      <c r="C209" s="1" t="s">
        <v>77</v>
      </c>
      <c r="D209" s="1" t="s">
        <v>80</v>
      </c>
      <c r="E209" s="1" t="s">
        <v>22</v>
      </c>
      <c r="F209" s="1" t="s">
        <v>22</v>
      </c>
      <c r="G209" s="1" t="s">
        <v>22</v>
      </c>
      <c r="H209" s="6">
        <v>0</v>
      </c>
      <c r="I209" s="7">
        <v>0</v>
      </c>
      <c r="J209" s="5">
        <v>45938</v>
      </c>
      <c r="K209" s="1" t="s">
        <v>22</v>
      </c>
      <c r="L209" s="8">
        <v>0</v>
      </c>
      <c r="M209" s="6"/>
      <c r="N209" s="6"/>
      <c r="O209" s="9">
        <v>-216</v>
      </c>
    </row>
    <row r="210" spans="1:15" ht="19.5" customHeight="1">
      <c r="A210" s="1" t="s">
        <v>83</v>
      </c>
      <c r="B210" s="5">
        <v>45938</v>
      </c>
      <c r="C210" s="1" t="s">
        <v>77</v>
      </c>
      <c r="D210" s="1" t="s">
        <v>84</v>
      </c>
      <c r="E210" s="1" t="s">
        <v>22</v>
      </c>
      <c r="F210" s="1" t="s">
        <v>22</v>
      </c>
      <c r="G210" s="1" t="s">
        <v>22</v>
      </c>
      <c r="H210" s="6">
        <v>0</v>
      </c>
      <c r="I210" s="7">
        <v>0</v>
      </c>
      <c r="J210" s="5">
        <v>45938</v>
      </c>
      <c r="K210" s="1" t="s">
        <v>22</v>
      </c>
      <c r="L210" s="8">
        <v>0</v>
      </c>
      <c r="M210" s="6"/>
      <c r="N210" s="6"/>
      <c r="O210" s="9">
        <v>-1354.5</v>
      </c>
    </row>
    <row r="211" spans="1:15" ht="19.5" customHeight="1">
      <c r="A211" s="1" t="s">
        <v>81</v>
      </c>
      <c r="B211" s="5">
        <v>45938</v>
      </c>
      <c r="C211" s="1" t="s">
        <v>77</v>
      </c>
      <c r="D211" s="1" t="s">
        <v>82</v>
      </c>
      <c r="E211" s="1" t="s">
        <v>22</v>
      </c>
      <c r="F211" s="1" t="s">
        <v>22</v>
      </c>
      <c r="G211" s="1" t="s">
        <v>22</v>
      </c>
      <c r="H211" s="6">
        <v>0</v>
      </c>
      <c r="I211" s="7">
        <v>0</v>
      </c>
      <c r="J211" s="5">
        <v>45938</v>
      </c>
      <c r="K211" s="1" t="s">
        <v>22</v>
      </c>
      <c r="L211" s="8">
        <v>0</v>
      </c>
      <c r="M211" s="6"/>
      <c r="N211" s="6"/>
      <c r="O211" s="9">
        <v>-1597.22</v>
      </c>
    </row>
    <row r="212" spans="1:15" ht="19.5" customHeight="1">
      <c r="A212" s="1" t="s">
        <v>85</v>
      </c>
      <c r="B212" s="5">
        <v>45938</v>
      </c>
      <c r="C212" s="1" t="s">
        <v>77</v>
      </c>
      <c r="D212" s="1" t="s">
        <v>82</v>
      </c>
      <c r="E212" s="1" t="s">
        <v>22</v>
      </c>
      <c r="F212" s="1" t="s">
        <v>22</v>
      </c>
      <c r="G212" s="1" t="s">
        <v>22</v>
      </c>
      <c r="H212" s="6">
        <v>0</v>
      </c>
      <c r="I212" s="7">
        <v>0</v>
      </c>
      <c r="J212" s="5">
        <v>45938</v>
      </c>
      <c r="K212" s="1" t="s">
        <v>22</v>
      </c>
      <c r="L212" s="8">
        <v>0</v>
      </c>
      <c r="M212" s="6"/>
      <c r="N212" s="6"/>
      <c r="O212" s="9">
        <v>-717.56</v>
      </c>
    </row>
    <row r="213" spans="1:15" ht="19.5" customHeight="1">
      <c r="A213" s="1" t="s">
        <v>86</v>
      </c>
      <c r="B213" s="5">
        <v>45938</v>
      </c>
      <c r="C213" s="1" t="s">
        <v>77</v>
      </c>
      <c r="D213" s="1" t="s">
        <v>82</v>
      </c>
      <c r="E213" s="1" t="s">
        <v>22</v>
      </c>
      <c r="F213" s="1" t="s">
        <v>22</v>
      </c>
      <c r="G213" s="1" t="s">
        <v>22</v>
      </c>
      <c r="H213" s="6">
        <v>0</v>
      </c>
      <c r="I213" s="7">
        <v>0</v>
      </c>
      <c r="J213" s="5">
        <v>45938</v>
      </c>
      <c r="K213" s="1" t="s">
        <v>22</v>
      </c>
      <c r="L213" s="8">
        <v>0</v>
      </c>
      <c r="M213" s="6"/>
      <c r="N213" s="6"/>
      <c r="O213" s="9">
        <v>-1628.98</v>
      </c>
    </row>
    <row r="214" spans="1:15" ht="19.5" customHeight="1">
      <c r="A214" s="1" t="s">
        <v>124</v>
      </c>
      <c r="B214" s="5">
        <v>45939</v>
      </c>
      <c r="C214" s="1" t="s">
        <v>28</v>
      </c>
      <c r="D214" s="1" t="s">
        <v>45</v>
      </c>
      <c r="E214" s="1" t="s">
        <v>70</v>
      </c>
      <c r="F214" s="1" t="s">
        <v>71</v>
      </c>
      <c r="G214" s="1" t="s">
        <v>41</v>
      </c>
      <c r="H214" s="6">
        <v>1</v>
      </c>
      <c r="I214" s="7">
        <v>0</v>
      </c>
      <c r="J214" s="5">
        <v>45932</v>
      </c>
      <c r="K214" s="1" t="s">
        <v>30</v>
      </c>
      <c r="L214" s="8">
        <v>0</v>
      </c>
      <c r="M214" s="6"/>
      <c r="N214" s="6"/>
      <c r="O214" s="9">
        <v>0</v>
      </c>
    </row>
    <row r="215" spans="1:15" ht="19.5" customHeight="1">
      <c r="A215" s="1" t="s">
        <v>124</v>
      </c>
      <c r="B215" s="5">
        <v>45939</v>
      </c>
      <c r="C215" s="1" t="s">
        <v>28</v>
      </c>
      <c r="D215" s="1" t="s">
        <v>46</v>
      </c>
      <c r="E215" s="1" t="s">
        <v>70</v>
      </c>
      <c r="F215" s="1" t="s">
        <v>71</v>
      </c>
      <c r="G215" s="1" t="s">
        <v>41</v>
      </c>
      <c r="H215" s="6">
        <v>1</v>
      </c>
      <c r="I215" s="7">
        <v>0</v>
      </c>
      <c r="J215" s="5">
        <v>45932</v>
      </c>
      <c r="K215" s="1" t="s">
        <v>30</v>
      </c>
      <c r="L215" s="8">
        <v>0</v>
      </c>
      <c r="M215" s="6"/>
      <c r="N215" s="6"/>
      <c r="O215" s="9">
        <v>-56</v>
      </c>
    </row>
    <row r="216" spans="1:15" ht="19.5" customHeight="1">
      <c r="A216" s="1" t="s">
        <v>124</v>
      </c>
      <c r="B216" s="5">
        <v>45939</v>
      </c>
      <c r="C216" s="1" t="s">
        <v>17</v>
      </c>
      <c r="D216" s="1" t="s">
        <v>47</v>
      </c>
      <c r="E216" s="1" t="s">
        <v>70</v>
      </c>
      <c r="F216" s="1" t="s">
        <v>71</v>
      </c>
      <c r="G216" s="1" t="s">
        <v>41</v>
      </c>
      <c r="H216" s="6">
        <v>1</v>
      </c>
      <c r="I216" s="7">
        <v>0</v>
      </c>
      <c r="J216" s="5">
        <v>45932</v>
      </c>
      <c r="K216" s="1" t="s">
        <v>30</v>
      </c>
      <c r="L216" s="8">
        <v>0</v>
      </c>
      <c r="M216" s="6"/>
      <c r="N216" s="6"/>
      <c r="O216" s="9">
        <v>-15</v>
      </c>
    </row>
    <row r="217" spans="1:15" ht="19.5" customHeight="1">
      <c r="A217" s="1" t="s">
        <v>124</v>
      </c>
      <c r="B217" s="5">
        <v>45939</v>
      </c>
      <c r="C217" s="1" t="s">
        <v>28</v>
      </c>
      <c r="D217" s="1" t="s">
        <v>29</v>
      </c>
      <c r="E217" s="1" t="s">
        <v>70</v>
      </c>
      <c r="F217" s="1" t="s">
        <v>71</v>
      </c>
      <c r="G217" s="1" t="s">
        <v>41</v>
      </c>
      <c r="H217" s="6">
        <v>1</v>
      </c>
      <c r="I217" s="7">
        <v>0</v>
      </c>
      <c r="J217" s="5">
        <v>45932</v>
      </c>
      <c r="K217" s="1" t="s">
        <v>30</v>
      </c>
      <c r="L217" s="8">
        <v>0</v>
      </c>
      <c r="M217" s="6"/>
      <c r="N217" s="6"/>
      <c r="O217" s="9">
        <v>-56</v>
      </c>
    </row>
    <row r="218" spans="1:15" ht="19.5" customHeight="1">
      <c r="A218" s="1" t="s">
        <v>124</v>
      </c>
      <c r="B218" s="5">
        <v>45939</v>
      </c>
      <c r="C218" s="1" t="s">
        <v>17</v>
      </c>
      <c r="D218" s="1" t="s">
        <v>37</v>
      </c>
      <c r="E218" s="1" t="s">
        <v>70</v>
      </c>
      <c r="F218" s="1" t="s">
        <v>71</v>
      </c>
      <c r="G218" s="1" t="s">
        <v>41</v>
      </c>
      <c r="H218" s="6">
        <v>1</v>
      </c>
      <c r="I218" s="7">
        <v>0</v>
      </c>
      <c r="J218" s="5">
        <v>45932</v>
      </c>
      <c r="K218" s="1" t="s">
        <v>30</v>
      </c>
      <c r="L218" s="8">
        <v>0</v>
      </c>
      <c r="M218" s="6"/>
      <c r="N218" s="6"/>
      <c r="O218" s="9">
        <v>-8.4600000000000009</v>
      </c>
    </row>
    <row r="219" spans="1:15" ht="19.5" customHeight="1">
      <c r="A219" s="1" t="s">
        <v>125</v>
      </c>
      <c r="B219" s="5">
        <v>45939</v>
      </c>
      <c r="C219" s="1" t="s">
        <v>28</v>
      </c>
      <c r="D219" s="1" t="s">
        <v>29</v>
      </c>
      <c r="E219" s="1" t="s">
        <v>25</v>
      </c>
      <c r="F219" s="1" t="s">
        <v>26</v>
      </c>
      <c r="G219" s="1" t="s">
        <v>21</v>
      </c>
      <c r="H219" s="6">
        <v>1</v>
      </c>
      <c r="I219" s="7">
        <v>1200</v>
      </c>
      <c r="J219" s="5">
        <v>45936</v>
      </c>
      <c r="K219" s="1" t="s">
        <v>30</v>
      </c>
      <c r="L219" s="8">
        <v>0.26</v>
      </c>
      <c r="M219" s="6"/>
      <c r="N219" s="6"/>
      <c r="O219" s="9">
        <v>-46</v>
      </c>
    </row>
    <row r="220" spans="1:15" ht="19.5" customHeight="1">
      <c r="A220" s="1" t="s">
        <v>125</v>
      </c>
      <c r="B220" s="5">
        <v>45939</v>
      </c>
      <c r="C220" s="1" t="s">
        <v>31</v>
      </c>
      <c r="D220" s="1" t="s">
        <v>32</v>
      </c>
      <c r="E220" s="1" t="s">
        <v>25</v>
      </c>
      <c r="F220" s="1" t="s">
        <v>26</v>
      </c>
      <c r="G220" s="1" t="s">
        <v>21</v>
      </c>
      <c r="H220" s="6">
        <v>1</v>
      </c>
      <c r="I220" s="7">
        <v>1200</v>
      </c>
      <c r="J220" s="5">
        <v>45936</v>
      </c>
      <c r="K220" s="1" t="s">
        <v>30</v>
      </c>
      <c r="L220" s="8">
        <v>0</v>
      </c>
      <c r="M220" s="6"/>
      <c r="N220" s="6"/>
      <c r="O220" s="9">
        <v>739.54</v>
      </c>
    </row>
    <row r="221" spans="1:15" ht="19.5" customHeight="1">
      <c r="A221" s="1" t="s">
        <v>125</v>
      </c>
      <c r="B221" s="5">
        <v>45939</v>
      </c>
      <c r="C221" s="1" t="s">
        <v>31</v>
      </c>
      <c r="D221" s="1" t="s">
        <v>33</v>
      </c>
      <c r="E221" s="1" t="s">
        <v>25</v>
      </c>
      <c r="F221" s="1" t="s">
        <v>26</v>
      </c>
      <c r="G221" s="1" t="s">
        <v>21</v>
      </c>
      <c r="H221" s="6">
        <v>1</v>
      </c>
      <c r="I221" s="7">
        <v>1200</v>
      </c>
      <c r="J221" s="5">
        <v>45936</v>
      </c>
      <c r="K221" s="1" t="s">
        <v>30</v>
      </c>
      <c r="L221" s="8">
        <v>0</v>
      </c>
      <c r="M221" s="6"/>
      <c r="N221" s="6"/>
      <c r="O221" s="9">
        <v>0</v>
      </c>
    </row>
    <row r="222" spans="1:15" ht="19.5" customHeight="1">
      <c r="A222" s="1" t="s">
        <v>125</v>
      </c>
      <c r="B222" s="5">
        <v>45939</v>
      </c>
      <c r="C222" s="1" t="s">
        <v>31</v>
      </c>
      <c r="D222" s="1" t="s">
        <v>34</v>
      </c>
      <c r="E222" s="1" t="s">
        <v>25</v>
      </c>
      <c r="F222" s="1" t="s">
        <v>26</v>
      </c>
      <c r="G222" s="1" t="s">
        <v>21</v>
      </c>
      <c r="H222" s="6">
        <v>1</v>
      </c>
      <c r="I222" s="7">
        <v>1200</v>
      </c>
      <c r="J222" s="5">
        <v>45936</v>
      </c>
      <c r="K222" s="1" t="s">
        <v>30</v>
      </c>
      <c r="L222" s="8">
        <v>0</v>
      </c>
      <c r="M222" s="6"/>
      <c r="N222" s="6"/>
      <c r="O222" s="9">
        <v>460.46</v>
      </c>
    </row>
    <row r="223" spans="1:15" ht="19.5" customHeight="1">
      <c r="A223" s="1" t="s">
        <v>125</v>
      </c>
      <c r="B223" s="5">
        <v>45939</v>
      </c>
      <c r="C223" s="1" t="s">
        <v>35</v>
      </c>
      <c r="D223" s="1" t="s">
        <v>36</v>
      </c>
      <c r="E223" s="1" t="s">
        <v>25</v>
      </c>
      <c r="F223" s="1" t="s">
        <v>26</v>
      </c>
      <c r="G223" s="1" t="s">
        <v>21</v>
      </c>
      <c r="H223" s="6">
        <v>1</v>
      </c>
      <c r="I223" s="7">
        <v>1200</v>
      </c>
      <c r="J223" s="5">
        <v>45936</v>
      </c>
      <c r="K223" s="1" t="s">
        <v>30</v>
      </c>
      <c r="L223" s="8">
        <v>0.26</v>
      </c>
      <c r="M223" s="6"/>
      <c r="N223" s="6"/>
      <c r="O223" s="9">
        <v>-312</v>
      </c>
    </row>
    <row r="224" spans="1:15" ht="19.5" customHeight="1">
      <c r="A224" s="1" t="s">
        <v>125</v>
      </c>
      <c r="B224" s="5">
        <v>45939</v>
      </c>
      <c r="C224" s="1" t="s">
        <v>17</v>
      </c>
      <c r="D224" s="1" t="s">
        <v>37</v>
      </c>
      <c r="E224" s="1" t="s">
        <v>25</v>
      </c>
      <c r="F224" s="1" t="s">
        <v>26</v>
      </c>
      <c r="G224" s="1" t="s">
        <v>21</v>
      </c>
      <c r="H224" s="6">
        <v>1</v>
      </c>
      <c r="I224" s="7">
        <v>1200</v>
      </c>
      <c r="J224" s="5">
        <v>45936</v>
      </c>
      <c r="K224" s="1" t="s">
        <v>30</v>
      </c>
      <c r="L224" s="8">
        <v>0.26</v>
      </c>
      <c r="M224" s="6"/>
      <c r="N224" s="6"/>
      <c r="O224" s="9">
        <v>-9.4600000000000009</v>
      </c>
    </row>
    <row r="225" spans="1:15" ht="19.5" customHeight="1">
      <c r="A225" s="1" t="s">
        <v>118</v>
      </c>
      <c r="B225" s="5">
        <v>45939</v>
      </c>
      <c r="C225" s="1" t="s">
        <v>126</v>
      </c>
      <c r="D225" s="1" t="s">
        <v>127</v>
      </c>
      <c r="E225" s="1" t="s">
        <v>43</v>
      </c>
      <c r="F225" s="1" t="s">
        <v>44</v>
      </c>
      <c r="G225" s="1" t="s">
        <v>41</v>
      </c>
      <c r="H225" s="6">
        <v>1</v>
      </c>
      <c r="I225" s="7">
        <v>-3690</v>
      </c>
      <c r="J225" s="5">
        <v>45937</v>
      </c>
      <c r="K225" s="1" t="s">
        <v>30</v>
      </c>
      <c r="L225" s="8">
        <v>0</v>
      </c>
      <c r="M225" s="6"/>
      <c r="N225" s="6"/>
      <c r="O225" s="9">
        <v>-2253.8200000000002</v>
      </c>
    </row>
    <row r="226" spans="1:15" ht="19.5" customHeight="1">
      <c r="A226" s="1" t="s">
        <v>118</v>
      </c>
      <c r="B226" s="5">
        <v>45939</v>
      </c>
      <c r="C226" s="1" t="s">
        <v>126</v>
      </c>
      <c r="D226" s="1" t="s">
        <v>33</v>
      </c>
      <c r="E226" s="1" t="s">
        <v>43</v>
      </c>
      <c r="F226" s="1" t="s">
        <v>44</v>
      </c>
      <c r="G226" s="1" t="s">
        <v>41</v>
      </c>
      <c r="H226" s="6">
        <v>1</v>
      </c>
      <c r="I226" s="7">
        <v>-3690</v>
      </c>
      <c r="J226" s="5">
        <v>45937</v>
      </c>
      <c r="K226" s="1" t="s">
        <v>30</v>
      </c>
      <c r="L226" s="8">
        <v>0</v>
      </c>
      <c r="M226" s="6"/>
      <c r="N226" s="6"/>
      <c r="O226" s="9">
        <v>-22.54</v>
      </c>
    </row>
    <row r="227" spans="1:15" ht="19.5" customHeight="1">
      <c r="A227" s="1" t="s">
        <v>118</v>
      </c>
      <c r="B227" s="5">
        <v>45939</v>
      </c>
      <c r="C227" s="1" t="s">
        <v>126</v>
      </c>
      <c r="D227" s="1" t="s">
        <v>34</v>
      </c>
      <c r="E227" s="1" t="s">
        <v>43</v>
      </c>
      <c r="F227" s="1" t="s">
        <v>44</v>
      </c>
      <c r="G227" s="1" t="s">
        <v>41</v>
      </c>
      <c r="H227" s="6">
        <v>1</v>
      </c>
      <c r="I227" s="7">
        <v>-3690</v>
      </c>
      <c r="J227" s="5">
        <v>45937</v>
      </c>
      <c r="K227" s="1" t="s">
        <v>30</v>
      </c>
      <c r="L227" s="8">
        <v>0</v>
      </c>
      <c r="M227" s="6"/>
      <c r="N227" s="6"/>
      <c r="O227" s="9">
        <v>-1413.64</v>
      </c>
    </row>
    <row r="228" spans="1:15" ht="19.5" customHeight="1">
      <c r="A228" s="1" t="s">
        <v>118</v>
      </c>
      <c r="B228" s="5">
        <v>45939</v>
      </c>
      <c r="C228" s="1" t="s">
        <v>35</v>
      </c>
      <c r="D228" s="1" t="s">
        <v>128</v>
      </c>
      <c r="E228" s="1" t="s">
        <v>43</v>
      </c>
      <c r="F228" s="1" t="s">
        <v>44</v>
      </c>
      <c r="G228" s="1" t="s">
        <v>41</v>
      </c>
      <c r="H228" s="6">
        <v>1</v>
      </c>
      <c r="I228" s="7">
        <v>-3690</v>
      </c>
      <c r="J228" s="5">
        <v>45937</v>
      </c>
      <c r="K228" s="1" t="s">
        <v>30</v>
      </c>
      <c r="L228" s="8">
        <v>0.24</v>
      </c>
      <c r="M228" s="6"/>
      <c r="N228" s="6"/>
      <c r="O228" s="9">
        <v>885.6</v>
      </c>
    </row>
    <row r="229" spans="1:15" ht="19.5" customHeight="1">
      <c r="A229" s="1" t="s">
        <v>106</v>
      </c>
      <c r="B229" s="5">
        <v>45939</v>
      </c>
      <c r="C229" s="1" t="s">
        <v>17</v>
      </c>
      <c r="D229" s="1" t="s">
        <v>18</v>
      </c>
      <c r="E229" s="1" t="s">
        <v>43</v>
      </c>
      <c r="F229" s="1" t="s">
        <v>44</v>
      </c>
      <c r="G229" s="1" t="s">
        <v>41</v>
      </c>
      <c r="H229" s="6">
        <v>1</v>
      </c>
      <c r="I229" s="7">
        <v>0</v>
      </c>
      <c r="J229" s="5">
        <v>45937</v>
      </c>
      <c r="K229" s="1" t="s">
        <v>22</v>
      </c>
      <c r="L229" s="8">
        <v>0</v>
      </c>
      <c r="M229" s="6"/>
      <c r="N229" s="6"/>
      <c r="O229" s="9">
        <v>42.82</v>
      </c>
    </row>
    <row r="230" spans="1:15" ht="19.5" customHeight="1">
      <c r="A230" s="1" t="s">
        <v>129</v>
      </c>
      <c r="B230" s="5">
        <v>45939</v>
      </c>
      <c r="C230" s="1" t="s">
        <v>28</v>
      </c>
      <c r="D230" s="1" t="s">
        <v>29</v>
      </c>
      <c r="E230" s="1" t="s">
        <v>70</v>
      </c>
      <c r="F230" s="1" t="s">
        <v>71</v>
      </c>
      <c r="G230" s="1" t="s">
        <v>41</v>
      </c>
      <c r="H230" s="6">
        <v>1</v>
      </c>
      <c r="I230" s="7">
        <v>2610</v>
      </c>
      <c r="J230" s="5">
        <v>45932</v>
      </c>
      <c r="K230" s="1" t="s">
        <v>30</v>
      </c>
      <c r="L230" s="8">
        <v>0.24</v>
      </c>
      <c r="M230" s="6"/>
      <c r="N230" s="6"/>
      <c r="O230" s="9">
        <v>-56</v>
      </c>
    </row>
    <row r="231" spans="1:15" ht="19.5" customHeight="1">
      <c r="A231" s="1" t="s">
        <v>129</v>
      </c>
      <c r="B231" s="5">
        <v>45939</v>
      </c>
      <c r="C231" s="1" t="s">
        <v>31</v>
      </c>
      <c r="D231" s="1" t="s">
        <v>32</v>
      </c>
      <c r="E231" s="1" t="s">
        <v>70</v>
      </c>
      <c r="F231" s="1" t="s">
        <v>71</v>
      </c>
      <c r="G231" s="1" t="s">
        <v>41</v>
      </c>
      <c r="H231" s="6">
        <v>1</v>
      </c>
      <c r="I231" s="7">
        <v>2610</v>
      </c>
      <c r="J231" s="5">
        <v>45932</v>
      </c>
      <c r="K231" s="1" t="s">
        <v>30</v>
      </c>
      <c r="L231" s="8">
        <v>0</v>
      </c>
      <c r="M231" s="6"/>
      <c r="N231" s="6"/>
      <c r="O231" s="9">
        <v>1343.71</v>
      </c>
    </row>
    <row r="232" spans="1:15" ht="19.5" customHeight="1">
      <c r="A232" s="1" t="s">
        <v>129</v>
      </c>
      <c r="B232" s="5">
        <v>45939</v>
      </c>
      <c r="C232" s="1" t="s">
        <v>31</v>
      </c>
      <c r="D232" s="1" t="s">
        <v>33</v>
      </c>
      <c r="E232" s="1" t="s">
        <v>70</v>
      </c>
      <c r="F232" s="1" t="s">
        <v>71</v>
      </c>
      <c r="G232" s="1" t="s">
        <v>41</v>
      </c>
      <c r="H232" s="6">
        <v>1</v>
      </c>
      <c r="I232" s="7">
        <v>2610</v>
      </c>
      <c r="J232" s="5">
        <v>45932</v>
      </c>
      <c r="K232" s="1" t="s">
        <v>30</v>
      </c>
      <c r="L232" s="8">
        <v>0</v>
      </c>
      <c r="M232" s="6"/>
      <c r="N232" s="6"/>
      <c r="O232" s="9">
        <v>13.44</v>
      </c>
    </row>
    <row r="233" spans="1:15" ht="19.5" customHeight="1">
      <c r="A233" s="1" t="s">
        <v>129</v>
      </c>
      <c r="B233" s="5">
        <v>45939</v>
      </c>
      <c r="C233" s="1" t="s">
        <v>31</v>
      </c>
      <c r="D233" s="1" t="s">
        <v>34</v>
      </c>
      <c r="E233" s="1" t="s">
        <v>70</v>
      </c>
      <c r="F233" s="1" t="s">
        <v>71</v>
      </c>
      <c r="G233" s="1" t="s">
        <v>41</v>
      </c>
      <c r="H233" s="6">
        <v>1</v>
      </c>
      <c r="I233" s="7">
        <v>2610</v>
      </c>
      <c r="J233" s="5">
        <v>45932</v>
      </c>
      <c r="K233" s="1" t="s">
        <v>30</v>
      </c>
      <c r="L233" s="8">
        <v>0</v>
      </c>
      <c r="M233" s="6"/>
      <c r="N233" s="6"/>
      <c r="O233" s="9">
        <v>1252.8499999999999</v>
      </c>
    </row>
    <row r="234" spans="1:15" ht="19.5" customHeight="1">
      <c r="A234" s="1" t="s">
        <v>129</v>
      </c>
      <c r="B234" s="5">
        <v>45939</v>
      </c>
      <c r="C234" s="1" t="s">
        <v>35</v>
      </c>
      <c r="D234" s="1" t="s">
        <v>36</v>
      </c>
      <c r="E234" s="1" t="s">
        <v>70</v>
      </c>
      <c r="F234" s="1" t="s">
        <v>71</v>
      </c>
      <c r="G234" s="1" t="s">
        <v>41</v>
      </c>
      <c r="H234" s="6">
        <v>1</v>
      </c>
      <c r="I234" s="7">
        <v>2610</v>
      </c>
      <c r="J234" s="5">
        <v>45932</v>
      </c>
      <c r="K234" s="1" t="s">
        <v>30</v>
      </c>
      <c r="L234" s="8">
        <v>0.24</v>
      </c>
      <c r="M234" s="6"/>
      <c r="N234" s="6"/>
      <c r="O234" s="9">
        <v>-626.4</v>
      </c>
    </row>
    <row r="235" spans="1:15" ht="19.5" customHeight="1">
      <c r="A235" s="1" t="s">
        <v>129</v>
      </c>
      <c r="B235" s="5">
        <v>45939</v>
      </c>
      <c r="C235" s="1" t="s">
        <v>17</v>
      </c>
      <c r="D235" s="1" t="s">
        <v>37</v>
      </c>
      <c r="E235" s="1" t="s">
        <v>70</v>
      </c>
      <c r="F235" s="1" t="s">
        <v>71</v>
      </c>
      <c r="G235" s="1" t="s">
        <v>41</v>
      </c>
      <c r="H235" s="6">
        <v>1</v>
      </c>
      <c r="I235" s="7">
        <v>2610</v>
      </c>
      <c r="J235" s="5">
        <v>45932</v>
      </c>
      <c r="K235" s="1" t="s">
        <v>30</v>
      </c>
      <c r="L235" s="8">
        <v>0.24</v>
      </c>
      <c r="M235" s="6"/>
      <c r="N235" s="6"/>
      <c r="O235" s="9">
        <v>-12.38</v>
      </c>
    </row>
    <row r="236" spans="1:15" ht="19.5" customHeight="1">
      <c r="A236" s="1" t="s">
        <v>129</v>
      </c>
      <c r="B236" s="5">
        <v>45939</v>
      </c>
      <c r="C236" s="1" t="s">
        <v>17</v>
      </c>
      <c r="D236" s="1" t="s">
        <v>18</v>
      </c>
      <c r="E236" s="1" t="s">
        <v>70</v>
      </c>
      <c r="F236" s="1" t="s">
        <v>71</v>
      </c>
      <c r="G236" s="1" t="s">
        <v>41</v>
      </c>
      <c r="H236" s="6">
        <v>1</v>
      </c>
      <c r="I236" s="7">
        <v>0</v>
      </c>
      <c r="J236" s="5">
        <v>45932</v>
      </c>
      <c r="K236" s="1" t="s">
        <v>22</v>
      </c>
      <c r="L236" s="8">
        <v>0</v>
      </c>
      <c r="M236" s="6"/>
      <c r="N236" s="6"/>
      <c r="O236" s="9">
        <v>-25.53</v>
      </c>
    </row>
    <row r="237" spans="1:15" ht="19.5" customHeight="1">
      <c r="A237" s="1" t="s">
        <v>130</v>
      </c>
      <c r="B237" s="5">
        <v>45939</v>
      </c>
      <c r="C237" s="1" t="s">
        <v>28</v>
      </c>
      <c r="D237" s="1" t="s">
        <v>29</v>
      </c>
      <c r="E237" s="1" t="s">
        <v>66</v>
      </c>
      <c r="F237" s="1" t="s">
        <v>67</v>
      </c>
      <c r="G237" s="1" t="s">
        <v>41</v>
      </c>
      <c r="H237" s="6">
        <v>1</v>
      </c>
      <c r="I237" s="7">
        <v>2340</v>
      </c>
      <c r="J237" s="5">
        <v>45931</v>
      </c>
      <c r="K237" s="1" t="s">
        <v>30</v>
      </c>
      <c r="L237" s="8">
        <v>0.24</v>
      </c>
      <c r="M237" s="6"/>
      <c r="N237" s="6"/>
      <c r="O237" s="9">
        <v>-56</v>
      </c>
    </row>
    <row r="238" spans="1:15" ht="19.5" customHeight="1">
      <c r="A238" s="1" t="s">
        <v>130</v>
      </c>
      <c r="B238" s="5">
        <v>45939</v>
      </c>
      <c r="C238" s="1" t="s">
        <v>31</v>
      </c>
      <c r="D238" s="1" t="s">
        <v>32</v>
      </c>
      <c r="E238" s="1" t="s">
        <v>66</v>
      </c>
      <c r="F238" s="1" t="s">
        <v>67</v>
      </c>
      <c r="G238" s="1" t="s">
        <v>41</v>
      </c>
      <c r="H238" s="6">
        <v>1</v>
      </c>
      <c r="I238" s="7">
        <v>2340</v>
      </c>
      <c r="J238" s="5">
        <v>45931</v>
      </c>
      <c r="K238" s="1" t="s">
        <v>30</v>
      </c>
      <c r="L238" s="8">
        <v>0</v>
      </c>
      <c r="M238" s="6"/>
      <c r="N238" s="6"/>
      <c r="O238" s="9">
        <v>1392.46</v>
      </c>
    </row>
    <row r="239" spans="1:15" ht="19.5" customHeight="1">
      <c r="A239" s="1" t="s">
        <v>130</v>
      </c>
      <c r="B239" s="5">
        <v>45939</v>
      </c>
      <c r="C239" s="1" t="s">
        <v>31</v>
      </c>
      <c r="D239" s="1" t="s">
        <v>33</v>
      </c>
      <c r="E239" s="1" t="s">
        <v>66</v>
      </c>
      <c r="F239" s="1" t="s">
        <v>67</v>
      </c>
      <c r="G239" s="1" t="s">
        <v>41</v>
      </c>
      <c r="H239" s="6">
        <v>1</v>
      </c>
      <c r="I239" s="7">
        <v>2340</v>
      </c>
      <c r="J239" s="5">
        <v>45931</v>
      </c>
      <c r="K239" s="1" t="s">
        <v>30</v>
      </c>
      <c r="L239" s="8">
        <v>0</v>
      </c>
      <c r="M239" s="6"/>
      <c r="N239" s="6"/>
      <c r="O239" s="9">
        <v>13.92</v>
      </c>
    </row>
    <row r="240" spans="1:15" ht="19.5" customHeight="1">
      <c r="A240" s="1" t="s">
        <v>130</v>
      </c>
      <c r="B240" s="5">
        <v>45939</v>
      </c>
      <c r="C240" s="1" t="s">
        <v>31</v>
      </c>
      <c r="D240" s="1" t="s">
        <v>34</v>
      </c>
      <c r="E240" s="1" t="s">
        <v>66</v>
      </c>
      <c r="F240" s="1" t="s">
        <v>67</v>
      </c>
      <c r="G240" s="1" t="s">
        <v>41</v>
      </c>
      <c r="H240" s="6">
        <v>1</v>
      </c>
      <c r="I240" s="7">
        <v>2340</v>
      </c>
      <c r="J240" s="5">
        <v>45931</v>
      </c>
      <c r="K240" s="1" t="s">
        <v>30</v>
      </c>
      <c r="L240" s="8">
        <v>0</v>
      </c>
      <c r="M240" s="6"/>
      <c r="N240" s="6"/>
      <c r="O240" s="9">
        <v>933.62</v>
      </c>
    </row>
    <row r="241" spans="1:15" ht="19.5" customHeight="1">
      <c r="A241" s="1" t="s">
        <v>130</v>
      </c>
      <c r="B241" s="5">
        <v>45939</v>
      </c>
      <c r="C241" s="1" t="s">
        <v>35</v>
      </c>
      <c r="D241" s="1" t="s">
        <v>36</v>
      </c>
      <c r="E241" s="1" t="s">
        <v>66</v>
      </c>
      <c r="F241" s="1" t="s">
        <v>67</v>
      </c>
      <c r="G241" s="1" t="s">
        <v>41</v>
      </c>
      <c r="H241" s="6">
        <v>1</v>
      </c>
      <c r="I241" s="7">
        <v>2340</v>
      </c>
      <c r="J241" s="5">
        <v>45931</v>
      </c>
      <c r="K241" s="1" t="s">
        <v>30</v>
      </c>
      <c r="L241" s="8">
        <v>0.24</v>
      </c>
      <c r="M241" s="6"/>
      <c r="N241" s="6"/>
      <c r="O241" s="9">
        <v>-561.6</v>
      </c>
    </row>
    <row r="242" spans="1:15" ht="19.5" customHeight="1">
      <c r="A242" s="1" t="s">
        <v>131</v>
      </c>
      <c r="B242" s="5">
        <v>45939</v>
      </c>
      <c r="C242" s="1" t="s">
        <v>28</v>
      </c>
      <c r="D242" s="1" t="s">
        <v>29</v>
      </c>
      <c r="E242" s="1" t="s">
        <v>25</v>
      </c>
      <c r="F242" s="1" t="s">
        <v>26</v>
      </c>
      <c r="G242" s="1" t="s">
        <v>21</v>
      </c>
      <c r="H242" s="6">
        <v>1</v>
      </c>
      <c r="I242" s="7">
        <v>1140</v>
      </c>
      <c r="J242" s="5">
        <v>45938</v>
      </c>
      <c r="K242" s="1" t="s">
        <v>30</v>
      </c>
      <c r="L242" s="8">
        <v>0.26</v>
      </c>
      <c r="M242" s="6"/>
      <c r="N242" s="6"/>
      <c r="O242" s="9">
        <v>-46</v>
      </c>
    </row>
    <row r="243" spans="1:15" ht="19.5" customHeight="1">
      <c r="A243" s="1" t="s">
        <v>131</v>
      </c>
      <c r="B243" s="5">
        <v>45939</v>
      </c>
      <c r="C243" s="1" t="s">
        <v>31</v>
      </c>
      <c r="D243" s="1" t="s">
        <v>32</v>
      </c>
      <c r="E243" s="1" t="s">
        <v>25</v>
      </c>
      <c r="F243" s="1" t="s">
        <v>26</v>
      </c>
      <c r="G243" s="1" t="s">
        <v>21</v>
      </c>
      <c r="H243" s="6">
        <v>1</v>
      </c>
      <c r="I243" s="7">
        <v>1140</v>
      </c>
      <c r="J243" s="5">
        <v>45938</v>
      </c>
      <c r="K243" s="1" t="s">
        <v>30</v>
      </c>
      <c r="L243" s="8">
        <v>0</v>
      </c>
      <c r="M243" s="6"/>
      <c r="N243" s="6"/>
      <c r="O243" s="9">
        <v>642.59</v>
      </c>
    </row>
    <row r="244" spans="1:15" ht="19.5" customHeight="1">
      <c r="A244" s="1" t="s">
        <v>131</v>
      </c>
      <c r="B244" s="5">
        <v>45939</v>
      </c>
      <c r="C244" s="1" t="s">
        <v>31</v>
      </c>
      <c r="D244" s="1" t="s">
        <v>33</v>
      </c>
      <c r="E244" s="1" t="s">
        <v>25</v>
      </c>
      <c r="F244" s="1" t="s">
        <v>26</v>
      </c>
      <c r="G244" s="1" t="s">
        <v>21</v>
      </c>
      <c r="H244" s="6">
        <v>1</v>
      </c>
      <c r="I244" s="7">
        <v>1140</v>
      </c>
      <c r="J244" s="5">
        <v>45938</v>
      </c>
      <c r="K244" s="1" t="s">
        <v>30</v>
      </c>
      <c r="L244" s="8">
        <v>0</v>
      </c>
      <c r="M244" s="6"/>
      <c r="N244" s="6"/>
      <c r="O244" s="9">
        <v>6.43</v>
      </c>
    </row>
    <row r="245" spans="1:15" ht="19.5" customHeight="1">
      <c r="A245" s="1" t="s">
        <v>131</v>
      </c>
      <c r="B245" s="5">
        <v>45939</v>
      </c>
      <c r="C245" s="1" t="s">
        <v>31</v>
      </c>
      <c r="D245" s="1" t="s">
        <v>34</v>
      </c>
      <c r="E245" s="1" t="s">
        <v>25</v>
      </c>
      <c r="F245" s="1" t="s">
        <v>26</v>
      </c>
      <c r="G245" s="1" t="s">
        <v>21</v>
      </c>
      <c r="H245" s="6">
        <v>1</v>
      </c>
      <c r="I245" s="7">
        <v>1140</v>
      </c>
      <c r="J245" s="5">
        <v>45938</v>
      </c>
      <c r="K245" s="1" t="s">
        <v>30</v>
      </c>
      <c r="L245" s="8">
        <v>0</v>
      </c>
      <c r="M245" s="6"/>
      <c r="N245" s="6"/>
      <c r="O245" s="9">
        <v>490.98</v>
      </c>
    </row>
    <row r="246" spans="1:15" ht="19.5" customHeight="1">
      <c r="A246" s="1" t="s">
        <v>131</v>
      </c>
      <c r="B246" s="5">
        <v>45939</v>
      </c>
      <c r="C246" s="1" t="s">
        <v>35</v>
      </c>
      <c r="D246" s="1" t="s">
        <v>36</v>
      </c>
      <c r="E246" s="1" t="s">
        <v>25</v>
      </c>
      <c r="F246" s="1" t="s">
        <v>26</v>
      </c>
      <c r="G246" s="1" t="s">
        <v>21</v>
      </c>
      <c r="H246" s="6">
        <v>1</v>
      </c>
      <c r="I246" s="7">
        <v>1140</v>
      </c>
      <c r="J246" s="5">
        <v>45938</v>
      </c>
      <c r="K246" s="1" t="s">
        <v>30</v>
      </c>
      <c r="L246" s="8">
        <v>0.26</v>
      </c>
      <c r="M246" s="6"/>
      <c r="N246" s="6"/>
      <c r="O246" s="9">
        <v>-296.39999999999998</v>
      </c>
    </row>
    <row r="247" spans="1:15" ht="19.5" customHeight="1">
      <c r="A247" s="1" t="s">
        <v>131</v>
      </c>
      <c r="B247" s="5">
        <v>45939</v>
      </c>
      <c r="C247" s="1" t="s">
        <v>17</v>
      </c>
      <c r="D247" s="1" t="s">
        <v>37</v>
      </c>
      <c r="E247" s="1" t="s">
        <v>25</v>
      </c>
      <c r="F247" s="1" t="s">
        <v>26</v>
      </c>
      <c r="G247" s="1" t="s">
        <v>21</v>
      </c>
      <c r="H247" s="6">
        <v>1</v>
      </c>
      <c r="I247" s="7">
        <v>1140</v>
      </c>
      <c r="J247" s="5">
        <v>45938</v>
      </c>
      <c r="K247" s="1" t="s">
        <v>30</v>
      </c>
      <c r="L247" s="8">
        <v>0.26</v>
      </c>
      <c r="M247" s="6"/>
      <c r="N247" s="6"/>
      <c r="O247" s="9">
        <v>-6.08</v>
      </c>
    </row>
    <row r="248" spans="1:15" ht="19.5" customHeight="1">
      <c r="A248" s="1" t="s">
        <v>132</v>
      </c>
      <c r="B248" s="5">
        <v>45939</v>
      </c>
      <c r="C248" s="1" t="s">
        <v>17</v>
      </c>
      <c r="D248" s="1" t="s">
        <v>18</v>
      </c>
      <c r="E248" s="1" t="s">
        <v>25</v>
      </c>
      <c r="F248" s="1" t="s">
        <v>26</v>
      </c>
      <c r="G248" s="1" t="s">
        <v>21</v>
      </c>
      <c r="H248" s="6">
        <v>1</v>
      </c>
      <c r="I248" s="7">
        <v>0</v>
      </c>
      <c r="J248" s="5">
        <v>45939</v>
      </c>
      <c r="K248" s="1" t="s">
        <v>22</v>
      </c>
      <c r="L248" s="8">
        <v>0</v>
      </c>
      <c r="M248" s="6"/>
      <c r="N248" s="6"/>
      <c r="O248" s="9">
        <v>-5.61</v>
      </c>
    </row>
    <row r="249" spans="1:15" ht="19.5" customHeight="1">
      <c r="A249" s="1" t="s">
        <v>133</v>
      </c>
      <c r="B249" s="5">
        <v>45939</v>
      </c>
      <c r="C249" s="1" t="s">
        <v>28</v>
      </c>
      <c r="D249" s="1" t="s">
        <v>29</v>
      </c>
      <c r="E249" s="1" t="s">
        <v>19</v>
      </c>
      <c r="F249" s="1" t="s">
        <v>20</v>
      </c>
      <c r="G249" s="1" t="s">
        <v>21</v>
      </c>
      <c r="H249" s="6">
        <v>1</v>
      </c>
      <c r="I249" s="7">
        <v>0</v>
      </c>
      <c r="J249" s="5">
        <v>45934</v>
      </c>
      <c r="K249" s="1" t="s">
        <v>30</v>
      </c>
      <c r="L249" s="8">
        <v>0</v>
      </c>
      <c r="M249" s="6"/>
      <c r="N249" s="6"/>
      <c r="O249" s="9">
        <v>-46</v>
      </c>
    </row>
    <row r="250" spans="1:15" ht="19.5" customHeight="1">
      <c r="A250" s="1" t="s">
        <v>133</v>
      </c>
      <c r="B250" s="5">
        <v>45939</v>
      </c>
      <c r="C250" s="1" t="s">
        <v>17</v>
      </c>
      <c r="D250" s="1" t="s">
        <v>37</v>
      </c>
      <c r="E250" s="1" t="s">
        <v>19</v>
      </c>
      <c r="F250" s="1" t="s">
        <v>20</v>
      </c>
      <c r="G250" s="1" t="s">
        <v>21</v>
      </c>
      <c r="H250" s="6">
        <v>1</v>
      </c>
      <c r="I250" s="7">
        <v>0</v>
      </c>
      <c r="J250" s="5">
        <v>45934</v>
      </c>
      <c r="K250" s="1" t="s">
        <v>30</v>
      </c>
      <c r="L250" s="8">
        <v>0</v>
      </c>
      <c r="M250" s="6"/>
      <c r="N250" s="6"/>
      <c r="O250" s="9">
        <v>-6.36</v>
      </c>
    </row>
    <row r="251" spans="1:15" ht="19.5" customHeight="1">
      <c r="A251" s="1" t="s">
        <v>133</v>
      </c>
      <c r="B251" s="5">
        <v>45939</v>
      </c>
      <c r="C251" s="1" t="s">
        <v>28</v>
      </c>
      <c r="D251" s="1" t="s">
        <v>45</v>
      </c>
      <c r="E251" s="1" t="s">
        <v>19</v>
      </c>
      <c r="F251" s="1" t="s">
        <v>20</v>
      </c>
      <c r="G251" s="1" t="s">
        <v>21</v>
      </c>
      <c r="H251" s="6">
        <v>1</v>
      </c>
      <c r="I251" s="7">
        <v>0</v>
      </c>
      <c r="J251" s="5">
        <v>45934</v>
      </c>
      <c r="K251" s="1" t="s">
        <v>30</v>
      </c>
      <c r="L251" s="8">
        <v>0</v>
      </c>
      <c r="M251" s="6"/>
      <c r="N251" s="6"/>
      <c r="O251" s="9">
        <v>0</v>
      </c>
    </row>
    <row r="252" spans="1:15" ht="19.5" customHeight="1">
      <c r="A252" s="1" t="s">
        <v>133</v>
      </c>
      <c r="B252" s="5">
        <v>45939</v>
      </c>
      <c r="C252" s="1" t="s">
        <v>28</v>
      </c>
      <c r="D252" s="1" t="s">
        <v>46</v>
      </c>
      <c r="E252" s="1" t="s">
        <v>19</v>
      </c>
      <c r="F252" s="1" t="s">
        <v>20</v>
      </c>
      <c r="G252" s="1" t="s">
        <v>21</v>
      </c>
      <c r="H252" s="6">
        <v>1</v>
      </c>
      <c r="I252" s="7">
        <v>0</v>
      </c>
      <c r="J252" s="5">
        <v>45934</v>
      </c>
      <c r="K252" s="1" t="s">
        <v>30</v>
      </c>
      <c r="L252" s="8">
        <v>0</v>
      </c>
      <c r="M252" s="6"/>
      <c r="N252" s="6"/>
      <c r="O252" s="9">
        <v>-46</v>
      </c>
    </row>
    <row r="253" spans="1:15" ht="19.5" customHeight="1">
      <c r="A253" s="1" t="s">
        <v>133</v>
      </c>
      <c r="B253" s="5">
        <v>45939</v>
      </c>
      <c r="C253" s="1" t="s">
        <v>17</v>
      </c>
      <c r="D253" s="1" t="s">
        <v>47</v>
      </c>
      <c r="E253" s="1" t="s">
        <v>19</v>
      </c>
      <c r="F253" s="1" t="s">
        <v>20</v>
      </c>
      <c r="G253" s="1" t="s">
        <v>21</v>
      </c>
      <c r="H253" s="6">
        <v>1</v>
      </c>
      <c r="I253" s="7">
        <v>0</v>
      </c>
      <c r="J253" s="5">
        <v>45934</v>
      </c>
      <c r="K253" s="1" t="s">
        <v>30</v>
      </c>
      <c r="L253" s="8">
        <v>0</v>
      </c>
      <c r="M253" s="6"/>
      <c r="N253" s="6"/>
      <c r="O253" s="9">
        <v>-15</v>
      </c>
    </row>
    <row r="254" spans="1:15" ht="19.5" customHeight="1">
      <c r="A254" s="1" t="s">
        <v>134</v>
      </c>
      <c r="B254" s="5">
        <v>45939</v>
      </c>
      <c r="C254" s="1" t="s">
        <v>28</v>
      </c>
      <c r="D254" s="1" t="s">
        <v>135</v>
      </c>
      <c r="E254" s="1" t="s">
        <v>136</v>
      </c>
      <c r="F254" s="1" t="s">
        <v>137</v>
      </c>
      <c r="G254" s="1" t="s">
        <v>21</v>
      </c>
      <c r="H254" s="6">
        <v>1</v>
      </c>
      <c r="I254" s="7">
        <v>3150</v>
      </c>
      <c r="J254" s="5">
        <v>45934</v>
      </c>
      <c r="K254" s="1" t="s">
        <v>113</v>
      </c>
      <c r="L254" s="8">
        <v>0.29499999999999998</v>
      </c>
      <c r="M254" s="6"/>
      <c r="N254" s="6"/>
      <c r="O254" s="9">
        <v>-10</v>
      </c>
    </row>
    <row r="255" spans="1:15" ht="19.5" customHeight="1">
      <c r="A255" s="1" t="s">
        <v>134</v>
      </c>
      <c r="B255" s="5">
        <v>45939</v>
      </c>
      <c r="C255" s="1" t="s">
        <v>28</v>
      </c>
      <c r="D255" s="1" t="s">
        <v>29</v>
      </c>
      <c r="E255" s="1" t="s">
        <v>136</v>
      </c>
      <c r="F255" s="1" t="s">
        <v>137</v>
      </c>
      <c r="G255" s="1" t="s">
        <v>21</v>
      </c>
      <c r="H255" s="6">
        <v>1</v>
      </c>
      <c r="I255" s="7">
        <v>3150</v>
      </c>
      <c r="J255" s="5">
        <v>45934</v>
      </c>
      <c r="K255" s="1" t="s">
        <v>113</v>
      </c>
      <c r="L255" s="8">
        <v>0.29499999999999998</v>
      </c>
      <c r="M255" s="6"/>
      <c r="N255" s="6"/>
      <c r="O255" s="9">
        <v>-98</v>
      </c>
    </row>
    <row r="256" spans="1:15" ht="19.5" customHeight="1">
      <c r="A256" s="1" t="s">
        <v>134</v>
      </c>
      <c r="B256" s="5">
        <v>45939</v>
      </c>
      <c r="C256" s="1" t="s">
        <v>31</v>
      </c>
      <c r="D256" s="1" t="s">
        <v>32</v>
      </c>
      <c r="E256" s="1" t="s">
        <v>136</v>
      </c>
      <c r="F256" s="1" t="s">
        <v>137</v>
      </c>
      <c r="G256" s="1" t="s">
        <v>21</v>
      </c>
      <c r="H256" s="6">
        <v>1</v>
      </c>
      <c r="I256" s="7">
        <v>3150</v>
      </c>
      <c r="J256" s="5">
        <v>45934</v>
      </c>
      <c r="K256" s="1" t="s">
        <v>113</v>
      </c>
      <c r="L256" s="8">
        <v>0</v>
      </c>
      <c r="M256" s="6"/>
      <c r="N256" s="6"/>
      <c r="O256" s="9">
        <v>1759.47</v>
      </c>
    </row>
    <row r="257" spans="1:15" ht="19.5" customHeight="1">
      <c r="A257" s="1" t="s">
        <v>134</v>
      </c>
      <c r="B257" s="5">
        <v>45939</v>
      </c>
      <c r="C257" s="1" t="s">
        <v>31</v>
      </c>
      <c r="D257" s="1" t="s">
        <v>33</v>
      </c>
      <c r="E257" s="1" t="s">
        <v>136</v>
      </c>
      <c r="F257" s="1" t="s">
        <v>137</v>
      </c>
      <c r="G257" s="1" t="s">
        <v>21</v>
      </c>
      <c r="H257" s="6">
        <v>1</v>
      </c>
      <c r="I257" s="7">
        <v>3150</v>
      </c>
      <c r="J257" s="5">
        <v>45934</v>
      </c>
      <c r="K257" s="1" t="s">
        <v>113</v>
      </c>
      <c r="L257" s="8">
        <v>0</v>
      </c>
      <c r="M257" s="6"/>
      <c r="N257" s="6"/>
      <c r="O257" s="9">
        <v>17.59</v>
      </c>
    </row>
    <row r="258" spans="1:15" ht="19.5" customHeight="1">
      <c r="A258" s="1" t="s">
        <v>134</v>
      </c>
      <c r="B258" s="5">
        <v>45939</v>
      </c>
      <c r="C258" s="1" t="s">
        <v>31</v>
      </c>
      <c r="D258" s="1" t="s">
        <v>34</v>
      </c>
      <c r="E258" s="1" t="s">
        <v>136</v>
      </c>
      <c r="F258" s="1" t="s">
        <v>137</v>
      </c>
      <c r="G258" s="1" t="s">
        <v>21</v>
      </c>
      <c r="H258" s="6">
        <v>1</v>
      </c>
      <c r="I258" s="7">
        <v>3150</v>
      </c>
      <c r="J258" s="5">
        <v>45934</v>
      </c>
      <c r="K258" s="1" t="s">
        <v>113</v>
      </c>
      <c r="L258" s="8">
        <v>0</v>
      </c>
      <c r="M258" s="6"/>
      <c r="N258" s="6"/>
      <c r="O258" s="9">
        <v>1372.94</v>
      </c>
    </row>
    <row r="259" spans="1:15" ht="19.5" customHeight="1">
      <c r="A259" s="1" t="s">
        <v>134</v>
      </c>
      <c r="B259" s="5">
        <v>45939</v>
      </c>
      <c r="C259" s="1" t="s">
        <v>35</v>
      </c>
      <c r="D259" s="1" t="s">
        <v>36</v>
      </c>
      <c r="E259" s="1" t="s">
        <v>136</v>
      </c>
      <c r="F259" s="1" t="s">
        <v>137</v>
      </c>
      <c r="G259" s="1" t="s">
        <v>21</v>
      </c>
      <c r="H259" s="6">
        <v>1</v>
      </c>
      <c r="I259" s="7">
        <v>3150</v>
      </c>
      <c r="J259" s="5">
        <v>45934</v>
      </c>
      <c r="K259" s="1" t="s">
        <v>113</v>
      </c>
      <c r="L259" s="8">
        <v>0.29499999999999998</v>
      </c>
      <c r="M259" s="6"/>
      <c r="N259" s="6"/>
      <c r="O259" s="9">
        <v>-929.25</v>
      </c>
    </row>
    <row r="260" spans="1:15" ht="19.5" customHeight="1">
      <c r="A260" s="1" t="s">
        <v>134</v>
      </c>
      <c r="B260" s="5">
        <v>45939</v>
      </c>
      <c r="C260" s="1" t="s">
        <v>17</v>
      </c>
      <c r="D260" s="1" t="s">
        <v>138</v>
      </c>
      <c r="E260" s="1" t="s">
        <v>136</v>
      </c>
      <c r="F260" s="1" t="s">
        <v>137</v>
      </c>
      <c r="G260" s="1" t="s">
        <v>21</v>
      </c>
      <c r="H260" s="6">
        <v>1</v>
      </c>
      <c r="I260" s="7">
        <v>3150</v>
      </c>
      <c r="J260" s="5">
        <v>45934</v>
      </c>
      <c r="K260" s="1" t="s">
        <v>113</v>
      </c>
      <c r="L260" s="8">
        <v>0.29499999999999998</v>
      </c>
      <c r="M260" s="6"/>
      <c r="N260" s="6"/>
      <c r="O260" s="9">
        <v>-20</v>
      </c>
    </row>
    <row r="261" spans="1:15" ht="19.5" customHeight="1">
      <c r="A261" s="1" t="s">
        <v>134</v>
      </c>
      <c r="B261" s="5">
        <v>45939</v>
      </c>
      <c r="C261" s="1" t="s">
        <v>17</v>
      </c>
      <c r="D261" s="1" t="s">
        <v>37</v>
      </c>
      <c r="E261" s="1" t="s">
        <v>136</v>
      </c>
      <c r="F261" s="1" t="s">
        <v>137</v>
      </c>
      <c r="G261" s="1" t="s">
        <v>21</v>
      </c>
      <c r="H261" s="6">
        <v>1</v>
      </c>
      <c r="I261" s="7">
        <v>3150</v>
      </c>
      <c r="J261" s="5">
        <v>45934</v>
      </c>
      <c r="K261" s="1" t="s">
        <v>113</v>
      </c>
      <c r="L261" s="8">
        <v>0.29499999999999998</v>
      </c>
      <c r="M261" s="6"/>
      <c r="N261" s="6"/>
      <c r="O261" s="9">
        <v>-11.11</v>
      </c>
    </row>
    <row r="262" spans="1:15" ht="19.5" customHeight="1">
      <c r="A262" s="1" t="s">
        <v>139</v>
      </c>
      <c r="B262" s="5">
        <v>45939</v>
      </c>
      <c r="C262" s="1" t="s">
        <v>28</v>
      </c>
      <c r="D262" s="1" t="s">
        <v>29</v>
      </c>
      <c r="E262" s="1" t="s">
        <v>62</v>
      </c>
      <c r="F262" s="1" t="s">
        <v>63</v>
      </c>
      <c r="G262" s="1" t="s">
        <v>41</v>
      </c>
      <c r="H262" s="6">
        <v>1</v>
      </c>
      <c r="I262" s="7">
        <v>3690</v>
      </c>
      <c r="J262" s="5">
        <v>45937</v>
      </c>
      <c r="K262" s="1" t="s">
        <v>30</v>
      </c>
      <c r="L262" s="8">
        <v>0.24</v>
      </c>
      <c r="M262" s="6"/>
      <c r="N262" s="6"/>
      <c r="O262" s="9">
        <v>-56</v>
      </c>
    </row>
    <row r="263" spans="1:15" ht="19.5" customHeight="1">
      <c r="A263" s="1" t="s">
        <v>139</v>
      </c>
      <c r="B263" s="5">
        <v>45939</v>
      </c>
      <c r="C263" s="1" t="s">
        <v>31</v>
      </c>
      <c r="D263" s="1" t="s">
        <v>32</v>
      </c>
      <c r="E263" s="1" t="s">
        <v>62</v>
      </c>
      <c r="F263" s="1" t="s">
        <v>63</v>
      </c>
      <c r="G263" s="1" t="s">
        <v>41</v>
      </c>
      <c r="H263" s="6">
        <v>1</v>
      </c>
      <c r="I263" s="7">
        <v>3690</v>
      </c>
      <c r="J263" s="5">
        <v>45937</v>
      </c>
      <c r="K263" s="1" t="s">
        <v>30</v>
      </c>
      <c r="L263" s="8">
        <v>0</v>
      </c>
      <c r="M263" s="6"/>
      <c r="N263" s="6"/>
      <c r="O263" s="9">
        <v>2222.54</v>
      </c>
    </row>
    <row r="264" spans="1:15" ht="19.5" customHeight="1">
      <c r="A264" s="1" t="s">
        <v>139</v>
      </c>
      <c r="B264" s="5">
        <v>45939</v>
      </c>
      <c r="C264" s="1" t="s">
        <v>31</v>
      </c>
      <c r="D264" s="1" t="s">
        <v>33</v>
      </c>
      <c r="E264" s="1" t="s">
        <v>62</v>
      </c>
      <c r="F264" s="1" t="s">
        <v>63</v>
      </c>
      <c r="G264" s="1" t="s">
        <v>41</v>
      </c>
      <c r="H264" s="6">
        <v>1</v>
      </c>
      <c r="I264" s="7">
        <v>3690</v>
      </c>
      <c r="J264" s="5">
        <v>45937</v>
      </c>
      <c r="K264" s="1" t="s">
        <v>30</v>
      </c>
      <c r="L264" s="8">
        <v>0</v>
      </c>
      <c r="M264" s="6"/>
      <c r="N264" s="6"/>
      <c r="O264" s="9">
        <v>22.23</v>
      </c>
    </row>
    <row r="265" spans="1:15" ht="19.5" customHeight="1">
      <c r="A265" s="1" t="s">
        <v>139</v>
      </c>
      <c r="B265" s="5">
        <v>45939</v>
      </c>
      <c r="C265" s="1" t="s">
        <v>31</v>
      </c>
      <c r="D265" s="1" t="s">
        <v>34</v>
      </c>
      <c r="E265" s="1" t="s">
        <v>62</v>
      </c>
      <c r="F265" s="1" t="s">
        <v>63</v>
      </c>
      <c r="G265" s="1" t="s">
        <v>41</v>
      </c>
      <c r="H265" s="6">
        <v>1</v>
      </c>
      <c r="I265" s="7">
        <v>3690</v>
      </c>
      <c r="J265" s="5">
        <v>45937</v>
      </c>
      <c r="K265" s="1" t="s">
        <v>30</v>
      </c>
      <c r="L265" s="8">
        <v>0</v>
      </c>
      <c r="M265" s="6"/>
      <c r="N265" s="6"/>
      <c r="O265" s="9">
        <v>1445.23</v>
      </c>
    </row>
    <row r="266" spans="1:15" ht="19.5" customHeight="1">
      <c r="A266" s="1" t="s">
        <v>139</v>
      </c>
      <c r="B266" s="5">
        <v>45939</v>
      </c>
      <c r="C266" s="1" t="s">
        <v>35</v>
      </c>
      <c r="D266" s="1" t="s">
        <v>36</v>
      </c>
      <c r="E266" s="1" t="s">
        <v>62</v>
      </c>
      <c r="F266" s="1" t="s">
        <v>63</v>
      </c>
      <c r="G266" s="1" t="s">
        <v>41</v>
      </c>
      <c r="H266" s="6">
        <v>1</v>
      </c>
      <c r="I266" s="7">
        <v>3690</v>
      </c>
      <c r="J266" s="5">
        <v>45937</v>
      </c>
      <c r="K266" s="1" t="s">
        <v>30</v>
      </c>
      <c r="L266" s="8">
        <v>0.24</v>
      </c>
      <c r="M266" s="6"/>
      <c r="N266" s="6"/>
      <c r="O266" s="9">
        <v>-885.6</v>
      </c>
    </row>
    <row r="267" spans="1:15" ht="19.5" customHeight="1">
      <c r="A267" s="1" t="s">
        <v>139</v>
      </c>
      <c r="B267" s="5">
        <v>45939</v>
      </c>
      <c r="C267" s="1" t="s">
        <v>17</v>
      </c>
      <c r="D267" s="1" t="s">
        <v>37</v>
      </c>
      <c r="E267" s="1" t="s">
        <v>62</v>
      </c>
      <c r="F267" s="1" t="s">
        <v>63</v>
      </c>
      <c r="G267" s="1" t="s">
        <v>41</v>
      </c>
      <c r="H267" s="6">
        <v>1</v>
      </c>
      <c r="I267" s="7">
        <v>3690</v>
      </c>
      <c r="J267" s="5">
        <v>45937</v>
      </c>
      <c r="K267" s="1" t="s">
        <v>30</v>
      </c>
      <c r="L267" s="8">
        <v>0.24</v>
      </c>
      <c r="M267" s="6"/>
      <c r="N267" s="6"/>
      <c r="O267" s="9">
        <v>-12.72</v>
      </c>
    </row>
    <row r="268" spans="1:15" ht="19.5" customHeight="1">
      <c r="A268" s="1" t="s">
        <v>134</v>
      </c>
      <c r="B268" s="5">
        <v>45939</v>
      </c>
      <c r="C268" s="1" t="s">
        <v>17</v>
      </c>
      <c r="D268" s="1" t="s">
        <v>18</v>
      </c>
      <c r="E268" s="1" t="s">
        <v>136</v>
      </c>
      <c r="F268" s="1" t="s">
        <v>137</v>
      </c>
      <c r="G268" s="1" t="s">
        <v>21</v>
      </c>
      <c r="H268" s="6">
        <v>1</v>
      </c>
      <c r="I268" s="7">
        <v>0</v>
      </c>
      <c r="J268" s="5">
        <v>45934</v>
      </c>
      <c r="K268" s="1" t="s">
        <v>22</v>
      </c>
      <c r="L268" s="8">
        <v>0</v>
      </c>
      <c r="M268" s="6"/>
      <c r="N268" s="6"/>
      <c r="O268" s="9">
        <v>-33.43</v>
      </c>
    </row>
    <row r="269" spans="1:15" ht="19.5" customHeight="1">
      <c r="A269" s="1" t="s">
        <v>139</v>
      </c>
      <c r="B269" s="5">
        <v>45939</v>
      </c>
      <c r="C269" s="1" t="s">
        <v>17</v>
      </c>
      <c r="D269" s="1" t="s">
        <v>18</v>
      </c>
      <c r="E269" s="1" t="s">
        <v>62</v>
      </c>
      <c r="F269" s="1" t="s">
        <v>63</v>
      </c>
      <c r="G269" s="1" t="s">
        <v>41</v>
      </c>
      <c r="H269" s="6">
        <v>1</v>
      </c>
      <c r="I269" s="7">
        <v>0</v>
      </c>
      <c r="J269" s="5">
        <v>45937</v>
      </c>
      <c r="K269" s="1" t="s">
        <v>22</v>
      </c>
      <c r="L269" s="8">
        <v>0</v>
      </c>
      <c r="M269" s="6"/>
      <c r="N269" s="6"/>
      <c r="O269" s="9">
        <v>-42.23</v>
      </c>
    </row>
    <row r="270" spans="1:15" ht="19.5" customHeight="1">
      <c r="A270" s="1" t="s">
        <v>140</v>
      </c>
      <c r="B270" s="5">
        <v>45939</v>
      </c>
      <c r="C270" s="1" t="s">
        <v>28</v>
      </c>
      <c r="D270" s="1" t="s">
        <v>29</v>
      </c>
      <c r="E270" s="1" t="s">
        <v>92</v>
      </c>
      <c r="F270" s="1" t="s">
        <v>93</v>
      </c>
      <c r="G270" s="1" t="s">
        <v>21</v>
      </c>
      <c r="H270" s="6">
        <v>1</v>
      </c>
      <c r="I270" s="7">
        <v>1300</v>
      </c>
      <c r="J270" s="5">
        <v>45937</v>
      </c>
      <c r="K270" s="1" t="s">
        <v>30</v>
      </c>
      <c r="L270" s="8">
        <v>0.26</v>
      </c>
      <c r="M270" s="6"/>
      <c r="N270" s="6"/>
      <c r="O270" s="9">
        <v>-46</v>
      </c>
    </row>
    <row r="271" spans="1:15" ht="19.5" customHeight="1">
      <c r="A271" s="1" t="s">
        <v>140</v>
      </c>
      <c r="B271" s="5">
        <v>45939</v>
      </c>
      <c r="C271" s="1" t="s">
        <v>31</v>
      </c>
      <c r="D271" s="1" t="s">
        <v>32</v>
      </c>
      <c r="E271" s="1" t="s">
        <v>92</v>
      </c>
      <c r="F271" s="1" t="s">
        <v>93</v>
      </c>
      <c r="G271" s="1" t="s">
        <v>21</v>
      </c>
      <c r="H271" s="6">
        <v>1</v>
      </c>
      <c r="I271" s="7">
        <v>1300</v>
      </c>
      <c r="J271" s="5">
        <v>45937</v>
      </c>
      <c r="K271" s="1" t="s">
        <v>30</v>
      </c>
      <c r="L271" s="8">
        <v>0</v>
      </c>
      <c r="M271" s="6"/>
      <c r="N271" s="6"/>
      <c r="O271" s="9">
        <v>767.62</v>
      </c>
    </row>
    <row r="272" spans="1:15" ht="19.5" customHeight="1">
      <c r="A272" s="1" t="s">
        <v>140</v>
      </c>
      <c r="B272" s="5">
        <v>45939</v>
      </c>
      <c r="C272" s="1" t="s">
        <v>31</v>
      </c>
      <c r="D272" s="1" t="s">
        <v>33</v>
      </c>
      <c r="E272" s="1" t="s">
        <v>92</v>
      </c>
      <c r="F272" s="1" t="s">
        <v>93</v>
      </c>
      <c r="G272" s="1" t="s">
        <v>21</v>
      </c>
      <c r="H272" s="6">
        <v>1</v>
      </c>
      <c r="I272" s="7">
        <v>1300</v>
      </c>
      <c r="J272" s="5">
        <v>45937</v>
      </c>
      <c r="K272" s="1" t="s">
        <v>30</v>
      </c>
      <c r="L272" s="8">
        <v>0</v>
      </c>
      <c r="M272" s="6"/>
      <c r="N272" s="6"/>
      <c r="O272" s="9">
        <v>7.68</v>
      </c>
    </row>
    <row r="273" spans="1:15" ht="19.5" customHeight="1">
      <c r="A273" s="1" t="s">
        <v>140</v>
      </c>
      <c r="B273" s="5">
        <v>45939</v>
      </c>
      <c r="C273" s="1" t="s">
        <v>31</v>
      </c>
      <c r="D273" s="1" t="s">
        <v>34</v>
      </c>
      <c r="E273" s="1" t="s">
        <v>92</v>
      </c>
      <c r="F273" s="1" t="s">
        <v>93</v>
      </c>
      <c r="G273" s="1" t="s">
        <v>21</v>
      </c>
      <c r="H273" s="6">
        <v>1</v>
      </c>
      <c r="I273" s="7">
        <v>1300</v>
      </c>
      <c r="J273" s="5">
        <v>45937</v>
      </c>
      <c r="K273" s="1" t="s">
        <v>30</v>
      </c>
      <c r="L273" s="8">
        <v>0</v>
      </c>
      <c r="M273" s="6"/>
      <c r="N273" s="6"/>
      <c r="O273" s="9">
        <v>524.70000000000005</v>
      </c>
    </row>
    <row r="274" spans="1:15" ht="19.5" customHeight="1">
      <c r="A274" s="1" t="s">
        <v>140</v>
      </c>
      <c r="B274" s="5">
        <v>45939</v>
      </c>
      <c r="C274" s="1" t="s">
        <v>35</v>
      </c>
      <c r="D274" s="1" t="s">
        <v>36</v>
      </c>
      <c r="E274" s="1" t="s">
        <v>92</v>
      </c>
      <c r="F274" s="1" t="s">
        <v>93</v>
      </c>
      <c r="G274" s="1" t="s">
        <v>21</v>
      </c>
      <c r="H274" s="6">
        <v>1</v>
      </c>
      <c r="I274" s="7">
        <v>1300</v>
      </c>
      <c r="J274" s="5">
        <v>45937</v>
      </c>
      <c r="K274" s="1" t="s">
        <v>30</v>
      </c>
      <c r="L274" s="8">
        <v>0.26</v>
      </c>
      <c r="M274" s="6"/>
      <c r="N274" s="6"/>
      <c r="O274" s="9">
        <v>-338</v>
      </c>
    </row>
    <row r="275" spans="1:15" ht="19.5" customHeight="1">
      <c r="A275" s="1" t="s">
        <v>140</v>
      </c>
      <c r="B275" s="5">
        <v>45939</v>
      </c>
      <c r="C275" s="1" t="s">
        <v>17</v>
      </c>
      <c r="D275" s="1" t="s">
        <v>37</v>
      </c>
      <c r="E275" s="1" t="s">
        <v>92</v>
      </c>
      <c r="F275" s="1" t="s">
        <v>93</v>
      </c>
      <c r="G275" s="1" t="s">
        <v>21</v>
      </c>
      <c r="H275" s="6">
        <v>1</v>
      </c>
      <c r="I275" s="7">
        <v>1300</v>
      </c>
      <c r="J275" s="5">
        <v>45937</v>
      </c>
      <c r="K275" s="1" t="s">
        <v>30</v>
      </c>
      <c r="L275" s="8">
        <v>0.26</v>
      </c>
      <c r="M275" s="6"/>
      <c r="N275" s="6"/>
      <c r="O275" s="9">
        <v>-6.65</v>
      </c>
    </row>
    <row r="276" spans="1:15" ht="19.5" customHeight="1">
      <c r="A276" s="1" t="s">
        <v>141</v>
      </c>
      <c r="B276" s="5">
        <v>45939</v>
      </c>
      <c r="C276" s="1" t="s">
        <v>28</v>
      </c>
      <c r="D276" s="1" t="s">
        <v>29</v>
      </c>
      <c r="E276" s="1" t="s">
        <v>142</v>
      </c>
      <c r="F276" s="1" t="s">
        <v>143</v>
      </c>
      <c r="G276" s="1" t="s">
        <v>41</v>
      </c>
      <c r="H276" s="6">
        <v>1</v>
      </c>
      <c r="I276" s="7">
        <v>3300</v>
      </c>
      <c r="J276" s="5">
        <v>45937</v>
      </c>
      <c r="K276" s="1" t="s">
        <v>30</v>
      </c>
      <c r="L276" s="8">
        <v>0.24</v>
      </c>
      <c r="M276" s="6"/>
      <c r="N276" s="6"/>
      <c r="O276" s="9">
        <v>-56</v>
      </c>
    </row>
    <row r="277" spans="1:15" ht="19.5" customHeight="1">
      <c r="A277" s="1" t="s">
        <v>141</v>
      </c>
      <c r="B277" s="5">
        <v>45939</v>
      </c>
      <c r="C277" s="1" t="s">
        <v>31</v>
      </c>
      <c r="D277" s="1" t="s">
        <v>32</v>
      </c>
      <c r="E277" s="1" t="s">
        <v>142</v>
      </c>
      <c r="F277" s="1" t="s">
        <v>143</v>
      </c>
      <c r="G277" s="1" t="s">
        <v>41</v>
      </c>
      <c r="H277" s="6">
        <v>1</v>
      </c>
      <c r="I277" s="7">
        <v>3300</v>
      </c>
      <c r="J277" s="5">
        <v>45937</v>
      </c>
      <c r="K277" s="1" t="s">
        <v>30</v>
      </c>
      <c r="L277" s="8">
        <v>0</v>
      </c>
      <c r="M277" s="6"/>
      <c r="N277" s="6"/>
      <c r="O277" s="9">
        <v>2176.3000000000002</v>
      </c>
    </row>
    <row r="278" spans="1:15" ht="19.5" customHeight="1">
      <c r="A278" s="1" t="s">
        <v>141</v>
      </c>
      <c r="B278" s="5">
        <v>45939</v>
      </c>
      <c r="C278" s="1" t="s">
        <v>31</v>
      </c>
      <c r="D278" s="1" t="s">
        <v>33</v>
      </c>
      <c r="E278" s="1" t="s">
        <v>142</v>
      </c>
      <c r="F278" s="1" t="s">
        <v>143</v>
      </c>
      <c r="G278" s="1" t="s">
        <v>41</v>
      </c>
      <c r="H278" s="6">
        <v>1</v>
      </c>
      <c r="I278" s="7">
        <v>3300</v>
      </c>
      <c r="J278" s="5">
        <v>45937</v>
      </c>
      <c r="K278" s="1" t="s">
        <v>30</v>
      </c>
      <c r="L278" s="8">
        <v>0</v>
      </c>
      <c r="M278" s="6"/>
      <c r="N278" s="6"/>
      <c r="O278" s="9">
        <v>0</v>
      </c>
    </row>
    <row r="279" spans="1:15" ht="19.5" customHeight="1">
      <c r="A279" s="1" t="s">
        <v>141</v>
      </c>
      <c r="B279" s="5">
        <v>45939</v>
      </c>
      <c r="C279" s="1" t="s">
        <v>31</v>
      </c>
      <c r="D279" s="1" t="s">
        <v>34</v>
      </c>
      <c r="E279" s="1" t="s">
        <v>142</v>
      </c>
      <c r="F279" s="1" t="s">
        <v>143</v>
      </c>
      <c r="G279" s="1" t="s">
        <v>41</v>
      </c>
      <c r="H279" s="6">
        <v>1</v>
      </c>
      <c r="I279" s="7">
        <v>3300</v>
      </c>
      <c r="J279" s="5">
        <v>45937</v>
      </c>
      <c r="K279" s="1" t="s">
        <v>30</v>
      </c>
      <c r="L279" s="8">
        <v>0</v>
      </c>
      <c r="M279" s="6"/>
      <c r="N279" s="6"/>
      <c r="O279" s="9">
        <v>1123.7</v>
      </c>
    </row>
    <row r="280" spans="1:15" ht="19.5" customHeight="1">
      <c r="A280" s="1" t="s">
        <v>141</v>
      </c>
      <c r="B280" s="5">
        <v>45939</v>
      </c>
      <c r="C280" s="1" t="s">
        <v>35</v>
      </c>
      <c r="D280" s="1" t="s">
        <v>36</v>
      </c>
      <c r="E280" s="1" t="s">
        <v>142</v>
      </c>
      <c r="F280" s="1" t="s">
        <v>143</v>
      </c>
      <c r="G280" s="1" t="s">
        <v>41</v>
      </c>
      <c r="H280" s="6">
        <v>1</v>
      </c>
      <c r="I280" s="7">
        <v>3300</v>
      </c>
      <c r="J280" s="5">
        <v>45937</v>
      </c>
      <c r="K280" s="1" t="s">
        <v>30</v>
      </c>
      <c r="L280" s="8">
        <v>0.24</v>
      </c>
      <c r="M280" s="6"/>
      <c r="N280" s="6"/>
      <c r="O280" s="9">
        <v>-792</v>
      </c>
    </row>
    <row r="281" spans="1:15" ht="19.5" customHeight="1">
      <c r="A281" s="1" t="s">
        <v>141</v>
      </c>
      <c r="B281" s="5">
        <v>45939</v>
      </c>
      <c r="C281" s="1" t="s">
        <v>17</v>
      </c>
      <c r="D281" s="1" t="s">
        <v>37</v>
      </c>
      <c r="E281" s="1" t="s">
        <v>142</v>
      </c>
      <c r="F281" s="1" t="s">
        <v>143</v>
      </c>
      <c r="G281" s="1" t="s">
        <v>41</v>
      </c>
      <c r="H281" s="6">
        <v>1</v>
      </c>
      <c r="I281" s="7">
        <v>3300</v>
      </c>
      <c r="J281" s="5">
        <v>45937</v>
      </c>
      <c r="K281" s="1" t="s">
        <v>30</v>
      </c>
      <c r="L281" s="8">
        <v>0.24</v>
      </c>
      <c r="M281" s="6"/>
      <c r="N281" s="6"/>
      <c r="O281" s="9">
        <v>-11.33</v>
      </c>
    </row>
    <row r="282" spans="1:15" ht="19.5" customHeight="1">
      <c r="A282" s="1" t="s">
        <v>140</v>
      </c>
      <c r="B282" s="5">
        <v>45939</v>
      </c>
      <c r="C282" s="1" t="s">
        <v>17</v>
      </c>
      <c r="D282" s="1" t="s">
        <v>18</v>
      </c>
      <c r="E282" s="1" t="s">
        <v>92</v>
      </c>
      <c r="F282" s="1" t="s">
        <v>93</v>
      </c>
      <c r="G282" s="1" t="s">
        <v>21</v>
      </c>
      <c r="H282" s="6">
        <v>1</v>
      </c>
      <c r="I282" s="7">
        <v>0</v>
      </c>
      <c r="J282" s="5">
        <v>45937</v>
      </c>
      <c r="K282" s="1" t="s">
        <v>22</v>
      </c>
      <c r="L282" s="8">
        <v>0</v>
      </c>
      <c r="M282" s="6"/>
      <c r="N282" s="6"/>
      <c r="O282" s="9">
        <v>-14.58</v>
      </c>
    </row>
    <row r="283" spans="1:15" ht="19.5" customHeight="1">
      <c r="A283" s="1" t="s">
        <v>141</v>
      </c>
      <c r="B283" s="5">
        <v>45939</v>
      </c>
      <c r="C283" s="1" t="s">
        <v>17</v>
      </c>
      <c r="D283" s="1" t="s">
        <v>18</v>
      </c>
      <c r="E283" s="1" t="s">
        <v>142</v>
      </c>
      <c r="F283" s="1" t="s">
        <v>143</v>
      </c>
      <c r="G283" s="1" t="s">
        <v>41</v>
      </c>
      <c r="H283" s="6">
        <v>1</v>
      </c>
      <c r="I283" s="7">
        <v>0</v>
      </c>
      <c r="J283" s="5">
        <v>45937</v>
      </c>
      <c r="K283" s="1" t="s">
        <v>22</v>
      </c>
      <c r="L283" s="8">
        <v>0</v>
      </c>
      <c r="M283" s="6"/>
      <c r="N283" s="6"/>
      <c r="O283" s="9">
        <v>-9.58</v>
      </c>
    </row>
    <row r="284" spans="1:15" ht="19.5" customHeight="1">
      <c r="A284" s="1" t="s">
        <v>144</v>
      </c>
      <c r="B284" s="5">
        <v>45939</v>
      </c>
      <c r="C284" s="1" t="s">
        <v>28</v>
      </c>
      <c r="D284" s="1" t="s">
        <v>29</v>
      </c>
      <c r="E284" s="1" t="s">
        <v>70</v>
      </c>
      <c r="F284" s="1" t="s">
        <v>71</v>
      </c>
      <c r="G284" s="1" t="s">
        <v>41</v>
      </c>
      <c r="H284" s="6">
        <v>1</v>
      </c>
      <c r="I284" s="7">
        <v>0</v>
      </c>
      <c r="J284" s="5">
        <v>45936</v>
      </c>
      <c r="K284" s="1" t="s">
        <v>30</v>
      </c>
      <c r="L284" s="8">
        <v>0</v>
      </c>
      <c r="M284" s="6"/>
      <c r="N284" s="6"/>
      <c r="O284" s="9">
        <v>-56</v>
      </c>
    </row>
    <row r="285" spans="1:15" ht="19.5" customHeight="1">
      <c r="A285" s="1" t="s">
        <v>144</v>
      </c>
      <c r="B285" s="5">
        <v>45939</v>
      </c>
      <c r="C285" s="1" t="s">
        <v>17</v>
      </c>
      <c r="D285" s="1" t="s">
        <v>37</v>
      </c>
      <c r="E285" s="1" t="s">
        <v>70</v>
      </c>
      <c r="F285" s="1" t="s">
        <v>71</v>
      </c>
      <c r="G285" s="1" t="s">
        <v>41</v>
      </c>
      <c r="H285" s="6">
        <v>1</v>
      </c>
      <c r="I285" s="7">
        <v>0</v>
      </c>
      <c r="J285" s="5">
        <v>45936</v>
      </c>
      <c r="K285" s="1" t="s">
        <v>30</v>
      </c>
      <c r="L285" s="8">
        <v>0</v>
      </c>
      <c r="M285" s="6"/>
      <c r="N285" s="6"/>
      <c r="O285" s="9">
        <v>-12.02</v>
      </c>
    </row>
    <row r="286" spans="1:15" ht="19.5" customHeight="1">
      <c r="A286" s="1" t="s">
        <v>144</v>
      </c>
      <c r="B286" s="5">
        <v>45939</v>
      </c>
      <c r="C286" s="1" t="s">
        <v>28</v>
      </c>
      <c r="D286" s="1" t="s">
        <v>45</v>
      </c>
      <c r="E286" s="1" t="s">
        <v>70</v>
      </c>
      <c r="F286" s="1" t="s">
        <v>71</v>
      </c>
      <c r="G286" s="1" t="s">
        <v>41</v>
      </c>
      <c r="H286" s="6">
        <v>1</v>
      </c>
      <c r="I286" s="7">
        <v>0</v>
      </c>
      <c r="J286" s="5">
        <v>45936</v>
      </c>
      <c r="K286" s="1" t="s">
        <v>30</v>
      </c>
      <c r="L286" s="8">
        <v>0</v>
      </c>
      <c r="M286" s="6"/>
      <c r="N286" s="6"/>
      <c r="O286" s="9">
        <v>0</v>
      </c>
    </row>
    <row r="287" spans="1:15" ht="19.5" customHeight="1">
      <c r="A287" s="1" t="s">
        <v>144</v>
      </c>
      <c r="B287" s="5">
        <v>45939</v>
      </c>
      <c r="C287" s="1" t="s">
        <v>28</v>
      </c>
      <c r="D287" s="1" t="s">
        <v>46</v>
      </c>
      <c r="E287" s="1" t="s">
        <v>70</v>
      </c>
      <c r="F287" s="1" t="s">
        <v>71</v>
      </c>
      <c r="G287" s="1" t="s">
        <v>41</v>
      </c>
      <c r="H287" s="6">
        <v>1</v>
      </c>
      <c r="I287" s="7">
        <v>0</v>
      </c>
      <c r="J287" s="5">
        <v>45936</v>
      </c>
      <c r="K287" s="1" t="s">
        <v>30</v>
      </c>
      <c r="L287" s="8">
        <v>0</v>
      </c>
      <c r="M287" s="6"/>
      <c r="N287" s="6"/>
      <c r="O287" s="9">
        <v>-56</v>
      </c>
    </row>
    <row r="288" spans="1:15" ht="19.5" customHeight="1">
      <c r="A288" s="1" t="s">
        <v>144</v>
      </c>
      <c r="B288" s="5">
        <v>45939</v>
      </c>
      <c r="C288" s="1" t="s">
        <v>17</v>
      </c>
      <c r="D288" s="1" t="s">
        <v>47</v>
      </c>
      <c r="E288" s="1" t="s">
        <v>70</v>
      </c>
      <c r="F288" s="1" t="s">
        <v>71</v>
      </c>
      <c r="G288" s="1" t="s">
        <v>41</v>
      </c>
      <c r="H288" s="6">
        <v>1</v>
      </c>
      <c r="I288" s="7">
        <v>0</v>
      </c>
      <c r="J288" s="5">
        <v>45936</v>
      </c>
      <c r="K288" s="1" t="s">
        <v>30</v>
      </c>
      <c r="L288" s="8">
        <v>0</v>
      </c>
      <c r="M288" s="6"/>
      <c r="N288" s="6"/>
      <c r="O288" s="9">
        <v>-15</v>
      </c>
    </row>
    <row r="289" spans="1:15" ht="19.5" customHeight="1">
      <c r="A289" s="1" t="s">
        <v>22</v>
      </c>
      <c r="B289" s="5">
        <v>45939</v>
      </c>
      <c r="C289" s="1" t="s">
        <v>77</v>
      </c>
      <c r="D289" s="1" t="s">
        <v>80</v>
      </c>
      <c r="E289" s="1" t="s">
        <v>22</v>
      </c>
      <c r="F289" s="1" t="s">
        <v>22</v>
      </c>
      <c r="G289" s="1" t="s">
        <v>22</v>
      </c>
      <c r="H289" s="6">
        <v>0</v>
      </c>
      <c r="I289" s="7">
        <v>0</v>
      </c>
      <c r="J289" s="5">
        <v>45939</v>
      </c>
      <c r="K289" s="1" t="s">
        <v>22</v>
      </c>
      <c r="L289" s="8">
        <v>0</v>
      </c>
      <c r="M289" s="6"/>
      <c r="N289" s="6"/>
      <c r="O289" s="9">
        <v>-288</v>
      </c>
    </row>
    <row r="290" spans="1:15" ht="19.5" customHeight="1">
      <c r="A290" s="1" t="s">
        <v>81</v>
      </c>
      <c r="B290" s="5">
        <v>45939</v>
      </c>
      <c r="C290" s="1" t="s">
        <v>77</v>
      </c>
      <c r="D290" s="1" t="s">
        <v>82</v>
      </c>
      <c r="E290" s="1" t="s">
        <v>22</v>
      </c>
      <c r="F290" s="1" t="s">
        <v>22</v>
      </c>
      <c r="G290" s="1" t="s">
        <v>22</v>
      </c>
      <c r="H290" s="6">
        <v>0</v>
      </c>
      <c r="I290" s="7">
        <v>0</v>
      </c>
      <c r="J290" s="5">
        <v>45939</v>
      </c>
      <c r="K290" s="1" t="s">
        <v>22</v>
      </c>
      <c r="L290" s="8">
        <v>0</v>
      </c>
      <c r="M290" s="6"/>
      <c r="N290" s="6"/>
      <c r="O290" s="9">
        <v>-1581.95</v>
      </c>
    </row>
    <row r="291" spans="1:15" ht="19.5" customHeight="1">
      <c r="A291" s="1" t="s">
        <v>86</v>
      </c>
      <c r="B291" s="5">
        <v>45939</v>
      </c>
      <c r="C291" s="1" t="s">
        <v>77</v>
      </c>
      <c r="D291" s="1" t="s">
        <v>82</v>
      </c>
      <c r="E291" s="1" t="s">
        <v>22</v>
      </c>
      <c r="F291" s="1" t="s">
        <v>22</v>
      </c>
      <c r="G291" s="1" t="s">
        <v>22</v>
      </c>
      <c r="H291" s="6">
        <v>0</v>
      </c>
      <c r="I291" s="7">
        <v>0</v>
      </c>
      <c r="J291" s="5">
        <v>45939</v>
      </c>
      <c r="K291" s="1" t="s">
        <v>22</v>
      </c>
      <c r="L291" s="8">
        <v>0</v>
      </c>
      <c r="M291" s="6"/>
      <c r="N291" s="6"/>
      <c r="O291" s="9">
        <v>-1990.71</v>
      </c>
    </row>
    <row r="292" spans="1:15" ht="19.5" customHeight="1">
      <c r="A292" s="1" t="s">
        <v>83</v>
      </c>
      <c r="B292" s="5">
        <v>45939</v>
      </c>
      <c r="C292" s="1" t="s">
        <v>77</v>
      </c>
      <c r="D292" s="1" t="s">
        <v>84</v>
      </c>
      <c r="E292" s="1" t="s">
        <v>22</v>
      </c>
      <c r="F292" s="1" t="s">
        <v>22</v>
      </c>
      <c r="G292" s="1" t="s">
        <v>22</v>
      </c>
      <c r="H292" s="6">
        <v>0</v>
      </c>
      <c r="I292" s="7">
        <v>0</v>
      </c>
      <c r="J292" s="5">
        <v>45939</v>
      </c>
      <c r="K292" s="1" t="s">
        <v>22</v>
      </c>
      <c r="L292" s="8">
        <v>0</v>
      </c>
      <c r="M292" s="6"/>
      <c r="N292" s="6"/>
      <c r="O292" s="9">
        <v>-1070.0999999999999</v>
      </c>
    </row>
    <row r="293" spans="1:15" ht="19.5" customHeight="1">
      <c r="A293" s="1" t="s">
        <v>85</v>
      </c>
      <c r="B293" s="5">
        <v>45939</v>
      </c>
      <c r="C293" s="1" t="s">
        <v>77</v>
      </c>
      <c r="D293" s="1" t="s">
        <v>82</v>
      </c>
      <c r="E293" s="1" t="s">
        <v>22</v>
      </c>
      <c r="F293" s="1" t="s">
        <v>22</v>
      </c>
      <c r="G293" s="1" t="s">
        <v>22</v>
      </c>
      <c r="H293" s="6">
        <v>0</v>
      </c>
      <c r="I293" s="7">
        <v>0</v>
      </c>
      <c r="J293" s="5">
        <v>45939</v>
      </c>
      <c r="K293" s="1" t="s">
        <v>22</v>
      </c>
      <c r="L293" s="8">
        <v>0</v>
      </c>
      <c r="M293" s="6"/>
      <c r="N293" s="6"/>
      <c r="O293" s="9">
        <v>-150.77000000000001</v>
      </c>
    </row>
    <row r="294" spans="1:15" ht="19.5" customHeight="1">
      <c r="A294" s="1" t="s">
        <v>145</v>
      </c>
      <c r="B294" s="5">
        <v>45939</v>
      </c>
      <c r="C294" s="1" t="s">
        <v>77</v>
      </c>
      <c r="D294" s="1" t="s">
        <v>82</v>
      </c>
      <c r="E294" s="1" t="s">
        <v>22</v>
      </c>
      <c r="F294" s="1" t="s">
        <v>22</v>
      </c>
      <c r="G294" s="1" t="s">
        <v>22</v>
      </c>
      <c r="H294" s="6">
        <v>0</v>
      </c>
      <c r="I294" s="7">
        <v>0</v>
      </c>
      <c r="J294" s="5">
        <v>45939</v>
      </c>
      <c r="K294" s="1" t="s">
        <v>22</v>
      </c>
      <c r="L294" s="8">
        <v>0</v>
      </c>
      <c r="M294" s="6"/>
      <c r="N294" s="6"/>
      <c r="O294" s="9">
        <v>-725.68</v>
      </c>
    </row>
    <row r="295" spans="1:15" ht="19.5" customHeight="1">
      <c r="A295" s="1" t="s">
        <v>132</v>
      </c>
      <c r="B295" s="5">
        <v>45940</v>
      </c>
      <c r="C295" s="1" t="s">
        <v>17</v>
      </c>
      <c r="D295" s="1" t="s">
        <v>18</v>
      </c>
      <c r="E295" s="1" t="s">
        <v>25</v>
      </c>
      <c r="F295" s="1" t="s">
        <v>26</v>
      </c>
      <c r="G295" s="1" t="s">
        <v>21</v>
      </c>
      <c r="H295" s="6">
        <v>1</v>
      </c>
      <c r="I295" s="7">
        <v>0</v>
      </c>
      <c r="J295" s="5">
        <v>45939</v>
      </c>
      <c r="K295" s="1" t="s">
        <v>22</v>
      </c>
      <c r="L295" s="8">
        <v>0</v>
      </c>
      <c r="M295" s="6"/>
      <c r="N295" s="6"/>
      <c r="O295" s="9">
        <v>5.61</v>
      </c>
    </row>
    <row r="296" spans="1:15" ht="19.5" customHeight="1">
      <c r="A296" s="1" t="s">
        <v>125</v>
      </c>
      <c r="B296" s="5">
        <v>45940</v>
      </c>
      <c r="C296" s="1" t="s">
        <v>126</v>
      </c>
      <c r="D296" s="1" t="s">
        <v>127</v>
      </c>
      <c r="E296" s="1" t="s">
        <v>25</v>
      </c>
      <c r="F296" s="1" t="s">
        <v>26</v>
      </c>
      <c r="G296" s="1" t="s">
        <v>21</v>
      </c>
      <c r="H296" s="6">
        <v>1</v>
      </c>
      <c r="I296" s="7">
        <v>-1200</v>
      </c>
      <c r="J296" s="5">
        <v>45936</v>
      </c>
      <c r="K296" s="1" t="s">
        <v>30</v>
      </c>
      <c r="L296" s="8">
        <v>0</v>
      </c>
      <c r="M296" s="6"/>
      <c r="N296" s="6"/>
      <c r="O296" s="9">
        <v>-739.54</v>
      </c>
    </row>
    <row r="297" spans="1:15" ht="19.5" customHeight="1">
      <c r="A297" s="1" t="s">
        <v>125</v>
      </c>
      <c r="B297" s="5">
        <v>45940</v>
      </c>
      <c r="C297" s="1" t="s">
        <v>126</v>
      </c>
      <c r="D297" s="1" t="s">
        <v>33</v>
      </c>
      <c r="E297" s="1" t="s">
        <v>25</v>
      </c>
      <c r="F297" s="1" t="s">
        <v>26</v>
      </c>
      <c r="G297" s="1" t="s">
        <v>21</v>
      </c>
      <c r="H297" s="6">
        <v>1</v>
      </c>
      <c r="I297" s="7">
        <v>-1200</v>
      </c>
      <c r="J297" s="5">
        <v>45936</v>
      </c>
      <c r="K297" s="1" t="s">
        <v>30</v>
      </c>
      <c r="L297" s="8">
        <v>0</v>
      </c>
      <c r="M297" s="6"/>
      <c r="N297" s="6"/>
      <c r="O297" s="9">
        <v>0</v>
      </c>
    </row>
    <row r="298" spans="1:15" ht="19.5" customHeight="1">
      <c r="A298" s="1" t="s">
        <v>125</v>
      </c>
      <c r="B298" s="5">
        <v>45940</v>
      </c>
      <c r="C298" s="1" t="s">
        <v>126</v>
      </c>
      <c r="D298" s="1" t="s">
        <v>34</v>
      </c>
      <c r="E298" s="1" t="s">
        <v>25</v>
      </c>
      <c r="F298" s="1" t="s">
        <v>26</v>
      </c>
      <c r="G298" s="1" t="s">
        <v>21</v>
      </c>
      <c r="H298" s="6">
        <v>1</v>
      </c>
      <c r="I298" s="7">
        <v>-1200</v>
      </c>
      <c r="J298" s="5">
        <v>45936</v>
      </c>
      <c r="K298" s="1" t="s">
        <v>30</v>
      </c>
      <c r="L298" s="8">
        <v>0</v>
      </c>
      <c r="M298" s="6"/>
      <c r="N298" s="6"/>
      <c r="O298" s="9">
        <v>-460.46</v>
      </c>
    </row>
    <row r="299" spans="1:15" ht="19.5" customHeight="1">
      <c r="A299" s="1" t="s">
        <v>125</v>
      </c>
      <c r="B299" s="5">
        <v>45940</v>
      </c>
      <c r="C299" s="1" t="s">
        <v>35</v>
      </c>
      <c r="D299" s="1" t="s">
        <v>128</v>
      </c>
      <c r="E299" s="1" t="s">
        <v>25</v>
      </c>
      <c r="F299" s="1" t="s">
        <v>26</v>
      </c>
      <c r="G299" s="1" t="s">
        <v>21</v>
      </c>
      <c r="H299" s="6">
        <v>1</v>
      </c>
      <c r="I299" s="7">
        <v>-1200</v>
      </c>
      <c r="J299" s="5">
        <v>45936</v>
      </c>
      <c r="K299" s="1" t="s">
        <v>30</v>
      </c>
      <c r="L299" s="8">
        <v>0.26</v>
      </c>
      <c r="M299" s="6"/>
      <c r="N299" s="6"/>
      <c r="O299" s="9">
        <v>312</v>
      </c>
    </row>
    <row r="300" spans="1:15" ht="19.5" customHeight="1">
      <c r="A300" s="1" t="s">
        <v>48</v>
      </c>
      <c r="B300" s="5">
        <v>45940</v>
      </c>
      <c r="C300" s="1" t="s">
        <v>17</v>
      </c>
      <c r="D300" s="1" t="s">
        <v>18</v>
      </c>
      <c r="E300" s="1" t="s">
        <v>25</v>
      </c>
      <c r="F300" s="1" t="s">
        <v>26</v>
      </c>
      <c r="G300" s="1" t="s">
        <v>21</v>
      </c>
      <c r="H300" s="6">
        <v>1</v>
      </c>
      <c r="I300" s="7">
        <v>0</v>
      </c>
      <c r="J300" s="5">
        <v>45936</v>
      </c>
      <c r="K300" s="1" t="s">
        <v>22</v>
      </c>
      <c r="L300" s="8">
        <v>0</v>
      </c>
      <c r="M300" s="6"/>
      <c r="N300" s="6"/>
      <c r="O300" s="9">
        <v>3.25</v>
      </c>
    </row>
    <row r="301" spans="1:15" ht="19.5" customHeight="1">
      <c r="A301" s="1" t="s">
        <v>146</v>
      </c>
      <c r="B301" s="5">
        <v>45940</v>
      </c>
      <c r="C301" s="1" t="s">
        <v>28</v>
      </c>
      <c r="D301" s="1" t="s">
        <v>29</v>
      </c>
      <c r="E301" s="1" t="s">
        <v>66</v>
      </c>
      <c r="F301" s="1" t="s">
        <v>67</v>
      </c>
      <c r="G301" s="1" t="s">
        <v>41</v>
      </c>
      <c r="H301" s="6">
        <v>1</v>
      </c>
      <c r="I301" s="7">
        <v>0</v>
      </c>
      <c r="J301" s="5">
        <v>45925</v>
      </c>
      <c r="K301" s="1" t="s">
        <v>30</v>
      </c>
      <c r="L301" s="8">
        <v>0</v>
      </c>
      <c r="M301" s="6"/>
      <c r="N301" s="6"/>
      <c r="O301" s="9">
        <v>-56</v>
      </c>
    </row>
    <row r="302" spans="1:15" ht="19.5" customHeight="1">
      <c r="A302" s="1" t="s">
        <v>146</v>
      </c>
      <c r="B302" s="5">
        <v>45940</v>
      </c>
      <c r="C302" s="1" t="s">
        <v>17</v>
      </c>
      <c r="D302" s="1" t="s">
        <v>37</v>
      </c>
      <c r="E302" s="1" t="s">
        <v>66</v>
      </c>
      <c r="F302" s="1" t="s">
        <v>67</v>
      </c>
      <c r="G302" s="1" t="s">
        <v>41</v>
      </c>
      <c r="H302" s="6">
        <v>1</v>
      </c>
      <c r="I302" s="7">
        <v>0</v>
      </c>
      <c r="J302" s="5">
        <v>45925</v>
      </c>
      <c r="K302" s="1" t="s">
        <v>30</v>
      </c>
      <c r="L302" s="8">
        <v>0</v>
      </c>
      <c r="M302" s="6"/>
      <c r="N302" s="6"/>
      <c r="O302" s="9">
        <v>-8.5299999999999994</v>
      </c>
    </row>
    <row r="303" spans="1:15" ht="19.5" customHeight="1">
      <c r="A303" s="1" t="s">
        <v>146</v>
      </c>
      <c r="B303" s="5">
        <v>45940</v>
      </c>
      <c r="C303" s="1" t="s">
        <v>28</v>
      </c>
      <c r="D303" s="1" t="s">
        <v>45</v>
      </c>
      <c r="E303" s="1" t="s">
        <v>66</v>
      </c>
      <c r="F303" s="1" t="s">
        <v>67</v>
      </c>
      <c r="G303" s="1" t="s">
        <v>41</v>
      </c>
      <c r="H303" s="6">
        <v>1</v>
      </c>
      <c r="I303" s="7">
        <v>0</v>
      </c>
      <c r="J303" s="5">
        <v>45925</v>
      </c>
      <c r="K303" s="1" t="s">
        <v>30</v>
      </c>
      <c r="L303" s="8">
        <v>0</v>
      </c>
      <c r="M303" s="6"/>
      <c r="N303" s="6"/>
      <c r="O303" s="9">
        <v>0</v>
      </c>
    </row>
    <row r="304" spans="1:15" ht="19.5" customHeight="1">
      <c r="A304" s="1" t="s">
        <v>146</v>
      </c>
      <c r="B304" s="5">
        <v>45940</v>
      </c>
      <c r="C304" s="1" t="s">
        <v>28</v>
      </c>
      <c r="D304" s="1" t="s">
        <v>46</v>
      </c>
      <c r="E304" s="1" t="s">
        <v>66</v>
      </c>
      <c r="F304" s="1" t="s">
        <v>67</v>
      </c>
      <c r="G304" s="1" t="s">
        <v>41</v>
      </c>
      <c r="H304" s="6">
        <v>1</v>
      </c>
      <c r="I304" s="7">
        <v>0</v>
      </c>
      <c r="J304" s="5">
        <v>45925</v>
      </c>
      <c r="K304" s="1" t="s">
        <v>30</v>
      </c>
      <c r="L304" s="8">
        <v>0</v>
      </c>
      <c r="M304" s="6"/>
      <c r="N304" s="6"/>
      <c r="O304" s="9">
        <v>-56</v>
      </c>
    </row>
    <row r="305" spans="1:15" ht="19.5" customHeight="1">
      <c r="A305" s="1" t="s">
        <v>146</v>
      </c>
      <c r="B305" s="5">
        <v>45940</v>
      </c>
      <c r="C305" s="1" t="s">
        <v>17</v>
      </c>
      <c r="D305" s="1" t="s">
        <v>47</v>
      </c>
      <c r="E305" s="1" t="s">
        <v>66</v>
      </c>
      <c r="F305" s="1" t="s">
        <v>67</v>
      </c>
      <c r="G305" s="1" t="s">
        <v>41</v>
      </c>
      <c r="H305" s="6">
        <v>1</v>
      </c>
      <c r="I305" s="7">
        <v>0</v>
      </c>
      <c r="J305" s="5">
        <v>45925</v>
      </c>
      <c r="K305" s="1" t="s">
        <v>30</v>
      </c>
      <c r="L305" s="8">
        <v>0</v>
      </c>
      <c r="M305" s="6"/>
      <c r="N305" s="6"/>
      <c r="O305" s="9">
        <v>-15</v>
      </c>
    </row>
    <row r="306" spans="1:15" ht="19.5" customHeight="1">
      <c r="A306" s="1" t="s">
        <v>147</v>
      </c>
      <c r="B306" s="5">
        <v>45940</v>
      </c>
      <c r="C306" s="1" t="s">
        <v>28</v>
      </c>
      <c r="D306" s="1" t="s">
        <v>29</v>
      </c>
      <c r="E306" s="1" t="s">
        <v>25</v>
      </c>
      <c r="F306" s="1" t="s">
        <v>26</v>
      </c>
      <c r="G306" s="1" t="s">
        <v>21</v>
      </c>
      <c r="H306" s="6">
        <v>1</v>
      </c>
      <c r="I306" s="7">
        <v>1200</v>
      </c>
      <c r="J306" s="5">
        <v>45936</v>
      </c>
      <c r="K306" s="1" t="s">
        <v>30</v>
      </c>
      <c r="L306" s="8">
        <v>0.26</v>
      </c>
      <c r="M306" s="6"/>
      <c r="N306" s="6"/>
      <c r="O306" s="9">
        <v>-46</v>
      </c>
    </row>
    <row r="307" spans="1:15" ht="19.5" customHeight="1">
      <c r="A307" s="1" t="s">
        <v>147</v>
      </c>
      <c r="B307" s="5">
        <v>45940</v>
      </c>
      <c r="C307" s="1" t="s">
        <v>31</v>
      </c>
      <c r="D307" s="1" t="s">
        <v>32</v>
      </c>
      <c r="E307" s="1" t="s">
        <v>25</v>
      </c>
      <c r="F307" s="1" t="s">
        <v>26</v>
      </c>
      <c r="G307" s="1" t="s">
        <v>21</v>
      </c>
      <c r="H307" s="6">
        <v>1</v>
      </c>
      <c r="I307" s="7">
        <v>1200</v>
      </c>
      <c r="J307" s="5">
        <v>45936</v>
      </c>
      <c r="K307" s="1" t="s">
        <v>30</v>
      </c>
      <c r="L307" s="8">
        <v>0</v>
      </c>
      <c r="M307" s="6"/>
      <c r="N307" s="6"/>
      <c r="O307" s="9">
        <v>679.05</v>
      </c>
    </row>
    <row r="308" spans="1:15" ht="19.5" customHeight="1">
      <c r="A308" s="1" t="s">
        <v>147</v>
      </c>
      <c r="B308" s="5">
        <v>45940</v>
      </c>
      <c r="C308" s="1" t="s">
        <v>31</v>
      </c>
      <c r="D308" s="1" t="s">
        <v>33</v>
      </c>
      <c r="E308" s="1" t="s">
        <v>25</v>
      </c>
      <c r="F308" s="1" t="s">
        <v>26</v>
      </c>
      <c r="G308" s="1" t="s">
        <v>21</v>
      </c>
      <c r="H308" s="6">
        <v>1</v>
      </c>
      <c r="I308" s="7">
        <v>1200</v>
      </c>
      <c r="J308" s="5">
        <v>45936</v>
      </c>
      <c r="K308" s="1" t="s">
        <v>30</v>
      </c>
      <c r="L308" s="8">
        <v>0</v>
      </c>
      <c r="M308" s="6"/>
      <c r="N308" s="6"/>
      <c r="O308" s="9">
        <v>6.79</v>
      </c>
    </row>
    <row r="309" spans="1:15" ht="19.5" customHeight="1">
      <c r="A309" s="1" t="s">
        <v>147</v>
      </c>
      <c r="B309" s="5">
        <v>45940</v>
      </c>
      <c r="C309" s="1" t="s">
        <v>31</v>
      </c>
      <c r="D309" s="1" t="s">
        <v>34</v>
      </c>
      <c r="E309" s="1" t="s">
        <v>25</v>
      </c>
      <c r="F309" s="1" t="s">
        <v>26</v>
      </c>
      <c r="G309" s="1" t="s">
        <v>21</v>
      </c>
      <c r="H309" s="6">
        <v>1</v>
      </c>
      <c r="I309" s="7">
        <v>1200</v>
      </c>
      <c r="J309" s="5">
        <v>45936</v>
      </c>
      <c r="K309" s="1" t="s">
        <v>30</v>
      </c>
      <c r="L309" s="8">
        <v>0</v>
      </c>
      <c r="M309" s="6"/>
      <c r="N309" s="6"/>
      <c r="O309" s="9">
        <v>514.16</v>
      </c>
    </row>
    <row r="310" spans="1:15" ht="19.5" customHeight="1">
      <c r="A310" s="1" t="s">
        <v>147</v>
      </c>
      <c r="B310" s="5">
        <v>45940</v>
      </c>
      <c r="C310" s="1" t="s">
        <v>35</v>
      </c>
      <c r="D310" s="1" t="s">
        <v>36</v>
      </c>
      <c r="E310" s="1" t="s">
        <v>25</v>
      </c>
      <c r="F310" s="1" t="s">
        <v>26</v>
      </c>
      <c r="G310" s="1" t="s">
        <v>21</v>
      </c>
      <c r="H310" s="6">
        <v>1</v>
      </c>
      <c r="I310" s="7">
        <v>1200</v>
      </c>
      <c r="J310" s="5">
        <v>45936</v>
      </c>
      <c r="K310" s="1" t="s">
        <v>30</v>
      </c>
      <c r="L310" s="8">
        <v>0.26</v>
      </c>
      <c r="M310" s="6"/>
      <c r="N310" s="6"/>
      <c r="O310" s="9">
        <v>-312</v>
      </c>
    </row>
    <row r="311" spans="1:15" ht="19.5" customHeight="1">
      <c r="A311" s="1" t="s">
        <v>73</v>
      </c>
      <c r="B311" s="5">
        <v>45940</v>
      </c>
      <c r="C311" s="1" t="s">
        <v>28</v>
      </c>
      <c r="D311" s="1" t="s">
        <v>29</v>
      </c>
      <c r="E311" s="1" t="s">
        <v>51</v>
      </c>
      <c r="F311" s="1" t="s">
        <v>52</v>
      </c>
      <c r="G311" s="1" t="s">
        <v>41</v>
      </c>
      <c r="H311" s="6">
        <v>1</v>
      </c>
      <c r="I311" s="7">
        <v>0</v>
      </c>
      <c r="J311" s="5">
        <v>45930</v>
      </c>
      <c r="K311" s="1" t="s">
        <v>30</v>
      </c>
      <c r="L311" s="8">
        <v>0</v>
      </c>
      <c r="M311" s="6"/>
      <c r="N311" s="6"/>
      <c r="O311" s="9">
        <v>-56</v>
      </c>
    </row>
    <row r="312" spans="1:15" ht="19.5" customHeight="1">
      <c r="A312" s="1" t="s">
        <v>73</v>
      </c>
      <c r="B312" s="5">
        <v>45940</v>
      </c>
      <c r="C312" s="1" t="s">
        <v>17</v>
      </c>
      <c r="D312" s="1" t="s">
        <v>37</v>
      </c>
      <c r="E312" s="1" t="s">
        <v>51</v>
      </c>
      <c r="F312" s="1" t="s">
        <v>52</v>
      </c>
      <c r="G312" s="1" t="s">
        <v>41</v>
      </c>
      <c r="H312" s="6">
        <v>1</v>
      </c>
      <c r="I312" s="7">
        <v>0</v>
      </c>
      <c r="J312" s="5">
        <v>45930</v>
      </c>
      <c r="K312" s="1" t="s">
        <v>30</v>
      </c>
      <c r="L312" s="8">
        <v>0</v>
      </c>
      <c r="M312" s="6"/>
      <c r="N312" s="6"/>
      <c r="O312" s="9">
        <v>-11.44</v>
      </c>
    </row>
    <row r="313" spans="1:15" ht="19.5" customHeight="1">
      <c r="A313" s="1" t="s">
        <v>73</v>
      </c>
      <c r="B313" s="5">
        <v>45940</v>
      </c>
      <c r="C313" s="1" t="s">
        <v>28</v>
      </c>
      <c r="D313" s="1" t="s">
        <v>45</v>
      </c>
      <c r="E313" s="1" t="s">
        <v>51</v>
      </c>
      <c r="F313" s="1" t="s">
        <v>52</v>
      </c>
      <c r="G313" s="1" t="s">
        <v>41</v>
      </c>
      <c r="H313" s="6">
        <v>1</v>
      </c>
      <c r="I313" s="7">
        <v>0</v>
      </c>
      <c r="J313" s="5">
        <v>45930</v>
      </c>
      <c r="K313" s="1" t="s">
        <v>30</v>
      </c>
      <c r="L313" s="8">
        <v>0</v>
      </c>
      <c r="M313" s="6"/>
      <c r="N313" s="6"/>
      <c r="O313" s="9">
        <v>0</v>
      </c>
    </row>
    <row r="314" spans="1:15" ht="19.5" customHeight="1">
      <c r="A314" s="1" t="s">
        <v>73</v>
      </c>
      <c r="B314" s="5">
        <v>45940</v>
      </c>
      <c r="C314" s="1" t="s">
        <v>28</v>
      </c>
      <c r="D314" s="1" t="s">
        <v>46</v>
      </c>
      <c r="E314" s="1" t="s">
        <v>51</v>
      </c>
      <c r="F314" s="1" t="s">
        <v>52</v>
      </c>
      <c r="G314" s="1" t="s">
        <v>41</v>
      </c>
      <c r="H314" s="6">
        <v>1</v>
      </c>
      <c r="I314" s="7">
        <v>0</v>
      </c>
      <c r="J314" s="5">
        <v>45930</v>
      </c>
      <c r="K314" s="1" t="s">
        <v>30</v>
      </c>
      <c r="L314" s="8">
        <v>0</v>
      </c>
      <c r="M314" s="6"/>
      <c r="N314" s="6"/>
      <c r="O314" s="9">
        <v>-56</v>
      </c>
    </row>
    <row r="315" spans="1:15" ht="19.5" customHeight="1">
      <c r="A315" s="1" t="s">
        <v>73</v>
      </c>
      <c r="B315" s="5">
        <v>45940</v>
      </c>
      <c r="C315" s="1" t="s">
        <v>17</v>
      </c>
      <c r="D315" s="1" t="s">
        <v>47</v>
      </c>
      <c r="E315" s="1" t="s">
        <v>51</v>
      </c>
      <c r="F315" s="1" t="s">
        <v>52</v>
      </c>
      <c r="G315" s="1" t="s">
        <v>41</v>
      </c>
      <c r="H315" s="6">
        <v>1</v>
      </c>
      <c r="I315" s="7">
        <v>0</v>
      </c>
      <c r="J315" s="5">
        <v>45930</v>
      </c>
      <c r="K315" s="1" t="s">
        <v>30</v>
      </c>
      <c r="L315" s="8">
        <v>0</v>
      </c>
      <c r="M315" s="6"/>
      <c r="N315" s="6"/>
      <c r="O315" s="9">
        <v>-15</v>
      </c>
    </row>
    <row r="316" spans="1:15" ht="19.5" customHeight="1">
      <c r="A316" s="1" t="s">
        <v>148</v>
      </c>
      <c r="B316" s="5">
        <v>45940</v>
      </c>
      <c r="C316" s="1" t="s">
        <v>28</v>
      </c>
      <c r="D316" s="1" t="s">
        <v>29</v>
      </c>
      <c r="E316" s="1" t="s">
        <v>25</v>
      </c>
      <c r="F316" s="1" t="s">
        <v>26</v>
      </c>
      <c r="G316" s="1" t="s">
        <v>21</v>
      </c>
      <c r="H316" s="6">
        <v>1</v>
      </c>
      <c r="I316" s="7">
        <v>1200</v>
      </c>
      <c r="J316" s="5">
        <v>45937</v>
      </c>
      <c r="K316" s="1" t="s">
        <v>30</v>
      </c>
      <c r="L316" s="8">
        <v>0.26</v>
      </c>
      <c r="M316" s="6"/>
      <c r="N316" s="6"/>
      <c r="O316" s="9">
        <v>-46</v>
      </c>
    </row>
    <row r="317" spans="1:15" ht="19.5" customHeight="1">
      <c r="A317" s="1" t="s">
        <v>148</v>
      </c>
      <c r="B317" s="5">
        <v>45940</v>
      </c>
      <c r="C317" s="1" t="s">
        <v>31</v>
      </c>
      <c r="D317" s="1" t="s">
        <v>32</v>
      </c>
      <c r="E317" s="1" t="s">
        <v>25</v>
      </c>
      <c r="F317" s="1" t="s">
        <v>26</v>
      </c>
      <c r="G317" s="1" t="s">
        <v>21</v>
      </c>
      <c r="H317" s="6">
        <v>1</v>
      </c>
      <c r="I317" s="7">
        <v>1200</v>
      </c>
      <c r="J317" s="5">
        <v>45937</v>
      </c>
      <c r="K317" s="1" t="s">
        <v>30</v>
      </c>
      <c r="L317" s="8">
        <v>0</v>
      </c>
      <c r="M317" s="6"/>
      <c r="N317" s="6"/>
      <c r="O317" s="9">
        <v>679.66</v>
      </c>
    </row>
    <row r="318" spans="1:15" ht="19.5" customHeight="1">
      <c r="A318" s="1" t="s">
        <v>148</v>
      </c>
      <c r="B318" s="5">
        <v>45940</v>
      </c>
      <c r="C318" s="1" t="s">
        <v>31</v>
      </c>
      <c r="D318" s="1" t="s">
        <v>33</v>
      </c>
      <c r="E318" s="1" t="s">
        <v>25</v>
      </c>
      <c r="F318" s="1" t="s">
        <v>26</v>
      </c>
      <c r="G318" s="1" t="s">
        <v>21</v>
      </c>
      <c r="H318" s="6">
        <v>1</v>
      </c>
      <c r="I318" s="7">
        <v>1200</v>
      </c>
      <c r="J318" s="5">
        <v>45937</v>
      </c>
      <c r="K318" s="1" t="s">
        <v>30</v>
      </c>
      <c r="L318" s="8">
        <v>0</v>
      </c>
      <c r="M318" s="6"/>
      <c r="N318" s="6"/>
      <c r="O318" s="9">
        <v>6.8</v>
      </c>
    </row>
    <row r="319" spans="1:15" ht="19.5" customHeight="1">
      <c r="A319" s="1" t="s">
        <v>148</v>
      </c>
      <c r="B319" s="5">
        <v>45940</v>
      </c>
      <c r="C319" s="1" t="s">
        <v>31</v>
      </c>
      <c r="D319" s="1" t="s">
        <v>34</v>
      </c>
      <c r="E319" s="1" t="s">
        <v>25</v>
      </c>
      <c r="F319" s="1" t="s">
        <v>26</v>
      </c>
      <c r="G319" s="1" t="s">
        <v>21</v>
      </c>
      <c r="H319" s="6">
        <v>1</v>
      </c>
      <c r="I319" s="7">
        <v>1200</v>
      </c>
      <c r="J319" s="5">
        <v>45937</v>
      </c>
      <c r="K319" s="1" t="s">
        <v>30</v>
      </c>
      <c r="L319" s="8">
        <v>0</v>
      </c>
      <c r="M319" s="6"/>
      <c r="N319" s="6"/>
      <c r="O319" s="9">
        <v>513.54</v>
      </c>
    </row>
    <row r="320" spans="1:15" ht="19.5" customHeight="1">
      <c r="A320" s="1" t="s">
        <v>148</v>
      </c>
      <c r="B320" s="5">
        <v>45940</v>
      </c>
      <c r="C320" s="1" t="s">
        <v>35</v>
      </c>
      <c r="D320" s="1" t="s">
        <v>36</v>
      </c>
      <c r="E320" s="1" t="s">
        <v>25</v>
      </c>
      <c r="F320" s="1" t="s">
        <v>26</v>
      </c>
      <c r="G320" s="1" t="s">
        <v>21</v>
      </c>
      <c r="H320" s="6">
        <v>1</v>
      </c>
      <c r="I320" s="7">
        <v>1200</v>
      </c>
      <c r="J320" s="5">
        <v>45937</v>
      </c>
      <c r="K320" s="1" t="s">
        <v>30</v>
      </c>
      <c r="L320" s="8">
        <v>0.26</v>
      </c>
      <c r="M320" s="6"/>
      <c r="N320" s="6"/>
      <c r="O320" s="9">
        <v>-312</v>
      </c>
    </row>
    <row r="321" spans="1:15" ht="19.5" customHeight="1">
      <c r="A321" s="1" t="s">
        <v>148</v>
      </c>
      <c r="B321" s="5">
        <v>45940</v>
      </c>
      <c r="C321" s="1" t="s">
        <v>17</v>
      </c>
      <c r="D321" s="1" t="s">
        <v>37</v>
      </c>
      <c r="E321" s="1" t="s">
        <v>25</v>
      </c>
      <c r="F321" s="1" t="s">
        <v>26</v>
      </c>
      <c r="G321" s="1" t="s">
        <v>21</v>
      </c>
      <c r="H321" s="6">
        <v>1</v>
      </c>
      <c r="I321" s="7">
        <v>1200</v>
      </c>
      <c r="J321" s="5">
        <v>45937</v>
      </c>
      <c r="K321" s="1" t="s">
        <v>30</v>
      </c>
      <c r="L321" s="8">
        <v>0.26</v>
      </c>
      <c r="M321" s="6"/>
      <c r="N321" s="6"/>
      <c r="O321" s="9">
        <v>-12.59</v>
      </c>
    </row>
    <row r="322" spans="1:15" ht="19.5" customHeight="1">
      <c r="A322" s="1" t="s">
        <v>148</v>
      </c>
      <c r="B322" s="5">
        <v>45940</v>
      </c>
      <c r="C322" s="1" t="s">
        <v>17</v>
      </c>
      <c r="D322" s="1" t="s">
        <v>18</v>
      </c>
      <c r="E322" s="1" t="s">
        <v>25</v>
      </c>
      <c r="F322" s="1" t="s">
        <v>26</v>
      </c>
      <c r="G322" s="1" t="s">
        <v>21</v>
      </c>
      <c r="H322" s="6">
        <v>1</v>
      </c>
      <c r="I322" s="7">
        <v>0</v>
      </c>
      <c r="J322" s="5">
        <v>45937</v>
      </c>
      <c r="K322" s="1" t="s">
        <v>22</v>
      </c>
      <c r="L322" s="8">
        <v>0</v>
      </c>
      <c r="M322" s="6"/>
      <c r="N322" s="6"/>
      <c r="O322" s="9">
        <v>-12.91</v>
      </c>
    </row>
    <row r="323" spans="1:15" ht="19.5" customHeight="1">
      <c r="A323" s="1" t="s">
        <v>149</v>
      </c>
      <c r="B323" s="5">
        <v>45940</v>
      </c>
      <c r="C323" s="1" t="s">
        <v>28</v>
      </c>
      <c r="D323" s="1" t="s">
        <v>29</v>
      </c>
      <c r="E323" s="1" t="s">
        <v>66</v>
      </c>
      <c r="F323" s="1" t="s">
        <v>67</v>
      </c>
      <c r="G323" s="1" t="s">
        <v>41</v>
      </c>
      <c r="H323" s="6">
        <v>1</v>
      </c>
      <c r="I323" s="7">
        <v>5000</v>
      </c>
      <c r="J323" s="5">
        <v>45935</v>
      </c>
      <c r="K323" s="1" t="s">
        <v>30</v>
      </c>
      <c r="L323" s="8">
        <v>0.24</v>
      </c>
      <c r="M323" s="6"/>
      <c r="N323" s="6"/>
      <c r="O323" s="9">
        <v>-56</v>
      </c>
    </row>
    <row r="324" spans="1:15" ht="19.5" customHeight="1">
      <c r="A324" s="1" t="s">
        <v>149</v>
      </c>
      <c r="B324" s="5">
        <v>45940</v>
      </c>
      <c r="C324" s="1" t="s">
        <v>31</v>
      </c>
      <c r="D324" s="1" t="s">
        <v>32</v>
      </c>
      <c r="E324" s="1" t="s">
        <v>66</v>
      </c>
      <c r="F324" s="1" t="s">
        <v>67</v>
      </c>
      <c r="G324" s="1" t="s">
        <v>41</v>
      </c>
      <c r="H324" s="6">
        <v>1</v>
      </c>
      <c r="I324" s="7">
        <v>5000</v>
      </c>
      <c r="J324" s="5">
        <v>45935</v>
      </c>
      <c r="K324" s="1" t="s">
        <v>30</v>
      </c>
      <c r="L324" s="8">
        <v>0</v>
      </c>
      <c r="M324" s="6"/>
      <c r="N324" s="6"/>
      <c r="O324" s="9">
        <v>3006</v>
      </c>
    </row>
    <row r="325" spans="1:15" ht="19.5" customHeight="1">
      <c r="A325" s="1" t="s">
        <v>149</v>
      </c>
      <c r="B325" s="5">
        <v>45940</v>
      </c>
      <c r="C325" s="1" t="s">
        <v>31</v>
      </c>
      <c r="D325" s="1" t="s">
        <v>33</v>
      </c>
      <c r="E325" s="1" t="s">
        <v>66</v>
      </c>
      <c r="F325" s="1" t="s">
        <v>67</v>
      </c>
      <c r="G325" s="1" t="s">
        <v>41</v>
      </c>
      <c r="H325" s="6">
        <v>1</v>
      </c>
      <c r="I325" s="7">
        <v>5000</v>
      </c>
      <c r="J325" s="5">
        <v>45935</v>
      </c>
      <c r="K325" s="1" t="s">
        <v>30</v>
      </c>
      <c r="L325" s="8">
        <v>0</v>
      </c>
      <c r="M325" s="6"/>
      <c r="N325" s="6"/>
      <c r="O325" s="9">
        <v>0</v>
      </c>
    </row>
    <row r="326" spans="1:15" ht="19.5" customHeight="1">
      <c r="A326" s="1" t="s">
        <v>149</v>
      </c>
      <c r="B326" s="5">
        <v>45940</v>
      </c>
      <c r="C326" s="1" t="s">
        <v>31</v>
      </c>
      <c r="D326" s="1" t="s">
        <v>34</v>
      </c>
      <c r="E326" s="1" t="s">
        <v>66</v>
      </c>
      <c r="F326" s="1" t="s">
        <v>67</v>
      </c>
      <c r="G326" s="1" t="s">
        <v>41</v>
      </c>
      <c r="H326" s="6">
        <v>1</v>
      </c>
      <c r="I326" s="7">
        <v>5000</v>
      </c>
      <c r="J326" s="5">
        <v>45935</v>
      </c>
      <c r="K326" s="1" t="s">
        <v>30</v>
      </c>
      <c r="L326" s="8">
        <v>0</v>
      </c>
      <c r="M326" s="6"/>
      <c r="N326" s="6"/>
      <c r="O326" s="9">
        <v>1994</v>
      </c>
    </row>
    <row r="327" spans="1:15" ht="19.5" customHeight="1">
      <c r="A327" s="1" t="s">
        <v>149</v>
      </c>
      <c r="B327" s="5">
        <v>45940</v>
      </c>
      <c r="C327" s="1" t="s">
        <v>35</v>
      </c>
      <c r="D327" s="1" t="s">
        <v>36</v>
      </c>
      <c r="E327" s="1" t="s">
        <v>66</v>
      </c>
      <c r="F327" s="1" t="s">
        <v>67</v>
      </c>
      <c r="G327" s="1" t="s">
        <v>41</v>
      </c>
      <c r="H327" s="6">
        <v>1</v>
      </c>
      <c r="I327" s="7">
        <v>5000</v>
      </c>
      <c r="J327" s="5">
        <v>45935</v>
      </c>
      <c r="K327" s="1" t="s">
        <v>30</v>
      </c>
      <c r="L327" s="8">
        <v>0.24</v>
      </c>
      <c r="M327" s="6"/>
      <c r="N327" s="6"/>
      <c r="O327" s="9">
        <v>-1200</v>
      </c>
    </row>
    <row r="328" spans="1:15" ht="19.5" customHeight="1">
      <c r="A328" s="1" t="s">
        <v>149</v>
      </c>
      <c r="B328" s="5">
        <v>45940</v>
      </c>
      <c r="C328" s="1" t="s">
        <v>17</v>
      </c>
      <c r="D328" s="1" t="s">
        <v>37</v>
      </c>
      <c r="E328" s="1" t="s">
        <v>66</v>
      </c>
      <c r="F328" s="1" t="s">
        <v>67</v>
      </c>
      <c r="G328" s="1" t="s">
        <v>41</v>
      </c>
      <c r="H328" s="6">
        <v>1</v>
      </c>
      <c r="I328" s="7">
        <v>5000</v>
      </c>
      <c r="J328" s="5">
        <v>45935</v>
      </c>
      <c r="K328" s="1" t="s">
        <v>30</v>
      </c>
      <c r="L328" s="8">
        <v>0.24</v>
      </c>
      <c r="M328" s="6"/>
      <c r="N328" s="6"/>
      <c r="O328" s="9">
        <v>-12.24</v>
      </c>
    </row>
    <row r="329" spans="1:15" ht="19.5" customHeight="1">
      <c r="A329" s="1" t="s">
        <v>149</v>
      </c>
      <c r="B329" s="5">
        <v>45940</v>
      </c>
      <c r="C329" s="1" t="s">
        <v>17</v>
      </c>
      <c r="D329" s="1" t="s">
        <v>18</v>
      </c>
      <c r="E329" s="1" t="s">
        <v>66</v>
      </c>
      <c r="F329" s="1" t="s">
        <v>67</v>
      </c>
      <c r="G329" s="1" t="s">
        <v>41</v>
      </c>
      <c r="H329" s="6">
        <v>1</v>
      </c>
      <c r="I329" s="7">
        <v>0</v>
      </c>
      <c r="J329" s="5">
        <v>45935</v>
      </c>
      <c r="K329" s="1" t="s">
        <v>22</v>
      </c>
      <c r="L329" s="8">
        <v>0</v>
      </c>
      <c r="M329" s="6"/>
      <c r="N329" s="6"/>
      <c r="O329" s="9">
        <v>-16.53</v>
      </c>
    </row>
    <row r="330" spans="1:15" ht="19.5" customHeight="1">
      <c r="A330" s="1" t="s">
        <v>22</v>
      </c>
      <c r="B330" s="5">
        <v>45940</v>
      </c>
      <c r="C330" s="1" t="s">
        <v>77</v>
      </c>
      <c r="D330" s="1" t="s">
        <v>80</v>
      </c>
      <c r="E330" s="1" t="s">
        <v>22</v>
      </c>
      <c r="F330" s="1" t="s">
        <v>22</v>
      </c>
      <c r="G330" s="1" t="s">
        <v>22</v>
      </c>
      <c r="H330" s="6">
        <v>0</v>
      </c>
      <c r="I330" s="7">
        <v>0</v>
      </c>
      <c r="J330" s="5">
        <v>45940</v>
      </c>
      <c r="K330" s="1" t="s">
        <v>22</v>
      </c>
      <c r="L330" s="8">
        <v>0</v>
      </c>
      <c r="M330" s="6"/>
      <c r="N330" s="6"/>
      <c r="O330" s="9">
        <v>-216</v>
      </c>
    </row>
    <row r="331" spans="1:15" ht="19.5" customHeight="1">
      <c r="A331" s="1" t="s">
        <v>81</v>
      </c>
      <c r="B331" s="5">
        <v>45940</v>
      </c>
      <c r="C331" s="1" t="s">
        <v>77</v>
      </c>
      <c r="D331" s="1" t="s">
        <v>82</v>
      </c>
      <c r="E331" s="1" t="s">
        <v>22</v>
      </c>
      <c r="F331" s="1" t="s">
        <v>22</v>
      </c>
      <c r="G331" s="1" t="s">
        <v>22</v>
      </c>
      <c r="H331" s="6">
        <v>0</v>
      </c>
      <c r="I331" s="7">
        <v>0</v>
      </c>
      <c r="J331" s="5">
        <v>45940</v>
      </c>
      <c r="K331" s="1" t="s">
        <v>22</v>
      </c>
      <c r="L331" s="8">
        <v>0</v>
      </c>
      <c r="M331" s="6"/>
      <c r="N331" s="6"/>
      <c r="O331" s="9">
        <v>-1402.39</v>
      </c>
    </row>
    <row r="332" spans="1:15" ht="19.5" customHeight="1">
      <c r="A332" s="1" t="s">
        <v>83</v>
      </c>
      <c r="B332" s="5">
        <v>45940</v>
      </c>
      <c r="C332" s="1" t="s">
        <v>77</v>
      </c>
      <c r="D332" s="1" t="s">
        <v>84</v>
      </c>
      <c r="E332" s="1" t="s">
        <v>22</v>
      </c>
      <c r="F332" s="1" t="s">
        <v>22</v>
      </c>
      <c r="G332" s="1" t="s">
        <v>22</v>
      </c>
      <c r="H332" s="6">
        <v>0</v>
      </c>
      <c r="I332" s="7">
        <v>0</v>
      </c>
      <c r="J332" s="5">
        <v>45940</v>
      </c>
      <c r="K332" s="1" t="s">
        <v>22</v>
      </c>
      <c r="L332" s="8">
        <v>0</v>
      </c>
      <c r="M332" s="6"/>
      <c r="N332" s="6"/>
      <c r="O332" s="9">
        <v>-1447</v>
      </c>
    </row>
    <row r="333" spans="1:15" ht="19.5" customHeight="1">
      <c r="A333" s="1" t="s">
        <v>86</v>
      </c>
      <c r="B333" s="5">
        <v>45940</v>
      </c>
      <c r="C333" s="1" t="s">
        <v>77</v>
      </c>
      <c r="D333" s="1" t="s">
        <v>82</v>
      </c>
      <c r="E333" s="1" t="s">
        <v>22</v>
      </c>
      <c r="F333" s="1" t="s">
        <v>22</v>
      </c>
      <c r="G333" s="1" t="s">
        <v>22</v>
      </c>
      <c r="H333" s="6">
        <v>0</v>
      </c>
      <c r="I333" s="7">
        <v>0</v>
      </c>
      <c r="J333" s="5">
        <v>45940</v>
      </c>
      <c r="K333" s="1" t="s">
        <v>22</v>
      </c>
      <c r="L333" s="8">
        <v>0</v>
      </c>
      <c r="M333" s="6"/>
      <c r="N333" s="6"/>
      <c r="O333" s="9">
        <v>-2381.25</v>
      </c>
    </row>
    <row r="334" spans="1:15" ht="19.5" customHeight="1">
      <c r="A334" s="1" t="s">
        <v>145</v>
      </c>
      <c r="B334" s="5">
        <v>45940</v>
      </c>
      <c r="C334" s="1" t="s">
        <v>77</v>
      </c>
      <c r="D334" s="1" t="s">
        <v>82</v>
      </c>
      <c r="E334" s="1" t="s">
        <v>22</v>
      </c>
      <c r="F334" s="1" t="s">
        <v>22</v>
      </c>
      <c r="G334" s="1" t="s">
        <v>22</v>
      </c>
      <c r="H334" s="6">
        <v>0</v>
      </c>
      <c r="I334" s="7">
        <v>0</v>
      </c>
      <c r="J334" s="5">
        <v>45940</v>
      </c>
      <c r="K334" s="1" t="s">
        <v>22</v>
      </c>
      <c r="L334" s="8">
        <v>0</v>
      </c>
      <c r="M334" s="6"/>
      <c r="N334" s="6"/>
      <c r="O334" s="9">
        <v>-1026.56</v>
      </c>
    </row>
    <row r="335" spans="1:15" ht="19.5" customHeight="1">
      <c r="A335" s="1" t="s">
        <v>22</v>
      </c>
      <c r="B335" s="5">
        <v>45941</v>
      </c>
      <c r="C335" s="1" t="s">
        <v>77</v>
      </c>
      <c r="D335" s="1" t="s">
        <v>78</v>
      </c>
      <c r="E335" s="1" t="s">
        <v>22</v>
      </c>
      <c r="F335" s="1" t="s">
        <v>22</v>
      </c>
      <c r="G335" s="1" t="s">
        <v>150</v>
      </c>
      <c r="H335" s="6">
        <v>0</v>
      </c>
      <c r="I335" s="7">
        <v>0</v>
      </c>
      <c r="J335" s="5">
        <v>45941</v>
      </c>
      <c r="K335" s="1" t="s">
        <v>22</v>
      </c>
      <c r="L335" s="8">
        <v>0</v>
      </c>
      <c r="M335" s="6"/>
      <c r="N335" s="6"/>
      <c r="O335" s="9">
        <v>-200</v>
      </c>
    </row>
    <row r="336" spans="1:15" ht="19.5" customHeight="1">
      <c r="A336" s="1" t="s">
        <v>22</v>
      </c>
      <c r="B336" s="5">
        <v>45941</v>
      </c>
      <c r="C336" s="1" t="s">
        <v>77</v>
      </c>
      <c r="D336" s="1" t="s">
        <v>78</v>
      </c>
      <c r="E336" s="1" t="s">
        <v>22</v>
      </c>
      <c r="F336" s="1" t="s">
        <v>22</v>
      </c>
      <c r="G336" s="1" t="s">
        <v>151</v>
      </c>
      <c r="H336" s="6">
        <v>0</v>
      </c>
      <c r="I336" s="7">
        <v>0</v>
      </c>
      <c r="J336" s="5">
        <v>45941</v>
      </c>
      <c r="K336" s="1" t="s">
        <v>22</v>
      </c>
      <c r="L336" s="8">
        <v>0</v>
      </c>
      <c r="M336" s="6"/>
      <c r="N336" s="6"/>
      <c r="O336" s="9">
        <v>-200</v>
      </c>
    </row>
    <row r="337" spans="1:15" ht="19.5" customHeight="1">
      <c r="A337" s="1" t="s">
        <v>152</v>
      </c>
      <c r="B337" s="5">
        <v>45941</v>
      </c>
      <c r="C337" s="1" t="s">
        <v>28</v>
      </c>
      <c r="D337" s="1" t="s">
        <v>29</v>
      </c>
      <c r="E337" s="1" t="s">
        <v>70</v>
      </c>
      <c r="F337" s="1" t="s">
        <v>71</v>
      </c>
      <c r="G337" s="1" t="s">
        <v>41</v>
      </c>
      <c r="H337" s="6">
        <v>1</v>
      </c>
      <c r="I337" s="7">
        <v>0</v>
      </c>
      <c r="J337" s="5">
        <v>45932</v>
      </c>
      <c r="K337" s="1" t="s">
        <v>30</v>
      </c>
      <c r="L337" s="8">
        <v>0</v>
      </c>
      <c r="M337" s="6"/>
      <c r="N337" s="6"/>
      <c r="O337" s="9">
        <v>-56</v>
      </c>
    </row>
    <row r="338" spans="1:15" ht="19.5" customHeight="1">
      <c r="A338" s="1" t="s">
        <v>152</v>
      </c>
      <c r="B338" s="5">
        <v>45941</v>
      </c>
      <c r="C338" s="1" t="s">
        <v>17</v>
      </c>
      <c r="D338" s="1" t="s">
        <v>37</v>
      </c>
      <c r="E338" s="1" t="s">
        <v>70</v>
      </c>
      <c r="F338" s="1" t="s">
        <v>71</v>
      </c>
      <c r="G338" s="1" t="s">
        <v>41</v>
      </c>
      <c r="H338" s="6">
        <v>1</v>
      </c>
      <c r="I338" s="7">
        <v>0</v>
      </c>
      <c r="J338" s="5">
        <v>45932</v>
      </c>
      <c r="K338" s="1" t="s">
        <v>30</v>
      </c>
      <c r="L338" s="8">
        <v>0</v>
      </c>
      <c r="M338" s="6"/>
      <c r="N338" s="6"/>
      <c r="O338" s="9">
        <v>-13.89</v>
      </c>
    </row>
    <row r="339" spans="1:15" ht="19.5" customHeight="1">
      <c r="A339" s="1" t="s">
        <v>152</v>
      </c>
      <c r="B339" s="5">
        <v>45941</v>
      </c>
      <c r="C339" s="1" t="s">
        <v>28</v>
      </c>
      <c r="D339" s="1" t="s">
        <v>45</v>
      </c>
      <c r="E339" s="1" t="s">
        <v>70</v>
      </c>
      <c r="F339" s="1" t="s">
        <v>71</v>
      </c>
      <c r="G339" s="1" t="s">
        <v>41</v>
      </c>
      <c r="H339" s="6">
        <v>1</v>
      </c>
      <c r="I339" s="7">
        <v>0</v>
      </c>
      <c r="J339" s="5">
        <v>45932</v>
      </c>
      <c r="K339" s="1" t="s">
        <v>30</v>
      </c>
      <c r="L339" s="8">
        <v>0</v>
      </c>
      <c r="M339" s="6"/>
      <c r="N339" s="6"/>
      <c r="O339" s="9">
        <v>0</v>
      </c>
    </row>
    <row r="340" spans="1:15" ht="19.5" customHeight="1">
      <c r="A340" s="1" t="s">
        <v>152</v>
      </c>
      <c r="B340" s="5">
        <v>45941</v>
      </c>
      <c r="C340" s="1" t="s">
        <v>28</v>
      </c>
      <c r="D340" s="1" t="s">
        <v>46</v>
      </c>
      <c r="E340" s="1" t="s">
        <v>70</v>
      </c>
      <c r="F340" s="1" t="s">
        <v>71</v>
      </c>
      <c r="G340" s="1" t="s">
        <v>41</v>
      </c>
      <c r="H340" s="6">
        <v>1</v>
      </c>
      <c r="I340" s="7">
        <v>0</v>
      </c>
      <c r="J340" s="5">
        <v>45932</v>
      </c>
      <c r="K340" s="1" t="s">
        <v>30</v>
      </c>
      <c r="L340" s="8">
        <v>0</v>
      </c>
      <c r="M340" s="6"/>
      <c r="N340" s="6"/>
      <c r="O340" s="9">
        <v>-56</v>
      </c>
    </row>
    <row r="341" spans="1:15" ht="19.5" customHeight="1">
      <c r="A341" s="1" t="s">
        <v>152</v>
      </c>
      <c r="B341" s="5">
        <v>45941</v>
      </c>
      <c r="C341" s="1" t="s">
        <v>17</v>
      </c>
      <c r="D341" s="1" t="s">
        <v>47</v>
      </c>
      <c r="E341" s="1" t="s">
        <v>70</v>
      </c>
      <c r="F341" s="1" t="s">
        <v>71</v>
      </c>
      <c r="G341" s="1" t="s">
        <v>41</v>
      </c>
      <c r="H341" s="6">
        <v>1</v>
      </c>
      <c r="I341" s="7">
        <v>0</v>
      </c>
      <c r="J341" s="5">
        <v>45932</v>
      </c>
      <c r="K341" s="1" t="s">
        <v>30</v>
      </c>
      <c r="L341" s="8">
        <v>0</v>
      </c>
      <c r="M341" s="6"/>
      <c r="N341" s="6"/>
      <c r="O341" s="9">
        <v>-15</v>
      </c>
    </row>
    <row r="342" spans="1:15" ht="19.5" customHeight="1">
      <c r="A342" s="1" t="s">
        <v>153</v>
      </c>
      <c r="B342" s="5">
        <v>45941</v>
      </c>
      <c r="C342" s="1" t="s">
        <v>28</v>
      </c>
      <c r="D342" s="1" t="s">
        <v>45</v>
      </c>
      <c r="E342" s="1" t="s">
        <v>25</v>
      </c>
      <c r="F342" s="1" t="s">
        <v>26</v>
      </c>
      <c r="G342" s="1" t="s">
        <v>21</v>
      </c>
      <c r="H342" s="6">
        <v>1</v>
      </c>
      <c r="I342" s="7">
        <v>0</v>
      </c>
      <c r="J342" s="5">
        <v>45936</v>
      </c>
      <c r="K342" s="1" t="s">
        <v>30</v>
      </c>
      <c r="L342" s="8">
        <v>0</v>
      </c>
      <c r="M342" s="6"/>
      <c r="N342" s="6"/>
      <c r="O342" s="9">
        <v>0</v>
      </c>
    </row>
    <row r="343" spans="1:15" ht="19.5" customHeight="1">
      <c r="A343" s="1" t="s">
        <v>153</v>
      </c>
      <c r="B343" s="5">
        <v>45941</v>
      </c>
      <c r="C343" s="1" t="s">
        <v>28</v>
      </c>
      <c r="D343" s="1" t="s">
        <v>46</v>
      </c>
      <c r="E343" s="1" t="s">
        <v>25</v>
      </c>
      <c r="F343" s="1" t="s">
        <v>26</v>
      </c>
      <c r="G343" s="1" t="s">
        <v>21</v>
      </c>
      <c r="H343" s="6">
        <v>1</v>
      </c>
      <c r="I343" s="7">
        <v>0</v>
      </c>
      <c r="J343" s="5">
        <v>45936</v>
      </c>
      <c r="K343" s="1" t="s">
        <v>30</v>
      </c>
      <c r="L343" s="8">
        <v>0</v>
      </c>
      <c r="M343" s="6"/>
      <c r="N343" s="6"/>
      <c r="O343" s="9">
        <v>-46</v>
      </c>
    </row>
    <row r="344" spans="1:15" ht="19.5" customHeight="1">
      <c r="A344" s="1" t="s">
        <v>153</v>
      </c>
      <c r="B344" s="5">
        <v>45941</v>
      </c>
      <c r="C344" s="1" t="s">
        <v>17</v>
      </c>
      <c r="D344" s="1" t="s">
        <v>47</v>
      </c>
      <c r="E344" s="1" t="s">
        <v>25</v>
      </c>
      <c r="F344" s="1" t="s">
        <v>26</v>
      </c>
      <c r="G344" s="1" t="s">
        <v>21</v>
      </c>
      <c r="H344" s="6">
        <v>1</v>
      </c>
      <c r="I344" s="7">
        <v>0</v>
      </c>
      <c r="J344" s="5">
        <v>45936</v>
      </c>
      <c r="K344" s="1" t="s">
        <v>30</v>
      </c>
      <c r="L344" s="8">
        <v>0</v>
      </c>
      <c r="M344" s="6"/>
      <c r="N344" s="6"/>
      <c r="O344" s="9">
        <v>-15</v>
      </c>
    </row>
    <row r="345" spans="1:15" ht="19.5" customHeight="1">
      <c r="A345" s="1" t="s">
        <v>153</v>
      </c>
      <c r="B345" s="5">
        <v>45941</v>
      </c>
      <c r="C345" s="1" t="s">
        <v>28</v>
      </c>
      <c r="D345" s="1" t="s">
        <v>29</v>
      </c>
      <c r="E345" s="1" t="s">
        <v>25</v>
      </c>
      <c r="F345" s="1" t="s">
        <v>26</v>
      </c>
      <c r="G345" s="1" t="s">
        <v>21</v>
      </c>
      <c r="H345" s="6">
        <v>1</v>
      </c>
      <c r="I345" s="7">
        <v>0</v>
      </c>
      <c r="J345" s="5">
        <v>45936</v>
      </c>
      <c r="K345" s="1" t="s">
        <v>30</v>
      </c>
      <c r="L345" s="8">
        <v>0</v>
      </c>
      <c r="M345" s="6"/>
      <c r="N345" s="6"/>
      <c r="O345" s="9">
        <v>-46</v>
      </c>
    </row>
    <row r="346" spans="1:15" ht="19.5" customHeight="1">
      <c r="A346" s="1" t="s">
        <v>153</v>
      </c>
      <c r="B346" s="5">
        <v>45941</v>
      </c>
      <c r="C346" s="1" t="s">
        <v>17</v>
      </c>
      <c r="D346" s="1" t="s">
        <v>37</v>
      </c>
      <c r="E346" s="1" t="s">
        <v>25</v>
      </c>
      <c r="F346" s="1" t="s">
        <v>26</v>
      </c>
      <c r="G346" s="1" t="s">
        <v>21</v>
      </c>
      <c r="H346" s="6">
        <v>1</v>
      </c>
      <c r="I346" s="7">
        <v>0</v>
      </c>
      <c r="J346" s="5">
        <v>45936</v>
      </c>
      <c r="K346" s="1" t="s">
        <v>30</v>
      </c>
      <c r="L346" s="8">
        <v>0</v>
      </c>
      <c r="M346" s="6"/>
      <c r="N346" s="6"/>
      <c r="O346" s="9">
        <v>-4.79</v>
      </c>
    </row>
    <row r="347" spans="1:15" ht="19.5" customHeight="1">
      <c r="A347" s="1" t="s">
        <v>154</v>
      </c>
      <c r="B347" s="5">
        <v>45941</v>
      </c>
      <c r="C347" s="1" t="s">
        <v>28</v>
      </c>
      <c r="D347" s="1" t="s">
        <v>45</v>
      </c>
      <c r="E347" s="1" t="s">
        <v>66</v>
      </c>
      <c r="F347" s="1" t="s">
        <v>67</v>
      </c>
      <c r="G347" s="1" t="s">
        <v>41</v>
      </c>
      <c r="H347" s="6">
        <v>1</v>
      </c>
      <c r="I347" s="7">
        <v>0</v>
      </c>
      <c r="J347" s="5">
        <v>45935</v>
      </c>
      <c r="K347" s="1" t="s">
        <v>30</v>
      </c>
      <c r="L347" s="8">
        <v>0</v>
      </c>
      <c r="M347" s="6"/>
      <c r="N347" s="6"/>
      <c r="O347" s="9">
        <v>0</v>
      </c>
    </row>
    <row r="348" spans="1:15" ht="19.5" customHeight="1">
      <c r="A348" s="1" t="s">
        <v>154</v>
      </c>
      <c r="B348" s="5">
        <v>45941</v>
      </c>
      <c r="C348" s="1" t="s">
        <v>28</v>
      </c>
      <c r="D348" s="1" t="s">
        <v>46</v>
      </c>
      <c r="E348" s="1" t="s">
        <v>66</v>
      </c>
      <c r="F348" s="1" t="s">
        <v>67</v>
      </c>
      <c r="G348" s="1" t="s">
        <v>41</v>
      </c>
      <c r="H348" s="6">
        <v>1</v>
      </c>
      <c r="I348" s="7">
        <v>0</v>
      </c>
      <c r="J348" s="5">
        <v>45935</v>
      </c>
      <c r="K348" s="1" t="s">
        <v>30</v>
      </c>
      <c r="L348" s="8">
        <v>0</v>
      </c>
      <c r="M348" s="6"/>
      <c r="N348" s="6"/>
      <c r="O348" s="9">
        <v>-56</v>
      </c>
    </row>
    <row r="349" spans="1:15" ht="19.5" customHeight="1">
      <c r="A349" s="1" t="s">
        <v>154</v>
      </c>
      <c r="B349" s="5">
        <v>45941</v>
      </c>
      <c r="C349" s="1" t="s">
        <v>28</v>
      </c>
      <c r="D349" s="1" t="s">
        <v>29</v>
      </c>
      <c r="E349" s="1" t="s">
        <v>66</v>
      </c>
      <c r="F349" s="1" t="s">
        <v>67</v>
      </c>
      <c r="G349" s="1" t="s">
        <v>41</v>
      </c>
      <c r="H349" s="6">
        <v>1</v>
      </c>
      <c r="I349" s="7">
        <v>0</v>
      </c>
      <c r="J349" s="5">
        <v>45935</v>
      </c>
      <c r="K349" s="1" t="s">
        <v>30</v>
      </c>
      <c r="L349" s="8">
        <v>0</v>
      </c>
      <c r="M349" s="6"/>
      <c r="N349" s="6"/>
      <c r="O349" s="9">
        <v>-56</v>
      </c>
    </row>
    <row r="350" spans="1:15" ht="19.5" customHeight="1">
      <c r="A350" s="1" t="s">
        <v>154</v>
      </c>
      <c r="B350" s="5">
        <v>45941</v>
      </c>
      <c r="C350" s="1" t="s">
        <v>17</v>
      </c>
      <c r="D350" s="1" t="s">
        <v>37</v>
      </c>
      <c r="E350" s="1" t="s">
        <v>66</v>
      </c>
      <c r="F350" s="1" t="s">
        <v>67</v>
      </c>
      <c r="G350" s="1" t="s">
        <v>41</v>
      </c>
      <c r="H350" s="6">
        <v>1</v>
      </c>
      <c r="I350" s="7">
        <v>0</v>
      </c>
      <c r="J350" s="5">
        <v>45935</v>
      </c>
      <c r="K350" s="1" t="s">
        <v>30</v>
      </c>
      <c r="L350" s="8">
        <v>0</v>
      </c>
      <c r="M350" s="6"/>
      <c r="N350" s="6"/>
      <c r="O350" s="9">
        <v>-10.75</v>
      </c>
    </row>
    <row r="351" spans="1:15" ht="19.5" customHeight="1">
      <c r="A351" s="1" t="s">
        <v>155</v>
      </c>
      <c r="B351" s="5">
        <v>45941</v>
      </c>
      <c r="C351" s="1" t="s">
        <v>28</v>
      </c>
      <c r="D351" s="1" t="s">
        <v>29</v>
      </c>
      <c r="E351" s="1" t="s">
        <v>62</v>
      </c>
      <c r="F351" s="1" t="s">
        <v>63</v>
      </c>
      <c r="G351" s="1" t="s">
        <v>41</v>
      </c>
      <c r="H351" s="6">
        <v>1</v>
      </c>
      <c r="I351" s="7">
        <v>0</v>
      </c>
      <c r="J351" s="5">
        <v>45938</v>
      </c>
      <c r="K351" s="1" t="s">
        <v>30</v>
      </c>
      <c r="L351" s="8">
        <v>0</v>
      </c>
      <c r="M351" s="6"/>
      <c r="N351" s="6"/>
      <c r="O351" s="9">
        <v>-56</v>
      </c>
    </row>
    <row r="352" spans="1:15" ht="19.5" customHeight="1">
      <c r="A352" s="1" t="s">
        <v>155</v>
      </c>
      <c r="B352" s="5">
        <v>45941</v>
      </c>
      <c r="C352" s="1" t="s">
        <v>17</v>
      </c>
      <c r="D352" s="1" t="s">
        <v>37</v>
      </c>
      <c r="E352" s="1" t="s">
        <v>62</v>
      </c>
      <c r="F352" s="1" t="s">
        <v>63</v>
      </c>
      <c r="G352" s="1" t="s">
        <v>41</v>
      </c>
      <c r="H352" s="6">
        <v>1</v>
      </c>
      <c r="I352" s="7">
        <v>0</v>
      </c>
      <c r="J352" s="5">
        <v>45938</v>
      </c>
      <c r="K352" s="1" t="s">
        <v>30</v>
      </c>
      <c r="L352" s="8">
        <v>0</v>
      </c>
      <c r="M352" s="6"/>
      <c r="N352" s="6"/>
      <c r="O352" s="9">
        <v>-10.02</v>
      </c>
    </row>
    <row r="353" spans="1:15" ht="19.5" customHeight="1">
      <c r="A353" s="1" t="s">
        <v>156</v>
      </c>
      <c r="B353" s="5">
        <v>45941</v>
      </c>
      <c r="C353" s="1" t="s">
        <v>28</v>
      </c>
      <c r="D353" s="1" t="s">
        <v>29</v>
      </c>
      <c r="E353" s="1" t="s">
        <v>70</v>
      </c>
      <c r="F353" s="1" t="s">
        <v>71</v>
      </c>
      <c r="G353" s="1" t="s">
        <v>41</v>
      </c>
      <c r="H353" s="6">
        <v>1</v>
      </c>
      <c r="I353" s="7">
        <v>0</v>
      </c>
      <c r="J353" s="5">
        <v>45925</v>
      </c>
      <c r="K353" s="1" t="s">
        <v>30</v>
      </c>
      <c r="L353" s="8">
        <v>0</v>
      </c>
      <c r="M353" s="6"/>
      <c r="N353" s="6"/>
      <c r="O353" s="9">
        <v>-56</v>
      </c>
    </row>
    <row r="354" spans="1:15" ht="19.5" customHeight="1">
      <c r="A354" s="1" t="s">
        <v>156</v>
      </c>
      <c r="B354" s="5">
        <v>45941</v>
      </c>
      <c r="C354" s="1" t="s">
        <v>17</v>
      </c>
      <c r="D354" s="1" t="s">
        <v>37</v>
      </c>
      <c r="E354" s="1" t="s">
        <v>70</v>
      </c>
      <c r="F354" s="1" t="s">
        <v>71</v>
      </c>
      <c r="G354" s="1" t="s">
        <v>41</v>
      </c>
      <c r="H354" s="6">
        <v>1</v>
      </c>
      <c r="I354" s="7">
        <v>0</v>
      </c>
      <c r="J354" s="5">
        <v>45925</v>
      </c>
      <c r="K354" s="1" t="s">
        <v>30</v>
      </c>
      <c r="L354" s="8">
        <v>0</v>
      </c>
      <c r="M354" s="6"/>
      <c r="N354" s="6"/>
      <c r="O354" s="9">
        <v>-9.08</v>
      </c>
    </row>
    <row r="355" spans="1:15" ht="19.5" customHeight="1">
      <c r="A355" s="1" t="s">
        <v>156</v>
      </c>
      <c r="B355" s="5">
        <v>45941</v>
      </c>
      <c r="C355" s="1" t="s">
        <v>28</v>
      </c>
      <c r="D355" s="1" t="s">
        <v>45</v>
      </c>
      <c r="E355" s="1" t="s">
        <v>70</v>
      </c>
      <c r="F355" s="1" t="s">
        <v>71</v>
      </c>
      <c r="G355" s="1" t="s">
        <v>41</v>
      </c>
      <c r="H355" s="6">
        <v>1</v>
      </c>
      <c r="I355" s="7">
        <v>0</v>
      </c>
      <c r="J355" s="5">
        <v>45925</v>
      </c>
      <c r="K355" s="1" t="s">
        <v>30</v>
      </c>
      <c r="L355" s="8">
        <v>0</v>
      </c>
      <c r="M355" s="6"/>
      <c r="N355" s="6"/>
      <c r="O355" s="9">
        <v>0</v>
      </c>
    </row>
    <row r="356" spans="1:15" ht="19.5" customHeight="1">
      <c r="A356" s="1" t="s">
        <v>156</v>
      </c>
      <c r="B356" s="5">
        <v>45941</v>
      </c>
      <c r="C356" s="1" t="s">
        <v>28</v>
      </c>
      <c r="D356" s="1" t="s">
        <v>46</v>
      </c>
      <c r="E356" s="1" t="s">
        <v>70</v>
      </c>
      <c r="F356" s="1" t="s">
        <v>71</v>
      </c>
      <c r="G356" s="1" t="s">
        <v>41</v>
      </c>
      <c r="H356" s="6">
        <v>1</v>
      </c>
      <c r="I356" s="7">
        <v>0</v>
      </c>
      <c r="J356" s="5">
        <v>45925</v>
      </c>
      <c r="K356" s="1" t="s">
        <v>30</v>
      </c>
      <c r="L356" s="8">
        <v>0</v>
      </c>
      <c r="M356" s="6"/>
      <c r="N356" s="6"/>
      <c r="O356" s="9">
        <v>-56</v>
      </c>
    </row>
    <row r="357" spans="1:15" ht="19.5" customHeight="1">
      <c r="A357" s="1" t="s">
        <v>156</v>
      </c>
      <c r="B357" s="5">
        <v>45941</v>
      </c>
      <c r="C357" s="1" t="s">
        <v>17</v>
      </c>
      <c r="D357" s="1" t="s">
        <v>47</v>
      </c>
      <c r="E357" s="1" t="s">
        <v>70</v>
      </c>
      <c r="F357" s="1" t="s">
        <v>71</v>
      </c>
      <c r="G357" s="1" t="s">
        <v>41</v>
      </c>
      <c r="H357" s="6">
        <v>1</v>
      </c>
      <c r="I357" s="7">
        <v>0</v>
      </c>
      <c r="J357" s="5">
        <v>45925</v>
      </c>
      <c r="K357" s="1" t="s">
        <v>30</v>
      </c>
      <c r="L357" s="8">
        <v>0</v>
      </c>
      <c r="M357" s="6"/>
      <c r="N357" s="6"/>
      <c r="O357" s="9">
        <v>-15</v>
      </c>
    </row>
    <row r="358" spans="1:15" ht="19.5" customHeight="1">
      <c r="A358" s="1" t="s">
        <v>155</v>
      </c>
      <c r="B358" s="5">
        <v>45941</v>
      </c>
      <c r="C358" s="1" t="s">
        <v>28</v>
      </c>
      <c r="D358" s="1" t="s">
        <v>45</v>
      </c>
      <c r="E358" s="1" t="s">
        <v>62</v>
      </c>
      <c r="F358" s="1" t="s">
        <v>63</v>
      </c>
      <c r="G358" s="1" t="s">
        <v>41</v>
      </c>
      <c r="H358" s="6">
        <v>1</v>
      </c>
      <c r="I358" s="7">
        <v>0</v>
      </c>
      <c r="J358" s="5">
        <v>45938</v>
      </c>
      <c r="K358" s="1" t="s">
        <v>30</v>
      </c>
      <c r="L358" s="8">
        <v>0</v>
      </c>
      <c r="M358" s="6"/>
      <c r="N358" s="6"/>
      <c r="O358" s="9">
        <v>0</v>
      </c>
    </row>
    <row r="359" spans="1:15" ht="19.5" customHeight="1">
      <c r="A359" s="1" t="s">
        <v>155</v>
      </c>
      <c r="B359" s="5">
        <v>45941</v>
      </c>
      <c r="C359" s="1" t="s">
        <v>28</v>
      </c>
      <c r="D359" s="1" t="s">
        <v>46</v>
      </c>
      <c r="E359" s="1" t="s">
        <v>62</v>
      </c>
      <c r="F359" s="1" t="s">
        <v>63</v>
      </c>
      <c r="G359" s="1" t="s">
        <v>41</v>
      </c>
      <c r="H359" s="6">
        <v>1</v>
      </c>
      <c r="I359" s="7">
        <v>0</v>
      </c>
      <c r="J359" s="5">
        <v>45938</v>
      </c>
      <c r="K359" s="1" t="s">
        <v>30</v>
      </c>
      <c r="L359" s="8">
        <v>0</v>
      </c>
      <c r="M359" s="6"/>
      <c r="N359" s="6"/>
      <c r="O359" s="9">
        <v>-56</v>
      </c>
    </row>
    <row r="360" spans="1:15" ht="19.5" customHeight="1">
      <c r="A360" s="1" t="s">
        <v>155</v>
      </c>
      <c r="B360" s="5">
        <v>45941</v>
      </c>
      <c r="C360" s="1" t="s">
        <v>17</v>
      </c>
      <c r="D360" s="1" t="s">
        <v>47</v>
      </c>
      <c r="E360" s="1" t="s">
        <v>62</v>
      </c>
      <c r="F360" s="1" t="s">
        <v>63</v>
      </c>
      <c r="G360" s="1" t="s">
        <v>41</v>
      </c>
      <c r="H360" s="6">
        <v>1</v>
      </c>
      <c r="I360" s="7">
        <v>0</v>
      </c>
      <c r="J360" s="5">
        <v>45938</v>
      </c>
      <c r="K360" s="1" t="s">
        <v>30</v>
      </c>
      <c r="L360" s="8">
        <v>0</v>
      </c>
      <c r="M360" s="6"/>
      <c r="N360" s="6"/>
      <c r="O360" s="9">
        <v>-15</v>
      </c>
    </row>
    <row r="361" spans="1:15" ht="19.5" customHeight="1">
      <c r="A361" s="1" t="s">
        <v>157</v>
      </c>
      <c r="B361" s="5">
        <v>45941</v>
      </c>
      <c r="C361" s="1" t="s">
        <v>17</v>
      </c>
      <c r="D361" s="1" t="s">
        <v>18</v>
      </c>
      <c r="E361" s="1" t="s">
        <v>25</v>
      </c>
      <c r="F361" s="1" t="s">
        <v>26</v>
      </c>
      <c r="G361" s="1" t="s">
        <v>21</v>
      </c>
      <c r="H361" s="6">
        <v>1</v>
      </c>
      <c r="I361" s="7">
        <v>0</v>
      </c>
      <c r="J361" s="5">
        <v>45941</v>
      </c>
      <c r="K361" s="1" t="s">
        <v>22</v>
      </c>
      <c r="L361" s="8">
        <v>0</v>
      </c>
      <c r="M361" s="6"/>
      <c r="N361" s="6"/>
      <c r="O361" s="9">
        <v>-3.12</v>
      </c>
    </row>
    <row r="362" spans="1:15" ht="19.5" customHeight="1">
      <c r="A362" s="1" t="s">
        <v>158</v>
      </c>
      <c r="B362" s="5">
        <v>45941</v>
      </c>
      <c r="C362" s="1" t="s">
        <v>28</v>
      </c>
      <c r="D362" s="1" t="s">
        <v>29</v>
      </c>
      <c r="E362" s="1" t="s">
        <v>25</v>
      </c>
      <c r="F362" s="1" t="s">
        <v>26</v>
      </c>
      <c r="G362" s="1" t="s">
        <v>21</v>
      </c>
      <c r="H362" s="6">
        <v>1</v>
      </c>
      <c r="I362" s="7">
        <v>1200</v>
      </c>
      <c r="J362" s="5">
        <v>45933</v>
      </c>
      <c r="K362" s="1" t="s">
        <v>30</v>
      </c>
      <c r="L362" s="8">
        <v>0.26</v>
      </c>
      <c r="M362" s="6"/>
      <c r="N362" s="6"/>
      <c r="O362" s="9">
        <v>-46</v>
      </c>
    </row>
    <row r="363" spans="1:15" ht="19.5" customHeight="1">
      <c r="A363" s="1" t="s">
        <v>158</v>
      </c>
      <c r="B363" s="5">
        <v>45941</v>
      </c>
      <c r="C363" s="1" t="s">
        <v>31</v>
      </c>
      <c r="D363" s="1" t="s">
        <v>32</v>
      </c>
      <c r="E363" s="1" t="s">
        <v>25</v>
      </c>
      <c r="F363" s="1" t="s">
        <v>26</v>
      </c>
      <c r="G363" s="1" t="s">
        <v>21</v>
      </c>
      <c r="H363" s="6">
        <v>1</v>
      </c>
      <c r="I363" s="7">
        <v>1200</v>
      </c>
      <c r="J363" s="5">
        <v>45933</v>
      </c>
      <c r="K363" s="1" t="s">
        <v>30</v>
      </c>
      <c r="L363" s="8">
        <v>0</v>
      </c>
      <c r="M363" s="6"/>
      <c r="N363" s="6"/>
      <c r="O363" s="9">
        <v>643.20000000000005</v>
      </c>
    </row>
    <row r="364" spans="1:15" ht="19.5" customHeight="1">
      <c r="A364" s="1" t="s">
        <v>158</v>
      </c>
      <c r="B364" s="5">
        <v>45941</v>
      </c>
      <c r="C364" s="1" t="s">
        <v>31</v>
      </c>
      <c r="D364" s="1" t="s">
        <v>33</v>
      </c>
      <c r="E364" s="1" t="s">
        <v>25</v>
      </c>
      <c r="F364" s="1" t="s">
        <v>26</v>
      </c>
      <c r="G364" s="1" t="s">
        <v>21</v>
      </c>
      <c r="H364" s="6">
        <v>1</v>
      </c>
      <c r="I364" s="7">
        <v>1200</v>
      </c>
      <c r="J364" s="5">
        <v>45933</v>
      </c>
      <c r="K364" s="1" t="s">
        <v>30</v>
      </c>
      <c r="L364" s="8">
        <v>0</v>
      </c>
      <c r="M364" s="6"/>
      <c r="N364" s="6"/>
      <c r="O364" s="9">
        <v>0</v>
      </c>
    </row>
    <row r="365" spans="1:15" ht="19.5" customHeight="1">
      <c r="A365" s="1" t="s">
        <v>158</v>
      </c>
      <c r="B365" s="5">
        <v>45941</v>
      </c>
      <c r="C365" s="1" t="s">
        <v>31</v>
      </c>
      <c r="D365" s="1" t="s">
        <v>34</v>
      </c>
      <c r="E365" s="1" t="s">
        <v>25</v>
      </c>
      <c r="F365" s="1" t="s">
        <v>26</v>
      </c>
      <c r="G365" s="1" t="s">
        <v>21</v>
      </c>
      <c r="H365" s="6">
        <v>1</v>
      </c>
      <c r="I365" s="7">
        <v>1200</v>
      </c>
      <c r="J365" s="5">
        <v>45933</v>
      </c>
      <c r="K365" s="1" t="s">
        <v>30</v>
      </c>
      <c r="L365" s="8">
        <v>0</v>
      </c>
      <c r="M365" s="6"/>
      <c r="N365" s="6"/>
      <c r="O365" s="9">
        <v>556.79999999999995</v>
      </c>
    </row>
    <row r="366" spans="1:15" ht="19.5" customHeight="1">
      <c r="A366" s="1" t="s">
        <v>158</v>
      </c>
      <c r="B366" s="5">
        <v>45941</v>
      </c>
      <c r="C366" s="1" t="s">
        <v>35</v>
      </c>
      <c r="D366" s="1" t="s">
        <v>36</v>
      </c>
      <c r="E366" s="1" t="s">
        <v>25</v>
      </c>
      <c r="F366" s="1" t="s">
        <v>26</v>
      </c>
      <c r="G366" s="1" t="s">
        <v>21</v>
      </c>
      <c r="H366" s="6">
        <v>1</v>
      </c>
      <c r="I366" s="7">
        <v>1200</v>
      </c>
      <c r="J366" s="5">
        <v>45933</v>
      </c>
      <c r="K366" s="1" t="s">
        <v>30</v>
      </c>
      <c r="L366" s="8">
        <v>0.26</v>
      </c>
      <c r="M366" s="6"/>
      <c r="N366" s="6"/>
      <c r="O366" s="9">
        <v>-312</v>
      </c>
    </row>
    <row r="367" spans="1:15" ht="19.5" customHeight="1">
      <c r="A367" s="1" t="s">
        <v>158</v>
      </c>
      <c r="B367" s="5">
        <v>45941</v>
      </c>
      <c r="C367" s="1" t="s">
        <v>17</v>
      </c>
      <c r="D367" s="1" t="s">
        <v>37</v>
      </c>
      <c r="E367" s="1" t="s">
        <v>25</v>
      </c>
      <c r="F367" s="1" t="s">
        <v>26</v>
      </c>
      <c r="G367" s="1" t="s">
        <v>21</v>
      </c>
      <c r="H367" s="6">
        <v>1</v>
      </c>
      <c r="I367" s="7">
        <v>1200</v>
      </c>
      <c r="J367" s="5">
        <v>45933</v>
      </c>
      <c r="K367" s="1" t="s">
        <v>30</v>
      </c>
      <c r="L367" s="8">
        <v>0.26</v>
      </c>
      <c r="M367" s="6"/>
      <c r="N367" s="6"/>
      <c r="O367" s="9">
        <v>-6.48</v>
      </c>
    </row>
    <row r="368" spans="1:15" ht="19.5" customHeight="1">
      <c r="A368" s="1" t="s">
        <v>159</v>
      </c>
      <c r="B368" s="5">
        <v>45941</v>
      </c>
      <c r="C368" s="1" t="s">
        <v>28</v>
      </c>
      <c r="D368" s="1" t="s">
        <v>29</v>
      </c>
      <c r="E368" s="1" t="s">
        <v>51</v>
      </c>
      <c r="F368" s="1" t="s">
        <v>52</v>
      </c>
      <c r="G368" s="1" t="s">
        <v>41</v>
      </c>
      <c r="H368" s="6">
        <v>1</v>
      </c>
      <c r="I368" s="7">
        <v>2610</v>
      </c>
      <c r="J368" s="5">
        <v>45931</v>
      </c>
      <c r="K368" s="1" t="s">
        <v>30</v>
      </c>
      <c r="L368" s="8">
        <v>0.24</v>
      </c>
      <c r="M368" s="6"/>
      <c r="N368" s="6"/>
      <c r="O368" s="9">
        <v>-56</v>
      </c>
    </row>
    <row r="369" spans="1:15" ht="19.5" customHeight="1">
      <c r="A369" s="1" t="s">
        <v>159</v>
      </c>
      <c r="B369" s="5">
        <v>45941</v>
      </c>
      <c r="C369" s="1" t="s">
        <v>31</v>
      </c>
      <c r="D369" s="1" t="s">
        <v>32</v>
      </c>
      <c r="E369" s="1" t="s">
        <v>51</v>
      </c>
      <c r="F369" s="1" t="s">
        <v>52</v>
      </c>
      <c r="G369" s="1" t="s">
        <v>41</v>
      </c>
      <c r="H369" s="6">
        <v>1</v>
      </c>
      <c r="I369" s="7">
        <v>2610</v>
      </c>
      <c r="J369" s="5">
        <v>45931</v>
      </c>
      <c r="K369" s="1" t="s">
        <v>30</v>
      </c>
      <c r="L369" s="8">
        <v>0</v>
      </c>
      <c r="M369" s="6"/>
      <c r="N369" s="6"/>
      <c r="O369" s="9">
        <v>1505.21</v>
      </c>
    </row>
    <row r="370" spans="1:15" ht="19.5" customHeight="1">
      <c r="A370" s="1" t="s">
        <v>159</v>
      </c>
      <c r="B370" s="5">
        <v>45941</v>
      </c>
      <c r="C370" s="1" t="s">
        <v>31</v>
      </c>
      <c r="D370" s="1" t="s">
        <v>33</v>
      </c>
      <c r="E370" s="1" t="s">
        <v>51</v>
      </c>
      <c r="F370" s="1" t="s">
        <v>52</v>
      </c>
      <c r="G370" s="1" t="s">
        <v>41</v>
      </c>
      <c r="H370" s="6">
        <v>1</v>
      </c>
      <c r="I370" s="7">
        <v>2610</v>
      </c>
      <c r="J370" s="5">
        <v>45931</v>
      </c>
      <c r="K370" s="1" t="s">
        <v>30</v>
      </c>
      <c r="L370" s="8">
        <v>0</v>
      </c>
      <c r="M370" s="6"/>
      <c r="N370" s="6"/>
      <c r="O370" s="9">
        <v>15.05</v>
      </c>
    </row>
    <row r="371" spans="1:15" ht="19.5" customHeight="1">
      <c r="A371" s="1" t="s">
        <v>159</v>
      </c>
      <c r="B371" s="5">
        <v>45941</v>
      </c>
      <c r="C371" s="1" t="s">
        <v>31</v>
      </c>
      <c r="D371" s="1" t="s">
        <v>34</v>
      </c>
      <c r="E371" s="1" t="s">
        <v>51</v>
      </c>
      <c r="F371" s="1" t="s">
        <v>52</v>
      </c>
      <c r="G371" s="1" t="s">
        <v>41</v>
      </c>
      <c r="H371" s="6">
        <v>1</v>
      </c>
      <c r="I371" s="7">
        <v>2610</v>
      </c>
      <c r="J371" s="5">
        <v>45931</v>
      </c>
      <c r="K371" s="1" t="s">
        <v>30</v>
      </c>
      <c r="L371" s="8">
        <v>0</v>
      </c>
      <c r="M371" s="6"/>
      <c r="N371" s="6"/>
      <c r="O371" s="9">
        <v>1089.74</v>
      </c>
    </row>
    <row r="372" spans="1:15" ht="19.5" customHeight="1">
      <c r="A372" s="1" t="s">
        <v>159</v>
      </c>
      <c r="B372" s="5">
        <v>45941</v>
      </c>
      <c r="C372" s="1" t="s">
        <v>35</v>
      </c>
      <c r="D372" s="1" t="s">
        <v>36</v>
      </c>
      <c r="E372" s="1" t="s">
        <v>51</v>
      </c>
      <c r="F372" s="1" t="s">
        <v>52</v>
      </c>
      <c r="G372" s="1" t="s">
        <v>41</v>
      </c>
      <c r="H372" s="6">
        <v>1</v>
      </c>
      <c r="I372" s="7">
        <v>2610</v>
      </c>
      <c r="J372" s="5">
        <v>45931</v>
      </c>
      <c r="K372" s="1" t="s">
        <v>30</v>
      </c>
      <c r="L372" s="8">
        <v>0.24</v>
      </c>
      <c r="M372" s="6"/>
      <c r="N372" s="6"/>
      <c r="O372" s="9">
        <v>-626.4</v>
      </c>
    </row>
    <row r="373" spans="1:15" ht="19.5" customHeight="1">
      <c r="A373" s="1" t="s">
        <v>159</v>
      </c>
      <c r="B373" s="5">
        <v>45941</v>
      </c>
      <c r="C373" s="1" t="s">
        <v>17</v>
      </c>
      <c r="D373" s="1" t="s">
        <v>37</v>
      </c>
      <c r="E373" s="1" t="s">
        <v>51</v>
      </c>
      <c r="F373" s="1" t="s">
        <v>52</v>
      </c>
      <c r="G373" s="1" t="s">
        <v>41</v>
      </c>
      <c r="H373" s="6">
        <v>1</v>
      </c>
      <c r="I373" s="7">
        <v>2610</v>
      </c>
      <c r="J373" s="5">
        <v>45931</v>
      </c>
      <c r="K373" s="1" t="s">
        <v>30</v>
      </c>
      <c r="L373" s="8">
        <v>0.24</v>
      </c>
      <c r="M373" s="6"/>
      <c r="N373" s="6"/>
      <c r="O373" s="9">
        <v>-10.89</v>
      </c>
    </row>
    <row r="374" spans="1:15" ht="19.5" customHeight="1">
      <c r="A374" s="1" t="s">
        <v>159</v>
      </c>
      <c r="B374" s="5">
        <v>45941</v>
      </c>
      <c r="C374" s="1" t="s">
        <v>17</v>
      </c>
      <c r="D374" s="1" t="s">
        <v>18</v>
      </c>
      <c r="E374" s="1" t="s">
        <v>51</v>
      </c>
      <c r="F374" s="1" t="s">
        <v>52</v>
      </c>
      <c r="G374" s="1" t="s">
        <v>41</v>
      </c>
      <c r="H374" s="6">
        <v>1</v>
      </c>
      <c r="I374" s="7">
        <v>0</v>
      </c>
      <c r="J374" s="5">
        <v>45931</v>
      </c>
      <c r="K374" s="1" t="s">
        <v>22</v>
      </c>
      <c r="L374" s="8">
        <v>0</v>
      </c>
      <c r="M374" s="6"/>
      <c r="N374" s="6"/>
      <c r="O374" s="9">
        <v>-28.6</v>
      </c>
    </row>
    <row r="375" spans="1:15" ht="19.5" customHeight="1">
      <c r="A375" s="1" t="s">
        <v>160</v>
      </c>
      <c r="B375" s="5">
        <v>45941</v>
      </c>
      <c r="C375" s="1" t="s">
        <v>28</v>
      </c>
      <c r="D375" s="1" t="s">
        <v>29</v>
      </c>
      <c r="E375" s="1" t="s">
        <v>25</v>
      </c>
      <c r="F375" s="1" t="s">
        <v>26</v>
      </c>
      <c r="G375" s="1" t="s">
        <v>21</v>
      </c>
      <c r="H375" s="6">
        <v>1</v>
      </c>
      <c r="I375" s="7">
        <v>1140</v>
      </c>
      <c r="J375" s="5">
        <v>45940</v>
      </c>
      <c r="K375" s="1" t="s">
        <v>30</v>
      </c>
      <c r="L375" s="8">
        <v>0.26</v>
      </c>
      <c r="M375" s="6"/>
      <c r="N375" s="6"/>
      <c r="O375" s="9">
        <v>-46</v>
      </c>
    </row>
    <row r="376" spans="1:15" ht="19.5" customHeight="1">
      <c r="A376" s="1" t="s">
        <v>160</v>
      </c>
      <c r="B376" s="5">
        <v>45941</v>
      </c>
      <c r="C376" s="1" t="s">
        <v>31</v>
      </c>
      <c r="D376" s="1" t="s">
        <v>32</v>
      </c>
      <c r="E376" s="1" t="s">
        <v>25</v>
      </c>
      <c r="F376" s="1" t="s">
        <v>26</v>
      </c>
      <c r="G376" s="1" t="s">
        <v>21</v>
      </c>
      <c r="H376" s="6">
        <v>1</v>
      </c>
      <c r="I376" s="7">
        <v>1140</v>
      </c>
      <c r="J376" s="5">
        <v>45940</v>
      </c>
      <c r="K376" s="1" t="s">
        <v>30</v>
      </c>
      <c r="L376" s="8">
        <v>0</v>
      </c>
      <c r="M376" s="6"/>
      <c r="N376" s="6"/>
      <c r="O376" s="9">
        <v>659</v>
      </c>
    </row>
    <row r="377" spans="1:15" ht="19.5" customHeight="1">
      <c r="A377" s="1" t="s">
        <v>160</v>
      </c>
      <c r="B377" s="5">
        <v>45941</v>
      </c>
      <c r="C377" s="1" t="s">
        <v>31</v>
      </c>
      <c r="D377" s="1" t="s">
        <v>33</v>
      </c>
      <c r="E377" s="1" t="s">
        <v>25</v>
      </c>
      <c r="F377" s="1" t="s">
        <v>26</v>
      </c>
      <c r="G377" s="1" t="s">
        <v>21</v>
      </c>
      <c r="H377" s="6">
        <v>1</v>
      </c>
      <c r="I377" s="7">
        <v>1140</v>
      </c>
      <c r="J377" s="5">
        <v>45940</v>
      </c>
      <c r="K377" s="1" t="s">
        <v>30</v>
      </c>
      <c r="L377" s="8">
        <v>0</v>
      </c>
      <c r="M377" s="6"/>
      <c r="N377" s="6"/>
      <c r="O377" s="9">
        <v>6.59</v>
      </c>
    </row>
    <row r="378" spans="1:15" ht="19.5" customHeight="1">
      <c r="A378" s="1" t="s">
        <v>160</v>
      </c>
      <c r="B378" s="5">
        <v>45941</v>
      </c>
      <c r="C378" s="1" t="s">
        <v>31</v>
      </c>
      <c r="D378" s="1" t="s">
        <v>34</v>
      </c>
      <c r="E378" s="1" t="s">
        <v>25</v>
      </c>
      <c r="F378" s="1" t="s">
        <v>26</v>
      </c>
      <c r="G378" s="1" t="s">
        <v>21</v>
      </c>
      <c r="H378" s="6">
        <v>1</v>
      </c>
      <c r="I378" s="7">
        <v>1140</v>
      </c>
      <c r="J378" s="5">
        <v>45940</v>
      </c>
      <c r="K378" s="1" t="s">
        <v>30</v>
      </c>
      <c r="L378" s="8">
        <v>0</v>
      </c>
      <c r="M378" s="6"/>
      <c r="N378" s="6"/>
      <c r="O378" s="9">
        <v>474.41</v>
      </c>
    </row>
    <row r="379" spans="1:15" ht="19.5" customHeight="1">
      <c r="A379" s="1" t="s">
        <v>160</v>
      </c>
      <c r="B379" s="5">
        <v>45941</v>
      </c>
      <c r="C379" s="1" t="s">
        <v>35</v>
      </c>
      <c r="D379" s="1" t="s">
        <v>36</v>
      </c>
      <c r="E379" s="1" t="s">
        <v>25</v>
      </c>
      <c r="F379" s="1" t="s">
        <v>26</v>
      </c>
      <c r="G379" s="1" t="s">
        <v>21</v>
      </c>
      <c r="H379" s="6">
        <v>1</v>
      </c>
      <c r="I379" s="7">
        <v>1140</v>
      </c>
      <c r="J379" s="5">
        <v>45940</v>
      </c>
      <c r="K379" s="1" t="s">
        <v>30</v>
      </c>
      <c r="L379" s="8">
        <v>0.26</v>
      </c>
      <c r="M379" s="6"/>
      <c r="N379" s="6"/>
      <c r="O379" s="9">
        <v>-296.39999999999998</v>
      </c>
    </row>
    <row r="380" spans="1:15" ht="19.5" customHeight="1">
      <c r="A380" s="1" t="s">
        <v>160</v>
      </c>
      <c r="B380" s="5">
        <v>45941</v>
      </c>
      <c r="C380" s="1" t="s">
        <v>17</v>
      </c>
      <c r="D380" s="1" t="s">
        <v>37</v>
      </c>
      <c r="E380" s="1" t="s">
        <v>25</v>
      </c>
      <c r="F380" s="1" t="s">
        <v>26</v>
      </c>
      <c r="G380" s="1" t="s">
        <v>21</v>
      </c>
      <c r="H380" s="6">
        <v>1</v>
      </c>
      <c r="I380" s="7">
        <v>1140</v>
      </c>
      <c r="J380" s="5">
        <v>45940</v>
      </c>
      <c r="K380" s="1" t="s">
        <v>30</v>
      </c>
      <c r="L380" s="8">
        <v>0.26</v>
      </c>
      <c r="M380" s="6"/>
      <c r="N380" s="6"/>
      <c r="O380" s="9">
        <v>-5.37</v>
      </c>
    </row>
    <row r="381" spans="1:15" ht="19.5" customHeight="1">
      <c r="A381" s="1" t="s">
        <v>160</v>
      </c>
      <c r="B381" s="5">
        <v>45941</v>
      </c>
      <c r="C381" s="1" t="s">
        <v>17</v>
      </c>
      <c r="D381" s="1" t="s">
        <v>18</v>
      </c>
      <c r="E381" s="1" t="s">
        <v>25</v>
      </c>
      <c r="F381" s="1" t="s">
        <v>26</v>
      </c>
      <c r="G381" s="1" t="s">
        <v>21</v>
      </c>
      <c r="H381" s="6">
        <v>1</v>
      </c>
      <c r="I381" s="7">
        <v>0</v>
      </c>
      <c r="J381" s="5">
        <v>45940</v>
      </c>
      <c r="K381" s="1" t="s">
        <v>22</v>
      </c>
      <c r="L381" s="8">
        <v>0</v>
      </c>
      <c r="M381" s="6"/>
      <c r="N381" s="6"/>
      <c r="O381" s="9">
        <v>-12.52</v>
      </c>
    </row>
    <row r="382" spans="1:15" ht="19.5" customHeight="1">
      <c r="A382" s="1" t="s">
        <v>161</v>
      </c>
      <c r="B382" s="5">
        <v>45941</v>
      </c>
      <c r="C382" s="1" t="s">
        <v>17</v>
      </c>
      <c r="D382" s="1" t="s">
        <v>18</v>
      </c>
      <c r="E382" s="1" t="s">
        <v>25</v>
      </c>
      <c r="F382" s="1" t="s">
        <v>26</v>
      </c>
      <c r="G382" s="1" t="s">
        <v>21</v>
      </c>
      <c r="H382" s="6">
        <v>1</v>
      </c>
      <c r="I382" s="7">
        <v>0</v>
      </c>
      <c r="J382" s="5">
        <v>45941</v>
      </c>
      <c r="K382" s="1" t="s">
        <v>22</v>
      </c>
      <c r="L382" s="8">
        <v>0</v>
      </c>
      <c r="M382" s="6"/>
      <c r="N382" s="6"/>
      <c r="O382" s="9">
        <v>-6.44</v>
      </c>
    </row>
    <row r="383" spans="1:15" ht="19.5" customHeight="1">
      <c r="A383" s="1" t="s">
        <v>162</v>
      </c>
      <c r="B383" s="5">
        <v>45941</v>
      </c>
      <c r="C383" s="1" t="s">
        <v>28</v>
      </c>
      <c r="D383" s="1" t="s">
        <v>29</v>
      </c>
      <c r="E383" s="1" t="s">
        <v>43</v>
      </c>
      <c r="F383" s="1" t="s">
        <v>44</v>
      </c>
      <c r="G383" s="1" t="s">
        <v>41</v>
      </c>
      <c r="H383" s="6">
        <v>1</v>
      </c>
      <c r="I383" s="7">
        <v>0</v>
      </c>
      <c r="J383" s="5">
        <v>45931</v>
      </c>
      <c r="K383" s="1" t="s">
        <v>30</v>
      </c>
      <c r="L383" s="8">
        <v>0</v>
      </c>
      <c r="M383" s="6"/>
      <c r="N383" s="6"/>
      <c r="O383" s="9">
        <v>-56</v>
      </c>
    </row>
    <row r="384" spans="1:15" ht="19.5" customHeight="1">
      <c r="A384" s="1" t="s">
        <v>162</v>
      </c>
      <c r="B384" s="5">
        <v>45941</v>
      </c>
      <c r="C384" s="1" t="s">
        <v>17</v>
      </c>
      <c r="D384" s="1" t="s">
        <v>37</v>
      </c>
      <c r="E384" s="1" t="s">
        <v>43</v>
      </c>
      <c r="F384" s="1" t="s">
        <v>44</v>
      </c>
      <c r="G384" s="1" t="s">
        <v>41</v>
      </c>
      <c r="H384" s="6">
        <v>1</v>
      </c>
      <c r="I384" s="7">
        <v>0</v>
      </c>
      <c r="J384" s="5">
        <v>45931</v>
      </c>
      <c r="K384" s="1" t="s">
        <v>30</v>
      </c>
      <c r="L384" s="8">
        <v>0</v>
      </c>
      <c r="M384" s="6"/>
      <c r="N384" s="6"/>
      <c r="O384" s="9">
        <v>-21.44</v>
      </c>
    </row>
    <row r="385" spans="1:15" ht="19.5" customHeight="1">
      <c r="A385" s="1" t="s">
        <v>162</v>
      </c>
      <c r="B385" s="5">
        <v>45941</v>
      </c>
      <c r="C385" s="1" t="s">
        <v>28</v>
      </c>
      <c r="D385" s="1" t="s">
        <v>45</v>
      </c>
      <c r="E385" s="1" t="s">
        <v>43</v>
      </c>
      <c r="F385" s="1" t="s">
        <v>44</v>
      </c>
      <c r="G385" s="1" t="s">
        <v>41</v>
      </c>
      <c r="H385" s="6">
        <v>1</v>
      </c>
      <c r="I385" s="7">
        <v>0</v>
      </c>
      <c r="J385" s="5">
        <v>45931</v>
      </c>
      <c r="K385" s="1" t="s">
        <v>30</v>
      </c>
      <c r="L385" s="8">
        <v>0</v>
      </c>
      <c r="M385" s="6"/>
      <c r="N385" s="6"/>
      <c r="O385" s="9">
        <v>0</v>
      </c>
    </row>
    <row r="386" spans="1:15" ht="19.5" customHeight="1">
      <c r="A386" s="1" t="s">
        <v>162</v>
      </c>
      <c r="B386" s="5">
        <v>45941</v>
      </c>
      <c r="C386" s="1" t="s">
        <v>28</v>
      </c>
      <c r="D386" s="1" t="s">
        <v>46</v>
      </c>
      <c r="E386" s="1" t="s">
        <v>43</v>
      </c>
      <c r="F386" s="1" t="s">
        <v>44</v>
      </c>
      <c r="G386" s="1" t="s">
        <v>41</v>
      </c>
      <c r="H386" s="6">
        <v>1</v>
      </c>
      <c r="I386" s="7">
        <v>0</v>
      </c>
      <c r="J386" s="5">
        <v>45931</v>
      </c>
      <c r="K386" s="1" t="s">
        <v>30</v>
      </c>
      <c r="L386" s="8">
        <v>0</v>
      </c>
      <c r="M386" s="6"/>
      <c r="N386" s="6"/>
      <c r="O386" s="9">
        <v>-56</v>
      </c>
    </row>
    <row r="387" spans="1:15" ht="19.5" customHeight="1">
      <c r="A387" s="1" t="s">
        <v>162</v>
      </c>
      <c r="B387" s="5">
        <v>45941</v>
      </c>
      <c r="C387" s="1" t="s">
        <v>17</v>
      </c>
      <c r="D387" s="1" t="s">
        <v>47</v>
      </c>
      <c r="E387" s="1" t="s">
        <v>43</v>
      </c>
      <c r="F387" s="1" t="s">
        <v>44</v>
      </c>
      <c r="G387" s="1" t="s">
        <v>41</v>
      </c>
      <c r="H387" s="6">
        <v>1</v>
      </c>
      <c r="I387" s="7">
        <v>0</v>
      </c>
      <c r="J387" s="5">
        <v>45931</v>
      </c>
      <c r="K387" s="1" t="s">
        <v>30</v>
      </c>
      <c r="L387" s="8">
        <v>0</v>
      </c>
      <c r="M387" s="6"/>
      <c r="N387" s="6"/>
      <c r="O387" s="9">
        <v>-15</v>
      </c>
    </row>
    <row r="388" spans="1:15" ht="19.5" customHeight="1">
      <c r="A388" s="1" t="s">
        <v>163</v>
      </c>
      <c r="B388" s="5">
        <v>45941</v>
      </c>
      <c r="C388" s="1" t="s">
        <v>17</v>
      </c>
      <c r="D388" s="1" t="s">
        <v>18</v>
      </c>
      <c r="E388" s="1" t="s">
        <v>19</v>
      </c>
      <c r="F388" s="1" t="s">
        <v>20</v>
      </c>
      <c r="G388" s="1" t="s">
        <v>21</v>
      </c>
      <c r="H388" s="6">
        <v>1</v>
      </c>
      <c r="I388" s="7">
        <v>0</v>
      </c>
      <c r="J388" s="5">
        <v>45941</v>
      </c>
      <c r="K388" s="1" t="s">
        <v>22</v>
      </c>
      <c r="L388" s="8">
        <v>0</v>
      </c>
      <c r="M388" s="6"/>
      <c r="N388" s="6"/>
      <c r="O388" s="9">
        <v>-15.83</v>
      </c>
    </row>
    <row r="389" spans="1:15" ht="19.5" customHeight="1">
      <c r="A389" s="1" t="s">
        <v>164</v>
      </c>
      <c r="B389" s="5">
        <v>45941</v>
      </c>
      <c r="C389" s="1" t="s">
        <v>28</v>
      </c>
      <c r="D389" s="1" t="s">
        <v>29</v>
      </c>
      <c r="E389" s="1" t="s">
        <v>98</v>
      </c>
      <c r="F389" s="1" t="s">
        <v>99</v>
      </c>
      <c r="G389" s="1" t="s">
        <v>41</v>
      </c>
      <c r="H389" s="6">
        <v>1</v>
      </c>
      <c r="I389" s="7">
        <v>3690</v>
      </c>
      <c r="J389" s="5">
        <v>45937</v>
      </c>
      <c r="K389" s="1" t="s">
        <v>30</v>
      </c>
      <c r="L389" s="8">
        <v>0.24</v>
      </c>
      <c r="M389" s="6"/>
      <c r="N389" s="6"/>
      <c r="O389" s="9">
        <v>-56</v>
      </c>
    </row>
    <row r="390" spans="1:15" ht="19.5" customHeight="1">
      <c r="A390" s="1" t="s">
        <v>164</v>
      </c>
      <c r="B390" s="5">
        <v>45941</v>
      </c>
      <c r="C390" s="1" t="s">
        <v>31</v>
      </c>
      <c r="D390" s="1" t="s">
        <v>32</v>
      </c>
      <c r="E390" s="1" t="s">
        <v>98</v>
      </c>
      <c r="F390" s="1" t="s">
        <v>99</v>
      </c>
      <c r="G390" s="1" t="s">
        <v>41</v>
      </c>
      <c r="H390" s="6">
        <v>1</v>
      </c>
      <c r="I390" s="7">
        <v>3690</v>
      </c>
      <c r="J390" s="5">
        <v>45937</v>
      </c>
      <c r="K390" s="1" t="s">
        <v>30</v>
      </c>
      <c r="L390" s="8">
        <v>0</v>
      </c>
      <c r="M390" s="6"/>
      <c r="N390" s="6"/>
      <c r="O390" s="9">
        <v>2518.4299999999998</v>
      </c>
    </row>
    <row r="391" spans="1:15" ht="19.5" customHeight="1">
      <c r="A391" s="1" t="s">
        <v>164</v>
      </c>
      <c r="B391" s="5">
        <v>45941</v>
      </c>
      <c r="C391" s="1" t="s">
        <v>31</v>
      </c>
      <c r="D391" s="1" t="s">
        <v>33</v>
      </c>
      <c r="E391" s="1" t="s">
        <v>98</v>
      </c>
      <c r="F391" s="1" t="s">
        <v>99</v>
      </c>
      <c r="G391" s="1" t="s">
        <v>41</v>
      </c>
      <c r="H391" s="6">
        <v>1</v>
      </c>
      <c r="I391" s="7">
        <v>3690</v>
      </c>
      <c r="J391" s="5">
        <v>45937</v>
      </c>
      <c r="K391" s="1" t="s">
        <v>30</v>
      </c>
      <c r="L391" s="8">
        <v>0</v>
      </c>
      <c r="M391" s="6"/>
      <c r="N391" s="6"/>
      <c r="O391" s="9">
        <v>0</v>
      </c>
    </row>
    <row r="392" spans="1:15" ht="19.5" customHeight="1">
      <c r="A392" s="1" t="s">
        <v>164</v>
      </c>
      <c r="B392" s="5">
        <v>45941</v>
      </c>
      <c r="C392" s="1" t="s">
        <v>31</v>
      </c>
      <c r="D392" s="1" t="s">
        <v>34</v>
      </c>
      <c r="E392" s="1" t="s">
        <v>98</v>
      </c>
      <c r="F392" s="1" t="s">
        <v>99</v>
      </c>
      <c r="G392" s="1" t="s">
        <v>41</v>
      </c>
      <c r="H392" s="6">
        <v>1</v>
      </c>
      <c r="I392" s="7">
        <v>3690</v>
      </c>
      <c r="J392" s="5">
        <v>45937</v>
      </c>
      <c r="K392" s="1" t="s">
        <v>30</v>
      </c>
      <c r="L392" s="8">
        <v>0</v>
      </c>
      <c r="M392" s="6"/>
      <c r="N392" s="6"/>
      <c r="O392" s="9">
        <v>1171.57</v>
      </c>
    </row>
    <row r="393" spans="1:15" ht="19.5" customHeight="1">
      <c r="A393" s="1" t="s">
        <v>164</v>
      </c>
      <c r="B393" s="5">
        <v>45941</v>
      </c>
      <c r="C393" s="1" t="s">
        <v>35</v>
      </c>
      <c r="D393" s="1" t="s">
        <v>36</v>
      </c>
      <c r="E393" s="1" t="s">
        <v>98</v>
      </c>
      <c r="F393" s="1" t="s">
        <v>99</v>
      </c>
      <c r="G393" s="1" t="s">
        <v>41</v>
      </c>
      <c r="H393" s="6">
        <v>1</v>
      </c>
      <c r="I393" s="7">
        <v>3690</v>
      </c>
      <c r="J393" s="5">
        <v>45937</v>
      </c>
      <c r="K393" s="1" t="s">
        <v>30</v>
      </c>
      <c r="L393" s="8">
        <v>0.24</v>
      </c>
      <c r="M393" s="6"/>
      <c r="N393" s="6"/>
      <c r="O393" s="9">
        <v>-885.6</v>
      </c>
    </row>
    <row r="394" spans="1:15" ht="19.5" customHeight="1">
      <c r="A394" s="1" t="s">
        <v>165</v>
      </c>
      <c r="B394" s="5">
        <v>45941</v>
      </c>
      <c r="C394" s="1" t="s">
        <v>28</v>
      </c>
      <c r="D394" s="1" t="s">
        <v>29</v>
      </c>
      <c r="E394" s="1" t="s">
        <v>51</v>
      </c>
      <c r="F394" s="1" t="s">
        <v>52</v>
      </c>
      <c r="G394" s="1" t="s">
        <v>41</v>
      </c>
      <c r="H394" s="6">
        <v>1</v>
      </c>
      <c r="I394" s="7">
        <v>0</v>
      </c>
      <c r="J394" s="5">
        <v>45934</v>
      </c>
      <c r="K394" s="1" t="s">
        <v>30</v>
      </c>
      <c r="L394" s="8">
        <v>0</v>
      </c>
      <c r="M394" s="6"/>
      <c r="N394" s="6"/>
      <c r="O394" s="9">
        <v>-56</v>
      </c>
    </row>
    <row r="395" spans="1:15" ht="19.5" customHeight="1">
      <c r="A395" s="1" t="s">
        <v>165</v>
      </c>
      <c r="B395" s="5">
        <v>45941</v>
      </c>
      <c r="C395" s="1" t="s">
        <v>17</v>
      </c>
      <c r="D395" s="1" t="s">
        <v>37</v>
      </c>
      <c r="E395" s="1" t="s">
        <v>51</v>
      </c>
      <c r="F395" s="1" t="s">
        <v>52</v>
      </c>
      <c r="G395" s="1" t="s">
        <v>41</v>
      </c>
      <c r="H395" s="6">
        <v>1</v>
      </c>
      <c r="I395" s="7">
        <v>0</v>
      </c>
      <c r="J395" s="5">
        <v>45934</v>
      </c>
      <c r="K395" s="1" t="s">
        <v>30</v>
      </c>
      <c r="L395" s="8">
        <v>0</v>
      </c>
      <c r="M395" s="6"/>
      <c r="N395" s="6"/>
      <c r="O395" s="9">
        <v>-14.96</v>
      </c>
    </row>
    <row r="396" spans="1:15" ht="19.5" customHeight="1">
      <c r="A396" s="1" t="s">
        <v>165</v>
      </c>
      <c r="B396" s="5">
        <v>45941</v>
      </c>
      <c r="C396" s="1" t="s">
        <v>28</v>
      </c>
      <c r="D396" s="1" t="s">
        <v>45</v>
      </c>
      <c r="E396" s="1" t="s">
        <v>51</v>
      </c>
      <c r="F396" s="1" t="s">
        <v>52</v>
      </c>
      <c r="G396" s="1" t="s">
        <v>41</v>
      </c>
      <c r="H396" s="6">
        <v>1</v>
      </c>
      <c r="I396" s="7">
        <v>0</v>
      </c>
      <c r="J396" s="5">
        <v>45934</v>
      </c>
      <c r="K396" s="1" t="s">
        <v>30</v>
      </c>
      <c r="L396" s="8">
        <v>0</v>
      </c>
      <c r="M396" s="6"/>
      <c r="N396" s="6"/>
      <c r="O396" s="9">
        <v>0</v>
      </c>
    </row>
    <row r="397" spans="1:15" ht="19.5" customHeight="1">
      <c r="A397" s="1" t="s">
        <v>165</v>
      </c>
      <c r="B397" s="5">
        <v>45941</v>
      </c>
      <c r="C397" s="1" t="s">
        <v>28</v>
      </c>
      <c r="D397" s="1" t="s">
        <v>46</v>
      </c>
      <c r="E397" s="1" t="s">
        <v>51</v>
      </c>
      <c r="F397" s="1" t="s">
        <v>52</v>
      </c>
      <c r="G397" s="1" t="s">
        <v>41</v>
      </c>
      <c r="H397" s="6">
        <v>1</v>
      </c>
      <c r="I397" s="7">
        <v>0</v>
      </c>
      <c r="J397" s="5">
        <v>45934</v>
      </c>
      <c r="K397" s="1" t="s">
        <v>30</v>
      </c>
      <c r="L397" s="8">
        <v>0</v>
      </c>
      <c r="M397" s="6"/>
      <c r="N397" s="6"/>
      <c r="O397" s="9">
        <v>-56</v>
      </c>
    </row>
    <row r="398" spans="1:15" ht="19.5" customHeight="1">
      <c r="A398" s="1" t="s">
        <v>165</v>
      </c>
      <c r="B398" s="5">
        <v>45941</v>
      </c>
      <c r="C398" s="1" t="s">
        <v>17</v>
      </c>
      <c r="D398" s="1" t="s">
        <v>47</v>
      </c>
      <c r="E398" s="1" t="s">
        <v>51</v>
      </c>
      <c r="F398" s="1" t="s">
        <v>52</v>
      </c>
      <c r="G398" s="1" t="s">
        <v>41</v>
      </c>
      <c r="H398" s="6">
        <v>1</v>
      </c>
      <c r="I398" s="7">
        <v>0</v>
      </c>
      <c r="J398" s="5">
        <v>45934</v>
      </c>
      <c r="K398" s="1" t="s">
        <v>30</v>
      </c>
      <c r="L398" s="8">
        <v>0</v>
      </c>
      <c r="M398" s="6"/>
      <c r="N398" s="6"/>
      <c r="O398" s="9">
        <v>-15</v>
      </c>
    </row>
    <row r="399" spans="1:15" ht="19.5" customHeight="1">
      <c r="A399" s="1" t="s">
        <v>166</v>
      </c>
      <c r="B399" s="5">
        <v>45941</v>
      </c>
      <c r="C399" s="1" t="s">
        <v>28</v>
      </c>
      <c r="D399" s="1" t="s">
        <v>29</v>
      </c>
      <c r="E399" s="1" t="s">
        <v>66</v>
      </c>
      <c r="F399" s="1" t="s">
        <v>67</v>
      </c>
      <c r="G399" s="1" t="s">
        <v>41</v>
      </c>
      <c r="H399" s="6">
        <v>1</v>
      </c>
      <c r="I399" s="7">
        <v>3690</v>
      </c>
      <c r="J399" s="5">
        <v>45940</v>
      </c>
      <c r="K399" s="1" t="s">
        <v>30</v>
      </c>
      <c r="L399" s="8">
        <v>0.24</v>
      </c>
      <c r="M399" s="6"/>
      <c r="N399" s="6"/>
      <c r="O399" s="9">
        <v>-56</v>
      </c>
    </row>
    <row r="400" spans="1:15" ht="19.5" customHeight="1">
      <c r="A400" s="1" t="s">
        <v>166</v>
      </c>
      <c r="B400" s="5">
        <v>45941</v>
      </c>
      <c r="C400" s="1" t="s">
        <v>31</v>
      </c>
      <c r="D400" s="1" t="s">
        <v>32</v>
      </c>
      <c r="E400" s="1" t="s">
        <v>66</v>
      </c>
      <c r="F400" s="1" t="s">
        <v>67</v>
      </c>
      <c r="G400" s="1" t="s">
        <v>41</v>
      </c>
      <c r="H400" s="6">
        <v>1</v>
      </c>
      <c r="I400" s="7">
        <v>3690</v>
      </c>
      <c r="J400" s="5">
        <v>45940</v>
      </c>
      <c r="K400" s="1" t="s">
        <v>30</v>
      </c>
      <c r="L400" s="8">
        <v>0</v>
      </c>
      <c r="M400" s="6"/>
      <c r="N400" s="6"/>
      <c r="O400" s="9">
        <v>2289</v>
      </c>
    </row>
    <row r="401" spans="1:15" ht="19.5" customHeight="1">
      <c r="A401" s="1" t="s">
        <v>166</v>
      </c>
      <c r="B401" s="5">
        <v>45941</v>
      </c>
      <c r="C401" s="1" t="s">
        <v>31</v>
      </c>
      <c r="D401" s="1" t="s">
        <v>33</v>
      </c>
      <c r="E401" s="1" t="s">
        <v>66</v>
      </c>
      <c r="F401" s="1" t="s">
        <v>67</v>
      </c>
      <c r="G401" s="1" t="s">
        <v>41</v>
      </c>
      <c r="H401" s="6">
        <v>1</v>
      </c>
      <c r="I401" s="7">
        <v>3690</v>
      </c>
      <c r="J401" s="5">
        <v>45940</v>
      </c>
      <c r="K401" s="1" t="s">
        <v>30</v>
      </c>
      <c r="L401" s="8">
        <v>0</v>
      </c>
      <c r="M401" s="6"/>
      <c r="N401" s="6"/>
      <c r="O401" s="9">
        <v>22.89</v>
      </c>
    </row>
    <row r="402" spans="1:15" ht="19.5" customHeight="1">
      <c r="A402" s="1" t="s">
        <v>166</v>
      </c>
      <c r="B402" s="5">
        <v>45941</v>
      </c>
      <c r="C402" s="1" t="s">
        <v>31</v>
      </c>
      <c r="D402" s="1" t="s">
        <v>34</v>
      </c>
      <c r="E402" s="1" t="s">
        <v>66</v>
      </c>
      <c r="F402" s="1" t="s">
        <v>67</v>
      </c>
      <c r="G402" s="1" t="s">
        <v>41</v>
      </c>
      <c r="H402" s="6">
        <v>1</v>
      </c>
      <c r="I402" s="7">
        <v>3690</v>
      </c>
      <c r="J402" s="5">
        <v>45940</v>
      </c>
      <c r="K402" s="1" t="s">
        <v>30</v>
      </c>
      <c r="L402" s="8">
        <v>0</v>
      </c>
      <c r="M402" s="6"/>
      <c r="N402" s="6"/>
      <c r="O402" s="9">
        <v>1378.11</v>
      </c>
    </row>
    <row r="403" spans="1:15" ht="19.5" customHeight="1">
      <c r="A403" s="1" t="s">
        <v>166</v>
      </c>
      <c r="B403" s="5">
        <v>45941</v>
      </c>
      <c r="C403" s="1" t="s">
        <v>35</v>
      </c>
      <c r="D403" s="1" t="s">
        <v>36</v>
      </c>
      <c r="E403" s="1" t="s">
        <v>66</v>
      </c>
      <c r="F403" s="1" t="s">
        <v>67</v>
      </c>
      <c r="G403" s="1" t="s">
        <v>41</v>
      </c>
      <c r="H403" s="6">
        <v>1</v>
      </c>
      <c r="I403" s="7">
        <v>3690</v>
      </c>
      <c r="J403" s="5">
        <v>45940</v>
      </c>
      <c r="K403" s="1" t="s">
        <v>30</v>
      </c>
      <c r="L403" s="8">
        <v>0.24</v>
      </c>
      <c r="M403" s="6"/>
      <c r="N403" s="6"/>
      <c r="O403" s="9">
        <v>-885.6</v>
      </c>
    </row>
    <row r="404" spans="1:15" ht="19.5" customHeight="1">
      <c r="A404" s="1" t="s">
        <v>166</v>
      </c>
      <c r="B404" s="5">
        <v>45941</v>
      </c>
      <c r="C404" s="1" t="s">
        <v>17</v>
      </c>
      <c r="D404" s="1" t="s">
        <v>37</v>
      </c>
      <c r="E404" s="1" t="s">
        <v>66</v>
      </c>
      <c r="F404" s="1" t="s">
        <v>67</v>
      </c>
      <c r="G404" s="1" t="s">
        <v>41</v>
      </c>
      <c r="H404" s="6">
        <v>1</v>
      </c>
      <c r="I404" s="7">
        <v>3690</v>
      </c>
      <c r="J404" s="5">
        <v>45940</v>
      </c>
      <c r="K404" s="1" t="s">
        <v>30</v>
      </c>
      <c r="L404" s="8">
        <v>0.24</v>
      </c>
      <c r="M404" s="6"/>
      <c r="N404" s="6"/>
      <c r="O404" s="9">
        <v>-10.8</v>
      </c>
    </row>
    <row r="405" spans="1:15" ht="19.5" customHeight="1">
      <c r="A405" s="1" t="s">
        <v>166</v>
      </c>
      <c r="B405" s="5">
        <v>45941</v>
      </c>
      <c r="C405" s="1" t="s">
        <v>17</v>
      </c>
      <c r="D405" s="1" t="s">
        <v>18</v>
      </c>
      <c r="E405" s="1" t="s">
        <v>66</v>
      </c>
      <c r="F405" s="1" t="s">
        <v>67</v>
      </c>
      <c r="G405" s="1" t="s">
        <v>41</v>
      </c>
      <c r="H405" s="6">
        <v>1</v>
      </c>
      <c r="I405" s="7">
        <v>0</v>
      </c>
      <c r="J405" s="5">
        <v>45940</v>
      </c>
      <c r="K405" s="1" t="s">
        <v>22</v>
      </c>
      <c r="L405" s="8">
        <v>0</v>
      </c>
      <c r="M405" s="6"/>
      <c r="N405" s="6"/>
      <c r="O405" s="9">
        <v>-43.49</v>
      </c>
    </row>
    <row r="406" spans="1:15" ht="19.5" customHeight="1">
      <c r="A406" s="1" t="s">
        <v>167</v>
      </c>
      <c r="B406" s="5">
        <v>45941</v>
      </c>
      <c r="C406" s="1" t="s">
        <v>28</v>
      </c>
      <c r="D406" s="1" t="s">
        <v>29</v>
      </c>
      <c r="E406" s="1" t="s">
        <v>88</v>
      </c>
      <c r="F406" s="1" t="s">
        <v>89</v>
      </c>
      <c r="G406" s="1" t="s">
        <v>21</v>
      </c>
      <c r="H406" s="6">
        <v>1</v>
      </c>
      <c r="I406" s="7">
        <v>0</v>
      </c>
      <c r="J406" s="5">
        <v>45937</v>
      </c>
      <c r="K406" s="1" t="s">
        <v>30</v>
      </c>
      <c r="L406" s="8">
        <v>0</v>
      </c>
      <c r="M406" s="6"/>
      <c r="N406" s="6"/>
      <c r="O406" s="9">
        <v>-46</v>
      </c>
    </row>
    <row r="407" spans="1:15" ht="19.5" customHeight="1">
      <c r="A407" s="1" t="s">
        <v>167</v>
      </c>
      <c r="B407" s="5">
        <v>45941</v>
      </c>
      <c r="C407" s="1" t="s">
        <v>17</v>
      </c>
      <c r="D407" s="1" t="s">
        <v>37</v>
      </c>
      <c r="E407" s="1" t="s">
        <v>88</v>
      </c>
      <c r="F407" s="1" t="s">
        <v>89</v>
      </c>
      <c r="G407" s="1" t="s">
        <v>21</v>
      </c>
      <c r="H407" s="6">
        <v>1</v>
      </c>
      <c r="I407" s="7">
        <v>0</v>
      </c>
      <c r="J407" s="5">
        <v>45937</v>
      </c>
      <c r="K407" s="1" t="s">
        <v>30</v>
      </c>
      <c r="L407" s="8">
        <v>0</v>
      </c>
      <c r="M407" s="6"/>
      <c r="N407" s="6"/>
      <c r="O407" s="9">
        <v>-7.16</v>
      </c>
    </row>
    <row r="408" spans="1:15" ht="19.5" customHeight="1">
      <c r="A408" s="1" t="s">
        <v>22</v>
      </c>
      <c r="B408" s="5">
        <v>45941</v>
      </c>
      <c r="C408" s="1" t="s">
        <v>77</v>
      </c>
      <c r="D408" s="1" t="s">
        <v>78</v>
      </c>
      <c r="E408" s="1" t="s">
        <v>22</v>
      </c>
      <c r="F408" s="1" t="s">
        <v>22</v>
      </c>
      <c r="G408" s="1" t="s">
        <v>168</v>
      </c>
      <c r="H408" s="6">
        <v>0</v>
      </c>
      <c r="I408" s="7">
        <v>0</v>
      </c>
      <c r="J408" s="5">
        <v>45941</v>
      </c>
      <c r="K408" s="1" t="s">
        <v>22</v>
      </c>
      <c r="L408" s="8">
        <v>0</v>
      </c>
      <c r="M408" s="6"/>
      <c r="N408" s="6"/>
      <c r="O408" s="9">
        <v>-200</v>
      </c>
    </row>
    <row r="409" spans="1:15" ht="19.5" customHeight="1">
      <c r="A409" s="1" t="s">
        <v>169</v>
      </c>
      <c r="B409" s="5">
        <v>45941</v>
      </c>
      <c r="C409" s="1" t="s">
        <v>28</v>
      </c>
      <c r="D409" s="1" t="s">
        <v>29</v>
      </c>
      <c r="E409" s="1" t="s">
        <v>25</v>
      </c>
      <c r="F409" s="1" t="s">
        <v>26</v>
      </c>
      <c r="G409" s="1" t="s">
        <v>21</v>
      </c>
      <c r="H409" s="6">
        <v>1</v>
      </c>
      <c r="I409" s="7">
        <v>0</v>
      </c>
      <c r="J409" s="5">
        <v>45937</v>
      </c>
      <c r="K409" s="1" t="s">
        <v>30</v>
      </c>
      <c r="L409" s="8">
        <v>0</v>
      </c>
      <c r="M409" s="6"/>
      <c r="N409" s="6"/>
      <c r="O409" s="9">
        <v>-46</v>
      </c>
    </row>
    <row r="410" spans="1:15" ht="19.5" customHeight="1">
      <c r="A410" s="1" t="s">
        <v>169</v>
      </c>
      <c r="B410" s="5">
        <v>45941</v>
      </c>
      <c r="C410" s="1" t="s">
        <v>17</v>
      </c>
      <c r="D410" s="1" t="s">
        <v>37</v>
      </c>
      <c r="E410" s="1" t="s">
        <v>25</v>
      </c>
      <c r="F410" s="1" t="s">
        <v>26</v>
      </c>
      <c r="G410" s="1" t="s">
        <v>21</v>
      </c>
      <c r="H410" s="6">
        <v>1</v>
      </c>
      <c r="I410" s="7">
        <v>0</v>
      </c>
      <c r="J410" s="5">
        <v>45937</v>
      </c>
      <c r="K410" s="1" t="s">
        <v>30</v>
      </c>
      <c r="L410" s="8">
        <v>0</v>
      </c>
      <c r="M410" s="6"/>
      <c r="N410" s="6"/>
      <c r="O410" s="9">
        <v>-6.14</v>
      </c>
    </row>
    <row r="411" spans="1:15" ht="19.5" customHeight="1">
      <c r="A411" s="1" t="s">
        <v>169</v>
      </c>
      <c r="B411" s="5">
        <v>45941</v>
      </c>
      <c r="C411" s="1" t="s">
        <v>28</v>
      </c>
      <c r="D411" s="1" t="s">
        <v>45</v>
      </c>
      <c r="E411" s="1" t="s">
        <v>25</v>
      </c>
      <c r="F411" s="1" t="s">
        <v>26</v>
      </c>
      <c r="G411" s="1" t="s">
        <v>21</v>
      </c>
      <c r="H411" s="6">
        <v>1</v>
      </c>
      <c r="I411" s="7">
        <v>0</v>
      </c>
      <c r="J411" s="5">
        <v>45937</v>
      </c>
      <c r="K411" s="1" t="s">
        <v>30</v>
      </c>
      <c r="L411" s="8">
        <v>0</v>
      </c>
      <c r="M411" s="6"/>
      <c r="N411" s="6"/>
      <c r="O411" s="9">
        <v>0</v>
      </c>
    </row>
    <row r="412" spans="1:15" ht="19.5" customHeight="1">
      <c r="A412" s="1" t="s">
        <v>169</v>
      </c>
      <c r="B412" s="5">
        <v>45941</v>
      </c>
      <c r="C412" s="1" t="s">
        <v>28</v>
      </c>
      <c r="D412" s="1" t="s">
        <v>46</v>
      </c>
      <c r="E412" s="1" t="s">
        <v>25</v>
      </c>
      <c r="F412" s="1" t="s">
        <v>26</v>
      </c>
      <c r="G412" s="1" t="s">
        <v>21</v>
      </c>
      <c r="H412" s="6">
        <v>1</v>
      </c>
      <c r="I412" s="7">
        <v>0</v>
      </c>
      <c r="J412" s="5">
        <v>45937</v>
      </c>
      <c r="K412" s="1" t="s">
        <v>30</v>
      </c>
      <c r="L412" s="8">
        <v>0</v>
      </c>
      <c r="M412" s="6"/>
      <c r="N412" s="6"/>
      <c r="O412" s="9">
        <v>-46</v>
      </c>
    </row>
    <row r="413" spans="1:15" ht="19.5" customHeight="1">
      <c r="A413" s="1" t="s">
        <v>169</v>
      </c>
      <c r="B413" s="5">
        <v>45941</v>
      </c>
      <c r="C413" s="1" t="s">
        <v>17</v>
      </c>
      <c r="D413" s="1" t="s">
        <v>47</v>
      </c>
      <c r="E413" s="1" t="s">
        <v>25</v>
      </c>
      <c r="F413" s="1" t="s">
        <v>26</v>
      </c>
      <c r="G413" s="1" t="s">
        <v>21</v>
      </c>
      <c r="H413" s="6">
        <v>1</v>
      </c>
      <c r="I413" s="7">
        <v>0</v>
      </c>
      <c r="J413" s="5">
        <v>45937</v>
      </c>
      <c r="K413" s="1" t="s">
        <v>30</v>
      </c>
      <c r="L413" s="8">
        <v>0</v>
      </c>
      <c r="M413" s="6"/>
      <c r="N413" s="6"/>
      <c r="O413" s="9">
        <v>-15</v>
      </c>
    </row>
    <row r="414" spans="1:15" ht="19.5" customHeight="1">
      <c r="A414" s="1" t="s">
        <v>167</v>
      </c>
      <c r="B414" s="5">
        <v>45941</v>
      </c>
      <c r="C414" s="1" t="s">
        <v>28</v>
      </c>
      <c r="D414" s="1" t="s">
        <v>45</v>
      </c>
      <c r="E414" s="1" t="s">
        <v>88</v>
      </c>
      <c r="F414" s="1" t="s">
        <v>89</v>
      </c>
      <c r="G414" s="1" t="s">
        <v>21</v>
      </c>
      <c r="H414" s="6">
        <v>1</v>
      </c>
      <c r="I414" s="7">
        <v>0</v>
      </c>
      <c r="J414" s="5">
        <v>45937</v>
      </c>
      <c r="K414" s="1" t="s">
        <v>30</v>
      </c>
      <c r="L414" s="8">
        <v>0</v>
      </c>
      <c r="M414" s="6"/>
      <c r="N414" s="6"/>
      <c r="O414" s="9">
        <v>0</v>
      </c>
    </row>
    <row r="415" spans="1:15" ht="19.5" customHeight="1">
      <c r="A415" s="1" t="s">
        <v>167</v>
      </c>
      <c r="B415" s="5">
        <v>45941</v>
      </c>
      <c r="C415" s="1" t="s">
        <v>28</v>
      </c>
      <c r="D415" s="1" t="s">
        <v>46</v>
      </c>
      <c r="E415" s="1" t="s">
        <v>88</v>
      </c>
      <c r="F415" s="1" t="s">
        <v>89</v>
      </c>
      <c r="G415" s="1" t="s">
        <v>21</v>
      </c>
      <c r="H415" s="6">
        <v>1</v>
      </c>
      <c r="I415" s="7">
        <v>0</v>
      </c>
      <c r="J415" s="5">
        <v>45937</v>
      </c>
      <c r="K415" s="1" t="s">
        <v>30</v>
      </c>
      <c r="L415" s="8">
        <v>0</v>
      </c>
      <c r="M415" s="6"/>
      <c r="N415" s="6"/>
      <c r="O415" s="9">
        <v>-46</v>
      </c>
    </row>
    <row r="416" spans="1:15" ht="19.5" customHeight="1">
      <c r="A416" s="1" t="s">
        <v>167</v>
      </c>
      <c r="B416" s="5">
        <v>45941</v>
      </c>
      <c r="C416" s="1" t="s">
        <v>17</v>
      </c>
      <c r="D416" s="1" t="s">
        <v>47</v>
      </c>
      <c r="E416" s="1" t="s">
        <v>88</v>
      </c>
      <c r="F416" s="1" t="s">
        <v>89</v>
      </c>
      <c r="G416" s="1" t="s">
        <v>21</v>
      </c>
      <c r="H416" s="6">
        <v>1</v>
      </c>
      <c r="I416" s="7">
        <v>0</v>
      </c>
      <c r="J416" s="5">
        <v>45937</v>
      </c>
      <c r="K416" s="1" t="s">
        <v>30</v>
      </c>
      <c r="L416" s="8">
        <v>0</v>
      </c>
      <c r="M416" s="6"/>
      <c r="N416" s="6"/>
      <c r="O416" s="9">
        <v>-15</v>
      </c>
    </row>
    <row r="417" spans="1:15" ht="19.5" customHeight="1">
      <c r="A417" s="1" t="s">
        <v>170</v>
      </c>
      <c r="B417" s="5">
        <v>45941</v>
      </c>
      <c r="C417" s="1" t="s">
        <v>28</v>
      </c>
      <c r="D417" s="1" t="s">
        <v>29</v>
      </c>
      <c r="E417" s="1" t="s">
        <v>171</v>
      </c>
      <c r="F417" s="1" t="s">
        <v>172</v>
      </c>
      <c r="G417" s="1" t="s">
        <v>41</v>
      </c>
      <c r="H417" s="6">
        <v>1</v>
      </c>
      <c r="I417" s="7">
        <v>0</v>
      </c>
      <c r="J417" s="5">
        <v>45936</v>
      </c>
      <c r="K417" s="1" t="s">
        <v>30</v>
      </c>
      <c r="L417" s="8">
        <v>0</v>
      </c>
      <c r="M417" s="6"/>
      <c r="N417" s="6"/>
      <c r="O417" s="9">
        <v>-56</v>
      </c>
    </row>
    <row r="418" spans="1:15" ht="19.5" customHeight="1">
      <c r="A418" s="1" t="s">
        <v>170</v>
      </c>
      <c r="B418" s="5">
        <v>45941</v>
      </c>
      <c r="C418" s="1" t="s">
        <v>17</v>
      </c>
      <c r="D418" s="1" t="s">
        <v>37</v>
      </c>
      <c r="E418" s="1" t="s">
        <v>171</v>
      </c>
      <c r="F418" s="1" t="s">
        <v>172</v>
      </c>
      <c r="G418" s="1" t="s">
        <v>41</v>
      </c>
      <c r="H418" s="6">
        <v>1</v>
      </c>
      <c r="I418" s="7">
        <v>0</v>
      </c>
      <c r="J418" s="5">
        <v>45936</v>
      </c>
      <c r="K418" s="1" t="s">
        <v>30</v>
      </c>
      <c r="L418" s="8">
        <v>0</v>
      </c>
      <c r="M418" s="6"/>
      <c r="N418" s="6"/>
      <c r="O418" s="9">
        <v>-10.66</v>
      </c>
    </row>
    <row r="419" spans="1:15" ht="19.5" customHeight="1">
      <c r="A419" s="1" t="s">
        <v>170</v>
      </c>
      <c r="B419" s="5">
        <v>45941</v>
      </c>
      <c r="C419" s="1" t="s">
        <v>28</v>
      </c>
      <c r="D419" s="1" t="s">
        <v>45</v>
      </c>
      <c r="E419" s="1" t="s">
        <v>171</v>
      </c>
      <c r="F419" s="1" t="s">
        <v>172</v>
      </c>
      <c r="G419" s="1" t="s">
        <v>41</v>
      </c>
      <c r="H419" s="6">
        <v>1</v>
      </c>
      <c r="I419" s="7">
        <v>0</v>
      </c>
      <c r="J419" s="5">
        <v>45936</v>
      </c>
      <c r="K419" s="1" t="s">
        <v>30</v>
      </c>
      <c r="L419" s="8">
        <v>0</v>
      </c>
      <c r="M419" s="6"/>
      <c r="N419" s="6"/>
      <c r="O419" s="9">
        <v>0</v>
      </c>
    </row>
    <row r="420" spans="1:15" ht="19.5" customHeight="1">
      <c r="A420" s="1" t="s">
        <v>170</v>
      </c>
      <c r="B420" s="5">
        <v>45941</v>
      </c>
      <c r="C420" s="1" t="s">
        <v>28</v>
      </c>
      <c r="D420" s="1" t="s">
        <v>46</v>
      </c>
      <c r="E420" s="1" t="s">
        <v>171</v>
      </c>
      <c r="F420" s="1" t="s">
        <v>172</v>
      </c>
      <c r="G420" s="1" t="s">
        <v>41</v>
      </c>
      <c r="H420" s="6">
        <v>1</v>
      </c>
      <c r="I420" s="7">
        <v>0</v>
      </c>
      <c r="J420" s="5">
        <v>45936</v>
      </c>
      <c r="K420" s="1" t="s">
        <v>30</v>
      </c>
      <c r="L420" s="8">
        <v>0</v>
      </c>
      <c r="M420" s="6"/>
      <c r="N420" s="6"/>
      <c r="O420" s="9">
        <v>-56</v>
      </c>
    </row>
    <row r="421" spans="1:15" ht="19.5" customHeight="1">
      <c r="A421" s="1" t="s">
        <v>170</v>
      </c>
      <c r="B421" s="5">
        <v>45941</v>
      </c>
      <c r="C421" s="1" t="s">
        <v>17</v>
      </c>
      <c r="D421" s="1" t="s">
        <v>47</v>
      </c>
      <c r="E421" s="1" t="s">
        <v>171</v>
      </c>
      <c r="F421" s="1" t="s">
        <v>172</v>
      </c>
      <c r="G421" s="1" t="s">
        <v>41</v>
      </c>
      <c r="H421" s="6">
        <v>1</v>
      </c>
      <c r="I421" s="7">
        <v>0</v>
      </c>
      <c r="J421" s="5">
        <v>45936</v>
      </c>
      <c r="K421" s="1" t="s">
        <v>30</v>
      </c>
      <c r="L421" s="8">
        <v>0</v>
      </c>
      <c r="M421" s="6"/>
      <c r="N421" s="6"/>
      <c r="O421" s="9">
        <v>-15</v>
      </c>
    </row>
    <row r="422" spans="1:15" ht="19.5" customHeight="1">
      <c r="A422" s="1" t="s">
        <v>81</v>
      </c>
      <c r="B422" s="5">
        <v>45941</v>
      </c>
      <c r="C422" s="1" t="s">
        <v>77</v>
      </c>
      <c r="D422" s="1" t="s">
        <v>82</v>
      </c>
      <c r="E422" s="1" t="s">
        <v>22</v>
      </c>
      <c r="F422" s="1" t="s">
        <v>22</v>
      </c>
      <c r="G422" s="1" t="s">
        <v>22</v>
      </c>
      <c r="H422" s="6">
        <v>0</v>
      </c>
      <c r="I422" s="7">
        <v>0</v>
      </c>
      <c r="J422" s="5">
        <v>45941</v>
      </c>
      <c r="K422" s="1" t="s">
        <v>22</v>
      </c>
      <c r="L422" s="8">
        <v>0</v>
      </c>
      <c r="M422" s="6"/>
      <c r="N422" s="6"/>
      <c r="O422" s="9">
        <v>-1311.25</v>
      </c>
    </row>
    <row r="423" spans="1:15" ht="19.5" customHeight="1">
      <c r="A423" s="1" t="s">
        <v>83</v>
      </c>
      <c r="B423" s="5">
        <v>45941</v>
      </c>
      <c r="C423" s="1" t="s">
        <v>77</v>
      </c>
      <c r="D423" s="1" t="s">
        <v>84</v>
      </c>
      <c r="E423" s="1" t="s">
        <v>22</v>
      </c>
      <c r="F423" s="1" t="s">
        <v>22</v>
      </c>
      <c r="G423" s="1" t="s">
        <v>22</v>
      </c>
      <c r="H423" s="6">
        <v>0</v>
      </c>
      <c r="I423" s="7">
        <v>0</v>
      </c>
      <c r="J423" s="5">
        <v>45941</v>
      </c>
      <c r="K423" s="1" t="s">
        <v>22</v>
      </c>
      <c r="L423" s="8">
        <v>0</v>
      </c>
      <c r="M423" s="6"/>
      <c r="N423" s="6"/>
      <c r="O423" s="9">
        <v>-1003.14</v>
      </c>
    </row>
    <row r="424" spans="1:15" ht="19.5" customHeight="1">
      <c r="A424" s="1" t="s">
        <v>86</v>
      </c>
      <c r="B424" s="5">
        <v>45941</v>
      </c>
      <c r="C424" s="1" t="s">
        <v>77</v>
      </c>
      <c r="D424" s="1" t="s">
        <v>82</v>
      </c>
      <c r="E424" s="1" t="s">
        <v>22</v>
      </c>
      <c r="F424" s="1" t="s">
        <v>22</v>
      </c>
      <c r="G424" s="1" t="s">
        <v>22</v>
      </c>
      <c r="H424" s="6">
        <v>0</v>
      </c>
      <c r="I424" s="7">
        <v>0</v>
      </c>
      <c r="J424" s="5">
        <v>45941</v>
      </c>
      <c r="K424" s="1" t="s">
        <v>22</v>
      </c>
      <c r="L424" s="8">
        <v>0</v>
      </c>
      <c r="M424" s="6"/>
      <c r="N424" s="6"/>
      <c r="O424" s="9">
        <v>-2382.16</v>
      </c>
    </row>
    <row r="425" spans="1:15" ht="19.5" customHeight="1">
      <c r="A425" s="1" t="s">
        <v>145</v>
      </c>
      <c r="B425" s="5">
        <v>45941</v>
      </c>
      <c r="C425" s="1" t="s">
        <v>77</v>
      </c>
      <c r="D425" s="1" t="s">
        <v>82</v>
      </c>
      <c r="E425" s="1" t="s">
        <v>22</v>
      </c>
      <c r="F425" s="1" t="s">
        <v>22</v>
      </c>
      <c r="G425" s="1" t="s">
        <v>22</v>
      </c>
      <c r="H425" s="6">
        <v>0</v>
      </c>
      <c r="I425" s="7">
        <v>0</v>
      </c>
      <c r="J425" s="5">
        <v>45941</v>
      </c>
      <c r="K425" s="1" t="s">
        <v>22</v>
      </c>
      <c r="L425" s="8">
        <v>0</v>
      </c>
      <c r="M425" s="6"/>
      <c r="N425" s="6"/>
      <c r="O425" s="9">
        <v>-1100.49</v>
      </c>
    </row>
    <row r="426" spans="1:15" ht="19.5" customHeight="1">
      <c r="A426" s="1" t="s">
        <v>161</v>
      </c>
      <c r="B426" s="5">
        <v>45942</v>
      </c>
      <c r="C426" s="1" t="s">
        <v>17</v>
      </c>
      <c r="D426" s="1" t="s">
        <v>18</v>
      </c>
      <c r="E426" s="1" t="s">
        <v>25</v>
      </c>
      <c r="F426" s="1" t="s">
        <v>26</v>
      </c>
      <c r="G426" s="1" t="s">
        <v>21</v>
      </c>
      <c r="H426" s="6">
        <v>1</v>
      </c>
      <c r="I426" s="7">
        <v>0</v>
      </c>
      <c r="J426" s="5">
        <v>45941</v>
      </c>
      <c r="K426" s="1" t="s">
        <v>22</v>
      </c>
      <c r="L426" s="8">
        <v>0</v>
      </c>
      <c r="M426" s="6"/>
      <c r="N426" s="6"/>
      <c r="O426" s="9">
        <v>6.44</v>
      </c>
    </row>
    <row r="427" spans="1:15" ht="19.5" customHeight="1">
      <c r="A427" s="1" t="s">
        <v>173</v>
      </c>
      <c r="B427" s="5">
        <v>45942</v>
      </c>
      <c r="C427" s="1" t="s">
        <v>28</v>
      </c>
      <c r="D427" s="1" t="s">
        <v>29</v>
      </c>
      <c r="E427" s="1" t="s">
        <v>62</v>
      </c>
      <c r="F427" s="1" t="s">
        <v>63</v>
      </c>
      <c r="G427" s="1" t="s">
        <v>41</v>
      </c>
      <c r="H427" s="6">
        <v>1</v>
      </c>
      <c r="I427" s="7">
        <v>0</v>
      </c>
      <c r="J427" s="5">
        <v>45938</v>
      </c>
      <c r="K427" s="1" t="s">
        <v>30</v>
      </c>
      <c r="L427" s="8">
        <v>0</v>
      </c>
      <c r="M427" s="6"/>
      <c r="N427" s="6"/>
      <c r="O427" s="9">
        <v>-56</v>
      </c>
    </row>
    <row r="428" spans="1:15" ht="19.5" customHeight="1">
      <c r="A428" s="1" t="s">
        <v>173</v>
      </c>
      <c r="B428" s="5">
        <v>45942</v>
      </c>
      <c r="C428" s="1" t="s">
        <v>17</v>
      </c>
      <c r="D428" s="1" t="s">
        <v>37</v>
      </c>
      <c r="E428" s="1" t="s">
        <v>62</v>
      </c>
      <c r="F428" s="1" t="s">
        <v>63</v>
      </c>
      <c r="G428" s="1" t="s">
        <v>41</v>
      </c>
      <c r="H428" s="6">
        <v>1</v>
      </c>
      <c r="I428" s="7">
        <v>0</v>
      </c>
      <c r="J428" s="5">
        <v>45938</v>
      </c>
      <c r="K428" s="1" t="s">
        <v>30</v>
      </c>
      <c r="L428" s="8">
        <v>0</v>
      </c>
      <c r="M428" s="6"/>
      <c r="N428" s="6"/>
      <c r="O428" s="9">
        <v>-17.93</v>
      </c>
    </row>
    <row r="429" spans="1:15" ht="19.5" customHeight="1">
      <c r="A429" s="1" t="s">
        <v>173</v>
      </c>
      <c r="B429" s="5">
        <v>45942</v>
      </c>
      <c r="C429" s="1" t="s">
        <v>28</v>
      </c>
      <c r="D429" s="1" t="s">
        <v>45</v>
      </c>
      <c r="E429" s="1" t="s">
        <v>62</v>
      </c>
      <c r="F429" s="1" t="s">
        <v>63</v>
      </c>
      <c r="G429" s="1" t="s">
        <v>41</v>
      </c>
      <c r="H429" s="6">
        <v>1</v>
      </c>
      <c r="I429" s="7">
        <v>0</v>
      </c>
      <c r="J429" s="5">
        <v>45938</v>
      </c>
      <c r="K429" s="1" t="s">
        <v>30</v>
      </c>
      <c r="L429" s="8">
        <v>0</v>
      </c>
      <c r="M429" s="6"/>
      <c r="N429" s="6"/>
      <c r="O429" s="9">
        <v>0</v>
      </c>
    </row>
    <row r="430" spans="1:15" ht="19.5" customHeight="1">
      <c r="A430" s="1" t="s">
        <v>173</v>
      </c>
      <c r="B430" s="5">
        <v>45942</v>
      </c>
      <c r="C430" s="1" t="s">
        <v>28</v>
      </c>
      <c r="D430" s="1" t="s">
        <v>46</v>
      </c>
      <c r="E430" s="1" t="s">
        <v>62</v>
      </c>
      <c r="F430" s="1" t="s">
        <v>63</v>
      </c>
      <c r="G430" s="1" t="s">
        <v>41</v>
      </c>
      <c r="H430" s="6">
        <v>1</v>
      </c>
      <c r="I430" s="7">
        <v>0</v>
      </c>
      <c r="J430" s="5">
        <v>45938</v>
      </c>
      <c r="K430" s="1" t="s">
        <v>30</v>
      </c>
      <c r="L430" s="8">
        <v>0</v>
      </c>
      <c r="M430" s="6"/>
      <c r="N430" s="6"/>
      <c r="O430" s="9">
        <v>-56</v>
      </c>
    </row>
    <row r="431" spans="1:15" ht="19.5" customHeight="1">
      <c r="A431" s="1" t="s">
        <v>173</v>
      </c>
      <c r="B431" s="5">
        <v>45942</v>
      </c>
      <c r="C431" s="1" t="s">
        <v>17</v>
      </c>
      <c r="D431" s="1" t="s">
        <v>47</v>
      </c>
      <c r="E431" s="1" t="s">
        <v>62</v>
      </c>
      <c r="F431" s="1" t="s">
        <v>63</v>
      </c>
      <c r="G431" s="1" t="s">
        <v>41</v>
      </c>
      <c r="H431" s="6">
        <v>1</v>
      </c>
      <c r="I431" s="7">
        <v>0</v>
      </c>
      <c r="J431" s="5">
        <v>45938</v>
      </c>
      <c r="K431" s="1" t="s">
        <v>30</v>
      </c>
      <c r="L431" s="8">
        <v>0</v>
      </c>
      <c r="M431" s="6"/>
      <c r="N431" s="6"/>
      <c r="O431" s="9">
        <v>-15</v>
      </c>
    </row>
    <row r="432" spans="1:15" ht="19.5" customHeight="1">
      <c r="A432" s="1" t="s">
        <v>174</v>
      </c>
      <c r="B432" s="5">
        <v>45942</v>
      </c>
      <c r="C432" s="1" t="s">
        <v>28</v>
      </c>
      <c r="D432" s="1" t="s">
        <v>29</v>
      </c>
      <c r="E432" s="1" t="s">
        <v>54</v>
      </c>
      <c r="F432" s="1" t="s">
        <v>55</v>
      </c>
      <c r="G432" s="1" t="s">
        <v>21</v>
      </c>
      <c r="H432" s="6">
        <v>1</v>
      </c>
      <c r="I432" s="7">
        <v>1400</v>
      </c>
      <c r="J432" s="5">
        <v>45937</v>
      </c>
      <c r="K432" s="1" t="s">
        <v>30</v>
      </c>
      <c r="L432" s="8">
        <v>0.26</v>
      </c>
      <c r="M432" s="6"/>
      <c r="N432" s="6"/>
      <c r="O432" s="9">
        <v>-46</v>
      </c>
    </row>
    <row r="433" spans="1:15" ht="19.5" customHeight="1">
      <c r="A433" s="1" t="s">
        <v>174</v>
      </c>
      <c r="B433" s="5">
        <v>45942</v>
      </c>
      <c r="C433" s="1" t="s">
        <v>31</v>
      </c>
      <c r="D433" s="1" t="s">
        <v>32</v>
      </c>
      <c r="E433" s="1" t="s">
        <v>54</v>
      </c>
      <c r="F433" s="1" t="s">
        <v>55</v>
      </c>
      <c r="G433" s="1" t="s">
        <v>21</v>
      </c>
      <c r="H433" s="6">
        <v>1</v>
      </c>
      <c r="I433" s="7">
        <v>1400</v>
      </c>
      <c r="J433" s="5">
        <v>45937</v>
      </c>
      <c r="K433" s="1" t="s">
        <v>30</v>
      </c>
      <c r="L433" s="8">
        <v>0</v>
      </c>
      <c r="M433" s="6"/>
      <c r="N433" s="6"/>
      <c r="O433" s="9">
        <v>826.67</v>
      </c>
    </row>
    <row r="434" spans="1:15" ht="19.5" customHeight="1">
      <c r="A434" s="1" t="s">
        <v>174</v>
      </c>
      <c r="B434" s="5">
        <v>45942</v>
      </c>
      <c r="C434" s="1" t="s">
        <v>31</v>
      </c>
      <c r="D434" s="1" t="s">
        <v>33</v>
      </c>
      <c r="E434" s="1" t="s">
        <v>54</v>
      </c>
      <c r="F434" s="1" t="s">
        <v>55</v>
      </c>
      <c r="G434" s="1" t="s">
        <v>21</v>
      </c>
      <c r="H434" s="6">
        <v>1</v>
      </c>
      <c r="I434" s="7">
        <v>1400</v>
      </c>
      <c r="J434" s="5">
        <v>45937</v>
      </c>
      <c r="K434" s="1" t="s">
        <v>30</v>
      </c>
      <c r="L434" s="8">
        <v>0</v>
      </c>
      <c r="M434" s="6"/>
      <c r="N434" s="6"/>
      <c r="O434" s="9">
        <v>8.27</v>
      </c>
    </row>
    <row r="435" spans="1:15" ht="19.5" customHeight="1">
      <c r="A435" s="1" t="s">
        <v>174</v>
      </c>
      <c r="B435" s="5">
        <v>45942</v>
      </c>
      <c r="C435" s="1" t="s">
        <v>31</v>
      </c>
      <c r="D435" s="1" t="s">
        <v>34</v>
      </c>
      <c r="E435" s="1" t="s">
        <v>54</v>
      </c>
      <c r="F435" s="1" t="s">
        <v>55</v>
      </c>
      <c r="G435" s="1" t="s">
        <v>21</v>
      </c>
      <c r="H435" s="6">
        <v>1</v>
      </c>
      <c r="I435" s="7">
        <v>1400</v>
      </c>
      <c r="J435" s="5">
        <v>45937</v>
      </c>
      <c r="K435" s="1" t="s">
        <v>30</v>
      </c>
      <c r="L435" s="8">
        <v>0</v>
      </c>
      <c r="M435" s="6"/>
      <c r="N435" s="6"/>
      <c r="O435" s="9">
        <v>565.05999999999995</v>
      </c>
    </row>
    <row r="436" spans="1:15" ht="19.5" customHeight="1">
      <c r="A436" s="1" t="s">
        <v>174</v>
      </c>
      <c r="B436" s="5">
        <v>45942</v>
      </c>
      <c r="C436" s="1" t="s">
        <v>35</v>
      </c>
      <c r="D436" s="1" t="s">
        <v>36</v>
      </c>
      <c r="E436" s="1" t="s">
        <v>54</v>
      </c>
      <c r="F436" s="1" t="s">
        <v>55</v>
      </c>
      <c r="G436" s="1" t="s">
        <v>21</v>
      </c>
      <c r="H436" s="6">
        <v>1</v>
      </c>
      <c r="I436" s="7">
        <v>1400</v>
      </c>
      <c r="J436" s="5">
        <v>45937</v>
      </c>
      <c r="K436" s="1" t="s">
        <v>30</v>
      </c>
      <c r="L436" s="8">
        <v>0.26</v>
      </c>
      <c r="M436" s="6"/>
      <c r="N436" s="6"/>
      <c r="O436" s="9">
        <v>-364</v>
      </c>
    </row>
    <row r="437" spans="1:15" ht="19.5" customHeight="1">
      <c r="A437" s="1" t="s">
        <v>174</v>
      </c>
      <c r="B437" s="5">
        <v>45942</v>
      </c>
      <c r="C437" s="1" t="s">
        <v>17</v>
      </c>
      <c r="D437" s="1" t="s">
        <v>37</v>
      </c>
      <c r="E437" s="1" t="s">
        <v>54</v>
      </c>
      <c r="F437" s="1" t="s">
        <v>55</v>
      </c>
      <c r="G437" s="1" t="s">
        <v>21</v>
      </c>
      <c r="H437" s="6">
        <v>1</v>
      </c>
      <c r="I437" s="7">
        <v>1400</v>
      </c>
      <c r="J437" s="5">
        <v>45937</v>
      </c>
      <c r="K437" s="1" t="s">
        <v>30</v>
      </c>
      <c r="L437" s="8">
        <v>0.26</v>
      </c>
      <c r="M437" s="6"/>
      <c r="N437" s="6"/>
      <c r="O437" s="9">
        <v>-8.2899999999999991</v>
      </c>
    </row>
    <row r="438" spans="1:15" ht="19.5" customHeight="1">
      <c r="A438" s="1" t="s">
        <v>174</v>
      </c>
      <c r="B438" s="5">
        <v>45942</v>
      </c>
      <c r="C438" s="1" t="s">
        <v>17</v>
      </c>
      <c r="D438" s="1" t="s">
        <v>18</v>
      </c>
      <c r="E438" s="1" t="s">
        <v>54</v>
      </c>
      <c r="F438" s="1" t="s">
        <v>55</v>
      </c>
      <c r="G438" s="1" t="s">
        <v>21</v>
      </c>
      <c r="H438" s="6">
        <v>1</v>
      </c>
      <c r="I438" s="7">
        <v>0</v>
      </c>
      <c r="J438" s="5">
        <v>45937</v>
      </c>
      <c r="K438" s="1" t="s">
        <v>22</v>
      </c>
      <c r="L438" s="8">
        <v>0</v>
      </c>
      <c r="M438" s="6"/>
      <c r="N438" s="6"/>
      <c r="O438" s="9">
        <v>-15.71</v>
      </c>
    </row>
    <row r="439" spans="1:15" ht="19.5" customHeight="1">
      <c r="A439" s="1" t="s">
        <v>175</v>
      </c>
      <c r="B439" s="5">
        <v>45942</v>
      </c>
      <c r="C439" s="1" t="s">
        <v>28</v>
      </c>
      <c r="D439" s="1" t="s">
        <v>29</v>
      </c>
      <c r="E439" s="1" t="s">
        <v>25</v>
      </c>
      <c r="F439" s="1" t="s">
        <v>26</v>
      </c>
      <c r="G439" s="1" t="s">
        <v>21</v>
      </c>
      <c r="H439" s="6">
        <v>1</v>
      </c>
      <c r="I439" s="7">
        <v>1140</v>
      </c>
      <c r="J439" s="5">
        <v>45941</v>
      </c>
      <c r="K439" s="1" t="s">
        <v>30</v>
      </c>
      <c r="L439" s="8">
        <v>0.26</v>
      </c>
      <c r="M439" s="6"/>
      <c r="N439" s="6"/>
      <c r="O439" s="9">
        <v>-46</v>
      </c>
    </row>
    <row r="440" spans="1:15" ht="19.5" customHeight="1">
      <c r="A440" s="1" t="s">
        <v>175</v>
      </c>
      <c r="B440" s="5">
        <v>45942</v>
      </c>
      <c r="C440" s="1" t="s">
        <v>31</v>
      </c>
      <c r="D440" s="1" t="s">
        <v>32</v>
      </c>
      <c r="E440" s="1" t="s">
        <v>25</v>
      </c>
      <c r="F440" s="1" t="s">
        <v>26</v>
      </c>
      <c r="G440" s="1" t="s">
        <v>21</v>
      </c>
      <c r="H440" s="6">
        <v>1</v>
      </c>
      <c r="I440" s="7">
        <v>1140</v>
      </c>
      <c r="J440" s="5">
        <v>45941</v>
      </c>
      <c r="K440" s="1" t="s">
        <v>30</v>
      </c>
      <c r="L440" s="8">
        <v>0</v>
      </c>
      <c r="M440" s="6"/>
      <c r="N440" s="6"/>
      <c r="O440" s="9">
        <v>644</v>
      </c>
    </row>
    <row r="441" spans="1:15" ht="19.5" customHeight="1">
      <c r="A441" s="1" t="s">
        <v>175</v>
      </c>
      <c r="B441" s="5">
        <v>45942</v>
      </c>
      <c r="C441" s="1" t="s">
        <v>31</v>
      </c>
      <c r="D441" s="1" t="s">
        <v>33</v>
      </c>
      <c r="E441" s="1" t="s">
        <v>25</v>
      </c>
      <c r="F441" s="1" t="s">
        <v>26</v>
      </c>
      <c r="G441" s="1" t="s">
        <v>21</v>
      </c>
      <c r="H441" s="6">
        <v>1</v>
      </c>
      <c r="I441" s="7">
        <v>1140</v>
      </c>
      <c r="J441" s="5">
        <v>45941</v>
      </c>
      <c r="K441" s="1" t="s">
        <v>30</v>
      </c>
      <c r="L441" s="8">
        <v>0</v>
      </c>
      <c r="M441" s="6"/>
      <c r="N441" s="6"/>
      <c r="O441" s="9">
        <v>6.44</v>
      </c>
    </row>
    <row r="442" spans="1:15" ht="19.5" customHeight="1">
      <c r="A442" s="1" t="s">
        <v>175</v>
      </c>
      <c r="B442" s="5">
        <v>45942</v>
      </c>
      <c r="C442" s="1" t="s">
        <v>31</v>
      </c>
      <c r="D442" s="1" t="s">
        <v>34</v>
      </c>
      <c r="E442" s="1" t="s">
        <v>25</v>
      </c>
      <c r="F442" s="1" t="s">
        <v>26</v>
      </c>
      <c r="G442" s="1" t="s">
        <v>21</v>
      </c>
      <c r="H442" s="6">
        <v>1</v>
      </c>
      <c r="I442" s="7">
        <v>1140</v>
      </c>
      <c r="J442" s="5">
        <v>45941</v>
      </c>
      <c r="K442" s="1" t="s">
        <v>30</v>
      </c>
      <c r="L442" s="8">
        <v>0</v>
      </c>
      <c r="M442" s="6"/>
      <c r="N442" s="6"/>
      <c r="O442" s="9">
        <v>489.56</v>
      </c>
    </row>
    <row r="443" spans="1:15" ht="19.5" customHeight="1">
      <c r="A443" s="1" t="s">
        <v>175</v>
      </c>
      <c r="B443" s="5">
        <v>45942</v>
      </c>
      <c r="C443" s="1" t="s">
        <v>35</v>
      </c>
      <c r="D443" s="1" t="s">
        <v>36</v>
      </c>
      <c r="E443" s="1" t="s">
        <v>25</v>
      </c>
      <c r="F443" s="1" t="s">
        <v>26</v>
      </c>
      <c r="G443" s="1" t="s">
        <v>21</v>
      </c>
      <c r="H443" s="6">
        <v>1</v>
      </c>
      <c r="I443" s="7">
        <v>1140</v>
      </c>
      <c r="J443" s="5">
        <v>45941</v>
      </c>
      <c r="K443" s="1" t="s">
        <v>30</v>
      </c>
      <c r="L443" s="8">
        <v>0.26</v>
      </c>
      <c r="M443" s="6"/>
      <c r="N443" s="6"/>
      <c r="O443" s="9">
        <v>-296.39999999999998</v>
      </c>
    </row>
    <row r="444" spans="1:15" ht="19.5" customHeight="1">
      <c r="A444" s="1" t="s">
        <v>175</v>
      </c>
      <c r="B444" s="5">
        <v>45942</v>
      </c>
      <c r="C444" s="1" t="s">
        <v>17</v>
      </c>
      <c r="D444" s="1" t="s">
        <v>37</v>
      </c>
      <c r="E444" s="1" t="s">
        <v>25</v>
      </c>
      <c r="F444" s="1" t="s">
        <v>26</v>
      </c>
      <c r="G444" s="1" t="s">
        <v>21</v>
      </c>
      <c r="H444" s="6">
        <v>1</v>
      </c>
      <c r="I444" s="7">
        <v>1140</v>
      </c>
      <c r="J444" s="5">
        <v>45941</v>
      </c>
      <c r="K444" s="1" t="s">
        <v>30</v>
      </c>
      <c r="L444" s="8">
        <v>0.26</v>
      </c>
      <c r="M444" s="6"/>
      <c r="N444" s="6"/>
      <c r="O444" s="9">
        <v>-4.55</v>
      </c>
    </row>
    <row r="445" spans="1:15" ht="19.5" customHeight="1">
      <c r="A445" s="1" t="s">
        <v>175</v>
      </c>
      <c r="B445" s="5">
        <v>45942</v>
      </c>
      <c r="C445" s="1" t="s">
        <v>17</v>
      </c>
      <c r="D445" s="1" t="s">
        <v>18</v>
      </c>
      <c r="E445" s="1" t="s">
        <v>25</v>
      </c>
      <c r="F445" s="1" t="s">
        <v>26</v>
      </c>
      <c r="G445" s="1" t="s">
        <v>21</v>
      </c>
      <c r="H445" s="6">
        <v>1</v>
      </c>
      <c r="I445" s="7">
        <v>0</v>
      </c>
      <c r="J445" s="5">
        <v>45941</v>
      </c>
      <c r="K445" s="1" t="s">
        <v>22</v>
      </c>
      <c r="L445" s="8">
        <v>0</v>
      </c>
      <c r="M445" s="6"/>
      <c r="N445" s="6"/>
      <c r="O445" s="9">
        <v>-12.24</v>
      </c>
    </row>
    <row r="446" spans="1:15" ht="19.5" customHeight="1">
      <c r="A446" s="1" t="s">
        <v>176</v>
      </c>
      <c r="B446" s="5">
        <v>45942</v>
      </c>
      <c r="C446" s="1" t="s">
        <v>28</v>
      </c>
      <c r="D446" s="1" t="s">
        <v>29</v>
      </c>
      <c r="E446" s="1" t="s">
        <v>19</v>
      </c>
      <c r="F446" s="1" t="s">
        <v>20</v>
      </c>
      <c r="G446" s="1" t="s">
        <v>21</v>
      </c>
      <c r="H446" s="6">
        <v>1</v>
      </c>
      <c r="I446" s="7">
        <v>1366</v>
      </c>
      <c r="J446" s="5">
        <v>45941</v>
      </c>
      <c r="K446" s="1" t="s">
        <v>30</v>
      </c>
      <c r="L446" s="8">
        <v>0.26</v>
      </c>
      <c r="M446" s="6"/>
      <c r="N446" s="6"/>
      <c r="O446" s="9">
        <v>-46</v>
      </c>
    </row>
    <row r="447" spans="1:15" ht="19.5" customHeight="1">
      <c r="A447" s="1" t="s">
        <v>176</v>
      </c>
      <c r="B447" s="5">
        <v>45942</v>
      </c>
      <c r="C447" s="1" t="s">
        <v>31</v>
      </c>
      <c r="D447" s="1" t="s">
        <v>32</v>
      </c>
      <c r="E447" s="1" t="s">
        <v>19</v>
      </c>
      <c r="F447" s="1" t="s">
        <v>20</v>
      </c>
      <c r="G447" s="1" t="s">
        <v>21</v>
      </c>
      <c r="H447" s="6">
        <v>1</v>
      </c>
      <c r="I447" s="7">
        <v>1366</v>
      </c>
      <c r="J447" s="5">
        <v>45941</v>
      </c>
      <c r="K447" s="1" t="s">
        <v>30</v>
      </c>
      <c r="L447" s="8">
        <v>0</v>
      </c>
      <c r="M447" s="6"/>
      <c r="N447" s="6"/>
      <c r="O447" s="9">
        <v>833</v>
      </c>
    </row>
    <row r="448" spans="1:15" ht="19.5" customHeight="1">
      <c r="A448" s="1" t="s">
        <v>176</v>
      </c>
      <c r="B448" s="5">
        <v>45942</v>
      </c>
      <c r="C448" s="1" t="s">
        <v>31</v>
      </c>
      <c r="D448" s="1" t="s">
        <v>33</v>
      </c>
      <c r="E448" s="1" t="s">
        <v>19</v>
      </c>
      <c r="F448" s="1" t="s">
        <v>20</v>
      </c>
      <c r="G448" s="1" t="s">
        <v>21</v>
      </c>
      <c r="H448" s="6">
        <v>1</v>
      </c>
      <c r="I448" s="7">
        <v>1366</v>
      </c>
      <c r="J448" s="5">
        <v>45941</v>
      </c>
      <c r="K448" s="1" t="s">
        <v>30</v>
      </c>
      <c r="L448" s="8">
        <v>0</v>
      </c>
      <c r="M448" s="6"/>
      <c r="N448" s="6"/>
      <c r="O448" s="9">
        <v>8.33</v>
      </c>
    </row>
    <row r="449" spans="1:15" ht="19.5" customHeight="1">
      <c r="A449" s="1" t="s">
        <v>176</v>
      </c>
      <c r="B449" s="5">
        <v>45942</v>
      </c>
      <c r="C449" s="1" t="s">
        <v>31</v>
      </c>
      <c r="D449" s="1" t="s">
        <v>34</v>
      </c>
      <c r="E449" s="1" t="s">
        <v>19</v>
      </c>
      <c r="F449" s="1" t="s">
        <v>20</v>
      </c>
      <c r="G449" s="1" t="s">
        <v>21</v>
      </c>
      <c r="H449" s="6">
        <v>1</v>
      </c>
      <c r="I449" s="7">
        <v>1366</v>
      </c>
      <c r="J449" s="5">
        <v>45941</v>
      </c>
      <c r="K449" s="1" t="s">
        <v>30</v>
      </c>
      <c r="L449" s="8">
        <v>0</v>
      </c>
      <c r="M449" s="6"/>
      <c r="N449" s="6"/>
      <c r="O449" s="9">
        <v>524.66999999999996</v>
      </c>
    </row>
    <row r="450" spans="1:15" ht="19.5" customHeight="1">
      <c r="A450" s="1" t="s">
        <v>176</v>
      </c>
      <c r="B450" s="5">
        <v>45942</v>
      </c>
      <c r="C450" s="1" t="s">
        <v>35</v>
      </c>
      <c r="D450" s="1" t="s">
        <v>36</v>
      </c>
      <c r="E450" s="1" t="s">
        <v>19</v>
      </c>
      <c r="F450" s="1" t="s">
        <v>20</v>
      </c>
      <c r="G450" s="1" t="s">
        <v>21</v>
      </c>
      <c r="H450" s="6">
        <v>1</v>
      </c>
      <c r="I450" s="7">
        <v>1366</v>
      </c>
      <c r="J450" s="5">
        <v>45941</v>
      </c>
      <c r="K450" s="1" t="s">
        <v>30</v>
      </c>
      <c r="L450" s="8">
        <v>0.26</v>
      </c>
      <c r="M450" s="6"/>
      <c r="N450" s="6"/>
      <c r="O450" s="9">
        <v>-355.16</v>
      </c>
    </row>
    <row r="451" spans="1:15" ht="19.5" customHeight="1">
      <c r="A451" s="1" t="s">
        <v>176</v>
      </c>
      <c r="B451" s="5">
        <v>45942</v>
      </c>
      <c r="C451" s="1" t="s">
        <v>17</v>
      </c>
      <c r="D451" s="1" t="s">
        <v>37</v>
      </c>
      <c r="E451" s="1" t="s">
        <v>19</v>
      </c>
      <c r="F451" s="1" t="s">
        <v>20</v>
      </c>
      <c r="G451" s="1" t="s">
        <v>21</v>
      </c>
      <c r="H451" s="6">
        <v>1</v>
      </c>
      <c r="I451" s="7">
        <v>1366</v>
      </c>
      <c r="J451" s="5">
        <v>45941</v>
      </c>
      <c r="K451" s="1" t="s">
        <v>30</v>
      </c>
      <c r="L451" s="8">
        <v>0.26</v>
      </c>
      <c r="M451" s="6"/>
      <c r="N451" s="6"/>
      <c r="O451" s="9">
        <v>-7.83</v>
      </c>
    </row>
    <row r="452" spans="1:15" ht="19.5" customHeight="1">
      <c r="A452" s="1" t="s">
        <v>177</v>
      </c>
      <c r="B452" s="5">
        <v>45942</v>
      </c>
      <c r="C452" s="1" t="s">
        <v>28</v>
      </c>
      <c r="D452" s="1" t="s">
        <v>29</v>
      </c>
      <c r="E452" s="1" t="s">
        <v>25</v>
      </c>
      <c r="F452" s="1" t="s">
        <v>26</v>
      </c>
      <c r="G452" s="1" t="s">
        <v>21</v>
      </c>
      <c r="H452" s="6">
        <v>1</v>
      </c>
      <c r="I452" s="7">
        <v>0</v>
      </c>
      <c r="J452" s="5">
        <v>45936</v>
      </c>
      <c r="K452" s="1" t="s">
        <v>30</v>
      </c>
      <c r="L452" s="8">
        <v>0</v>
      </c>
      <c r="M452" s="6"/>
      <c r="N452" s="6"/>
      <c r="O452" s="9">
        <v>-46</v>
      </c>
    </row>
    <row r="453" spans="1:15" ht="19.5" customHeight="1">
      <c r="A453" s="1" t="s">
        <v>177</v>
      </c>
      <c r="B453" s="5">
        <v>45942</v>
      </c>
      <c r="C453" s="1" t="s">
        <v>17</v>
      </c>
      <c r="D453" s="1" t="s">
        <v>37</v>
      </c>
      <c r="E453" s="1" t="s">
        <v>25</v>
      </c>
      <c r="F453" s="1" t="s">
        <v>26</v>
      </c>
      <c r="G453" s="1" t="s">
        <v>21</v>
      </c>
      <c r="H453" s="6">
        <v>1</v>
      </c>
      <c r="I453" s="7">
        <v>0</v>
      </c>
      <c r="J453" s="5">
        <v>45936</v>
      </c>
      <c r="K453" s="1" t="s">
        <v>30</v>
      </c>
      <c r="L453" s="8">
        <v>0</v>
      </c>
      <c r="M453" s="6"/>
      <c r="N453" s="6"/>
      <c r="O453" s="9">
        <v>-5.27</v>
      </c>
    </row>
    <row r="454" spans="1:15" ht="19.5" customHeight="1">
      <c r="A454" s="1" t="s">
        <v>177</v>
      </c>
      <c r="B454" s="5">
        <v>45942</v>
      </c>
      <c r="C454" s="1" t="s">
        <v>28</v>
      </c>
      <c r="D454" s="1" t="s">
        <v>45</v>
      </c>
      <c r="E454" s="1" t="s">
        <v>25</v>
      </c>
      <c r="F454" s="1" t="s">
        <v>26</v>
      </c>
      <c r="G454" s="1" t="s">
        <v>21</v>
      </c>
      <c r="H454" s="6">
        <v>1</v>
      </c>
      <c r="I454" s="7">
        <v>0</v>
      </c>
      <c r="J454" s="5">
        <v>45936</v>
      </c>
      <c r="K454" s="1" t="s">
        <v>30</v>
      </c>
      <c r="L454" s="8">
        <v>0</v>
      </c>
      <c r="M454" s="6"/>
      <c r="N454" s="6"/>
      <c r="O454" s="9">
        <v>0</v>
      </c>
    </row>
    <row r="455" spans="1:15" ht="19.5" customHeight="1">
      <c r="A455" s="1" t="s">
        <v>177</v>
      </c>
      <c r="B455" s="5">
        <v>45942</v>
      </c>
      <c r="C455" s="1" t="s">
        <v>28</v>
      </c>
      <c r="D455" s="1" t="s">
        <v>46</v>
      </c>
      <c r="E455" s="1" t="s">
        <v>25</v>
      </c>
      <c r="F455" s="1" t="s">
        <v>26</v>
      </c>
      <c r="G455" s="1" t="s">
        <v>21</v>
      </c>
      <c r="H455" s="6">
        <v>1</v>
      </c>
      <c r="I455" s="7">
        <v>0</v>
      </c>
      <c r="J455" s="5">
        <v>45936</v>
      </c>
      <c r="K455" s="1" t="s">
        <v>30</v>
      </c>
      <c r="L455" s="8">
        <v>0</v>
      </c>
      <c r="M455" s="6"/>
      <c r="N455" s="6"/>
      <c r="O455" s="9">
        <v>-46</v>
      </c>
    </row>
    <row r="456" spans="1:15" ht="19.5" customHeight="1">
      <c r="A456" s="1" t="s">
        <v>177</v>
      </c>
      <c r="B456" s="5">
        <v>45942</v>
      </c>
      <c r="C456" s="1" t="s">
        <v>17</v>
      </c>
      <c r="D456" s="1" t="s">
        <v>47</v>
      </c>
      <c r="E456" s="1" t="s">
        <v>25</v>
      </c>
      <c r="F456" s="1" t="s">
        <v>26</v>
      </c>
      <c r="G456" s="1" t="s">
        <v>21</v>
      </c>
      <c r="H456" s="6">
        <v>1</v>
      </c>
      <c r="I456" s="7">
        <v>0</v>
      </c>
      <c r="J456" s="5">
        <v>45936</v>
      </c>
      <c r="K456" s="1" t="s">
        <v>30</v>
      </c>
      <c r="L456" s="8">
        <v>0</v>
      </c>
      <c r="M456" s="6"/>
      <c r="N456" s="6"/>
      <c r="O456" s="9">
        <v>-15</v>
      </c>
    </row>
    <row r="457" spans="1:15" ht="19.5" customHeight="1">
      <c r="A457" s="1" t="s">
        <v>178</v>
      </c>
      <c r="B457" s="5">
        <v>45942</v>
      </c>
      <c r="C457" s="1" t="s">
        <v>17</v>
      </c>
      <c r="D457" s="1" t="s">
        <v>18</v>
      </c>
      <c r="E457" s="1" t="s">
        <v>25</v>
      </c>
      <c r="F457" s="1" t="s">
        <v>26</v>
      </c>
      <c r="G457" s="1" t="s">
        <v>21</v>
      </c>
      <c r="H457" s="6">
        <v>1</v>
      </c>
      <c r="I457" s="7">
        <v>0</v>
      </c>
      <c r="J457" s="5">
        <v>45942</v>
      </c>
      <c r="K457" s="1" t="s">
        <v>22</v>
      </c>
      <c r="L457" s="8">
        <v>0</v>
      </c>
      <c r="M457" s="6"/>
      <c r="N457" s="6"/>
      <c r="O457" s="9">
        <v>-12.5</v>
      </c>
    </row>
    <row r="458" spans="1:15" ht="19.5" customHeight="1">
      <c r="A458" s="1" t="s">
        <v>179</v>
      </c>
      <c r="B458" s="5">
        <v>45942</v>
      </c>
      <c r="C458" s="1" t="s">
        <v>17</v>
      </c>
      <c r="D458" s="1" t="s">
        <v>18</v>
      </c>
      <c r="E458" s="1" t="s">
        <v>19</v>
      </c>
      <c r="F458" s="1" t="s">
        <v>20</v>
      </c>
      <c r="G458" s="1" t="s">
        <v>21</v>
      </c>
      <c r="H458" s="6">
        <v>1</v>
      </c>
      <c r="I458" s="7">
        <v>0</v>
      </c>
      <c r="J458" s="5">
        <v>45942</v>
      </c>
      <c r="K458" s="1" t="s">
        <v>22</v>
      </c>
      <c r="L458" s="8">
        <v>0</v>
      </c>
      <c r="M458" s="6"/>
      <c r="N458" s="6"/>
      <c r="O458" s="9">
        <v>-16.3</v>
      </c>
    </row>
    <row r="459" spans="1:15" ht="19.5" customHeight="1">
      <c r="A459" s="1" t="s">
        <v>180</v>
      </c>
      <c r="B459" s="5">
        <v>45942</v>
      </c>
      <c r="C459" s="1" t="s">
        <v>17</v>
      </c>
      <c r="D459" s="1" t="s">
        <v>18</v>
      </c>
      <c r="E459" s="1" t="s">
        <v>70</v>
      </c>
      <c r="F459" s="1" t="s">
        <v>71</v>
      </c>
      <c r="G459" s="1" t="s">
        <v>41</v>
      </c>
      <c r="H459" s="6">
        <v>1</v>
      </c>
      <c r="I459" s="7">
        <v>0</v>
      </c>
      <c r="J459" s="5">
        <v>45942</v>
      </c>
      <c r="K459" s="1" t="s">
        <v>22</v>
      </c>
      <c r="L459" s="8">
        <v>0</v>
      </c>
      <c r="M459" s="6"/>
      <c r="N459" s="6"/>
      <c r="O459" s="9">
        <v>-41.96</v>
      </c>
    </row>
    <row r="460" spans="1:15" ht="19.5" customHeight="1">
      <c r="A460" s="1" t="s">
        <v>22</v>
      </c>
      <c r="B460" s="5">
        <v>45942</v>
      </c>
      <c r="C460" s="1" t="s">
        <v>77</v>
      </c>
      <c r="D460" s="1" t="s">
        <v>78</v>
      </c>
      <c r="E460" s="1" t="s">
        <v>22</v>
      </c>
      <c r="F460" s="1" t="s">
        <v>22</v>
      </c>
      <c r="G460" s="1" t="s">
        <v>181</v>
      </c>
      <c r="H460" s="6">
        <v>0</v>
      </c>
      <c r="I460" s="7">
        <v>0</v>
      </c>
      <c r="J460" s="5">
        <v>45942</v>
      </c>
      <c r="K460" s="1" t="s">
        <v>22</v>
      </c>
      <c r="L460" s="8">
        <v>0</v>
      </c>
      <c r="M460" s="6"/>
      <c r="N460" s="6"/>
      <c r="O460" s="9">
        <v>-200</v>
      </c>
    </row>
    <row r="461" spans="1:15" ht="19.5" customHeight="1">
      <c r="A461" s="1" t="s">
        <v>81</v>
      </c>
      <c r="B461" s="5">
        <v>45942</v>
      </c>
      <c r="C461" s="1" t="s">
        <v>77</v>
      </c>
      <c r="D461" s="1" t="s">
        <v>82</v>
      </c>
      <c r="E461" s="1" t="s">
        <v>22</v>
      </c>
      <c r="F461" s="1" t="s">
        <v>22</v>
      </c>
      <c r="G461" s="1" t="s">
        <v>22</v>
      </c>
      <c r="H461" s="6">
        <v>0</v>
      </c>
      <c r="I461" s="7">
        <v>0</v>
      </c>
      <c r="J461" s="5">
        <v>45942</v>
      </c>
      <c r="K461" s="1" t="s">
        <v>22</v>
      </c>
      <c r="L461" s="8">
        <v>0</v>
      </c>
      <c r="M461" s="6"/>
      <c r="N461" s="6"/>
      <c r="O461" s="9">
        <v>-2225.0100000000002</v>
      </c>
    </row>
    <row r="462" spans="1:15" ht="19.5" customHeight="1">
      <c r="A462" s="1" t="s">
        <v>83</v>
      </c>
      <c r="B462" s="5">
        <v>45942</v>
      </c>
      <c r="C462" s="1" t="s">
        <v>77</v>
      </c>
      <c r="D462" s="1" t="s">
        <v>84</v>
      </c>
      <c r="E462" s="1" t="s">
        <v>22</v>
      </c>
      <c r="F462" s="1" t="s">
        <v>22</v>
      </c>
      <c r="G462" s="1" t="s">
        <v>22</v>
      </c>
      <c r="H462" s="6">
        <v>0</v>
      </c>
      <c r="I462" s="7">
        <v>0</v>
      </c>
      <c r="J462" s="5">
        <v>45942</v>
      </c>
      <c r="K462" s="1" t="s">
        <v>22</v>
      </c>
      <c r="L462" s="8">
        <v>0</v>
      </c>
      <c r="M462" s="6"/>
      <c r="N462" s="6"/>
      <c r="O462" s="9">
        <v>-660.24</v>
      </c>
    </row>
    <row r="463" spans="1:15" ht="19.5" customHeight="1">
      <c r="A463" s="1" t="s">
        <v>86</v>
      </c>
      <c r="B463" s="5">
        <v>45942</v>
      </c>
      <c r="C463" s="1" t="s">
        <v>77</v>
      </c>
      <c r="D463" s="1" t="s">
        <v>82</v>
      </c>
      <c r="E463" s="1" t="s">
        <v>22</v>
      </c>
      <c r="F463" s="1" t="s">
        <v>22</v>
      </c>
      <c r="G463" s="1" t="s">
        <v>22</v>
      </c>
      <c r="H463" s="6">
        <v>0</v>
      </c>
      <c r="I463" s="7">
        <v>0</v>
      </c>
      <c r="J463" s="5">
        <v>45942</v>
      </c>
      <c r="K463" s="1" t="s">
        <v>22</v>
      </c>
      <c r="L463" s="8">
        <v>0</v>
      </c>
      <c r="M463" s="6"/>
      <c r="N463" s="6"/>
      <c r="O463" s="9">
        <v>-2400.2199999999998</v>
      </c>
    </row>
    <row r="464" spans="1:15" ht="19.5" customHeight="1">
      <c r="A464" s="1" t="s">
        <v>145</v>
      </c>
      <c r="B464" s="5">
        <v>45942</v>
      </c>
      <c r="C464" s="1" t="s">
        <v>77</v>
      </c>
      <c r="D464" s="1" t="s">
        <v>82</v>
      </c>
      <c r="E464" s="1" t="s">
        <v>22</v>
      </c>
      <c r="F464" s="1" t="s">
        <v>22</v>
      </c>
      <c r="G464" s="1" t="s">
        <v>22</v>
      </c>
      <c r="H464" s="6">
        <v>0</v>
      </c>
      <c r="I464" s="7">
        <v>0</v>
      </c>
      <c r="J464" s="5">
        <v>45942</v>
      </c>
      <c r="K464" s="1" t="s">
        <v>22</v>
      </c>
      <c r="L464" s="8">
        <v>0</v>
      </c>
      <c r="M464" s="6"/>
      <c r="N464" s="6"/>
      <c r="O464" s="9">
        <v>-1567.64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20B8-3F44-440A-B848-C4F726A0EEC1}">
  <dimension ref="A1:O412"/>
  <sheetViews>
    <sheetView zoomScale="80" zoomScaleNormal="80" workbookViewId="0">
      <selection activeCell="C11" sqref="C1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4" width="20.7265625" customWidth="1"/>
    <col min="15" max="15" width="20.7265625" style="2" customWidth="1"/>
  </cols>
  <sheetData>
    <row r="1" spans="1:15" ht="19.5" customHeight="1">
      <c r="A1" s="1" t="s">
        <v>674</v>
      </c>
    </row>
    <row r="2" spans="1:15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</row>
    <row r="3" spans="1:15" ht="19.5" customHeight="1">
      <c r="A3" s="1" t="s">
        <v>675</v>
      </c>
      <c r="B3" s="5">
        <v>45931</v>
      </c>
      <c r="C3" s="1" t="s">
        <v>28</v>
      </c>
      <c r="D3" s="1" t="s">
        <v>29</v>
      </c>
      <c r="E3" s="1" t="s">
        <v>25</v>
      </c>
      <c r="F3" s="1" t="s">
        <v>26</v>
      </c>
      <c r="G3" s="1" t="s">
        <v>21</v>
      </c>
      <c r="H3" s="6">
        <v>1</v>
      </c>
      <c r="I3" s="7">
        <v>1200</v>
      </c>
      <c r="J3" s="5">
        <v>45926</v>
      </c>
      <c r="K3" s="1" t="s">
        <v>30</v>
      </c>
      <c r="L3" s="8">
        <v>0.26</v>
      </c>
      <c r="M3" s="6"/>
      <c r="N3" s="6"/>
      <c r="O3" s="9">
        <v>-46</v>
      </c>
    </row>
    <row r="4" spans="1:15" ht="19.5" customHeight="1">
      <c r="A4" s="1" t="s">
        <v>675</v>
      </c>
      <c r="B4" s="5">
        <v>45931</v>
      </c>
      <c r="C4" s="1" t="s">
        <v>31</v>
      </c>
      <c r="D4" s="1" t="s">
        <v>32</v>
      </c>
      <c r="E4" s="1" t="s">
        <v>25</v>
      </c>
      <c r="F4" s="1" t="s">
        <v>26</v>
      </c>
      <c r="G4" s="1" t="s">
        <v>21</v>
      </c>
      <c r="H4" s="6">
        <v>1</v>
      </c>
      <c r="I4" s="7">
        <v>1200</v>
      </c>
      <c r="J4" s="5">
        <v>45926</v>
      </c>
      <c r="K4" s="1" t="s">
        <v>30</v>
      </c>
      <c r="L4" s="8">
        <v>0</v>
      </c>
      <c r="M4" s="6"/>
      <c r="N4" s="6"/>
      <c r="O4" s="9">
        <v>728.57</v>
      </c>
    </row>
    <row r="5" spans="1:15" ht="19.5" customHeight="1">
      <c r="A5" s="1" t="s">
        <v>675</v>
      </c>
      <c r="B5" s="5">
        <v>45931</v>
      </c>
      <c r="C5" s="1" t="s">
        <v>31</v>
      </c>
      <c r="D5" s="1" t="s">
        <v>33</v>
      </c>
      <c r="E5" s="1" t="s">
        <v>25</v>
      </c>
      <c r="F5" s="1" t="s">
        <v>26</v>
      </c>
      <c r="G5" s="1" t="s">
        <v>21</v>
      </c>
      <c r="H5" s="6">
        <v>1</v>
      </c>
      <c r="I5" s="7">
        <v>1200</v>
      </c>
      <c r="J5" s="5">
        <v>45926</v>
      </c>
      <c r="K5" s="1" t="s">
        <v>30</v>
      </c>
      <c r="L5" s="8">
        <v>0</v>
      </c>
      <c r="M5" s="6"/>
      <c r="N5" s="6"/>
      <c r="O5" s="9">
        <v>5.35</v>
      </c>
    </row>
    <row r="6" spans="1:15" ht="19.5" customHeight="1">
      <c r="A6" s="1" t="s">
        <v>675</v>
      </c>
      <c r="B6" s="5">
        <v>45931</v>
      </c>
      <c r="C6" s="1" t="s">
        <v>31</v>
      </c>
      <c r="D6" s="1" t="s">
        <v>34</v>
      </c>
      <c r="E6" s="1" t="s">
        <v>25</v>
      </c>
      <c r="F6" s="1" t="s">
        <v>26</v>
      </c>
      <c r="G6" s="1" t="s">
        <v>21</v>
      </c>
      <c r="H6" s="6">
        <v>1</v>
      </c>
      <c r="I6" s="7">
        <v>1200</v>
      </c>
      <c r="J6" s="5">
        <v>45926</v>
      </c>
      <c r="K6" s="1" t="s">
        <v>30</v>
      </c>
      <c r="L6" s="8">
        <v>0</v>
      </c>
      <c r="M6" s="6"/>
      <c r="N6" s="6"/>
      <c r="O6" s="9">
        <v>466.08</v>
      </c>
    </row>
    <row r="7" spans="1:15" ht="19.5" customHeight="1">
      <c r="A7" s="1" t="s">
        <v>675</v>
      </c>
      <c r="B7" s="5">
        <v>45931</v>
      </c>
      <c r="C7" s="1" t="s">
        <v>35</v>
      </c>
      <c r="D7" s="1" t="s">
        <v>36</v>
      </c>
      <c r="E7" s="1" t="s">
        <v>25</v>
      </c>
      <c r="F7" s="1" t="s">
        <v>26</v>
      </c>
      <c r="G7" s="1" t="s">
        <v>21</v>
      </c>
      <c r="H7" s="6">
        <v>1</v>
      </c>
      <c r="I7" s="7">
        <v>1200</v>
      </c>
      <c r="J7" s="5">
        <v>45926</v>
      </c>
      <c r="K7" s="1" t="s">
        <v>30</v>
      </c>
      <c r="L7" s="8">
        <v>0.26</v>
      </c>
      <c r="M7" s="6"/>
      <c r="N7" s="6"/>
      <c r="O7" s="9">
        <v>-312</v>
      </c>
    </row>
    <row r="8" spans="1:15" ht="19.5" customHeight="1">
      <c r="A8" s="1" t="s">
        <v>676</v>
      </c>
      <c r="B8" s="5">
        <v>45931</v>
      </c>
      <c r="C8" s="1" t="s">
        <v>28</v>
      </c>
      <c r="D8" s="1" t="s">
        <v>356</v>
      </c>
      <c r="E8" s="1" t="s">
        <v>19</v>
      </c>
      <c r="F8" s="1" t="s">
        <v>20</v>
      </c>
      <c r="G8" s="1" t="s">
        <v>21</v>
      </c>
      <c r="H8" s="6">
        <v>1</v>
      </c>
      <c r="I8" s="7">
        <v>0</v>
      </c>
      <c r="J8" s="5">
        <v>45923</v>
      </c>
      <c r="K8" s="1" t="s">
        <v>30</v>
      </c>
      <c r="L8" s="8">
        <v>0</v>
      </c>
      <c r="M8" s="6"/>
      <c r="N8" s="6"/>
      <c r="O8" s="9">
        <v>0</v>
      </c>
    </row>
    <row r="9" spans="1:15" ht="19.5" customHeight="1">
      <c r="A9" s="1" t="s">
        <v>676</v>
      </c>
      <c r="B9" s="5">
        <v>45931</v>
      </c>
      <c r="C9" s="1" t="s">
        <v>28</v>
      </c>
      <c r="D9" s="1" t="s">
        <v>46</v>
      </c>
      <c r="E9" s="1" t="s">
        <v>19</v>
      </c>
      <c r="F9" s="1" t="s">
        <v>20</v>
      </c>
      <c r="G9" s="1" t="s">
        <v>21</v>
      </c>
      <c r="H9" s="6">
        <v>1</v>
      </c>
      <c r="I9" s="7">
        <v>0</v>
      </c>
      <c r="J9" s="5">
        <v>45923</v>
      </c>
      <c r="K9" s="1" t="s">
        <v>30</v>
      </c>
      <c r="L9" s="8">
        <v>0</v>
      </c>
      <c r="M9" s="6"/>
      <c r="N9" s="6"/>
      <c r="O9" s="9">
        <v>-46</v>
      </c>
    </row>
    <row r="10" spans="1:15" ht="19.5" customHeight="1">
      <c r="A10" s="1" t="s">
        <v>676</v>
      </c>
      <c r="B10" s="5">
        <v>45931</v>
      </c>
      <c r="C10" s="1" t="s">
        <v>17</v>
      </c>
      <c r="D10" s="1" t="s">
        <v>47</v>
      </c>
      <c r="E10" s="1" t="s">
        <v>19</v>
      </c>
      <c r="F10" s="1" t="s">
        <v>20</v>
      </c>
      <c r="G10" s="1" t="s">
        <v>21</v>
      </c>
      <c r="H10" s="6">
        <v>1</v>
      </c>
      <c r="I10" s="7">
        <v>0</v>
      </c>
      <c r="J10" s="5">
        <v>45923</v>
      </c>
      <c r="K10" s="1" t="s">
        <v>30</v>
      </c>
      <c r="L10" s="8">
        <v>0</v>
      </c>
      <c r="M10" s="6"/>
      <c r="N10" s="6"/>
      <c r="O10" s="9">
        <v>-15</v>
      </c>
    </row>
    <row r="11" spans="1:15" ht="19.5" customHeight="1">
      <c r="A11" s="1" t="s">
        <v>676</v>
      </c>
      <c r="B11" s="5">
        <v>45931</v>
      </c>
      <c r="C11" s="1" t="s">
        <v>28</v>
      </c>
      <c r="D11" s="1" t="s">
        <v>29</v>
      </c>
      <c r="E11" s="1" t="s">
        <v>19</v>
      </c>
      <c r="F11" s="1" t="s">
        <v>20</v>
      </c>
      <c r="G11" s="1" t="s">
        <v>21</v>
      </c>
      <c r="H11" s="6">
        <v>1</v>
      </c>
      <c r="I11" s="7">
        <v>0</v>
      </c>
      <c r="J11" s="5">
        <v>45923</v>
      </c>
      <c r="K11" s="1" t="s">
        <v>30</v>
      </c>
      <c r="L11" s="8">
        <v>0</v>
      </c>
      <c r="M11" s="6"/>
      <c r="N11" s="6"/>
      <c r="O11" s="9">
        <v>-46</v>
      </c>
    </row>
    <row r="12" spans="1:15" ht="19.5" customHeight="1">
      <c r="A12" s="1" t="s">
        <v>676</v>
      </c>
      <c r="B12" s="5">
        <v>45931</v>
      </c>
      <c r="C12" s="1" t="s">
        <v>17</v>
      </c>
      <c r="D12" s="1" t="s">
        <v>37</v>
      </c>
      <c r="E12" s="1" t="s">
        <v>19</v>
      </c>
      <c r="F12" s="1" t="s">
        <v>20</v>
      </c>
      <c r="G12" s="1" t="s">
        <v>21</v>
      </c>
      <c r="H12" s="6">
        <v>1</v>
      </c>
      <c r="I12" s="7">
        <v>0</v>
      </c>
      <c r="J12" s="5">
        <v>45923</v>
      </c>
      <c r="K12" s="1" t="s">
        <v>30</v>
      </c>
      <c r="L12" s="8">
        <v>0</v>
      </c>
      <c r="M12" s="6"/>
      <c r="N12" s="6"/>
      <c r="O12" s="9">
        <v>-4.96</v>
      </c>
    </row>
    <row r="13" spans="1:15" ht="19.5" customHeight="1">
      <c r="A13" s="1" t="s">
        <v>677</v>
      </c>
      <c r="B13" s="5">
        <v>45931</v>
      </c>
      <c r="C13" s="1" t="s">
        <v>28</v>
      </c>
      <c r="D13" s="1" t="s">
        <v>29</v>
      </c>
      <c r="E13" s="1" t="s">
        <v>25</v>
      </c>
      <c r="F13" s="1" t="s">
        <v>26</v>
      </c>
      <c r="G13" s="1" t="s">
        <v>21</v>
      </c>
      <c r="H13" s="6">
        <v>1</v>
      </c>
      <c r="I13" s="7">
        <v>0</v>
      </c>
      <c r="J13" s="5">
        <v>45926</v>
      </c>
      <c r="K13" s="1" t="s">
        <v>30</v>
      </c>
      <c r="L13" s="8">
        <v>0</v>
      </c>
      <c r="M13" s="6"/>
      <c r="N13" s="6"/>
      <c r="O13" s="9">
        <v>-46</v>
      </c>
    </row>
    <row r="14" spans="1:15" ht="19.5" customHeight="1">
      <c r="A14" s="1" t="s">
        <v>677</v>
      </c>
      <c r="B14" s="5">
        <v>45931</v>
      </c>
      <c r="C14" s="1" t="s">
        <v>17</v>
      </c>
      <c r="D14" s="1" t="s">
        <v>37</v>
      </c>
      <c r="E14" s="1" t="s">
        <v>25</v>
      </c>
      <c r="F14" s="1" t="s">
        <v>26</v>
      </c>
      <c r="G14" s="1" t="s">
        <v>21</v>
      </c>
      <c r="H14" s="6">
        <v>1</v>
      </c>
      <c r="I14" s="7">
        <v>0</v>
      </c>
      <c r="J14" s="5">
        <v>45926</v>
      </c>
      <c r="K14" s="1" t="s">
        <v>30</v>
      </c>
      <c r="L14" s="8">
        <v>0</v>
      </c>
      <c r="M14" s="6"/>
      <c r="N14" s="6"/>
      <c r="O14" s="9">
        <v>-4.47</v>
      </c>
    </row>
    <row r="15" spans="1:15" ht="19.5" customHeight="1">
      <c r="A15" s="1" t="s">
        <v>677</v>
      </c>
      <c r="B15" s="5">
        <v>45931</v>
      </c>
      <c r="C15" s="1" t="s">
        <v>28</v>
      </c>
      <c r="D15" s="1" t="s">
        <v>356</v>
      </c>
      <c r="E15" s="1" t="s">
        <v>25</v>
      </c>
      <c r="F15" s="1" t="s">
        <v>26</v>
      </c>
      <c r="G15" s="1" t="s">
        <v>21</v>
      </c>
      <c r="H15" s="6">
        <v>1</v>
      </c>
      <c r="I15" s="7">
        <v>0</v>
      </c>
      <c r="J15" s="5">
        <v>45926</v>
      </c>
      <c r="K15" s="1" t="s">
        <v>30</v>
      </c>
      <c r="L15" s="8">
        <v>0</v>
      </c>
      <c r="M15" s="6"/>
      <c r="N15" s="6"/>
      <c r="O15" s="9">
        <v>0</v>
      </c>
    </row>
    <row r="16" spans="1:15" ht="19.5" customHeight="1">
      <c r="A16" s="1" t="s">
        <v>677</v>
      </c>
      <c r="B16" s="5">
        <v>45931</v>
      </c>
      <c r="C16" s="1" t="s">
        <v>28</v>
      </c>
      <c r="D16" s="1" t="s">
        <v>46</v>
      </c>
      <c r="E16" s="1" t="s">
        <v>25</v>
      </c>
      <c r="F16" s="1" t="s">
        <v>26</v>
      </c>
      <c r="G16" s="1" t="s">
        <v>21</v>
      </c>
      <c r="H16" s="6">
        <v>1</v>
      </c>
      <c r="I16" s="7">
        <v>0</v>
      </c>
      <c r="J16" s="5">
        <v>45926</v>
      </c>
      <c r="K16" s="1" t="s">
        <v>30</v>
      </c>
      <c r="L16" s="8">
        <v>0</v>
      </c>
      <c r="M16" s="6"/>
      <c r="N16" s="6"/>
      <c r="O16" s="9">
        <v>-46</v>
      </c>
    </row>
    <row r="17" spans="1:15" ht="19.5" customHeight="1">
      <c r="A17" s="1" t="s">
        <v>677</v>
      </c>
      <c r="B17" s="5">
        <v>45931</v>
      </c>
      <c r="C17" s="1" t="s">
        <v>17</v>
      </c>
      <c r="D17" s="1" t="s">
        <v>47</v>
      </c>
      <c r="E17" s="1" t="s">
        <v>25</v>
      </c>
      <c r="F17" s="1" t="s">
        <v>26</v>
      </c>
      <c r="G17" s="1" t="s">
        <v>21</v>
      </c>
      <c r="H17" s="6">
        <v>1</v>
      </c>
      <c r="I17" s="7">
        <v>0</v>
      </c>
      <c r="J17" s="5">
        <v>45926</v>
      </c>
      <c r="K17" s="1" t="s">
        <v>30</v>
      </c>
      <c r="L17" s="8">
        <v>0</v>
      </c>
      <c r="M17" s="6"/>
      <c r="N17" s="6"/>
      <c r="O17" s="9">
        <v>-15</v>
      </c>
    </row>
    <row r="18" spans="1:15" ht="19.5" customHeight="1">
      <c r="A18" s="1" t="s">
        <v>678</v>
      </c>
      <c r="B18" s="5">
        <v>45931</v>
      </c>
      <c r="C18" s="1" t="s">
        <v>28</v>
      </c>
      <c r="D18" s="1" t="s">
        <v>356</v>
      </c>
      <c r="E18" s="1" t="s">
        <v>54</v>
      </c>
      <c r="F18" s="1" t="s">
        <v>55</v>
      </c>
      <c r="G18" s="1" t="s">
        <v>21</v>
      </c>
      <c r="H18" s="6">
        <v>1</v>
      </c>
      <c r="I18" s="7">
        <v>0</v>
      </c>
      <c r="J18" s="5">
        <v>45924</v>
      </c>
      <c r="K18" s="1" t="s">
        <v>30</v>
      </c>
      <c r="L18" s="8">
        <v>0</v>
      </c>
      <c r="M18" s="6"/>
      <c r="N18" s="6"/>
      <c r="O18" s="9">
        <v>0</v>
      </c>
    </row>
    <row r="19" spans="1:15" ht="19.5" customHeight="1">
      <c r="A19" s="1" t="s">
        <v>678</v>
      </c>
      <c r="B19" s="5">
        <v>45931</v>
      </c>
      <c r="C19" s="1" t="s">
        <v>28</v>
      </c>
      <c r="D19" s="1" t="s">
        <v>46</v>
      </c>
      <c r="E19" s="1" t="s">
        <v>54</v>
      </c>
      <c r="F19" s="1" t="s">
        <v>55</v>
      </c>
      <c r="G19" s="1" t="s">
        <v>21</v>
      </c>
      <c r="H19" s="6">
        <v>1</v>
      </c>
      <c r="I19" s="7">
        <v>0</v>
      </c>
      <c r="J19" s="5">
        <v>45924</v>
      </c>
      <c r="K19" s="1" t="s">
        <v>30</v>
      </c>
      <c r="L19" s="8">
        <v>0</v>
      </c>
      <c r="M19" s="6"/>
      <c r="N19" s="6"/>
      <c r="O19" s="9">
        <v>-46</v>
      </c>
    </row>
    <row r="20" spans="1:15" ht="19.5" customHeight="1">
      <c r="A20" s="1" t="s">
        <v>678</v>
      </c>
      <c r="B20" s="5">
        <v>45931</v>
      </c>
      <c r="C20" s="1" t="s">
        <v>17</v>
      </c>
      <c r="D20" s="1" t="s">
        <v>47</v>
      </c>
      <c r="E20" s="1" t="s">
        <v>54</v>
      </c>
      <c r="F20" s="1" t="s">
        <v>55</v>
      </c>
      <c r="G20" s="1" t="s">
        <v>21</v>
      </c>
      <c r="H20" s="6">
        <v>1</v>
      </c>
      <c r="I20" s="7">
        <v>0</v>
      </c>
      <c r="J20" s="5">
        <v>45924</v>
      </c>
      <c r="K20" s="1" t="s">
        <v>30</v>
      </c>
      <c r="L20" s="8">
        <v>0</v>
      </c>
      <c r="M20" s="6"/>
      <c r="N20" s="6"/>
      <c r="O20" s="9">
        <v>-15</v>
      </c>
    </row>
    <row r="21" spans="1:15" ht="19.5" customHeight="1">
      <c r="A21" s="1" t="s">
        <v>678</v>
      </c>
      <c r="B21" s="5">
        <v>45931</v>
      </c>
      <c r="C21" s="1" t="s">
        <v>28</v>
      </c>
      <c r="D21" s="1" t="s">
        <v>29</v>
      </c>
      <c r="E21" s="1" t="s">
        <v>54</v>
      </c>
      <c r="F21" s="1" t="s">
        <v>55</v>
      </c>
      <c r="G21" s="1" t="s">
        <v>21</v>
      </c>
      <c r="H21" s="6">
        <v>1</v>
      </c>
      <c r="I21" s="7">
        <v>0</v>
      </c>
      <c r="J21" s="5">
        <v>45924</v>
      </c>
      <c r="K21" s="1" t="s">
        <v>30</v>
      </c>
      <c r="L21" s="8">
        <v>0</v>
      </c>
      <c r="M21" s="6"/>
      <c r="N21" s="6"/>
      <c r="O21" s="9">
        <v>-46</v>
      </c>
    </row>
    <row r="22" spans="1:15" ht="19.5" customHeight="1">
      <c r="A22" s="1" t="s">
        <v>678</v>
      </c>
      <c r="B22" s="5">
        <v>45931</v>
      </c>
      <c r="C22" s="1" t="s">
        <v>17</v>
      </c>
      <c r="D22" s="1" t="s">
        <v>37</v>
      </c>
      <c r="E22" s="1" t="s">
        <v>54</v>
      </c>
      <c r="F22" s="1" t="s">
        <v>55</v>
      </c>
      <c r="G22" s="1" t="s">
        <v>21</v>
      </c>
      <c r="H22" s="6">
        <v>1</v>
      </c>
      <c r="I22" s="7">
        <v>0</v>
      </c>
      <c r="J22" s="5">
        <v>45924</v>
      </c>
      <c r="K22" s="1" t="s">
        <v>30</v>
      </c>
      <c r="L22" s="8">
        <v>0</v>
      </c>
      <c r="M22" s="6"/>
      <c r="N22" s="6"/>
      <c r="O22" s="9">
        <v>-4.9800000000000004</v>
      </c>
    </row>
    <row r="23" spans="1:15" ht="19.5" customHeight="1">
      <c r="A23" s="1" t="s">
        <v>679</v>
      </c>
      <c r="B23" s="5">
        <v>45931</v>
      </c>
      <c r="C23" s="1" t="s">
        <v>28</v>
      </c>
      <c r="D23" s="1" t="s">
        <v>29</v>
      </c>
      <c r="E23" s="1" t="s">
        <v>25</v>
      </c>
      <c r="F23" s="1" t="s">
        <v>26</v>
      </c>
      <c r="G23" s="1" t="s">
        <v>21</v>
      </c>
      <c r="H23" s="6">
        <v>1</v>
      </c>
      <c r="I23" s="7">
        <v>1176</v>
      </c>
      <c r="J23" s="5">
        <v>45922</v>
      </c>
      <c r="K23" s="1" t="s">
        <v>30</v>
      </c>
      <c r="L23" s="8">
        <v>0.2</v>
      </c>
      <c r="M23" s="6"/>
      <c r="N23" s="6"/>
      <c r="O23" s="9">
        <v>-46</v>
      </c>
    </row>
    <row r="24" spans="1:15" ht="19.5" customHeight="1">
      <c r="A24" s="1" t="s">
        <v>679</v>
      </c>
      <c r="B24" s="5">
        <v>45931</v>
      </c>
      <c r="C24" s="1" t="s">
        <v>31</v>
      </c>
      <c r="D24" s="1" t="s">
        <v>32</v>
      </c>
      <c r="E24" s="1" t="s">
        <v>25</v>
      </c>
      <c r="F24" s="1" t="s">
        <v>26</v>
      </c>
      <c r="G24" s="1" t="s">
        <v>21</v>
      </c>
      <c r="H24" s="6">
        <v>1</v>
      </c>
      <c r="I24" s="7">
        <v>1176</v>
      </c>
      <c r="J24" s="5">
        <v>45922</v>
      </c>
      <c r="K24" s="1" t="s">
        <v>30</v>
      </c>
      <c r="L24" s="8">
        <v>0</v>
      </c>
      <c r="M24" s="6"/>
      <c r="N24" s="6"/>
      <c r="O24" s="9">
        <v>584.76</v>
      </c>
    </row>
    <row r="25" spans="1:15" ht="19.5" customHeight="1">
      <c r="A25" s="1" t="s">
        <v>679</v>
      </c>
      <c r="B25" s="5">
        <v>45931</v>
      </c>
      <c r="C25" s="1" t="s">
        <v>31</v>
      </c>
      <c r="D25" s="1" t="s">
        <v>33</v>
      </c>
      <c r="E25" s="1" t="s">
        <v>25</v>
      </c>
      <c r="F25" s="1" t="s">
        <v>26</v>
      </c>
      <c r="G25" s="1" t="s">
        <v>21</v>
      </c>
      <c r="H25" s="6">
        <v>1</v>
      </c>
      <c r="I25" s="7">
        <v>1176</v>
      </c>
      <c r="J25" s="5">
        <v>45922</v>
      </c>
      <c r="K25" s="1" t="s">
        <v>30</v>
      </c>
      <c r="L25" s="8">
        <v>0</v>
      </c>
      <c r="M25" s="6"/>
      <c r="N25" s="6"/>
      <c r="O25" s="9">
        <v>4.3</v>
      </c>
    </row>
    <row r="26" spans="1:15" ht="19.5" customHeight="1">
      <c r="A26" s="1" t="s">
        <v>679</v>
      </c>
      <c r="B26" s="5">
        <v>45931</v>
      </c>
      <c r="C26" s="1" t="s">
        <v>31</v>
      </c>
      <c r="D26" s="1" t="s">
        <v>34</v>
      </c>
      <c r="E26" s="1" t="s">
        <v>25</v>
      </c>
      <c r="F26" s="1" t="s">
        <v>26</v>
      </c>
      <c r="G26" s="1" t="s">
        <v>21</v>
      </c>
      <c r="H26" s="6">
        <v>1</v>
      </c>
      <c r="I26" s="7">
        <v>1176</v>
      </c>
      <c r="J26" s="5">
        <v>45922</v>
      </c>
      <c r="K26" s="1" t="s">
        <v>30</v>
      </c>
      <c r="L26" s="8">
        <v>0</v>
      </c>
      <c r="M26" s="6"/>
      <c r="N26" s="6"/>
      <c r="O26" s="9">
        <v>586.94000000000005</v>
      </c>
    </row>
    <row r="27" spans="1:15" ht="19.5" customHeight="1">
      <c r="A27" s="1" t="s">
        <v>679</v>
      </c>
      <c r="B27" s="5">
        <v>45931</v>
      </c>
      <c r="C27" s="1" t="s">
        <v>35</v>
      </c>
      <c r="D27" s="1" t="s">
        <v>36</v>
      </c>
      <c r="E27" s="1" t="s">
        <v>25</v>
      </c>
      <c r="F27" s="1" t="s">
        <v>26</v>
      </c>
      <c r="G27" s="1" t="s">
        <v>21</v>
      </c>
      <c r="H27" s="6">
        <v>1</v>
      </c>
      <c r="I27" s="7">
        <v>1176</v>
      </c>
      <c r="J27" s="5">
        <v>45922</v>
      </c>
      <c r="K27" s="1" t="s">
        <v>30</v>
      </c>
      <c r="L27" s="8">
        <v>0.2</v>
      </c>
      <c r="M27" s="6"/>
      <c r="N27" s="6"/>
      <c r="O27" s="9">
        <v>-235.2</v>
      </c>
    </row>
    <row r="28" spans="1:15" ht="19.5" customHeight="1">
      <c r="A28" s="1" t="s">
        <v>680</v>
      </c>
      <c r="B28" s="5">
        <v>45931</v>
      </c>
      <c r="C28" s="1" t="s">
        <v>28</v>
      </c>
      <c r="D28" s="1" t="s">
        <v>45</v>
      </c>
      <c r="E28" s="1" t="s">
        <v>66</v>
      </c>
      <c r="F28" s="1" t="s">
        <v>67</v>
      </c>
      <c r="G28" s="1" t="s">
        <v>41</v>
      </c>
      <c r="H28" s="6">
        <v>1</v>
      </c>
      <c r="I28" s="7">
        <v>0</v>
      </c>
      <c r="J28" s="5">
        <v>45922</v>
      </c>
      <c r="K28" s="1" t="s">
        <v>30</v>
      </c>
      <c r="L28" s="8">
        <v>0</v>
      </c>
      <c r="M28" s="6"/>
      <c r="N28" s="6"/>
      <c r="O28" s="9">
        <v>0</v>
      </c>
    </row>
    <row r="29" spans="1:15" ht="19.5" customHeight="1">
      <c r="A29" s="1" t="s">
        <v>680</v>
      </c>
      <c r="B29" s="5">
        <v>45931</v>
      </c>
      <c r="C29" s="1" t="s">
        <v>28</v>
      </c>
      <c r="D29" s="1" t="s">
        <v>46</v>
      </c>
      <c r="E29" s="1" t="s">
        <v>66</v>
      </c>
      <c r="F29" s="1" t="s">
        <v>67</v>
      </c>
      <c r="G29" s="1" t="s">
        <v>41</v>
      </c>
      <c r="H29" s="6">
        <v>1</v>
      </c>
      <c r="I29" s="7">
        <v>0</v>
      </c>
      <c r="J29" s="5">
        <v>45922</v>
      </c>
      <c r="K29" s="1" t="s">
        <v>30</v>
      </c>
      <c r="L29" s="8">
        <v>0</v>
      </c>
      <c r="M29" s="6"/>
      <c r="N29" s="6"/>
      <c r="O29" s="9">
        <v>-56</v>
      </c>
    </row>
    <row r="30" spans="1:15" ht="19.5" customHeight="1">
      <c r="A30" s="1" t="s">
        <v>680</v>
      </c>
      <c r="B30" s="5">
        <v>45931</v>
      </c>
      <c r="C30" s="1" t="s">
        <v>17</v>
      </c>
      <c r="D30" s="1" t="s">
        <v>47</v>
      </c>
      <c r="E30" s="1" t="s">
        <v>66</v>
      </c>
      <c r="F30" s="1" t="s">
        <v>67</v>
      </c>
      <c r="G30" s="1" t="s">
        <v>41</v>
      </c>
      <c r="H30" s="6">
        <v>1</v>
      </c>
      <c r="I30" s="7">
        <v>0</v>
      </c>
      <c r="J30" s="5">
        <v>45922</v>
      </c>
      <c r="K30" s="1" t="s">
        <v>30</v>
      </c>
      <c r="L30" s="8">
        <v>0</v>
      </c>
      <c r="M30" s="6"/>
      <c r="N30" s="6"/>
      <c r="O30" s="9">
        <v>-15</v>
      </c>
    </row>
    <row r="31" spans="1:15" ht="19.5" customHeight="1">
      <c r="A31" s="1" t="s">
        <v>680</v>
      </c>
      <c r="B31" s="5">
        <v>45931</v>
      </c>
      <c r="C31" s="1" t="s">
        <v>28</v>
      </c>
      <c r="D31" s="1" t="s">
        <v>29</v>
      </c>
      <c r="E31" s="1" t="s">
        <v>66</v>
      </c>
      <c r="F31" s="1" t="s">
        <v>67</v>
      </c>
      <c r="G31" s="1" t="s">
        <v>41</v>
      </c>
      <c r="H31" s="6">
        <v>1</v>
      </c>
      <c r="I31" s="7">
        <v>0</v>
      </c>
      <c r="J31" s="5">
        <v>45922</v>
      </c>
      <c r="K31" s="1" t="s">
        <v>30</v>
      </c>
      <c r="L31" s="8">
        <v>0</v>
      </c>
      <c r="M31" s="6"/>
      <c r="N31" s="6"/>
      <c r="O31" s="9">
        <v>-56</v>
      </c>
    </row>
    <row r="32" spans="1:15" ht="19.5" customHeight="1">
      <c r="A32" s="1" t="s">
        <v>680</v>
      </c>
      <c r="B32" s="5">
        <v>45931</v>
      </c>
      <c r="C32" s="1" t="s">
        <v>17</v>
      </c>
      <c r="D32" s="1" t="s">
        <v>37</v>
      </c>
      <c r="E32" s="1" t="s">
        <v>66</v>
      </c>
      <c r="F32" s="1" t="s">
        <v>67</v>
      </c>
      <c r="G32" s="1" t="s">
        <v>41</v>
      </c>
      <c r="H32" s="6">
        <v>1</v>
      </c>
      <c r="I32" s="7">
        <v>0</v>
      </c>
      <c r="J32" s="5">
        <v>45922</v>
      </c>
      <c r="K32" s="1" t="s">
        <v>30</v>
      </c>
      <c r="L32" s="8">
        <v>0</v>
      </c>
      <c r="M32" s="6"/>
      <c r="N32" s="6"/>
      <c r="O32" s="9">
        <v>-10.99</v>
      </c>
    </row>
    <row r="33" spans="1:15" ht="19.5" customHeight="1">
      <c r="A33" s="1" t="s">
        <v>681</v>
      </c>
      <c r="B33" s="5">
        <v>45931</v>
      </c>
      <c r="C33" s="1" t="s">
        <v>28</v>
      </c>
      <c r="D33" s="1" t="s">
        <v>29</v>
      </c>
      <c r="E33" s="1" t="s">
        <v>25</v>
      </c>
      <c r="F33" s="1" t="s">
        <v>26</v>
      </c>
      <c r="G33" s="1" t="s">
        <v>21</v>
      </c>
      <c r="H33" s="6">
        <v>1</v>
      </c>
      <c r="I33" s="7">
        <v>1200</v>
      </c>
      <c r="J33" s="5">
        <v>45928</v>
      </c>
      <c r="K33" s="1" t="s">
        <v>30</v>
      </c>
      <c r="L33" s="8">
        <v>0.26</v>
      </c>
      <c r="M33" s="6"/>
      <c r="N33" s="6"/>
      <c r="O33" s="9">
        <v>-46</v>
      </c>
    </row>
    <row r="34" spans="1:15" ht="19.5" customHeight="1">
      <c r="A34" s="1" t="s">
        <v>681</v>
      </c>
      <c r="B34" s="5">
        <v>45931</v>
      </c>
      <c r="C34" s="1" t="s">
        <v>31</v>
      </c>
      <c r="D34" s="1" t="s">
        <v>32</v>
      </c>
      <c r="E34" s="1" t="s">
        <v>25</v>
      </c>
      <c r="F34" s="1" t="s">
        <v>26</v>
      </c>
      <c r="G34" s="1" t="s">
        <v>21</v>
      </c>
      <c r="H34" s="6">
        <v>1</v>
      </c>
      <c r="I34" s="7">
        <v>1200</v>
      </c>
      <c r="J34" s="5">
        <v>45928</v>
      </c>
      <c r="K34" s="1" t="s">
        <v>30</v>
      </c>
      <c r="L34" s="8">
        <v>0</v>
      </c>
      <c r="M34" s="6"/>
      <c r="N34" s="6"/>
      <c r="O34" s="9">
        <v>749.52</v>
      </c>
    </row>
    <row r="35" spans="1:15" ht="19.5" customHeight="1">
      <c r="A35" s="1" t="s">
        <v>681</v>
      </c>
      <c r="B35" s="5">
        <v>45931</v>
      </c>
      <c r="C35" s="1" t="s">
        <v>31</v>
      </c>
      <c r="D35" s="1" t="s">
        <v>33</v>
      </c>
      <c r="E35" s="1" t="s">
        <v>25</v>
      </c>
      <c r="F35" s="1" t="s">
        <v>26</v>
      </c>
      <c r="G35" s="1" t="s">
        <v>21</v>
      </c>
      <c r="H35" s="6">
        <v>1</v>
      </c>
      <c r="I35" s="7">
        <v>1200</v>
      </c>
      <c r="J35" s="5">
        <v>45928</v>
      </c>
      <c r="K35" s="1" t="s">
        <v>30</v>
      </c>
      <c r="L35" s="8">
        <v>0</v>
      </c>
      <c r="M35" s="6"/>
      <c r="N35" s="6"/>
      <c r="O35" s="9">
        <v>0</v>
      </c>
    </row>
    <row r="36" spans="1:15" ht="19.5" customHeight="1">
      <c r="A36" s="1" t="s">
        <v>681</v>
      </c>
      <c r="B36" s="5">
        <v>45931</v>
      </c>
      <c r="C36" s="1" t="s">
        <v>31</v>
      </c>
      <c r="D36" s="1" t="s">
        <v>34</v>
      </c>
      <c r="E36" s="1" t="s">
        <v>25</v>
      </c>
      <c r="F36" s="1" t="s">
        <v>26</v>
      </c>
      <c r="G36" s="1" t="s">
        <v>21</v>
      </c>
      <c r="H36" s="6">
        <v>1</v>
      </c>
      <c r="I36" s="7">
        <v>1200</v>
      </c>
      <c r="J36" s="5">
        <v>45928</v>
      </c>
      <c r="K36" s="1" t="s">
        <v>30</v>
      </c>
      <c r="L36" s="8">
        <v>0</v>
      </c>
      <c r="M36" s="6"/>
      <c r="N36" s="6"/>
      <c r="O36" s="9">
        <v>450.48</v>
      </c>
    </row>
    <row r="37" spans="1:15" ht="19.5" customHeight="1">
      <c r="A37" s="1" t="s">
        <v>681</v>
      </c>
      <c r="B37" s="5">
        <v>45931</v>
      </c>
      <c r="C37" s="1" t="s">
        <v>35</v>
      </c>
      <c r="D37" s="1" t="s">
        <v>36</v>
      </c>
      <c r="E37" s="1" t="s">
        <v>25</v>
      </c>
      <c r="F37" s="1" t="s">
        <v>26</v>
      </c>
      <c r="G37" s="1" t="s">
        <v>21</v>
      </c>
      <c r="H37" s="6">
        <v>1</v>
      </c>
      <c r="I37" s="7">
        <v>1200</v>
      </c>
      <c r="J37" s="5">
        <v>45928</v>
      </c>
      <c r="K37" s="1" t="s">
        <v>30</v>
      </c>
      <c r="L37" s="8">
        <v>0.26</v>
      </c>
      <c r="M37" s="6"/>
      <c r="N37" s="6"/>
      <c r="O37" s="9">
        <v>-312</v>
      </c>
    </row>
    <row r="38" spans="1:15" ht="19.5" customHeight="1">
      <c r="A38" s="1" t="s">
        <v>681</v>
      </c>
      <c r="B38" s="5">
        <v>45931</v>
      </c>
      <c r="C38" s="1" t="s">
        <v>17</v>
      </c>
      <c r="D38" s="1" t="s">
        <v>37</v>
      </c>
      <c r="E38" s="1" t="s">
        <v>25</v>
      </c>
      <c r="F38" s="1" t="s">
        <v>26</v>
      </c>
      <c r="G38" s="1" t="s">
        <v>21</v>
      </c>
      <c r="H38" s="6">
        <v>1</v>
      </c>
      <c r="I38" s="7">
        <v>1200</v>
      </c>
      <c r="J38" s="5">
        <v>45928</v>
      </c>
      <c r="K38" s="1" t="s">
        <v>30</v>
      </c>
      <c r="L38" s="8">
        <v>0.26</v>
      </c>
      <c r="M38" s="6"/>
      <c r="N38" s="6"/>
      <c r="O38" s="9">
        <v>-10.14</v>
      </c>
    </row>
    <row r="39" spans="1:15" ht="19.5" customHeight="1">
      <c r="A39" s="1" t="s">
        <v>682</v>
      </c>
      <c r="B39" s="5">
        <v>45931</v>
      </c>
      <c r="C39" s="1" t="s">
        <v>17</v>
      </c>
      <c r="D39" s="1" t="s">
        <v>18</v>
      </c>
      <c r="E39" s="1" t="s">
        <v>25</v>
      </c>
      <c r="F39" s="1" t="s">
        <v>26</v>
      </c>
      <c r="G39" s="1" t="s">
        <v>21</v>
      </c>
      <c r="H39" s="6">
        <v>1</v>
      </c>
      <c r="I39" s="7">
        <v>0</v>
      </c>
      <c r="J39" s="5">
        <v>45931</v>
      </c>
      <c r="K39" s="1" t="s">
        <v>22</v>
      </c>
      <c r="L39" s="8">
        <v>0</v>
      </c>
      <c r="M39" s="6"/>
      <c r="N39" s="6"/>
      <c r="O39" s="9">
        <v>-12.67</v>
      </c>
    </row>
    <row r="40" spans="1:15" ht="19.5" customHeight="1">
      <c r="A40" s="1" t="s">
        <v>683</v>
      </c>
      <c r="B40" s="5">
        <v>45931</v>
      </c>
      <c r="C40" s="1" t="s">
        <v>28</v>
      </c>
      <c r="D40" s="1" t="s">
        <v>29</v>
      </c>
      <c r="E40" s="1" t="s">
        <v>66</v>
      </c>
      <c r="F40" s="1" t="s">
        <v>67</v>
      </c>
      <c r="G40" s="1" t="s">
        <v>41</v>
      </c>
      <c r="H40" s="6">
        <v>1</v>
      </c>
      <c r="I40" s="7">
        <v>3300</v>
      </c>
      <c r="J40" s="5">
        <v>45926</v>
      </c>
      <c r="K40" s="1" t="s">
        <v>30</v>
      </c>
      <c r="L40" s="8">
        <v>0.24</v>
      </c>
      <c r="M40" s="6"/>
      <c r="N40" s="6"/>
      <c r="O40" s="9">
        <v>-56</v>
      </c>
    </row>
    <row r="41" spans="1:15" ht="19.5" customHeight="1">
      <c r="A41" s="1" t="s">
        <v>683</v>
      </c>
      <c r="B41" s="5">
        <v>45931</v>
      </c>
      <c r="C41" s="1" t="s">
        <v>31</v>
      </c>
      <c r="D41" s="1" t="s">
        <v>32</v>
      </c>
      <c r="E41" s="1" t="s">
        <v>66</v>
      </c>
      <c r="F41" s="1" t="s">
        <v>67</v>
      </c>
      <c r="G41" s="1" t="s">
        <v>41</v>
      </c>
      <c r="H41" s="6">
        <v>1</v>
      </c>
      <c r="I41" s="7">
        <v>3300</v>
      </c>
      <c r="J41" s="5">
        <v>45926</v>
      </c>
      <c r="K41" s="1" t="s">
        <v>30</v>
      </c>
      <c r="L41" s="8">
        <v>0</v>
      </c>
      <c r="M41" s="6"/>
      <c r="N41" s="6"/>
      <c r="O41" s="9">
        <v>2061.85</v>
      </c>
    </row>
    <row r="42" spans="1:15" ht="19.5" customHeight="1">
      <c r="A42" s="1" t="s">
        <v>683</v>
      </c>
      <c r="B42" s="5">
        <v>45931</v>
      </c>
      <c r="C42" s="1" t="s">
        <v>31</v>
      </c>
      <c r="D42" s="1" t="s">
        <v>33</v>
      </c>
      <c r="E42" s="1" t="s">
        <v>66</v>
      </c>
      <c r="F42" s="1" t="s">
        <v>67</v>
      </c>
      <c r="G42" s="1" t="s">
        <v>41</v>
      </c>
      <c r="H42" s="6">
        <v>1</v>
      </c>
      <c r="I42" s="7">
        <v>3300</v>
      </c>
      <c r="J42" s="5">
        <v>45926</v>
      </c>
      <c r="K42" s="1" t="s">
        <v>30</v>
      </c>
      <c r="L42" s="8">
        <v>0</v>
      </c>
      <c r="M42" s="6"/>
      <c r="N42" s="6"/>
      <c r="O42" s="9">
        <v>15.15</v>
      </c>
    </row>
    <row r="43" spans="1:15" ht="19.5" customHeight="1">
      <c r="A43" s="1" t="s">
        <v>683</v>
      </c>
      <c r="B43" s="5">
        <v>45931</v>
      </c>
      <c r="C43" s="1" t="s">
        <v>31</v>
      </c>
      <c r="D43" s="1" t="s">
        <v>34</v>
      </c>
      <c r="E43" s="1" t="s">
        <v>66</v>
      </c>
      <c r="F43" s="1" t="s">
        <v>67</v>
      </c>
      <c r="G43" s="1" t="s">
        <v>41</v>
      </c>
      <c r="H43" s="6">
        <v>1</v>
      </c>
      <c r="I43" s="7">
        <v>3300</v>
      </c>
      <c r="J43" s="5">
        <v>45926</v>
      </c>
      <c r="K43" s="1" t="s">
        <v>30</v>
      </c>
      <c r="L43" s="8">
        <v>0</v>
      </c>
      <c r="M43" s="6"/>
      <c r="N43" s="6"/>
      <c r="O43" s="9">
        <v>1223</v>
      </c>
    </row>
    <row r="44" spans="1:15" ht="19.5" customHeight="1">
      <c r="A44" s="1" t="s">
        <v>683</v>
      </c>
      <c r="B44" s="5">
        <v>45931</v>
      </c>
      <c r="C44" s="1" t="s">
        <v>35</v>
      </c>
      <c r="D44" s="1" t="s">
        <v>36</v>
      </c>
      <c r="E44" s="1" t="s">
        <v>66</v>
      </c>
      <c r="F44" s="1" t="s">
        <v>67</v>
      </c>
      <c r="G44" s="1" t="s">
        <v>41</v>
      </c>
      <c r="H44" s="6">
        <v>1</v>
      </c>
      <c r="I44" s="7">
        <v>3300</v>
      </c>
      <c r="J44" s="5">
        <v>45926</v>
      </c>
      <c r="K44" s="1" t="s">
        <v>30</v>
      </c>
      <c r="L44" s="8">
        <v>0.24</v>
      </c>
      <c r="M44" s="6"/>
      <c r="N44" s="6"/>
      <c r="O44" s="9">
        <v>-792</v>
      </c>
    </row>
    <row r="45" spans="1:15" ht="19.5" customHeight="1">
      <c r="A45" s="1" t="s">
        <v>683</v>
      </c>
      <c r="B45" s="5">
        <v>45931</v>
      </c>
      <c r="C45" s="1" t="s">
        <v>17</v>
      </c>
      <c r="D45" s="1" t="s">
        <v>37</v>
      </c>
      <c r="E45" s="1" t="s">
        <v>66</v>
      </c>
      <c r="F45" s="1" t="s">
        <v>67</v>
      </c>
      <c r="G45" s="1" t="s">
        <v>41</v>
      </c>
      <c r="H45" s="6">
        <v>1</v>
      </c>
      <c r="I45" s="7">
        <v>3300</v>
      </c>
      <c r="J45" s="5">
        <v>45926</v>
      </c>
      <c r="K45" s="1" t="s">
        <v>30</v>
      </c>
      <c r="L45" s="8">
        <v>0.24</v>
      </c>
      <c r="M45" s="6"/>
      <c r="N45" s="6"/>
      <c r="O45" s="9">
        <v>-8.73</v>
      </c>
    </row>
    <row r="46" spans="1:15" ht="19.5" customHeight="1">
      <c r="A46" s="1" t="s">
        <v>683</v>
      </c>
      <c r="B46" s="5">
        <v>45931</v>
      </c>
      <c r="C46" s="1" t="s">
        <v>17</v>
      </c>
      <c r="D46" s="1" t="s">
        <v>18</v>
      </c>
      <c r="E46" s="1" t="s">
        <v>66</v>
      </c>
      <c r="F46" s="1" t="s">
        <v>67</v>
      </c>
      <c r="G46" s="1" t="s">
        <v>41</v>
      </c>
      <c r="H46" s="6">
        <v>1</v>
      </c>
      <c r="I46" s="7">
        <v>0</v>
      </c>
      <c r="J46" s="5">
        <v>45926</v>
      </c>
      <c r="K46" s="1" t="s">
        <v>22</v>
      </c>
      <c r="L46" s="8">
        <v>0</v>
      </c>
      <c r="M46" s="6"/>
      <c r="N46" s="6"/>
      <c r="O46" s="9">
        <v>-39.18</v>
      </c>
    </row>
    <row r="47" spans="1:15" ht="19.5" customHeight="1">
      <c r="A47" s="1" t="s">
        <v>684</v>
      </c>
      <c r="B47" s="5">
        <v>45931</v>
      </c>
      <c r="C47" s="1" t="s">
        <v>28</v>
      </c>
      <c r="D47" s="1" t="s">
        <v>29</v>
      </c>
      <c r="E47" s="1" t="s">
        <v>66</v>
      </c>
      <c r="F47" s="1" t="s">
        <v>67</v>
      </c>
      <c r="G47" s="1" t="s">
        <v>41</v>
      </c>
      <c r="H47" s="6">
        <v>1</v>
      </c>
      <c r="I47" s="7">
        <v>3300</v>
      </c>
      <c r="J47" s="5">
        <v>45928</v>
      </c>
      <c r="K47" s="1" t="s">
        <v>30</v>
      </c>
      <c r="L47" s="8">
        <v>0.24</v>
      </c>
      <c r="M47" s="6"/>
      <c r="N47" s="6"/>
      <c r="O47" s="9">
        <v>-56</v>
      </c>
    </row>
    <row r="48" spans="1:15" ht="19.5" customHeight="1">
      <c r="A48" s="1" t="s">
        <v>684</v>
      </c>
      <c r="B48" s="5">
        <v>45931</v>
      </c>
      <c r="C48" s="1" t="s">
        <v>31</v>
      </c>
      <c r="D48" s="1" t="s">
        <v>32</v>
      </c>
      <c r="E48" s="1" t="s">
        <v>66</v>
      </c>
      <c r="F48" s="1" t="s">
        <v>67</v>
      </c>
      <c r="G48" s="1" t="s">
        <v>41</v>
      </c>
      <c r="H48" s="6">
        <v>1</v>
      </c>
      <c r="I48" s="7">
        <v>3300</v>
      </c>
      <c r="J48" s="5">
        <v>45928</v>
      </c>
      <c r="K48" s="1" t="s">
        <v>30</v>
      </c>
      <c r="L48" s="8">
        <v>0</v>
      </c>
      <c r="M48" s="6"/>
      <c r="N48" s="6"/>
      <c r="O48" s="9">
        <v>1909</v>
      </c>
    </row>
    <row r="49" spans="1:15" ht="19.5" customHeight="1">
      <c r="A49" s="1" t="s">
        <v>684</v>
      </c>
      <c r="B49" s="5">
        <v>45931</v>
      </c>
      <c r="C49" s="1" t="s">
        <v>31</v>
      </c>
      <c r="D49" s="1" t="s">
        <v>33</v>
      </c>
      <c r="E49" s="1" t="s">
        <v>66</v>
      </c>
      <c r="F49" s="1" t="s">
        <v>67</v>
      </c>
      <c r="G49" s="1" t="s">
        <v>41</v>
      </c>
      <c r="H49" s="6">
        <v>1</v>
      </c>
      <c r="I49" s="7">
        <v>3300</v>
      </c>
      <c r="J49" s="5">
        <v>45928</v>
      </c>
      <c r="K49" s="1" t="s">
        <v>30</v>
      </c>
      <c r="L49" s="8">
        <v>0</v>
      </c>
      <c r="M49" s="6"/>
      <c r="N49" s="6"/>
      <c r="O49" s="9">
        <v>14.03</v>
      </c>
    </row>
    <row r="50" spans="1:15" ht="19.5" customHeight="1">
      <c r="A50" s="1" t="s">
        <v>684</v>
      </c>
      <c r="B50" s="5">
        <v>45931</v>
      </c>
      <c r="C50" s="1" t="s">
        <v>31</v>
      </c>
      <c r="D50" s="1" t="s">
        <v>34</v>
      </c>
      <c r="E50" s="1" t="s">
        <v>66</v>
      </c>
      <c r="F50" s="1" t="s">
        <v>67</v>
      </c>
      <c r="G50" s="1" t="s">
        <v>41</v>
      </c>
      <c r="H50" s="6">
        <v>1</v>
      </c>
      <c r="I50" s="7">
        <v>3300</v>
      </c>
      <c r="J50" s="5">
        <v>45928</v>
      </c>
      <c r="K50" s="1" t="s">
        <v>30</v>
      </c>
      <c r="L50" s="8">
        <v>0</v>
      </c>
      <c r="M50" s="6"/>
      <c r="N50" s="6"/>
      <c r="O50" s="9">
        <v>1376.97</v>
      </c>
    </row>
    <row r="51" spans="1:15" ht="19.5" customHeight="1">
      <c r="A51" s="1" t="s">
        <v>684</v>
      </c>
      <c r="B51" s="5">
        <v>45931</v>
      </c>
      <c r="C51" s="1" t="s">
        <v>35</v>
      </c>
      <c r="D51" s="1" t="s">
        <v>36</v>
      </c>
      <c r="E51" s="1" t="s">
        <v>66</v>
      </c>
      <c r="F51" s="1" t="s">
        <v>67</v>
      </c>
      <c r="G51" s="1" t="s">
        <v>41</v>
      </c>
      <c r="H51" s="6">
        <v>1</v>
      </c>
      <c r="I51" s="7">
        <v>3300</v>
      </c>
      <c r="J51" s="5">
        <v>45928</v>
      </c>
      <c r="K51" s="1" t="s">
        <v>30</v>
      </c>
      <c r="L51" s="8">
        <v>0.24</v>
      </c>
      <c r="M51" s="6"/>
      <c r="N51" s="6"/>
      <c r="O51" s="9">
        <v>-792</v>
      </c>
    </row>
    <row r="52" spans="1:15" ht="19.5" customHeight="1">
      <c r="A52" s="1" t="s">
        <v>684</v>
      </c>
      <c r="B52" s="5">
        <v>45931</v>
      </c>
      <c r="C52" s="1" t="s">
        <v>17</v>
      </c>
      <c r="D52" s="1" t="s">
        <v>37</v>
      </c>
      <c r="E52" s="1" t="s">
        <v>66</v>
      </c>
      <c r="F52" s="1" t="s">
        <v>67</v>
      </c>
      <c r="G52" s="1" t="s">
        <v>41</v>
      </c>
      <c r="H52" s="6">
        <v>1</v>
      </c>
      <c r="I52" s="7">
        <v>3300</v>
      </c>
      <c r="J52" s="5">
        <v>45928</v>
      </c>
      <c r="K52" s="1" t="s">
        <v>30</v>
      </c>
      <c r="L52" s="8">
        <v>0.24</v>
      </c>
      <c r="M52" s="6"/>
      <c r="N52" s="6"/>
      <c r="O52" s="9">
        <v>-11.2</v>
      </c>
    </row>
    <row r="53" spans="1:15" ht="19.5" customHeight="1">
      <c r="A53" s="1" t="s">
        <v>685</v>
      </c>
      <c r="B53" s="5">
        <v>45931</v>
      </c>
      <c r="C53" s="1" t="s">
        <v>28</v>
      </c>
      <c r="D53" s="1" t="s">
        <v>29</v>
      </c>
      <c r="E53" s="1" t="s">
        <v>25</v>
      </c>
      <c r="F53" s="1" t="s">
        <v>26</v>
      </c>
      <c r="G53" s="1" t="s">
        <v>21</v>
      </c>
      <c r="H53" s="6">
        <v>1</v>
      </c>
      <c r="I53" s="7">
        <v>0</v>
      </c>
      <c r="J53" s="5">
        <v>45922</v>
      </c>
      <c r="K53" s="1" t="s">
        <v>30</v>
      </c>
      <c r="L53" s="8">
        <v>0</v>
      </c>
      <c r="M53" s="6"/>
      <c r="N53" s="6"/>
      <c r="O53" s="9">
        <v>-46</v>
      </c>
    </row>
    <row r="54" spans="1:15" ht="19.5" customHeight="1">
      <c r="A54" s="1" t="s">
        <v>685</v>
      </c>
      <c r="B54" s="5">
        <v>45931</v>
      </c>
      <c r="C54" s="1" t="s">
        <v>17</v>
      </c>
      <c r="D54" s="1" t="s">
        <v>37</v>
      </c>
      <c r="E54" s="1" t="s">
        <v>25</v>
      </c>
      <c r="F54" s="1" t="s">
        <v>26</v>
      </c>
      <c r="G54" s="1" t="s">
        <v>21</v>
      </c>
      <c r="H54" s="6">
        <v>1</v>
      </c>
      <c r="I54" s="7">
        <v>0</v>
      </c>
      <c r="J54" s="5">
        <v>45922</v>
      </c>
      <c r="K54" s="1" t="s">
        <v>30</v>
      </c>
      <c r="L54" s="8">
        <v>0</v>
      </c>
      <c r="M54" s="6"/>
      <c r="N54" s="6"/>
      <c r="O54" s="9">
        <v>-6.27</v>
      </c>
    </row>
    <row r="55" spans="1:15" ht="19.5" customHeight="1">
      <c r="A55" s="1" t="s">
        <v>685</v>
      </c>
      <c r="B55" s="5">
        <v>45931</v>
      </c>
      <c r="C55" s="1" t="s">
        <v>28</v>
      </c>
      <c r="D55" s="1" t="s">
        <v>356</v>
      </c>
      <c r="E55" s="1" t="s">
        <v>25</v>
      </c>
      <c r="F55" s="1" t="s">
        <v>26</v>
      </c>
      <c r="G55" s="1" t="s">
        <v>21</v>
      </c>
      <c r="H55" s="6">
        <v>1</v>
      </c>
      <c r="I55" s="7">
        <v>0</v>
      </c>
      <c r="J55" s="5">
        <v>45922</v>
      </c>
      <c r="K55" s="1" t="s">
        <v>30</v>
      </c>
      <c r="L55" s="8">
        <v>0</v>
      </c>
      <c r="M55" s="6"/>
      <c r="N55" s="6"/>
      <c r="O55" s="9">
        <v>0</v>
      </c>
    </row>
    <row r="56" spans="1:15" ht="19.5" customHeight="1">
      <c r="A56" s="1" t="s">
        <v>685</v>
      </c>
      <c r="B56" s="5">
        <v>45931</v>
      </c>
      <c r="C56" s="1" t="s">
        <v>28</v>
      </c>
      <c r="D56" s="1" t="s">
        <v>46</v>
      </c>
      <c r="E56" s="1" t="s">
        <v>25</v>
      </c>
      <c r="F56" s="1" t="s">
        <v>26</v>
      </c>
      <c r="G56" s="1" t="s">
        <v>21</v>
      </c>
      <c r="H56" s="6">
        <v>1</v>
      </c>
      <c r="I56" s="7">
        <v>0</v>
      </c>
      <c r="J56" s="5">
        <v>45922</v>
      </c>
      <c r="K56" s="1" t="s">
        <v>30</v>
      </c>
      <c r="L56" s="8">
        <v>0</v>
      </c>
      <c r="M56" s="6"/>
      <c r="N56" s="6"/>
      <c r="O56" s="9">
        <v>-46</v>
      </c>
    </row>
    <row r="57" spans="1:15" ht="19.5" customHeight="1">
      <c r="A57" s="1" t="s">
        <v>685</v>
      </c>
      <c r="B57" s="5">
        <v>45931</v>
      </c>
      <c r="C57" s="1" t="s">
        <v>17</v>
      </c>
      <c r="D57" s="1" t="s">
        <v>47</v>
      </c>
      <c r="E57" s="1" t="s">
        <v>25</v>
      </c>
      <c r="F57" s="1" t="s">
        <v>26</v>
      </c>
      <c r="G57" s="1" t="s">
        <v>21</v>
      </c>
      <c r="H57" s="6">
        <v>1</v>
      </c>
      <c r="I57" s="7">
        <v>0</v>
      </c>
      <c r="J57" s="5">
        <v>45922</v>
      </c>
      <c r="K57" s="1" t="s">
        <v>30</v>
      </c>
      <c r="L57" s="8">
        <v>0</v>
      </c>
      <c r="M57" s="6"/>
      <c r="N57" s="6"/>
      <c r="O57" s="9">
        <v>-15</v>
      </c>
    </row>
    <row r="58" spans="1:15" ht="19.5" customHeight="1">
      <c r="A58" s="1" t="s">
        <v>686</v>
      </c>
      <c r="B58" s="5">
        <v>45931</v>
      </c>
      <c r="C58" s="1" t="s">
        <v>17</v>
      </c>
      <c r="D58" s="1" t="s">
        <v>18</v>
      </c>
      <c r="E58" s="1" t="s">
        <v>70</v>
      </c>
      <c r="F58" s="1" t="s">
        <v>71</v>
      </c>
      <c r="G58" s="1" t="s">
        <v>41</v>
      </c>
      <c r="H58" s="6">
        <v>1</v>
      </c>
      <c r="I58" s="7">
        <v>0</v>
      </c>
      <c r="J58" s="5">
        <v>45931</v>
      </c>
      <c r="K58" s="1" t="s">
        <v>22</v>
      </c>
      <c r="L58" s="8">
        <v>0</v>
      </c>
      <c r="M58" s="6"/>
      <c r="N58" s="6"/>
      <c r="O58" s="9">
        <v>-28.57</v>
      </c>
    </row>
    <row r="59" spans="1:15" ht="19.5" customHeight="1">
      <c r="A59" s="1" t="s">
        <v>687</v>
      </c>
      <c r="B59" s="5">
        <v>45931</v>
      </c>
      <c r="C59" s="1" t="s">
        <v>28</v>
      </c>
      <c r="D59" s="1" t="s">
        <v>29</v>
      </c>
      <c r="E59" s="1" t="s">
        <v>51</v>
      </c>
      <c r="F59" s="1" t="s">
        <v>52</v>
      </c>
      <c r="G59" s="1" t="s">
        <v>41</v>
      </c>
      <c r="H59" s="6">
        <v>1</v>
      </c>
      <c r="I59" s="7">
        <v>3690</v>
      </c>
      <c r="J59" s="5">
        <v>45930</v>
      </c>
      <c r="K59" s="1" t="s">
        <v>30</v>
      </c>
      <c r="L59" s="8">
        <v>0.24</v>
      </c>
      <c r="M59" s="6"/>
      <c r="N59" s="6"/>
      <c r="O59" s="9">
        <v>-56</v>
      </c>
    </row>
    <row r="60" spans="1:15" ht="19.5" customHeight="1">
      <c r="A60" s="1" t="s">
        <v>687</v>
      </c>
      <c r="B60" s="5">
        <v>45931</v>
      </c>
      <c r="C60" s="1" t="s">
        <v>31</v>
      </c>
      <c r="D60" s="1" t="s">
        <v>32</v>
      </c>
      <c r="E60" s="1" t="s">
        <v>51</v>
      </c>
      <c r="F60" s="1" t="s">
        <v>52</v>
      </c>
      <c r="G60" s="1" t="s">
        <v>41</v>
      </c>
      <c r="H60" s="6">
        <v>1</v>
      </c>
      <c r="I60" s="7">
        <v>3690</v>
      </c>
      <c r="J60" s="5">
        <v>45930</v>
      </c>
      <c r="K60" s="1" t="s">
        <v>30</v>
      </c>
      <c r="L60" s="8">
        <v>0</v>
      </c>
      <c r="M60" s="6"/>
      <c r="N60" s="6"/>
      <c r="O60" s="9">
        <v>2126.2199999999998</v>
      </c>
    </row>
    <row r="61" spans="1:15" ht="19.5" customHeight="1">
      <c r="A61" s="1" t="s">
        <v>687</v>
      </c>
      <c r="B61" s="5">
        <v>45931</v>
      </c>
      <c r="C61" s="1" t="s">
        <v>31</v>
      </c>
      <c r="D61" s="1" t="s">
        <v>33</v>
      </c>
      <c r="E61" s="1" t="s">
        <v>51</v>
      </c>
      <c r="F61" s="1" t="s">
        <v>52</v>
      </c>
      <c r="G61" s="1" t="s">
        <v>41</v>
      </c>
      <c r="H61" s="6">
        <v>1</v>
      </c>
      <c r="I61" s="7">
        <v>3690</v>
      </c>
      <c r="J61" s="5">
        <v>45930</v>
      </c>
      <c r="K61" s="1" t="s">
        <v>30</v>
      </c>
      <c r="L61" s="8">
        <v>0</v>
      </c>
      <c r="M61" s="6"/>
      <c r="N61" s="6"/>
      <c r="O61" s="9">
        <v>15.63</v>
      </c>
    </row>
    <row r="62" spans="1:15" ht="19.5" customHeight="1">
      <c r="A62" s="1" t="s">
        <v>687</v>
      </c>
      <c r="B62" s="5">
        <v>45931</v>
      </c>
      <c r="C62" s="1" t="s">
        <v>31</v>
      </c>
      <c r="D62" s="1" t="s">
        <v>34</v>
      </c>
      <c r="E62" s="1" t="s">
        <v>51</v>
      </c>
      <c r="F62" s="1" t="s">
        <v>52</v>
      </c>
      <c r="G62" s="1" t="s">
        <v>41</v>
      </c>
      <c r="H62" s="6">
        <v>1</v>
      </c>
      <c r="I62" s="7">
        <v>3690</v>
      </c>
      <c r="J62" s="5">
        <v>45930</v>
      </c>
      <c r="K62" s="1" t="s">
        <v>30</v>
      </c>
      <c r="L62" s="8">
        <v>0</v>
      </c>
      <c r="M62" s="6"/>
      <c r="N62" s="6"/>
      <c r="O62" s="9">
        <v>1548.15</v>
      </c>
    </row>
    <row r="63" spans="1:15" ht="19.5" customHeight="1">
      <c r="A63" s="1" t="s">
        <v>687</v>
      </c>
      <c r="B63" s="5">
        <v>45931</v>
      </c>
      <c r="C63" s="1" t="s">
        <v>35</v>
      </c>
      <c r="D63" s="1" t="s">
        <v>36</v>
      </c>
      <c r="E63" s="1" t="s">
        <v>51</v>
      </c>
      <c r="F63" s="1" t="s">
        <v>52</v>
      </c>
      <c r="G63" s="1" t="s">
        <v>41</v>
      </c>
      <c r="H63" s="6">
        <v>1</v>
      </c>
      <c r="I63" s="7">
        <v>3690</v>
      </c>
      <c r="J63" s="5">
        <v>45930</v>
      </c>
      <c r="K63" s="1" t="s">
        <v>30</v>
      </c>
      <c r="L63" s="8">
        <v>0.24</v>
      </c>
      <c r="M63" s="6"/>
      <c r="N63" s="6"/>
      <c r="O63" s="9">
        <v>-885.6</v>
      </c>
    </row>
    <row r="64" spans="1:15" ht="19.5" customHeight="1">
      <c r="A64" s="1" t="s">
        <v>688</v>
      </c>
      <c r="B64" s="5">
        <v>45931</v>
      </c>
      <c r="C64" s="1" t="s">
        <v>17</v>
      </c>
      <c r="D64" s="1" t="s">
        <v>18</v>
      </c>
      <c r="E64" s="1" t="s">
        <v>51</v>
      </c>
      <c r="F64" s="1" t="s">
        <v>52</v>
      </c>
      <c r="G64" s="1" t="s">
        <v>41</v>
      </c>
      <c r="H64" s="6">
        <v>1</v>
      </c>
      <c r="I64" s="7">
        <v>0</v>
      </c>
      <c r="J64" s="5">
        <v>45931</v>
      </c>
      <c r="K64" s="1" t="s">
        <v>22</v>
      </c>
      <c r="L64" s="8">
        <v>0</v>
      </c>
      <c r="M64" s="6"/>
      <c r="N64" s="6"/>
      <c r="O64" s="9">
        <v>-28.72</v>
      </c>
    </row>
    <row r="65" spans="1:15" ht="19.5" customHeight="1">
      <c r="A65" s="1" t="s">
        <v>59</v>
      </c>
      <c r="B65" s="5">
        <v>45931</v>
      </c>
      <c r="C65" s="1" t="s">
        <v>28</v>
      </c>
      <c r="D65" s="1" t="s">
        <v>29</v>
      </c>
      <c r="E65" s="1" t="s">
        <v>51</v>
      </c>
      <c r="F65" s="1" t="s">
        <v>52</v>
      </c>
      <c r="G65" s="1" t="s">
        <v>41</v>
      </c>
      <c r="H65" s="6">
        <v>1</v>
      </c>
      <c r="I65" s="7">
        <v>3690</v>
      </c>
      <c r="J65" s="5">
        <v>45928</v>
      </c>
      <c r="K65" s="1" t="s">
        <v>30</v>
      </c>
      <c r="L65" s="8">
        <v>0.24</v>
      </c>
      <c r="M65" s="6"/>
      <c r="N65" s="6"/>
      <c r="O65" s="9">
        <v>-56</v>
      </c>
    </row>
    <row r="66" spans="1:15" ht="19.5" customHeight="1">
      <c r="A66" s="1" t="s">
        <v>59</v>
      </c>
      <c r="B66" s="5">
        <v>45931</v>
      </c>
      <c r="C66" s="1" t="s">
        <v>31</v>
      </c>
      <c r="D66" s="1" t="s">
        <v>32</v>
      </c>
      <c r="E66" s="1" t="s">
        <v>51</v>
      </c>
      <c r="F66" s="1" t="s">
        <v>52</v>
      </c>
      <c r="G66" s="1" t="s">
        <v>41</v>
      </c>
      <c r="H66" s="6">
        <v>1</v>
      </c>
      <c r="I66" s="7">
        <v>3690</v>
      </c>
      <c r="J66" s="5">
        <v>45928</v>
      </c>
      <c r="K66" s="1" t="s">
        <v>30</v>
      </c>
      <c r="L66" s="8">
        <v>0</v>
      </c>
      <c r="M66" s="6"/>
      <c r="N66" s="6"/>
      <c r="O66" s="9">
        <v>2131.5</v>
      </c>
    </row>
    <row r="67" spans="1:15" ht="19.5" customHeight="1">
      <c r="A67" s="1" t="s">
        <v>59</v>
      </c>
      <c r="B67" s="5">
        <v>45931</v>
      </c>
      <c r="C67" s="1" t="s">
        <v>31</v>
      </c>
      <c r="D67" s="1" t="s">
        <v>33</v>
      </c>
      <c r="E67" s="1" t="s">
        <v>51</v>
      </c>
      <c r="F67" s="1" t="s">
        <v>52</v>
      </c>
      <c r="G67" s="1" t="s">
        <v>41</v>
      </c>
      <c r="H67" s="6">
        <v>1</v>
      </c>
      <c r="I67" s="7">
        <v>3690</v>
      </c>
      <c r="J67" s="5">
        <v>45928</v>
      </c>
      <c r="K67" s="1" t="s">
        <v>30</v>
      </c>
      <c r="L67" s="8">
        <v>0</v>
      </c>
      <c r="M67" s="6"/>
      <c r="N67" s="6"/>
      <c r="O67" s="9">
        <v>15.67</v>
      </c>
    </row>
    <row r="68" spans="1:15" ht="19.5" customHeight="1">
      <c r="A68" s="1" t="s">
        <v>59</v>
      </c>
      <c r="B68" s="5">
        <v>45931</v>
      </c>
      <c r="C68" s="1" t="s">
        <v>31</v>
      </c>
      <c r="D68" s="1" t="s">
        <v>34</v>
      </c>
      <c r="E68" s="1" t="s">
        <v>51</v>
      </c>
      <c r="F68" s="1" t="s">
        <v>52</v>
      </c>
      <c r="G68" s="1" t="s">
        <v>41</v>
      </c>
      <c r="H68" s="6">
        <v>1</v>
      </c>
      <c r="I68" s="7">
        <v>3690</v>
      </c>
      <c r="J68" s="5">
        <v>45928</v>
      </c>
      <c r="K68" s="1" t="s">
        <v>30</v>
      </c>
      <c r="L68" s="8">
        <v>0</v>
      </c>
      <c r="M68" s="6"/>
      <c r="N68" s="6"/>
      <c r="O68" s="9">
        <v>1542.83</v>
      </c>
    </row>
    <row r="69" spans="1:15" ht="19.5" customHeight="1">
      <c r="A69" s="1" t="s">
        <v>59</v>
      </c>
      <c r="B69" s="5">
        <v>45931</v>
      </c>
      <c r="C69" s="1" t="s">
        <v>35</v>
      </c>
      <c r="D69" s="1" t="s">
        <v>36</v>
      </c>
      <c r="E69" s="1" t="s">
        <v>51</v>
      </c>
      <c r="F69" s="1" t="s">
        <v>52</v>
      </c>
      <c r="G69" s="1" t="s">
        <v>41</v>
      </c>
      <c r="H69" s="6">
        <v>1</v>
      </c>
      <c r="I69" s="7">
        <v>3690</v>
      </c>
      <c r="J69" s="5">
        <v>45928</v>
      </c>
      <c r="K69" s="1" t="s">
        <v>30</v>
      </c>
      <c r="L69" s="8">
        <v>0.24</v>
      </c>
      <c r="M69" s="6"/>
      <c r="N69" s="6"/>
      <c r="O69" s="9">
        <v>-885.6</v>
      </c>
    </row>
    <row r="70" spans="1:15" ht="19.5" customHeight="1">
      <c r="A70" s="1" t="s">
        <v>59</v>
      </c>
      <c r="B70" s="5">
        <v>45931</v>
      </c>
      <c r="C70" s="1" t="s">
        <v>17</v>
      </c>
      <c r="D70" s="1" t="s">
        <v>37</v>
      </c>
      <c r="E70" s="1" t="s">
        <v>51</v>
      </c>
      <c r="F70" s="1" t="s">
        <v>52</v>
      </c>
      <c r="G70" s="1" t="s">
        <v>41</v>
      </c>
      <c r="H70" s="6">
        <v>1</v>
      </c>
      <c r="I70" s="7">
        <v>3690</v>
      </c>
      <c r="J70" s="5">
        <v>45928</v>
      </c>
      <c r="K70" s="1" t="s">
        <v>30</v>
      </c>
      <c r="L70" s="8">
        <v>0.24</v>
      </c>
      <c r="M70" s="6"/>
      <c r="N70" s="6"/>
      <c r="O70" s="9">
        <v>-11.08</v>
      </c>
    </row>
    <row r="71" spans="1:15" ht="19.5" customHeight="1">
      <c r="A71" s="1" t="s">
        <v>59</v>
      </c>
      <c r="B71" s="5">
        <v>45931</v>
      </c>
      <c r="C71" s="1" t="s">
        <v>17</v>
      </c>
      <c r="D71" s="1" t="s">
        <v>18</v>
      </c>
      <c r="E71" s="1" t="s">
        <v>51</v>
      </c>
      <c r="F71" s="1" t="s">
        <v>52</v>
      </c>
      <c r="G71" s="1" t="s">
        <v>41</v>
      </c>
      <c r="H71" s="6">
        <v>1</v>
      </c>
      <c r="I71" s="7">
        <v>0</v>
      </c>
      <c r="J71" s="5">
        <v>45928</v>
      </c>
      <c r="K71" s="1" t="s">
        <v>22</v>
      </c>
      <c r="L71" s="8">
        <v>0</v>
      </c>
      <c r="M71" s="6"/>
      <c r="N71" s="6"/>
      <c r="O71" s="9">
        <v>-40.5</v>
      </c>
    </row>
    <row r="72" spans="1:15" ht="19.5" customHeight="1">
      <c r="A72" s="1" t="s">
        <v>22</v>
      </c>
      <c r="B72" s="5">
        <v>45931</v>
      </c>
      <c r="C72" s="1" t="s">
        <v>77</v>
      </c>
      <c r="D72" s="1" t="s">
        <v>78</v>
      </c>
      <c r="E72" s="1" t="s">
        <v>22</v>
      </c>
      <c r="F72" s="1" t="s">
        <v>22</v>
      </c>
      <c r="G72" s="1" t="s">
        <v>689</v>
      </c>
      <c r="H72" s="6">
        <v>0</v>
      </c>
      <c r="I72" s="7">
        <v>0</v>
      </c>
      <c r="J72" s="5">
        <v>45931</v>
      </c>
      <c r="K72" s="1" t="s">
        <v>22</v>
      </c>
      <c r="L72" s="8">
        <v>0</v>
      </c>
      <c r="M72" s="6"/>
      <c r="N72" s="6"/>
      <c r="O72" s="9">
        <v>-200</v>
      </c>
    </row>
    <row r="73" spans="1:15" ht="19.5" customHeight="1">
      <c r="A73" s="1" t="s">
        <v>690</v>
      </c>
      <c r="B73" s="5">
        <v>45931</v>
      </c>
      <c r="C73" s="1" t="s">
        <v>17</v>
      </c>
      <c r="D73" s="1" t="s">
        <v>18</v>
      </c>
      <c r="E73" s="1" t="s">
        <v>66</v>
      </c>
      <c r="F73" s="1" t="s">
        <v>67</v>
      </c>
      <c r="G73" s="1" t="s">
        <v>41</v>
      </c>
      <c r="H73" s="6">
        <v>1</v>
      </c>
      <c r="I73" s="7">
        <v>0</v>
      </c>
      <c r="J73" s="5">
        <v>45931</v>
      </c>
      <c r="K73" s="1" t="s">
        <v>22</v>
      </c>
      <c r="L73" s="8">
        <v>0</v>
      </c>
      <c r="M73" s="6"/>
      <c r="N73" s="6"/>
      <c r="O73" s="9">
        <v>-26.46</v>
      </c>
    </row>
    <row r="74" spans="1:15" ht="19.5" customHeight="1">
      <c r="A74" s="1" t="s">
        <v>691</v>
      </c>
      <c r="B74" s="5">
        <v>45931</v>
      </c>
      <c r="C74" s="1" t="s">
        <v>17</v>
      </c>
      <c r="D74" s="1" t="s">
        <v>18</v>
      </c>
      <c r="E74" s="1" t="s">
        <v>25</v>
      </c>
      <c r="F74" s="1" t="s">
        <v>26</v>
      </c>
      <c r="G74" s="1" t="s">
        <v>21</v>
      </c>
      <c r="H74" s="6">
        <v>1</v>
      </c>
      <c r="I74" s="7">
        <v>0</v>
      </c>
      <c r="J74" s="5">
        <v>45931</v>
      </c>
      <c r="K74" s="1" t="s">
        <v>22</v>
      </c>
      <c r="L74" s="8">
        <v>0</v>
      </c>
      <c r="M74" s="6"/>
      <c r="N74" s="6"/>
      <c r="O74" s="9">
        <v>-12.27</v>
      </c>
    </row>
    <row r="75" spans="1:15" ht="19.5" customHeight="1">
      <c r="A75" s="1" t="s">
        <v>692</v>
      </c>
      <c r="B75" s="5">
        <v>45931</v>
      </c>
      <c r="C75" s="1" t="s">
        <v>28</v>
      </c>
      <c r="D75" s="1" t="s">
        <v>29</v>
      </c>
      <c r="E75" s="1" t="s">
        <v>25</v>
      </c>
      <c r="F75" s="1" t="s">
        <v>26</v>
      </c>
      <c r="G75" s="1" t="s">
        <v>21</v>
      </c>
      <c r="H75" s="6">
        <v>1</v>
      </c>
      <c r="I75" s="7">
        <v>0</v>
      </c>
      <c r="J75" s="5">
        <v>45922</v>
      </c>
      <c r="K75" s="1" t="s">
        <v>30</v>
      </c>
      <c r="L75" s="8">
        <v>0</v>
      </c>
      <c r="M75" s="6"/>
      <c r="N75" s="6"/>
      <c r="O75" s="9">
        <v>-46</v>
      </c>
    </row>
    <row r="76" spans="1:15" ht="19.5" customHeight="1">
      <c r="A76" s="1" t="s">
        <v>692</v>
      </c>
      <c r="B76" s="5">
        <v>45931</v>
      </c>
      <c r="C76" s="1" t="s">
        <v>17</v>
      </c>
      <c r="D76" s="1" t="s">
        <v>37</v>
      </c>
      <c r="E76" s="1" t="s">
        <v>25</v>
      </c>
      <c r="F76" s="1" t="s">
        <v>26</v>
      </c>
      <c r="G76" s="1" t="s">
        <v>21</v>
      </c>
      <c r="H76" s="6">
        <v>1</v>
      </c>
      <c r="I76" s="7">
        <v>0</v>
      </c>
      <c r="J76" s="5">
        <v>45922</v>
      </c>
      <c r="K76" s="1" t="s">
        <v>30</v>
      </c>
      <c r="L76" s="8">
        <v>0</v>
      </c>
      <c r="M76" s="6"/>
      <c r="N76" s="6"/>
      <c r="O76" s="9">
        <v>-5.3</v>
      </c>
    </row>
    <row r="77" spans="1:15" ht="19.5" customHeight="1">
      <c r="A77" s="1" t="s">
        <v>692</v>
      </c>
      <c r="B77" s="5">
        <v>45931</v>
      </c>
      <c r="C77" s="1" t="s">
        <v>28</v>
      </c>
      <c r="D77" s="1" t="s">
        <v>356</v>
      </c>
      <c r="E77" s="1" t="s">
        <v>25</v>
      </c>
      <c r="F77" s="1" t="s">
        <v>26</v>
      </c>
      <c r="G77" s="1" t="s">
        <v>21</v>
      </c>
      <c r="H77" s="6">
        <v>1</v>
      </c>
      <c r="I77" s="7">
        <v>0</v>
      </c>
      <c r="J77" s="5">
        <v>45922</v>
      </c>
      <c r="K77" s="1" t="s">
        <v>30</v>
      </c>
      <c r="L77" s="8">
        <v>0</v>
      </c>
      <c r="M77" s="6"/>
      <c r="N77" s="6"/>
      <c r="O77" s="9">
        <v>0</v>
      </c>
    </row>
    <row r="78" spans="1:15" ht="19.5" customHeight="1">
      <c r="A78" s="1" t="s">
        <v>692</v>
      </c>
      <c r="B78" s="5">
        <v>45931</v>
      </c>
      <c r="C78" s="1" t="s">
        <v>28</v>
      </c>
      <c r="D78" s="1" t="s">
        <v>46</v>
      </c>
      <c r="E78" s="1" t="s">
        <v>25</v>
      </c>
      <c r="F78" s="1" t="s">
        <v>26</v>
      </c>
      <c r="G78" s="1" t="s">
        <v>21</v>
      </c>
      <c r="H78" s="6">
        <v>1</v>
      </c>
      <c r="I78" s="7">
        <v>0</v>
      </c>
      <c r="J78" s="5">
        <v>45922</v>
      </c>
      <c r="K78" s="1" t="s">
        <v>30</v>
      </c>
      <c r="L78" s="8">
        <v>0</v>
      </c>
      <c r="M78" s="6"/>
      <c r="N78" s="6"/>
      <c r="O78" s="9">
        <v>-46</v>
      </c>
    </row>
    <row r="79" spans="1:15" ht="19.5" customHeight="1">
      <c r="A79" s="1" t="s">
        <v>692</v>
      </c>
      <c r="B79" s="5">
        <v>45931</v>
      </c>
      <c r="C79" s="1" t="s">
        <v>17</v>
      </c>
      <c r="D79" s="1" t="s">
        <v>47</v>
      </c>
      <c r="E79" s="1" t="s">
        <v>25</v>
      </c>
      <c r="F79" s="1" t="s">
        <v>26</v>
      </c>
      <c r="G79" s="1" t="s">
        <v>21</v>
      </c>
      <c r="H79" s="6">
        <v>1</v>
      </c>
      <c r="I79" s="7">
        <v>0</v>
      </c>
      <c r="J79" s="5">
        <v>45922</v>
      </c>
      <c r="K79" s="1" t="s">
        <v>30</v>
      </c>
      <c r="L79" s="8">
        <v>0</v>
      </c>
      <c r="M79" s="6"/>
      <c r="N79" s="6"/>
      <c r="O79" s="9">
        <v>-15</v>
      </c>
    </row>
    <row r="80" spans="1:15" ht="19.5" customHeight="1">
      <c r="A80" s="1" t="s">
        <v>22</v>
      </c>
      <c r="B80" s="5">
        <v>45931</v>
      </c>
      <c r="C80" s="1" t="s">
        <v>77</v>
      </c>
      <c r="D80" s="1" t="s">
        <v>80</v>
      </c>
      <c r="E80" s="1" t="s">
        <v>22</v>
      </c>
      <c r="F80" s="1" t="s">
        <v>22</v>
      </c>
      <c r="G80" s="1" t="s">
        <v>22</v>
      </c>
      <c r="H80" s="6">
        <v>0</v>
      </c>
      <c r="I80" s="7">
        <v>0</v>
      </c>
      <c r="J80" s="5">
        <v>45931</v>
      </c>
      <c r="K80" s="1" t="s">
        <v>22</v>
      </c>
      <c r="L80" s="8">
        <v>0</v>
      </c>
      <c r="M80" s="6"/>
      <c r="N80" s="6"/>
      <c r="O80" s="9">
        <v>-432</v>
      </c>
    </row>
    <row r="81" spans="1:15" ht="19.5" customHeight="1">
      <c r="A81" s="1" t="s">
        <v>454</v>
      </c>
      <c r="B81" s="5">
        <v>45931</v>
      </c>
      <c r="C81" s="1" t="s">
        <v>77</v>
      </c>
      <c r="D81" s="1" t="s">
        <v>82</v>
      </c>
      <c r="E81" s="1" t="s">
        <v>22</v>
      </c>
      <c r="F81" s="1" t="s">
        <v>22</v>
      </c>
      <c r="G81" s="1" t="s">
        <v>22</v>
      </c>
      <c r="H81" s="6">
        <v>0</v>
      </c>
      <c r="I81" s="7">
        <v>0</v>
      </c>
      <c r="J81" s="5">
        <v>45931</v>
      </c>
      <c r="K81" s="1" t="s">
        <v>22</v>
      </c>
      <c r="L81" s="8">
        <v>0</v>
      </c>
      <c r="M81" s="6"/>
      <c r="N81" s="6"/>
      <c r="O81" s="9">
        <v>-1710.67</v>
      </c>
    </row>
    <row r="82" spans="1:15" ht="19.5" customHeight="1">
      <c r="A82" s="1" t="s">
        <v>85</v>
      </c>
      <c r="B82" s="5">
        <v>45931</v>
      </c>
      <c r="C82" s="1" t="s">
        <v>77</v>
      </c>
      <c r="D82" s="1" t="s">
        <v>82</v>
      </c>
      <c r="E82" s="1" t="s">
        <v>22</v>
      </c>
      <c r="F82" s="1" t="s">
        <v>22</v>
      </c>
      <c r="G82" s="1" t="s">
        <v>22</v>
      </c>
      <c r="H82" s="6">
        <v>0</v>
      </c>
      <c r="I82" s="7">
        <v>0</v>
      </c>
      <c r="J82" s="5">
        <v>45931</v>
      </c>
      <c r="K82" s="1" t="s">
        <v>22</v>
      </c>
      <c r="L82" s="8">
        <v>0</v>
      </c>
      <c r="M82" s="6"/>
      <c r="N82" s="6"/>
      <c r="O82" s="9">
        <v>-807.17</v>
      </c>
    </row>
    <row r="83" spans="1:15" ht="19.5" customHeight="1">
      <c r="A83" s="1" t="s">
        <v>83</v>
      </c>
      <c r="B83" s="5">
        <v>45931</v>
      </c>
      <c r="C83" s="1" t="s">
        <v>77</v>
      </c>
      <c r="D83" s="1" t="s">
        <v>84</v>
      </c>
      <c r="E83" s="1" t="s">
        <v>22</v>
      </c>
      <c r="F83" s="1" t="s">
        <v>22</v>
      </c>
      <c r="G83" s="1" t="s">
        <v>22</v>
      </c>
      <c r="H83" s="6">
        <v>0</v>
      </c>
      <c r="I83" s="7">
        <v>0</v>
      </c>
      <c r="J83" s="5">
        <v>45931</v>
      </c>
      <c r="K83" s="1" t="s">
        <v>22</v>
      </c>
      <c r="L83" s="8">
        <v>0</v>
      </c>
      <c r="M83" s="6"/>
      <c r="N83" s="6"/>
      <c r="O83" s="9">
        <v>-958.5</v>
      </c>
    </row>
    <row r="84" spans="1:15" ht="19.5" customHeight="1">
      <c r="A84" s="1" t="s">
        <v>81</v>
      </c>
      <c r="B84" s="5">
        <v>45931</v>
      </c>
      <c r="C84" s="1" t="s">
        <v>77</v>
      </c>
      <c r="D84" s="1" t="s">
        <v>82</v>
      </c>
      <c r="E84" s="1" t="s">
        <v>22</v>
      </c>
      <c r="F84" s="1" t="s">
        <v>22</v>
      </c>
      <c r="G84" s="1" t="s">
        <v>22</v>
      </c>
      <c r="H84" s="6">
        <v>0</v>
      </c>
      <c r="I84" s="7">
        <v>0</v>
      </c>
      <c r="J84" s="5">
        <v>45931</v>
      </c>
      <c r="K84" s="1" t="s">
        <v>22</v>
      </c>
      <c r="L84" s="8">
        <v>0</v>
      </c>
      <c r="M84" s="6"/>
      <c r="N84" s="6"/>
      <c r="O84" s="9">
        <v>-804.53</v>
      </c>
    </row>
    <row r="85" spans="1:15" ht="19.5" customHeight="1">
      <c r="A85" s="1" t="s">
        <v>693</v>
      </c>
      <c r="B85" s="5">
        <v>45932</v>
      </c>
      <c r="C85" s="1" t="s">
        <v>17</v>
      </c>
      <c r="D85" s="1" t="s">
        <v>18</v>
      </c>
      <c r="E85" s="1" t="s">
        <v>25</v>
      </c>
      <c r="F85" s="1" t="s">
        <v>26</v>
      </c>
      <c r="G85" s="1" t="s">
        <v>21</v>
      </c>
      <c r="H85" s="6">
        <v>1</v>
      </c>
      <c r="I85" s="7">
        <v>0</v>
      </c>
      <c r="J85" s="5">
        <v>45932</v>
      </c>
      <c r="K85" s="1" t="s">
        <v>22</v>
      </c>
      <c r="L85" s="8">
        <v>0</v>
      </c>
      <c r="M85" s="6"/>
      <c r="N85" s="6"/>
      <c r="O85" s="9">
        <v>-2.59</v>
      </c>
    </row>
    <row r="86" spans="1:15" ht="19.5" customHeight="1">
      <c r="A86" s="1" t="s">
        <v>694</v>
      </c>
      <c r="B86" s="5">
        <v>45932</v>
      </c>
      <c r="C86" s="1" t="s">
        <v>17</v>
      </c>
      <c r="D86" s="1" t="s">
        <v>18</v>
      </c>
      <c r="E86" s="1" t="s">
        <v>51</v>
      </c>
      <c r="F86" s="1" t="s">
        <v>52</v>
      </c>
      <c r="G86" s="1" t="s">
        <v>41</v>
      </c>
      <c r="H86" s="6">
        <v>1</v>
      </c>
      <c r="I86" s="7">
        <v>0</v>
      </c>
      <c r="J86" s="5">
        <v>45932</v>
      </c>
      <c r="K86" s="1" t="s">
        <v>22</v>
      </c>
      <c r="L86" s="8">
        <v>0</v>
      </c>
      <c r="M86" s="6"/>
      <c r="N86" s="6"/>
      <c r="O86" s="9">
        <v>-28.69</v>
      </c>
    </row>
    <row r="87" spans="1:15" ht="19.5" customHeight="1">
      <c r="A87" s="1" t="s">
        <v>695</v>
      </c>
      <c r="B87" s="5">
        <v>45932</v>
      </c>
      <c r="C87" s="1" t="s">
        <v>28</v>
      </c>
      <c r="D87" s="1" t="s">
        <v>29</v>
      </c>
      <c r="E87" s="1" t="s">
        <v>25</v>
      </c>
      <c r="F87" s="1" t="s">
        <v>26</v>
      </c>
      <c r="G87" s="1" t="s">
        <v>21</v>
      </c>
      <c r="H87" s="6">
        <v>1</v>
      </c>
      <c r="I87" s="7">
        <v>1200</v>
      </c>
      <c r="J87" s="5">
        <v>45926</v>
      </c>
      <c r="K87" s="1" t="s">
        <v>30</v>
      </c>
      <c r="L87" s="8">
        <v>0.26</v>
      </c>
      <c r="M87" s="6"/>
      <c r="N87" s="6"/>
      <c r="O87" s="9">
        <v>-46</v>
      </c>
    </row>
    <row r="88" spans="1:15" ht="19.5" customHeight="1">
      <c r="A88" s="1" t="s">
        <v>695</v>
      </c>
      <c r="B88" s="5">
        <v>45932</v>
      </c>
      <c r="C88" s="1" t="s">
        <v>31</v>
      </c>
      <c r="D88" s="1" t="s">
        <v>32</v>
      </c>
      <c r="E88" s="1" t="s">
        <v>25</v>
      </c>
      <c r="F88" s="1" t="s">
        <v>26</v>
      </c>
      <c r="G88" s="1" t="s">
        <v>21</v>
      </c>
      <c r="H88" s="6">
        <v>1</v>
      </c>
      <c r="I88" s="7">
        <v>1200</v>
      </c>
      <c r="J88" s="5">
        <v>45926</v>
      </c>
      <c r="K88" s="1" t="s">
        <v>30</v>
      </c>
      <c r="L88" s="8">
        <v>0</v>
      </c>
      <c r="M88" s="6"/>
      <c r="N88" s="6"/>
      <c r="O88" s="9">
        <v>826</v>
      </c>
    </row>
    <row r="89" spans="1:15" ht="19.5" customHeight="1">
      <c r="A89" s="1" t="s">
        <v>695</v>
      </c>
      <c r="B89" s="5">
        <v>45932</v>
      </c>
      <c r="C89" s="1" t="s">
        <v>31</v>
      </c>
      <c r="D89" s="1" t="s">
        <v>33</v>
      </c>
      <c r="E89" s="1" t="s">
        <v>25</v>
      </c>
      <c r="F89" s="1" t="s">
        <v>26</v>
      </c>
      <c r="G89" s="1" t="s">
        <v>21</v>
      </c>
      <c r="H89" s="6">
        <v>1</v>
      </c>
      <c r="I89" s="7">
        <v>1200</v>
      </c>
      <c r="J89" s="5">
        <v>45926</v>
      </c>
      <c r="K89" s="1" t="s">
        <v>30</v>
      </c>
      <c r="L89" s="8">
        <v>0</v>
      </c>
      <c r="M89" s="6"/>
      <c r="N89" s="6"/>
      <c r="O89" s="9">
        <v>0</v>
      </c>
    </row>
    <row r="90" spans="1:15" ht="19.5" customHeight="1">
      <c r="A90" s="1" t="s">
        <v>695</v>
      </c>
      <c r="B90" s="5">
        <v>45932</v>
      </c>
      <c r="C90" s="1" t="s">
        <v>31</v>
      </c>
      <c r="D90" s="1" t="s">
        <v>34</v>
      </c>
      <c r="E90" s="1" t="s">
        <v>25</v>
      </c>
      <c r="F90" s="1" t="s">
        <v>26</v>
      </c>
      <c r="G90" s="1" t="s">
        <v>21</v>
      </c>
      <c r="H90" s="6">
        <v>1</v>
      </c>
      <c r="I90" s="7">
        <v>1200</v>
      </c>
      <c r="J90" s="5">
        <v>45926</v>
      </c>
      <c r="K90" s="1" t="s">
        <v>30</v>
      </c>
      <c r="L90" s="8">
        <v>0</v>
      </c>
      <c r="M90" s="6"/>
      <c r="N90" s="6"/>
      <c r="O90" s="9">
        <v>374</v>
      </c>
    </row>
    <row r="91" spans="1:15" ht="19.5" customHeight="1">
      <c r="A91" s="1" t="s">
        <v>695</v>
      </c>
      <c r="B91" s="5">
        <v>45932</v>
      </c>
      <c r="C91" s="1" t="s">
        <v>35</v>
      </c>
      <c r="D91" s="1" t="s">
        <v>36</v>
      </c>
      <c r="E91" s="1" t="s">
        <v>25</v>
      </c>
      <c r="F91" s="1" t="s">
        <v>26</v>
      </c>
      <c r="G91" s="1" t="s">
        <v>21</v>
      </c>
      <c r="H91" s="6">
        <v>1</v>
      </c>
      <c r="I91" s="7">
        <v>1200</v>
      </c>
      <c r="J91" s="5">
        <v>45926</v>
      </c>
      <c r="K91" s="1" t="s">
        <v>30</v>
      </c>
      <c r="L91" s="8">
        <v>0.26</v>
      </c>
      <c r="M91" s="6"/>
      <c r="N91" s="6"/>
      <c r="O91" s="9">
        <v>-312</v>
      </c>
    </row>
    <row r="92" spans="1:15" ht="19.5" customHeight="1">
      <c r="A92" s="1" t="s">
        <v>695</v>
      </c>
      <c r="B92" s="5">
        <v>45932</v>
      </c>
      <c r="C92" s="1" t="s">
        <v>17</v>
      </c>
      <c r="D92" s="1" t="s">
        <v>37</v>
      </c>
      <c r="E92" s="1" t="s">
        <v>25</v>
      </c>
      <c r="F92" s="1" t="s">
        <v>26</v>
      </c>
      <c r="G92" s="1" t="s">
        <v>21</v>
      </c>
      <c r="H92" s="6">
        <v>1</v>
      </c>
      <c r="I92" s="7">
        <v>1200</v>
      </c>
      <c r="J92" s="5">
        <v>45926</v>
      </c>
      <c r="K92" s="1" t="s">
        <v>30</v>
      </c>
      <c r="L92" s="8">
        <v>0.26</v>
      </c>
      <c r="M92" s="6"/>
      <c r="N92" s="6"/>
      <c r="O92" s="9">
        <v>-4.6399999999999997</v>
      </c>
    </row>
    <row r="93" spans="1:15" ht="19.5" customHeight="1">
      <c r="A93" s="1" t="s">
        <v>696</v>
      </c>
      <c r="B93" s="5">
        <v>45932</v>
      </c>
      <c r="C93" s="1" t="s">
        <v>28</v>
      </c>
      <c r="D93" s="1" t="s">
        <v>29</v>
      </c>
      <c r="E93" s="1" t="s">
        <v>25</v>
      </c>
      <c r="F93" s="1" t="s">
        <v>26</v>
      </c>
      <c r="G93" s="1" t="s">
        <v>21</v>
      </c>
      <c r="H93" s="6">
        <v>1</v>
      </c>
      <c r="I93" s="7">
        <v>1200</v>
      </c>
      <c r="J93" s="5">
        <v>45928</v>
      </c>
      <c r="K93" s="1" t="s">
        <v>30</v>
      </c>
      <c r="L93" s="8">
        <v>0.26</v>
      </c>
      <c r="M93" s="6"/>
      <c r="N93" s="6"/>
      <c r="O93" s="9">
        <v>-46</v>
      </c>
    </row>
    <row r="94" spans="1:15" ht="19.5" customHeight="1">
      <c r="A94" s="1" t="s">
        <v>696</v>
      </c>
      <c r="B94" s="5">
        <v>45932</v>
      </c>
      <c r="C94" s="1" t="s">
        <v>31</v>
      </c>
      <c r="D94" s="1" t="s">
        <v>32</v>
      </c>
      <c r="E94" s="1" t="s">
        <v>25</v>
      </c>
      <c r="F94" s="1" t="s">
        <v>26</v>
      </c>
      <c r="G94" s="1" t="s">
        <v>21</v>
      </c>
      <c r="H94" s="6">
        <v>1</v>
      </c>
      <c r="I94" s="7">
        <v>1200</v>
      </c>
      <c r="J94" s="5">
        <v>45928</v>
      </c>
      <c r="K94" s="1" t="s">
        <v>30</v>
      </c>
      <c r="L94" s="8">
        <v>0</v>
      </c>
      <c r="M94" s="6"/>
      <c r="N94" s="6"/>
      <c r="O94" s="9">
        <v>711.03</v>
      </c>
    </row>
    <row r="95" spans="1:15" ht="19.5" customHeight="1">
      <c r="A95" s="1" t="s">
        <v>696</v>
      </c>
      <c r="B95" s="5">
        <v>45932</v>
      </c>
      <c r="C95" s="1" t="s">
        <v>31</v>
      </c>
      <c r="D95" s="1" t="s">
        <v>33</v>
      </c>
      <c r="E95" s="1" t="s">
        <v>25</v>
      </c>
      <c r="F95" s="1" t="s">
        <v>26</v>
      </c>
      <c r="G95" s="1" t="s">
        <v>21</v>
      </c>
      <c r="H95" s="6">
        <v>1</v>
      </c>
      <c r="I95" s="7">
        <v>1200</v>
      </c>
      <c r="J95" s="5">
        <v>45928</v>
      </c>
      <c r="K95" s="1" t="s">
        <v>30</v>
      </c>
      <c r="L95" s="8">
        <v>0</v>
      </c>
      <c r="M95" s="6"/>
      <c r="N95" s="6"/>
      <c r="O95" s="9">
        <v>5.23</v>
      </c>
    </row>
    <row r="96" spans="1:15" ht="19.5" customHeight="1">
      <c r="A96" s="1" t="s">
        <v>696</v>
      </c>
      <c r="B96" s="5">
        <v>45932</v>
      </c>
      <c r="C96" s="1" t="s">
        <v>31</v>
      </c>
      <c r="D96" s="1" t="s">
        <v>34</v>
      </c>
      <c r="E96" s="1" t="s">
        <v>25</v>
      </c>
      <c r="F96" s="1" t="s">
        <v>26</v>
      </c>
      <c r="G96" s="1" t="s">
        <v>21</v>
      </c>
      <c r="H96" s="6">
        <v>1</v>
      </c>
      <c r="I96" s="7">
        <v>1200</v>
      </c>
      <c r="J96" s="5">
        <v>45928</v>
      </c>
      <c r="K96" s="1" t="s">
        <v>30</v>
      </c>
      <c r="L96" s="8">
        <v>0</v>
      </c>
      <c r="M96" s="6"/>
      <c r="N96" s="6"/>
      <c r="O96" s="9">
        <v>483.74</v>
      </c>
    </row>
    <row r="97" spans="1:15" ht="19.5" customHeight="1">
      <c r="A97" s="1" t="s">
        <v>696</v>
      </c>
      <c r="B97" s="5">
        <v>45932</v>
      </c>
      <c r="C97" s="1" t="s">
        <v>35</v>
      </c>
      <c r="D97" s="1" t="s">
        <v>36</v>
      </c>
      <c r="E97" s="1" t="s">
        <v>25</v>
      </c>
      <c r="F97" s="1" t="s">
        <v>26</v>
      </c>
      <c r="G97" s="1" t="s">
        <v>21</v>
      </c>
      <c r="H97" s="6">
        <v>1</v>
      </c>
      <c r="I97" s="7">
        <v>1200</v>
      </c>
      <c r="J97" s="5">
        <v>45928</v>
      </c>
      <c r="K97" s="1" t="s">
        <v>30</v>
      </c>
      <c r="L97" s="8">
        <v>0.26</v>
      </c>
      <c r="M97" s="6"/>
      <c r="N97" s="6"/>
      <c r="O97" s="9">
        <v>-312</v>
      </c>
    </row>
    <row r="98" spans="1:15" ht="19.5" customHeight="1">
      <c r="A98" s="1" t="s">
        <v>696</v>
      </c>
      <c r="B98" s="5">
        <v>45932</v>
      </c>
      <c r="C98" s="1" t="s">
        <v>17</v>
      </c>
      <c r="D98" s="1" t="s">
        <v>37</v>
      </c>
      <c r="E98" s="1" t="s">
        <v>25</v>
      </c>
      <c r="F98" s="1" t="s">
        <v>26</v>
      </c>
      <c r="G98" s="1" t="s">
        <v>21</v>
      </c>
      <c r="H98" s="6">
        <v>1</v>
      </c>
      <c r="I98" s="7">
        <v>1200</v>
      </c>
      <c r="J98" s="5">
        <v>45928</v>
      </c>
      <c r="K98" s="1" t="s">
        <v>30</v>
      </c>
      <c r="L98" s="8">
        <v>0.26</v>
      </c>
      <c r="M98" s="6"/>
      <c r="N98" s="6"/>
      <c r="O98" s="9">
        <v>-10.85</v>
      </c>
    </row>
    <row r="99" spans="1:15" ht="19.5" customHeight="1">
      <c r="A99" s="1" t="s">
        <v>697</v>
      </c>
      <c r="B99" s="5">
        <v>45932</v>
      </c>
      <c r="C99" s="1" t="s">
        <v>17</v>
      </c>
      <c r="D99" s="1" t="s">
        <v>18</v>
      </c>
      <c r="E99" s="1" t="s">
        <v>25</v>
      </c>
      <c r="F99" s="1" t="s">
        <v>26</v>
      </c>
      <c r="G99" s="1" t="s">
        <v>21</v>
      </c>
      <c r="H99" s="6">
        <v>1</v>
      </c>
      <c r="I99" s="7">
        <v>0</v>
      </c>
      <c r="J99" s="5">
        <v>45932</v>
      </c>
      <c r="K99" s="1" t="s">
        <v>22</v>
      </c>
      <c r="L99" s="8">
        <v>0</v>
      </c>
      <c r="M99" s="6"/>
      <c r="N99" s="6"/>
      <c r="O99" s="9">
        <v>-2.08</v>
      </c>
    </row>
    <row r="100" spans="1:15" ht="19.5" customHeight="1">
      <c r="A100" s="1" t="s">
        <v>698</v>
      </c>
      <c r="B100" s="5">
        <v>45932</v>
      </c>
      <c r="C100" s="1" t="s">
        <v>17</v>
      </c>
      <c r="D100" s="1" t="s">
        <v>18</v>
      </c>
      <c r="E100" s="1" t="s">
        <v>25</v>
      </c>
      <c r="F100" s="1" t="s">
        <v>26</v>
      </c>
      <c r="G100" s="1" t="s">
        <v>21</v>
      </c>
      <c r="H100" s="6">
        <v>1</v>
      </c>
      <c r="I100" s="7">
        <v>0</v>
      </c>
      <c r="J100" s="5">
        <v>45932</v>
      </c>
      <c r="K100" s="1" t="s">
        <v>22</v>
      </c>
      <c r="L100" s="8">
        <v>0</v>
      </c>
      <c r="M100" s="6"/>
      <c r="N100" s="6"/>
      <c r="O100" s="9">
        <v>-3.67</v>
      </c>
    </row>
    <row r="101" spans="1:15" ht="19.5" customHeight="1">
      <c r="A101" s="1" t="s">
        <v>699</v>
      </c>
      <c r="B101" s="5">
        <v>45932</v>
      </c>
      <c r="C101" s="1" t="s">
        <v>17</v>
      </c>
      <c r="D101" s="1" t="s">
        <v>18</v>
      </c>
      <c r="E101" s="1" t="s">
        <v>25</v>
      </c>
      <c r="F101" s="1" t="s">
        <v>26</v>
      </c>
      <c r="G101" s="1" t="s">
        <v>21</v>
      </c>
      <c r="H101" s="6">
        <v>1</v>
      </c>
      <c r="I101" s="7">
        <v>0</v>
      </c>
      <c r="J101" s="5">
        <v>45926</v>
      </c>
      <c r="K101" s="1" t="s">
        <v>22</v>
      </c>
      <c r="L101" s="8">
        <v>0</v>
      </c>
      <c r="M101" s="6"/>
      <c r="N101" s="6"/>
      <c r="O101" s="9">
        <v>-4.95</v>
      </c>
    </row>
    <row r="102" spans="1:15" ht="19.5" customHeight="1">
      <c r="A102" s="1" t="s">
        <v>699</v>
      </c>
      <c r="B102" s="5">
        <v>45932</v>
      </c>
      <c r="C102" s="1" t="s">
        <v>28</v>
      </c>
      <c r="D102" s="1" t="s">
        <v>29</v>
      </c>
      <c r="E102" s="1" t="s">
        <v>25</v>
      </c>
      <c r="F102" s="1" t="s">
        <v>26</v>
      </c>
      <c r="G102" s="1" t="s">
        <v>21</v>
      </c>
      <c r="H102" s="6">
        <v>1</v>
      </c>
      <c r="I102" s="7">
        <v>1200</v>
      </c>
      <c r="J102" s="5">
        <v>45926</v>
      </c>
      <c r="K102" s="1" t="s">
        <v>30</v>
      </c>
      <c r="L102" s="8">
        <v>0.26</v>
      </c>
      <c r="M102" s="6"/>
      <c r="N102" s="6"/>
      <c r="O102" s="9">
        <v>-46</v>
      </c>
    </row>
    <row r="103" spans="1:15" ht="19.5" customHeight="1">
      <c r="A103" s="1" t="s">
        <v>699</v>
      </c>
      <c r="B103" s="5">
        <v>45932</v>
      </c>
      <c r="C103" s="1" t="s">
        <v>31</v>
      </c>
      <c r="D103" s="1" t="s">
        <v>32</v>
      </c>
      <c r="E103" s="1" t="s">
        <v>25</v>
      </c>
      <c r="F103" s="1" t="s">
        <v>26</v>
      </c>
      <c r="G103" s="1" t="s">
        <v>21</v>
      </c>
      <c r="H103" s="6">
        <v>1</v>
      </c>
      <c r="I103" s="7">
        <v>1200</v>
      </c>
      <c r="J103" s="5">
        <v>45926</v>
      </c>
      <c r="K103" s="1" t="s">
        <v>30</v>
      </c>
      <c r="L103" s="8">
        <v>0</v>
      </c>
      <c r="M103" s="6"/>
      <c r="N103" s="6"/>
      <c r="O103" s="9">
        <v>785.92</v>
      </c>
    </row>
    <row r="104" spans="1:15" ht="19.5" customHeight="1">
      <c r="A104" s="1" t="s">
        <v>699</v>
      </c>
      <c r="B104" s="5">
        <v>45932</v>
      </c>
      <c r="C104" s="1" t="s">
        <v>31</v>
      </c>
      <c r="D104" s="1" t="s">
        <v>33</v>
      </c>
      <c r="E104" s="1" t="s">
        <v>25</v>
      </c>
      <c r="F104" s="1" t="s">
        <v>26</v>
      </c>
      <c r="G104" s="1" t="s">
        <v>21</v>
      </c>
      <c r="H104" s="6">
        <v>1</v>
      </c>
      <c r="I104" s="7">
        <v>1200</v>
      </c>
      <c r="J104" s="5">
        <v>45926</v>
      </c>
      <c r="K104" s="1" t="s">
        <v>30</v>
      </c>
      <c r="L104" s="8">
        <v>0</v>
      </c>
      <c r="M104" s="6"/>
      <c r="N104" s="6"/>
      <c r="O104" s="9">
        <v>0</v>
      </c>
    </row>
    <row r="105" spans="1:15" ht="19.5" customHeight="1">
      <c r="A105" s="1" t="s">
        <v>699</v>
      </c>
      <c r="B105" s="5">
        <v>45932</v>
      </c>
      <c r="C105" s="1" t="s">
        <v>31</v>
      </c>
      <c r="D105" s="1" t="s">
        <v>34</v>
      </c>
      <c r="E105" s="1" t="s">
        <v>25</v>
      </c>
      <c r="F105" s="1" t="s">
        <v>26</v>
      </c>
      <c r="G105" s="1" t="s">
        <v>21</v>
      </c>
      <c r="H105" s="6">
        <v>1</v>
      </c>
      <c r="I105" s="7">
        <v>1200</v>
      </c>
      <c r="J105" s="5">
        <v>45926</v>
      </c>
      <c r="K105" s="1" t="s">
        <v>30</v>
      </c>
      <c r="L105" s="8">
        <v>0</v>
      </c>
      <c r="M105" s="6"/>
      <c r="N105" s="6"/>
      <c r="O105" s="9">
        <v>414.08</v>
      </c>
    </row>
    <row r="106" spans="1:15" ht="19.5" customHeight="1">
      <c r="A106" s="1" t="s">
        <v>699</v>
      </c>
      <c r="B106" s="5">
        <v>45932</v>
      </c>
      <c r="C106" s="1" t="s">
        <v>35</v>
      </c>
      <c r="D106" s="1" t="s">
        <v>36</v>
      </c>
      <c r="E106" s="1" t="s">
        <v>25</v>
      </c>
      <c r="F106" s="1" t="s">
        <v>26</v>
      </c>
      <c r="G106" s="1" t="s">
        <v>21</v>
      </c>
      <c r="H106" s="6">
        <v>1</v>
      </c>
      <c r="I106" s="7">
        <v>1200</v>
      </c>
      <c r="J106" s="5">
        <v>45926</v>
      </c>
      <c r="K106" s="1" t="s">
        <v>30</v>
      </c>
      <c r="L106" s="8">
        <v>0.26</v>
      </c>
      <c r="M106" s="6"/>
      <c r="N106" s="6"/>
      <c r="O106" s="9">
        <v>-312</v>
      </c>
    </row>
    <row r="107" spans="1:15" ht="19.5" customHeight="1">
      <c r="A107" s="1" t="s">
        <v>699</v>
      </c>
      <c r="B107" s="5">
        <v>45932</v>
      </c>
      <c r="C107" s="1" t="s">
        <v>17</v>
      </c>
      <c r="D107" s="1" t="s">
        <v>37</v>
      </c>
      <c r="E107" s="1" t="s">
        <v>25</v>
      </c>
      <c r="F107" s="1" t="s">
        <v>26</v>
      </c>
      <c r="G107" s="1" t="s">
        <v>21</v>
      </c>
      <c r="H107" s="6">
        <v>1</v>
      </c>
      <c r="I107" s="7">
        <v>1200</v>
      </c>
      <c r="J107" s="5">
        <v>45926</v>
      </c>
      <c r="K107" s="1" t="s">
        <v>30</v>
      </c>
      <c r="L107" s="8">
        <v>0.26</v>
      </c>
      <c r="M107" s="6"/>
      <c r="N107" s="6"/>
      <c r="O107" s="9">
        <v>-7.76</v>
      </c>
    </row>
    <row r="108" spans="1:15" ht="19.5" customHeight="1">
      <c r="A108" s="1" t="s">
        <v>700</v>
      </c>
      <c r="B108" s="5">
        <v>45932</v>
      </c>
      <c r="C108" s="1" t="s">
        <v>17</v>
      </c>
      <c r="D108" s="1" t="s">
        <v>18</v>
      </c>
      <c r="E108" s="1" t="s">
        <v>25</v>
      </c>
      <c r="F108" s="1" t="s">
        <v>26</v>
      </c>
      <c r="G108" s="1" t="s">
        <v>21</v>
      </c>
      <c r="H108" s="6">
        <v>1</v>
      </c>
      <c r="I108" s="7">
        <v>0</v>
      </c>
      <c r="J108" s="5">
        <v>45932</v>
      </c>
      <c r="K108" s="1" t="s">
        <v>22</v>
      </c>
      <c r="L108" s="8">
        <v>0</v>
      </c>
      <c r="M108" s="6"/>
      <c r="N108" s="6"/>
      <c r="O108" s="9">
        <v>-8.19</v>
      </c>
    </row>
    <row r="109" spans="1:15" ht="19.5" customHeight="1">
      <c r="A109" s="1" t="s">
        <v>701</v>
      </c>
      <c r="B109" s="5">
        <v>45932</v>
      </c>
      <c r="C109" s="1" t="s">
        <v>17</v>
      </c>
      <c r="D109" s="1" t="s">
        <v>18</v>
      </c>
      <c r="E109" s="1" t="s">
        <v>25</v>
      </c>
      <c r="F109" s="1" t="s">
        <v>26</v>
      </c>
      <c r="G109" s="1" t="s">
        <v>21</v>
      </c>
      <c r="H109" s="6">
        <v>1</v>
      </c>
      <c r="I109" s="7">
        <v>0</v>
      </c>
      <c r="J109" s="5">
        <v>45932</v>
      </c>
      <c r="K109" s="1" t="s">
        <v>22</v>
      </c>
      <c r="L109" s="8">
        <v>0</v>
      </c>
      <c r="M109" s="6"/>
      <c r="N109" s="6"/>
      <c r="O109" s="9">
        <v>-6.89</v>
      </c>
    </row>
    <row r="110" spans="1:15" ht="19.5" customHeight="1">
      <c r="A110" s="1" t="s">
        <v>701</v>
      </c>
      <c r="B110" s="5">
        <v>45932</v>
      </c>
      <c r="C110" s="1" t="s">
        <v>17</v>
      </c>
      <c r="D110" s="1" t="s">
        <v>18</v>
      </c>
      <c r="E110" s="1" t="s">
        <v>25</v>
      </c>
      <c r="F110" s="1" t="s">
        <v>26</v>
      </c>
      <c r="G110" s="1" t="s">
        <v>21</v>
      </c>
      <c r="H110" s="6">
        <v>1</v>
      </c>
      <c r="I110" s="7">
        <v>0</v>
      </c>
      <c r="J110" s="5">
        <v>45932</v>
      </c>
      <c r="K110" s="1" t="s">
        <v>22</v>
      </c>
      <c r="L110" s="8">
        <v>0</v>
      </c>
      <c r="M110" s="6"/>
      <c r="N110" s="6"/>
      <c r="O110" s="9">
        <v>6.89</v>
      </c>
    </row>
    <row r="111" spans="1:15" ht="19.5" customHeight="1">
      <c r="A111" s="1" t="s">
        <v>702</v>
      </c>
      <c r="B111" s="5">
        <v>45932</v>
      </c>
      <c r="C111" s="1" t="s">
        <v>17</v>
      </c>
      <c r="D111" s="1" t="s">
        <v>18</v>
      </c>
      <c r="E111" s="1" t="s">
        <v>25</v>
      </c>
      <c r="F111" s="1" t="s">
        <v>26</v>
      </c>
      <c r="G111" s="1" t="s">
        <v>21</v>
      </c>
      <c r="H111" s="6">
        <v>1</v>
      </c>
      <c r="I111" s="7">
        <v>0</v>
      </c>
      <c r="J111" s="5">
        <v>45932</v>
      </c>
      <c r="K111" s="1" t="s">
        <v>22</v>
      </c>
      <c r="L111" s="8">
        <v>0</v>
      </c>
      <c r="M111" s="6"/>
      <c r="N111" s="6"/>
      <c r="O111" s="9">
        <v>-8.1999999999999993</v>
      </c>
    </row>
    <row r="112" spans="1:15" ht="19.5" customHeight="1">
      <c r="A112" s="1" t="s">
        <v>702</v>
      </c>
      <c r="B112" s="5">
        <v>45932</v>
      </c>
      <c r="C112" s="1" t="s">
        <v>17</v>
      </c>
      <c r="D112" s="1" t="s">
        <v>18</v>
      </c>
      <c r="E112" s="1" t="s">
        <v>25</v>
      </c>
      <c r="F112" s="1" t="s">
        <v>26</v>
      </c>
      <c r="G112" s="1" t="s">
        <v>21</v>
      </c>
      <c r="H112" s="6">
        <v>1</v>
      </c>
      <c r="I112" s="7">
        <v>0</v>
      </c>
      <c r="J112" s="5">
        <v>45932</v>
      </c>
      <c r="K112" s="1" t="s">
        <v>22</v>
      </c>
      <c r="L112" s="8">
        <v>0</v>
      </c>
      <c r="M112" s="6"/>
      <c r="N112" s="6"/>
      <c r="O112" s="9">
        <v>8.1999999999999993</v>
      </c>
    </row>
    <row r="113" spans="1:15" ht="19.5" customHeight="1">
      <c r="A113" s="1" t="s">
        <v>703</v>
      </c>
      <c r="B113" s="5">
        <v>45932</v>
      </c>
      <c r="C113" s="1" t="s">
        <v>28</v>
      </c>
      <c r="D113" s="1" t="s">
        <v>45</v>
      </c>
      <c r="E113" s="1" t="s">
        <v>51</v>
      </c>
      <c r="F113" s="1" t="s">
        <v>52</v>
      </c>
      <c r="G113" s="1" t="s">
        <v>41</v>
      </c>
      <c r="H113" s="6">
        <v>1</v>
      </c>
      <c r="I113" s="7">
        <v>0</v>
      </c>
      <c r="J113" s="5">
        <v>45922</v>
      </c>
      <c r="K113" s="1" t="s">
        <v>30</v>
      </c>
      <c r="L113" s="8">
        <v>0</v>
      </c>
      <c r="M113" s="6"/>
      <c r="N113" s="6"/>
      <c r="O113" s="9">
        <v>0</v>
      </c>
    </row>
    <row r="114" spans="1:15" ht="19.5" customHeight="1">
      <c r="A114" s="1" t="s">
        <v>703</v>
      </c>
      <c r="B114" s="5">
        <v>45932</v>
      </c>
      <c r="C114" s="1" t="s">
        <v>28</v>
      </c>
      <c r="D114" s="1" t="s">
        <v>46</v>
      </c>
      <c r="E114" s="1" t="s">
        <v>51</v>
      </c>
      <c r="F114" s="1" t="s">
        <v>52</v>
      </c>
      <c r="G114" s="1" t="s">
        <v>41</v>
      </c>
      <c r="H114" s="6">
        <v>1</v>
      </c>
      <c r="I114" s="7">
        <v>0</v>
      </c>
      <c r="J114" s="5">
        <v>45922</v>
      </c>
      <c r="K114" s="1" t="s">
        <v>30</v>
      </c>
      <c r="L114" s="8">
        <v>0</v>
      </c>
      <c r="M114" s="6"/>
      <c r="N114" s="6"/>
      <c r="O114" s="9">
        <v>-56</v>
      </c>
    </row>
    <row r="115" spans="1:15" ht="19.5" customHeight="1">
      <c r="A115" s="1" t="s">
        <v>703</v>
      </c>
      <c r="B115" s="5">
        <v>45932</v>
      </c>
      <c r="C115" s="1" t="s">
        <v>17</v>
      </c>
      <c r="D115" s="1" t="s">
        <v>47</v>
      </c>
      <c r="E115" s="1" t="s">
        <v>51</v>
      </c>
      <c r="F115" s="1" t="s">
        <v>52</v>
      </c>
      <c r="G115" s="1" t="s">
        <v>41</v>
      </c>
      <c r="H115" s="6">
        <v>1</v>
      </c>
      <c r="I115" s="7">
        <v>0</v>
      </c>
      <c r="J115" s="5">
        <v>45922</v>
      </c>
      <c r="K115" s="1" t="s">
        <v>30</v>
      </c>
      <c r="L115" s="8">
        <v>0</v>
      </c>
      <c r="M115" s="6"/>
      <c r="N115" s="6"/>
      <c r="O115" s="9">
        <v>-15</v>
      </c>
    </row>
    <row r="116" spans="1:15" ht="19.5" customHeight="1">
      <c r="A116" s="1" t="s">
        <v>704</v>
      </c>
      <c r="B116" s="5">
        <v>45932</v>
      </c>
      <c r="C116" s="1" t="s">
        <v>17</v>
      </c>
      <c r="D116" s="1" t="s">
        <v>18</v>
      </c>
      <c r="E116" s="1" t="s">
        <v>51</v>
      </c>
      <c r="F116" s="1" t="s">
        <v>52</v>
      </c>
      <c r="G116" s="1" t="s">
        <v>41</v>
      </c>
      <c r="H116" s="6">
        <v>1</v>
      </c>
      <c r="I116" s="7">
        <v>0</v>
      </c>
      <c r="J116" s="5">
        <v>45932</v>
      </c>
      <c r="K116" s="1" t="s">
        <v>22</v>
      </c>
      <c r="L116" s="8">
        <v>0</v>
      </c>
      <c r="M116" s="6"/>
      <c r="N116" s="6"/>
      <c r="O116" s="9">
        <v>-28.9</v>
      </c>
    </row>
    <row r="117" spans="1:15" ht="19.5" customHeight="1">
      <c r="A117" s="1" t="s">
        <v>703</v>
      </c>
      <c r="B117" s="5">
        <v>45932</v>
      </c>
      <c r="C117" s="1" t="s">
        <v>28</v>
      </c>
      <c r="D117" s="1" t="s">
        <v>29</v>
      </c>
      <c r="E117" s="1" t="s">
        <v>51</v>
      </c>
      <c r="F117" s="1" t="s">
        <v>52</v>
      </c>
      <c r="G117" s="1" t="s">
        <v>41</v>
      </c>
      <c r="H117" s="6">
        <v>1</v>
      </c>
      <c r="I117" s="7">
        <v>0</v>
      </c>
      <c r="J117" s="5">
        <v>45922</v>
      </c>
      <c r="K117" s="1" t="s">
        <v>30</v>
      </c>
      <c r="L117" s="8">
        <v>0</v>
      </c>
      <c r="M117" s="6"/>
      <c r="N117" s="6"/>
      <c r="O117" s="9">
        <v>-56</v>
      </c>
    </row>
    <row r="118" spans="1:15" ht="19.5" customHeight="1">
      <c r="A118" s="1" t="s">
        <v>22</v>
      </c>
      <c r="B118" s="5">
        <v>45932</v>
      </c>
      <c r="C118" s="1" t="s">
        <v>77</v>
      </c>
      <c r="D118" s="1" t="s">
        <v>78</v>
      </c>
      <c r="E118" s="1" t="s">
        <v>22</v>
      </c>
      <c r="F118" s="1" t="s">
        <v>22</v>
      </c>
      <c r="G118" s="1" t="s">
        <v>705</v>
      </c>
      <c r="H118" s="6">
        <v>0</v>
      </c>
      <c r="I118" s="7">
        <v>0</v>
      </c>
      <c r="J118" s="5">
        <v>45932</v>
      </c>
      <c r="K118" s="1" t="s">
        <v>22</v>
      </c>
      <c r="L118" s="8">
        <v>0</v>
      </c>
      <c r="M118" s="6"/>
      <c r="N118" s="6"/>
      <c r="O118" s="9">
        <v>-200</v>
      </c>
    </row>
    <row r="119" spans="1:15" ht="19.5" customHeight="1">
      <c r="A119" s="1" t="s">
        <v>454</v>
      </c>
      <c r="B119" s="5">
        <v>45932</v>
      </c>
      <c r="C119" s="1" t="s">
        <v>77</v>
      </c>
      <c r="D119" s="1" t="s">
        <v>82</v>
      </c>
      <c r="E119" s="1" t="s">
        <v>22</v>
      </c>
      <c r="F119" s="1" t="s">
        <v>22</v>
      </c>
      <c r="G119" s="1" t="s">
        <v>22</v>
      </c>
      <c r="H119" s="6">
        <v>0</v>
      </c>
      <c r="I119" s="7">
        <v>0</v>
      </c>
      <c r="J119" s="5">
        <v>45932</v>
      </c>
      <c r="K119" s="1" t="s">
        <v>22</v>
      </c>
      <c r="L119" s="8">
        <v>0</v>
      </c>
      <c r="M119" s="6"/>
      <c r="N119" s="6"/>
      <c r="O119" s="9">
        <v>-1058.19</v>
      </c>
    </row>
    <row r="120" spans="1:15" ht="19.5" customHeight="1">
      <c r="A120" s="1" t="s">
        <v>85</v>
      </c>
      <c r="B120" s="5">
        <v>45932</v>
      </c>
      <c r="C120" s="1" t="s">
        <v>77</v>
      </c>
      <c r="D120" s="1" t="s">
        <v>82</v>
      </c>
      <c r="E120" s="1" t="s">
        <v>22</v>
      </c>
      <c r="F120" s="1" t="s">
        <v>22</v>
      </c>
      <c r="G120" s="1" t="s">
        <v>22</v>
      </c>
      <c r="H120" s="6">
        <v>0</v>
      </c>
      <c r="I120" s="7">
        <v>0</v>
      </c>
      <c r="J120" s="5">
        <v>45932</v>
      </c>
      <c r="K120" s="1" t="s">
        <v>22</v>
      </c>
      <c r="L120" s="8">
        <v>0</v>
      </c>
      <c r="M120" s="6"/>
      <c r="N120" s="6"/>
      <c r="O120" s="9">
        <v>-807.69</v>
      </c>
    </row>
    <row r="121" spans="1:15" ht="19.5" customHeight="1">
      <c r="A121" s="1" t="s">
        <v>83</v>
      </c>
      <c r="B121" s="5">
        <v>45932</v>
      </c>
      <c r="C121" s="1" t="s">
        <v>77</v>
      </c>
      <c r="D121" s="1" t="s">
        <v>84</v>
      </c>
      <c r="E121" s="1" t="s">
        <v>22</v>
      </c>
      <c r="F121" s="1" t="s">
        <v>22</v>
      </c>
      <c r="G121" s="1" t="s">
        <v>22</v>
      </c>
      <c r="H121" s="6">
        <v>0</v>
      </c>
      <c r="I121" s="7">
        <v>0</v>
      </c>
      <c r="J121" s="5">
        <v>45932</v>
      </c>
      <c r="K121" s="1" t="s">
        <v>22</v>
      </c>
      <c r="L121" s="8">
        <v>0</v>
      </c>
      <c r="M121" s="6"/>
      <c r="N121" s="6"/>
      <c r="O121" s="9">
        <v>-1009.8</v>
      </c>
    </row>
    <row r="122" spans="1:15" ht="19.5" customHeight="1">
      <c r="A122" s="1" t="s">
        <v>81</v>
      </c>
      <c r="B122" s="5">
        <v>45932</v>
      </c>
      <c r="C122" s="1" t="s">
        <v>77</v>
      </c>
      <c r="D122" s="1" t="s">
        <v>82</v>
      </c>
      <c r="E122" s="1" t="s">
        <v>22</v>
      </c>
      <c r="F122" s="1" t="s">
        <v>22</v>
      </c>
      <c r="G122" s="1" t="s">
        <v>22</v>
      </c>
      <c r="H122" s="6">
        <v>0</v>
      </c>
      <c r="I122" s="7">
        <v>0</v>
      </c>
      <c r="J122" s="5">
        <v>45932</v>
      </c>
      <c r="K122" s="1" t="s">
        <v>22</v>
      </c>
      <c r="L122" s="8">
        <v>0</v>
      </c>
      <c r="M122" s="6"/>
      <c r="N122" s="6"/>
      <c r="O122" s="9">
        <v>-1197.4100000000001</v>
      </c>
    </row>
    <row r="123" spans="1:15" ht="19.5" customHeight="1">
      <c r="A123" s="1" t="s">
        <v>706</v>
      </c>
      <c r="B123" s="5">
        <v>45933</v>
      </c>
      <c r="C123" s="1" t="s">
        <v>17</v>
      </c>
      <c r="D123" s="1" t="s">
        <v>18</v>
      </c>
      <c r="E123" s="1" t="s">
        <v>70</v>
      </c>
      <c r="F123" s="1" t="s">
        <v>71</v>
      </c>
      <c r="G123" s="1" t="s">
        <v>41</v>
      </c>
      <c r="H123" s="6">
        <v>1</v>
      </c>
      <c r="I123" s="7">
        <v>0</v>
      </c>
      <c r="J123" s="5">
        <v>45933</v>
      </c>
      <c r="K123" s="1" t="s">
        <v>22</v>
      </c>
      <c r="L123" s="8">
        <v>0</v>
      </c>
      <c r="M123" s="6"/>
      <c r="N123" s="6"/>
      <c r="O123" s="9">
        <v>-40.65</v>
      </c>
    </row>
    <row r="124" spans="1:15" ht="19.5" customHeight="1">
      <c r="A124" s="1" t="s">
        <v>707</v>
      </c>
      <c r="B124" s="5">
        <v>45933</v>
      </c>
      <c r="C124" s="1" t="s">
        <v>17</v>
      </c>
      <c r="D124" s="1" t="s">
        <v>18</v>
      </c>
      <c r="E124" s="1" t="s">
        <v>70</v>
      </c>
      <c r="F124" s="1" t="s">
        <v>71</v>
      </c>
      <c r="G124" s="1" t="s">
        <v>41</v>
      </c>
      <c r="H124" s="6">
        <v>1</v>
      </c>
      <c r="I124" s="7">
        <v>0</v>
      </c>
      <c r="J124" s="5">
        <v>45933</v>
      </c>
      <c r="K124" s="1" t="s">
        <v>22</v>
      </c>
      <c r="L124" s="8">
        <v>0</v>
      </c>
      <c r="M124" s="6"/>
      <c r="N124" s="6"/>
      <c r="O124" s="9">
        <v>-40.840000000000003</v>
      </c>
    </row>
    <row r="125" spans="1:15" ht="19.5" customHeight="1">
      <c r="A125" s="1" t="s">
        <v>708</v>
      </c>
      <c r="B125" s="5">
        <v>45933</v>
      </c>
      <c r="C125" s="1" t="s">
        <v>17</v>
      </c>
      <c r="D125" s="1" t="s">
        <v>18</v>
      </c>
      <c r="E125" s="1" t="s">
        <v>225</v>
      </c>
      <c r="F125" s="1" t="s">
        <v>491</v>
      </c>
      <c r="G125" s="1" t="s">
        <v>21</v>
      </c>
      <c r="H125" s="6">
        <v>1</v>
      </c>
      <c r="I125" s="7">
        <v>0</v>
      </c>
      <c r="J125" s="5">
        <v>45933</v>
      </c>
      <c r="K125" s="1" t="s">
        <v>22</v>
      </c>
      <c r="L125" s="8">
        <v>0</v>
      </c>
      <c r="M125" s="6"/>
      <c r="N125" s="6"/>
      <c r="O125" s="9">
        <v>-4.92</v>
      </c>
    </row>
    <row r="126" spans="1:15" ht="19.5" customHeight="1">
      <c r="A126" s="1" t="s">
        <v>709</v>
      </c>
      <c r="B126" s="5">
        <v>45933</v>
      </c>
      <c r="C126" s="1" t="s">
        <v>28</v>
      </c>
      <c r="D126" s="1" t="s">
        <v>45</v>
      </c>
      <c r="E126" s="1" t="s">
        <v>25</v>
      </c>
      <c r="F126" s="1" t="s">
        <v>26</v>
      </c>
      <c r="G126" s="1" t="s">
        <v>21</v>
      </c>
      <c r="H126" s="6">
        <v>1</v>
      </c>
      <c r="I126" s="7">
        <v>0</v>
      </c>
      <c r="J126" s="5">
        <v>45928</v>
      </c>
      <c r="K126" s="1" t="s">
        <v>30</v>
      </c>
      <c r="L126" s="8">
        <v>0</v>
      </c>
      <c r="M126" s="6"/>
      <c r="N126" s="6"/>
      <c r="O126" s="9">
        <v>0</v>
      </c>
    </row>
    <row r="127" spans="1:15" ht="19.5" customHeight="1">
      <c r="A127" s="1" t="s">
        <v>709</v>
      </c>
      <c r="B127" s="5">
        <v>45933</v>
      </c>
      <c r="C127" s="1" t="s">
        <v>28</v>
      </c>
      <c r="D127" s="1" t="s">
        <v>46</v>
      </c>
      <c r="E127" s="1" t="s">
        <v>25</v>
      </c>
      <c r="F127" s="1" t="s">
        <v>26</v>
      </c>
      <c r="G127" s="1" t="s">
        <v>21</v>
      </c>
      <c r="H127" s="6">
        <v>1</v>
      </c>
      <c r="I127" s="7">
        <v>0</v>
      </c>
      <c r="J127" s="5">
        <v>45928</v>
      </c>
      <c r="K127" s="1" t="s">
        <v>30</v>
      </c>
      <c r="L127" s="8">
        <v>0</v>
      </c>
      <c r="M127" s="6"/>
      <c r="N127" s="6"/>
      <c r="O127" s="9">
        <v>-46</v>
      </c>
    </row>
    <row r="128" spans="1:15" ht="19.5" customHeight="1">
      <c r="A128" s="1" t="s">
        <v>709</v>
      </c>
      <c r="B128" s="5">
        <v>45933</v>
      </c>
      <c r="C128" s="1" t="s">
        <v>28</v>
      </c>
      <c r="D128" s="1" t="s">
        <v>29</v>
      </c>
      <c r="E128" s="1" t="s">
        <v>25</v>
      </c>
      <c r="F128" s="1" t="s">
        <v>26</v>
      </c>
      <c r="G128" s="1" t="s">
        <v>21</v>
      </c>
      <c r="H128" s="6">
        <v>1</v>
      </c>
      <c r="I128" s="7">
        <v>0</v>
      </c>
      <c r="J128" s="5">
        <v>45928</v>
      </c>
      <c r="K128" s="1" t="s">
        <v>30</v>
      </c>
      <c r="L128" s="8">
        <v>0</v>
      </c>
      <c r="M128" s="6"/>
      <c r="N128" s="6"/>
      <c r="O128" s="9">
        <v>-46</v>
      </c>
    </row>
    <row r="129" spans="1:15" ht="19.5" customHeight="1">
      <c r="A129" s="1" t="s">
        <v>709</v>
      </c>
      <c r="B129" s="5">
        <v>45933</v>
      </c>
      <c r="C129" s="1" t="s">
        <v>17</v>
      </c>
      <c r="D129" s="1" t="s">
        <v>37</v>
      </c>
      <c r="E129" s="1" t="s">
        <v>25</v>
      </c>
      <c r="F129" s="1" t="s">
        <v>26</v>
      </c>
      <c r="G129" s="1" t="s">
        <v>21</v>
      </c>
      <c r="H129" s="6">
        <v>1</v>
      </c>
      <c r="I129" s="7">
        <v>0</v>
      </c>
      <c r="J129" s="5">
        <v>45928</v>
      </c>
      <c r="K129" s="1" t="s">
        <v>30</v>
      </c>
      <c r="L129" s="8">
        <v>0</v>
      </c>
      <c r="M129" s="6"/>
      <c r="N129" s="6"/>
      <c r="O129" s="9">
        <v>-5.26</v>
      </c>
    </row>
    <row r="130" spans="1:15" ht="19.5" customHeight="1">
      <c r="A130" s="1" t="s">
        <v>710</v>
      </c>
      <c r="B130" s="5">
        <v>45933</v>
      </c>
      <c r="C130" s="1" t="s">
        <v>28</v>
      </c>
      <c r="D130" s="1" t="s">
        <v>29</v>
      </c>
      <c r="E130" s="1" t="s">
        <v>88</v>
      </c>
      <c r="F130" s="1" t="s">
        <v>89</v>
      </c>
      <c r="G130" s="1" t="s">
        <v>21</v>
      </c>
      <c r="H130" s="6">
        <v>1</v>
      </c>
      <c r="I130" s="7">
        <v>0</v>
      </c>
      <c r="J130" s="5">
        <v>45919</v>
      </c>
      <c r="K130" s="1" t="s">
        <v>30</v>
      </c>
      <c r="L130" s="8">
        <v>0</v>
      </c>
      <c r="M130" s="6"/>
      <c r="N130" s="6"/>
      <c r="O130" s="9">
        <v>-46</v>
      </c>
    </row>
    <row r="131" spans="1:15" ht="19.5" customHeight="1">
      <c r="A131" s="1" t="s">
        <v>710</v>
      </c>
      <c r="B131" s="5">
        <v>45933</v>
      </c>
      <c r="C131" s="1" t="s">
        <v>17</v>
      </c>
      <c r="D131" s="1" t="s">
        <v>37</v>
      </c>
      <c r="E131" s="1" t="s">
        <v>88</v>
      </c>
      <c r="F131" s="1" t="s">
        <v>89</v>
      </c>
      <c r="G131" s="1" t="s">
        <v>21</v>
      </c>
      <c r="H131" s="6">
        <v>1</v>
      </c>
      <c r="I131" s="7">
        <v>0</v>
      </c>
      <c r="J131" s="5">
        <v>45919</v>
      </c>
      <c r="K131" s="1" t="s">
        <v>30</v>
      </c>
      <c r="L131" s="8">
        <v>0</v>
      </c>
      <c r="M131" s="6"/>
      <c r="N131" s="6"/>
      <c r="O131" s="9">
        <v>-5.96</v>
      </c>
    </row>
    <row r="132" spans="1:15" ht="19.5" customHeight="1">
      <c r="A132" s="1" t="s">
        <v>710</v>
      </c>
      <c r="B132" s="5">
        <v>45933</v>
      </c>
      <c r="C132" s="1" t="s">
        <v>28</v>
      </c>
      <c r="D132" s="1" t="s">
        <v>45</v>
      </c>
      <c r="E132" s="1" t="s">
        <v>88</v>
      </c>
      <c r="F132" s="1" t="s">
        <v>89</v>
      </c>
      <c r="G132" s="1" t="s">
        <v>21</v>
      </c>
      <c r="H132" s="6">
        <v>1</v>
      </c>
      <c r="I132" s="7">
        <v>0</v>
      </c>
      <c r="J132" s="5">
        <v>45919</v>
      </c>
      <c r="K132" s="1" t="s">
        <v>30</v>
      </c>
      <c r="L132" s="8">
        <v>0</v>
      </c>
      <c r="M132" s="6"/>
      <c r="N132" s="6"/>
      <c r="O132" s="9">
        <v>0</v>
      </c>
    </row>
    <row r="133" spans="1:15" ht="19.5" customHeight="1">
      <c r="A133" s="1" t="s">
        <v>710</v>
      </c>
      <c r="B133" s="5">
        <v>45933</v>
      </c>
      <c r="C133" s="1" t="s">
        <v>28</v>
      </c>
      <c r="D133" s="1" t="s">
        <v>46</v>
      </c>
      <c r="E133" s="1" t="s">
        <v>88</v>
      </c>
      <c r="F133" s="1" t="s">
        <v>89</v>
      </c>
      <c r="G133" s="1" t="s">
        <v>21</v>
      </c>
      <c r="H133" s="6">
        <v>1</v>
      </c>
      <c r="I133" s="7">
        <v>0</v>
      </c>
      <c r="J133" s="5">
        <v>45919</v>
      </c>
      <c r="K133" s="1" t="s">
        <v>30</v>
      </c>
      <c r="L133" s="8">
        <v>0</v>
      </c>
      <c r="M133" s="6"/>
      <c r="N133" s="6"/>
      <c r="O133" s="9">
        <v>-46</v>
      </c>
    </row>
    <row r="134" spans="1:15" ht="19.5" customHeight="1">
      <c r="A134" s="1" t="s">
        <v>110</v>
      </c>
      <c r="B134" s="5">
        <v>45933</v>
      </c>
      <c r="C134" s="1" t="s">
        <v>28</v>
      </c>
      <c r="D134" s="1" t="s">
        <v>135</v>
      </c>
      <c r="E134" s="1" t="s">
        <v>111</v>
      </c>
      <c r="F134" s="1" t="s">
        <v>112</v>
      </c>
      <c r="G134" s="1" t="s">
        <v>21</v>
      </c>
      <c r="H134" s="6">
        <v>1</v>
      </c>
      <c r="I134" s="7">
        <v>3205</v>
      </c>
      <c r="J134" s="5">
        <v>45928</v>
      </c>
      <c r="K134" s="1" t="s">
        <v>113</v>
      </c>
      <c r="L134" s="8">
        <v>0.33500000000000002</v>
      </c>
      <c r="M134" s="6"/>
      <c r="N134" s="6"/>
      <c r="O134" s="9">
        <v>-10</v>
      </c>
    </row>
    <row r="135" spans="1:15" ht="19.5" customHeight="1">
      <c r="A135" s="1" t="s">
        <v>110</v>
      </c>
      <c r="B135" s="5">
        <v>45933</v>
      </c>
      <c r="C135" s="1" t="s">
        <v>28</v>
      </c>
      <c r="D135" s="1" t="s">
        <v>29</v>
      </c>
      <c r="E135" s="1" t="s">
        <v>111</v>
      </c>
      <c r="F135" s="1" t="s">
        <v>112</v>
      </c>
      <c r="G135" s="1" t="s">
        <v>21</v>
      </c>
      <c r="H135" s="6">
        <v>1</v>
      </c>
      <c r="I135" s="7">
        <v>3205</v>
      </c>
      <c r="J135" s="5">
        <v>45928</v>
      </c>
      <c r="K135" s="1" t="s">
        <v>113</v>
      </c>
      <c r="L135" s="8">
        <v>0.33500000000000002</v>
      </c>
      <c r="M135" s="6"/>
      <c r="N135" s="6"/>
      <c r="O135" s="9">
        <v>-98</v>
      </c>
    </row>
    <row r="136" spans="1:15" ht="19.5" customHeight="1">
      <c r="A136" s="1" t="s">
        <v>110</v>
      </c>
      <c r="B136" s="5">
        <v>45933</v>
      </c>
      <c r="C136" s="1" t="s">
        <v>31</v>
      </c>
      <c r="D136" s="1" t="s">
        <v>32</v>
      </c>
      <c r="E136" s="1" t="s">
        <v>111</v>
      </c>
      <c r="F136" s="1" t="s">
        <v>112</v>
      </c>
      <c r="G136" s="1" t="s">
        <v>21</v>
      </c>
      <c r="H136" s="6">
        <v>1</v>
      </c>
      <c r="I136" s="7">
        <v>3205</v>
      </c>
      <c r="J136" s="5">
        <v>45928</v>
      </c>
      <c r="K136" s="1" t="s">
        <v>113</v>
      </c>
      <c r="L136" s="8">
        <v>0</v>
      </c>
      <c r="M136" s="6"/>
      <c r="N136" s="6"/>
      <c r="O136" s="9">
        <v>2113.12</v>
      </c>
    </row>
    <row r="137" spans="1:15" ht="19.5" customHeight="1">
      <c r="A137" s="1" t="s">
        <v>110</v>
      </c>
      <c r="B137" s="5">
        <v>45933</v>
      </c>
      <c r="C137" s="1" t="s">
        <v>31</v>
      </c>
      <c r="D137" s="1" t="s">
        <v>33</v>
      </c>
      <c r="E137" s="1" t="s">
        <v>111</v>
      </c>
      <c r="F137" s="1" t="s">
        <v>112</v>
      </c>
      <c r="G137" s="1" t="s">
        <v>21</v>
      </c>
      <c r="H137" s="6">
        <v>1</v>
      </c>
      <c r="I137" s="7">
        <v>3205</v>
      </c>
      <c r="J137" s="5">
        <v>45928</v>
      </c>
      <c r="K137" s="1" t="s">
        <v>113</v>
      </c>
      <c r="L137" s="8">
        <v>0</v>
      </c>
      <c r="M137" s="6"/>
      <c r="N137" s="6"/>
      <c r="O137" s="9">
        <v>0</v>
      </c>
    </row>
    <row r="138" spans="1:15" ht="19.5" customHeight="1">
      <c r="A138" s="1" t="s">
        <v>110</v>
      </c>
      <c r="B138" s="5">
        <v>45933</v>
      </c>
      <c r="C138" s="1" t="s">
        <v>31</v>
      </c>
      <c r="D138" s="1" t="s">
        <v>34</v>
      </c>
      <c r="E138" s="1" t="s">
        <v>111</v>
      </c>
      <c r="F138" s="1" t="s">
        <v>112</v>
      </c>
      <c r="G138" s="1" t="s">
        <v>21</v>
      </c>
      <c r="H138" s="6">
        <v>1</v>
      </c>
      <c r="I138" s="7">
        <v>3205</v>
      </c>
      <c r="J138" s="5">
        <v>45928</v>
      </c>
      <c r="K138" s="1" t="s">
        <v>113</v>
      </c>
      <c r="L138" s="8">
        <v>0</v>
      </c>
      <c r="M138" s="6"/>
      <c r="N138" s="6"/>
      <c r="O138" s="9">
        <v>1091.8800000000001</v>
      </c>
    </row>
    <row r="139" spans="1:15" ht="19.5" customHeight="1">
      <c r="A139" s="1" t="s">
        <v>110</v>
      </c>
      <c r="B139" s="5">
        <v>45933</v>
      </c>
      <c r="C139" s="1" t="s">
        <v>35</v>
      </c>
      <c r="D139" s="1" t="s">
        <v>36</v>
      </c>
      <c r="E139" s="1" t="s">
        <v>111</v>
      </c>
      <c r="F139" s="1" t="s">
        <v>112</v>
      </c>
      <c r="G139" s="1" t="s">
        <v>21</v>
      </c>
      <c r="H139" s="6">
        <v>1</v>
      </c>
      <c r="I139" s="7">
        <v>3205</v>
      </c>
      <c r="J139" s="5">
        <v>45928</v>
      </c>
      <c r="K139" s="1" t="s">
        <v>113</v>
      </c>
      <c r="L139" s="8">
        <v>0.33500000000000002</v>
      </c>
      <c r="M139" s="6"/>
      <c r="N139" s="6"/>
      <c r="O139" s="9">
        <v>-1073.68</v>
      </c>
    </row>
    <row r="140" spans="1:15" ht="19.5" customHeight="1">
      <c r="A140" s="1" t="s">
        <v>110</v>
      </c>
      <c r="B140" s="5">
        <v>45933</v>
      </c>
      <c r="C140" s="1" t="s">
        <v>17</v>
      </c>
      <c r="D140" s="1" t="s">
        <v>138</v>
      </c>
      <c r="E140" s="1" t="s">
        <v>111</v>
      </c>
      <c r="F140" s="1" t="s">
        <v>112</v>
      </c>
      <c r="G140" s="1" t="s">
        <v>21</v>
      </c>
      <c r="H140" s="6">
        <v>1</v>
      </c>
      <c r="I140" s="7">
        <v>3205</v>
      </c>
      <c r="J140" s="5">
        <v>45928</v>
      </c>
      <c r="K140" s="1" t="s">
        <v>113</v>
      </c>
      <c r="L140" s="8">
        <v>0.33500000000000002</v>
      </c>
      <c r="M140" s="6"/>
      <c r="N140" s="6"/>
      <c r="O140" s="9">
        <v>-20</v>
      </c>
    </row>
    <row r="141" spans="1:15" ht="19.5" customHeight="1">
      <c r="A141" s="1" t="s">
        <v>110</v>
      </c>
      <c r="B141" s="5">
        <v>45933</v>
      </c>
      <c r="C141" s="1" t="s">
        <v>17</v>
      </c>
      <c r="D141" s="1" t="s">
        <v>37</v>
      </c>
      <c r="E141" s="1" t="s">
        <v>111</v>
      </c>
      <c r="F141" s="1" t="s">
        <v>112</v>
      </c>
      <c r="G141" s="1" t="s">
        <v>21</v>
      </c>
      <c r="H141" s="6">
        <v>1</v>
      </c>
      <c r="I141" s="7">
        <v>3205</v>
      </c>
      <c r="J141" s="5">
        <v>45928</v>
      </c>
      <c r="K141" s="1" t="s">
        <v>113</v>
      </c>
      <c r="L141" s="8">
        <v>0.33500000000000002</v>
      </c>
      <c r="M141" s="6"/>
      <c r="N141" s="6"/>
      <c r="O141" s="9">
        <v>-13.88</v>
      </c>
    </row>
    <row r="142" spans="1:15" ht="19.5" customHeight="1">
      <c r="A142" s="1" t="s">
        <v>110</v>
      </c>
      <c r="B142" s="5">
        <v>45933</v>
      </c>
      <c r="C142" s="1" t="s">
        <v>17</v>
      </c>
      <c r="D142" s="1" t="s">
        <v>18</v>
      </c>
      <c r="E142" s="1" t="s">
        <v>111</v>
      </c>
      <c r="F142" s="1" t="s">
        <v>112</v>
      </c>
      <c r="G142" s="1" t="s">
        <v>21</v>
      </c>
      <c r="H142" s="6">
        <v>1</v>
      </c>
      <c r="I142" s="7">
        <v>0</v>
      </c>
      <c r="J142" s="5">
        <v>45928</v>
      </c>
      <c r="K142" s="1" t="s">
        <v>22</v>
      </c>
      <c r="L142" s="8">
        <v>0</v>
      </c>
      <c r="M142" s="6"/>
      <c r="N142" s="6"/>
      <c r="O142" s="9">
        <v>-13.31</v>
      </c>
    </row>
    <row r="143" spans="1:15" ht="19.5" customHeight="1">
      <c r="A143" s="1" t="s">
        <v>711</v>
      </c>
      <c r="B143" s="5">
        <v>45933</v>
      </c>
      <c r="C143" s="1" t="s">
        <v>28</v>
      </c>
      <c r="D143" s="1" t="s">
        <v>29</v>
      </c>
      <c r="E143" s="1" t="s">
        <v>227</v>
      </c>
      <c r="F143" s="1" t="s">
        <v>402</v>
      </c>
      <c r="G143" s="1" t="s">
        <v>21</v>
      </c>
      <c r="H143" s="6">
        <v>1</v>
      </c>
      <c r="I143" s="7">
        <v>1380</v>
      </c>
      <c r="J143" s="5">
        <v>45921</v>
      </c>
      <c r="K143" s="1" t="s">
        <v>30</v>
      </c>
      <c r="L143" s="8">
        <v>0.2</v>
      </c>
      <c r="M143" s="6"/>
      <c r="N143" s="6"/>
      <c r="O143" s="9">
        <v>-46</v>
      </c>
    </row>
    <row r="144" spans="1:15" ht="19.5" customHeight="1">
      <c r="A144" s="1" t="s">
        <v>711</v>
      </c>
      <c r="B144" s="5">
        <v>45933</v>
      </c>
      <c r="C144" s="1" t="s">
        <v>31</v>
      </c>
      <c r="D144" s="1" t="s">
        <v>32</v>
      </c>
      <c r="E144" s="1" t="s">
        <v>227</v>
      </c>
      <c r="F144" s="1" t="s">
        <v>402</v>
      </c>
      <c r="G144" s="1" t="s">
        <v>21</v>
      </c>
      <c r="H144" s="6">
        <v>1</v>
      </c>
      <c r="I144" s="7">
        <v>1380</v>
      </c>
      <c r="J144" s="5">
        <v>45921</v>
      </c>
      <c r="K144" s="1" t="s">
        <v>30</v>
      </c>
      <c r="L144" s="8">
        <v>0</v>
      </c>
      <c r="M144" s="6"/>
      <c r="N144" s="6"/>
      <c r="O144" s="9">
        <v>790</v>
      </c>
    </row>
    <row r="145" spans="1:15" ht="19.5" customHeight="1">
      <c r="A145" s="1" t="s">
        <v>711</v>
      </c>
      <c r="B145" s="5">
        <v>45933</v>
      </c>
      <c r="C145" s="1" t="s">
        <v>31</v>
      </c>
      <c r="D145" s="1" t="s">
        <v>33</v>
      </c>
      <c r="E145" s="1" t="s">
        <v>227</v>
      </c>
      <c r="F145" s="1" t="s">
        <v>402</v>
      </c>
      <c r="G145" s="1" t="s">
        <v>21</v>
      </c>
      <c r="H145" s="6">
        <v>1</v>
      </c>
      <c r="I145" s="7">
        <v>1380</v>
      </c>
      <c r="J145" s="5">
        <v>45921</v>
      </c>
      <c r="K145" s="1" t="s">
        <v>30</v>
      </c>
      <c r="L145" s="8">
        <v>0</v>
      </c>
      <c r="M145" s="6"/>
      <c r="N145" s="6"/>
      <c r="O145" s="9">
        <v>5.81</v>
      </c>
    </row>
    <row r="146" spans="1:15" ht="19.5" customHeight="1">
      <c r="A146" s="1" t="s">
        <v>711</v>
      </c>
      <c r="B146" s="5">
        <v>45933</v>
      </c>
      <c r="C146" s="1" t="s">
        <v>31</v>
      </c>
      <c r="D146" s="1" t="s">
        <v>34</v>
      </c>
      <c r="E146" s="1" t="s">
        <v>227</v>
      </c>
      <c r="F146" s="1" t="s">
        <v>402</v>
      </c>
      <c r="G146" s="1" t="s">
        <v>21</v>
      </c>
      <c r="H146" s="6">
        <v>1</v>
      </c>
      <c r="I146" s="7">
        <v>1380</v>
      </c>
      <c r="J146" s="5">
        <v>45921</v>
      </c>
      <c r="K146" s="1" t="s">
        <v>30</v>
      </c>
      <c r="L146" s="8">
        <v>0</v>
      </c>
      <c r="M146" s="6"/>
      <c r="N146" s="6"/>
      <c r="O146" s="9">
        <v>584.19000000000005</v>
      </c>
    </row>
    <row r="147" spans="1:15" ht="19.5" customHeight="1">
      <c r="A147" s="1" t="s">
        <v>711</v>
      </c>
      <c r="B147" s="5">
        <v>45933</v>
      </c>
      <c r="C147" s="1" t="s">
        <v>35</v>
      </c>
      <c r="D147" s="1" t="s">
        <v>36</v>
      </c>
      <c r="E147" s="1" t="s">
        <v>227</v>
      </c>
      <c r="F147" s="1" t="s">
        <v>402</v>
      </c>
      <c r="G147" s="1" t="s">
        <v>21</v>
      </c>
      <c r="H147" s="6">
        <v>1</v>
      </c>
      <c r="I147" s="7">
        <v>1380</v>
      </c>
      <c r="J147" s="5">
        <v>45921</v>
      </c>
      <c r="K147" s="1" t="s">
        <v>30</v>
      </c>
      <c r="L147" s="8">
        <v>0.2</v>
      </c>
      <c r="M147" s="6"/>
      <c r="N147" s="6"/>
      <c r="O147" s="9">
        <v>-276</v>
      </c>
    </row>
    <row r="148" spans="1:15" ht="19.5" customHeight="1">
      <c r="A148" s="1" t="s">
        <v>711</v>
      </c>
      <c r="B148" s="5">
        <v>45933</v>
      </c>
      <c r="C148" s="1" t="s">
        <v>17</v>
      </c>
      <c r="D148" s="1" t="s">
        <v>37</v>
      </c>
      <c r="E148" s="1" t="s">
        <v>227</v>
      </c>
      <c r="F148" s="1" t="s">
        <v>402</v>
      </c>
      <c r="G148" s="1" t="s">
        <v>21</v>
      </c>
      <c r="H148" s="6">
        <v>1</v>
      </c>
      <c r="I148" s="7">
        <v>1380</v>
      </c>
      <c r="J148" s="5">
        <v>45921</v>
      </c>
      <c r="K148" s="1" t="s">
        <v>30</v>
      </c>
      <c r="L148" s="8">
        <v>0.2</v>
      </c>
      <c r="M148" s="6"/>
      <c r="N148" s="6"/>
      <c r="O148" s="9">
        <v>-6.02</v>
      </c>
    </row>
    <row r="149" spans="1:15" ht="19.5" customHeight="1">
      <c r="A149" s="1" t="s">
        <v>712</v>
      </c>
      <c r="B149" s="5">
        <v>45933</v>
      </c>
      <c r="C149" s="1" t="s">
        <v>17</v>
      </c>
      <c r="D149" s="1" t="s">
        <v>18</v>
      </c>
      <c r="E149" s="1" t="s">
        <v>25</v>
      </c>
      <c r="F149" s="1" t="s">
        <v>26</v>
      </c>
      <c r="G149" s="1" t="s">
        <v>21</v>
      </c>
      <c r="H149" s="6">
        <v>1</v>
      </c>
      <c r="I149" s="7">
        <v>0</v>
      </c>
      <c r="J149" s="5">
        <v>45933</v>
      </c>
      <c r="K149" s="1" t="s">
        <v>22</v>
      </c>
      <c r="L149" s="8">
        <v>0</v>
      </c>
      <c r="M149" s="6"/>
      <c r="N149" s="6"/>
      <c r="O149" s="9">
        <v>-2.77</v>
      </c>
    </row>
    <row r="150" spans="1:15" ht="19.5" customHeight="1">
      <c r="A150" s="1" t="s">
        <v>713</v>
      </c>
      <c r="B150" s="5">
        <v>45933</v>
      </c>
      <c r="C150" s="1" t="s">
        <v>74</v>
      </c>
      <c r="D150" s="1" t="s">
        <v>75</v>
      </c>
      <c r="E150" s="1" t="s">
        <v>43</v>
      </c>
      <c r="F150" s="1" t="s">
        <v>44</v>
      </c>
      <c r="G150" s="1" t="s">
        <v>41</v>
      </c>
      <c r="H150" s="6">
        <v>1</v>
      </c>
      <c r="I150" s="7">
        <v>0</v>
      </c>
      <c r="J150" s="5">
        <v>45930</v>
      </c>
      <c r="K150" s="1" t="s">
        <v>30</v>
      </c>
      <c r="L150" s="8">
        <v>0</v>
      </c>
      <c r="M150" s="6"/>
      <c r="N150" s="6"/>
      <c r="O150" s="9">
        <v>-5</v>
      </c>
    </row>
    <row r="151" spans="1:15" ht="19.5" customHeight="1">
      <c r="A151" s="1" t="s">
        <v>713</v>
      </c>
      <c r="B151" s="5">
        <v>45933</v>
      </c>
      <c r="C151" s="1" t="s">
        <v>17</v>
      </c>
      <c r="D151" s="1" t="s">
        <v>76</v>
      </c>
      <c r="E151" s="1" t="s">
        <v>43</v>
      </c>
      <c r="F151" s="1" t="s">
        <v>44</v>
      </c>
      <c r="G151" s="1" t="s">
        <v>41</v>
      </c>
      <c r="H151" s="6">
        <v>1</v>
      </c>
      <c r="I151" s="7">
        <v>0</v>
      </c>
      <c r="J151" s="5">
        <v>45930</v>
      </c>
      <c r="K151" s="1" t="s">
        <v>30</v>
      </c>
      <c r="L151" s="8">
        <v>0</v>
      </c>
      <c r="M151" s="6"/>
      <c r="N151" s="6"/>
      <c r="O151" s="9">
        <v>-10</v>
      </c>
    </row>
    <row r="152" spans="1:15" ht="19.5" customHeight="1">
      <c r="A152" s="1" t="s">
        <v>714</v>
      </c>
      <c r="B152" s="5">
        <v>45933</v>
      </c>
      <c r="C152" s="1" t="s">
        <v>28</v>
      </c>
      <c r="D152" s="1" t="s">
        <v>29</v>
      </c>
      <c r="E152" s="1" t="s">
        <v>25</v>
      </c>
      <c r="F152" s="1" t="s">
        <v>26</v>
      </c>
      <c r="G152" s="1" t="s">
        <v>21</v>
      </c>
      <c r="H152" s="6">
        <v>1</v>
      </c>
      <c r="I152" s="7">
        <v>800</v>
      </c>
      <c r="J152" s="5">
        <v>45932</v>
      </c>
      <c r="K152" s="1" t="s">
        <v>30</v>
      </c>
      <c r="L152" s="8">
        <v>0.26</v>
      </c>
      <c r="M152" s="6"/>
      <c r="N152" s="6"/>
      <c r="O152" s="9">
        <v>-46</v>
      </c>
    </row>
    <row r="153" spans="1:15" ht="19.5" customHeight="1">
      <c r="A153" s="1" t="s">
        <v>714</v>
      </c>
      <c r="B153" s="5">
        <v>45933</v>
      </c>
      <c r="C153" s="1" t="s">
        <v>31</v>
      </c>
      <c r="D153" s="1" t="s">
        <v>32</v>
      </c>
      <c r="E153" s="1" t="s">
        <v>25</v>
      </c>
      <c r="F153" s="1" t="s">
        <v>26</v>
      </c>
      <c r="G153" s="1" t="s">
        <v>21</v>
      </c>
      <c r="H153" s="6">
        <v>1</v>
      </c>
      <c r="I153" s="7">
        <v>800</v>
      </c>
      <c r="J153" s="5">
        <v>45932</v>
      </c>
      <c r="K153" s="1" t="s">
        <v>30</v>
      </c>
      <c r="L153" s="8">
        <v>0</v>
      </c>
      <c r="M153" s="6"/>
      <c r="N153" s="6"/>
      <c r="O153" s="9">
        <v>470.03</v>
      </c>
    </row>
    <row r="154" spans="1:15" ht="19.5" customHeight="1">
      <c r="A154" s="1" t="s">
        <v>714</v>
      </c>
      <c r="B154" s="5">
        <v>45933</v>
      </c>
      <c r="C154" s="1" t="s">
        <v>31</v>
      </c>
      <c r="D154" s="1" t="s">
        <v>33</v>
      </c>
      <c r="E154" s="1" t="s">
        <v>25</v>
      </c>
      <c r="F154" s="1" t="s">
        <v>26</v>
      </c>
      <c r="G154" s="1" t="s">
        <v>21</v>
      </c>
      <c r="H154" s="6">
        <v>1</v>
      </c>
      <c r="I154" s="7">
        <v>800</v>
      </c>
      <c r="J154" s="5">
        <v>45932</v>
      </c>
      <c r="K154" s="1" t="s">
        <v>30</v>
      </c>
      <c r="L154" s="8">
        <v>0</v>
      </c>
      <c r="M154" s="6"/>
      <c r="N154" s="6"/>
      <c r="O154" s="9">
        <v>0</v>
      </c>
    </row>
    <row r="155" spans="1:15" ht="19.5" customHeight="1">
      <c r="A155" s="1" t="s">
        <v>714</v>
      </c>
      <c r="B155" s="5">
        <v>45933</v>
      </c>
      <c r="C155" s="1" t="s">
        <v>31</v>
      </c>
      <c r="D155" s="1" t="s">
        <v>34</v>
      </c>
      <c r="E155" s="1" t="s">
        <v>25</v>
      </c>
      <c r="F155" s="1" t="s">
        <v>26</v>
      </c>
      <c r="G155" s="1" t="s">
        <v>21</v>
      </c>
      <c r="H155" s="6">
        <v>1</v>
      </c>
      <c r="I155" s="7">
        <v>800</v>
      </c>
      <c r="J155" s="5">
        <v>45932</v>
      </c>
      <c r="K155" s="1" t="s">
        <v>30</v>
      </c>
      <c r="L155" s="8">
        <v>0</v>
      </c>
      <c r="M155" s="6"/>
      <c r="N155" s="6"/>
      <c r="O155" s="9">
        <v>329.97</v>
      </c>
    </row>
    <row r="156" spans="1:15" ht="19.5" customHeight="1">
      <c r="A156" s="1" t="s">
        <v>714</v>
      </c>
      <c r="B156" s="5">
        <v>45933</v>
      </c>
      <c r="C156" s="1" t="s">
        <v>35</v>
      </c>
      <c r="D156" s="1" t="s">
        <v>36</v>
      </c>
      <c r="E156" s="1" t="s">
        <v>25</v>
      </c>
      <c r="F156" s="1" t="s">
        <v>26</v>
      </c>
      <c r="G156" s="1" t="s">
        <v>21</v>
      </c>
      <c r="H156" s="6">
        <v>1</v>
      </c>
      <c r="I156" s="7">
        <v>800</v>
      </c>
      <c r="J156" s="5">
        <v>45932</v>
      </c>
      <c r="K156" s="1" t="s">
        <v>30</v>
      </c>
      <c r="L156" s="8">
        <v>0.26</v>
      </c>
      <c r="M156" s="6"/>
      <c r="N156" s="6"/>
      <c r="O156" s="9">
        <v>-208</v>
      </c>
    </row>
    <row r="157" spans="1:15" ht="19.5" customHeight="1">
      <c r="A157" s="1" t="s">
        <v>714</v>
      </c>
      <c r="B157" s="5">
        <v>45933</v>
      </c>
      <c r="C157" s="1" t="s">
        <v>17</v>
      </c>
      <c r="D157" s="1" t="s">
        <v>37</v>
      </c>
      <c r="E157" s="1" t="s">
        <v>25</v>
      </c>
      <c r="F157" s="1" t="s">
        <v>26</v>
      </c>
      <c r="G157" s="1" t="s">
        <v>21</v>
      </c>
      <c r="H157" s="6">
        <v>1</v>
      </c>
      <c r="I157" s="7">
        <v>800</v>
      </c>
      <c r="J157" s="5">
        <v>45932</v>
      </c>
      <c r="K157" s="1" t="s">
        <v>30</v>
      </c>
      <c r="L157" s="8">
        <v>0.26</v>
      </c>
      <c r="M157" s="6"/>
      <c r="N157" s="6"/>
      <c r="O157" s="9">
        <v>-8.01</v>
      </c>
    </row>
    <row r="158" spans="1:15" ht="19.5" customHeight="1">
      <c r="A158" s="1" t="s">
        <v>715</v>
      </c>
      <c r="B158" s="5">
        <v>45933</v>
      </c>
      <c r="C158" s="1" t="s">
        <v>28</v>
      </c>
      <c r="D158" s="1" t="s">
        <v>29</v>
      </c>
      <c r="E158" s="1" t="s">
        <v>51</v>
      </c>
      <c r="F158" s="1" t="s">
        <v>52</v>
      </c>
      <c r="G158" s="1" t="s">
        <v>41</v>
      </c>
      <c r="H158" s="6">
        <v>1</v>
      </c>
      <c r="I158" s="7">
        <v>2610</v>
      </c>
      <c r="J158" s="5">
        <v>45932</v>
      </c>
      <c r="K158" s="1" t="s">
        <v>30</v>
      </c>
      <c r="L158" s="8">
        <v>0.24</v>
      </c>
      <c r="M158" s="6"/>
      <c r="N158" s="6"/>
      <c r="O158" s="9">
        <v>-56</v>
      </c>
    </row>
    <row r="159" spans="1:15" ht="19.5" customHeight="1">
      <c r="A159" s="1" t="s">
        <v>715</v>
      </c>
      <c r="B159" s="5">
        <v>45933</v>
      </c>
      <c r="C159" s="1" t="s">
        <v>31</v>
      </c>
      <c r="D159" s="1" t="s">
        <v>32</v>
      </c>
      <c r="E159" s="1" t="s">
        <v>51</v>
      </c>
      <c r="F159" s="1" t="s">
        <v>52</v>
      </c>
      <c r="G159" s="1" t="s">
        <v>41</v>
      </c>
      <c r="H159" s="6">
        <v>1</v>
      </c>
      <c r="I159" s="7">
        <v>2610</v>
      </c>
      <c r="J159" s="5">
        <v>45932</v>
      </c>
      <c r="K159" s="1" t="s">
        <v>30</v>
      </c>
      <c r="L159" s="8">
        <v>0</v>
      </c>
      <c r="M159" s="6"/>
      <c r="N159" s="6"/>
      <c r="O159" s="9">
        <v>1520.95</v>
      </c>
    </row>
    <row r="160" spans="1:15" ht="19.5" customHeight="1">
      <c r="A160" s="1" t="s">
        <v>715</v>
      </c>
      <c r="B160" s="5">
        <v>45933</v>
      </c>
      <c r="C160" s="1" t="s">
        <v>31</v>
      </c>
      <c r="D160" s="1" t="s">
        <v>33</v>
      </c>
      <c r="E160" s="1" t="s">
        <v>51</v>
      </c>
      <c r="F160" s="1" t="s">
        <v>52</v>
      </c>
      <c r="G160" s="1" t="s">
        <v>41</v>
      </c>
      <c r="H160" s="6">
        <v>1</v>
      </c>
      <c r="I160" s="7">
        <v>2610</v>
      </c>
      <c r="J160" s="5">
        <v>45932</v>
      </c>
      <c r="K160" s="1" t="s">
        <v>30</v>
      </c>
      <c r="L160" s="8">
        <v>0</v>
      </c>
      <c r="M160" s="6"/>
      <c r="N160" s="6"/>
      <c r="O160" s="9">
        <v>15.21</v>
      </c>
    </row>
    <row r="161" spans="1:15" ht="19.5" customHeight="1">
      <c r="A161" s="1" t="s">
        <v>715</v>
      </c>
      <c r="B161" s="5">
        <v>45933</v>
      </c>
      <c r="C161" s="1" t="s">
        <v>31</v>
      </c>
      <c r="D161" s="1" t="s">
        <v>34</v>
      </c>
      <c r="E161" s="1" t="s">
        <v>51</v>
      </c>
      <c r="F161" s="1" t="s">
        <v>52</v>
      </c>
      <c r="G161" s="1" t="s">
        <v>41</v>
      </c>
      <c r="H161" s="6">
        <v>1</v>
      </c>
      <c r="I161" s="7">
        <v>2610</v>
      </c>
      <c r="J161" s="5">
        <v>45932</v>
      </c>
      <c r="K161" s="1" t="s">
        <v>30</v>
      </c>
      <c r="L161" s="8">
        <v>0</v>
      </c>
      <c r="M161" s="6"/>
      <c r="N161" s="6"/>
      <c r="O161" s="9">
        <v>1073.8399999999999</v>
      </c>
    </row>
    <row r="162" spans="1:15" ht="19.5" customHeight="1">
      <c r="A162" s="1" t="s">
        <v>715</v>
      </c>
      <c r="B162" s="5">
        <v>45933</v>
      </c>
      <c r="C162" s="1" t="s">
        <v>35</v>
      </c>
      <c r="D162" s="1" t="s">
        <v>36</v>
      </c>
      <c r="E162" s="1" t="s">
        <v>51</v>
      </c>
      <c r="F162" s="1" t="s">
        <v>52</v>
      </c>
      <c r="G162" s="1" t="s">
        <v>41</v>
      </c>
      <c r="H162" s="6">
        <v>1</v>
      </c>
      <c r="I162" s="7">
        <v>2610</v>
      </c>
      <c r="J162" s="5">
        <v>45932</v>
      </c>
      <c r="K162" s="1" t="s">
        <v>30</v>
      </c>
      <c r="L162" s="8">
        <v>0.24</v>
      </c>
      <c r="M162" s="6"/>
      <c r="N162" s="6"/>
      <c r="O162" s="9">
        <v>-626.4</v>
      </c>
    </row>
    <row r="163" spans="1:15" ht="19.5" customHeight="1">
      <c r="A163" s="1" t="s">
        <v>715</v>
      </c>
      <c r="B163" s="5">
        <v>45933</v>
      </c>
      <c r="C163" s="1" t="s">
        <v>17</v>
      </c>
      <c r="D163" s="1" t="s">
        <v>37</v>
      </c>
      <c r="E163" s="1" t="s">
        <v>51</v>
      </c>
      <c r="F163" s="1" t="s">
        <v>52</v>
      </c>
      <c r="G163" s="1" t="s">
        <v>41</v>
      </c>
      <c r="H163" s="6">
        <v>1</v>
      </c>
      <c r="I163" s="7">
        <v>2610</v>
      </c>
      <c r="J163" s="5">
        <v>45932</v>
      </c>
      <c r="K163" s="1" t="s">
        <v>30</v>
      </c>
      <c r="L163" s="8">
        <v>0.24</v>
      </c>
      <c r="M163" s="6"/>
      <c r="N163" s="6"/>
      <c r="O163" s="9">
        <v>-11.87</v>
      </c>
    </row>
    <row r="164" spans="1:15" ht="19.5" customHeight="1">
      <c r="A164" s="1" t="s">
        <v>716</v>
      </c>
      <c r="B164" s="5">
        <v>45933</v>
      </c>
      <c r="C164" s="1" t="s">
        <v>28</v>
      </c>
      <c r="D164" s="1" t="s">
        <v>29</v>
      </c>
      <c r="E164" s="1" t="s">
        <v>51</v>
      </c>
      <c r="F164" s="1" t="s">
        <v>52</v>
      </c>
      <c r="G164" s="1" t="s">
        <v>41</v>
      </c>
      <c r="H164" s="6">
        <v>1</v>
      </c>
      <c r="I164" s="7">
        <v>0</v>
      </c>
      <c r="J164" s="5">
        <v>45927</v>
      </c>
      <c r="K164" s="1" t="s">
        <v>30</v>
      </c>
      <c r="L164" s="8">
        <v>0</v>
      </c>
      <c r="M164" s="6"/>
      <c r="N164" s="6"/>
      <c r="O164" s="9">
        <v>-56</v>
      </c>
    </row>
    <row r="165" spans="1:15" ht="19.5" customHeight="1">
      <c r="A165" s="1" t="s">
        <v>716</v>
      </c>
      <c r="B165" s="5">
        <v>45933</v>
      </c>
      <c r="C165" s="1" t="s">
        <v>17</v>
      </c>
      <c r="D165" s="1" t="s">
        <v>37</v>
      </c>
      <c r="E165" s="1" t="s">
        <v>51</v>
      </c>
      <c r="F165" s="1" t="s">
        <v>52</v>
      </c>
      <c r="G165" s="1" t="s">
        <v>41</v>
      </c>
      <c r="H165" s="6">
        <v>1</v>
      </c>
      <c r="I165" s="7">
        <v>0</v>
      </c>
      <c r="J165" s="5">
        <v>45927</v>
      </c>
      <c r="K165" s="1" t="s">
        <v>30</v>
      </c>
      <c r="L165" s="8">
        <v>0</v>
      </c>
      <c r="M165" s="6"/>
      <c r="N165" s="6"/>
      <c r="O165" s="9">
        <v>-15.48</v>
      </c>
    </row>
    <row r="166" spans="1:15" ht="19.5" customHeight="1">
      <c r="A166" s="1" t="s">
        <v>633</v>
      </c>
      <c r="B166" s="5">
        <v>45933</v>
      </c>
      <c r="C166" s="1" t="s">
        <v>28</v>
      </c>
      <c r="D166" s="1" t="s">
        <v>60</v>
      </c>
      <c r="E166" s="1" t="s">
        <v>25</v>
      </c>
      <c r="F166" s="1" t="s">
        <v>26</v>
      </c>
      <c r="G166" s="1" t="s">
        <v>21</v>
      </c>
      <c r="H166" s="6">
        <v>1</v>
      </c>
      <c r="I166" s="7">
        <v>0</v>
      </c>
      <c r="J166" s="5">
        <v>45926</v>
      </c>
      <c r="K166" s="1" t="s">
        <v>30</v>
      </c>
      <c r="L166" s="8">
        <v>0</v>
      </c>
      <c r="M166" s="6"/>
      <c r="N166" s="6"/>
      <c r="O166" s="9">
        <v>0</v>
      </c>
    </row>
    <row r="167" spans="1:15" ht="19.5" customHeight="1">
      <c r="A167" s="1" t="s">
        <v>633</v>
      </c>
      <c r="B167" s="5">
        <v>45933</v>
      </c>
      <c r="C167" s="1" t="s">
        <v>28</v>
      </c>
      <c r="D167" s="1" t="s">
        <v>46</v>
      </c>
      <c r="E167" s="1" t="s">
        <v>25</v>
      </c>
      <c r="F167" s="1" t="s">
        <v>26</v>
      </c>
      <c r="G167" s="1" t="s">
        <v>21</v>
      </c>
      <c r="H167" s="6">
        <v>1</v>
      </c>
      <c r="I167" s="7">
        <v>0</v>
      </c>
      <c r="J167" s="5">
        <v>45926</v>
      </c>
      <c r="K167" s="1" t="s">
        <v>30</v>
      </c>
      <c r="L167" s="8">
        <v>0</v>
      </c>
      <c r="M167" s="6"/>
      <c r="N167" s="6"/>
      <c r="O167" s="9">
        <v>-80</v>
      </c>
    </row>
    <row r="168" spans="1:15" ht="19.5" customHeight="1">
      <c r="A168" s="1" t="s">
        <v>633</v>
      </c>
      <c r="B168" s="5">
        <v>45933</v>
      </c>
      <c r="C168" s="1" t="s">
        <v>17</v>
      </c>
      <c r="D168" s="1" t="s">
        <v>47</v>
      </c>
      <c r="E168" s="1" t="s">
        <v>25</v>
      </c>
      <c r="F168" s="1" t="s">
        <v>26</v>
      </c>
      <c r="G168" s="1" t="s">
        <v>21</v>
      </c>
      <c r="H168" s="6">
        <v>1</v>
      </c>
      <c r="I168" s="7">
        <v>0</v>
      </c>
      <c r="J168" s="5">
        <v>45926</v>
      </c>
      <c r="K168" s="1" t="s">
        <v>30</v>
      </c>
      <c r="L168" s="8">
        <v>0</v>
      </c>
      <c r="M168" s="6"/>
      <c r="N168" s="6"/>
      <c r="O168" s="9">
        <v>-15</v>
      </c>
    </row>
    <row r="169" spans="1:15" ht="19.5" customHeight="1">
      <c r="A169" s="1" t="s">
        <v>716</v>
      </c>
      <c r="B169" s="5">
        <v>45933</v>
      </c>
      <c r="C169" s="1" t="s">
        <v>28</v>
      </c>
      <c r="D169" s="1" t="s">
        <v>45</v>
      </c>
      <c r="E169" s="1" t="s">
        <v>51</v>
      </c>
      <c r="F169" s="1" t="s">
        <v>52</v>
      </c>
      <c r="G169" s="1" t="s">
        <v>41</v>
      </c>
      <c r="H169" s="6">
        <v>1</v>
      </c>
      <c r="I169" s="7">
        <v>0</v>
      </c>
      <c r="J169" s="5">
        <v>45927</v>
      </c>
      <c r="K169" s="1" t="s">
        <v>30</v>
      </c>
      <c r="L169" s="8">
        <v>0</v>
      </c>
      <c r="M169" s="6"/>
      <c r="N169" s="6"/>
      <c r="O169" s="9">
        <v>0</v>
      </c>
    </row>
    <row r="170" spans="1:15" ht="19.5" customHeight="1">
      <c r="A170" s="1" t="s">
        <v>716</v>
      </c>
      <c r="B170" s="5">
        <v>45933</v>
      </c>
      <c r="C170" s="1" t="s">
        <v>28</v>
      </c>
      <c r="D170" s="1" t="s">
        <v>46</v>
      </c>
      <c r="E170" s="1" t="s">
        <v>51</v>
      </c>
      <c r="F170" s="1" t="s">
        <v>52</v>
      </c>
      <c r="G170" s="1" t="s">
        <v>41</v>
      </c>
      <c r="H170" s="6">
        <v>1</v>
      </c>
      <c r="I170" s="7">
        <v>0</v>
      </c>
      <c r="J170" s="5">
        <v>45927</v>
      </c>
      <c r="K170" s="1" t="s">
        <v>30</v>
      </c>
      <c r="L170" s="8">
        <v>0</v>
      </c>
      <c r="M170" s="6"/>
      <c r="N170" s="6"/>
      <c r="O170" s="9">
        <v>-56</v>
      </c>
    </row>
    <row r="171" spans="1:15" ht="19.5" customHeight="1">
      <c r="A171" s="1" t="s">
        <v>716</v>
      </c>
      <c r="B171" s="5">
        <v>45933</v>
      </c>
      <c r="C171" s="1" t="s">
        <v>17</v>
      </c>
      <c r="D171" s="1" t="s">
        <v>47</v>
      </c>
      <c r="E171" s="1" t="s">
        <v>51</v>
      </c>
      <c r="F171" s="1" t="s">
        <v>52</v>
      </c>
      <c r="G171" s="1" t="s">
        <v>41</v>
      </c>
      <c r="H171" s="6">
        <v>1</v>
      </c>
      <c r="I171" s="7">
        <v>0</v>
      </c>
      <c r="J171" s="5">
        <v>45927</v>
      </c>
      <c r="K171" s="1" t="s">
        <v>30</v>
      </c>
      <c r="L171" s="8">
        <v>0</v>
      </c>
      <c r="M171" s="6"/>
      <c r="N171" s="6"/>
      <c r="O171" s="9">
        <v>-15</v>
      </c>
    </row>
    <row r="172" spans="1:15" ht="19.5" customHeight="1">
      <c r="A172" s="1" t="s">
        <v>715</v>
      </c>
      <c r="B172" s="5">
        <v>45933</v>
      </c>
      <c r="C172" s="1" t="s">
        <v>17</v>
      </c>
      <c r="D172" s="1" t="s">
        <v>18</v>
      </c>
      <c r="E172" s="1" t="s">
        <v>51</v>
      </c>
      <c r="F172" s="1" t="s">
        <v>52</v>
      </c>
      <c r="G172" s="1" t="s">
        <v>41</v>
      </c>
      <c r="H172" s="6">
        <v>1</v>
      </c>
      <c r="I172" s="7">
        <v>0</v>
      </c>
      <c r="J172" s="5">
        <v>45932</v>
      </c>
      <c r="K172" s="1" t="s">
        <v>22</v>
      </c>
      <c r="L172" s="8">
        <v>0</v>
      </c>
      <c r="M172" s="6"/>
      <c r="N172" s="6"/>
      <c r="O172" s="9">
        <v>-28.9</v>
      </c>
    </row>
    <row r="173" spans="1:15" ht="19.5" customHeight="1">
      <c r="A173" s="1" t="s">
        <v>717</v>
      </c>
      <c r="B173" s="5">
        <v>45933</v>
      </c>
      <c r="C173" s="1" t="s">
        <v>28</v>
      </c>
      <c r="D173" s="1" t="s">
        <v>29</v>
      </c>
      <c r="E173" s="1" t="s">
        <v>51</v>
      </c>
      <c r="F173" s="1" t="s">
        <v>52</v>
      </c>
      <c r="G173" s="1" t="s">
        <v>41</v>
      </c>
      <c r="H173" s="6">
        <v>1</v>
      </c>
      <c r="I173" s="7">
        <v>2610</v>
      </c>
      <c r="J173" s="5">
        <v>45932</v>
      </c>
      <c r="K173" s="1" t="s">
        <v>30</v>
      </c>
      <c r="L173" s="8">
        <v>0.24</v>
      </c>
      <c r="M173" s="6"/>
      <c r="N173" s="6"/>
      <c r="O173" s="9">
        <v>-56</v>
      </c>
    </row>
    <row r="174" spans="1:15" ht="19.5" customHeight="1">
      <c r="A174" s="1" t="s">
        <v>717</v>
      </c>
      <c r="B174" s="5">
        <v>45933</v>
      </c>
      <c r="C174" s="1" t="s">
        <v>31</v>
      </c>
      <c r="D174" s="1" t="s">
        <v>32</v>
      </c>
      <c r="E174" s="1" t="s">
        <v>51</v>
      </c>
      <c r="F174" s="1" t="s">
        <v>52</v>
      </c>
      <c r="G174" s="1" t="s">
        <v>41</v>
      </c>
      <c r="H174" s="6">
        <v>1</v>
      </c>
      <c r="I174" s="7">
        <v>2610</v>
      </c>
      <c r="J174" s="5">
        <v>45932</v>
      </c>
      <c r="K174" s="1" t="s">
        <v>30</v>
      </c>
      <c r="L174" s="8">
        <v>0</v>
      </c>
      <c r="M174" s="6"/>
      <c r="N174" s="6"/>
      <c r="O174" s="9">
        <v>1509.99</v>
      </c>
    </row>
    <row r="175" spans="1:15" ht="19.5" customHeight="1">
      <c r="A175" s="1" t="s">
        <v>717</v>
      </c>
      <c r="B175" s="5">
        <v>45933</v>
      </c>
      <c r="C175" s="1" t="s">
        <v>31</v>
      </c>
      <c r="D175" s="1" t="s">
        <v>33</v>
      </c>
      <c r="E175" s="1" t="s">
        <v>51</v>
      </c>
      <c r="F175" s="1" t="s">
        <v>52</v>
      </c>
      <c r="G175" s="1" t="s">
        <v>41</v>
      </c>
      <c r="H175" s="6">
        <v>1</v>
      </c>
      <c r="I175" s="7">
        <v>2610</v>
      </c>
      <c r="J175" s="5">
        <v>45932</v>
      </c>
      <c r="K175" s="1" t="s">
        <v>30</v>
      </c>
      <c r="L175" s="8">
        <v>0</v>
      </c>
      <c r="M175" s="6"/>
      <c r="N175" s="6"/>
      <c r="O175" s="9">
        <v>15.1</v>
      </c>
    </row>
    <row r="176" spans="1:15" ht="19.5" customHeight="1">
      <c r="A176" s="1" t="s">
        <v>717</v>
      </c>
      <c r="B176" s="5">
        <v>45933</v>
      </c>
      <c r="C176" s="1" t="s">
        <v>31</v>
      </c>
      <c r="D176" s="1" t="s">
        <v>34</v>
      </c>
      <c r="E176" s="1" t="s">
        <v>51</v>
      </c>
      <c r="F176" s="1" t="s">
        <v>52</v>
      </c>
      <c r="G176" s="1" t="s">
        <v>41</v>
      </c>
      <c r="H176" s="6">
        <v>1</v>
      </c>
      <c r="I176" s="7">
        <v>2610</v>
      </c>
      <c r="J176" s="5">
        <v>45932</v>
      </c>
      <c r="K176" s="1" t="s">
        <v>30</v>
      </c>
      <c r="L176" s="8">
        <v>0</v>
      </c>
      <c r="M176" s="6"/>
      <c r="N176" s="6"/>
      <c r="O176" s="9">
        <v>1084.9100000000001</v>
      </c>
    </row>
    <row r="177" spans="1:15" ht="19.5" customHeight="1">
      <c r="A177" s="1" t="s">
        <v>717</v>
      </c>
      <c r="B177" s="5">
        <v>45933</v>
      </c>
      <c r="C177" s="1" t="s">
        <v>35</v>
      </c>
      <c r="D177" s="1" t="s">
        <v>36</v>
      </c>
      <c r="E177" s="1" t="s">
        <v>51</v>
      </c>
      <c r="F177" s="1" t="s">
        <v>52</v>
      </c>
      <c r="G177" s="1" t="s">
        <v>41</v>
      </c>
      <c r="H177" s="6">
        <v>1</v>
      </c>
      <c r="I177" s="7">
        <v>2610</v>
      </c>
      <c r="J177" s="5">
        <v>45932</v>
      </c>
      <c r="K177" s="1" t="s">
        <v>30</v>
      </c>
      <c r="L177" s="8">
        <v>0.24</v>
      </c>
      <c r="M177" s="6"/>
      <c r="N177" s="6"/>
      <c r="O177" s="9">
        <v>-626.4</v>
      </c>
    </row>
    <row r="178" spans="1:15" ht="19.5" customHeight="1">
      <c r="A178" s="1" t="s">
        <v>717</v>
      </c>
      <c r="B178" s="5">
        <v>45933</v>
      </c>
      <c r="C178" s="1" t="s">
        <v>17</v>
      </c>
      <c r="D178" s="1" t="s">
        <v>37</v>
      </c>
      <c r="E178" s="1" t="s">
        <v>51</v>
      </c>
      <c r="F178" s="1" t="s">
        <v>52</v>
      </c>
      <c r="G178" s="1" t="s">
        <v>41</v>
      </c>
      <c r="H178" s="6">
        <v>1</v>
      </c>
      <c r="I178" s="7">
        <v>2610</v>
      </c>
      <c r="J178" s="5">
        <v>45932</v>
      </c>
      <c r="K178" s="1" t="s">
        <v>30</v>
      </c>
      <c r="L178" s="8">
        <v>0.24</v>
      </c>
      <c r="M178" s="6"/>
      <c r="N178" s="6"/>
      <c r="O178" s="9">
        <v>-12.21</v>
      </c>
    </row>
    <row r="179" spans="1:15" ht="19.5" customHeight="1">
      <c r="A179" s="1" t="s">
        <v>718</v>
      </c>
      <c r="B179" s="5">
        <v>45933</v>
      </c>
      <c r="C179" s="1" t="s">
        <v>28</v>
      </c>
      <c r="D179" s="1" t="s">
        <v>29</v>
      </c>
      <c r="E179" s="1" t="s">
        <v>25</v>
      </c>
      <c r="F179" s="1" t="s">
        <v>26</v>
      </c>
      <c r="G179" s="1" t="s">
        <v>21</v>
      </c>
      <c r="H179" s="6">
        <v>1</v>
      </c>
      <c r="I179" s="7">
        <v>1200</v>
      </c>
      <c r="J179" s="5">
        <v>45931</v>
      </c>
      <c r="K179" s="1" t="s">
        <v>30</v>
      </c>
      <c r="L179" s="8">
        <v>0.26</v>
      </c>
      <c r="M179" s="6"/>
      <c r="N179" s="6"/>
      <c r="O179" s="9">
        <v>-46</v>
      </c>
    </row>
    <row r="180" spans="1:15" ht="19.5" customHeight="1">
      <c r="A180" s="1" t="s">
        <v>718</v>
      </c>
      <c r="B180" s="5">
        <v>45933</v>
      </c>
      <c r="C180" s="1" t="s">
        <v>31</v>
      </c>
      <c r="D180" s="1" t="s">
        <v>32</v>
      </c>
      <c r="E180" s="1" t="s">
        <v>25</v>
      </c>
      <c r="F180" s="1" t="s">
        <v>26</v>
      </c>
      <c r="G180" s="1" t="s">
        <v>21</v>
      </c>
      <c r="H180" s="6">
        <v>1</v>
      </c>
      <c r="I180" s="7">
        <v>1200</v>
      </c>
      <c r="J180" s="5">
        <v>45931</v>
      </c>
      <c r="K180" s="1" t="s">
        <v>30</v>
      </c>
      <c r="L180" s="8">
        <v>0</v>
      </c>
      <c r="M180" s="6"/>
      <c r="N180" s="6"/>
      <c r="O180" s="9">
        <v>646.04999999999995</v>
      </c>
    </row>
    <row r="181" spans="1:15" ht="19.5" customHeight="1">
      <c r="A181" s="1" t="s">
        <v>718</v>
      </c>
      <c r="B181" s="5">
        <v>45933</v>
      </c>
      <c r="C181" s="1" t="s">
        <v>31</v>
      </c>
      <c r="D181" s="1" t="s">
        <v>33</v>
      </c>
      <c r="E181" s="1" t="s">
        <v>25</v>
      </c>
      <c r="F181" s="1" t="s">
        <v>26</v>
      </c>
      <c r="G181" s="1" t="s">
        <v>21</v>
      </c>
      <c r="H181" s="6">
        <v>1</v>
      </c>
      <c r="I181" s="7">
        <v>1200</v>
      </c>
      <c r="J181" s="5">
        <v>45931</v>
      </c>
      <c r="K181" s="1" t="s">
        <v>30</v>
      </c>
      <c r="L181" s="8">
        <v>0</v>
      </c>
      <c r="M181" s="6"/>
      <c r="N181" s="6"/>
      <c r="O181" s="9">
        <v>6.46</v>
      </c>
    </row>
    <row r="182" spans="1:15" ht="19.5" customHeight="1">
      <c r="A182" s="1" t="s">
        <v>718</v>
      </c>
      <c r="B182" s="5">
        <v>45933</v>
      </c>
      <c r="C182" s="1" t="s">
        <v>31</v>
      </c>
      <c r="D182" s="1" t="s">
        <v>34</v>
      </c>
      <c r="E182" s="1" t="s">
        <v>25</v>
      </c>
      <c r="F182" s="1" t="s">
        <v>26</v>
      </c>
      <c r="G182" s="1" t="s">
        <v>21</v>
      </c>
      <c r="H182" s="6">
        <v>1</v>
      </c>
      <c r="I182" s="7">
        <v>1200</v>
      </c>
      <c r="J182" s="5">
        <v>45931</v>
      </c>
      <c r="K182" s="1" t="s">
        <v>30</v>
      </c>
      <c r="L182" s="8">
        <v>0</v>
      </c>
      <c r="M182" s="6"/>
      <c r="N182" s="6"/>
      <c r="O182" s="9">
        <v>547.49</v>
      </c>
    </row>
    <row r="183" spans="1:15" ht="19.5" customHeight="1">
      <c r="A183" s="1" t="s">
        <v>718</v>
      </c>
      <c r="B183" s="5">
        <v>45933</v>
      </c>
      <c r="C183" s="1" t="s">
        <v>35</v>
      </c>
      <c r="D183" s="1" t="s">
        <v>36</v>
      </c>
      <c r="E183" s="1" t="s">
        <v>25</v>
      </c>
      <c r="F183" s="1" t="s">
        <v>26</v>
      </c>
      <c r="G183" s="1" t="s">
        <v>21</v>
      </c>
      <c r="H183" s="6">
        <v>1</v>
      </c>
      <c r="I183" s="7">
        <v>1200</v>
      </c>
      <c r="J183" s="5">
        <v>45931</v>
      </c>
      <c r="K183" s="1" t="s">
        <v>30</v>
      </c>
      <c r="L183" s="8">
        <v>0.26</v>
      </c>
      <c r="M183" s="6"/>
      <c r="N183" s="6"/>
      <c r="O183" s="9">
        <v>-312</v>
      </c>
    </row>
    <row r="184" spans="1:15" ht="19.5" customHeight="1">
      <c r="A184" s="1" t="s">
        <v>718</v>
      </c>
      <c r="B184" s="5">
        <v>45933</v>
      </c>
      <c r="C184" s="1" t="s">
        <v>17</v>
      </c>
      <c r="D184" s="1" t="s">
        <v>37</v>
      </c>
      <c r="E184" s="1" t="s">
        <v>25</v>
      </c>
      <c r="F184" s="1" t="s">
        <v>26</v>
      </c>
      <c r="G184" s="1" t="s">
        <v>21</v>
      </c>
      <c r="H184" s="6">
        <v>1</v>
      </c>
      <c r="I184" s="7">
        <v>1200</v>
      </c>
      <c r="J184" s="5">
        <v>45931</v>
      </c>
      <c r="K184" s="1" t="s">
        <v>30</v>
      </c>
      <c r="L184" s="8">
        <v>0.26</v>
      </c>
      <c r="M184" s="6"/>
      <c r="N184" s="6"/>
      <c r="O184" s="9">
        <v>-5.33</v>
      </c>
    </row>
    <row r="185" spans="1:15" ht="19.5" customHeight="1">
      <c r="A185" s="1" t="s">
        <v>719</v>
      </c>
      <c r="B185" s="5">
        <v>45933</v>
      </c>
      <c r="C185" s="1" t="s">
        <v>28</v>
      </c>
      <c r="D185" s="1" t="s">
        <v>29</v>
      </c>
      <c r="E185" s="1" t="s">
        <v>54</v>
      </c>
      <c r="F185" s="1" t="s">
        <v>55</v>
      </c>
      <c r="G185" s="1" t="s">
        <v>21</v>
      </c>
      <c r="H185" s="6">
        <v>1</v>
      </c>
      <c r="I185" s="7">
        <v>1386</v>
      </c>
      <c r="J185" s="5">
        <v>45929</v>
      </c>
      <c r="K185" s="1" t="s">
        <v>30</v>
      </c>
      <c r="L185" s="8">
        <v>0.26</v>
      </c>
      <c r="M185" s="6"/>
      <c r="N185" s="6"/>
      <c r="O185" s="9">
        <v>-46</v>
      </c>
    </row>
    <row r="186" spans="1:15" ht="19.5" customHeight="1">
      <c r="A186" s="1" t="s">
        <v>719</v>
      </c>
      <c r="B186" s="5">
        <v>45933</v>
      </c>
      <c r="C186" s="1" t="s">
        <v>31</v>
      </c>
      <c r="D186" s="1" t="s">
        <v>32</v>
      </c>
      <c r="E186" s="1" t="s">
        <v>54</v>
      </c>
      <c r="F186" s="1" t="s">
        <v>55</v>
      </c>
      <c r="G186" s="1" t="s">
        <v>21</v>
      </c>
      <c r="H186" s="6">
        <v>1</v>
      </c>
      <c r="I186" s="7">
        <v>1386</v>
      </c>
      <c r="J186" s="5">
        <v>45929</v>
      </c>
      <c r="K186" s="1" t="s">
        <v>30</v>
      </c>
      <c r="L186" s="8">
        <v>0</v>
      </c>
      <c r="M186" s="6"/>
      <c r="N186" s="6"/>
      <c r="O186" s="9">
        <v>788.63</v>
      </c>
    </row>
    <row r="187" spans="1:15" ht="19.5" customHeight="1">
      <c r="A187" s="1" t="s">
        <v>719</v>
      </c>
      <c r="B187" s="5">
        <v>45933</v>
      </c>
      <c r="C187" s="1" t="s">
        <v>31</v>
      </c>
      <c r="D187" s="1" t="s">
        <v>33</v>
      </c>
      <c r="E187" s="1" t="s">
        <v>54</v>
      </c>
      <c r="F187" s="1" t="s">
        <v>55</v>
      </c>
      <c r="G187" s="1" t="s">
        <v>21</v>
      </c>
      <c r="H187" s="6">
        <v>1</v>
      </c>
      <c r="I187" s="7">
        <v>1386</v>
      </c>
      <c r="J187" s="5">
        <v>45929</v>
      </c>
      <c r="K187" s="1" t="s">
        <v>30</v>
      </c>
      <c r="L187" s="8">
        <v>0</v>
      </c>
      <c r="M187" s="6"/>
      <c r="N187" s="6"/>
      <c r="O187" s="9">
        <v>5.8</v>
      </c>
    </row>
    <row r="188" spans="1:15" ht="19.5" customHeight="1">
      <c r="A188" s="1" t="s">
        <v>719</v>
      </c>
      <c r="B188" s="5">
        <v>45933</v>
      </c>
      <c r="C188" s="1" t="s">
        <v>31</v>
      </c>
      <c r="D188" s="1" t="s">
        <v>34</v>
      </c>
      <c r="E188" s="1" t="s">
        <v>54</v>
      </c>
      <c r="F188" s="1" t="s">
        <v>55</v>
      </c>
      <c r="G188" s="1" t="s">
        <v>21</v>
      </c>
      <c r="H188" s="6">
        <v>1</v>
      </c>
      <c r="I188" s="7">
        <v>1386</v>
      </c>
      <c r="J188" s="5">
        <v>45929</v>
      </c>
      <c r="K188" s="1" t="s">
        <v>30</v>
      </c>
      <c r="L188" s="8">
        <v>0</v>
      </c>
      <c r="M188" s="6"/>
      <c r="N188" s="6"/>
      <c r="O188" s="9">
        <v>591.57000000000005</v>
      </c>
    </row>
    <row r="189" spans="1:15" ht="19.5" customHeight="1">
      <c r="A189" s="1" t="s">
        <v>719</v>
      </c>
      <c r="B189" s="5">
        <v>45933</v>
      </c>
      <c r="C189" s="1" t="s">
        <v>35</v>
      </c>
      <c r="D189" s="1" t="s">
        <v>36</v>
      </c>
      <c r="E189" s="1" t="s">
        <v>54</v>
      </c>
      <c r="F189" s="1" t="s">
        <v>55</v>
      </c>
      <c r="G189" s="1" t="s">
        <v>21</v>
      </c>
      <c r="H189" s="6">
        <v>1</v>
      </c>
      <c r="I189" s="7">
        <v>1386</v>
      </c>
      <c r="J189" s="5">
        <v>45929</v>
      </c>
      <c r="K189" s="1" t="s">
        <v>30</v>
      </c>
      <c r="L189" s="8">
        <v>0.26</v>
      </c>
      <c r="M189" s="6"/>
      <c r="N189" s="6"/>
      <c r="O189" s="9">
        <v>-360.36</v>
      </c>
    </row>
    <row r="190" spans="1:15" ht="19.5" customHeight="1">
      <c r="A190" s="1" t="s">
        <v>719</v>
      </c>
      <c r="B190" s="5">
        <v>45933</v>
      </c>
      <c r="C190" s="1" t="s">
        <v>17</v>
      </c>
      <c r="D190" s="1" t="s">
        <v>37</v>
      </c>
      <c r="E190" s="1" t="s">
        <v>54</v>
      </c>
      <c r="F190" s="1" t="s">
        <v>55</v>
      </c>
      <c r="G190" s="1" t="s">
        <v>21</v>
      </c>
      <c r="H190" s="6">
        <v>1</v>
      </c>
      <c r="I190" s="7">
        <v>1386</v>
      </c>
      <c r="J190" s="5">
        <v>45929</v>
      </c>
      <c r="K190" s="1" t="s">
        <v>30</v>
      </c>
      <c r="L190" s="8">
        <v>0.26</v>
      </c>
      <c r="M190" s="6"/>
      <c r="N190" s="6"/>
      <c r="O190" s="9">
        <v>-8.5399999999999991</v>
      </c>
    </row>
    <row r="191" spans="1:15" ht="19.5" customHeight="1">
      <c r="A191" s="1" t="s">
        <v>107</v>
      </c>
      <c r="B191" s="5">
        <v>45933</v>
      </c>
      <c r="C191" s="1" t="s">
        <v>28</v>
      </c>
      <c r="D191" s="1" t="s">
        <v>29</v>
      </c>
      <c r="E191" s="1" t="s">
        <v>25</v>
      </c>
      <c r="F191" s="1" t="s">
        <v>26</v>
      </c>
      <c r="G191" s="1" t="s">
        <v>21</v>
      </c>
      <c r="H191" s="6">
        <v>1</v>
      </c>
      <c r="I191" s="7">
        <v>1200</v>
      </c>
      <c r="J191" s="5">
        <v>45931</v>
      </c>
      <c r="K191" s="1" t="s">
        <v>30</v>
      </c>
      <c r="L191" s="8">
        <v>0.26</v>
      </c>
      <c r="M191" s="6"/>
      <c r="N191" s="6"/>
      <c r="O191" s="9">
        <v>-46</v>
      </c>
    </row>
    <row r="192" spans="1:15" ht="19.5" customHeight="1">
      <c r="A192" s="1" t="s">
        <v>107</v>
      </c>
      <c r="B192" s="5">
        <v>45933</v>
      </c>
      <c r="C192" s="1" t="s">
        <v>31</v>
      </c>
      <c r="D192" s="1" t="s">
        <v>32</v>
      </c>
      <c r="E192" s="1" t="s">
        <v>25</v>
      </c>
      <c r="F192" s="1" t="s">
        <v>26</v>
      </c>
      <c r="G192" s="1" t="s">
        <v>21</v>
      </c>
      <c r="H192" s="6">
        <v>1</v>
      </c>
      <c r="I192" s="7">
        <v>1200</v>
      </c>
      <c r="J192" s="5">
        <v>45931</v>
      </c>
      <c r="K192" s="1" t="s">
        <v>30</v>
      </c>
      <c r="L192" s="8">
        <v>0</v>
      </c>
      <c r="M192" s="6"/>
      <c r="N192" s="6"/>
      <c r="O192" s="9">
        <v>666.67</v>
      </c>
    </row>
    <row r="193" spans="1:15" ht="19.5" customHeight="1">
      <c r="A193" s="1" t="s">
        <v>107</v>
      </c>
      <c r="B193" s="5">
        <v>45933</v>
      </c>
      <c r="C193" s="1" t="s">
        <v>31</v>
      </c>
      <c r="D193" s="1" t="s">
        <v>33</v>
      </c>
      <c r="E193" s="1" t="s">
        <v>25</v>
      </c>
      <c r="F193" s="1" t="s">
        <v>26</v>
      </c>
      <c r="G193" s="1" t="s">
        <v>21</v>
      </c>
      <c r="H193" s="6">
        <v>1</v>
      </c>
      <c r="I193" s="7">
        <v>1200</v>
      </c>
      <c r="J193" s="5">
        <v>45931</v>
      </c>
      <c r="K193" s="1" t="s">
        <v>30</v>
      </c>
      <c r="L193" s="8">
        <v>0</v>
      </c>
      <c r="M193" s="6"/>
      <c r="N193" s="6"/>
      <c r="O193" s="9">
        <v>6.67</v>
      </c>
    </row>
    <row r="194" spans="1:15" ht="19.5" customHeight="1">
      <c r="A194" s="1" t="s">
        <v>107</v>
      </c>
      <c r="B194" s="5">
        <v>45933</v>
      </c>
      <c r="C194" s="1" t="s">
        <v>31</v>
      </c>
      <c r="D194" s="1" t="s">
        <v>34</v>
      </c>
      <c r="E194" s="1" t="s">
        <v>25</v>
      </c>
      <c r="F194" s="1" t="s">
        <v>26</v>
      </c>
      <c r="G194" s="1" t="s">
        <v>21</v>
      </c>
      <c r="H194" s="6">
        <v>1</v>
      </c>
      <c r="I194" s="7">
        <v>1200</v>
      </c>
      <c r="J194" s="5">
        <v>45931</v>
      </c>
      <c r="K194" s="1" t="s">
        <v>30</v>
      </c>
      <c r="L194" s="8">
        <v>0</v>
      </c>
      <c r="M194" s="6"/>
      <c r="N194" s="6"/>
      <c r="O194" s="9">
        <v>526.66</v>
      </c>
    </row>
    <row r="195" spans="1:15" ht="19.5" customHeight="1">
      <c r="A195" s="1" t="s">
        <v>107</v>
      </c>
      <c r="B195" s="5">
        <v>45933</v>
      </c>
      <c r="C195" s="1" t="s">
        <v>35</v>
      </c>
      <c r="D195" s="1" t="s">
        <v>36</v>
      </c>
      <c r="E195" s="1" t="s">
        <v>25</v>
      </c>
      <c r="F195" s="1" t="s">
        <v>26</v>
      </c>
      <c r="G195" s="1" t="s">
        <v>21</v>
      </c>
      <c r="H195" s="6">
        <v>1</v>
      </c>
      <c r="I195" s="7">
        <v>1200</v>
      </c>
      <c r="J195" s="5">
        <v>45931</v>
      </c>
      <c r="K195" s="1" t="s">
        <v>30</v>
      </c>
      <c r="L195" s="8">
        <v>0.26</v>
      </c>
      <c r="M195" s="6"/>
      <c r="N195" s="6"/>
      <c r="O195" s="9">
        <v>-312</v>
      </c>
    </row>
    <row r="196" spans="1:15" ht="19.5" customHeight="1">
      <c r="A196" s="1" t="s">
        <v>107</v>
      </c>
      <c r="B196" s="5">
        <v>45933</v>
      </c>
      <c r="C196" s="1" t="s">
        <v>17</v>
      </c>
      <c r="D196" s="1" t="s">
        <v>37</v>
      </c>
      <c r="E196" s="1" t="s">
        <v>25</v>
      </c>
      <c r="F196" s="1" t="s">
        <v>26</v>
      </c>
      <c r="G196" s="1" t="s">
        <v>21</v>
      </c>
      <c r="H196" s="6">
        <v>1</v>
      </c>
      <c r="I196" s="7">
        <v>1200</v>
      </c>
      <c r="J196" s="5">
        <v>45931</v>
      </c>
      <c r="K196" s="1" t="s">
        <v>30</v>
      </c>
      <c r="L196" s="8">
        <v>0.26</v>
      </c>
      <c r="M196" s="6"/>
      <c r="N196" s="6"/>
      <c r="O196" s="9">
        <v>-4.97</v>
      </c>
    </row>
    <row r="197" spans="1:15" ht="19.5" customHeight="1">
      <c r="A197" s="1" t="s">
        <v>719</v>
      </c>
      <c r="B197" s="5">
        <v>45933</v>
      </c>
      <c r="C197" s="1" t="s">
        <v>17</v>
      </c>
      <c r="D197" s="1" t="s">
        <v>18</v>
      </c>
      <c r="E197" s="1" t="s">
        <v>54</v>
      </c>
      <c r="F197" s="1" t="s">
        <v>55</v>
      </c>
      <c r="G197" s="1" t="s">
        <v>21</v>
      </c>
      <c r="H197" s="6">
        <v>1</v>
      </c>
      <c r="I197" s="7">
        <v>0</v>
      </c>
      <c r="J197" s="5">
        <v>45929</v>
      </c>
      <c r="K197" s="1" t="s">
        <v>22</v>
      </c>
      <c r="L197" s="8">
        <v>0</v>
      </c>
      <c r="M197" s="6"/>
      <c r="N197" s="6"/>
      <c r="O197" s="9">
        <v>-14.98</v>
      </c>
    </row>
    <row r="198" spans="1:15" ht="19.5" customHeight="1">
      <c r="A198" s="1" t="s">
        <v>720</v>
      </c>
      <c r="B198" s="5">
        <v>45933</v>
      </c>
      <c r="C198" s="1" t="s">
        <v>28</v>
      </c>
      <c r="D198" s="1" t="s">
        <v>29</v>
      </c>
      <c r="E198" s="1" t="s">
        <v>25</v>
      </c>
      <c r="F198" s="1" t="s">
        <v>26</v>
      </c>
      <c r="G198" s="1" t="s">
        <v>21</v>
      </c>
      <c r="H198" s="6">
        <v>1</v>
      </c>
      <c r="I198" s="7">
        <v>800</v>
      </c>
      <c r="J198" s="5">
        <v>45932</v>
      </c>
      <c r="K198" s="1" t="s">
        <v>30</v>
      </c>
      <c r="L198" s="8">
        <v>0.26</v>
      </c>
      <c r="M198" s="6"/>
      <c r="N198" s="6"/>
      <c r="O198" s="9">
        <v>-46</v>
      </c>
    </row>
    <row r="199" spans="1:15" ht="19.5" customHeight="1">
      <c r="A199" s="1" t="s">
        <v>720</v>
      </c>
      <c r="B199" s="5">
        <v>45933</v>
      </c>
      <c r="C199" s="1" t="s">
        <v>31</v>
      </c>
      <c r="D199" s="1" t="s">
        <v>32</v>
      </c>
      <c r="E199" s="1" t="s">
        <v>25</v>
      </c>
      <c r="F199" s="1" t="s">
        <v>26</v>
      </c>
      <c r="G199" s="1" t="s">
        <v>21</v>
      </c>
      <c r="H199" s="6">
        <v>1</v>
      </c>
      <c r="I199" s="7">
        <v>800</v>
      </c>
      <c r="J199" s="5">
        <v>45932</v>
      </c>
      <c r="K199" s="1" t="s">
        <v>30</v>
      </c>
      <c r="L199" s="8">
        <v>0</v>
      </c>
      <c r="M199" s="6"/>
      <c r="N199" s="6"/>
      <c r="O199" s="9">
        <v>470.03</v>
      </c>
    </row>
    <row r="200" spans="1:15" ht="19.5" customHeight="1">
      <c r="A200" s="1" t="s">
        <v>720</v>
      </c>
      <c r="B200" s="5">
        <v>45933</v>
      </c>
      <c r="C200" s="1" t="s">
        <v>31</v>
      </c>
      <c r="D200" s="1" t="s">
        <v>33</v>
      </c>
      <c r="E200" s="1" t="s">
        <v>25</v>
      </c>
      <c r="F200" s="1" t="s">
        <v>26</v>
      </c>
      <c r="G200" s="1" t="s">
        <v>21</v>
      </c>
      <c r="H200" s="6">
        <v>1</v>
      </c>
      <c r="I200" s="7">
        <v>800</v>
      </c>
      <c r="J200" s="5">
        <v>45932</v>
      </c>
      <c r="K200" s="1" t="s">
        <v>30</v>
      </c>
      <c r="L200" s="8">
        <v>0</v>
      </c>
      <c r="M200" s="6"/>
      <c r="N200" s="6"/>
      <c r="O200" s="9">
        <v>0</v>
      </c>
    </row>
    <row r="201" spans="1:15" ht="19.5" customHeight="1">
      <c r="A201" s="1" t="s">
        <v>720</v>
      </c>
      <c r="B201" s="5">
        <v>45933</v>
      </c>
      <c r="C201" s="1" t="s">
        <v>31</v>
      </c>
      <c r="D201" s="1" t="s">
        <v>34</v>
      </c>
      <c r="E201" s="1" t="s">
        <v>25</v>
      </c>
      <c r="F201" s="1" t="s">
        <v>26</v>
      </c>
      <c r="G201" s="1" t="s">
        <v>21</v>
      </c>
      <c r="H201" s="6">
        <v>1</v>
      </c>
      <c r="I201" s="7">
        <v>800</v>
      </c>
      <c r="J201" s="5">
        <v>45932</v>
      </c>
      <c r="K201" s="1" t="s">
        <v>30</v>
      </c>
      <c r="L201" s="8">
        <v>0</v>
      </c>
      <c r="M201" s="6"/>
      <c r="N201" s="6"/>
      <c r="O201" s="9">
        <v>329.97</v>
      </c>
    </row>
    <row r="202" spans="1:15" ht="19.5" customHeight="1">
      <c r="A202" s="1" t="s">
        <v>720</v>
      </c>
      <c r="B202" s="5">
        <v>45933</v>
      </c>
      <c r="C202" s="1" t="s">
        <v>35</v>
      </c>
      <c r="D202" s="1" t="s">
        <v>36</v>
      </c>
      <c r="E202" s="1" t="s">
        <v>25</v>
      </c>
      <c r="F202" s="1" t="s">
        <v>26</v>
      </c>
      <c r="G202" s="1" t="s">
        <v>21</v>
      </c>
      <c r="H202" s="6">
        <v>1</v>
      </c>
      <c r="I202" s="7">
        <v>800</v>
      </c>
      <c r="J202" s="5">
        <v>45932</v>
      </c>
      <c r="K202" s="1" t="s">
        <v>30</v>
      </c>
      <c r="L202" s="8">
        <v>0.26</v>
      </c>
      <c r="M202" s="6"/>
      <c r="N202" s="6"/>
      <c r="O202" s="9">
        <v>-208</v>
      </c>
    </row>
    <row r="203" spans="1:15" ht="19.5" customHeight="1">
      <c r="A203" s="1" t="s">
        <v>720</v>
      </c>
      <c r="B203" s="5">
        <v>45933</v>
      </c>
      <c r="C203" s="1" t="s">
        <v>17</v>
      </c>
      <c r="D203" s="1" t="s">
        <v>37</v>
      </c>
      <c r="E203" s="1" t="s">
        <v>25</v>
      </c>
      <c r="F203" s="1" t="s">
        <v>26</v>
      </c>
      <c r="G203" s="1" t="s">
        <v>21</v>
      </c>
      <c r="H203" s="6">
        <v>1</v>
      </c>
      <c r="I203" s="7">
        <v>800</v>
      </c>
      <c r="J203" s="5">
        <v>45932</v>
      </c>
      <c r="K203" s="1" t="s">
        <v>30</v>
      </c>
      <c r="L203" s="8">
        <v>0.26</v>
      </c>
      <c r="M203" s="6"/>
      <c r="N203" s="6"/>
      <c r="O203" s="9">
        <v>-2.69</v>
      </c>
    </row>
    <row r="204" spans="1:15" ht="19.5" customHeight="1">
      <c r="A204" s="1" t="s">
        <v>721</v>
      </c>
      <c r="B204" s="5">
        <v>45933</v>
      </c>
      <c r="C204" s="1" t="s">
        <v>28</v>
      </c>
      <c r="D204" s="1" t="s">
        <v>29</v>
      </c>
      <c r="E204" s="1" t="s">
        <v>25</v>
      </c>
      <c r="F204" s="1" t="s">
        <v>26</v>
      </c>
      <c r="G204" s="1" t="s">
        <v>21</v>
      </c>
      <c r="H204" s="6">
        <v>1</v>
      </c>
      <c r="I204" s="7">
        <v>800</v>
      </c>
      <c r="J204" s="5">
        <v>45932</v>
      </c>
      <c r="K204" s="1" t="s">
        <v>30</v>
      </c>
      <c r="L204" s="8">
        <v>0.26</v>
      </c>
      <c r="M204" s="6"/>
      <c r="N204" s="6"/>
      <c r="O204" s="9">
        <v>-46</v>
      </c>
    </row>
    <row r="205" spans="1:15" ht="19.5" customHeight="1">
      <c r="A205" s="1" t="s">
        <v>721</v>
      </c>
      <c r="B205" s="5">
        <v>45933</v>
      </c>
      <c r="C205" s="1" t="s">
        <v>31</v>
      </c>
      <c r="D205" s="1" t="s">
        <v>32</v>
      </c>
      <c r="E205" s="1" t="s">
        <v>25</v>
      </c>
      <c r="F205" s="1" t="s">
        <v>26</v>
      </c>
      <c r="G205" s="1" t="s">
        <v>21</v>
      </c>
      <c r="H205" s="6">
        <v>1</v>
      </c>
      <c r="I205" s="7">
        <v>800</v>
      </c>
      <c r="J205" s="5">
        <v>45932</v>
      </c>
      <c r="K205" s="1" t="s">
        <v>30</v>
      </c>
      <c r="L205" s="8">
        <v>0</v>
      </c>
      <c r="M205" s="6"/>
      <c r="N205" s="6"/>
      <c r="O205" s="9">
        <v>483.81</v>
      </c>
    </row>
    <row r="206" spans="1:15" ht="19.5" customHeight="1">
      <c r="A206" s="1" t="s">
        <v>721</v>
      </c>
      <c r="B206" s="5">
        <v>45933</v>
      </c>
      <c r="C206" s="1" t="s">
        <v>31</v>
      </c>
      <c r="D206" s="1" t="s">
        <v>33</v>
      </c>
      <c r="E206" s="1" t="s">
        <v>25</v>
      </c>
      <c r="F206" s="1" t="s">
        <v>26</v>
      </c>
      <c r="G206" s="1" t="s">
        <v>21</v>
      </c>
      <c r="H206" s="6">
        <v>1</v>
      </c>
      <c r="I206" s="7">
        <v>800</v>
      </c>
      <c r="J206" s="5">
        <v>45932</v>
      </c>
      <c r="K206" s="1" t="s">
        <v>30</v>
      </c>
      <c r="L206" s="8">
        <v>0</v>
      </c>
      <c r="M206" s="6"/>
      <c r="N206" s="6"/>
      <c r="O206" s="9">
        <v>0</v>
      </c>
    </row>
    <row r="207" spans="1:15" ht="19.5" customHeight="1">
      <c r="A207" s="1" t="s">
        <v>721</v>
      </c>
      <c r="B207" s="5">
        <v>45933</v>
      </c>
      <c r="C207" s="1" t="s">
        <v>31</v>
      </c>
      <c r="D207" s="1" t="s">
        <v>34</v>
      </c>
      <c r="E207" s="1" t="s">
        <v>25</v>
      </c>
      <c r="F207" s="1" t="s">
        <v>26</v>
      </c>
      <c r="G207" s="1" t="s">
        <v>21</v>
      </c>
      <c r="H207" s="6">
        <v>1</v>
      </c>
      <c r="I207" s="7">
        <v>800</v>
      </c>
      <c r="J207" s="5">
        <v>45932</v>
      </c>
      <c r="K207" s="1" t="s">
        <v>30</v>
      </c>
      <c r="L207" s="8">
        <v>0</v>
      </c>
      <c r="M207" s="6"/>
      <c r="N207" s="6"/>
      <c r="O207" s="9">
        <v>316.19</v>
      </c>
    </row>
    <row r="208" spans="1:15" ht="19.5" customHeight="1">
      <c r="A208" s="1" t="s">
        <v>721</v>
      </c>
      <c r="B208" s="5">
        <v>45933</v>
      </c>
      <c r="C208" s="1" t="s">
        <v>35</v>
      </c>
      <c r="D208" s="1" t="s">
        <v>36</v>
      </c>
      <c r="E208" s="1" t="s">
        <v>25</v>
      </c>
      <c r="F208" s="1" t="s">
        <v>26</v>
      </c>
      <c r="G208" s="1" t="s">
        <v>21</v>
      </c>
      <c r="H208" s="6">
        <v>1</v>
      </c>
      <c r="I208" s="7">
        <v>800</v>
      </c>
      <c r="J208" s="5">
        <v>45932</v>
      </c>
      <c r="K208" s="1" t="s">
        <v>30</v>
      </c>
      <c r="L208" s="8">
        <v>0.26</v>
      </c>
      <c r="M208" s="6"/>
      <c r="N208" s="6"/>
      <c r="O208" s="9">
        <v>-208</v>
      </c>
    </row>
    <row r="209" spans="1:15" ht="19.5" customHeight="1">
      <c r="A209" s="1" t="s">
        <v>721</v>
      </c>
      <c r="B209" s="5">
        <v>45933</v>
      </c>
      <c r="C209" s="1" t="s">
        <v>17</v>
      </c>
      <c r="D209" s="1" t="s">
        <v>37</v>
      </c>
      <c r="E209" s="1" t="s">
        <v>25</v>
      </c>
      <c r="F209" s="1" t="s">
        <v>26</v>
      </c>
      <c r="G209" s="1" t="s">
        <v>21</v>
      </c>
      <c r="H209" s="6">
        <v>1</v>
      </c>
      <c r="I209" s="7">
        <v>800</v>
      </c>
      <c r="J209" s="5">
        <v>45932</v>
      </c>
      <c r="K209" s="1" t="s">
        <v>30</v>
      </c>
      <c r="L209" s="8">
        <v>0.26</v>
      </c>
      <c r="M209" s="6"/>
      <c r="N209" s="6"/>
      <c r="O209" s="9">
        <v>-3.63</v>
      </c>
    </row>
    <row r="210" spans="1:15" ht="19.5" customHeight="1">
      <c r="A210" s="1" t="s">
        <v>722</v>
      </c>
      <c r="B210" s="5">
        <v>45933</v>
      </c>
      <c r="C210" s="1" t="s">
        <v>17</v>
      </c>
      <c r="D210" s="1" t="s">
        <v>18</v>
      </c>
      <c r="E210" s="1" t="s">
        <v>54</v>
      </c>
      <c r="F210" s="1" t="s">
        <v>55</v>
      </c>
      <c r="G210" s="1" t="s">
        <v>21</v>
      </c>
      <c r="H210" s="6">
        <v>1</v>
      </c>
      <c r="I210" s="7">
        <v>0</v>
      </c>
      <c r="J210" s="5">
        <v>45933</v>
      </c>
      <c r="K210" s="1" t="s">
        <v>22</v>
      </c>
      <c r="L210" s="8">
        <v>0</v>
      </c>
      <c r="M210" s="6"/>
      <c r="N210" s="6"/>
      <c r="O210" s="9">
        <v>-15.53</v>
      </c>
    </row>
    <row r="211" spans="1:15" ht="19.5" customHeight="1">
      <c r="A211" s="1" t="s">
        <v>22</v>
      </c>
      <c r="B211" s="5">
        <v>45933</v>
      </c>
      <c r="C211" s="1" t="s">
        <v>77</v>
      </c>
      <c r="D211" s="1" t="s">
        <v>78</v>
      </c>
      <c r="E211" s="1" t="s">
        <v>22</v>
      </c>
      <c r="F211" s="1" t="s">
        <v>22</v>
      </c>
      <c r="G211" s="1" t="s">
        <v>723</v>
      </c>
      <c r="H211" s="6">
        <v>0</v>
      </c>
      <c r="I211" s="7">
        <v>0</v>
      </c>
      <c r="J211" s="5">
        <v>45933</v>
      </c>
      <c r="K211" s="1" t="s">
        <v>22</v>
      </c>
      <c r="L211" s="8">
        <v>0</v>
      </c>
      <c r="M211" s="6"/>
      <c r="N211" s="6"/>
      <c r="O211" s="9">
        <v>-200</v>
      </c>
    </row>
    <row r="212" spans="1:15" ht="19.5" customHeight="1">
      <c r="A212" s="1" t="s">
        <v>724</v>
      </c>
      <c r="B212" s="5">
        <v>45933</v>
      </c>
      <c r="C212" s="1" t="s">
        <v>28</v>
      </c>
      <c r="D212" s="1" t="s">
        <v>29</v>
      </c>
      <c r="E212" s="1" t="s">
        <v>223</v>
      </c>
      <c r="F212" s="1" t="s">
        <v>395</v>
      </c>
      <c r="G212" s="1" t="s">
        <v>21</v>
      </c>
      <c r="H212" s="6">
        <v>1</v>
      </c>
      <c r="I212" s="7">
        <v>0</v>
      </c>
      <c r="J212" s="5">
        <v>45911</v>
      </c>
      <c r="K212" s="1" t="s">
        <v>30</v>
      </c>
      <c r="L212" s="8">
        <v>0</v>
      </c>
      <c r="M212" s="6"/>
      <c r="N212" s="6"/>
      <c r="O212" s="9">
        <v>-46</v>
      </c>
    </row>
    <row r="213" spans="1:15" ht="19.5" customHeight="1">
      <c r="A213" s="1" t="s">
        <v>724</v>
      </c>
      <c r="B213" s="5">
        <v>45933</v>
      </c>
      <c r="C213" s="1" t="s">
        <v>17</v>
      </c>
      <c r="D213" s="1" t="s">
        <v>37</v>
      </c>
      <c r="E213" s="1" t="s">
        <v>223</v>
      </c>
      <c r="F213" s="1" t="s">
        <v>395</v>
      </c>
      <c r="G213" s="1" t="s">
        <v>21</v>
      </c>
      <c r="H213" s="6">
        <v>1</v>
      </c>
      <c r="I213" s="7">
        <v>0</v>
      </c>
      <c r="J213" s="5">
        <v>45911</v>
      </c>
      <c r="K213" s="1" t="s">
        <v>30</v>
      </c>
      <c r="L213" s="8">
        <v>0</v>
      </c>
      <c r="M213" s="6"/>
      <c r="N213" s="6"/>
      <c r="O213" s="9">
        <v>-6.02</v>
      </c>
    </row>
    <row r="214" spans="1:15" ht="19.5" customHeight="1">
      <c r="A214" s="1" t="s">
        <v>724</v>
      </c>
      <c r="B214" s="5">
        <v>45933</v>
      </c>
      <c r="C214" s="1" t="s">
        <v>28</v>
      </c>
      <c r="D214" s="1" t="s">
        <v>45</v>
      </c>
      <c r="E214" s="1" t="s">
        <v>223</v>
      </c>
      <c r="F214" s="1" t="s">
        <v>395</v>
      </c>
      <c r="G214" s="1" t="s">
        <v>21</v>
      </c>
      <c r="H214" s="6">
        <v>1</v>
      </c>
      <c r="I214" s="7">
        <v>0</v>
      </c>
      <c r="J214" s="5">
        <v>45911</v>
      </c>
      <c r="K214" s="1" t="s">
        <v>30</v>
      </c>
      <c r="L214" s="8">
        <v>0</v>
      </c>
      <c r="M214" s="6"/>
      <c r="N214" s="6"/>
      <c r="O214" s="9">
        <v>0</v>
      </c>
    </row>
    <row r="215" spans="1:15" ht="19.5" customHeight="1">
      <c r="A215" s="1" t="s">
        <v>724</v>
      </c>
      <c r="B215" s="5">
        <v>45933</v>
      </c>
      <c r="C215" s="1" t="s">
        <v>28</v>
      </c>
      <c r="D215" s="1" t="s">
        <v>46</v>
      </c>
      <c r="E215" s="1" t="s">
        <v>223</v>
      </c>
      <c r="F215" s="1" t="s">
        <v>395</v>
      </c>
      <c r="G215" s="1" t="s">
        <v>21</v>
      </c>
      <c r="H215" s="6">
        <v>1</v>
      </c>
      <c r="I215" s="7">
        <v>0</v>
      </c>
      <c r="J215" s="5">
        <v>45911</v>
      </c>
      <c r="K215" s="1" t="s">
        <v>30</v>
      </c>
      <c r="L215" s="8">
        <v>0</v>
      </c>
      <c r="M215" s="6"/>
      <c r="N215" s="6"/>
      <c r="O215" s="9">
        <v>-46</v>
      </c>
    </row>
    <row r="216" spans="1:15" ht="19.5" customHeight="1">
      <c r="A216" s="1" t="s">
        <v>86</v>
      </c>
      <c r="B216" s="5">
        <v>45933</v>
      </c>
      <c r="C216" s="1" t="s">
        <v>77</v>
      </c>
      <c r="D216" s="1" t="s">
        <v>82</v>
      </c>
      <c r="E216" s="1" t="s">
        <v>22</v>
      </c>
      <c r="F216" s="1" t="s">
        <v>22</v>
      </c>
      <c r="G216" s="1" t="s">
        <v>22</v>
      </c>
      <c r="H216" s="6">
        <v>0</v>
      </c>
      <c r="I216" s="7">
        <v>0</v>
      </c>
      <c r="J216" s="5">
        <v>45933</v>
      </c>
      <c r="K216" s="1" t="s">
        <v>22</v>
      </c>
      <c r="L216" s="8">
        <v>0</v>
      </c>
      <c r="M216" s="6"/>
      <c r="N216" s="6"/>
      <c r="O216" s="9">
        <v>-1482.07</v>
      </c>
    </row>
    <row r="217" spans="1:15" ht="19.5" customHeight="1">
      <c r="A217" s="1" t="s">
        <v>454</v>
      </c>
      <c r="B217" s="5">
        <v>45933</v>
      </c>
      <c r="C217" s="1" t="s">
        <v>77</v>
      </c>
      <c r="D217" s="1" t="s">
        <v>82</v>
      </c>
      <c r="E217" s="1" t="s">
        <v>22</v>
      </c>
      <c r="F217" s="1" t="s">
        <v>22</v>
      </c>
      <c r="G217" s="1" t="s">
        <v>22</v>
      </c>
      <c r="H217" s="6">
        <v>0</v>
      </c>
      <c r="I217" s="7">
        <v>0</v>
      </c>
      <c r="J217" s="5">
        <v>45933</v>
      </c>
      <c r="K217" s="1" t="s">
        <v>22</v>
      </c>
      <c r="L217" s="8">
        <v>0</v>
      </c>
      <c r="M217" s="6"/>
      <c r="N217" s="6"/>
      <c r="O217" s="9">
        <v>-236.1</v>
      </c>
    </row>
    <row r="218" spans="1:15" ht="19.5" customHeight="1">
      <c r="A218" s="1" t="s">
        <v>85</v>
      </c>
      <c r="B218" s="5">
        <v>45933</v>
      </c>
      <c r="C218" s="1" t="s">
        <v>77</v>
      </c>
      <c r="D218" s="1" t="s">
        <v>82</v>
      </c>
      <c r="E218" s="1" t="s">
        <v>22</v>
      </c>
      <c r="F218" s="1" t="s">
        <v>22</v>
      </c>
      <c r="G218" s="1" t="s">
        <v>22</v>
      </c>
      <c r="H218" s="6">
        <v>0</v>
      </c>
      <c r="I218" s="7">
        <v>0</v>
      </c>
      <c r="J218" s="5">
        <v>45933</v>
      </c>
      <c r="K218" s="1" t="s">
        <v>22</v>
      </c>
      <c r="L218" s="8">
        <v>0</v>
      </c>
      <c r="M218" s="6"/>
      <c r="N218" s="6"/>
      <c r="O218" s="9">
        <v>-792.34</v>
      </c>
    </row>
    <row r="219" spans="1:15" ht="19.5" customHeight="1">
      <c r="A219" s="1" t="s">
        <v>83</v>
      </c>
      <c r="B219" s="5">
        <v>45933</v>
      </c>
      <c r="C219" s="1" t="s">
        <v>77</v>
      </c>
      <c r="D219" s="1" t="s">
        <v>84</v>
      </c>
      <c r="E219" s="1" t="s">
        <v>22</v>
      </c>
      <c r="F219" s="1" t="s">
        <v>22</v>
      </c>
      <c r="G219" s="1" t="s">
        <v>22</v>
      </c>
      <c r="H219" s="6">
        <v>0</v>
      </c>
      <c r="I219" s="7">
        <v>0</v>
      </c>
      <c r="J219" s="5">
        <v>45933</v>
      </c>
      <c r="K219" s="1" t="s">
        <v>22</v>
      </c>
      <c r="L219" s="8">
        <v>0</v>
      </c>
      <c r="M219" s="6"/>
      <c r="N219" s="6"/>
      <c r="O219" s="9">
        <v>-1446.39</v>
      </c>
    </row>
    <row r="220" spans="1:15" ht="19.5" customHeight="1">
      <c r="A220" s="1" t="s">
        <v>81</v>
      </c>
      <c r="B220" s="5">
        <v>45933</v>
      </c>
      <c r="C220" s="1" t="s">
        <v>77</v>
      </c>
      <c r="D220" s="1" t="s">
        <v>82</v>
      </c>
      <c r="E220" s="1" t="s">
        <v>22</v>
      </c>
      <c r="F220" s="1" t="s">
        <v>22</v>
      </c>
      <c r="G220" s="1" t="s">
        <v>22</v>
      </c>
      <c r="H220" s="6">
        <v>0</v>
      </c>
      <c r="I220" s="7">
        <v>0</v>
      </c>
      <c r="J220" s="5">
        <v>45933</v>
      </c>
      <c r="K220" s="1" t="s">
        <v>22</v>
      </c>
      <c r="L220" s="8">
        <v>0</v>
      </c>
      <c r="M220" s="6"/>
      <c r="N220" s="6"/>
      <c r="O220" s="9">
        <v>-1374.52</v>
      </c>
    </row>
    <row r="221" spans="1:15" ht="19.5" customHeight="1">
      <c r="A221" s="1" t="s">
        <v>725</v>
      </c>
      <c r="B221" s="5">
        <v>45934</v>
      </c>
      <c r="C221" s="1" t="s">
        <v>28</v>
      </c>
      <c r="D221" s="1" t="s">
        <v>29</v>
      </c>
      <c r="E221" s="1" t="s">
        <v>66</v>
      </c>
      <c r="F221" s="1" t="s">
        <v>67</v>
      </c>
      <c r="G221" s="1" t="s">
        <v>41</v>
      </c>
      <c r="H221" s="6">
        <v>1</v>
      </c>
      <c r="I221" s="7">
        <v>0</v>
      </c>
      <c r="J221" s="5">
        <v>45926</v>
      </c>
      <c r="K221" s="1" t="s">
        <v>30</v>
      </c>
      <c r="L221" s="8">
        <v>0</v>
      </c>
      <c r="M221" s="6"/>
      <c r="N221" s="6"/>
      <c r="O221" s="9">
        <v>-56</v>
      </c>
    </row>
    <row r="222" spans="1:15" ht="19.5" customHeight="1">
      <c r="A222" s="1" t="s">
        <v>725</v>
      </c>
      <c r="B222" s="5">
        <v>45934</v>
      </c>
      <c r="C222" s="1" t="s">
        <v>17</v>
      </c>
      <c r="D222" s="1" t="s">
        <v>37</v>
      </c>
      <c r="E222" s="1" t="s">
        <v>66</v>
      </c>
      <c r="F222" s="1" t="s">
        <v>67</v>
      </c>
      <c r="G222" s="1" t="s">
        <v>41</v>
      </c>
      <c r="H222" s="6">
        <v>1</v>
      </c>
      <c r="I222" s="7">
        <v>0</v>
      </c>
      <c r="J222" s="5">
        <v>45926</v>
      </c>
      <c r="K222" s="1" t="s">
        <v>30</v>
      </c>
      <c r="L222" s="8">
        <v>0</v>
      </c>
      <c r="M222" s="6"/>
      <c r="N222" s="6"/>
      <c r="O222" s="9">
        <v>-8.7799999999999994</v>
      </c>
    </row>
    <row r="223" spans="1:15" ht="19.5" customHeight="1">
      <c r="A223" s="1" t="s">
        <v>725</v>
      </c>
      <c r="B223" s="5">
        <v>45934</v>
      </c>
      <c r="C223" s="1" t="s">
        <v>28</v>
      </c>
      <c r="D223" s="1" t="s">
        <v>45</v>
      </c>
      <c r="E223" s="1" t="s">
        <v>66</v>
      </c>
      <c r="F223" s="1" t="s">
        <v>67</v>
      </c>
      <c r="G223" s="1" t="s">
        <v>41</v>
      </c>
      <c r="H223" s="6">
        <v>1</v>
      </c>
      <c r="I223" s="7">
        <v>0</v>
      </c>
      <c r="J223" s="5">
        <v>45926</v>
      </c>
      <c r="K223" s="1" t="s">
        <v>30</v>
      </c>
      <c r="L223" s="8">
        <v>0</v>
      </c>
      <c r="M223" s="6"/>
      <c r="N223" s="6"/>
      <c r="O223" s="9">
        <v>0</v>
      </c>
    </row>
    <row r="224" spans="1:15" ht="19.5" customHeight="1">
      <c r="A224" s="1" t="s">
        <v>725</v>
      </c>
      <c r="B224" s="5">
        <v>45934</v>
      </c>
      <c r="C224" s="1" t="s">
        <v>28</v>
      </c>
      <c r="D224" s="1" t="s">
        <v>46</v>
      </c>
      <c r="E224" s="1" t="s">
        <v>66</v>
      </c>
      <c r="F224" s="1" t="s">
        <v>67</v>
      </c>
      <c r="G224" s="1" t="s">
        <v>41</v>
      </c>
      <c r="H224" s="6">
        <v>1</v>
      </c>
      <c r="I224" s="7">
        <v>0</v>
      </c>
      <c r="J224" s="5">
        <v>45926</v>
      </c>
      <c r="K224" s="1" t="s">
        <v>30</v>
      </c>
      <c r="L224" s="8">
        <v>0</v>
      </c>
      <c r="M224" s="6"/>
      <c r="N224" s="6"/>
      <c r="O224" s="9">
        <v>-56</v>
      </c>
    </row>
    <row r="225" spans="1:15" ht="19.5" customHeight="1">
      <c r="A225" s="1" t="s">
        <v>725</v>
      </c>
      <c r="B225" s="5">
        <v>45934</v>
      </c>
      <c r="C225" s="1" t="s">
        <v>17</v>
      </c>
      <c r="D225" s="1" t="s">
        <v>47</v>
      </c>
      <c r="E225" s="1" t="s">
        <v>66</v>
      </c>
      <c r="F225" s="1" t="s">
        <v>67</v>
      </c>
      <c r="G225" s="1" t="s">
        <v>41</v>
      </c>
      <c r="H225" s="6">
        <v>1</v>
      </c>
      <c r="I225" s="7">
        <v>0</v>
      </c>
      <c r="J225" s="5">
        <v>45926</v>
      </c>
      <c r="K225" s="1" t="s">
        <v>30</v>
      </c>
      <c r="L225" s="8">
        <v>0</v>
      </c>
      <c r="M225" s="6"/>
      <c r="N225" s="6"/>
      <c r="O225" s="9">
        <v>-15</v>
      </c>
    </row>
    <row r="226" spans="1:15" ht="19.5" customHeight="1">
      <c r="A226" s="1" t="s">
        <v>726</v>
      </c>
      <c r="B226" s="5">
        <v>45934</v>
      </c>
      <c r="C226" s="1" t="s">
        <v>17</v>
      </c>
      <c r="D226" s="1" t="s">
        <v>18</v>
      </c>
      <c r="E226" s="1" t="s">
        <v>51</v>
      </c>
      <c r="F226" s="1" t="s">
        <v>52</v>
      </c>
      <c r="G226" s="1" t="s">
        <v>41</v>
      </c>
      <c r="H226" s="6">
        <v>1</v>
      </c>
      <c r="I226" s="7">
        <v>0</v>
      </c>
      <c r="J226" s="5">
        <v>45934</v>
      </c>
      <c r="K226" s="1" t="s">
        <v>22</v>
      </c>
      <c r="L226" s="8">
        <v>0</v>
      </c>
      <c r="M226" s="6"/>
      <c r="N226" s="6"/>
      <c r="O226" s="9">
        <v>-55.97</v>
      </c>
    </row>
    <row r="227" spans="1:15" ht="19.5" customHeight="1">
      <c r="A227" s="1" t="s">
        <v>727</v>
      </c>
      <c r="B227" s="5">
        <v>45934</v>
      </c>
      <c r="C227" s="1" t="s">
        <v>28</v>
      </c>
      <c r="D227" s="1" t="s">
        <v>29</v>
      </c>
      <c r="E227" s="1" t="s">
        <v>25</v>
      </c>
      <c r="F227" s="1" t="s">
        <v>26</v>
      </c>
      <c r="G227" s="1" t="s">
        <v>21</v>
      </c>
      <c r="H227" s="6">
        <v>1</v>
      </c>
      <c r="I227" s="7">
        <v>0</v>
      </c>
      <c r="J227" s="5">
        <v>45916</v>
      </c>
      <c r="K227" s="1" t="s">
        <v>30</v>
      </c>
      <c r="L227" s="8">
        <v>0</v>
      </c>
      <c r="M227" s="6"/>
      <c r="N227" s="6"/>
      <c r="O227" s="9">
        <v>-46</v>
      </c>
    </row>
    <row r="228" spans="1:15" ht="19.5" customHeight="1">
      <c r="A228" s="1" t="s">
        <v>727</v>
      </c>
      <c r="B228" s="5">
        <v>45934</v>
      </c>
      <c r="C228" s="1" t="s">
        <v>17</v>
      </c>
      <c r="D228" s="1" t="s">
        <v>37</v>
      </c>
      <c r="E228" s="1" t="s">
        <v>25</v>
      </c>
      <c r="F228" s="1" t="s">
        <v>26</v>
      </c>
      <c r="G228" s="1" t="s">
        <v>21</v>
      </c>
      <c r="H228" s="6">
        <v>1</v>
      </c>
      <c r="I228" s="7">
        <v>0</v>
      </c>
      <c r="J228" s="5">
        <v>45916</v>
      </c>
      <c r="K228" s="1" t="s">
        <v>30</v>
      </c>
      <c r="L228" s="8">
        <v>0</v>
      </c>
      <c r="M228" s="6"/>
      <c r="N228" s="6"/>
      <c r="O228" s="9">
        <v>-5.09</v>
      </c>
    </row>
    <row r="229" spans="1:15" ht="19.5" customHeight="1">
      <c r="A229" s="1" t="s">
        <v>727</v>
      </c>
      <c r="B229" s="5">
        <v>45934</v>
      </c>
      <c r="C229" s="1" t="s">
        <v>28</v>
      </c>
      <c r="D229" s="1" t="s">
        <v>45</v>
      </c>
      <c r="E229" s="1" t="s">
        <v>25</v>
      </c>
      <c r="F229" s="1" t="s">
        <v>26</v>
      </c>
      <c r="G229" s="1" t="s">
        <v>21</v>
      </c>
      <c r="H229" s="6">
        <v>1</v>
      </c>
      <c r="I229" s="7">
        <v>0</v>
      </c>
      <c r="J229" s="5">
        <v>45916</v>
      </c>
      <c r="K229" s="1" t="s">
        <v>30</v>
      </c>
      <c r="L229" s="8">
        <v>0</v>
      </c>
      <c r="M229" s="6"/>
      <c r="N229" s="6"/>
      <c r="O229" s="9">
        <v>0</v>
      </c>
    </row>
    <row r="230" spans="1:15" ht="19.5" customHeight="1">
      <c r="A230" s="1" t="s">
        <v>727</v>
      </c>
      <c r="B230" s="5">
        <v>45934</v>
      </c>
      <c r="C230" s="1" t="s">
        <v>28</v>
      </c>
      <c r="D230" s="1" t="s">
        <v>46</v>
      </c>
      <c r="E230" s="1" t="s">
        <v>25</v>
      </c>
      <c r="F230" s="1" t="s">
        <v>26</v>
      </c>
      <c r="G230" s="1" t="s">
        <v>21</v>
      </c>
      <c r="H230" s="6">
        <v>1</v>
      </c>
      <c r="I230" s="7">
        <v>0</v>
      </c>
      <c r="J230" s="5">
        <v>45916</v>
      </c>
      <c r="K230" s="1" t="s">
        <v>30</v>
      </c>
      <c r="L230" s="8">
        <v>0</v>
      </c>
      <c r="M230" s="6"/>
      <c r="N230" s="6"/>
      <c r="O230" s="9">
        <v>-46</v>
      </c>
    </row>
    <row r="231" spans="1:15" ht="19.5" customHeight="1">
      <c r="A231" s="1" t="s">
        <v>728</v>
      </c>
      <c r="B231" s="5">
        <v>45934</v>
      </c>
      <c r="C231" s="1" t="s">
        <v>28</v>
      </c>
      <c r="D231" s="1" t="s">
        <v>29</v>
      </c>
      <c r="E231" s="1" t="s">
        <v>51</v>
      </c>
      <c r="F231" s="1" t="s">
        <v>52</v>
      </c>
      <c r="G231" s="1" t="s">
        <v>41</v>
      </c>
      <c r="H231" s="6">
        <v>1</v>
      </c>
      <c r="I231" s="7">
        <v>3690</v>
      </c>
      <c r="J231" s="5">
        <v>45929</v>
      </c>
      <c r="K231" s="1" t="s">
        <v>30</v>
      </c>
      <c r="L231" s="8">
        <v>0.24</v>
      </c>
      <c r="M231" s="6"/>
      <c r="N231" s="6"/>
      <c r="O231" s="9">
        <v>-56</v>
      </c>
    </row>
    <row r="232" spans="1:15" ht="19.5" customHeight="1">
      <c r="A232" s="1" t="s">
        <v>728</v>
      </c>
      <c r="B232" s="5">
        <v>45934</v>
      </c>
      <c r="C232" s="1" t="s">
        <v>31</v>
      </c>
      <c r="D232" s="1" t="s">
        <v>32</v>
      </c>
      <c r="E232" s="1" t="s">
        <v>51</v>
      </c>
      <c r="F232" s="1" t="s">
        <v>52</v>
      </c>
      <c r="G232" s="1" t="s">
        <v>41</v>
      </c>
      <c r="H232" s="6">
        <v>1</v>
      </c>
      <c r="I232" s="7">
        <v>3690</v>
      </c>
      <c r="J232" s="5">
        <v>45929</v>
      </c>
      <c r="K232" s="1" t="s">
        <v>30</v>
      </c>
      <c r="L232" s="8">
        <v>0</v>
      </c>
      <c r="M232" s="6"/>
      <c r="N232" s="6"/>
      <c r="O232" s="9">
        <v>1967.62</v>
      </c>
    </row>
    <row r="233" spans="1:15" ht="19.5" customHeight="1">
      <c r="A233" s="1" t="s">
        <v>728</v>
      </c>
      <c r="B233" s="5">
        <v>45934</v>
      </c>
      <c r="C233" s="1" t="s">
        <v>31</v>
      </c>
      <c r="D233" s="1" t="s">
        <v>33</v>
      </c>
      <c r="E233" s="1" t="s">
        <v>51</v>
      </c>
      <c r="F233" s="1" t="s">
        <v>52</v>
      </c>
      <c r="G233" s="1" t="s">
        <v>41</v>
      </c>
      <c r="H233" s="6">
        <v>1</v>
      </c>
      <c r="I233" s="7">
        <v>3690</v>
      </c>
      <c r="J233" s="5">
        <v>45929</v>
      </c>
      <c r="K233" s="1" t="s">
        <v>30</v>
      </c>
      <c r="L233" s="8">
        <v>0</v>
      </c>
      <c r="M233" s="6"/>
      <c r="N233" s="6"/>
      <c r="O233" s="9">
        <v>14.46</v>
      </c>
    </row>
    <row r="234" spans="1:15" ht="19.5" customHeight="1">
      <c r="A234" s="1" t="s">
        <v>728</v>
      </c>
      <c r="B234" s="5">
        <v>45934</v>
      </c>
      <c r="C234" s="1" t="s">
        <v>31</v>
      </c>
      <c r="D234" s="1" t="s">
        <v>34</v>
      </c>
      <c r="E234" s="1" t="s">
        <v>51</v>
      </c>
      <c r="F234" s="1" t="s">
        <v>52</v>
      </c>
      <c r="G234" s="1" t="s">
        <v>41</v>
      </c>
      <c r="H234" s="6">
        <v>1</v>
      </c>
      <c r="I234" s="7">
        <v>3690</v>
      </c>
      <c r="J234" s="5">
        <v>45929</v>
      </c>
      <c r="K234" s="1" t="s">
        <v>30</v>
      </c>
      <c r="L234" s="8">
        <v>0</v>
      </c>
      <c r="M234" s="6"/>
      <c r="N234" s="6"/>
      <c r="O234" s="9">
        <v>1707.92</v>
      </c>
    </row>
    <row r="235" spans="1:15" ht="19.5" customHeight="1">
      <c r="A235" s="1" t="s">
        <v>728</v>
      </c>
      <c r="B235" s="5">
        <v>45934</v>
      </c>
      <c r="C235" s="1" t="s">
        <v>35</v>
      </c>
      <c r="D235" s="1" t="s">
        <v>36</v>
      </c>
      <c r="E235" s="1" t="s">
        <v>51</v>
      </c>
      <c r="F235" s="1" t="s">
        <v>52</v>
      </c>
      <c r="G235" s="1" t="s">
        <v>41</v>
      </c>
      <c r="H235" s="6">
        <v>1</v>
      </c>
      <c r="I235" s="7">
        <v>3690</v>
      </c>
      <c r="J235" s="5">
        <v>45929</v>
      </c>
      <c r="K235" s="1" t="s">
        <v>30</v>
      </c>
      <c r="L235" s="8">
        <v>0.24</v>
      </c>
      <c r="M235" s="6"/>
      <c r="N235" s="6"/>
      <c r="O235" s="9">
        <v>-885.6</v>
      </c>
    </row>
    <row r="236" spans="1:15" ht="19.5" customHeight="1">
      <c r="A236" s="1" t="s">
        <v>728</v>
      </c>
      <c r="B236" s="5">
        <v>45934</v>
      </c>
      <c r="C236" s="1" t="s">
        <v>17</v>
      </c>
      <c r="D236" s="1" t="s">
        <v>37</v>
      </c>
      <c r="E236" s="1" t="s">
        <v>51</v>
      </c>
      <c r="F236" s="1" t="s">
        <v>52</v>
      </c>
      <c r="G236" s="1" t="s">
        <v>41</v>
      </c>
      <c r="H236" s="6">
        <v>1</v>
      </c>
      <c r="I236" s="7">
        <v>3690</v>
      </c>
      <c r="J236" s="5">
        <v>45929</v>
      </c>
      <c r="K236" s="1" t="s">
        <v>30</v>
      </c>
      <c r="L236" s="8">
        <v>0.24</v>
      </c>
      <c r="M236" s="6"/>
      <c r="N236" s="6"/>
      <c r="O236" s="9">
        <v>-19.649999999999999</v>
      </c>
    </row>
    <row r="237" spans="1:15" ht="19.5" customHeight="1">
      <c r="A237" s="1" t="s">
        <v>728</v>
      </c>
      <c r="B237" s="5">
        <v>45934</v>
      </c>
      <c r="C237" s="1" t="s">
        <v>17</v>
      </c>
      <c r="D237" s="1" t="s">
        <v>18</v>
      </c>
      <c r="E237" s="1" t="s">
        <v>51</v>
      </c>
      <c r="F237" s="1" t="s">
        <v>52</v>
      </c>
      <c r="G237" s="1" t="s">
        <v>41</v>
      </c>
      <c r="H237" s="6">
        <v>1</v>
      </c>
      <c r="I237" s="7">
        <v>0</v>
      </c>
      <c r="J237" s="5">
        <v>45929</v>
      </c>
      <c r="K237" s="1" t="s">
        <v>22</v>
      </c>
      <c r="L237" s="8">
        <v>0</v>
      </c>
      <c r="M237" s="6"/>
      <c r="N237" s="6"/>
      <c r="O237" s="9">
        <v>-37.380000000000003</v>
      </c>
    </row>
    <row r="238" spans="1:15" ht="19.5" customHeight="1">
      <c r="A238" s="1" t="s">
        <v>729</v>
      </c>
      <c r="B238" s="5">
        <v>45934</v>
      </c>
      <c r="C238" s="1" t="s">
        <v>28</v>
      </c>
      <c r="D238" s="1" t="s">
        <v>29</v>
      </c>
      <c r="E238" s="1" t="s">
        <v>92</v>
      </c>
      <c r="F238" s="1" t="s">
        <v>93</v>
      </c>
      <c r="G238" s="1" t="s">
        <v>21</v>
      </c>
      <c r="H238" s="6">
        <v>1</v>
      </c>
      <c r="I238" s="7">
        <v>1300</v>
      </c>
      <c r="J238" s="5">
        <v>45930</v>
      </c>
      <c r="K238" s="1" t="s">
        <v>30</v>
      </c>
      <c r="L238" s="8">
        <v>0.26</v>
      </c>
      <c r="M238" s="6"/>
      <c r="N238" s="6"/>
      <c r="O238" s="9">
        <v>-46</v>
      </c>
    </row>
    <row r="239" spans="1:15" ht="19.5" customHeight="1">
      <c r="A239" s="1" t="s">
        <v>729</v>
      </c>
      <c r="B239" s="5">
        <v>45934</v>
      </c>
      <c r="C239" s="1" t="s">
        <v>31</v>
      </c>
      <c r="D239" s="1" t="s">
        <v>32</v>
      </c>
      <c r="E239" s="1" t="s">
        <v>92</v>
      </c>
      <c r="F239" s="1" t="s">
        <v>93</v>
      </c>
      <c r="G239" s="1" t="s">
        <v>21</v>
      </c>
      <c r="H239" s="6">
        <v>1</v>
      </c>
      <c r="I239" s="7">
        <v>1300</v>
      </c>
      <c r="J239" s="5">
        <v>45930</v>
      </c>
      <c r="K239" s="1" t="s">
        <v>30</v>
      </c>
      <c r="L239" s="8">
        <v>0</v>
      </c>
      <c r="M239" s="6"/>
      <c r="N239" s="6"/>
      <c r="O239" s="9">
        <v>754.29</v>
      </c>
    </row>
    <row r="240" spans="1:15" ht="19.5" customHeight="1">
      <c r="A240" s="1" t="s">
        <v>729</v>
      </c>
      <c r="B240" s="5">
        <v>45934</v>
      </c>
      <c r="C240" s="1" t="s">
        <v>31</v>
      </c>
      <c r="D240" s="1" t="s">
        <v>33</v>
      </c>
      <c r="E240" s="1" t="s">
        <v>92</v>
      </c>
      <c r="F240" s="1" t="s">
        <v>93</v>
      </c>
      <c r="G240" s="1" t="s">
        <v>21</v>
      </c>
      <c r="H240" s="6">
        <v>1</v>
      </c>
      <c r="I240" s="7">
        <v>1300</v>
      </c>
      <c r="J240" s="5">
        <v>45930</v>
      </c>
      <c r="K240" s="1" t="s">
        <v>30</v>
      </c>
      <c r="L240" s="8">
        <v>0</v>
      </c>
      <c r="M240" s="6"/>
      <c r="N240" s="6"/>
      <c r="O240" s="9">
        <v>5.54</v>
      </c>
    </row>
    <row r="241" spans="1:15" ht="19.5" customHeight="1">
      <c r="A241" s="1" t="s">
        <v>729</v>
      </c>
      <c r="B241" s="5">
        <v>45934</v>
      </c>
      <c r="C241" s="1" t="s">
        <v>31</v>
      </c>
      <c r="D241" s="1" t="s">
        <v>34</v>
      </c>
      <c r="E241" s="1" t="s">
        <v>92</v>
      </c>
      <c r="F241" s="1" t="s">
        <v>93</v>
      </c>
      <c r="G241" s="1" t="s">
        <v>21</v>
      </c>
      <c r="H241" s="6">
        <v>1</v>
      </c>
      <c r="I241" s="7">
        <v>1300</v>
      </c>
      <c r="J241" s="5">
        <v>45930</v>
      </c>
      <c r="K241" s="1" t="s">
        <v>30</v>
      </c>
      <c r="L241" s="8">
        <v>0</v>
      </c>
      <c r="M241" s="6"/>
      <c r="N241" s="6"/>
      <c r="O241" s="9">
        <v>540.16999999999996</v>
      </c>
    </row>
    <row r="242" spans="1:15" ht="19.5" customHeight="1">
      <c r="A242" s="1" t="s">
        <v>729</v>
      </c>
      <c r="B242" s="5">
        <v>45934</v>
      </c>
      <c r="C242" s="1" t="s">
        <v>35</v>
      </c>
      <c r="D242" s="1" t="s">
        <v>36</v>
      </c>
      <c r="E242" s="1" t="s">
        <v>92</v>
      </c>
      <c r="F242" s="1" t="s">
        <v>93</v>
      </c>
      <c r="G242" s="1" t="s">
        <v>21</v>
      </c>
      <c r="H242" s="6">
        <v>1</v>
      </c>
      <c r="I242" s="7">
        <v>1300</v>
      </c>
      <c r="J242" s="5">
        <v>45930</v>
      </c>
      <c r="K242" s="1" t="s">
        <v>30</v>
      </c>
      <c r="L242" s="8">
        <v>0.26</v>
      </c>
      <c r="M242" s="6"/>
      <c r="N242" s="6"/>
      <c r="O242" s="9">
        <v>-338</v>
      </c>
    </row>
    <row r="243" spans="1:15" ht="19.5" customHeight="1">
      <c r="A243" s="1" t="s">
        <v>729</v>
      </c>
      <c r="B243" s="5">
        <v>45934</v>
      </c>
      <c r="C243" s="1" t="s">
        <v>17</v>
      </c>
      <c r="D243" s="1" t="s">
        <v>37</v>
      </c>
      <c r="E243" s="1" t="s">
        <v>92</v>
      </c>
      <c r="F243" s="1" t="s">
        <v>93</v>
      </c>
      <c r="G243" s="1" t="s">
        <v>21</v>
      </c>
      <c r="H243" s="6">
        <v>1</v>
      </c>
      <c r="I243" s="7">
        <v>1300</v>
      </c>
      <c r="J243" s="5">
        <v>45930</v>
      </c>
      <c r="K243" s="1" t="s">
        <v>30</v>
      </c>
      <c r="L243" s="8">
        <v>0.26</v>
      </c>
      <c r="M243" s="6"/>
      <c r="N243" s="6"/>
      <c r="O243" s="9">
        <v>-5.2</v>
      </c>
    </row>
    <row r="244" spans="1:15" ht="19.5" customHeight="1">
      <c r="A244" s="1" t="s">
        <v>103</v>
      </c>
      <c r="B244" s="5">
        <v>45934</v>
      </c>
      <c r="C244" s="1" t="s">
        <v>74</v>
      </c>
      <c r="D244" s="1" t="s">
        <v>75</v>
      </c>
      <c r="E244" s="1" t="s">
        <v>70</v>
      </c>
      <c r="F244" s="1" t="s">
        <v>71</v>
      </c>
      <c r="G244" s="1" t="s">
        <v>41</v>
      </c>
      <c r="H244" s="6">
        <v>1</v>
      </c>
      <c r="I244" s="7">
        <v>0</v>
      </c>
      <c r="J244" s="5">
        <v>45933</v>
      </c>
      <c r="K244" s="1" t="s">
        <v>30</v>
      </c>
      <c r="L244" s="8">
        <v>0</v>
      </c>
      <c r="M244" s="6"/>
      <c r="N244" s="6"/>
      <c r="O244" s="9">
        <v>-5</v>
      </c>
    </row>
    <row r="245" spans="1:15" ht="19.5" customHeight="1">
      <c r="A245" s="1" t="s">
        <v>103</v>
      </c>
      <c r="B245" s="5">
        <v>45934</v>
      </c>
      <c r="C245" s="1" t="s">
        <v>17</v>
      </c>
      <c r="D245" s="1" t="s">
        <v>76</v>
      </c>
      <c r="E245" s="1" t="s">
        <v>70</v>
      </c>
      <c r="F245" s="1" t="s">
        <v>71</v>
      </c>
      <c r="G245" s="1" t="s">
        <v>41</v>
      </c>
      <c r="H245" s="6">
        <v>1</v>
      </c>
      <c r="I245" s="7">
        <v>0</v>
      </c>
      <c r="J245" s="5">
        <v>45933</v>
      </c>
      <c r="K245" s="1" t="s">
        <v>30</v>
      </c>
      <c r="L245" s="8">
        <v>0</v>
      </c>
      <c r="M245" s="6"/>
      <c r="N245" s="6"/>
      <c r="O245" s="9">
        <v>-10</v>
      </c>
    </row>
    <row r="246" spans="1:15" ht="19.5" customHeight="1">
      <c r="A246" s="1" t="s">
        <v>730</v>
      </c>
      <c r="B246" s="5">
        <v>45934</v>
      </c>
      <c r="C246" s="1" t="s">
        <v>28</v>
      </c>
      <c r="D246" s="1" t="s">
        <v>29</v>
      </c>
      <c r="E246" s="1" t="s">
        <v>171</v>
      </c>
      <c r="F246" s="1" t="s">
        <v>172</v>
      </c>
      <c r="G246" s="1" t="s">
        <v>41</v>
      </c>
      <c r="H246" s="6">
        <v>1</v>
      </c>
      <c r="I246" s="7">
        <v>0</v>
      </c>
      <c r="J246" s="5">
        <v>45929</v>
      </c>
      <c r="K246" s="1" t="s">
        <v>30</v>
      </c>
      <c r="L246" s="8">
        <v>0</v>
      </c>
      <c r="M246" s="6"/>
      <c r="N246" s="6"/>
      <c r="O246" s="9">
        <v>-56</v>
      </c>
    </row>
    <row r="247" spans="1:15" ht="19.5" customHeight="1">
      <c r="A247" s="1" t="s">
        <v>730</v>
      </c>
      <c r="B247" s="5">
        <v>45934</v>
      </c>
      <c r="C247" s="1" t="s">
        <v>17</v>
      </c>
      <c r="D247" s="1" t="s">
        <v>37</v>
      </c>
      <c r="E247" s="1" t="s">
        <v>171</v>
      </c>
      <c r="F247" s="1" t="s">
        <v>172</v>
      </c>
      <c r="G247" s="1" t="s">
        <v>41</v>
      </c>
      <c r="H247" s="6">
        <v>1</v>
      </c>
      <c r="I247" s="7">
        <v>0</v>
      </c>
      <c r="J247" s="5">
        <v>45929</v>
      </c>
      <c r="K247" s="1" t="s">
        <v>30</v>
      </c>
      <c r="L247" s="8">
        <v>0</v>
      </c>
      <c r="M247" s="6"/>
      <c r="N247" s="6"/>
      <c r="O247" s="9">
        <v>-9.5299999999999994</v>
      </c>
    </row>
    <row r="248" spans="1:15" ht="19.5" customHeight="1">
      <c r="A248" s="1" t="s">
        <v>730</v>
      </c>
      <c r="B248" s="5">
        <v>45934</v>
      </c>
      <c r="C248" s="1" t="s">
        <v>28</v>
      </c>
      <c r="D248" s="1" t="s">
        <v>45</v>
      </c>
      <c r="E248" s="1" t="s">
        <v>171</v>
      </c>
      <c r="F248" s="1" t="s">
        <v>172</v>
      </c>
      <c r="G248" s="1" t="s">
        <v>41</v>
      </c>
      <c r="H248" s="6">
        <v>1</v>
      </c>
      <c r="I248" s="7">
        <v>0</v>
      </c>
      <c r="J248" s="5">
        <v>45929</v>
      </c>
      <c r="K248" s="1" t="s">
        <v>30</v>
      </c>
      <c r="L248" s="8">
        <v>0</v>
      </c>
      <c r="M248" s="6"/>
      <c r="N248" s="6"/>
      <c r="O248" s="9">
        <v>0</v>
      </c>
    </row>
    <row r="249" spans="1:15" ht="19.5" customHeight="1">
      <c r="A249" s="1" t="s">
        <v>730</v>
      </c>
      <c r="B249" s="5">
        <v>45934</v>
      </c>
      <c r="C249" s="1" t="s">
        <v>28</v>
      </c>
      <c r="D249" s="1" t="s">
        <v>46</v>
      </c>
      <c r="E249" s="1" t="s">
        <v>171</v>
      </c>
      <c r="F249" s="1" t="s">
        <v>172</v>
      </c>
      <c r="G249" s="1" t="s">
        <v>41</v>
      </c>
      <c r="H249" s="6">
        <v>1</v>
      </c>
      <c r="I249" s="7">
        <v>0</v>
      </c>
      <c r="J249" s="5">
        <v>45929</v>
      </c>
      <c r="K249" s="1" t="s">
        <v>30</v>
      </c>
      <c r="L249" s="8">
        <v>0</v>
      </c>
      <c r="M249" s="6"/>
      <c r="N249" s="6"/>
      <c r="O249" s="9">
        <v>-56</v>
      </c>
    </row>
    <row r="250" spans="1:15" ht="19.5" customHeight="1">
      <c r="A250" s="1" t="s">
        <v>730</v>
      </c>
      <c r="B250" s="5">
        <v>45934</v>
      </c>
      <c r="C250" s="1" t="s">
        <v>17</v>
      </c>
      <c r="D250" s="1" t="s">
        <v>47</v>
      </c>
      <c r="E250" s="1" t="s">
        <v>171</v>
      </c>
      <c r="F250" s="1" t="s">
        <v>172</v>
      </c>
      <c r="G250" s="1" t="s">
        <v>41</v>
      </c>
      <c r="H250" s="6">
        <v>1</v>
      </c>
      <c r="I250" s="7">
        <v>0</v>
      </c>
      <c r="J250" s="5">
        <v>45929</v>
      </c>
      <c r="K250" s="1" t="s">
        <v>30</v>
      </c>
      <c r="L250" s="8">
        <v>0</v>
      </c>
      <c r="M250" s="6"/>
      <c r="N250" s="6"/>
      <c r="O250" s="9">
        <v>-15</v>
      </c>
    </row>
    <row r="251" spans="1:15" ht="19.5" customHeight="1">
      <c r="A251" s="1" t="s">
        <v>96</v>
      </c>
      <c r="B251" s="5">
        <v>45934</v>
      </c>
      <c r="C251" s="1" t="s">
        <v>17</v>
      </c>
      <c r="D251" s="1" t="s">
        <v>18</v>
      </c>
      <c r="E251" s="1" t="s">
        <v>19</v>
      </c>
      <c r="F251" s="1" t="s">
        <v>20</v>
      </c>
      <c r="G251" s="1" t="s">
        <v>21</v>
      </c>
      <c r="H251" s="6">
        <v>1</v>
      </c>
      <c r="I251" s="7">
        <v>0</v>
      </c>
      <c r="J251" s="5">
        <v>45934</v>
      </c>
      <c r="K251" s="1" t="s">
        <v>22</v>
      </c>
      <c r="L251" s="8">
        <v>0</v>
      </c>
      <c r="M251" s="6"/>
      <c r="N251" s="6"/>
      <c r="O251" s="9">
        <v>-4.32</v>
      </c>
    </row>
    <row r="252" spans="1:15" ht="19.5" customHeight="1">
      <c r="A252" s="1" t="s">
        <v>731</v>
      </c>
      <c r="B252" s="5">
        <v>45934</v>
      </c>
      <c r="C252" s="1" t="s">
        <v>28</v>
      </c>
      <c r="D252" s="1" t="s">
        <v>29</v>
      </c>
      <c r="E252" s="1" t="s">
        <v>227</v>
      </c>
      <c r="F252" s="1" t="s">
        <v>402</v>
      </c>
      <c r="G252" s="1" t="s">
        <v>21</v>
      </c>
      <c r="H252" s="6">
        <v>1</v>
      </c>
      <c r="I252" s="7">
        <v>0</v>
      </c>
      <c r="J252" s="5">
        <v>45927</v>
      </c>
      <c r="K252" s="1" t="s">
        <v>30</v>
      </c>
      <c r="L252" s="8">
        <v>0</v>
      </c>
      <c r="M252" s="6"/>
      <c r="N252" s="6"/>
      <c r="O252" s="9">
        <v>-46</v>
      </c>
    </row>
    <row r="253" spans="1:15" ht="19.5" customHeight="1">
      <c r="A253" s="1" t="s">
        <v>731</v>
      </c>
      <c r="B253" s="5">
        <v>45934</v>
      </c>
      <c r="C253" s="1" t="s">
        <v>17</v>
      </c>
      <c r="D253" s="1" t="s">
        <v>37</v>
      </c>
      <c r="E253" s="1" t="s">
        <v>227</v>
      </c>
      <c r="F253" s="1" t="s">
        <v>402</v>
      </c>
      <c r="G253" s="1" t="s">
        <v>21</v>
      </c>
      <c r="H253" s="6">
        <v>1</v>
      </c>
      <c r="I253" s="7">
        <v>0</v>
      </c>
      <c r="J253" s="5">
        <v>45927</v>
      </c>
      <c r="K253" s="1" t="s">
        <v>30</v>
      </c>
      <c r="L253" s="8">
        <v>0</v>
      </c>
      <c r="M253" s="6"/>
      <c r="N253" s="6"/>
      <c r="O253" s="9">
        <v>-4.91</v>
      </c>
    </row>
    <row r="254" spans="1:15" ht="19.5" customHeight="1">
      <c r="A254" s="1" t="s">
        <v>731</v>
      </c>
      <c r="B254" s="5">
        <v>45934</v>
      </c>
      <c r="C254" s="1" t="s">
        <v>28</v>
      </c>
      <c r="D254" s="1" t="s">
        <v>45</v>
      </c>
      <c r="E254" s="1" t="s">
        <v>227</v>
      </c>
      <c r="F254" s="1" t="s">
        <v>402</v>
      </c>
      <c r="G254" s="1" t="s">
        <v>21</v>
      </c>
      <c r="H254" s="6">
        <v>1</v>
      </c>
      <c r="I254" s="7">
        <v>0</v>
      </c>
      <c r="J254" s="5">
        <v>45927</v>
      </c>
      <c r="K254" s="1" t="s">
        <v>30</v>
      </c>
      <c r="L254" s="8">
        <v>0</v>
      </c>
      <c r="M254" s="6"/>
      <c r="N254" s="6"/>
      <c r="O254" s="9">
        <v>0</v>
      </c>
    </row>
    <row r="255" spans="1:15" ht="19.5" customHeight="1">
      <c r="A255" s="1" t="s">
        <v>731</v>
      </c>
      <c r="B255" s="5">
        <v>45934</v>
      </c>
      <c r="C255" s="1" t="s">
        <v>28</v>
      </c>
      <c r="D255" s="1" t="s">
        <v>46</v>
      </c>
      <c r="E255" s="1" t="s">
        <v>227</v>
      </c>
      <c r="F255" s="1" t="s">
        <v>402</v>
      </c>
      <c r="G255" s="1" t="s">
        <v>21</v>
      </c>
      <c r="H255" s="6">
        <v>1</v>
      </c>
      <c r="I255" s="7">
        <v>0</v>
      </c>
      <c r="J255" s="5">
        <v>45927</v>
      </c>
      <c r="K255" s="1" t="s">
        <v>30</v>
      </c>
      <c r="L255" s="8">
        <v>0</v>
      </c>
      <c r="M255" s="6"/>
      <c r="N255" s="6"/>
      <c r="O255" s="9">
        <v>-46</v>
      </c>
    </row>
    <row r="256" spans="1:15" ht="19.5" customHeight="1">
      <c r="A256" s="1" t="s">
        <v>731</v>
      </c>
      <c r="B256" s="5">
        <v>45934</v>
      </c>
      <c r="C256" s="1" t="s">
        <v>17</v>
      </c>
      <c r="D256" s="1" t="s">
        <v>47</v>
      </c>
      <c r="E256" s="1" t="s">
        <v>227</v>
      </c>
      <c r="F256" s="1" t="s">
        <v>402</v>
      </c>
      <c r="G256" s="1" t="s">
        <v>21</v>
      </c>
      <c r="H256" s="6">
        <v>1</v>
      </c>
      <c r="I256" s="7">
        <v>0</v>
      </c>
      <c r="J256" s="5">
        <v>45927</v>
      </c>
      <c r="K256" s="1" t="s">
        <v>30</v>
      </c>
      <c r="L256" s="8">
        <v>0</v>
      </c>
      <c r="M256" s="6"/>
      <c r="N256" s="6"/>
      <c r="O256" s="9">
        <v>-15</v>
      </c>
    </row>
    <row r="257" spans="1:15" ht="19.5" customHeight="1">
      <c r="A257" s="1" t="s">
        <v>732</v>
      </c>
      <c r="B257" s="5">
        <v>45934</v>
      </c>
      <c r="C257" s="1" t="s">
        <v>17</v>
      </c>
      <c r="D257" s="1" t="s">
        <v>18</v>
      </c>
      <c r="E257" s="1" t="s">
        <v>239</v>
      </c>
      <c r="F257" s="1" t="s">
        <v>733</v>
      </c>
      <c r="G257" s="1" t="s">
        <v>41</v>
      </c>
      <c r="H257" s="6">
        <v>1</v>
      </c>
      <c r="I257" s="7">
        <v>0</v>
      </c>
      <c r="J257" s="5">
        <v>45934</v>
      </c>
      <c r="K257" s="1" t="s">
        <v>22</v>
      </c>
      <c r="L257" s="8">
        <v>0</v>
      </c>
      <c r="M257" s="6"/>
      <c r="N257" s="6"/>
      <c r="O257" s="9">
        <v>-38.65</v>
      </c>
    </row>
    <row r="258" spans="1:15" ht="19.5" customHeight="1">
      <c r="A258" s="1" t="s">
        <v>734</v>
      </c>
      <c r="B258" s="5">
        <v>45934</v>
      </c>
      <c r="C258" s="1" t="s">
        <v>28</v>
      </c>
      <c r="D258" s="1" t="s">
        <v>29</v>
      </c>
      <c r="E258" s="1" t="s">
        <v>51</v>
      </c>
      <c r="F258" s="1" t="s">
        <v>52</v>
      </c>
      <c r="G258" s="1" t="s">
        <v>41</v>
      </c>
      <c r="H258" s="6">
        <v>1</v>
      </c>
      <c r="I258" s="7">
        <v>3690</v>
      </c>
      <c r="J258" s="5">
        <v>45930</v>
      </c>
      <c r="K258" s="1" t="s">
        <v>30</v>
      </c>
      <c r="L258" s="8">
        <v>0.24</v>
      </c>
      <c r="M258" s="6"/>
      <c r="N258" s="6"/>
      <c r="O258" s="9">
        <v>-56</v>
      </c>
    </row>
    <row r="259" spans="1:15" ht="19.5" customHeight="1">
      <c r="A259" s="1" t="s">
        <v>734</v>
      </c>
      <c r="B259" s="5">
        <v>45934</v>
      </c>
      <c r="C259" s="1" t="s">
        <v>31</v>
      </c>
      <c r="D259" s="1" t="s">
        <v>32</v>
      </c>
      <c r="E259" s="1" t="s">
        <v>51</v>
      </c>
      <c r="F259" s="1" t="s">
        <v>52</v>
      </c>
      <c r="G259" s="1" t="s">
        <v>41</v>
      </c>
      <c r="H259" s="6">
        <v>1</v>
      </c>
      <c r="I259" s="7">
        <v>3690</v>
      </c>
      <c r="J259" s="5">
        <v>45930</v>
      </c>
      <c r="K259" s="1" t="s">
        <v>30</v>
      </c>
      <c r="L259" s="8">
        <v>0</v>
      </c>
      <c r="M259" s="6"/>
      <c r="N259" s="6"/>
      <c r="O259" s="9">
        <v>2138.1</v>
      </c>
    </row>
    <row r="260" spans="1:15" ht="19.5" customHeight="1">
      <c r="A260" s="1" t="s">
        <v>734</v>
      </c>
      <c r="B260" s="5">
        <v>45934</v>
      </c>
      <c r="C260" s="1" t="s">
        <v>31</v>
      </c>
      <c r="D260" s="1" t="s">
        <v>33</v>
      </c>
      <c r="E260" s="1" t="s">
        <v>51</v>
      </c>
      <c r="F260" s="1" t="s">
        <v>52</v>
      </c>
      <c r="G260" s="1" t="s">
        <v>41</v>
      </c>
      <c r="H260" s="6">
        <v>1</v>
      </c>
      <c r="I260" s="7">
        <v>3690</v>
      </c>
      <c r="J260" s="5">
        <v>45930</v>
      </c>
      <c r="K260" s="1" t="s">
        <v>30</v>
      </c>
      <c r="L260" s="8">
        <v>0</v>
      </c>
      <c r="M260" s="6"/>
      <c r="N260" s="6"/>
      <c r="O260" s="9">
        <v>15.72</v>
      </c>
    </row>
    <row r="261" spans="1:15" ht="19.5" customHeight="1">
      <c r="A261" s="1" t="s">
        <v>734</v>
      </c>
      <c r="B261" s="5">
        <v>45934</v>
      </c>
      <c r="C261" s="1" t="s">
        <v>31</v>
      </c>
      <c r="D261" s="1" t="s">
        <v>34</v>
      </c>
      <c r="E261" s="1" t="s">
        <v>51</v>
      </c>
      <c r="F261" s="1" t="s">
        <v>52</v>
      </c>
      <c r="G261" s="1" t="s">
        <v>41</v>
      </c>
      <c r="H261" s="6">
        <v>1</v>
      </c>
      <c r="I261" s="7">
        <v>3690</v>
      </c>
      <c r="J261" s="5">
        <v>45930</v>
      </c>
      <c r="K261" s="1" t="s">
        <v>30</v>
      </c>
      <c r="L261" s="8">
        <v>0</v>
      </c>
      <c r="M261" s="6"/>
      <c r="N261" s="6"/>
      <c r="O261" s="9">
        <v>1536.18</v>
      </c>
    </row>
    <row r="262" spans="1:15" ht="19.5" customHeight="1">
      <c r="A262" s="1" t="s">
        <v>734</v>
      </c>
      <c r="B262" s="5">
        <v>45934</v>
      </c>
      <c r="C262" s="1" t="s">
        <v>35</v>
      </c>
      <c r="D262" s="1" t="s">
        <v>36</v>
      </c>
      <c r="E262" s="1" t="s">
        <v>51</v>
      </c>
      <c r="F262" s="1" t="s">
        <v>52</v>
      </c>
      <c r="G262" s="1" t="s">
        <v>41</v>
      </c>
      <c r="H262" s="6">
        <v>1</v>
      </c>
      <c r="I262" s="7">
        <v>3690</v>
      </c>
      <c r="J262" s="5">
        <v>45930</v>
      </c>
      <c r="K262" s="1" t="s">
        <v>30</v>
      </c>
      <c r="L262" s="8">
        <v>0.24</v>
      </c>
      <c r="M262" s="6"/>
      <c r="N262" s="6"/>
      <c r="O262" s="9">
        <v>-885.6</v>
      </c>
    </row>
    <row r="263" spans="1:15" ht="19.5" customHeight="1">
      <c r="A263" s="1" t="s">
        <v>734</v>
      </c>
      <c r="B263" s="5">
        <v>45934</v>
      </c>
      <c r="C263" s="1" t="s">
        <v>17</v>
      </c>
      <c r="D263" s="1" t="s">
        <v>37</v>
      </c>
      <c r="E263" s="1" t="s">
        <v>51</v>
      </c>
      <c r="F263" s="1" t="s">
        <v>52</v>
      </c>
      <c r="G263" s="1" t="s">
        <v>41</v>
      </c>
      <c r="H263" s="6">
        <v>1</v>
      </c>
      <c r="I263" s="7">
        <v>3690</v>
      </c>
      <c r="J263" s="5">
        <v>45930</v>
      </c>
      <c r="K263" s="1" t="s">
        <v>30</v>
      </c>
      <c r="L263" s="8">
        <v>0.24</v>
      </c>
      <c r="M263" s="6"/>
      <c r="N263" s="6"/>
      <c r="O263" s="9">
        <v>-21.12</v>
      </c>
    </row>
    <row r="264" spans="1:15" ht="19.5" customHeight="1">
      <c r="A264" s="1" t="s">
        <v>734</v>
      </c>
      <c r="B264" s="5">
        <v>45934</v>
      </c>
      <c r="C264" s="1" t="s">
        <v>17</v>
      </c>
      <c r="D264" s="1" t="s">
        <v>18</v>
      </c>
      <c r="E264" s="1" t="s">
        <v>51</v>
      </c>
      <c r="F264" s="1" t="s">
        <v>52</v>
      </c>
      <c r="G264" s="1" t="s">
        <v>41</v>
      </c>
      <c r="H264" s="6">
        <v>1</v>
      </c>
      <c r="I264" s="7">
        <v>0</v>
      </c>
      <c r="J264" s="5">
        <v>45930</v>
      </c>
      <c r="K264" s="1" t="s">
        <v>22</v>
      </c>
      <c r="L264" s="8">
        <v>0</v>
      </c>
      <c r="M264" s="6"/>
      <c r="N264" s="6"/>
      <c r="O264" s="9">
        <v>-40.619999999999997</v>
      </c>
    </row>
    <row r="265" spans="1:15" ht="19.5" customHeight="1">
      <c r="A265" s="1" t="s">
        <v>735</v>
      </c>
      <c r="B265" s="5">
        <v>45934</v>
      </c>
      <c r="C265" s="1" t="s">
        <v>28</v>
      </c>
      <c r="D265" s="1" t="s">
        <v>29</v>
      </c>
      <c r="E265" s="1" t="s">
        <v>70</v>
      </c>
      <c r="F265" s="1" t="s">
        <v>71</v>
      </c>
      <c r="G265" s="1" t="s">
        <v>41</v>
      </c>
      <c r="H265" s="6">
        <v>1</v>
      </c>
      <c r="I265" s="7">
        <v>3690</v>
      </c>
      <c r="J265" s="5">
        <v>45933</v>
      </c>
      <c r="K265" s="1" t="s">
        <v>30</v>
      </c>
      <c r="L265" s="8">
        <v>0.24</v>
      </c>
      <c r="M265" s="6"/>
      <c r="N265" s="6"/>
      <c r="O265" s="9">
        <v>-56</v>
      </c>
    </row>
    <row r="266" spans="1:15" ht="19.5" customHeight="1">
      <c r="A266" s="1" t="s">
        <v>735</v>
      </c>
      <c r="B266" s="5">
        <v>45934</v>
      </c>
      <c r="C266" s="1" t="s">
        <v>31</v>
      </c>
      <c r="D266" s="1" t="s">
        <v>32</v>
      </c>
      <c r="E266" s="1" t="s">
        <v>70</v>
      </c>
      <c r="F266" s="1" t="s">
        <v>71</v>
      </c>
      <c r="G266" s="1" t="s">
        <v>41</v>
      </c>
      <c r="H266" s="6">
        <v>1</v>
      </c>
      <c r="I266" s="7">
        <v>3690</v>
      </c>
      <c r="J266" s="5">
        <v>45933</v>
      </c>
      <c r="K266" s="1" t="s">
        <v>30</v>
      </c>
      <c r="L266" s="8">
        <v>0</v>
      </c>
      <c r="M266" s="6"/>
      <c r="N266" s="6"/>
      <c r="O266" s="9">
        <v>2139.34</v>
      </c>
    </row>
    <row r="267" spans="1:15" ht="19.5" customHeight="1">
      <c r="A267" s="1" t="s">
        <v>735</v>
      </c>
      <c r="B267" s="5">
        <v>45934</v>
      </c>
      <c r="C267" s="1" t="s">
        <v>31</v>
      </c>
      <c r="D267" s="1" t="s">
        <v>33</v>
      </c>
      <c r="E267" s="1" t="s">
        <v>70</v>
      </c>
      <c r="F267" s="1" t="s">
        <v>71</v>
      </c>
      <c r="G267" s="1" t="s">
        <v>41</v>
      </c>
      <c r="H267" s="6">
        <v>1</v>
      </c>
      <c r="I267" s="7">
        <v>3690</v>
      </c>
      <c r="J267" s="5">
        <v>45933</v>
      </c>
      <c r="K267" s="1" t="s">
        <v>30</v>
      </c>
      <c r="L267" s="8">
        <v>0</v>
      </c>
      <c r="M267" s="6"/>
      <c r="N267" s="6"/>
      <c r="O267" s="9">
        <v>21.39</v>
      </c>
    </row>
    <row r="268" spans="1:15" ht="19.5" customHeight="1">
      <c r="A268" s="1" t="s">
        <v>735</v>
      </c>
      <c r="B268" s="5">
        <v>45934</v>
      </c>
      <c r="C268" s="1" t="s">
        <v>31</v>
      </c>
      <c r="D268" s="1" t="s">
        <v>34</v>
      </c>
      <c r="E268" s="1" t="s">
        <v>70</v>
      </c>
      <c r="F268" s="1" t="s">
        <v>71</v>
      </c>
      <c r="G268" s="1" t="s">
        <v>41</v>
      </c>
      <c r="H268" s="6">
        <v>1</v>
      </c>
      <c r="I268" s="7">
        <v>3690</v>
      </c>
      <c r="J268" s="5">
        <v>45933</v>
      </c>
      <c r="K268" s="1" t="s">
        <v>30</v>
      </c>
      <c r="L268" s="8">
        <v>0</v>
      </c>
      <c r="M268" s="6"/>
      <c r="N268" s="6"/>
      <c r="O268" s="9">
        <v>1529.27</v>
      </c>
    </row>
    <row r="269" spans="1:15" ht="19.5" customHeight="1">
      <c r="A269" s="1" t="s">
        <v>735</v>
      </c>
      <c r="B269" s="5">
        <v>45934</v>
      </c>
      <c r="C269" s="1" t="s">
        <v>35</v>
      </c>
      <c r="D269" s="1" t="s">
        <v>36</v>
      </c>
      <c r="E269" s="1" t="s">
        <v>70</v>
      </c>
      <c r="F269" s="1" t="s">
        <v>71</v>
      </c>
      <c r="G269" s="1" t="s">
        <v>41</v>
      </c>
      <c r="H269" s="6">
        <v>1</v>
      </c>
      <c r="I269" s="7">
        <v>3690</v>
      </c>
      <c r="J269" s="5">
        <v>45933</v>
      </c>
      <c r="K269" s="1" t="s">
        <v>30</v>
      </c>
      <c r="L269" s="8">
        <v>0.24</v>
      </c>
      <c r="M269" s="6"/>
      <c r="N269" s="6"/>
      <c r="O269" s="9">
        <v>-885.6</v>
      </c>
    </row>
    <row r="270" spans="1:15" ht="19.5" customHeight="1">
      <c r="A270" s="1" t="s">
        <v>735</v>
      </c>
      <c r="B270" s="5">
        <v>45934</v>
      </c>
      <c r="C270" s="1" t="s">
        <v>17</v>
      </c>
      <c r="D270" s="1" t="s">
        <v>37</v>
      </c>
      <c r="E270" s="1" t="s">
        <v>70</v>
      </c>
      <c r="F270" s="1" t="s">
        <v>71</v>
      </c>
      <c r="G270" s="1" t="s">
        <v>41</v>
      </c>
      <c r="H270" s="6">
        <v>1</v>
      </c>
      <c r="I270" s="7">
        <v>3690</v>
      </c>
      <c r="J270" s="5">
        <v>45933</v>
      </c>
      <c r="K270" s="1" t="s">
        <v>30</v>
      </c>
      <c r="L270" s="8">
        <v>0.24</v>
      </c>
      <c r="M270" s="6"/>
      <c r="N270" s="6"/>
      <c r="O270" s="9">
        <v>-9.98</v>
      </c>
    </row>
    <row r="271" spans="1:15" ht="19.5" customHeight="1">
      <c r="A271" s="1" t="s">
        <v>736</v>
      </c>
      <c r="B271" s="5">
        <v>45934</v>
      </c>
      <c r="C271" s="1" t="s">
        <v>28</v>
      </c>
      <c r="D271" s="1" t="s">
        <v>29</v>
      </c>
      <c r="E271" s="1" t="s">
        <v>70</v>
      </c>
      <c r="F271" s="1" t="s">
        <v>71</v>
      </c>
      <c r="G271" s="1" t="s">
        <v>41</v>
      </c>
      <c r="H271" s="6">
        <v>1</v>
      </c>
      <c r="I271" s="7">
        <v>2610</v>
      </c>
      <c r="J271" s="5">
        <v>45932</v>
      </c>
      <c r="K271" s="1" t="s">
        <v>30</v>
      </c>
      <c r="L271" s="8">
        <v>0.24</v>
      </c>
      <c r="M271" s="6"/>
      <c r="N271" s="6"/>
      <c r="O271" s="9">
        <v>-56</v>
      </c>
    </row>
    <row r="272" spans="1:15" ht="19.5" customHeight="1">
      <c r="A272" s="1" t="s">
        <v>736</v>
      </c>
      <c r="B272" s="5">
        <v>45934</v>
      </c>
      <c r="C272" s="1" t="s">
        <v>31</v>
      </c>
      <c r="D272" s="1" t="s">
        <v>32</v>
      </c>
      <c r="E272" s="1" t="s">
        <v>70</v>
      </c>
      <c r="F272" s="1" t="s">
        <v>71</v>
      </c>
      <c r="G272" s="1" t="s">
        <v>41</v>
      </c>
      <c r="H272" s="6">
        <v>1</v>
      </c>
      <c r="I272" s="7">
        <v>2610</v>
      </c>
      <c r="J272" s="5">
        <v>45932</v>
      </c>
      <c r="K272" s="1" t="s">
        <v>30</v>
      </c>
      <c r="L272" s="8">
        <v>0</v>
      </c>
      <c r="M272" s="6"/>
      <c r="N272" s="6"/>
      <c r="O272" s="9">
        <v>1509.99</v>
      </c>
    </row>
    <row r="273" spans="1:15" ht="19.5" customHeight="1">
      <c r="A273" s="1" t="s">
        <v>736</v>
      </c>
      <c r="B273" s="5">
        <v>45934</v>
      </c>
      <c r="C273" s="1" t="s">
        <v>31</v>
      </c>
      <c r="D273" s="1" t="s">
        <v>33</v>
      </c>
      <c r="E273" s="1" t="s">
        <v>70</v>
      </c>
      <c r="F273" s="1" t="s">
        <v>71</v>
      </c>
      <c r="G273" s="1" t="s">
        <v>41</v>
      </c>
      <c r="H273" s="6">
        <v>1</v>
      </c>
      <c r="I273" s="7">
        <v>2610</v>
      </c>
      <c r="J273" s="5">
        <v>45932</v>
      </c>
      <c r="K273" s="1" t="s">
        <v>30</v>
      </c>
      <c r="L273" s="8">
        <v>0</v>
      </c>
      <c r="M273" s="6"/>
      <c r="N273" s="6"/>
      <c r="O273" s="9">
        <v>15.1</v>
      </c>
    </row>
    <row r="274" spans="1:15" ht="19.5" customHeight="1">
      <c r="A274" s="1" t="s">
        <v>736</v>
      </c>
      <c r="B274" s="5">
        <v>45934</v>
      </c>
      <c r="C274" s="1" t="s">
        <v>31</v>
      </c>
      <c r="D274" s="1" t="s">
        <v>34</v>
      </c>
      <c r="E274" s="1" t="s">
        <v>70</v>
      </c>
      <c r="F274" s="1" t="s">
        <v>71</v>
      </c>
      <c r="G274" s="1" t="s">
        <v>41</v>
      </c>
      <c r="H274" s="6">
        <v>1</v>
      </c>
      <c r="I274" s="7">
        <v>2610</v>
      </c>
      <c r="J274" s="5">
        <v>45932</v>
      </c>
      <c r="K274" s="1" t="s">
        <v>30</v>
      </c>
      <c r="L274" s="8">
        <v>0</v>
      </c>
      <c r="M274" s="6"/>
      <c r="N274" s="6"/>
      <c r="O274" s="9">
        <v>1084.9100000000001</v>
      </c>
    </row>
    <row r="275" spans="1:15" ht="19.5" customHeight="1">
      <c r="A275" s="1" t="s">
        <v>736</v>
      </c>
      <c r="B275" s="5">
        <v>45934</v>
      </c>
      <c r="C275" s="1" t="s">
        <v>35</v>
      </c>
      <c r="D275" s="1" t="s">
        <v>36</v>
      </c>
      <c r="E275" s="1" t="s">
        <v>70</v>
      </c>
      <c r="F275" s="1" t="s">
        <v>71</v>
      </c>
      <c r="G275" s="1" t="s">
        <v>41</v>
      </c>
      <c r="H275" s="6">
        <v>1</v>
      </c>
      <c r="I275" s="7">
        <v>2610</v>
      </c>
      <c r="J275" s="5">
        <v>45932</v>
      </c>
      <c r="K275" s="1" t="s">
        <v>30</v>
      </c>
      <c r="L275" s="8">
        <v>0.24</v>
      </c>
      <c r="M275" s="6"/>
      <c r="N275" s="6"/>
      <c r="O275" s="9">
        <v>-626.4</v>
      </c>
    </row>
    <row r="276" spans="1:15" ht="19.5" customHeight="1">
      <c r="A276" s="1" t="s">
        <v>736</v>
      </c>
      <c r="B276" s="5">
        <v>45934</v>
      </c>
      <c r="C276" s="1" t="s">
        <v>17</v>
      </c>
      <c r="D276" s="1" t="s">
        <v>37</v>
      </c>
      <c r="E276" s="1" t="s">
        <v>70</v>
      </c>
      <c r="F276" s="1" t="s">
        <v>71</v>
      </c>
      <c r="G276" s="1" t="s">
        <v>41</v>
      </c>
      <c r="H276" s="6">
        <v>1</v>
      </c>
      <c r="I276" s="7">
        <v>2610</v>
      </c>
      <c r="J276" s="5">
        <v>45932</v>
      </c>
      <c r="K276" s="1" t="s">
        <v>30</v>
      </c>
      <c r="L276" s="8">
        <v>0.24</v>
      </c>
      <c r="M276" s="6"/>
      <c r="N276" s="6"/>
      <c r="O276" s="9">
        <v>-12.55</v>
      </c>
    </row>
    <row r="277" spans="1:15" ht="19.5" customHeight="1">
      <c r="A277" s="1" t="s">
        <v>736</v>
      </c>
      <c r="B277" s="5">
        <v>45934</v>
      </c>
      <c r="C277" s="1" t="s">
        <v>17</v>
      </c>
      <c r="D277" s="1" t="s">
        <v>18</v>
      </c>
      <c r="E277" s="1" t="s">
        <v>70</v>
      </c>
      <c r="F277" s="1" t="s">
        <v>71</v>
      </c>
      <c r="G277" s="1" t="s">
        <v>41</v>
      </c>
      <c r="H277" s="6">
        <v>1</v>
      </c>
      <c r="I277" s="7">
        <v>0</v>
      </c>
      <c r="J277" s="5">
        <v>45932</v>
      </c>
      <c r="K277" s="1" t="s">
        <v>22</v>
      </c>
      <c r="L277" s="8">
        <v>0</v>
      </c>
      <c r="M277" s="6"/>
      <c r="N277" s="6"/>
      <c r="O277" s="9">
        <v>-28.69</v>
      </c>
    </row>
    <row r="278" spans="1:15" ht="19.5" customHeight="1">
      <c r="A278" s="1" t="s">
        <v>737</v>
      </c>
      <c r="B278" s="5">
        <v>45934</v>
      </c>
      <c r="C278" s="1" t="s">
        <v>28</v>
      </c>
      <c r="D278" s="1" t="s">
        <v>29</v>
      </c>
      <c r="E278" s="1" t="s">
        <v>70</v>
      </c>
      <c r="F278" s="1" t="s">
        <v>71</v>
      </c>
      <c r="G278" s="1" t="s">
        <v>41</v>
      </c>
      <c r="H278" s="6">
        <v>1</v>
      </c>
      <c r="I278" s="7">
        <v>3690</v>
      </c>
      <c r="J278" s="5">
        <v>45931</v>
      </c>
      <c r="K278" s="1" t="s">
        <v>30</v>
      </c>
      <c r="L278" s="8">
        <v>0.24</v>
      </c>
      <c r="M278" s="6"/>
      <c r="N278" s="6"/>
      <c r="O278" s="9">
        <v>-56</v>
      </c>
    </row>
    <row r="279" spans="1:15" ht="19.5" customHeight="1">
      <c r="A279" s="1" t="s">
        <v>737</v>
      </c>
      <c r="B279" s="5">
        <v>45934</v>
      </c>
      <c r="C279" s="1" t="s">
        <v>31</v>
      </c>
      <c r="D279" s="1" t="s">
        <v>32</v>
      </c>
      <c r="E279" s="1" t="s">
        <v>70</v>
      </c>
      <c r="F279" s="1" t="s">
        <v>71</v>
      </c>
      <c r="G279" s="1" t="s">
        <v>41</v>
      </c>
      <c r="H279" s="6">
        <v>1</v>
      </c>
      <c r="I279" s="7">
        <v>3690</v>
      </c>
      <c r="J279" s="5">
        <v>45931</v>
      </c>
      <c r="K279" s="1" t="s">
        <v>30</v>
      </c>
      <c r="L279" s="8">
        <v>0</v>
      </c>
      <c r="M279" s="6"/>
      <c r="N279" s="6"/>
      <c r="O279" s="9">
        <v>2127.96</v>
      </c>
    </row>
    <row r="280" spans="1:15" ht="19.5" customHeight="1">
      <c r="A280" s="1" t="s">
        <v>737</v>
      </c>
      <c r="B280" s="5">
        <v>45934</v>
      </c>
      <c r="C280" s="1" t="s">
        <v>31</v>
      </c>
      <c r="D280" s="1" t="s">
        <v>33</v>
      </c>
      <c r="E280" s="1" t="s">
        <v>70</v>
      </c>
      <c r="F280" s="1" t="s">
        <v>71</v>
      </c>
      <c r="G280" s="1" t="s">
        <v>41</v>
      </c>
      <c r="H280" s="6">
        <v>1</v>
      </c>
      <c r="I280" s="7">
        <v>3690</v>
      </c>
      <c r="J280" s="5">
        <v>45931</v>
      </c>
      <c r="K280" s="1" t="s">
        <v>30</v>
      </c>
      <c r="L280" s="8">
        <v>0</v>
      </c>
      <c r="M280" s="6"/>
      <c r="N280" s="6"/>
      <c r="O280" s="9">
        <v>21.28</v>
      </c>
    </row>
    <row r="281" spans="1:15" ht="19.5" customHeight="1">
      <c r="A281" s="1" t="s">
        <v>737</v>
      </c>
      <c r="B281" s="5">
        <v>45934</v>
      </c>
      <c r="C281" s="1" t="s">
        <v>31</v>
      </c>
      <c r="D281" s="1" t="s">
        <v>34</v>
      </c>
      <c r="E281" s="1" t="s">
        <v>70</v>
      </c>
      <c r="F281" s="1" t="s">
        <v>71</v>
      </c>
      <c r="G281" s="1" t="s">
        <v>41</v>
      </c>
      <c r="H281" s="6">
        <v>1</v>
      </c>
      <c r="I281" s="7">
        <v>3690</v>
      </c>
      <c r="J281" s="5">
        <v>45931</v>
      </c>
      <c r="K281" s="1" t="s">
        <v>30</v>
      </c>
      <c r="L281" s="8">
        <v>0</v>
      </c>
      <c r="M281" s="6"/>
      <c r="N281" s="6"/>
      <c r="O281" s="9">
        <v>1540.76</v>
      </c>
    </row>
    <row r="282" spans="1:15" ht="19.5" customHeight="1">
      <c r="A282" s="1" t="s">
        <v>737</v>
      </c>
      <c r="B282" s="5">
        <v>45934</v>
      </c>
      <c r="C282" s="1" t="s">
        <v>35</v>
      </c>
      <c r="D282" s="1" t="s">
        <v>36</v>
      </c>
      <c r="E282" s="1" t="s">
        <v>70</v>
      </c>
      <c r="F282" s="1" t="s">
        <v>71</v>
      </c>
      <c r="G282" s="1" t="s">
        <v>41</v>
      </c>
      <c r="H282" s="6">
        <v>1</v>
      </c>
      <c r="I282" s="7">
        <v>3690</v>
      </c>
      <c r="J282" s="5">
        <v>45931</v>
      </c>
      <c r="K282" s="1" t="s">
        <v>30</v>
      </c>
      <c r="L282" s="8">
        <v>0.24</v>
      </c>
      <c r="M282" s="6"/>
      <c r="N282" s="6"/>
      <c r="O282" s="9">
        <v>-885.6</v>
      </c>
    </row>
    <row r="283" spans="1:15" ht="19.5" customHeight="1">
      <c r="A283" s="1" t="s">
        <v>737</v>
      </c>
      <c r="B283" s="5">
        <v>45934</v>
      </c>
      <c r="C283" s="1" t="s">
        <v>17</v>
      </c>
      <c r="D283" s="1" t="s">
        <v>37</v>
      </c>
      <c r="E283" s="1" t="s">
        <v>70</v>
      </c>
      <c r="F283" s="1" t="s">
        <v>71</v>
      </c>
      <c r="G283" s="1" t="s">
        <v>41</v>
      </c>
      <c r="H283" s="6">
        <v>1</v>
      </c>
      <c r="I283" s="7">
        <v>3690</v>
      </c>
      <c r="J283" s="5">
        <v>45931</v>
      </c>
      <c r="K283" s="1" t="s">
        <v>30</v>
      </c>
      <c r="L283" s="8">
        <v>0.24</v>
      </c>
      <c r="M283" s="6"/>
      <c r="N283" s="6"/>
      <c r="O283" s="9">
        <v>-10.95</v>
      </c>
    </row>
    <row r="284" spans="1:15" ht="19.5" customHeight="1">
      <c r="A284" s="1" t="s">
        <v>737</v>
      </c>
      <c r="B284" s="5">
        <v>45934</v>
      </c>
      <c r="C284" s="1" t="s">
        <v>17</v>
      </c>
      <c r="D284" s="1" t="s">
        <v>18</v>
      </c>
      <c r="E284" s="1" t="s">
        <v>70</v>
      </c>
      <c r="F284" s="1" t="s">
        <v>71</v>
      </c>
      <c r="G284" s="1" t="s">
        <v>41</v>
      </c>
      <c r="H284" s="6">
        <v>1</v>
      </c>
      <c r="I284" s="7">
        <v>0</v>
      </c>
      <c r="J284" s="5">
        <v>45931</v>
      </c>
      <c r="K284" s="1" t="s">
        <v>22</v>
      </c>
      <c r="L284" s="8">
        <v>0</v>
      </c>
      <c r="M284" s="6"/>
      <c r="N284" s="6"/>
      <c r="O284" s="9">
        <v>-40.43</v>
      </c>
    </row>
    <row r="285" spans="1:15" ht="19.5" customHeight="1">
      <c r="A285" s="1" t="s">
        <v>22</v>
      </c>
      <c r="B285" s="5">
        <v>45934</v>
      </c>
      <c r="C285" s="1" t="s">
        <v>77</v>
      </c>
      <c r="D285" s="1" t="s">
        <v>78</v>
      </c>
      <c r="E285" s="1" t="s">
        <v>22</v>
      </c>
      <c r="F285" s="1" t="s">
        <v>22</v>
      </c>
      <c r="G285" s="1" t="s">
        <v>738</v>
      </c>
      <c r="H285" s="6">
        <v>0</v>
      </c>
      <c r="I285" s="7">
        <v>0</v>
      </c>
      <c r="J285" s="5">
        <v>45934</v>
      </c>
      <c r="K285" s="1" t="s">
        <v>22</v>
      </c>
      <c r="L285" s="8">
        <v>0</v>
      </c>
      <c r="M285" s="6"/>
      <c r="N285" s="6"/>
      <c r="O285" s="9">
        <v>-200</v>
      </c>
    </row>
    <row r="286" spans="1:15" ht="19.5" customHeight="1">
      <c r="A286" s="1" t="s">
        <v>739</v>
      </c>
      <c r="B286" s="5">
        <v>45934</v>
      </c>
      <c r="C286" s="1" t="s">
        <v>28</v>
      </c>
      <c r="D286" s="1" t="s">
        <v>29</v>
      </c>
      <c r="E286" s="1" t="s">
        <v>92</v>
      </c>
      <c r="F286" s="1" t="s">
        <v>93</v>
      </c>
      <c r="G286" s="1" t="s">
        <v>21</v>
      </c>
      <c r="H286" s="6">
        <v>1</v>
      </c>
      <c r="I286" s="7">
        <v>1300</v>
      </c>
      <c r="J286" s="5">
        <v>45930</v>
      </c>
      <c r="K286" s="1" t="s">
        <v>30</v>
      </c>
      <c r="L286" s="8">
        <v>0.26</v>
      </c>
      <c r="M286" s="6"/>
      <c r="N286" s="6"/>
      <c r="O286" s="9">
        <v>-46</v>
      </c>
    </row>
    <row r="287" spans="1:15" ht="19.5" customHeight="1">
      <c r="A287" s="1" t="s">
        <v>739</v>
      </c>
      <c r="B287" s="5">
        <v>45934</v>
      </c>
      <c r="C287" s="1" t="s">
        <v>31</v>
      </c>
      <c r="D287" s="1" t="s">
        <v>32</v>
      </c>
      <c r="E287" s="1" t="s">
        <v>92</v>
      </c>
      <c r="F287" s="1" t="s">
        <v>93</v>
      </c>
      <c r="G287" s="1" t="s">
        <v>21</v>
      </c>
      <c r="H287" s="6">
        <v>1</v>
      </c>
      <c r="I287" s="7">
        <v>1300</v>
      </c>
      <c r="J287" s="5">
        <v>45930</v>
      </c>
      <c r="K287" s="1" t="s">
        <v>30</v>
      </c>
      <c r="L287" s="8">
        <v>0</v>
      </c>
      <c r="M287" s="6"/>
      <c r="N287" s="6"/>
      <c r="O287" s="9">
        <v>832.68</v>
      </c>
    </row>
    <row r="288" spans="1:15" ht="19.5" customHeight="1">
      <c r="A288" s="1" t="s">
        <v>739</v>
      </c>
      <c r="B288" s="5">
        <v>45934</v>
      </c>
      <c r="C288" s="1" t="s">
        <v>31</v>
      </c>
      <c r="D288" s="1" t="s">
        <v>33</v>
      </c>
      <c r="E288" s="1" t="s">
        <v>92</v>
      </c>
      <c r="F288" s="1" t="s">
        <v>93</v>
      </c>
      <c r="G288" s="1" t="s">
        <v>21</v>
      </c>
      <c r="H288" s="6">
        <v>1</v>
      </c>
      <c r="I288" s="7">
        <v>1300</v>
      </c>
      <c r="J288" s="5">
        <v>45930</v>
      </c>
      <c r="K288" s="1" t="s">
        <v>30</v>
      </c>
      <c r="L288" s="8">
        <v>0</v>
      </c>
      <c r="M288" s="6"/>
      <c r="N288" s="6"/>
      <c r="O288" s="9">
        <v>0</v>
      </c>
    </row>
    <row r="289" spans="1:15" ht="19.5" customHeight="1">
      <c r="A289" s="1" t="s">
        <v>739</v>
      </c>
      <c r="B289" s="5">
        <v>45934</v>
      </c>
      <c r="C289" s="1" t="s">
        <v>31</v>
      </c>
      <c r="D289" s="1" t="s">
        <v>34</v>
      </c>
      <c r="E289" s="1" t="s">
        <v>92</v>
      </c>
      <c r="F289" s="1" t="s">
        <v>93</v>
      </c>
      <c r="G289" s="1" t="s">
        <v>21</v>
      </c>
      <c r="H289" s="6">
        <v>1</v>
      </c>
      <c r="I289" s="7">
        <v>1300</v>
      </c>
      <c r="J289" s="5">
        <v>45930</v>
      </c>
      <c r="K289" s="1" t="s">
        <v>30</v>
      </c>
      <c r="L289" s="8">
        <v>0</v>
      </c>
      <c r="M289" s="6"/>
      <c r="N289" s="6"/>
      <c r="O289" s="9">
        <v>467.32</v>
      </c>
    </row>
    <row r="290" spans="1:15" ht="19.5" customHeight="1">
      <c r="A290" s="1" t="s">
        <v>739</v>
      </c>
      <c r="B290" s="5">
        <v>45934</v>
      </c>
      <c r="C290" s="1" t="s">
        <v>35</v>
      </c>
      <c r="D290" s="1" t="s">
        <v>36</v>
      </c>
      <c r="E290" s="1" t="s">
        <v>92</v>
      </c>
      <c r="F290" s="1" t="s">
        <v>93</v>
      </c>
      <c r="G290" s="1" t="s">
        <v>21</v>
      </c>
      <c r="H290" s="6">
        <v>1</v>
      </c>
      <c r="I290" s="7">
        <v>1300</v>
      </c>
      <c r="J290" s="5">
        <v>45930</v>
      </c>
      <c r="K290" s="1" t="s">
        <v>30</v>
      </c>
      <c r="L290" s="8">
        <v>0.26</v>
      </c>
      <c r="M290" s="6"/>
      <c r="N290" s="6"/>
      <c r="O290" s="9">
        <v>-338</v>
      </c>
    </row>
    <row r="291" spans="1:15" ht="19.5" customHeight="1">
      <c r="A291" s="1" t="s">
        <v>686</v>
      </c>
      <c r="B291" s="5">
        <v>45934</v>
      </c>
      <c r="C291" s="1" t="s">
        <v>17</v>
      </c>
      <c r="D291" s="1" t="s">
        <v>18</v>
      </c>
      <c r="E291" s="1" t="s">
        <v>70</v>
      </c>
      <c r="F291" s="1" t="s">
        <v>71</v>
      </c>
      <c r="G291" s="1" t="s">
        <v>41</v>
      </c>
      <c r="H291" s="6">
        <v>1</v>
      </c>
      <c r="I291" s="7">
        <v>0</v>
      </c>
      <c r="J291" s="5">
        <v>45931</v>
      </c>
      <c r="K291" s="1" t="s">
        <v>22</v>
      </c>
      <c r="L291" s="8">
        <v>0</v>
      </c>
      <c r="M291" s="6"/>
      <c r="N291" s="6"/>
      <c r="O291" s="9">
        <v>28.57</v>
      </c>
    </row>
    <row r="292" spans="1:15" ht="19.5" customHeight="1">
      <c r="A292" s="1" t="s">
        <v>85</v>
      </c>
      <c r="B292" s="5">
        <v>45934</v>
      </c>
      <c r="C292" s="1" t="s">
        <v>77</v>
      </c>
      <c r="D292" s="1" t="s">
        <v>82</v>
      </c>
      <c r="E292" s="1" t="s">
        <v>22</v>
      </c>
      <c r="F292" s="1" t="s">
        <v>22</v>
      </c>
      <c r="G292" s="1" t="s">
        <v>22</v>
      </c>
      <c r="H292" s="6">
        <v>0</v>
      </c>
      <c r="I292" s="7">
        <v>0</v>
      </c>
      <c r="J292" s="5">
        <v>45934</v>
      </c>
      <c r="K292" s="1" t="s">
        <v>22</v>
      </c>
      <c r="L292" s="8">
        <v>0</v>
      </c>
      <c r="M292" s="6"/>
      <c r="N292" s="6"/>
      <c r="O292" s="9">
        <v>-801.6</v>
      </c>
    </row>
    <row r="293" spans="1:15" ht="19.5" customHeight="1">
      <c r="A293" s="1" t="s">
        <v>86</v>
      </c>
      <c r="B293" s="5">
        <v>45934</v>
      </c>
      <c r="C293" s="1" t="s">
        <v>77</v>
      </c>
      <c r="D293" s="1" t="s">
        <v>82</v>
      </c>
      <c r="E293" s="1" t="s">
        <v>22</v>
      </c>
      <c r="F293" s="1" t="s">
        <v>22</v>
      </c>
      <c r="G293" s="1" t="s">
        <v>22</v>
      </c>
      <c r="H293" s="6">
        <v>0</v>
      </c>
      <c r="I293" s="7">
        <v>0</v>
      </c>
      <c r="J293" s="5">
        <v>45934</v>
      </c>
      <c r="K293" s="1" t="s">
        <v>22</v>
      </c>
      <c r="L293" s="8">
        <v>0</v>
      </c>
      <c r="M293" s="6"/>
      <c r="N293" s="6"/>
      <c r="O293" s="9">
        <v>-1619.22</v>
      </c>
    </row>
    <row r="294" spans="1:15" ht="19.5" customHeight="1">
      <c r="A294" s="1" t="s">
        <v>81</v>
      </c>
      <c r="B294" s="5">
        <v>45934</v>
      </c>
      <c r="C294" s="1" t="s">
        <v>77</v>
      </c>
      <c r="D294" s="1" t="s">
        <v>82</v>
      </c>
      <c r="E294" s="1" t="s">
        <v>22</v>
      </c>
      <c r="F294" s="1" t="s">
        <v>22</v>
      </c>
      <c r="G294" s="1" t="s">
        <v>22</v>
      </c>
      <c r="H294" s="6">
        <v>0</v>
      </c>
      <c r="I294" s="7">
        <v>0</v>
      </c>
      <c r="J294" s="5">
        <v>45934</v>
      </c>
      <c r="K294" s="1" t="s">
        <v>22</v>
      </c>
      <c r="L294" s="8">
        <v>0</v>
      </c>
      <c r="M294" s="6"/>
      <c r="N294" s="6"/>
      <c r="O294" s="9">
        <v>-1589.2</v>
      </c>
    </row>
    <row r="295" spans="1:15" ht="19.5" customHeight="1">
      <c r="A295" s="1" t="s">
        <v>83</v>
      </c>
      <c r="B295" s="5">
        <v>45934</v>
      </c>
      <c r="C295" s="1" t="s">
        <v>77</v>
      </c>
      <c r="D295" s="1" t="s">
        <v>84</v>
      </c>
      <c r="E295" s="1" t="s">
        <v>22</v>
      </c>
      <c r="F295" s="1" t="s">
        <v>22</v>
      </c>
      <c r="G295" s="1" t="s">
        <v>22</v>
      </c>
      <c r="H295" s="6">
        <v>0</v>
      </c>
      <c r="I295" s="7">
        <v>0</v>
      </c>
      <c r="J295" s="5">
        <v>45934</v>
      </c>
      <c r="K295" s="1" t="s">
        <v>22</v>
      </c>
      <c r="L295" s="8">
        <v>0</v>
      </c>
      <c r="M295" s="6"/>
      <c r="N295" s="6"/>
      <c r="O295" s="9">
        <v>-1463.4</v>
      </c>
    </row>
    <row r="296" spans="1:15" ht="19.5" customHeight="1">
      <c r="A296" s="1" t="s">
        <v>713</v>
      </c>
      <c r="B296" s="5">
        <v>45935</v>
      </c>
      <c r="C296" s="1" t="s">
        <v>28</v>
      </c>
      <c r="D296" s="1" t="s">
        <v>29</v>
      </c>
      <c r="E296" s="1" t="s">
        <v>43</v>
      </c>
      <c r="F296" s="1" t="s">
        <v>44</v>
      </c>
      <c r="G296" s="1" t="s">
        <v>41</v>
      </c>
      <c r="H296" s="6">
        <v>1</v>
      </c>
      <c r="I296" s="7">
        <v>0</v>
      </c>
      <c r="J296" s="5">
        <v>45930</v>
      </c>
      <c r="K296" s="1" t="s">
        <v>30</v>
      </c>
      <c r="L296" s="8">
        <v>0</v>
      </c>
      <c r="M296" s="6"/>
      <c r="N296" s="6"/>
      <c r="O296" s="9">
        <v>-56</v>
      </c>
    </row>
    <row r="297" spans="1:15" ht="19.5" customHeight="1">
      <c r="A297" s="1" t="s">
        <v>713</v>
      </c>
      <c r="B297" s="5">
        <v>45935</v>
      </c>
      <c r="C297" s="1" t="s">
        <v>17</v>
      </c>
      <c r="D297" s="1" t="s">
        <v>37</v>
      </c>
      <c r="E297" s="1" t="s">
        <v>43</v>
      </c>
      <c r="F297" s="1" t="s">
        <v>44</v>
      </c>
      <c r="G297" s="1" t="s">
        <v>41</v>
      </c>
      <c r="H297" s="6">
        <v>1</v>
      </c>
      <c r="I297" s="7">
        <v>0</v>
      </c>
      <c r="J297" s="5">
        <v>45930</v>
      </c>
      <c r="K297" s="1" t="s">
        <v>30</v>
      </c>
      <c r="L297" s="8">
        <v>0</v>
      </c>
      <c r="M297" s="6"/>
      <c r="N297" s="6"/>
      <c r="O297" s="9">
        <v>-10.94</v>
      </c>
    </row>
    <row r="298" spans="1:15" ht="19.5" customHeight="1">
      <c r="A298" s="1" t="s">
        <v>713</v>
      </c>
      <c r="B298" s="5">
        <v>45935</v>
      </c>
      <c r="C298" s="1" t="s">
        <v>28</v>
      </c>
      <c r="D298" s="1" t="s">
        <v>45</v>
      </c>
      <c r="E298" s="1" t="s">
        <v>43</v>
      </c>
      <c r="F298" s="1" t="s">
        <v>44</v>
      </c>
      <c r="G298" s="1" t="s">
        <v>41</v>
      </c>
      <c r="H298" s="6">
        <v>1</v>
      </c>
      <c r="I298" s="7">
        <v>0</v>
      </c>
      <c r="J298" s="5">
        <v>45930</v>
      </c>
      <c r="K298" s="1" t="s">
        <v>30</v>
      </c>
      <c r="L298" s="8">
        <v>0</v>
      </c>
      <c r="M298" s="6"/>
      <c r="N298" s="6"/>
      <c r="O298" s="9">
        <v>0</v>
      </c>
    </row>
    <row r="299" spans="1:15" ht="19.5" customHeight="1">
      <c r="A299" s="1" t="s">
        <v>713</v>
      </c>
      <c r="B299" s="5">
        <v>45935</v>
      </c>
      <c r="C299" s="1" t="s">
        <v>28</v>
      </c>
      <c r="D299" s="1" t="s">
        <v>46</v>
      </c>
      <c r="E299" s="1" t="s">
        <v>43</v>
      </c>
      <c r="F299" s="1" t="s">
        <v>44</v>
      </c>
      <c r="G299" s="1" t="s">
        <v>41</v>
      </c>
      <c r="H299" s="6">
        <v>1</v>
      </c>
      <c r="I299" s="7">
        <v>0</v>
      </c>
      <c r="J299" s="5">
        <v>45930</v>
      </c>
      <c r="K299" s="1" t="s">
        <v>30</v>
      </c>
      <c r="L299" s="8">
        <v>0</v>
      </c>
      <c r="M299" s="6"/>
      <c r="N299" s="6"/>
      <c r="O299" s="9">
        <v>-56</v>
      </c>
    </row>
    <row r="300" spans="1:15" ht="19.5" customHeight="1">
      <c r="A300" s="1" t="s">
        <v>713</v>
      </c>
      <c r="B300" s="5">
        <v>45935</v>
      </c>
      <c r="C300" s="1" t="s">
        <v>17</v>
      </c>
      <c r="D300" s="1" t="s">
        <v>47</v>
      </c>
      <c r="E300" s="1" t="s">
        <v>43</v>
      </c>
      <c r="F300" s="1" t="s">
        <v>44</v>
      </c>
      <c r="G300" s="1" t="s">
        <v>41</v>
      </c>
      <c r="H300" s="6">
        <v>1</v>
      </c>
      <c r="I300" s="7">
        <v>0</v>
      </c>
      <c r="J300" s="5">
        <v>45930</v>
      </c>
      <c r="K300" s="1" t="s">
        <v>30</v>
      </c>
      <c r="L300" s="8">
        <v>0</v>
      </c>
      <c r="M300" s="6"/>
      <c r="N300" s="6"/>
      <c r="O300" s="9">
        <v>-15</v>
      </c>
    </row>
    <row r="301" spans="1:15" ht="19.5" customHeight="1">
      <c r="A301" s="1" t="s">
        <v>740</v>
      </c>
      <c r="B301" s="5">
        <v>45935</v>
      </c>
      <c r="C301" s="1" t="s">
        <v>28</v>
      </c>
      <c r="D301" s="1" t="s">
        <v>45</v>
      </c>
      <c r="E301" s="1" t="s">
        <v>25</v>
      </c>
      <c r="F301" s="1" t="s">
        <v>26</v>
      </c>
      <c r="G301" s="1" t="s">
        <v>21</v>
      </c>
      <c r="H301" s="6">
        <v>1</v>
      </c>
      <c r="I301" s="7">
        <v>0</v>
      </c>
      <c r="J301" s="5">
        <v>45916</v>
      </c>
      <c r="K301" s="1" t="s">
        <v>30</v>
      </c>
      <c r="L301" s="8">
        <v>0</v>
      </c>
      <c r="M301" s="6"/>
      <c r="N301" s="6"/>
      <c r="O301" s="9">
        <v>0</v>
      </c>
    </row>
    <row r="302" spans="1:15" ht="19.5" customHeight="1">
      <c r="A302" s="1" t="s">
        <v>740</v>
      </c>
      <c r="B302" s="5">
        <v>45935</v>
      </c>
      <c r="C302" s="1" t="s">
        <v>28</v>
      </c>
      <c r="D302" s="1" t="s">
        <v>46</v>
      </c>
      <c r="E302" s="1" t="s">
        <v>25</v>
      </c>
      <c r="F302" s="1" t="s">
        <v>26</v>
      </c>
      <c r="G302" s="1" t="s">
        <v>21</v>
      </c>
      <c r="H302" s="6">
        <v>1</v>
      </c>
      <c r="I302" s="7">
        <v>0</v>
      </c>
      <c r="J302" s="5">
        <v>45916</v>
      </c>
      <c r="K302" s="1" t="s">
        <v>30</v>
      </c>
      <c r="L302" s="8">
        <v>0</v>
      </c>
      <c r="M302" s="6"/>
      <c r="N302" s="6"/>
      <c r="O302" s="9">
        <v>-46</v>
      </c>
    </row>
    <row r="303" spans="1:15" ht="19.5" customHeight="1">
      <c r="A303" s="1" t="s">
        <v>740</v>
      </c>
      <c r="B303" s="5">
        <v>45935</v>
      </c>
      <c r="C303" s="1" t="s">
        <v>28</v>
      </c>
      <c r="D303" s="1" t="s">
        <v>29</v>
      </c>
      <c r="E303" s="1" t="s">
        <v>25</v>
      </c>
      <c r="F303" s="1" t="s">
        <v>26</v>
      </c>
      <c r="G303" s="1" t="s">
        <v>21</v>
      </c>
      <c r="H303" s="6">
        <v>1</v>
      </c>
      <c r="I303" s="7">
        <v>0</v>
      </c>
      <c r="J303" s="5">
        <v>45916</v>
      </c>
      <c r="K303" s="1" t="s">
        <v>30</v>
      </c>
      <c r="L303" s="8">
        <v>0</v>
      </c>
      <c r="M303" s="6"/>
      <c r="N303" s="6"/>
      <c r="O303" s="9">
        <v>-46</v>
      </c>
    </row>
    <row r="304" spans="1:15" ht="19.5" customHeight="1">
      <c r="A304" s="1" t="s">
        <v>740</v>
      </c>
      <c r="B304" s="5">
        <v>45935</v>
      </c>
      <c r="C304" s="1" t="s">
        <v>17</v>
      </c>
      <c r="D304" s="1" t="s">
        <v>37</v>
      </c>
      <c r="E304" s="1" t="s">
        <v>25</v>
      </c>
      <c r="F304" s="1" t="s">
        <v>26</v>
      </c>
      <c r="G304" s="1" t="s">
        <v>21</v>
      </c>
      <c r="H304" s="6">
        <v>1</v>
      </c>
      <c r="I304" s="7">
        <v>0</v>
      </c>
      <c r="J304" s="5">
        <v>45916</v>
      </c>
      <c r="K304" s="1" t="s">
        <v>30</v>
      </c>
      <c r="L304" s="8">
        <v>0</v>
      </c>
      <c r="M304" s="6"/>
      <c r="N304" s="6"/>
      <c r="O304" s="9">
        <v>-16.89</v>
      </c>
    </row>
    <row r="305" spans="1:15" ht="19.5" customHeight="1">
      <c r="A305" s="1" t="s">
        <v>741</v>
      </c>
      <c r="B305" s="5">
        <v>45935</v>
      </c>
      <c r="C305" s="1" t="s">
        <v>28</v>
      </c>
      <c r="D305" s="1" t="s">
        <v>29</v>
      </c>
      <c r="E305" s="1" t="s">
        <v>25</v>
      </c>
      <c r="F305" s="1" t="s">
        <v>26</v>
      </c>
      <c r="G305" s="1" t="s">
        <v>21</v>
      </c>
      <c r="H305" s="6">
        <v>1</v>
      </c>
      <c r="I305" s="7">
        <v>1117</v>
      </c>
      <c r="J305" s="5">
        <v>45917</v>
      </c>
      <c r="K305" s="1" t="s">
        <v>30</v>
      </c>
      <c r="L305" s="8">
        <v>0.2</v>
      </c>
      <c r="M305" s="6"/>
      <c r="N305" s="6"/>
      <c r="O305" s="9">
        <v>-46</v>
      </c>
    </row>
    <row r="306" spans="1:15" ht="19.5" customHeight="1">
      <c r="A306" s="1" t="s">
        <v>741</v>
      </c>
      <c r="B306" s="5">
        <v>45935</v>
      </c>
      <c r="C306" s="1" t="s">
        <v>31</v>
      </c>
      <c r="D306" s="1" t="s">
        <v>32</v>
      </c>
      <c r="E306" s="1" t="s">
        <v>25</v>
      </c>
      <c r="F306" s="1" t="s">
        <v>26</v>
      </c>
      <c r="G306" s="1" t="s">
        <v>21</v>
      </c>
      <c r="H306" s="6">
        <v>1</v>
      </c>
      <c r="I306" s="7">
        <v>1117</v>
      </c>
      <c r="J306" s="5">
        <v>45917</v>
      </c>
      <c r="K306" s="1" t="s">
        <v>30</v>
      </c>
      <c r="L306" s="8">
        <v>0</v>
      </c>
      <c r="M306" s="6"/>
      <c r="N306" s="6"/>
      <c r="O306" s="9">
        <v>639.04999999999995</v>
      </c>
    </row>
    <row r="307" spans="1:15" ht="19.5" customHeight="1">
      <c r="A307" s="1" t="s">
        <v>741</v>
      </c>
      <c r="B307" s="5">
        <v>45935</v>
      </c>
      <c r="C307" s="1" t="s">
        <v>31</v>
      </c>
      <c r="D307" s="1" t="s">
        <v>33</v>
      </c>
      <c r="E307" s="1" t="s">
        <v>25</v>
      </c>
      <c r="F307" s="1" t="s">
        <v>26</v>
      </c>
      <c r="G307" s="1" t="s">
        <v>21</v>
      </c>
      <c r="H307" s="6">
        <v>1</v>
      </c>
      <c r="I307" s="7">
        <v>1117</v>
      </c>
      <c r="J307" s="5">
        <v>45917</v>
      </c>
      <c r="K307" s="1" t="s">
        <v>30</v>
      </c>
      <c r="L307" s="8">
        <v>0</v>
      </c>
      <c r="M307" s="6"/>
      <c r="N307" s="6"/>
      <c r="O307" s="9">
        <v>0</v>
      </c>
    </row>
    <row r="308" spans="1:15" ht="19.5" customHeight="1">
      <c r="A308" s="1" t="s">
        <v>741</v>
      </c>
      <c r="B308" s="5">
        <v>45935</v>
      </c>
      <c r="C308" s="1" t="s">
        <v>31</v>
      </c>
      <c r="D308" s="1" t="s">
        <v>34</v>
      </c>
      <c r="E308" s="1" t="s">
        <v>25</v>
      </c>
      <c r="F308" s="1" t="s">
        <v>26</v>
      </c>
      <c r="G308" s="1" t="s">
        <v>21</v>
      </c>
      <c r="H308" s="6">
        <v>1</v>
      </c>
      <c r="I308" s="7">
        <v>1117</v>
      </c>
      <c r="J308" s="5">
        <v>45917</v>
      </c>
      <c r="K308" s="1" t="s">
        <v>30</v>
      </c>
      <c r="L308" s="8">
        <v>0</v>
      </c>
      <c r="M308" s="6"/>
      <c r="N308" s="6"/>
      <c r="O308" s="9">
        <v>477.95</v>
      </c>
    </row>
    <row r="309" spans="1:15" ht="19.5" customHeight="1">
      <c r="A309" s="1" t="s">
        <v>741</v>
      </c>
      <c r="B309" s="5">
        <v>45935</v>
      </c>
      <c r="C309" s="1" t="s">
        <v>35</v>
      </c>
      <c r="D309" s="1" t="s">
        <v>36</v>
      </c>
      <c r="E309" s="1" t="s">
        <v>25</v>
      </c>
      <c r="F309" s="1" t="s">
        <v>26</v>
      </c>
      <c r="G309" s="1" t="s">
        <v>21</v>
      </c>
      <c r="H309" s="6">
        <v>1</v>
      </c>
      <c r="I309" s="7">
        <v>1117</v>
      </c>
      <c r="J309" s="5">
        <v>45917</v>
      </c>
      <c r="K309" s="1" t="s">
        <v>30</v>
      </c>
      <c r="L309" s="8">
        <v>0.2</v>
      </c>
      <c r="M309" s="6"/>
      <c r="N309" s="6"/>
      <c r="O309" s="9">
        <v>-223.4</v>
      </c>
    </row>
    <row r="310" spans="1:15" ht="19.5" customHeight="1">
      <c r="A310" s="1" t="s">
        <v>742</v>
      </c>
      <c r="B310" s="5">
        <v>45935</v>
      </c>
      <c r="C310" s="1" t="s">
        <v>28</v>
      </c>
      <c r="D310" s="1" t="s">
        <v>29</v>
      </c>
      <c r="E310" s="1" t="s">
        <v>239</v>
      </c>
      <c r="F310" s="1" t="s">
        <v>733</v>
      </c>
      <c r="G310" s="1" t="s">
        <v>41</v>
      </c>
      <c r="H310" s="6">
        <v>1</v>
      </c>
      <c r="I310" s="7">
        <v>3690</v>
      </c>
      <c r="J310" s="5">
        <v>45933</v>
      </c>
      <c r="K310" s="1" t="s">
        <v>30</v>
      </c>
      <c r="L310" s="8">
        <v>0.24</v>
      </c>
      <c r="M310" s="6"/>
      <c r="N310" s="6"/>
      <c r="O310" s="9">
        <v>-56</v>
      </c>
    </row>
    <row r="311" spans="1:15" ht="19.5" customHeight="1">
      <c r="A311" s="1" t="s">
        <v>742</v>
      </c>
      <c r="B311" s="5">
        <v>45935</v>
      </c>
      <c r="C311" s="1" t="s">
        <v>31</v>
      </c>
      <c r="D311" s="1" t="s">
        <v>32</v>
      </c>
      <c r="E311" s="1" t="s">
        <v>239</v>
      </c>
      <c r="F311" s="1" t="s">
        <v>733</v>
      </c>
      <c r="G311" s="1" t="s">
        <v>41</v>
      </c>
      <c r="H311" s="6">
        <v>1</v>
      </c>
      <c r="I311" s="7">
        <v>3690</v>
      </c>
      <c r="J311" s="5">
        <v>45933</v>
      </c>
      <c r="K311" s="1" t="s">
        <v>30</v>
      </c>
      <c r="L311" s="8">
        <v>0</v>
      </c>
      <c r="M311" s="6"/>
      <c r="N311" s="6"/>
      <c r="O311" s="9">
        <v>2351.66</v>
      </c>
    </row>
    <row r="312" spans="1:15" ht="19.5" customHeight="1">
      <c r="A312" s="1" t="s">
        <v>742</v>
      </c>
      <c r="B312" s="5">
        <v>45935</v>
      </c>
      <c r="C312" s="1" t="s">
        <v>31</v>
      </c>
      <c r="D312" s="1" t="s">
        <v>33</v>
      </c>
      <c r="E312" s="1" t="s">
        <v>239</v>
      </c>
      <c r="F312" s="1" t="s">
        <v>733</v>
      </c>
      <c r="G312" s="1" t="s">
        <v>41</v>
      </c>
      <c r="H312" s="6">
        <v>1</v>
      </c>
      <c r="I312" s="7">
        <v>3690</v>
      </c>
      <c r="J312" s="5">
        <v>45933</v>
      </c>
      <c r="K312" s="1" t="s">
        <v>30</v>
      </c>
      <c r="L312" s="8">
        <v>0</v>
      </c>
      <c r="M312" s="6"/>
      <c r="N312" s="6"/>
      <c r="O312" s="9">
        <v>0</v>
      </c>
    </row>
    <row r="313" spans="1:15" ht="19.5" customHeight="1">
      <c r="A313" s="1" t="s">
        <v>742</v>
      </c>
      <c r="B313" s="5">
        <v>45935</v>
      </c>
      <c r="C313" s="1" t="s">
        <v>31</v>
      </c>
      <c r="D313" s="1" t="s">
        <v>34</v>
      </c>
      <c r="E313" s="1" t="s">
        <v>239</v>
      </c>
      <c r="F313" s="1" t="s">
        <v>733</v>
      </c>
      <c r="G313" s="1" t="s">
        <v>41</v>
      </c>
      <c r="H313" s="6">
        <v>1</v>
      </c>
      <c r="I313" s="7">
        <v>3690</v>
      </c>
      <c r="J313" s="5">
        <v>45933</v>
      </c>
      <c r="K313" s="1" t="s">
        <v>30</v>
      </c>
      <c r="L313" s="8">
        <v>0</v>
      </c>
      <c r="M313" s="6"/>
      <c r="N313" s="6"/>
      <c r="O313" s="9">
        <v>1338.34</v>
      </c>
    </row>
    <row r="314" spans="1:15" ht="19.5" customHeight="1">
      <c r="A314" s="1" t="s">
        <v>742</v>
      </c>
      <c r="B314" s="5">
        <v>45935</v>
      </c>
      <c r="C314" s="1" t="s">
        <v>35</v>
      </c>
      <c r="D314" s="1" t="s">
        <v>36</v>
      </c>
      <c r="E314" s="1" t="s">
        <v>239</v>
      </c>
      <c r="F314" s="1" t="s">
        <v>733</v>
      </c>
      <c r="G314" s="1" t="s">
        <v>41</v>
      </c>
      <c r="H314" s="6">
        <v>1</v>
      </c>
      <c r="I314" s="7">
        <v>3690</v>
      </c>
      <c r="J314" s="5">
        <v>45933</v>
      </c>
      <c r="K314" s="1" t="s">
        <v>30</v>
      </c>
      <c r="L314" s="8">
        <v>0.24</v>
      </c>
      <c r="M314" s="6"/>
      <c r="N314" s="6"/>
      <c r="O314" s="9">
        <v>-885.6</v>
      </c>
    </row>
    <row r="315" spans="1:15" ht="19.5" customHeight="1">
      <c r="A315" s="1" t="s">
        <v>742</v>
      </c>
      <c r="B315" s="5">
        <v>45935</v>
      </c>
      <c r="C315" s="1" t="s">
        <v>17</v>
      </c>
      <c r="D315" s="1" t="s">
        <v>37</v>
      </c>
      <c r="E315" s="1" t="s">
        <v>239</v>
      </c>
      <c r="F315" s="1" t="s">
        <v>733</v>
      </c>
      <c r="G315" s="1" t="s">
        <v>41</v>
      </c>
      <c r="H315" s="6">
        <v>1</v>
      </c>
      <c r="I315" s="7">
        <v>3690</v>
      </c>
      <c r="J315" s="5">
        <v>45933</v>
      </c>
      <c r="K315" s="1" t="s">
        <v>30</v>
      </c>
      <c r="L315" s="8">
        <v>0.24</v>
      </c>
      <c r="M315" s="6"/>
      <c r="N315" s="6"/>
      <c r="O315" s="9">
        <v>-12.73</v>
      </c>
    </row>
    <row r="316" spans="1:15" ht="19.5" customHeight="1">
      <c r="A316" s="1" t="s">
        <v>742</v>
      </c>
      <c r="B316" s="5">
        <v>45935</v>
      </c>
      <c r="C316" s="1" t="s">
        <v>17</v>
      </c>
      <c r="D316" s="1" t="s">
        <v>18</v>
      </c>
      <c r="E316" s="1" t="s">
        <v>239</v>
      </c>
      <c r="F316" s="1" t="s">
        <v>733</v>
      </c>
      <c r="G316" s="1" t="s">
        <v>41</v>
      </c>
      <c r="H316" s="6">
        <v>1</v>
      </c>
      <c r="I316" s="7">
        <v>0</v>
      </c>
      <c r="J316" s="5">
        <v>45933</v>
      </c>
      <c r="K316" s="1" t="s">
        <v>22</v>
      </c>
      <c r="L316" s="8">
        <v>0</v>
      </c>
      <c r="M316" s="6"/>
      <c r="N316" s="6"/>
      <c r="O316" s="9">
        <v>-17.170000000000002</v>
      </c>
    </row>
    <row r="317" spans="1:15" ht="19.5" customHeight="1">
      <c r="A317" s="1" t="s">
        <v>110</v>
      </c>
      <c r="B317" s="5">
        <v>45935</v>
      </c>
      <c r="C317" s="1" t="s">
        <v>126</v>
      </c>
      <c r="D317" s="1" t="s">
        <v>127</v>
      </c>
      <c r="E317" s="1" t="s">
        <v>111</v>
      </c>
      <c r="F317" s="1" t="s">
        <v>112</v>
      </c>
      <c r="G317" s="1" t="s">
        <v>21</v>
      </c>
      <c r="H317" s="6">
        <v>1</v>
      </c>
      <c r="I317" s="7">
        <v>-3205</v>
      </c>
      <c r="J317" s="5">
        <v>45928</v>
      </c>
      <c r="K317" s="1" t="s">
        <v>113</v>
      </c>
      <c r="L317" s="8">
        <v>0</v>
      </c>
      <c r="M317" s="6"/>
      <c r="N317" s="6"/>
      <c r="O317" s="9">
        <v>-2113.12</v>
      </c>
    </row>
    <row r="318" spans="1:15" ht="19.5" customHeight="1">
      <c r="A318" s="1" t="s">
        <v>110</v>
      </c>
      <c r="B318" s="5">
        <v>45935</v>
      </c>
      <c r="C318" s="1" t="s">
        <v>126</v>
      </c>
      <c r="D318" s="1" t="s">
        <v>33</v>
      </c>
      <c r="E318" s="1" t="s">
        <v>111</v>
      </c>
      <c r="F318" s="1" t="s">
        <v>112</v>
      </c>
      <c r="G318" s="1" t="s">
        <v>21</v>
      </c>
      <c r="H318" s="6">
        <v>1</v>
      </c>
      <c r="I318" s="7">
        <v>-3205</v>
      </c>
      <c r="J318" s="5">
        <v>45928</v>
      </c>
      <c r="K318" s="1" t="s">
        <v>113</v>
      </c>
      <c r="L318" s="8">
        <v>0</v>
      </c>
      <c r="M318" s="6"/>
      <c r="N318" s="6"/>
      <c r="O318" s="9">
        <v>0</v>
      </c>
    </row>
    <row r="319" spans="1:15" ht="19.5" customHeight="1">
      <c r="A319" s="1" t="s">
        <v>110</v>
      </c>
      <c r="B319" s="5">
        <v>45935</v>
      </c>
      <c r="C319" s="1" t="s">
        <v>126</v>
      </c>
      <c r="D319" s="1" t="s">
        <v>34</v>
      </c>
      <c r="E319" s="1" t="s">
        <v>111</v>
      </c>
      <c r="F319" s="1" t="s">
        <v>112</v>
      </c>
      <c r="G319" s="1" t="s">
        <v>21</v>
      </c>
      <c r="H319" s="6">
        <v>1</v>
      </c>
      <c r="I319" s="7">
        <v>-3205</v>
      </c>
      <c r="J319" s="5">
        <v>45928</v>
      </c>
      <c r="K319" s="1" t="s">
        <v>113</v>
      </c>
      <c r="L319" s="8">
        <v>0</v>
      </c>
      <c r="M319" s="6"/>
      <c r="N319" s="6"/>
      <c r="O319" s="9">
        <v>-1091.8800000000001</v>
      </c>
    </row>
    <row r="320" spans="1:15" ht="19.5" customHeight="1">
      <c r="A320" s="1" t="s">
        <v>110</v>
      </c>
      <c r="B320" s="5">
        <v>45935</v>
      </c>
      <c r="C320" s="1" t="s">
        <v>35</v>
      </c>
      <c r="D320" s="1" t="s">
        <v>128</v>
      </c>
      <c r="E320" s="1" t="s">
        <v>111</v>
      </c>
      <c r="F320" s="1" t="s">
        <v>112</v>
      </c>
      <c r="G320" s="1" t="s">
        <v>21</v>
      </c>
      <c r="H320" s="6">
        <v>1</v>
      </c>
      <c r="I320" s="7">
        <v>-3205</v>
      </c>
      <c r="J320" s="5">
        <v>45928</v>
      </c>
      <c r="K320" s="1" t="s">
        <v>113</v>
      </c>
      <c r="L320" s="8">
        <v>0.33500000000000002</v>
      </c>
      <c r="M320" s="6"/>
      <c r="N320" s="6"/>
      <c r="O320" s="9">
        <v>1073.68</v>
      </c>
    </row>
    <row r="321" spans="1:15" ht="19.5" customHeight="1">
      <c r="A321" s="1" t="s">
        <v>110</v>
      </c>
      <c r="B321" s="5">
        <v>45935</v>
      </c>
      <c r="C321" s="1" t="s">
        <v>17</v>
      </c>
      <c r="D321" s="1" t="s">
        <v>18</v>
      </c>
      <c r="E321" s="1" t="s">
        <v>111</v>
      </c>
      <c r="F321" s="1" t="s">
        <v>112</v>
      </c>
      <c r="G321" s="1" t="s">
        <v>21</v>
      </c>
      <c r="H321" s="6">
        <v>1</v>
      </c>
      <c r="I321" s="7">
        <v>0</v>
      </c>
      <c r="J321" s="5">
        <v>45928</v>
      </c>
      <c r="K321" s="1" t="s">
        <v>22</v>
      </c>
      <c r="L321" s="8">
        <v>0</v>
      </c>
      <c r="M321" s="6"/>
      <c r="N321" s="6"/>
      <c r="O321" s="9">
        <v>13.31</v>
      </c>
    </row>
    <row r="322" spans="1:15" ht="19.5" customHeight="1">
      <c r="A322" s="1" t="s">
        <v>59</v>
      </c>
      <c r="B322" s="5">
        <v>45935</v>
      </c>
      <c r="C322" s="1" t="s">
        <v>126</v>
      </c>
      <c r="D322" s="1" t="s">
        <v>127</v>
      </c>
      <c r="E322" s="1" t="s">
        <v>51</v>
      </c>
      <c r="F322" s="1" t="s">
        <v>52</v>
      </c>
      <c r="G322" s="1" t="s">
        <v>41</v>
      </c>
      <c r="H322" s="6">
        <v>1</v>
      </c>
      <c r="I322" s="7">
        <v>-3690</v>
      </c>
      <c r="J322" s="5">
        <v>45928</v>
      </c>
      <c r="K322" s="1" t="s">
        <v>30</v>
      </c>
      <c r="L322" s="8">
        <v>0</v>
      </c>
      <c r="M322" s="6"/>
      <c r="N322" s="6"/>
      <c r="O322" s="9">
        <v>-2131.5</v>
      </c>
    </row>
    <row r="323" spans="1:15" ht="19.5" customHeight="1">
      <c r="A323" s="1" t="s">
        <v>59</v>
      </c>
      <c r="B323" s="5">
        <v>45935</v>
      </c>
      <c r="C323" s="1" t="s">
        <v>126</v>
      </c>
      <c r="D323" s="1" t="s">
        <v>33</v>
      </c>
      <c r="E323" s="1" t="s">
        <v>51</v>
      </c>
      <c r="F323" s="1" t="s">
        <v>52</v>
      </c>
      <c r="G323" s="1" t="s">
        <v>41</v>
      </c>
      <c r="H323" s="6">
        <v>1</v>
      </c>
      <c r="I323" s="7">
        <v>-3690</v>
      </c>
      <c r="J323" s="5">
        <v>45928</v>
      </c>
      <c r="K323" s="1" t="s">
        <v>30</v>
      </c>
      <c r="L323" s="8">
        <v>0</v>
      </c>
      <c r="M323" s="6"/>
      <c r="N323" s="6"/>
      <c r="O323" s="9">
        <v>-15.67</v>
      </c>
    </row>
    <row r="324" spans="1:15" ht="19.5" customHeight="1">
      <c r="A324" s="1" t="s">
        <v>59</v>
      </c>
      <c r="B324" s="5">
        <v>45935</v>
      </c>
      <c r="C324" s="1" t="s">
        <v>126</v>
      </c>
      <c r="D324" s="1" t="s">
        <v>34</v>
      </c>
      <c r="E324" s="1" t="s">
        <v>51</v>
      </c>
      <c r="F324" s="1" t="s">
        <v>52</v>
      </c>
      <c r="G324" s="1" t="s">
        <v>41</v>
      </c>
      <c r="H324" s="6">
        <v>1</v>
      </c>
      <c r="I324" s="7">
        <v>-3690</v>
      </c>
      <c r="J324" s="5">
        <v>45928</v>
      </c>
      <c r="K324" s="1" t="s">
        <v>30</v>
      </c>
      <c r="L324" s="8">
        <v>0</v>
      </c>
      <c r="M324" s="6"/>
      <c r="N324" s="6"/>
      <c r="O324" s="9">
        <v>-1542.83</v>
      </c>
    </row>
    <row r="325" spans="1:15" ht="19.5" customHeight="1">
      <c r="A325" s="1" t="s">
        <v>59</v>
      </c>
      <c r="B325" s="5">
        <v>45935</v>
      </c>
      <c r="C325" s="1" t="s">
        <v>35</v>
      </c>
      <c r="D325" s="1" t="s">
        <v>128</v>
      </c>
      <c r="E325" s="1" t="s">
        <v>51</v>
      </c>
      <c r="F325" s="1" t="s">
        <v>52</v>
      </c>
      <c r="G325" s="1" t="s">
        <v>41</v>
      </c>
      <c r="H325" s="6">
        <v>1</v>
      </c>
      <c r="I325" s="7">
        <v>-3690</v>
      </c>
      <c r="J325" s="5">
        <v>45928</v>
      </c>
      <c r="K325" s="1" t="s">
        <v>30</v>
      </c>
      <c r="L325" s="8">
        <v>0.24</v>
      </c>
      <c r="M325" s="6"/>
      <c r="N325" s="6"/>
      <c r="O325" s="9">
        <v>885.6</v>
      </c>
    </row>
    <row r="326" spans="1:15" ht="19.5" customHeight="1">
      <c r="A326" s="1" t="s">
        <v>59</v>
      </c>
      <c r="B326" s="5">
        <v>45935</v>
      </c>
      <c r="C326" s="1" t="s">
        <v>17</v>
      </c>
      <c r="D326" s="1" t="s">
        <v>18</v>
      </c>
      <c r="E326" s="1" t="s">
        <v>51</v>
      </c>
      <c r="F326" s="1" t="s">
        <v>52</v>
      </c>
      <c r="G326" s="1" t="s">
        <v>41</v>
      </c>
      <c r="H326" s="6">
        <v>1</v>
      </c>
      <c r="I326" s="7">
        <v>0</v>
      </c>
      <c r="J326" s="5">
        <v>45928</v>
      </c>
      <c r="K326" s="1" t="s">
        <v>22</v>
      </c>
      <c r="L326" s="8">
        <v>0</v>
      </c>
      <c r="M326" s="6"/>
      <c r="N326" s="6"/>
      <c r="O326" s="9">
        <v>40.5</v>
      </c>
    </row>
    <row r="327" spans="1:15" ht="19.5" customHeight="1">
      <c r="A327" s="1" t="s">
        <v>704</v>
      </c>
      <c r="B327" s="5">
        <v>45935</v>
      </c>
      <c r="C327" s="1" t="s">
        <v>17</v>
      </c>
      <c r="D327" s="1" t="s">
        <v>18</v>
      </c>
      <c r="E327" s="1" t="s">
        <v>51</v>
      </c>
      <c r="F327" s="1" t="s">
        <v>52</v>
      </c>
      <c r="G327" s="1" t="s">
        <v>41</v>
      </c>
      <c r="H327" s="6">
        <v>1</v>
      </c>
      <c r="I327" s="7">
        <v>0</v>
      </c>
      <c r="J327" s="5">
        <v>45932</v>
      </c>
      <c r="K327" s="1" t="s">
        <v>22</v>
      </c>
      <c r="L327" s="8">
        <v>0</v>
      </c>
      <c r="M327" s="6"/>
      <c r="N327" s="6"/>
      <c r="O327" s="9">
        <v>28.9</v>
      </c>
    </row>
    <row r="328" spans="1:15" ht="19.5" customHeight="1">
      <c r="A328" s="1" t="s">
        <v>107</v>
      </c>
      <c r="B328" s="5">
        <v>45935</v>
      </c>
      <c r="C328" s="1" t="s">
        <v>126</v>
      </c>
      <c r="D328" s="1" t="s">
        <v>127</v>
      </c>
      <c r="E328" s="1" t="s">
        <v>25</v>
      </c>
      <c r="F328" s="1" t="s">
        <v>26</v>
      </c>
      <c r="G328" s="1" t="s">
        <v>21</v>
      </c>
      <c r="H328" s="6">
        <v>1</v>
      </c>
      <c r="I328" s="7">
        <v>-1200</v>
      </c>
      <c r="J328" s="5">
        <v>45931</v>
      </c>
      <c r="K328" s="1" t="s">
        <v>30</v>
      </c>
      <c r="L328" s="8">
        <v>0</v>
      </c>
      <c r="M328" s="6"/>
      <c r="N328" s="6"/>
      <c r="O328" s="9">
        <v>-666.67</v>
      </c>
    </row>
    <row r="329" spans="1:15" ht="19.5" customHeight="1">
      <c r="A329" s="1" t="s">
        <v>107</v>
      </c>
      <c r="B329" s="5">
        <v>45935</v>
      </c>
      <c r="C329" s="1" t="s">
        <v>126</v>
      </c>
      <c r="D329" s="1" t="s">
        <v>33</v>
      </c>
      <c r="E329" s="1" t="s">
        <v>25</v>
      </c>
      <c r="F329" s="1" t="s">
        <v>26</v>
      </c>
      <c r="G329" s="1" t="s">
        <v>21</v>
      </c>
      <c r="H329" s="6">
        <v>1</v>
      </c>
      <c r="I329" s="7">
        <v>-1200</v>
      </c>
      <c r="J329" s="5">
        <v>45931</v>
      </c>
      <c r="K329" s="1" t="s">
        <v>30</v>
      </c>
      <c r="L329" s="8">
        <v>0</v>
      </c>
      <c r="M329" s="6"/>
      <c r="N329" s="6"/>
      <c r="O329" s="9">
        <v>-6.67</v>
      </c>
    </row>
    <row r="330" spans="1:15" ht="19.5" customHeight="1">
      <c r="A330" s="1" t="s">
        <v>107</v>
      </c>
      <c r="B330" s="5">
        <v>45935</v>
      </c>
      <c r="C330" s="1" t="s">
        <v>126</v>
      </c>
      <c r="D330" s="1" t="s">
        <v>34</v>
      </c>
      <c r="E330" s="1" t="s">
        <v>25</v>
      </c>
      <c r="F330" s="1" t="s">
        <v>26</v>
      </c>
      <c r="G330" s="1" t="s">
        <v>21</v>
      </c>
      <c r="H330" s="6">
        <v>1</v>
      </c>
      <c r="I330" s="7">
        <v>-1200</v>
      </c>
      <c r="J330" s="5">
        <v>45931</v>
      </c>
      <c r="K330" s="1" t="s">
        <v>30</v>
      </c>
      <c r="L330" s="8">
        <v>0</v>
      </c>
      <c r="M330" s="6"/>
      <c r="N330" s="6"/>
      <c r="O330" s="9">
        <v>-526.66</v>
      </c>
    </row>
    <row r="331" spans="1:15" ht="19.5" customHeight="1">
      <c r="A331" s="1" t="s">
        <v>107</v>
      </c>
      <c r="B331" s="5">
        <v>45935</v>
      </c>
      <c r="C331" s="1" t="s">
        <v>35</v>
      </c>
      <c r="D331" s="1" t="s">
        <v>128</v>
      </c>
      <c r="E331" s="1" t="s">
        <v>25</v>
      </c>
      <c r="F331" s="1" t="s">
        <v>26</v>
      </c>
      <c r="G331" s="1" t="s">
        <v>21</v>
      </c>
      <c r="H331" s="6">
        <v>1</v>
      </c>
      <c r="I331" s="7">
        <v>-1200</v>
      </c>
      <c r="J331" s="5">
        <v>45931</v>
      </c>
      <c r="K331" s="1" t="s">
        <v>30</v>
      </c>
      <c r="L331" s="8">
        <v>0.26</v>
      </c>
      <c r="M331" s="6"/>
      <c r="N331" s="6"/>
      <c r="O331" s="9">
        <v>312</v>
      </c>
    </row>
    <row r="332" spans="1:15" ht="19.5" customHeight="1">
      <c r="A332" s="1" t="s">
        <v>743</v>
      </c>
      <c r="B332" s="5">
        <v>45935</v>
      </c>
      <c r="C332" s="1" t="s">
        <v>28</v>
      </c>
      <c r="D332" s="1" t="s">
        <v>29</v>
      </c>
      <c r="E332" s="1" t="s">
        <v>25</v>
      </c>
      <c r="F332" s="1" t="s">
        <v>26</v>
      </c>
      <c r="G332" s="1" t="s">
        <v>21</v>
      </c>
      <c r="H332" s="6">
        <v>1</v>
      </c>
      <c r="I332" s="7">
        <v>1200</v>
      </c>
      <c r="J332" s="5">
        <v>45934</v>
      </c>
      <c r="K332" s="1" t="s">
        <v>30</v>
      </c>
      <c r="L332" s="8">
        <v>0.26</v>
      </c>
      <c r="M332" s="6"/>
      <c r="N332" s="6"/>
      <c r="O332" s="9">
        <v>-46</v>
      </c>
    </row>
    <row r="333" spans="1:15" ht="19.5" customHeight="1">
      <c r="A333" s="1" t="s">
        <v>743</v>
      </c>
      <c r="B333" s="5">
        <v>45935</v>
      </c>
      <c r="C333" s="1" t="s">
        <v>31</v>
      </c>
      <c r="D333" s="1" t="s">
        <v>32</v>
      </c>
      <c r="E333" s="1" t="s">
        <v>25</v>
      </c>
      <c r="F333" s="1" t="s">
        <v>26</v>
      </c>
      <c r="G333" s="1" t="s">
        <v>21</v>
      </c>
      <c r="H333" s="6">
        <v>1</v>
      </c>
      <c r="I333" s="7">
        <v>1200</v>
      </c>
      <c r="J333" s="5">
        <v>45934</v>
      </c>
      <c r="K333" s="1" t="s">
        <v>30</v>
      </c>
      <c r="L333" s="8">
        <v>0</v>
      </c>
      <c r="M333" s="6"/>
      <c r="N333" s="6"/>
      <c r="O333" s="9">
        <v>611.82000000000005</v>
      </c>
    </row>
    <row r="334" spans="1:15" ht="19.5" customHeight="1">
      <c r="A334" s="1" t="s">
        <v>743</v>
      </c>
      <c r="B334" s="5">
        <v>45935</v>
      </c>
      <c r="C334" s="1" t="s">
        <v>31</v>
      </c>
      <c r="D334" s="1" t="s">
        <v>33</v>
      </c>
      <c r="E334" s="1" t="s">
        <v>25</v>
      </c>
      <c r="F334" s="1" t="s">
        <v>26</v>
      </c>
      <c r="G334" s="1" t="s">
        <v>21</v>
      </c>
      <c r="H334" s="6">
        <v>1</v>
      </c>
      <c r="I334" s="7">
        <v>1200</v>
      </c>
      <c r="J334" s="5">
        <v>45934</v>
      </c>
      <c r="K334" s="1" t="s">
        <v>30</v>
      </c>
      <c r="L334" s="8">
        <v>0</v>
      </c>
      <c r="M334" s="6"/>
      <c r="N334" s="6"/>
      <c r="O334" s="9">
        <v>6.12</v>
      </c>
    </row>
    <row r="335" spans="1:15" ht="19.5" customHeight="1">
      <c r="A335" s="1" t="s">
        <v>743</v>
      </c>
      <c r="B335" s="5">
        <v>45935</v>
      </c>
      <c r="C335" s="1" t="s">
        <v>31</v>
      </c>
      <c r="D335" s="1" t="s">
        <v>34</v>
      </c>
      <c r="E335" s="1" t="s">
        <v>25</v>
      </c>
      <c r="F335" s="1" t="s">
        <v>26</v>
      </c>
      <c r="G335" s="1" t="s">
        <v>21</v>
      </c>
      <c r="H335" s="6">
        <v>1</v>
      </c>
      <c r="I335" s="7">
        <v>1200</v>
      </c>
      <c r="J335" s="5">
        <v>45934</v>
      </c>
      <c r="K335" s="1" t="s">
        <v>30</v>
      </c>
      <c r="L335" s="8">
        <v>0</v>
      </c>
      <c r="M335" s="6"/>
      <c r="N335" s="6"/>
      <c r="O335" s="9">
        <v>582.05999999999995</v>
      </c>
    </row>
    <row r="336" spans="1:15" ht="19.5" customHeight="1">
      <c r="A336" s="1" t="s">
        <v>743</v>
      </c>
      <c r="B336" s="5">
        <v>45935</v>
      </c>
      <c r="C336" s="1" t="s">
        <v>35</v>
      </c>
      <c r="D336" s="1" t="s">
        <v>36</v>
      </c>
      <c r="E336" s="1" t="s">
        <v>25</v>
      </c>
      <c r="F336" s="1" t="s">
        <v>26</v>
      </c>
      <c r="G336" s="1" t="s">
        <v>21</v>
      </c>
      <c r="H336" s="6">
        <v>1</v>
      </c>
      <c r="I336" s="7">
        <v>1200</v>
      </c>
      <c r="J336" s="5">
        <v>45934</v>
      </c>
      <c r="K336" s="1" t="s">
        <v>30</v>
      </c>
      <c r="L336" s="8">
        <v>0.26</v>
      </c>
      <c r="M336" s="6"/>
      <c r="N336" s="6"/>
      <c r="O336" s="9">
        <v>-312</v>
      </c>
    </row>
    <row r="337" spans="1:15" ht="19.5" customHeight="1">
      <c r="A337" s="1" t="s">
        <v>743</v>
      </c>
      <c r="B337" s="5">
        <v>45935</v>
      </c>
      <c r="C337" s="1" t="s">
        <v>17</v>
      </c>
      <c r="D337" s="1" t="s">
        <v>37</v>
      </c>
      <c r="E337" s="1" t="s">
        <v>25</v>
      </c>
      <c r="F337" s="1" t="s">
        <v>26</v>
      </c>
      <c r="G337" s="1" t="s">
        <v>21</v>
      </c>
      <c r="H337" s="6">
        <v>1</v>
      </c>
      <c r="I337" s="7">
        <v>1200</v>
      </c>
      <c r="J337" s="5">
        <v>45934</v>
      </c>
      <c r="K337" s="1" t="s">
        <v>30</v>
      </c>
      <c r="L337" s="8">
        <v>0.26</v>
      </c>
      <c r="M337" s="6"/>
      <c r="N337" s="6"/>
      <c r="O337" s="9">
        <v>-6.06</v>
      </c>
    </row>
    <row r="338" spans="1:15" ht="19.5" customHeight="1">
      <c r="A338" s="1" t="s">
        <v>744</v>
      </c>
      <c r="B338" s="5">
        <v>45935</v>
      </c>
      <c r="C338" s="1" t="s">
        <v>28</v>
      </c>
      <c r="D338" s="1" t="s">
        <v>29</v>
      </c>
      <c r="E338" s="1" t="s">
        <v>222</v>
      </c>
      <c r="F338" s="1" t="s">
        <v>412</v>
      </c>
      <c r="G338" s="1" t="s">
        <v>21</v>
      </c>
      <c r="H338" s="6">
        <v>1</v>
      </c>
      <c r="I338" s="7">
        <v>1300</v>
      </c>
      <c r="J338" s="5">
        <v>45934</v>
      </c>
      <c r="K338" s="1" t="s">
        <v>30</v>
      </c>
      <c r="L338" s="8">
        <v>0.26</v>
      </c>
      <c r="M338" s="6"/>
      <c r="N338" s="6"/>
      <c r="O338" s="9">
        <v>-46</v>
      </c>
    </row>
    <row r="339" spans="1:15" ht="19.5" customHeight="1">
      <c r="A339" s="1" t="s">
        <v>744</v>
      </c>
      <c r="B339" s="5">
        <v>45935</v>
      </c>
      <c r="C339" s="1" t="s">
        <v>31</v>
      </c>
      <c r="D339" s="1" t="s">
        <v>32</v>
      </c>
      <c r="E339" s="1" t="s">
        <v>222</v>
      </c>
      <c r="F339" s="1" t="s">
        <v>412</v>
      </c>
      <c r="G339" s="1" t="s">
        <v>21</v>
      </c>
      <c r="H339" s="6">
        <v>1</v>
      </c>
      <c r="I339" s="7">
        <v>1300</v>
      </c>
      <c r="J339" s="5">
        <v>45934</v>
      </c>
      <c r="K339" s="1" t="s">
        <v>30</v>
      </c>
      <c r="L339" s="8">
        <v>0</v>
      </c>
      <c r="M339" s="6"/>
      <c r="N339" s="6"/>
      <c r="O339" s="9">
        <v>723.64</v>
      </c>
    </row>
    <row r="340" spans="1:15" ht="19.5" customHeight="1">
      <c r="A340" s="1" t="s">
        <v>744</v>
      </c>
      <c r="B340" s="5">
        <v>45935</v>
      </c>
      <c r="C340" s="1" t="s">
        <v>31</v>
      </c>
      <c r="D340" s="1" t="s">
        <v>33</v>
      </c>
      <c r="E340" s="1" t="s">
        <v>222</v>
      </c>
      <c r="F340" s="1" t="s">
        <v>412</v>
      </c>
      <c r="G340" s="1" t="s">
        <v>21</v>
      </c>
      <c r="H340" s="6">
        <v>1</v>
      </c>
      <c r="I340" s="7">
        <v>1300</v>
      </c>
      <c r="J340" s="5">
        <v>45934</v>
      </c>
      <c r="K340" s="1" t="s">
        <v>30</v>
      </c>
      <c r="L340" s="8">
        <v>0</v>
      </c>
      <c r="M340" s="6"/>
      <c r="N340" s="6"/>
      <c r="O340" s="9">
        <v>7.24</v>
      </c>
    </row>
    <row r="341" spans="1:15" ht="19.5" customHeight="1">
      <c r="A341" s="1" t="s">
        <v>744</v>
      </c>
      <c r="B341" s="5">
        <v>45935</v>
      </c>
      <c r="C341" s="1" t="s">
        <v>31</v>
      </c>
      <c r="D341" s="1" t="s">
        <v>34</v>
      </c>
      <c r="E341" s="1" t="s">
        <v>222</v>
      </c>
      <c r="F341" s="1" t="s">
        <v>412</v>
      </c>
      <c r="G341" s="1" t="s">
        <v>21</v>
      </c>
      <c r="H341" s="6">
        <v>1</v>
      </c>
      <c r="I341" s="7">
        <v>1300</v>
      </c>
      <c r="J341" s="5">
        <v>45934</v>
      </c>
      <c r="K341" s="1" t="s">
        <v>30</v>
      </c>
      <c r="L341" s="8">
        <v>0</v>
      </c>
      <c r="M341" s="6"/>
      <c r="N341" s="6"/>
      <c r="O341" s="9">
        <v>569.12</v>
      </c>
    </row>
    <row r="342" spans="1:15" ht="19.5" customHeight="1">
      <c r="A342" s="1" t="s">
        <v>744</v>
      </c>
      <c r="B342" s="5">
        <v>45935</v>
      </c>
      <c r="C342" s="1" t="s">
        <v>35</v>
      </c>
      <c r="D342" s="1" t="s">
        <v>36</v>
      </c>
      <c r="E342" s="1" t="s">
        <v>222</v>
      </c>
      <c r="F342" s="1" t="s">
        <v>412</v>
      </c>
      <c r="G342" s="1" t="s">
        <v>21</v>
      </c>
      <c r="H342" s="6">
        <v>1</v>
      </c>
      <c r="I342" s="7">
        <v>1300</v>
      </c>
      <c r="J342" s="5">
        <v>45934</v>
      </c>
      <c r="K342" s="1" t="s">
        <v>30</v>
      </c>
      <c r="L342" s="8">
        <v>0.26</v>
      </c>
      <c r="M342" s="6"/>
      <c r="N342" s="6"/>
      <c r="O342" s="9">
        <v>-338</v>
      </c>
    </row>
    <row r="343" spans="1:15" ht="19.5" customHeight="1">
      <c r="A343" s="1" t="s">
        <v>744</v>
      </c>
      <c r="B343" s="5">
        <v>45935</v>
      </c>
      <c r="C343" s="1" t="s">
        <v>17</v>
      </c>
      <c r="D343" s="1" t="s">
        <v>37</v>
      </c>
      <c r="E343" s="1" t="s">
        <v>222</v>
      </c>
      <c r="F343" s="1" t="s">
        <v>412</v>
      </c>
      <c r="G343" s="1" t="s">
        <v>21</v>
      </c>
      <c r="H343" s="6">
        <v>1</v>
      </c>
      <c r="I343" s="7">
        <v>1300</v>
      </c>
      <c r="J343" s="5">
        <v>45934</v>
      </c>
      <c r="K343" s="1" t="s">
        <v>30</v>
      </c>
      <c r="L343" s="8">
        <v>0.26</v>
      </c>
      <c r="M343" s="6"/>
      <c r="N343" s="6"/>
      <c r="O343" s="9">
        <v>-6.56</v>
      </c>
    </row>
    <row r="344" spans="1:15" ht="19.5" customHeight="1">
      <c r="A344" s="1" t="s">
        <v>682</v>
      </c>
      <c r="B344" s="5">
        <v>45935</v>
      </c>
      <c r="C344" s="1" t="s">
        <v>17</v>
      </c>
      <c r="D344" s="1" t="s">
        <v>18</v>
      </c>
      <c r="E344" s="1" t="s">
        <v>25</v>
      </c>
      <c r="F344" s="1" t="s">
        <v>26</v>
      </c>
      <c r="G344" s="1" t="s">
        <v>21</v>
      </c>
      <c r="H344" s="6">
        <v>1</v>
      </c>
      <c r="I344" s="7">
        <v>0</v>
      </c>
      <c r="J344" s="5">
        <v>45931</v>
      </c>
      <c r="K344" s="1" t="s">
        <v>22</v>
      </c>
      <c r="L344" s="8">
        <v>0</v>
      </c>
      <c r="M344" s="6"/>
      <c r="N344" s="6"/>
      <c r="O344" s="9">
        <v>12.67</v>
      </c>
    </row>
    <row r="345" spans="1:15" ht="19.5" customHeight="1">
      <c r="A345" s="1" t="s">
        <v>743</v>
      </c>
      <c r="B345" s="5">
        <v>45935</v>
      </c>
      <c r="C345" s="1" t="s">
        <v>17</v>
      </c>
      <c r="D345" s="1" t="s">
        <v>18</v>
      </c>
      <c r="E345" s="1" t="s">
        <v>25</v>
      </c>
      <c r="F345" s="1" t="s">
        <v>26</v>
      </c>
      <c r="G345" s="1" t="s">
        <v>21</v>
      </c>
      <c r="H345" s="6">
        <v>1</v>
      </c>
      <c r="I345" s="7">
        <v>0</v>
      </c>
      <c r="J345" s="5">
        <v>45934</v>
      </c>
      <c r="K345" s="1" t="s">
        <v>22</v>
      </c>
      <c r="L345" s="8">
        <v>0</v>
      </c>
      <c r="M345" s="6"/>
      <c r="N345" s="6"/>
      <c r="O345" s="9">
        <v>-11.62</v>
      </c>
    </row>
    <row r="346" spans="1:15" ht="19.5" customHeight="1">
      <c r="A346" s="1" t="s">
        <v>744</v>
      </c>
      <c r="B346" s="5">
        <v>45935</v>
      </c>
      <c r="C346" s="1" t="s">
        <v>17</v>
      </c>
      <c r="D346" s="1" t="s">
        <v>18</v>
      </c>
      <c r="E346" s="1" t="s">
        <v>222</v>
      </c>
      <c r="F346" s="1" t="s">
        <v>412</v>
      </c>
      <c r="G346" s="1" t="s">
        <v>21</v>
      </c>
      <c r="H346" s="6">
        <v>1</v>
      </c>
      <c r="I346" s="7">
        <v>0</v>
      </c>
      <c r="J346" s="5">
        <v>45934</v>
      </c>
      <c r="K346" s="1" t="s">
        <v>22</v>
      </c>
      <c r="L346" s="8">
        <v>0</v>
      </c>
      <c r="M346" s="6"/>
      <c r="N346" s="6"/>
      <c r="O346" s="9">
        <v>-13.75</v>
      </c>
    </row>
    <row r="347" spans="1:15" ht="19.5" customHeight="1">
      <c r="A347" s="1" t="s">
        <v>745</v>
      </c>
      <c r="B347" s="5">
        <v>45935</v>
      </c>
      <c r="C347" s="1" t="s">
        <v>28</v>
      </c>
      <c r="D347" s="1" t="s">
        <v>29</v>
      </c>
      <c r="E347" s="1" t="s">
        <v>54</v>
      </c>
      <c r="F347" s="1" t="s">
        <v>55</v>
      </c>
      <c r="G347" s="1" t="s">
        <v>21</v>
      </c>
      <c r="H347" s="6">
        <v>1</v>
      </c>
      <c r="I347" s="7">
        <v>0</v>
      </c>
      <c r="J347" s="5">
        <v>45911</v>
      </c>
      <c r="K347" s="1" t="s">
        <v>30</v>
      </c>
      <c r="L347" s="8">
        <v>0</v>
      </c>
      <c r="M347" s="6"/>
      <c r="N347" s="6"/>
      <c r="O347" s="9">
        <v>-46</v>
      </c>
    </row>
    <row r="348" spans="1:15" ht="19.5" customHeight="1">
      <c r="A348" s="1" t="s">
        <v>745</v>
      </c>
      <c r="B348" s="5">
        <v>45935</v>
      </c>
      <c r="C348" s="1" t="s">
        <v>17</v>
      </c>
      <c r="D348" s="1" t="s">
        <v>37</v>
      </c>
      <c r="E348" s="1" t="s">
        <v>54</v>
      </c>
      <c r="F348" s="1" t="s">
        <v>55</v>
      </c>
      <c r="G348" s="1" t="s">
        <v>21</v>
      </c>
      <c r="H348" s="6">
        <v>1</v>
      </c>
      <c r="I348" s="7">
        <v>0</v>
      </c>
      <c r="J348" s="5">
        <v>45911</v>
      </c>
      <c r="K348" s="1" t="s">
        <v>30</v>
      </c>
      <c r="L348" s="8">
        <v>0</v>
      </c>
      <c r="M348" s="6"/>
      <c r="N348" s="6"/>
      <c r="O348" s="9">
        <v>-5.81</v>
      </c>
    </row>
    <row r="349" spans="1:15" ht="19.5" customHeight="1">
      <c r="A349" s="1" t="s">
        <v>745</v>
      </c>
      <c r="B349" s="5">
        <v>45935</v>
      </c>
      <c r="C349" s="1" t="s">
        <v>28</v>
      </c>
      <c r="D349" s="1" t="s">
        <v>45</v>
      </c>
      <c r="E349" s="1" t="s">
        <v>54</v>
      </c>
      <c r="F349" s="1" t="s">
        <v>55</v>
      </c>
      <c r="G349" s="1" t="s">
        <v>21</v>
      </c>
      <c r="H349" s="6">
        <v>1</v>
      </c>
      <c r="I349" s="7">
        <v>0</v>
      </c>
      <c r="J349" s="5">
        <v>45911</v>
      </c>
      <c r="K349" s="1" t="s">
        <v>30</v>
      </c>
      <c r="L349" s="8">
        <v>0</v>
      </c>
      <c r="M349" s="6"/>
      <c r="N349" s="6"/>
      <c r="O349" s="9">
        <v>0</v>
      </c>
    </row>
    <row r="350" spans="1:15" ht="19.5" customHeight="1">
      <c r="A350" s="1" t="s">
        <v>745</v>
      </c>
      <c r="B350" s="5">
        <v>45935</v>
      </c>
      <c r="C350" s="1" t="s">
        <v>28</v>
      </c>
      <c r="D350" s="1" t="s">
        <v>46</v>
      </c>
      <c r="E350" s="1" t="s">
        <v>54</v>
      </c>
      <c r="F350" s="1" t="s">
        <v>55</v>
      </c>
      <c r="G350" s="1" t="s">
        <v>21</v>
      </c>
      <c r="H350" s="6">
        <v>1</v>
      </c>
      <c r="I350" s="7">
        <v>0</v>
      </c>
      <c r="J350" s="5">
        <v>45911</v>
      </c>
      <c r="K350" s="1" t="s">
        <v>30</v>
      </c>
      <c r="L350" s="8">
        <v>0</v>
      </c>
      <c r="M350" s="6"/>
      <c r="N350" s="6"/>
      <c r="O350" s="9">
        <v>-46</v>
      </c>
    </row>
    <row r="351" spans="1:15" ht="19.5" customHeight="1">
      <c r="A351" s="1" t="s">
        <v>746</v>
      </c>
      <c r="B351" s="5">
        <v>45935</v>
      </c>
      <c r="C351" s="1" t="s">
        <v>28</v>
      </c>
      <c r="D351" s="1" t="s">
        <v>29</v>
      </c>
      <c r="E351" s="1" t="s">
        <v>225</v>
      </c>
      <c r="F351" s="1" t="s">
        <v>491</v>
      </c>
      <c r="G351" s="1" t="s">
        <v>21</v>
      </c>
      <c r="H351" s="6">
        <v>1</v>
      </c>
      <c r="I351" s="7">
        <v>1500</v>
      </c>
      <c r="J351" s="5">
        <v>45933</v>
      </c>
      <c r="K351" s="1" t="s">
        <v>30</v>
      </c>
      <c r="L351" s="8">
        <v>0.26</v>
      </c>
      <c r="M351" s="6"/>
      <c r="N351" s="6"/>
      <c r="O351" s="9">
        <v>-46</v>
      </c>
    </row>
    <row r="352" spans="1:15" ht="19.5" customHeight="1">
      <c r="A352" s="1" t="s">
        <v>746</v>
      </c>
      <c r="B352" s="5">
        <v>45935</v>
      </c>
      <c r="C352" s="1" t="s">
        <v>31</v>
      </c>
      <c r="D352" s="1" t="s">
        <v>32</v>
      </c>
      <c r="E352" s="1" t="s">
        <v>225</v>
      </c>
      <c r="F352" s="1" t="s">
        <v>491</v>
      </c>
      <c r="G352" s="1" t="s">
        <v>21</v>
      </c>
      <c r="H352" s="6">
        <v>1</v>
      </c>
      <c r="I352" s="7">
        <v>1500</v>
      </c>
      <c r="J352" s="5">
        <v>45933</v>
      </c>
      <c r="K352" s="1" t="s">
        <v>30</v>
      </c>
      <c r="L352" s="8">
        <v>0</v>
      </c>
      <c r="M352" s="6"/>
      <c r="N352" s="6"/>
      <c r="O352" s="9">
        <v>895</v>
      </c>
    </row>
    <row r="353" spans="1:15" ht="19.5" customHeight="1">
      <c r="A353" s="1" t="s">
        <v>746</v>
      </c>
      <c r="B353" s="5">
        <v>45935</v>
      </c>
      <c r="C353" s="1" t="s">
        <v>31</v>
      </c>
      <c r="D353" s="1" t="s">
        <v>33</v>
      </c>
      <c r="E353" s="1" t="s">
        <v>225</v>
      </c>
      <c r="F353" s="1" t="s">
        <v>491</v>
      </c>
      <c r="G353" s="1" t="s">
        <v>21</v>
      </c>
      <c r="H353" s="6">
        <v>1</v>
      </c>
      <c r="I353" s="7">
        <v>1500</v>
      </c>
      <c r="J353" s="5">
        <v>45933</v>
      </c>
      <c r="K353" s="1" t="s">
        <v>30</v>
      </c>
      <c r="L353" s="8">
        <v>0</v>
      </c>
      <c r="M353" s="6"/>
      <c r="N353" s="6"/>
      <c r="O353" s="9">
        <v>0</v>
      </c>
    </row>
    <row r="354" spans="1:15" ht="19.5" customHeight="1">
      <c r="A354" s="1" t="s">
        <v>746</v>
      </c>
      <c r="B354" s="5">
        <v>45935</v>
      </c>
      <c r="C354" s="1" t="s">
        <v>31</v>
      </c>
      <c r="D354" s="1" t="s">
        <v>34</v>
      </c>
      <c r="E354" s="1" t="s">
        <v>225</v>
      </c>
      <c r="F354" s="1" t="s">
        <v>491</v>
      </c>
      <c r="G354" s="1" t="s">
        <v>21</v>
      </c>
      <c r="H354" s="6">
        <v>1</v>
      </c>
      <c r="I354" s="7">
        <v>1500</v>
      </c>
      <c r="J354" s="5">
        <v>45933</v>
      </c>
      <c r="K354" s="1" t="s">
        <v>30</v>
      </c>
      <c r="L354" s="8">
        <v>0</v>
      </c>
      <c r="M354" s="6"/>
      <c r="N354" s="6"/>
      <c r="O354" s="9">
        <v>605</v>
      </c>
    </row>
    <row r="355" spans="1:15" ht="19.5" customHeight="1">
      <c r="A355" s="1" t="s">
        <v>746</v>
      </c>
      <c r="B355" s="5">
        <v>45935</v>
      </c>
      <c r="C355" s="1" t="s">
        <v>35</v>
      </c>
      <c r="D355" s="1" t="s">
        <v>36</v>
      </c>
      <c r="E355" s="1" t="s">
        <v>225</v>
      </c>
      <c r="F355" s="1" t="s">
        <v>491</v>
      </c>
      <c r="G355" s="1" t="s">
        <v>21</v>
      </c>
      <c r="H355" s="6">
        <v>1</v>
      </c>
      <c r="I355" s="7">
        <v>1500</v>
      </c>
      <c r="J355" s="5">
        <v>45933</v>
      </c>
      <c r="K355" s="1" t="s">
        <v>30</v>
      </c>
      <c r="L355" s="8">
        <v>0.26</v>
      </c>
      <c r="M355" s="6"/>
      <c r="N355" s="6"/>
      <c r="O355" s="9">
        <v>-390</v>
      </c>
    </row>
    <row r="356" spans="1:15" ht="19.5" customHeight="1">
      <c r="A356" s="1" t="s">
        <v>746</v>
      </c>
      <c r="B356" s="5">
        <v>45935</v>
      </c>
      <c r="C356" s="1" t="s">
        <v>17</v>
      </c>
      <c r="D356" s="1" t="s">
        <v>37</v>
      </c>
      <c r="E356" s="1" t="s">
        <v>225</v>
      </c>
      <c r="F356" s="1" t="s">
        <v>491</v>
      </c>
      <c r="G356" s="1" t="s">
        <v>21</v>
      </c>
      <c r="H356" s="6">
        <v>1</v>
      </c>
      <c r="I356" s="7">
        <v>1500</v>
      </c>
      <c r="J356" s="5">
        <v>45933</v>
      </c>
      <c r="K356" s="1" t="s">
        <v>30</v>
      </c>
      <c r="L356" s="8">
        <v>0.26</v>
      </c>
      <c r="M356" s="6"/>
      <c r="N356" s="6"/>
      <c r="O356" s="9">
        <v>-5.63</v>
      </c>
    </row>
    <row r="357" spans="1:15" ht="19.5" customHeight="1">
      <c r="A357" s="1" t="s">
        <v>747</v>
      </c>
      <c r="B357" s="5">
        <v>45935</v>
      </c>
      <c r="C357" s="1" t="s">
        <v>17</v>
      </c>
      <c r="D357" s="1" t="s">
        <v>18</v>
      </c>
      <c r="E357" s="1" t="s">
        <v>66</v>
      </c>
      <c r="F357" s="1" t="s">
        <v>67</v>
      </c>
      <c r="G357" s="1" t="s">
        <v>41</v>
      </c>
      <c r="H357" s="6">
        <v>1</v>
      </c>
      <c r="I357" s="7">
        <v>0</v>
      </c>
      <c r="J357" s="5">
        <v>45935</v>
      </c>
      <c r="K357" s="1" t="s">
        <v>22</v>
      </c>
      <c r="L357" s="8">
        <v>0</v>
      </c>
      <c r="M357" s="6"/>
      <c r="N357" s="6"/>
      <c r="O357" s="9">
        <v>-56.4</v>
      </c>
    </row>
    <row r="358" spans="1:15" ht="19.5" customHeight="1">
      <c r="A358" s="1" t="s">
        <v>748</v>
      </c>
      <c r="B358" s="5">
        <v>45935</v>
      </c>
      <c r="C358" s="1" t="s">
        <v>28</v>
      </c>
      <c r="D358" s="1" t="s">
        <v>29</v>
      </c>
      <c r="E358" s="1" t="s">
        <v>25</v>
      </c>
      <c r="F358" s="1" t="s">
        <v>26</v>
      </c>
      <c r="G358" s="1" t="s">
        <v>21</v>
      </c>
      <c r="H358" s="6">
        <v>1</v>
      </c>
      <c r="I358" s="7">
        <v>1200</v>
      </c>
      <c r="J358" s="5">
        <v>45933</v>
      </c>
      <c r="K358" s="1" t="s">
        <v>30</v>
      </c>
      <c r="L358" s="8">
        <v>0.26</v>
      </c>
      <c r="M358" s="6"/>
      <c r="N358" s="6"/>
      <c r="O358" s="9">
        <v>-46</v>
      </c>
    </row>
    <row r="359" spans="1:15" ht="19.5" customHeight="1">
      <c r="A359" s="1" t="s">
        <v>748</v>
      </c>
      <c r="B359" s="5">
        <v>45935</v>
      </c>
      <c r="C359" s="1" t="s">
        <v>31</v>
      </c>
      <c r="D359" s="1" t="s">
        <v>32</v>
      </c>
      <c r="E359" s="1" t="s">
        <v>25</v>
      </c>
      <c r="F359" s="1" t="s">
        <v>26</v>
      </c>
      <c r="G359" s="1" t="s">
        <v>21</v>
      </c>
      <c r="H359" s="6">
        <v>1</v>
      </c>
      <c r="I359" s="7">
        <v>1200</v>
      </c>
      <c r="J359" s="5">
        <v>45933</v>
      </c>
      <c r="K359" s="1" t="s">
        <v>30</v>
      </c>
      <c r="L359" s="8">
        <v>0</v>
      </c>
      <c r="M359" s="6"/>
      <c r="N359" s="6"/>
      <c r="O359" s="9">
        <v>640.34</v>
      </c>
    </row>
    <row r="360" spans="1:15" ht="19.5" customHeight="1">
      <c r="A360" s="1" t="s">
        <v>748</v>
      </c>
      <c r="B360" s="5">
        <v>45935</v>
      </c>
      <c r="C360" s="1" t="s">
        <v>31</v>
      </c>
      <c r="D360" s="1" t="s">
        <v>33</v>
      </c>
      <c r="E360" s="1" t="s">
        <v>25</v>
      </c>
      <c r="F360" s="1" t="s">
        <v>26</v>
      </c>
      <c r="G360" s="1" t="s">
        <v>21</v>
      </c>
      <c r="H360" s="6">
        <v>1</v>
      </c>
      <c r="I360" s="7">
        <v>1200</v>
      </c>
      <c r="J360" s="5">
        <v>45933</v>
      </c>
      <c r="K360" s="1" t="s">
        <v>30</v>
      </c>
      <c r="L360" s="8">
        <v>0</v>
      </c>
      <c r="M360" s="6"/>
      <c r="N360" s="6"/>
      <c r="O360" s="9">
        <v>6.4</v>
      </c>
    </row>
    <row r="361" spans="1:15" ht="19.5" customHeight="1">
      <c r="A361" s="1" t="s">
        <v>748</v>
      </c>
      <c r="B361" s="5">
        <v>45935</v>
      </c>
      <c r="C361" s="1" t="s">
        <v>31</v>
      </c>
      <c r="D361" s="1" t="s">
        <v>34</v>
      </c>
      <c r="E361" s="1" t="s">
        <v>25</v>
      </c>
      <c r="F361" s="1" t="s">
        <v>26</v>
      </c>
      <c r="G361" s="1" t="s">
        <v>21</v>
      </c>
      <c r="H361" s="6">
        <v>1</v>
      </c>
      <c r="I361" s="7">
        <v>1200</v>
      </c>
      <c r="J361" s="5">
        <v>45933</v>
      </c>
      <c r="K361" s="1" t="s">
        <v>30</v>
      </c>
      <c r="L361" s="8">
        <v>0</v>
      </c>
      <c r="M361" s="6"/>
      <c r="N361" s="6"/>
      <c r="O361" s="9">
        <v>553.26</v>
      </c>
    </row>
    <row r="362" spans="1:15" ht="19.5" customHeight="1">
      <c r="A362" s="1" t="s">
        <v>748</v>
      </c>
      <c r="B362" s="5">
        <v>45935</v>
      </c>
      <c r="C362" s="1" t="s">
        <v>35</v>
      </c>
      <c r="D362" s="1" t="s">
        <v>36</v>
      </c>
      <c r="E362" s="1" t="s">
        <v>25</v>
      </c>
      <c r="F362" s="1" t="s">
        <v>26</v>
      </c>
      <c r="G362" s="1" t="s">
        <v>21</v>
      </c>
      <c r="H362" s="6">
        <v>1</v>
      </c>
      <c r="I362" s="7">
        <v>1200</v>
      </c>
      <c r="J362" s="5">
        <v>45933</v>
      </c>
      <c r="K362" s="1" t="s">
        <v>30</v>
      </c>
      <c r="L362" s="8">
        <v>0.26</v>
      </c>
      <c r="M362" s="6"/>
      <c r="N362" s="6"/>
      <c r="O362" s="9">
        <v>-312</v>
      </c>
    </row>
    <row r="363" spans="1:15" ht="19.5" customHeight="1">
      <c r="A363" s="1" t="s">
        <v>748</v>
      </c>
      <c r="B363" s="5">
        <v>45935</v>
      </c>
      <c r="C363" s="1" t="s">
        <v>17</v>
      </c>
      <c r="D363" s="1" t="s">
        <v>37</v>
      </c>
      <c r="E363" s="1" t="s">
        <v>25</v>
      </c>
      <c r="F363" s="1" t="s">
        <v>26</v>
      </c>
      <c r="G363" s="1" t="s">
        <v>21</v>
      </c>
      <c r="H363" s="6">
        <v>1</v>
      </c>
      <c r="I363" s="7">
        <v>1200</v>
      </c>
      <c r="J363" s="5">
        <v>45933</v>
      </c>
      <c r="K363" s="1" t="s">
        <v>30</v>
      </c>
      <c r="L363" s="8">
        <v>0.26</v>
      </c>
      <c r="M363" s="6"/>
      <c r="N363" s="6"/>
      <c r="O363" s="9">
        <v>-4.9800000000000004</v>
      </c>
    </row>
    <row r="364" spans="1:15" ht="19.5" customHeight="1">
      <c r="A364" s="1" t="s">
        <v>748</v>
      </c>
      <c r="B364" s="5">
        <v>45935</v>
      </c>
      <c r="C364" s="1" t="s">
        <v>17</v>
      </c>
      <c r="D364" s="1" t="s">
        <v>18</v>
      </c>
      <c r="E364" s="1" t="s">
        <v>25</v>
      </c>
      <c r="F364" s="1" t="s">
        <v>26</v>
      </c>
      <c r="G364" s="1" t="s">
        <v>21</v>
      </c>
      <c r="H364" s="6">
        <v>1</v>
      </c>
      <c r="I364" s="7">
        <v>0</v>
      </c>
      <c r="J364" s="5">
        <v>45933</v>
      </c>
      <c r="K364" s="1" t="s">
        <v>22</v>
      </c>
      <c r="L364" s="8">
        <v>0</v>
      </c>
      <c r="M364" s="6"/>
      <c r="N364" s="6"/>
      <c r="O364" s="9">
        <v>-12.17</v>
      </c>
    </row>
    <row r="365" spans="1:15" ht="19.5" customHeight="1">
      <c r="A365" s="1" t="s">
        <v>749</v>
      </c>
      <c r="B365" s="5">
        <v>45935</v>
      </c>
      <c r="C365" s="1" t="s">
        <v>28</v>
      </c>
      <c r="D365" s="1" t="s">
        <v>29</v>
      </c>
      <c r="E365" s="1" t="s">
        <v>25</v>
      </c>
      <c r="F365" s="1" t="s">
        <v>26</v>
      </c>
      <c r="G365" s="1" t="s">
        <v>21</v>
      </c>
      <c r="H365" s="6">
        <v>1</v>
      </c>
      <c r="I365" s="7">
        <v>1200</v>
      </c>
      <c r="J365" s="5">
        <v>45933</v>
      </c>
      <c r="K365" s="1" t="s">
        <v>30</v>
      </c>
      <c r="L365" s="8">
        <v>0.26</v>
      </c>
      <c r="M365" s="6"/>
      <c r="N365" s="6"/>
      <c r="O365" s="9">
        <v>-46</v>
      </c>
    </row>
    <row r="366" spans="1:15" ht="19.5" customHeight="1">
      <c r="A366" s="1" t="s">
        <v>749</v>
      </c>
      <c r="B366" s="5">
        <v>45935</v>
      </c>
      <c r="C366" s="1" t="s">
        <v>31</v>
      </c>
      <c r="D366" s="1" t="s">
        <v>32</v>
      </c>
      <c r="E366" s="1" t="s">
        <v>25</v>
      </c>
      <c r="F366" s="1" t="s">
        <v>26</v>
      </c>
      <c r="G366" s="1" t="s">
        <v>21</v>
      </c>
      <c r="H366" s="6">
        <v>1</v>
      </c>
      <c r="I366" s="7">
        <v>1200</v>
      </c>
      <c r="J366" s="5">
        <v>45933</v>
      </c>
      <c r="K366" s="1" t="s">
        <v>30</v>
      </c>
      <c r="L366" s="8">
        <v>0</v>
      </c>
      <c r="M366" s="6"/>
      <c r="N366" s="6"/>
      <c r="O366" s="9">
        <v>637.91</v>
      </c>
    </row>
    <row r="367" spans="1:15" ht="19.5" customHeight="1">
      <c r="A367" s="1" t="s">
        <v>749</v>
      </c>
      <c r="B367" s="5">
        <v>45935</v>
      </c>
      <c r="C367" s="1" t="s">
        <v>31</v>
      </c>
      <c r="D367" s="1" t="s">
        <v>33</v>
      </c>
      <c r="E367" s="1" t="s">
        <v>25</v>
      </c>
      <c r="F367" s="1" t="s">
        <v>26</v>
      </c>
      <c r="G367" s="1" t="s">
        <v>21</v>
      </c>
      <c r="H367" s="6">
        <v>1</v>
      </c>
      <c r="I367" s="7">
        <v>1200</v>
      </c>
      <c r="J367" s="5">
        <v>45933</v>
      </c>
      <c r="K367" s="1" t="s">
        <v>30</v>
      </c>
      <c r="L367" s="8">
        <v>0</v>
      </c>
      <c r="M367" s="6"/>
      <c r="N367" s="6"/>
      <c r="O367" s="9">
        <v>6.38</v>
      </c>
    </row>
    <row r="368" spans="1:15" ht="19.5" customHeight="1">
      <c r="A368" s="1" t="s">
        <v>749</v>
      </c>
      <c r="B368" s="5">
        <v>45935</v>
      </c>
      <c r="C368" s="1" t="s">
        <v>31</v>
      </c>
      <c r="D368" s="1" t="s">
        <v>34</v>
      </c>
      <c r="E368" s="1" t="s">
        <v>25</v>
      </c>
      <c r="F368" s="1" t="s">
        <v>26</v>
      </c>
      <c r="G368" s="1" t="s">
        <v>21</v>
      </c>
      <c r="H368" s="6">
        <v>1</v>
      </c>
      <c r="I368" s="7">
        <v>1200</v>
      </c>
      <c r="J368" s="5">
        <v>45933</v>
      </c>
      <c r="K368" s="1" t="s">
        <v>30</v>
      </c>
      <c r="L368" s="8">
        <v>0</v>
      </c>
      <c r="M368" s="6"/>
      <c r="N368" s="6"/>
      <c r="O368" s="9">
        <v>555.71</v>
      </c>
    </row>
    <row r="369" spans="1:15" ht="19.5" customHeight="1">
      <c r="A369" s="1" t="s">
        <v>749</v>
      </c>
      <c r="B369" s="5">
        <v>45935</v>
      </c>
      <c r="C369" s="1" t="s">
        <v>35</v>
      </c>
      <c r="D369" s="1" t="s">
        <v>36</v>
      </c>
      <c r="E369" s="1" t="s">
        <v>25</v>
      </c>
      <c r="F369" s="1" t="s">
        <v>26</v>
      </c>
      <c r="G369" s="1" t="s">
        <v>21</v>
      </c>
      <c r="H369" s="6">
        <v>1</v>
      </c>
      <c r="I369" s="7">
        <v>1200</v>
      </c>
      <c r="J369" s="5">
        <v>45933</v>
      </c>
      <c r="K369" s="1" t="s">
        <v>30</v>
      </c>
      <c r="L369" s="8">
        <v>0.26</v>
      </c>
      <c r="M369" s="6"/>
      <c r="N369" s="6"/>
      <c r="O369" s="9">
        <v>-312</v>
      </c>
    </row>
    <row r="370" spans="1:15" ht="19.5" customHeight="1">
      <c r="A370" s="1" t="s">
        <v>749</v>
      </c>
      <c r="B370" s="5">
        <v>45935</v>
      </c>
      <c r="C370" s="1" t="s">
        <v>17</v>
      </c>
      <c r="D370" s="1" t="s">
        <v>37</v>
      </c>
      <c r="E370" s="1" t="s">
        <v>25</v>
      </c>
      <c r="F370" s="1" t="s">
        <v>26</v>
      </c>
      <c r="G370" s="1" t="s">
        <v>21</v>
      </c>
      <c r="H370" s="6">
        <v>1</v>
      </c>
      <c r="I370" s="7">
        <v>1200</v>
      </c>
      <c r="J370" s="5">
        <v>45933</v>
      </c>
      <c r="K370" s="1" t="s">
        <v>30</v>
      </c>
      <c r="L370" s="8">
        <v>0.26</v>
      </c>
      <c r="M370" s="6"/>
      <c r="N370" s="6"/>
      <c r="O370" s="9">
        <v>-4.13</v>
      </c>
    </row>
    <row r="371" spans="1:15" ht="19.5" customHeight="1">
      <c r="A371" s="1" t="s">
        <v>750</v>
      </c>
      <c r="B371" s="5">
        <v>45935</v>
      </c>
      <c r="C371" s="1" t="s">
        <v>28</v>
      </c>
      <c r="D371" s="1" t="s">
        <v>29</v>
      </c>
      <c r="E371" s="1" t="s">
        <v>98</v>
      </c>
      <c r="F371" s="1" t="s">
        <v>99</v>
      </c>
      <c r="G371" s="1" t="s">
        <v>41</v>
      </c>
      <c r="H371" s="6">
        <v>1</v>
      </c>
      <c r="I371" s="7">
        <v>3690</v>
      </c>
      <c r="J371" s="5">
        <v>45934</v>
      </c>
      <c r="K371" s="1" t="s">
        <v>30</v>
      </c>
      <c r="L371" s="8">
        <v>0.24</v>
      </c>
      <c r="M371" s="6"/>
      <c r="N371" s="6"/>
      <c r="O371" s="9">
        <v>-56</v>
      </c>
    </row>
    <row r="372" spans="1:15" ht="19.5" customHeight="1">
      <c r="A372" s="1" t="s">
        <v>750</v>
      </c>
      <c r="B372" s="5">
        <v>45935</v>
      </c>
      <c r="C372" s="1" t="s">
        <v>31</v>
      </c>
      <c r="D372" s="1" t="s">
        <v>32</v>
      </c>
      <c r="E372" s="1" t="s">
        <v>98</v>
      </c>
      <c r="F372" s="1" t="s">
        <v>99</v>
      </c>
      <c r="G372" s="1" t="s">
        <v>41</v>
      </c>
      <c r="H372" s="6">
        <v>1</v>
      </c>
      <c r="I372" s="7">
        <v>3690</v>
      </c>
      <c r="J372" s="5">
        <v>45934</v>
      </c>
      <c r="K372" s="1" t="s">
        <v>30</v>
      </c>
      <c r="L372" s="8">
        <v>0</v>
      </c>
      <c r="M372" s="6"/>
      <c r="N372" s="6"/>
      <c r="O372" s="9">
        <v>2212.38</v>
      </c>
    </row>
    <row r="373" spans="1:15" ht="19.5" customHeight="1">
      <c r="A373" s="1" t="s">
        <v>750</v>
      </c>
      <c r="B373" s="5">
        <v>45935</v>
      </c>
      <c r="C373" s="1" t="s">
        <v>31</v>
      </c>
      <c r="D373" s="1" t="s">
        <v>33</v>
      </c>
      <c r="E373" s="1" t="s">
        <v>98</v>
      </c>
      <c r="F373" s="1" t="s">
        <v>99</v>
      </c>
      <c r="G373" s="1" t="s">
        <v>41</v>
      </c>
      <c r="H373" s="6">
        <v>1</v>
      </c>
      <c r="I373" s="7">
        <v>3690</v>
      </c>
      <c r="J373" s="5">
        <v>45934</v>
      </c>
      <c r="K373" s="1" t="s">
        <v>30</v>
      </c>
      <c r="L373" s="8">
        <v>0</v>
      </c>
      <c r="M373" s="6"/>
      <c r="N373" s="6"/>
      <c r="O373" s="9">
        <v>22.12</v>
      </c>
    </row>
    <row r="374" spans="1:15" ht="19.5" customHeight="1">
      <c r="A374" s="1" t="s">
        <v>750</v>
      </c>
      <c r="B374" s="5">
        <v>45935</v>
      </c>
      <c r="C374" s="1" t="s">
        <v>31</v>
      </c>
      <c r="D374" s="1" t="s">
        <v>34</v>
      </c>
      <c r="E374" s="1" t="s">
        <v>98</v>
      </c>
      <c r="F374" s="1" t="s">
        <v>99</v>
      </c>
      <c r="G374" s="1" t="s">
        <v>41</v>
      </c>
      <c r="H374" s="6">
        <v>1</v>
      </c>
      <c r="I374" s="7">
        <v>3690</v>
      </c>
      <c r="J374" s="5">
        <v>45934</v>
      </c>
      <c r="K374" s="1" t="s">
        <v>30</v>
      </c>
      <c r="L374" s="8">
        <v>0</v>
      </c>
      <c r="M374" s="6"/>
      <c r="N374" s="6"/>
      <c r="O374" s="9">
        <v>1455.5</v>
      </c>
    </row>
    <row r="375" spans="1:15" ht="19.5" customHeight="1">
      <c r="A375" s="1" t="s">
        <v>750</v>
      </c>
      <c r="B375" s="5">
        <v>45935</v>
      </c>
      <c r="C375" s="1" t="s">
        <v>35</v>
      </c>
      <c r="D375" s="1" t="s">
        <v>36</v>
      </c>
      <c r="E375" s="1" t="s">
        <v>98</v>
      </c>
      <c r="F375" s="1" t="s">
        <v>99</v>
      </c>
      <c r="G375" s="1" t="s">
        <v>41</v>
      </c>
      <c r="H375" s="6">
        <v>1</v>
      </c>
      <c r="I375" s="7">
        <v>3690</v>
      </c>
      <c r="J375" s="5">
        <v>45934</v>
      </c>
      <c r="K375" s="1" t="s">
        <v>30</v>
      </c>
      <c r="L375" s="8">
        <v>0.24</v>
      </c>
      <c r="M375" s="6"/>
      <c r="N375" s="6"/>
      <c r="O375" s="9">
        <v>-885.6</v>
      </c>
    </row>
    <row r="376" spans="1:15" ht="19.5" customHeight="1">
      <c r="A376" s="1" t="s">
        <v>750</v>
      </c>
      <c r="B376" s="5">
        <v>45935</v>
      </c>
      <c r="C376" s="1" t="s">
        <v>17</v>
      </c>
      <c r="D376" s="1" t="s">
        <v>37</v>
      </c>
      <c r="E376" s="1" t="s">
        <v>98</v>
      </c>
      <c r="F376" s="1" t="s">
        <v>99</v>
      </c>
      <c r="G376" s="1" t="s">
        <v>41</v>
      </c>
      <c r="H376" s="6">
        <v>1</v>
      </c>
      <c r="I376" s="7">
        <v>3690</v>
      </c>
      <c r="J376" s="5">
        <v>45934</v>
      </c>
      <c r="K376" s="1" t="s">
        <v>30</v>
      </c>
      <c r="L376" s="8">
        <v>0.24</v>
      </c>
      <c r="M376" s="6"/>
      <c r="N376" s="6"/>
      <c r="O376" s="9">
        <v>-11.27</v>
      </c>
    </row>
    <row r="377" spans="1:15" ht="19.5" customHeight="1">
      <c r="A377" s="1" t="s">
        <v>751</v>
      </c>
      <c r="B377" s="5">
        <v>45935</v>
      </c>
      <c r="C377" s="1" t="s">
        <v>28</v>
      </c>
      <c r="D377" s="1" t="s">
        <v>29</v>
      </c>
      <c r="E377" s="1" t="s">
        <v>54</v>
      </c>
      <c r="F377" s="1" t="s">
        <v>55</v>
      </c>
      <c r="G377" s="1" t="s">
        <v>21</v>
      </c>
      <c r="H377" s="6">
        <v>1</v>
      </c>
      <c r="I377" s="7">
        <v>1400</v>
      </c>
      <c r="J377" s="5">
        <v>45933</v>
      </c>
      <c r="K377" s="1" t="s">
        <v>30</v>
      </c>
      <c r="L377" s="8">
        <v>0.26</v>
      </c>
      <c r="M377" s="6"/>
      <c r="N377" s="6"/>
      <c r="O377" s="9">
        <v>-46</v>
      </c>
    </row>
    <row r="378" spans="1:15" ht="19.5" customHeight="1">
      <c r="A378" s="1" t="s">
        <v>751</v>
      </c>
      <c r="B378" s="5">
        <v>45935</v>
      </c>
      <c r="C378" s="1" t="s">
        <v>31</v>
      </c>
      <c r="D378" s="1" t="s">
        <v>32</v>
      </c>
      <c r="E378" s="1" t="s">
        <v>54</v>
      </c>
      <c r="F378" s="1" t="s">
        <v>55</v>
      </c>
      <c r="G378" s="1" t="s">
        <v>21</v>
      </c>
      <c r="H378" s="6">
        <v>1</v>
      </c>
      <c r="I378" s="7">
        <v>1400</v>
      </c>
      <c r="J378" s="5">
        <v>45933</v>
      </c>
      <c r="K378" s="1" t="s">
        <v>30</v>
      </c>
      <c r="L378" s="8">
        <v>0</v>
      </c>
      <c r="M378" s="6"/>
      <c r="N378" s="6"/>
      <c r="O378" s="9">
        <v>817.14</v>
      </c>
    </row>
    <row r="379" spans="1:15" ht="19.5" customHeight="1">
      <c r="A379" s="1" t="s">
        <v>751</v>
      </c>
      <c r="B379" s="5">
        <v>45935</v>
      </c>
      <c r="C379" s="1" t="s">
        <v>31</v>
      </c>
      <c r="D379" s="1" t="s">
        <v>33</v>
      </c>
      <c r="E379" s="1" t="s">
        <v>54</v>
      </c>
      <c r="F379" s="1" t="s">
        <v>55</v>
      </c>
      <c r="G379" s="1" t="s">
        <v>21</v>
      </c>
      <c r="H379" s="6">
        <v>1</v>
      </c>
      <c r="I379" s="7">
        <v>1400</v>
      </c>
      <c r="J379" s="5">
        <v>45933</v>
      </c>
      <c r="K379" s="1" t="s">
        <v>30</v>
      </c>
      <c r="L379" s="8">
        <v>0</v>
      </c>
      <c r="M379" s="6"/>
      <c r="N379" s="6"/>
      <c r="O379" s="9">
        <v>8.17</v>
      </c>
    </row>
    <row r="380" spans="1:15" ht="19.5" customHeight="1">
      <c r="A380" s="1" t="s">
        <v>751</v>
      </c>
      <c r="B380" s="5">
        <v>45935</v>
      </c>
      <c r="C380" s="1" t="s">
        <v>31</v>
      </c>
      <c r="D380" s="1" t="s">
        <v>34</v>
      </c>
      <c r="E380" s="1" t="s">
        <v>54</v>
      </c>
      <c r="F380" s="1" t="s">
        <v>55</v>
      </c>
      <c r="G380" s="1" t="s">
        <v>21</v>
      </c>
      <c r="H380" s="6">
        <v>1</v>
      </c>
      <c r="I380" s="7">
        <v>1400</v>
      </c>
      <c r="J380" s="5">
        <v>45933</v>
      </c>
      <c r="K380" s="1" t="s">
        <v>30</v>
      </c>
      <c r="L380" s="8">
        <v>0</v>
      </c>
      <c r="M380" s="6"/>
      <c r="N380" s="6"/>
      <c r="O380" s="9">
        <v>574.69000000000005</v>
      </c>
    </row>
    <row r="381" spans="1:15" ht="19.5" customHeight="1">
      <c r="A381" s="1" t="s">
        <v>751</v>
      </c>
      <c r="B381" s="5">
        <v>45935</v>
      </c>
      <c r="C381" s="1" t="s">
        <v>35</v>
      </c>
      <c r="D381" s="1" t="s">
        <v>36</v>
      </c>
      <c r="E381" s="1" t="s">
        <v>54</v>
      </c>
      <c r="F381" s="1" t="s">
        <v>55</v>
      </c>
      <c r="G381" s="1" t="s">
        <v>21</v>
      </c>
      <c r="H381" s="6">
        <v>1</v>
      </c>
      <c r="I381" s="7">
        <v>1400</v>
      </c>
      <c r="J381" s="5">
        <v>45933</v>
      </c>
      <c r="K381" s="1" t="s">
        <v>30</v>
      </c>
      <c r="L381" s="8">
        <v>0.26</v>
      </c>
      <c r="M381" s="6"/>
      <c r="N381" s="6"/>
      <c r="O381" s="9">
        <v>-364</v>
      </c>
    </row>
    <row r="382" spans="1:15" ht="19.5" customHeight="1">
      <c r="A382" s="1" t="s">
        <v>751</v>
      </c>
      <c r="B382" s="5">
        <v>45935</v>
      </c>
      <c r="C382" s="1" t="s">
        <v>17</v>
      </c>
      <c r="D382" s="1" t="s">
        <v>37</v>
      </c>
      <c r="E382" s="1" t="s">
        <v>54</v>
      </c>
      <c r="F382" s="1" t="s">
        <v>55</v>
      </c>
      <c r="G382" s="1" t="s">
        <v>21</v>
      </c>
      <c r="H382" s="6">
        <v>1</v>
      </c>
      <c r="I382" s="7">
        <v>1400</v>
      </c>
      <c r="J382" s="5">
        <v>45933</v>
      </c>
      <c r="K382" s="1" t="s">
        <v>30</v>
      </c>
      <c r="L382" s="8">
        <v>0.26</v>
      </c>
      <c r="M382" s="6"/>
      <c r="N382" s="6"/>
      <c r="O382" s="9">
        <v>-8.8000000000000007</v>
      </c>
    </row>
    <row r="383" spans="1:15" ht="19.5" customHeight="1">
      <c r="A383" s="1" t="s">
        <v>749</v>
      </c>
      <c r="B383" s="5">
        <v>45935</v>
      </c>
      <c r="C383" s="1" t="s">
        <v>17</v>
      </c>
      <c r="D383" s="1" t="s">
        <v>18</v>
      </c>
      <c r="E383" s="1" t="s">
        <v>25</v>
      </c>
      <c r="F383" s="1" t="s">
        <v>26</v>
      </c>
      <c r="G383" s="1" t="s">
        <v>21</v>
      </c>
      <c r="H383" s="6">
        <v>1</v>
      </c>
      <c r="I383" s="7">
        <v>0</v>
      </c>
      <c r="J383" s="5">
        <v>45933</v>
      </c>
      <c r="K383" s="1" t="s">
        <v>22</v>
      </c>
      <c r="L383" s="8">
        <v>0</v>
      </c>
      <c r="M383" s="6"/>
      <c r="N383" s="6"/>
      <c r="O383" s="9">
        <v>-12.12</v>
      </c>
    </row>
    <row r="384" spans="1:15" ht="19.5" customHeight="1">
      <c r="A384" s="1" t="s">
        <v>750</v>
      </c>
      <c r="B384" s="5">
        <v>45935</v>
      </c>
      <c r="C384" s="1" t="s">
        <v>17</v>
      </c>
      <c r="D384" s="1" t="s">
        <v>18</v>
      </c>
      <c r="E384" s="1" t="s">
        <v>98</v>
      </c>
      <c r="F384" s="1" t="s">
        <v>99</v>
      </c>
      <c r="G384" s="1" t="s">
        <v>41</v>
      </c>
      <c r="H384" s="6">
        <v>1</v>
      </c>
      <c r="I384" s="7">
        <v>0</v>
      </c>
      <c r="J384" s="5">
        <v>45934</v>
      </c>
      <c r="K384" s="1" t="s">
        <v>22</v>
      </c>
      <c r="L384" s="8">
        <v>0</v>
      </c>
      <c r="M384" s="6"/>
      <c r="N384" s="6"/>
      <c r="O384" s="9">
        <v>-42.04</v>
      </c>
    </row>
    <row r="385" spans="1:15" ht="19.5" customHeight="1">
      <c r="A385" s="1" t="s">
        <v>752</v>
      </c>
      <c r="B385" s="5">
        <v>45935</v>
      </c>
      <c r="C385" s="1" t="s">
        <v>28</v>
      </c>
      <c r="D385" s="1" t="s">
        <v>29</v>
      </c>
      <c r="E385" s="1" t="s">
        <v>25</v>
      </c>
      <c r="F385" s="1" t="s">
        <v>26</v>
      </c>
      <c r="G385" s="1" t="s">
        <v>21</v>
      </c>
      <c r="H385" s="6">
        <v>1</v>
      </c>
      <c r="I385" s="7">
        <v>1200</v>
      </c>
      <c r="J385" s="5">
        <v>45931</v>
      </c>
      <c r="K385" s="1" t="s">
        <v>30</v>
      </c>
      <c r="L385" s="8">
        <v>0.26</v>
      </c>
      <c r="M385" s="6"/>
      <c r="N385" s="6"/>
      <c r="O385" s="9">
        <v>-46</v>
      </c>
    </row>
    <row r="386" spans="1:15" ht="19.5" customHeight="1">
      <c r="A386" s="1" t="s">
        <v>752</v>
      </c>
      <c r="B386" s="5">
        <v>45935</v>
      </c>
      <c r="C386" s="1" t="s">
        <v>31</v>
      </c>
      <c r="D386" s="1" t="s">
        <v>32</v>
      </c>
      <c r="E386" s="1" t="s">
        <v>25</v>
      </c>
      <c r="F386" s="1" t="s">
        <v>26</v>
      </c>
      <c r="G386" s="1" t="s">
        <v>21</v>
      </c>
      <c r="H386" s="6">
        <v>1</v>
      </c>
      <c r="I386" s="7">
        <v>1200</v>
      </c>
      <c r="J386" s="5">
        <v>45931</v>
      </c>
      <c r="K386" s="1" t="s">
        <v>30</v>
      </c>
      <c r="L386" s="8">
        <v>0</v>
      </c>
      <c r="M386" s="6"/>
      <c r="N386" s="6"/>
      <c r="O386" s="9">
        <v>705.71</v>
      </c>
    </row>
    <row r="387" spans="1:15" ht="19.5" customHeight="1">
      <c r="A387" s="1" t="s">
        <v>752</v>
      </c>
      <c r="B387" s="5">
        <v>45935</v>
      </c>
      <c r="C387" s="1" t="s">
        <v>31</v>
      </c>
      <c r="D387" s="1" t="s">
        <v>33</v>
      </c>
      <c r="E387" s="1" t="s">
        <v>25</v>
      </c>
      <c r="F387" s="1" t="s">
        <v>26</v>
      </c>
      <c r="G387" s="1" t="s">
        <v>21</v>
      </c>
      <c r="H387" s="6">
        <v>1</v>
      </c>
      <c r="I387" s="7">
        <v>1200</v>
      </c>
      <c r="J387" s="5">
        <v>45931</v>
      </c>
      <c r="K387" s="1" t="s">
        <v>30</v>
      </c>
      <c r="L387" s="8">
        <v>0</v>
      </c>
      <c r="M387" s="6"/>
      <c r="N387" s="6"/>
      <c r="O387" s="9">
        <v>0</v>
      </c>
    </row>
    <row r="388" spans="1:15" ht="19.5" customHeight="1">
      <c r="A388" s="1" t="s">
        <v>752</v>
      </c>
      <c r="B388" s="5">
        <v>45935</v>
      </c>
      <c r="C388" s="1" t="s">
        <v>31</v>
      </c>
      <c r="D388" s="1" t="s">
        <v>34</v>
      </c>
      <c r="E388" s="1" t="s">
        <v>25</v>
      </c>
      <c r="F388" s="1" t="s">
        <v>26</v>
      </c>
      <c r="G388" s="1" t="s">
        <v>21</v>
      </c>
      <c r="H388" s="6">
        <v>1</v>
      </c>
      <c r="I388" s="7">
        <v>1200</v>
      </c>
      <c r="J388" s="5">
        <v>45931</v>
      </c>
      <c r="K388" s="1" t="s">
        <v>30</v>
      </c>
      <c r="L388" s="8">
        <v>0</v>
      </c>
      <c r="M388" s="6"/>
      <c r="N388" s="6"/>
      <c r="O388" s="9">
        <v>494.29</v>
      </c>
    </row>
    <row r="389" spans="1:15" ht="19.5" customHeight="1">
      <c r="A389" s="1" t="s">
        <v>752</v>
      </c>
      <c r="B389" s="5">
        <v>45935</v>
      </c>
      <c r="C389" s="1" t="s">
        <v>35</v>
      </c>
      <c r="D389" s="1" t="s">
        <v>36</v>
      </c>
      <c r="E389" s="1" t="s">
        <v>25</v>
      </c>
      <c r="F389" s="1" t="s">
        <v>26</v>
      </c>
      <c r="G389" s="1" t="s">
        <v>21</v>
      </c>
      <c r="H389" s="6">
        <v>1</v>
      </c>
      <c r="I389" s="7">
        <v>1200</v>
      </c>
      <c r="J389" s="5">
        <v>45931</v>
      </c>
      <c r="K389" s="1" t="s">
        <v>30</v>
      </c>
      <c r="L389" s="8">
        <v>0.26</v>
      </c>
      <c r="M389" s="6"/>
      <c r="N389" s="6"/>
      <c r="O389" s="9">
        <v>-312</v>
      </c>
    </row>
    <row r="390" spans="1:15" ht="19.5" customHeight="1">
      <c r="A390" s="1" t="s">
        <v>752</v>
      </c>
      <c r="B390" s="5">
        <v>45935</v>
      </c>
      <c r="C390" s="1" t="s">
        <v>17</v>
      </c>
      <c r="D390" s="1" t="s">
        <v>37</v>
      </c>
      <c r="E390" s="1" t="s">
        <v>25</v>
      </c>
      <c r="F390" s="1" t="s">
        <v>26</v>
      </c>
      <c r="G390" s="1" t="s">
        <v>21</v>
      </c>
      <c r="H390" s="6">
        <v>1</v>
      </c>
      <c r="I390" s="7">
        <v>1200</v>
      </c>
      <c r="J390" s="5">
        <v>45931</v>
      </c>
      <c r="K390" s="1" t="s">
        <v>30</v>
      </c>
      <c r="L390" s="8">
        <v>0.26</v>
      </c>
      <c r="M390" s="6"/>
      <c r="N390" s="6"/>
      <c r="O390" s="9">
        <v>-8.17</v>
      </c>
    </row>
    <row r="391" spans="1:15" ht="19.5" customHeight="1">
      <c r="A391" s="1" t="s">
        <v>753</v>
      </c>
      <c r="B391" s="5">
        <v>45935</v>
      </c>
      <c r="C391" s="1" t="s">
        <v>28</v>
      </c>
      <c r="D391" s="1" t="s">
        <v>29</v>
      </c>
      <c r="E391" s="1" t="s">
        <v>25</v>
      </c>
      <c r="F391" s="1" t="s">
        <v>26</v>
      </c>
      <c r="G391" s="1" t="s">
        <v>21</v>
      </c>
      <c r="H391" s="6">
        <v>1</v>
      </c>
      <c r="I391" s="7">
        <v>800</v>
      </c>
      <c r="J391" s="5">
        <v>45932</v>
      </c>
      <c r="K391" s="1" t="s">
        <v>30</v>
      </c>
      <c r="L391" s="8">
        <v>0.26</v>
      </c>
      <c r="M391" s="6"/>
      <c r="N391" s="6"/>
      <c r="O391" s="9">
        <v>-46</v>
      </c>
    </row>
    <row r="392" spans="1:15" ht="19.5" customHeight="1">
      <c r="A392" s="1" t="s">
        <v>753</v>
      </c>
      <c r="B392" s="5">
        <v>45935</v>
      </c>
      <c r="C392" s="1" t="s">
        <v>31</v>
      </c>
      <c r="D392" s="1" t="s">
        <v>32</v>
      </c>
      <c r="E392" s="1" t="s">
        <v>25</v>
      </c>
      <c r="F392" s="1" t="s">
        <v>26</v>
      </c>
      <c r="G392" s="1" t="s">
        <v>21</v>
      </c>
      <c r="H392" s="6">
        <v>1</v>
      </c>
      <c r="I392" s="7">
        <v>800</v>
      </c>
      <c r="J392" s="5">
        <v>45932</v>
      </c>
      <c r="K392" s="1" t="s">
        <v>30</v>
      </c>
      <c r="L392" s="8">
        <v>0</v>
      </c>
      <c r="M392" s="6"/>
      <c r="N392" s="6"/>
      <c r="O392" s="9">
        <v>431.02</v>
      </c>
    </row>
    <row r="393" spans="1:15" ht="19.5" customHeight="1">
      <c r="A393" s="1" t="s">
        <v>753</v>
      </c>
      <c r="B393" s="5">
        <v>45935</v>
      </c>
      <c r="C393" s="1" t="s">
        <v>31</v>
      </c>
      <c r="D393" s="1" t="s">
        <v>33</v>
      </c>
      <c r="E393" s="1" t="s">
        <v>25</v>
      </c>
      <c r="F393" s="1" t="s">
        <v>26</v>
      </c>
      <c r="G393" s="1" t="s">
        <v>21</v>
      </c>
      <c r="H393" s="6">
        <v>1</v>
      </c>
      <c r="I393" s="7">
        <v>800</v>
      </c>
      <c r="J393" s="5">
        <v>45932</v>
      </c>
      <c r="K393" s="1" t="s">
        <v>30</v>
      </c>
      <c r="L393" s="8">
        <v>0</v>
      </c>
      <c r="M393" s="6"/>
      <c r="N393" s="6"/>
      <c r="O393" s="9">
        <v>4.3099999999999996</v>
      </c>
    </row>
    <row r="394" spans="1:15" ht="19.5" customHeight="1">
      <c r="A394" s="1" t="s">
        <v>753</v>
      </c>
      <c r="B394" s="5">
        <v>45935</v>
      </c>
      <c r="C394" s="1" t="s">
        <v>31</v>
      </c>
      <c r="D394" s="1" t="s">
        <v>34</v>
      </c>
      <c r="E394" s="1" t="s">
        <v>25</v>
      </c>
      <c r="F394" s="1" t="s">
        <v>26</v>
      </c>
      <c r="G394" s="1" t="s">
        <v>21</v>
      </c>
      <c r="H394" s="6">
        <v>1</v>
      </c>
      <c r="I394" s="7">
        <v>800</v>
      </c>
      <c r="J394" s="5">
        <v>45932</v>
      </c>
      <c r="K394" s="1" t="s">
        <v>30</v>
      </c>
      <c r="L394" s="8">
        <v>0</v>
      </c>
      <c r="M394" s="6"/>
      <c r="N394" s="6"/>
      <c r="O394" s="9">
        <v>364.67</v>
      </c>
    </row>
    <row r="395" spans="1:15" ht="19.5" customHeight="1">
      <c r="A395" s="1" t="s">
        <v>753</v>
      </c>
      <c r="B395" s="5">
        <v>45935</v>
      </c>
      <c r="C395" s="1" t="s">
        <v>35</v>
      </c>
      <c r="D395" s="1" t="s">
        <v>36</v>
      </c>
      <c r="E395" s="1" t="s">
        <v>25</v>
      </c>
      <c r="F395" s="1" t="s">
        <v>26</v>
      </c>
      <c r="G395" s="1" t="s">
        <v>21</v>
      </c>
      <c r="H395" s="6">
        <v>1</v>
      </c>
      <c r="I395" s="7">
        <v>800</v>
      </c>
      <c r="J395" s="5">
        <v>45932</v>
      </c>
      <c r="K395" s="1" t="s">
        <v>30</v>
      </c>
      <c r="L395" s="8">
        <v>0.26</v>
      </c>
      <c r="M395" s="6"/>
      <c r="N395" s="6"/>
      <c r="O395" s="9">
        <v>-208</v>
      </c>
    </row>
    <row r="396" spans="1:15" ht="19.5" customHeight="1">
      <c r="A396" s="1" t="s">
        <v>753</v>
      </c>
      <c r="B396" s="5">
        <v>45935</v>
      </c>
      <c r="C396" s="1" t="s">
        <v>17</v>
      </c>
      <c r="D396" s="1" t="s">
        <v>37</v>
      </c>
      <c r="E396" s="1" t="s">
        <v>25</v>
      </c>
      <c r="F396" s="1" t="s">
        <v>26</v>
      </c>
      <c r="G396" s="1" t="s">
        <v>21</v>
      </c>
      <c r="H396" s="6">
        <v>1</v>
      </c>
      <c r="I396" s="7">
        <v>800</v>
      </c>
      <c r="J396" s="5">
        <v>45932</v>
      </c>
      <c r="K396" s="1" t="s">
        <v>30</v>
      </c>
      <c r="L396" s="8">
        <v>0.26</v>
      </c>
      <c r="M396" s="6"/>
      <c r="N396" s="6"/>
      <c r="O396" s="9">
        <v>-3.36</v>
      </c>
    </row>
    <row r="397" spans="1:15" ht="19.5" customHeight="1">
      <c r="A397" s="1" t="s">
        <v>726</v>
      </c>
      <c r="B397" s="5">
        <v>45935</v>
      </c>
      <c r="C397" s="1" t="s">
        <v>17</v>
      </c>
      <c r="D397" s="1" t="s">
        <v>18</v>
      </c>
      <c r="E397" s="1" t="s">
        <v>51</v>
      </c>
      <c r="F397" s="1" t="s">
        <v>52</v>
      </c>
      <c r="G397" s="1" t="s">
        <v>41</v>
      </c>
      <c r="H397" s="6">
        <v>1</v>
      </c>
      <c r="I397" s="7">
        <v>0</v>
      </c>
      <c r="J397" s="5">
        <v>45934</v>
      </c>
      <c r="K397" s="1" t="s">
        <v>22</v>
      </c>
      <c r="L397" s="8">
        <v>0</v>
      </c>
      <c r="M397" s="6"/>
      <c r="N397" s="6"/>
      <c r="O397" s="9">
        <v>55.97</v>
      </c>
    </row>
    <row r="398" spans="1:15" ht="19.5" customHeight="1">
      <c r="A398" s="1" t="s">
        <v>754</v>
      </c>
      <c r="B398" s="5">
        <v>45935</v>
      </c>
      <c r="C398" s="1" t="s">
        <v>28</v>
      </c>
      <c r="D398" s="1" t="s">
        <v>29</v>
      </c>
      <c r="E398" s="1" t="s">
        <v>25</v>
      </c>
      <c r="F398" s="1" t="s">
        <v>26</v>
      </c>
      <c r="G398" s="1" t="s">
        <v>21</v>
      </c>
      <c r="H398" s="6">
        <v>1</v>
      </c>
      <c r="I398" s="7">
        <v>1200</v>
      </c>
      <c r="J398" s="5">
        <v>45933</v>
      </c>
      <c r="K398" s="1" t="s">
        <v>30</v>
      </c>
      <c r="L398" s="8">
        <v>0.26</v>
      </c>
      <c r="M398" s="6"/>
      <c r="N398" s="6"/>
      <c r="O398" s="9">
        <v>-46</v>
      </c>
    </row>
    <row r="399" spans="1:15" ht="19.5" customHeight="1">
      <c r="A399" s="1" t="s">
        <v>754</v>
      </c>
      <c r="B399" s="5">
        <v>45935</v>
      </c>
      <c r="C399" s="1" t="s">
        <v>31</v>
      </c>
      <c r="D399" s="1" t="s">
        <v>32</v>
      </c>
      <c r="E399" s="1" t="s">
        <v>25</v>
      </c>
      <c r="F399" s="1" t="s">
        <v>26</v>
      </c>
      <c r="G399" s="1" t="s">
        <v>21</v>
      </c>
      <c r="H399" s="6">
        <v>1</v>
      </c>
      <c r="I399" s="7">
        <v>1200</v>
      </c>
      <c r="J399" s="5">
        <v>45933</v>
      </c>
      <c r="K399" s="1" t="s">
        <v>30</v>
      </c>
      <c r="L399" s="8">
        <v>0</v>
      </c>
      <c r="M399" s="6"/>
      <c r="N399" s="6"/>
      <c r="O399" s="9">
        <v>646.66999999999996</v>
      </c>
    </row>
    <row r="400" spans="1:15" ht="19.5" customHeight="1">
      <c r="A400" s="1" t="s">
        <v>754</v>
      </c>
      <c r="B400" s="5">
        <v>45935</v>
      </c>
      <c r="C400" s="1" t="s">
        <v>31</v>
      </c>
      <c r="D400" s="1" t="s">
        <v>33</v>
      </c>
      <c r="E400" s="1" t="s">
        <v>25</v>
      </c>
      <c r="F400" s="1" t="s">
        <v>26</v>
      </c>
      <c r="G400" s="1" t="s">
        <v>21</v>
      </c>
      <c r="H400" s="6">
        <v>1</v>
      </c>
      <c r="I400" s="7">
        <v>1200</v>
      </c>
      <c r="J400" s="5">
        <v>45933</v>
      </c>
      <c r="K400" s="1" t="s">
        <v>30</v>
      </c>
      <c r="L400" s="8">
        <v>0</v>
      </c>
      <c r="M400" s="6"/>
      <c r="N400" s="6"/>
      <c r="O400" s="9">
        <v>6.47</v>
      </c>
    </row>
    <row r="401" spans="1:15" ht="19.5" customHeight="1">
      <c r="A401" s="1" t="s">
        <v>754</v>
      </c>
      <c r="B401" s="5">
        <v>45935</v>
      </c>
      <c r="C401" s="1" t="s">
        <v>31</v>
      </c>
      <c r="D401" s="1" t="s">
        <v>34</v>
      </c>
      <c r="E401" s="1" t="s">
        <v>25</v>
      </c>
      <c r="F401" s="1" t="s">
        <v>26</v>
      </c>
      <c r="G401" s="1" t="s">
        <v>21</v>
      </c>
      <c r="H401" s="6">
        <v>1</v>
      </c>
      <c r="I401" s="7">
        <v>1200</v>
      </c>
      <c r="J401" s="5">
        <v>45933</v>
      </c>
      <c r="K401" s="1" t="s">
        <v>30</v>
      </c>
      <c r="L401" s="8">
        <v>0</v>
      </c>
      <c r="M401" s="6"/>
      <c r="N401" s="6"/>
      <c r="O401" s="9">
        <v>546.86</v>
      </c>
    </row>
    <row r="402" spans="1:15" ht="19.5" customHeight="1">
      <c r="A402" s="1" t="s">
        <v>754</v>
      </c>
      <c r="B402" s="5">
        <v>45935</v>
      </c>
      <c r="C402" s="1" t="s">
        <v>35</v>
      </c>
      <c r="D402" s="1" t="s">
        <v>36</v>
      </c>
      <c r="E402" s="1" t="s">
        <v>25</v>
      </c>
      <c r="F402" s="1" t="s">
        <v>26</v>
      </c>
      <c r="G402" s="1" t="s">
        <v>21</v>
      </c>
      <c r="H402" s="6">
        <v>1</v>
      </c>
      <c r="I402" s="7">
        <v>1200</v>
      </c>
      <c r="J402" s="5">
        <v>45933</v>
      </c>
      <c r="K402" s="1" t="s">
        <v>30</v>
      </c>
      <c r="L402" s="8">
        <v>0.26</v>
      </c>
      <c r="M402" s="6"/>
      <c r="N402" s="6"/>
      <c r="O402" s="9">
        <v>-312</v>
      </c>
    </row>
    <row r="403" spans="1:15" ht="19.5" customHeight="1">
      <c r="A403" s="1" t="s">
        <v>754</v>
      </c>
      <c r="B403" s="5">
        <v>45935</v>
      </c>
      <c r="C403" s="1" t="s">
        <v>17</v>
      </c>
      <c r="D403" s="1" t="s">
        <v>37</v>
      </c>
      <c r="E403" s="1" t="s">
        <v>25</v>
      </c>
      <c r="F403" s="1" t="s">
        <v>26</v>
      </c>
      <c r="G403" s="1" t="s">
        <v>21</v>
      </c>
      <c r="H403" s="6">
        <v>1</v>
      </c>
      <c r="I403" s="7">
        <v>1200</v>
      </c>
      <c r="J403" s="5">
        <v>45933</v>
      </c>
      <c r="K403" s="1" t="s">
        <v>30</v>
      </c>
      <c r="L403" s="8">
        <v>0.26</v>
      </c>
      <c r="M403" s="6"/>
      <c r="N403" s="6"/>
      <c r="O403" s="9">
        <v>-12.83</v>
      </c>
    </row>
    <row r="404" spans="1:15" ht="19.5" customHeight="1">
      <c r="A404" s="1" t="s">
        <v>752</v>
      </c>
      <c r="B404" s="5">
        <v>45935</v>
      </c>
      <c r="C404" s="1" t="s">
        <v>17</v>
      </c>
      <c r="D404" s="1" t="s">
        <v>18</v>
      </c>
      <c r="E404" s="1" t="s">
        <v>25</v>
      </c>
      <c r="F404" s="1" t="s">
        <v>26</v>
      </c>
      <c r="G404" s="1" t="s">
        <v>21</v>
      </c>
      <c r="H404" s="6">
        <v>1</v>
      </c>
      <c r="I404" s="7">
        <v>0</v>
      </c>
      <c r="J404" s="5">
        <v>45931</v>
      </c>
      <c r="K404" s="1" t="s">
        <v>22</v>
      </c>
      <c r="L404" s="8">
        <v>0</v>
      </c>
      <c r="M404" s="6"/>
      <c r="N404" s="6"/>
      <c r="O404" s="9">
        <v>-4.45</v>
      </c>
    </row>
    <row r="405" spans="1:15" ht="19.5" customHeight="1">
      <c r="A405" s="1" t="s">
        <v>754</v>
      </c>
      <c r="B405" s="5">
        <v>45935</v>
      </c>
      <c r="C405" s="1" t="s">
        <v>17</v>
      </c>
      <c r="D405" s="1" t="s">
        <v>18</v>
      </c>
      <c r="E405" s="1" t="s">
        <v>25</v>
      </c>
      <c r="F405" s="1" t="s">
        <v>26</v>
      </c>
      <c r="G405" s="1" t="s">
        <v>21</v>
      </c>
      <c r="H405" s="6">
        <v>1</v>
      </c>
      <c r="I405" s="7">
        <v>0</v>
      </c>
      <c r="J405" s="5">
        <v>45933</v>
      </c>
      <c r="K405" s="1" t="s">
        <v>22</v>
      </c>
      <c r="L405" s="8">
        <v>0</v>
      </c>
      <c r="M405" s="6"/>
      <c r="N405" s="6"/>
      <c r="O405" s="9">
        <v>-12.29</v>
      </c>
    </row>
    <row r="406" spans="1:15" ht="19.5" customHeight="1">
      <c r="A406" s="1" t="s">
        <v>22</v>
      </c>
      <c r="B406" s="5">
        <v>45935</v>
      </c>
      <c r="C406" s="1" t="s">
        <v>77</v>
      </c>
      <c r="D406" s="1" t="s">
        <v>78</v>
      </c>
      <c r="E406" s="1" t="s">
        <v>22</v>
      </c>
      <c r="F406" s="1" t="s">
        <v>22</v>
      </c>
      <c r="G406" s="1" t="s">
        <v>755</v>
      </c>
      <c r="H406" s="6">
        <v>0</v>
      </c>
      <c r="I406" s="7">
        <v>0</v>
      </c>
      <c r="J406" s="5">
        <v>45935</v>
      </c>
      <c r="K406" s="1" t="s">
        <v>22</v>
      </c>
      <c r="L406" s="8">
        <v>0</v>
      </c>
      <c r="M406" s="6"/>
      <c r="N406" s="6"/>
      <c r="O406" s="9">
        <v>-200</v>
      </c>
    </row>
    <row r="407" spans="1:15" ht="19.5" customHeight="1">
      <c r="A407" s="1" t="s">
        <v>486</v>
      </c>
      <c r="B407" s="5">
        <v>45935</v>
      </c>
      <c r="C407" s="1" t="s">
        <v>17</v>
      </c>
      <c r="D407" s="1" t="s">
        <v>18</v>
      </c>
      <c r="E407" s="1" t="s">
        <v>25</v>
      </c>
      <c r="F407" s="1" t="s">
        <v>26</v>
      </c>
      <c r="G407" s="1" t="s">
        <v>21</v>
      </c>
      <c r="H407" s="6">
        <v>1</v>
      </c>
      <c r="I407" s="7">
        <v>0</v>
      </c>
      <c r="J407" s="5">
        <v>45919</v>
      </c>
      <c r="K407" s="1" t="s">
        <v>22</v>
      </c>
      <c r="L407" s="8">
        <v>0</v>
      </c>
      <c r="M407" s="6"/>
      <c r="N407" s="6"/>
      <c r="O407" s="9">
        <v>10.99</v>
      </c>
    </row>
    <row r="408" spans="1:15" ht="19.5" customHeight="1">
      <c r="A408" s="1" t="s">
        <v>22</v>
      </c>
      <c r="B408" s="5">
        <v>45935</v>
      </c>
      <c r="C408" s="1" t="s">
        <v>77</v>
      </c>
      <c r="D408" s="1" t="s">
        <v>80</v>
      </c>
      <c r="E408" s="1" t="s">
        <v>22</v>
      </c>
      <c r="F408" s="1" t="s">
        <v>22</v>
      </c>
      <c r="G408" s="1" t="s">
        <v>22</v>
      </c>
      <c r="H408" s="6">
        <v>0</v>
      </c>
      <c r="I408" s="7">
        <v>0</v>
      </c>
      <c r="J408" s="5">
        <v>45935</v>
      </c>
      <c r="K408" s="1" t="s">
        <v>22</v>
      </c>
      <c r="L408" s="8">
        <v>0</v>
      </c>
      <c r="M408" s="6"/>
      <c r="N408" s="6"/>
      <c r="O408" s="9">
        <v>-432</v>
      </c>
    </row>
    <row r="409" spans="1:15" ht="19.5" customHeight="1">
      <c r="A409" s="1" t="s">
        <v>81</v>
      </c>
      <c r="B409" s="5">
        <v>45935</v>
      </c>
      <c r="C409" s="1" t="s">
        <v>77</v>
      </c>
      <c r="D409" s="1" t="s">
        <v>82</v>
      </c>
      <c r="E409" s="1" t="s">
        <v>22</v>
      </c>
      <c r="F409" s="1" t="s">
        <v>22</v>
      </c>
      <c r="G409" s="1" t="s">
        <v>22</v>
      </c>
      <c r="H409" s="6">
        <v>0</v>
      </c>
      <c r="I409" s="7">
        <v>0</v>
      </c>
      <c r="J409" s="5">
        <v>45935</v>
      </c>
      <c r="K409" s="1" t="s">
        <v>22</v>
      </c>
      <c r="L409" s="8">
        <v>0</v>
      </c>
      <c r="M409" s="6"/>
      <c r="N409" s="6"/>
      <c r="O409" s="9">
        <v>-1450.23</v>
      </c>
    </row>
    <row r="410" spans="1:15" ht="19.5" customHeight="1">
      <c r="A410" s="1" t="s">
        <v>83</v>
      </c>
      <c r="B410" s="5">
        <v>45935</v>
      </c>
      <c r="C410" s="1" t="s">
        <v>77</v>
      </c>
      <c r="D410" s="1" t="s">
        <v>84</v>
      </c>
      <c r="E410" s="1" t="s">
        <v>22</v>
      </c>
      <c r="F410" s="1" t="s">
        <v>22</v>
      </c>
      <c r="G410" s="1" t="s">
        <v>22</v>
      </c>
      <c r="H410" s="6">
        <v>0</v>
      </c>
      <c r="I410" s="7">
        <v>0</v>
      </c>
      <c r="J410" s="5">
        <v>45935</v>
      </c>
      <c r="K410" s="1" t="s">
        <v>22</v>
      </c>
      <c r="L410" s="8">
        <v>0</v>
      </c>
      <c r="M410" s="6"/>
      <c r="N410" s="6"/>
      <c r="O410" s="9">
        <v>-2266</v>
      </c>
    </row>
    <row r="411" spans="1:15" ht="19.5" customHeight="1">
      <c r="A411" s="1" t="s">
        <v>85</v>
      </c>
      <c r="B411" s="5">
        <v>45935</v>
      </c>
      <c r="C411" s="1" t="s">
        <v>77</v>
      </c>
      <c r="D411" s="1" t="s">
        <v>82</v>
      </c>
      <c r="E411" s="1" t="s">
        <v>22</v>
      </c>
      <c r="F411" s="1" t="s">
        <v>22</v>
      </c>
      <c r="G411" s="1" t="s">
        <v>22</v>
      </c>
      <c r="H411" s="6">
        <v>0</v>
      </c>
      <c r="I411" s="7">
        <v>0</v>
      </c>
      <c r="J411" s="5">
        <v>45935</v>
      </c>
      <c r="K411" s="1" t="s">
        <v>22</v>
      </c>
      <c r="L411" s="8">
        <v>0</v>
      </c>
      <c r="M411" s="6"/>
      <c r="N411" s="6"/>
      <c r="O411" s="9">
        <v>-791.2</v>
      </c>
    </row>
    <row r="412" spans="1:15" ht="19.5" customHeight="1">
      <c r="A412" s="1" t="s">
        <v>86</v>
      </c>
      <c r="B412" s="5">
        <v>45935</v>
      </c>
      <c r="C412" s="1" t="s">
        <v>77</v>
      </c>
      <c r="D412" s="1" t="s">
        <v>82</v>
      </c>
      <c r="E412" s="1" t="s">
        <v>22</v>
      </c>
      <c r="F412" s="1" t="s">
        <v>22</v>
      </c>
      <c r="G412" s="1" t="s">
        <v>22</v>
      </c>
      <c r="H412" s="6">
        <v>0</v>
      </c>
      <c r="I412" s="7">
        <v>0</v>
      </c>
      <c r="J412" s="5">
        <v>45935</v>
      </c>
      <c r="K412" s="1" t="s">
        <v>22</v>
      </c>
      <c r="L412" s="8">
        <v>0</v>
      </c>
      <c r="M412" s="6"/>
      <c r="N412" s="6"/>
      <c r="O412" s="9">
        <v>-1616.91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E090-2399-4E01-99E4-0A7C4626B4F6}">
  <dimension ref="A1:O1360"/>
  <sheetViews>
    <sheetView zoomScale="80" zoomScaleNormal="80" workbookViewId="0">
      <selection activeCell="D11" sqref="D1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4" width="20.7265625" customWidth="1"/>
    <col min="15" max="15" width="20.7265625" style="2" customWidth="1"/>
  </cols>
  <sheetData>
    <row r="1" spans="1:15" ht="19.5" customHeight="1">
      <c r="A1" s="1" t="s">
        <v>364</v>
      </c>
    </row>
    <row r="2" spans="1:15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</row>
    <row r="3" spans="1:15" ht="19.5" customHeight="1">
      <c r="A3" s="1" t="s">
        <v>352</v>
      </c>
      <c r="B3" s="5">
        <v>45901</v>
      </c>
      <c r="C3" s="1" t="s">
        <v>17</v>
      </c>
      <c r="D3" s="1" t="s">
        <v>18</v>
      </c>
      <c r="E3" s="1" t="s">
        <v>25</v>
      </c>
      <c r="F3" s="1" t="s">
        <v>26</v>
      </c>
      <c r="G3" s="1" t="s">
        <v>21</v>
      </c>
      <c r="H3" s="6">
        <v>1</v>
      </c>
      <c r="I3" s="7">
        <v>0</v>
      </c>
      <c r="J3" s="5">
        <v>45897</v>
      </c>
      <c r="K3" s="1" t="s">
        <v>22</v>
      </c>
      <c r="L3" s="8">
        <v>0</v>
      </c>
      <c r="M3" s="6"/>
      <c r="N3" s="6"/>
      <c r="O3" s="9">
        <v>2.75</v>
      </c>
    </row>
    <row r="4" spans="1:15" ht="19.5" customHeight="1">
      <c r="A4" s="1" t="s">
        <v>352</v>
      </c>
      <c r="B4" s="5">
        <v>45901</v>
      </c>
      <c r="C4" s="1" t="s">
        <v>17</v>
      </c>
      <c r="D4" s="1" t="s">
        <v>18</v>
      </c>
      <c r="E4" s="1" t="s">
        <v>25</v>
      </c>
      <c r="F4" s="1" t="s">
        <v>26</v>
      </c>
      <c r="G4" s="1" t="s">
        <v>21</v>
      </c>
      <c r="H4" s="6">
        <v>1</v>
      </c>
      <c r="I4" s="7">
        <v>0</v>
      </c>
      <c r="J4" s="5">
        <v>45897</v>
      </c>
      <c r="K4" s="1" t="s">
        <v>22</v>
      </c>
      <c r="L4" s="8">
        <v>0</v>
      </c>
      <c r="M4" s="6"/>
      <c r="N4" s="6"/>
      <c r="O4" s="9">
        <v>-2.75</v>
      </c>
    </row>
    <row r="5" spans="1:15" ht="19.5" customHeight="1">
      <c r="A5" s="1" t="s">
        <v>365</v>
      </c>
      <c r="B5" s="5">
        <v>45901</v>
      </c>
      <c r="C5" s="1" t="s">
        <v>28</v>
      </c>
      <c r="D5" s="1" t="s">
        <v>29</v>
      </c>
      <c r="E5" s="1" t="s">
        <v>54</v>
      </c>
      <c r="F5" s="1" t="s">
        <v>55</v>
      </c>
      <c r="G5" s="1" t="s">
        <v>21</v>
      </c>
      <c r="H5" s="6">
        <v>1</v>
      </c>
      <c r="I5" s="7">
        <v>0</v>
      </c>
      <c r="J5" s="5">
        <v>45895</v>
      </c>
      <c r="K5" s="1" t="s">
        <v>30</v>
      </c>
      <c r="L5" s="8">
        <v>0</v>
      </c>
      <c r="M5" s="6"/>
      <c r="N5" s="6"/>
      <c r="O5" s="9">
        <v>-46</v>
      </c>
    </row>
    <row r="6" spans="1:15" ht="19.5" customHeight="1">
      <c r="A6" s="1" t="s">
        <v>365</v>
      </c>
      <c r="B6" s="5">
        <v>45901</v>
      </c>
      <c r="C6" s="1" t="s">
        <v>28</v>
      </c>
      <c r="D6" s="1" t="s">
        <v>356</v>
      </c>
      <c r="E6" s="1" t="s">
        <v>54</v>
      </c>
      <c r="F6" s="1" t="s">
        <v>55</v>
      </c>
      <c r="G6" s="1" t="s">
        <v>21</v>
      </c>
      <c r="H6" s="6">
        <v>1</v>
      </c>
      <c r="I6" s="7">
        <v>0</v>
      </c>
      <c r="J6" s="5">
        <v>45895</v>
      </c>
      <c r="K6" s="1" t="s">
        <v>30</v>
      </c>
      <c r="L6" s="8">
        <v>0</v>
      </c>
      <c r="M6" s="6"/>
      <c r="N6" s="6"/>
      <c r="O6" s="9">
        <v>0</v>
      </c>
    </row>
    <row r="7" spans="1:15" ht="19.5" customHeight="1">
      <c r="A7" s="1" t="s">
        <v>365</v>
      </c>
      <c r="B7" s="5">
        <v>45901</v>
      </c>
      <c r="C7" s="1" t="s">
        <v>28</v>
      </c>
      <c r="D7" s="1" t="s">
        <v>46</v>
      </c>
      <c r="E7" s="1" t="s">
        <v>54</v>
      </c>
      <c r="F7" s="1" t="s">
        <v>55</v>
      </c>
      <c r="G7" s="1" t="s">
        <v>21</v>
      </c>
      <c r="H7" s="6">
        <v>1</v>
      </c>
      <c r="I7" s="7">
        <v>0</v>
      </c>
      <c r="J7" s="5">
        <v>45895</v>
      </c>
      <c r="K7" s="1" t="s">
        <v>30</v>
      </c>
      <c r="L7" s="8">
        <v>0</v>
      </c>
      <c r="M7" s="6"/>
      <c r="N7" s="6"/>
      <c r="O7" s="9">
        <v>-46</v>
      </c>
    </row>
    <row r="8" spans="1:15" ht="19.5" customHeight="1">
      <c r="A8" s="1" t="s">
        <v>365</v>
      </c>
      <c r="B8" s="5">
        <v>45901</v>
      </c>
      <c r="C8" s="1" t="s">
        <v>17</v>
      </c>
      <c r="D8" s="1" t="s">
        <v>47</v>
      </c>
      <c r="E8" s="1" t="s">
        <v>54</v>
      </c>
      <c r="F8" s="1" t="s">
        <v>55</v>
      </c>
      <c r="G8" s="1" t="s">
        <v>21</v>
      </c>
      <c r="H8" s="6">
        <v>1</v>
      </c>
      <c r="I8" s="7">
        <v>0</v>
      </c>
      <c r="J8" s="5">
        <v>45895</v>
      </c>
      <c r="K8" s="1" t="s">
        <v>30</v>
      </c>
      <c r="L8" s="8">
        <v>0</v>
      </c>
      <c r="M8" s="6"/>
      <c r="N8" s="6"/>
      <c r="O8" s="9">
        <v>-15</v>
      </c>
    </row>
    <row r="9" spans="1:15" ht="19.5" customHeight="1">
      <c r="A9" s="1" t="s">
        <v>366</v>
      </c>
      <c r="B9" s="5">
        <v>45901</v>
      </c>
      <c r="C9" s="1" t="s">
        <v>17</v>
      </c>
      <c r="D9" s="1" t="s">
        <v>18</v>
      </c>
      <c r="E9" s="1" t="s">
        <v>25</v>
      </c>
      <c r="F9" s="1" t="s">
        <v>26</v>
      </c>
      <c r="G9" s="1" t="s">
        <v>21</v>
      </c>
      <c r="H9" s="6">
        <v>1</v>
      </c>
      <c r="I9" s="7">
        <v>0</v>
      </c>
      <c r="J9" s="5">
        <v>45901</v>
      </c>
      <c r="K9" s="1" t="s">
        <v>22</v>
      </c>
      <c r="L9" s="8">
        <v>0</v>
      </c>
      <c r="M9" s="6"/>
      <c r="N9" s="6"/>
      <c r="O9" s="9">
        <v>-14.42</v>
      </c>
    </row>
    <row r="10" spans="1:15" ht="19.5" customHeight="1">
      <c r="A10" s="1" t="s">
        <v>367</v>
      </c>
      <c r="B10" s="5">
        <v>45901</v>
      </c>
      <c r="C10" s="1" t="s">
        <v>28</v>
      </c>
      <c r="D10" s="1" t="s">
        <v>29</v>
      </c>
      <c r="E10" s="1" t="s">
        <v>25</v>
      </c>
      <c r="F10" s="1" t="s">
        <v>26</v>
      </c>
      <c r="G10" s="1" t="s">
        <v>21</v>
      </c>
      <c r="H10" s="6">
        <v>1</v>
      </c>
      <c r="I10" s="7">
        <v>1450</v>
      </c>
      <c r="J10" s="5">
        <v>45899</v>
      </c>
      <c r="K10" s="1" t="s">
        <v>30</v>
      </c>
      <c r="L10" s="8">
        <v>0.2</v>
      </c>
      <c r="M10" s="6"/>
      <c r="N10" s="6"/>
      <c r="O10" s="9">
        <v>-46</v>
      </c>
    </row>
    <row r="11" spans="1:15" ht="19.5" customHeight="1">
      <c r="A11" s="1" t="s">
        <v>367</v>
      </c>
      <c r="B11" s="5">
        <v>45901</v>
      </c>
      <c r="C11" s="1" t="s">
        <v>31</v>
      </c>
      <c r="D11" s="1" t="s">
        <v>32</v>
      </c>
      <c r="E11" s="1" t="s">
        <v>25</v>
      </c>
      <c r="F11" s="1" t="s">
        <v>26</v>
      </c>
      <c r="G11" s="1" t="s">
        <v>21</v>
      </c>
      <c r="H11" s="6">
        <v>1</v>
      </c>
      <c r="I11" s="7">
        <v>1450</v>
      </c>
      <c r="J11" s="5">
        <v>45899</v>
      </c>
      <c r="K11" s="1" t="s">
        <v>30</v>
      </c>
      <c r="L11" s="8">
        <v>0</v>
      </c>
      <c r="M11" s="6"/>
      <c r="N11" s="6"/>
      <c r="O11" s="9">
        <v>912.46</v>
      </c>
    </row>
    <row r="12" spans="1:15" ht="19.5" customHeight="1">
      <c r="A12" s="1" t="s">
        <v>367</v>
      </c>
      <c r="B12" s="5">
        <v>45901</v>
      </c>
      <c r="C12" s="1" t="s">
        <v>31</v>
      </c>
      <c r="D12" s="1" t="s">
        <v>33</v>
      </c>
      <c r="E12" s="1" t="s">
        <v>25</v>
      </c>
      <c r="F12" s="1" t="s">
        <v>26</v>
      </c>
      <c r="G12" s="1" t="s">
        <v>21</v>
      </c>
      <c r="H12" s="6">
        <v>1</v>
      </c>
      <c r="I12" s="7">
        <v>1450</v>
      </c>
      <c r="J12" s="5">
        <v>45899</v>
      </c>
      <c r="K12" s="1" t="s">
        <v>30</v>
      </c>
      <c r="L12" s="8">
        <v>0</v>
      </c>
      <c r="M12" s="6"/>
      <c r="N12" s="6"/>
      <c r="O12" s="9">
        <v>6.71</v>
      </c>
    </row>
    <row r="13" spans="1:15" ht="19.5" customHeight="1">
      <c r="A13" s="1" t="s">
        <v>367</v>
      </c>
      <c r="B13" s="5">
        <v>45901</v>
      </c>
      <c r="C13" s="1" t="s">
        <v>31</v>
      </c>
      <c r="D13" s="1" t="s">
        <v>34</v>
      </c>
      <c r="E13" s="1" t="s">
        <v>25</v>
      </c>
      <c r="F13" s="1" t="s">
        <v>26</v>
      </c>
      <c r="G13" s="1" t="s">
        <v>21</v>
      </c>
      <c r="H13" s="6">
        <v>1</v>
      </c>
      <c r="I13" s="7">
        <v>1450</v>
      </c>
      <c r="J13" s="5">
        <v>45899</v>
      </c>
      <c r="K13" s="1" t="s">
        <v>30</v>
      </c>
      <c r="L13" s="8">
        <v>0</v>
      </c>
      <c r="M13" s="6"/>
      <c r="N13" s="6"/>
      <c r="O13" s="9">
        <v>530.83000000000004</v>
      </c>
    </row>
    <row r="14" spans="1:15" ht="19.5" customHeight="1">
      <c r="A14" s="1" t="s">
        <v>367</v>
      </c>
      <c r="B14" s="5">
        <v>45901</v>
      </c>
      <c r="C14" s="1" t="s">
        <v>35</v>
      </c>
      <c r="D14" s="1" t="s">
        <v>36</v>
      </c>
      <c r="E14" s="1" t="s">
        <v>25</v>
      </c>
      <c r="F14" s="1" t="s">
        <v>26</v>
      </c>
      <c r="G14" s="1" t="s">
        <v>21</v>
      </c>
      <c r="H14" s="6">
        <v>1</v>
      </c>
      <c r="I14" s="7">
        <v>1450</v>
      </c>
      <c r="J14" s="5">
        <v>45899</v>
      </c>
      <c r="K14" s="1" t="s">
        <v>30</v>
      </c>
      <c r="L14" s="8">
        <v>0.2</v>
      </c>
      <c r="M14" s="6"/>
      <c r="N14" s="6"/>
      <c r="O14" s="9">
        <v>-290</v>
      </c>
    </row>
    <row r="15" spans="1:15" ht="19.5" customHeight="1">
      <c r="A15" s="1" t="s">
        <v>367</v>
      </c>
      <c r="B15" s="5">
        <v>45901</v>
      </c>
      <c r="C15" s="1" t="s">
        <v>17</v>
      </c>
      <c r="D15" s="1" t="s">
        <v>37</v>
      </c>
      <c r="E15" s="1" t="s">
        <v>25</v>
      </c>
      <c r="F15" s="1" t="s">
        <v>26</v>
      </c>
      <c r="G15" s="1" t="s">
        <v>21</v>
      </c>
      <c r="H15" s="6">
        <v>1</v>
      </c>
      <c r="I15" s="7">
        <v>1450</v>
      </c>
      <c r="J15" s="5">
        <v>45899</v>
      </c>
      <c r="K15" s="1" t="s">
        <v>30</v>
      </c>
      <c r="L15" s="8">
        <v>0.2</v>
      </c>
      <c r="M15" s="6"/>
      <c r="N15" s="6"/>
      <c r="O15" s="9">
        <v>-3.52</v>
      </c>
    </row>
    <row r="16" spans="1:15" ht="19.5" customHeight="1">
      <c r="A16" s="1" t="s">
        <v>367</v>
      </c>
      <c r="B16" s="5">
        <v>45901</v>
      </c>
      <c r="C16" s="1" t="s">
        <v>17</v>
      </c>
      <c r="D16" s="1" t="s">
        <v>18</v>
      </c>
      <c r="E16" s="1" t="s">
        <v>25</v>
      </c>
      <c r="F16" s="1" t="s">
        <v>26</v>
      </c>
      <c r="G16" s="1" t="s">
        <v>21</v>
      </c>
      <c r="H16" s="6">
        <v>1</v>
      </c>
      <c r="I16" s="7">
        <v>0</v>
      </c>
      <c r="J16" s="5">
        <v>45899</v>
      </c>
      <c r="K16" s="1" t="s">
        <v>22</v>
      </c>
      <c r="L16" s="8">
        <v>0</v>
      </c>
      <c r="M16" s="6"/>
      <c r="N16" s="6"/>
      <c r="O16" s="9">
        <v>-17.34</v>
      </c>
    </row>
    <row r="17" spans="1:15" ht="19.5" customHeight="1">
      <c r="A17" s="1" t="s">
        <v>83</v>
      </c>
      <c r="B17" s="5">
        <v>45901</v>
      </c>
      <c r="C17" s="1" t="s">
        <v>77</v>
      </c>
      <c r="D17" s="1" t="s">
        <v>84</v>
      </c>
      <c r="E17" s="1" t="s">
        <v>22</v>
      </c>
      <c r="F17" s="1" t="s">
        <v>22</v>
      </c>
      <c r="G17" s="1" t="s">
        <v>22</v>
      </c>
      <c r="H17" s="6">
        <v>0</v>
      </c>
      <c r="I17" s="7">
        <v>0</v>
      </c>
      <c r="J17" s="5">
        <v>45901</v>
      </c>
      <c r="K17" s="1" t="s">
        <v>22</v>
      </c>
      <c r="L17" s="8">
        <v>0</v>
      </c>
      <c r="M17" s="6"/>
      <c r="N17" s="6"/>
      <c r="O17" s="9">
        <v>-240.75</v>
      </c>
    </row>
    <row r="18" spans="1:15" ht="19.5" customHeight="1">
      <c r="A18" s="1" t="s">
        <v>81</v>
      </c>
      <c r="B18" s="5">
        <v>45901</v>
      </c>
      <c r="C18" s="1" t="s">
        <v>77</v>
      </c>
      <c r="D18" s="1" t="s">
        <v>82</v>
      </c>
      <c r="E18" s="1" t="s">
        <v>22</v>
      </c>
      <c r="F18" s="1" t="s">
        <v>22</v>
      </c>
      <c r="G18" s="1" t="s">
        <v>22</v>
      </c>
      <c r="H18" s="6">
        <v>0</v>
      </c>
      <c r="I18" s="7">
        <v>0</v>
      </c>
      <c r="J18" s="5">
        <v>45901</v>
      </c>
      <c r="K18" s="1" t="s">
        <v>22</v>
      </c>
      <c r="L18" s="8">
        <v>0</v>
      </c>
      <c r="M18" s="6"/>
      <c r="N18" s="6"/>
      <c r="O18" s="9">
        <v>-827.83</v>
      </c>
    </row>
    <row r="19" spans="1:15" ht="19.5" customHeight="1">
      <c r="A19" s="1" t="s">
        <v>368</v>
      </c>
      <c r="B19" s="5">
        <v>45902</v>
      </c>
      <c r="C19" s="1" t="s">
        <v>261</v>
      </c>
      <c r="D19" s="1" t="s">
        <v>326</v>
      </c>
      <c r="E19" s="1" t="s">
        <v>22</v>
      </c>
      <c r="F19" s="1" t="s">
        <v>22</v>
      </c>
      <c r="G19" s="1" t="s">
        <v>22</v>
      </c>
      <c r="H19" s="6">
        <v>0</v>
      </c>
      <c r="I19" s="7">
        <v>0</v>
      </c>
      <c r="J19" s="5">
        <v>45895</v>
      </c>
      <c r="K19" s="1" t="s">
        <v>22</v>
      </c>
      <c r="L19" s="8">
        <v>0</v>
      </c>
      <c r="M19" s="6"/>
      <c r="N19" s="6"/>
      <c r="O19" s="9">
        <v>-1026.5999999999999</v>
      </c>
    </row>
    <row r="20" spans="1:15" ht="19.5" customHeight="1">
      <c r="A20" s="1" t="s">
        <v>368</v>
      </c>
      <c r="B20" s="5">
        <v>45902</v>
      </c>
      <c r="C20" s="1" t="s">
        <v>261</v>
      </c>
      <c r="D20" s="1" t="s">
        <v>326</v>
      </c>
      <c r="E20" s="1" t="s">
        <v>22</v>
      </c>
      <c r="F20" s="1" t="s">
        <v>22</v>
      </c>
      <c r="G20" s="1" t="s">
        <v>22</v>
      </c>
      <c r="H20" s="6">
        <v>0</v>
      </c>
      <c r="I20" s="7">
        <v>0</v>
      </c>
      <c r="J20" s="5">
        <v>45895</v>
      </c>
      <c r="K20" s="1" t="s">
        <v>22</v>
      </c>
      <c r="L20" s="8">
        <v>0</v>
      </c>
      <c r="M20" s="6"/>
      <c r="N20" s="6"/>
      <c r="O20" s="9">
        <v>-1026.5999999999999</v>
      </c>
    </row>
    <row r="21" spans="1:15" ht="19.5" customHeight="1">
      <c r="A21" s="1" t="s">
        <v>81</v>
      </c>
      <c r="B21" s="5">
        <v>45902</v>
      </c>
      <c r="C21" s="1" t="s">
        <v>77</v>
      </c>
      <c r="D21" s="1" t="s">
        <v>82</v>
      </c>
      <c r="E21" s="1" t="s">
        <v>22</v>
      </c>
      <c r="F21" s="1" t="s">
        <v>22</v>
      </c>
      <c r="G21" s="1" t="s">
        <v>22</v>
      </c>
      <c r="H21" s="6">
        <v>0</v>
      </c>
      <c r="I21" s="7">
        <v>0</v>
      </c>
      <c r="J21" s="5">
        <v>45902</v>
      </c>
      <c r="K21" s="1" t="s">
        <v>22</v>
      </c>
      <c r="L21" s="8">
        <v>0</v>
      </c>
      <c r="M21" s="6"/>
      <c r="N21" s="6"/>
      <c r="O21" s="9">
        <v>-1159.9000000000001</v>
      </c>
    </row>
    <row r="22" spans="1:15" ht="19.5" customHeight="1">
      <c r="A22" s="1" t="s">
        <v>369</v>
      </c>
      <c r="B22" s="5">
        <v>45903</v>
      </c>
      <c r="C22" s="1" t="s">
        <v>28</v>
      </c>
      <c r="D22" s="1" t="s">
        <v>356</v>
      </c>
      <c r="E22" s="1" t="s">
        <v>25</v>
      </c>
      <c r="F22" s="1" t="s">
        <v>26</v>
      </c>
      <c r="G22" s="1" t="s">
        <v>21</v>
      </c>
      <c r="H22" s="6">
        <v>1</v>
      </c>
      <c r="I22" s="7">
        <v>0</v>
      </c>
      <c r="J22" s="5">
        <v>45898</v>
      </c>
      <c r="K22" s="1" t="s">
        <v>30</v>
      </c>
      <c r="L22" s="8">
        <v>0</v>
      </c>
      <c r="M22" s="6"/>
      <c r="N22" s="6"/>
      <c r="O22" s="9">
        <v>0</v>
      </c>
    </row>
    <row r="23" spans="1:15" ht="19.5" customHeight="1">
      <c r="A23" s="1" t="s">
        <v>369</v>
      </c>
      <c r="B23" s="5">
        <v>45903</v>
      </c>
      <c r="C23" s="1" t="s">
        <v>28</v>
      </c>
      <c r="D23" s="1" t="s">
        <v>46</v>
      </c>
      <c r="E23" s="1" t="s">
        <v>25</v>
      </c>
      <c r="F23" s="1" t="s">
        <v>26</v>
      </c>
      <c r="G23" s="1" t="s">
        <v>21</v>
      </c>
      <c r="H23" s="6">
        <v>1</v>
      </c>
      <c r="I23" s="7">
        <v>0</v>
      </c>
      <c r="J23" s="5">
        <v>45898</v>
      </c>
      <c r="K23" s="1" t="s">
        <v>30</v>
      </c>
      <c r="L23" s="8">
        <v>0</v>
      </c>
      <c r="M23" s="6"/>
      <c r="N23" s="6"/>
      <c r="O23" s="9">
        <v>-46</v>
      </c>
    </row>
    <row r="24" spans="1:15" ht="19.5" customHeight="1">
      <c r="A24" s="1" t="s">
        <v>369</v>
      </c>
      <c r="B24" s="5">
        <v>45903</v>
      </c>
      <c r="C24" s="1" t="s">
        <v>17</v>
      </c>
      <c r="D24" s="1" t="s">
        <v>47</v>
      </c>
      <c r="E24" s="1" t="s">
        <v>25</v>
      </c>
      <c r="F24" s="1" t="s">
        <v>26</v>
      </c>
      <c r="G24" s="1" t="s">
        <v>21</v>
      </c>
      <c r="H24" s="6">
        <v>1</v>
      </c>
      <c r="I24" s="7">
        <v>0</v>
      </c>
      <c r="J24" s="5">
        <v>45898</v>
      </c>
      <c r="K24" s="1" t="s">
        <v>30</v>
      </c>
      <c r="L24" s="8">
        <v>0</v>
      </c>
      <c r="M24" s="6"/>
      <c r="N24" s="6"/>
      <c r="O24" s="9">
        <v>-15</v>
      </c>
    </row>
    <row r="25" spans="1:15" ht="19.5" customHeight="1">
      <c r="A25" s="1" t="s">
        <v>369</v>
      </c>
      <c r="B25" s="5">
        <v>45903</v>
      </c>
      <c r="C25" s="1" t="s">
        <v>28</v>
      </c>
      <c r="D25" s="1" t="s">
        <v>29</v>
      </c>
      <c r="E25" s="1" t="s">
        <v>25</v>
      </c>
      <c r="F25" s="1" t="s">
        <v>26</v>
      </c>
      <c r="G25" s="1" t="s">
        <v>21</v>
      </c>
      <c r="H25" s="6">
        <v>1</v>
      </c>
      <c r="I25" s="7">
        <v>0</v>
      </c>
      <c r="J25" s="5">
        <v>45898</v>
      </c>
      <c r="K25" s="1" t="s">
        <v>30</v>
      </c>
      <c r="L25" s="8">
        <v>0</v>
      </c>
      <c r="M25" s="6"/>
      <c r="N25" s="6"/>
      <c r="O25" s="9">
        <v>-46</v>
      </c>
    </row>
    <row r="26" spans="1:15" ht="19.5" customHeight="1">
      <c r="A26" s="1" t="s">
        <v>369</v>
      </c>
      <c r="B26" s="5">
        <v>45903</v>
      </c>
      <c r="C26" s="1" t="s">
        <v>17</v>
      </c>
      <c r="D26" s="1" t="s">
        <v>37</v>
      </c>
      <c r="E26" s="1" t="s">
        <v>25</v>
      </c>
      <c r="F26" s="1" t="s">
        <v>26</v>
      </c>
      <c r="G26" s="1" t="s">
        <v>21</v>
      </c>
      <c r="H26" s="6">
        <v>1</v>
      </c>
      <c r="I26" s="7">
        <v>0</v>
      </c>
      <c r="J26" s="5">
        <v>45898</v>
      </c>
      <c r="K26" s="1" t="s">
        <v>30</v>
      </c>
      <c r="L26" s="8">
        <v>0</v>
      </c>
      <c r="M26" s="6"/>
      <c r="N26" s="6"/>
      <c r="O26" s="9">
        <v>-6.29</v>
      </c>
    </row>
    <row r="27" spans="1:15" ht="19.5" customHeight="1">
      <c r="A27" s="1" t="s">
        <v>81</v>
      </c>
      <c r="B27" s="5">
        <v>45903</v>
      </c>
      <c r="C27" s="1" t="s">
        <v>77</v>
      </c>
      <c r="D27" s="1" t="s">
        <v>82</v>
      </c>
      <c r="E27" s="1" t="s">
        <v>22</v>
      </c>
      <c r="F27" s="1" t="s">
        <v>22</v>
      </c>
      <c r="G27" s="1" t="s">
        <v>22</v>
      </c>
      <c r="H27" s="6">
        <v>0</v>
      </c>
      <c r="I27" s="7">
        <v>0</v>
      </c>
      <c r="J27" s="5">
        <v>45903</v>
      </c>
      <c r="K27" s="1" t="s">
        <v>22</v>
      </c>
      <c r="L27" s="8">
        <v>0</v>
      </c>
      <c r="M27" s="6"/>
      <c r="N27" s="6"/>
      <c r="O27" s="9">
        <v>-382.48</v>
      </c>
    </row>
    <row r="28" spans="1:15" ht="19.5" customHeight="1">
      <c r="A28" s="1" t="s">
        <v>370</v>
      </c>
      <c r="B28" s="5">
        <v>45904</v>
      </c>
      <c r="C28" s="1" t="s">
        <v>28</v>
      </c>
      <c r="D28" s="1" t="s">
        <v>29</v>
      </c>
      <c r="E28" s="1" t="s">
        <v>92</v>
      </c>
      <c r="F28" s="1" t="s">
        <v>93</v>
      </c>
      <c r="G28" s="1" t="s">
        <v>21</v>
      </c>
      <c r="H28" s="6">
        <v>1</v>
      </c>
      <c r="I28" s="7">
        <v>1400</v>
      </c>
      <c r="J28" s="5">
        <v>45902</v>
      </c>
      <c r="K28" s="1" t="s">
        <v>30</v>
      </c>
      <c r="L28" s="8">
        <v>0.2</v>
      </c>
      <c r="M28" s="6"/>
      <c r="N28" s="6"/>
      <c r="O28" s="9">
        <v>-46</v>
      </c>
    </row>
    <row r="29" spans="1:15" ht="19.5" customHeight="1">
      <c r="A29" s="1" t="s">
        <v>370</v>
      </c>
      <c r="B29" s="5">
        <v>45904</v>
      </c>
      <c r="C29" s="1" t="s">
        <v>31</v>
      </c>
      <c r="D29" s="1" t="s">
        <v>32</v>
      </c>
      <c r="E29" s="1" t="s">
        <v>92</v>
      </c>
      <c r="F29" s="1" t="s">
        <v>93</v>
      </c>
      <c r="G29" s="1" t="s">
        <v>21</v>
      </c>
      <c r="H29" s="6">
        <v>1</v>
      </c>
      <c r="I29" s="7">
        <v>1400</v>
      </c>
      <c r="J29" s="5">
        <v>45902</v>
      </c>
      <c r="K29" s="1" t="s">
        <v>30</v>
      </c>
      <c r="L29" s="8">
        <v>0</v>
      </c>
      <c r="M29" s="6"/>
      <c r="N29" s="6"/>
      <c r="O29" s="9">
        <v>920.95</v>
      </c>
    </row>
    <row r="30" spans="1:15" ht="19.5" customHeight="1">
      <c r="A30" s="1" t="s">
        <v>370</v>
      </c>
      <c r="B30" s="5">
        <v>45904</v>
      </c>
      <c r="C30" s="1" t="s">
        <v>31</v>
      </c>
      <c r="D30" s="1" t="s">
        <v>33</v>
      </c>
      <c r="E30" s="1" t="s">
        <v>92</v>
      </c>
      <c r="F30" s="1" t="s">
        <v>93</v>
      </c>
      <c r="G30" s="1" t="s">
        <v>21</v>
      </c>
      <c r="H30" s="6">
        <v>1</v>
      </c>
      <c r="I30" s="7">
        <v>1400</v>
      </c>
      <c r="J30" s="5">
        <v>45902</v>
      </c>
      <c r="K30" s="1" t="s">
        <v>30</v>
      </c>
      <c r="L30" s="8">
        <v>0</v>
      </c>
      <c r="M30" s="6"/>
      <c r="N30" s="6"/>
      <c r="O30" s="9">
        <v>6.77</v>
      </c>
    </row>
    <row r="31" spans="1:15" ht="19.5" customHeight="1">
      <c r="A31" s="1" t="s">
        <v>370</v>
      </c>
      <c r="B31" s="5">
        <v>45904</v>
      </c>
      <c r="C31" s="1" t="s">
        <v>31</v>
      </c>
      <c r="D31" s="1" t="s">
        <v>34</v>
      </c>
      <c r="E31" s="1" t="s">
        <v>92</v>
      </c>
      <c r="F31" s="1" t="s">
        <v>93</v>
      </c>
      <c r="G31" s="1" t="s">
        <v>21</v>
      </c>
      <c r="H31" s="6">
        <v>1</v>
      </c>
      <c r="I31" s="7">
        <v>1400</v>
      </c>
      <c r="J31" s="5">
        <v>45902</v>
      </c>
      <c r="K31" s="1" t="s">
        <v>30</v>
      </c>
      <c r="L31" s="8">
        <v>0</v>
      </c>
      <c r="M31" s="6"/>
      <c r="N31" s="6"/>
      <c r="O31" s="9">
        <v>472.28</v>
      </c>
    </row>
    <row r="32" spans="1:15" ht="19.5" customHeight="1">
      <c r="A32" s="1" t="s">
        <v>370</v>
      </c>
      <c r="B32" s="5">
        <v>45904</v>
      </c>
      <c r="C32" s="1" t="s">
        <v>35</v>
      </c>
      <c r="D32" s="1" t="s">
        <v>36</v>
      </c>
      <c r="E32" s="1" t="s">
        <v>92</v>
      </c>
      <c r="F32" s="1" t="s">
        <v>93</v>
      </c>
      <c r="G32" s="1" t="s">
        <v>21</v>
      </c>
      <c r="H32" s="6">
        <v>1</v>
      </c>
      <c r="I32" s="7">
        <v>1400</v>
      </c>
      <c r="J32" s="5">
        <v>45902</v>
      </c>
      <c r="K32" s="1" t="s">
        <v>30</v>
      </c>
      <c r="L32" s="8">
        <v>0.2</v>
      </c>
      <c r="M32" s="6"/>
      <c r="N32" s="6"/>
      <c r="O32" s="9">
        <v>-280</v>
      </c>
    </row>
    <row r="33" spans="1:15" ht="19.5" customHeight="1">
      <c r="A33" s="1" t="s">
        <v>370</v>
      </c>
      <c r="B33" s="5">
        <v>45904</v>
      </c>
      <c r="C33" s="1" t="s">
        <v>17</v>
      </c>
      <c r="D33" s="1" t="s">
        <v>37</v>
      </c>
      <c r="E33" s="1" t="s">
        <v>92</v>
      </c>
      <c r="F33" s="1" t="s">
        <v>93</v>
      </c>
      <c r="G33" s="1" t="s">
        <v>21</v>
      </c>
      <c r="H33" s="6">
        <v>1</v>
      </c>
      <c r="I33" s="7">
        <v>1400</v>
      </c>
      <c r="J33" s="5">
        <v>45902</v>
      </c>
      <c r="K33" s="1" t="s">
        <v>30</v>
      </c>
      <c r="L33" s="8">
        <v>0.2</v>
      </c>
      <c r="M33" s="6"/>
      <c r="N33" s="6"/>
      <c r="O33" s="9">
        <v>-5.12</v>
      </c>
    </row>
    <row r="34" spans="1:15" ht="19.5" customHeight="1">
      <c r="A34" s="1" t="s">
        <v>370</v>
      </c>
      <c r="B34" s="5">
        <v>45904</v>
      </c>
      <c r="C34" s="1" t="s">
        <v>17</v>
      </c>
      <c r="D34" s="1" t="s">
        <v>18</v>
      </c>
      <c r="E34" s="1" t="s">
        <v>92</v>
      </c>
      <c r="F34" s="1" t="s">
        <v>93</v>
      </c>
      <c r="G34" s="1" t="s">
        <v>21</v>
      </c>
      <c r="H34" s="6">
        <v>1</v>
      </c>
      <c r="I34" s="7">
        <v>0</v>
      </c>
      <c r="J34" s="5">
        <v>45902</v>
      </c>
      <c r="K34" s="1" t="s">
        <v>22</v>
      </c>
      <c r="L34" s="8">
        <v>0</v>
      </c>
      <c r="M34" s="6"/>
      <c r="N34" s="6"/>
      <c r="O34" s="9">
        <v>-17.5</v>
      </c>
    </row>
    <row r="35" spans="1:15" ht="19.5" customHeight="1">
      <c r="A35" s="1" t="s">
        <v>371</v>
      </c>
      <c r="B35" s="5">
        <v>45904</v>
      </c>
      <c r="C35" s="1" t="s">
        <v>17</v>
      </c>
      <c r="D35" s="1" t="s">
        <v>18</v>
      </c>
      <c r="E35" s="1" t="s">
        <v>25</v>
      </c>
      <c r="F35" s="1" t="s">
        <v>26</v>
      </c>
      <c r="G35" s="1" t="s">
        <v>21</v>
      </c>
      <c r="H35" s="6">
        <v>1</v>
      </c>
      <c r="I35" s="7">
        <v>0</v>
      </c>
      <c r="J35" s="5">
        <v>45904</v>
      </c>
      <c r="K35" s="1" t="s">
        <v>22</v>
      </c>
      <c r="L35" s="8">
        <v>0</v>
      </c>
      <c r="M35" s="6"/>
      <c r="N35" s="6"/>
      <c r="O35" s="9">
        <v>-14.84</v>
      </c>
    </row>
    <row r="36" spans="1:15" ht="19.5" customHeight="1">
      <c r="A36" s="1" t="s">
        <v>372</v>
      </c>
      <c r="B36" s="5">
        <v>45904</v>
      </c>
      <c r="C36" s="1" t="s">
        <v>28</v>
      </c>
      <c r="D36" s="1" t="s">
        <v>29</v>
      </c>
      <c r="E36" s="1" t="s">
        <v>25</v>
      </c>
      <c r="F36" s="1" t="s">
        <v>26</v>
      </c>
      <c r="G36" s="1" t="s">
        <v>21</v>
      </c>
      <c r="H36" s="6">
        <v>1</v>
      </c>
      <c r="I36" s="7">
        <v>1225</v>
      </c>
      <c r="J36" s="5">
        <v>45901</v>
      </c>
      <c r="K36" s="1" t="s">
        <v>30</v>
      </c>
      <c r="L36" s="8">
        <v>0.2</v>
      </c>
      <c r="M36" s="6"/>
      <c r="N36" s="6"/>
      <c r="O36" s="9">
        <v>-46</v>
      </c>
    </row>
    <row r="37" spans="1:15" ht="19.5" customHeight="1">
      <c r="A37" s="1" t="s">
        <v>372</v>
      </c>
      <c r="B37" s="5">
        <v>45904</v>
      </c>
      <c r="C37" s="1" t="s">
        <v>31</v>
      </c>
      <c r="D37" s="1" t="s">
        <v>32</v>
      </c>
      <c r="E37" s="1" t="s">
        <v>25</v>
      </c>
      <c r="F37" s="1" t="s">
        <v>26</v>
      </c>
      <c r="G37" s="1" t="s">
        <v>21</v>
      </c>
      <c r="H37" s="6">
        <v>1</v>
      </c>
      <c r="I37" s="7">
        <v>1225</v>
      </c>
      <c r="J37" s="5">
        <v>45901</v>
      </c>
      <c r="K37" s="1" t="s">
        <v>30</v>
      </c>
      <c r="L37" s="8">
        <v>0</v>
      </c>
      <c r="M37" s="6"/>
      <c r="N37" s="6"/>
      <c r="O37" s="9">
        <v>759.05</v>
      </c>
    </row>
    <row r="38" spans="1:15" ht="19.5" customHeight="1">
      <c r="A38" s="1" t="s">
        <v>372</v>
      </c>
      <c r="B38" s="5">
        <v>45904</v>
      </c>
      <c r="C38" s="1" t="s">
        <v>31</v>
      </c>
      <c r="D38" s="1" t="s">
        <v>33</v>
      </c>
      <c r="E38" s="1" t="s">
        <v>25</v>
      </c>
      <c r="F38" s="1" t="s">
        <v>26</v>
      </c>
      <c r="G38" s="1" t="s">
        <v>21</v>
      </c>
      <c r="H38" s="6">
        <v>1</v>
      </c>
      <c r="I38" s="7">
        <v>1225</v>
      </c>
      <c r="J38" s="5">
        <v>45901</v>
      </c>
      <c r="K38" s="1" t="s">
        <v>30</v>
      </c>
      <c r="L38" s="8">
        <v>0</v>
      </c>
      <c r="M38" s="6"/>
      <c r="N38" s="6"/>
      <c r="O38" s="9">
        <v>5.58</v>
      </c>
    </row>
    <row r="39" spans="1:15" ht="19.5" customHeight="1">
      <c r="A39" s="1" t="s">
        <v>372</v>
      </c>
      <c r="B39" s="5">
        <v>45904</v>
      </c>
      <c r="C39" s="1" t="s">
        <v>31</v>
      </c>
      <c r="D39" s="1" t="s">
        <v>34</v>
      </c>
      <c r="E39" s="1" t="s">
        <v>25</v>
      </c>
      <c r="F39" s="1" t="s">
        <v>26</v>
      </c>
      <c r="G39" s="1" t="s">
        <v>21</v>
      </c>
      <c r="H39" s="6">
        <v>1</v>
      </c>
      <c r="I39" s="7">
        <v>1225</v>
      </c>
      <c r="J39" s="5">
        <v>45901</v>
      </c>
      <c r="K39" s="1" t="s">
        <v>30</v>
      </c>
      <c r="L39" s="8">
        <v>0</v>
      </c>
      <c r="M39" s="6"/>
      <c r="N39" s="6"/>
      <c r="O39" s="9">
        <v>460.37</v>
      </c>
    </row>
    <row r="40" spans="1:15" ht="19.5" customHeight="1">
      <c r="A40" s="1" t="s">
        <v>372</v>
      </c>
      <c r="B40" s="5">
        <v>45904</v>
      </c>
      <c r="C40" s="1" t="s">
        <v>35</v>
      </c>
      <c r="D40" s="1" t="s">
        <v>36</v>
      </c>
      <c r="E40" s="1" t="s">
        <v>25</v>
      </c>
      <c r="F40" s="1" t="s">
        <v>26</v>
      </c>
      <c r="G40" s="1" t="s">
        <v>21</v>
      </c>
      <c r="H40" s="6">
        <v>1</v>
      </c>
      <c r="I40" s="7">
        <v>1225</v>
      </c>
      <c r="J40" s="5">
        <v>45901</v>
      </c>
      <c r="K40" s="1" t="s">
        <v>30</v>
      </c>
      <c r="L40" s="8">
        <v>0.2</v>
      </c>
      <c r="M40" s="6"/>
      <c r="N40" s="6"/>
      <c r="O40" s="9">
        <v>-245</v>
      </c>
    </row>
    <row r="41" spans="1:15" ht="19.5" customHeight="1">
      <c r="A41" s="1" t="s">
        <v>372</v>
      </c>
      <c r="B41" s="5">
        <v>45904</v>
      </c>
      <c r="C41" s="1" t="s">
        <v>17</v>
      </c>
      <c r="D41" s="1" t="s">
        <v>37</v>
      </c>
      <c r="E41" s="1" t="s">
        <v>25</v>
      </c>
      <c r="F41" s="1" t="s">
        <v>26</v>
      </c>
      <c r="G41" s="1" t="s">
        <v>21</v>
      </c>
      <c r="H41" s="6">
        <v>1</v>
      </c>
      <c r="I41" s="7">
        <v>1225</v>
      </c>
      <c r="J41" s="5">
        <v>45901</v>
      </c>
      <c r="K41" s="1" t="s">
        <v>30</v>
      </c>
      <c r="L41" s="8">
        <v>0.2</v>
      </c>
      <c r="M41" s="6"/>
      <c r="N41" s="6"/>
      <c r="O41" s="9">
        <v>-7.59</v>
      </c>
    </row>
    <row r="42" spans="1:15" ht="19.5" customHeight="1">
      <c r="A42" s="1" t="s">
        <v>83</v>
      </c>
      <c r="B42" s="5">
        <v>45904</v>
      </c>
      <c r="C42" s="1" t="s">
        <v>77</v>
      </c>
      <c r="D42" s="1" t="s">
        <v>84</v>
      </c>
      <c r="E42" s="1" t="s">
        <v>22</v>
      </c>
      <c r="F42" s="1" t="s">
        <v>22</v>
      </c>
      <c r="G42" s="1" t="s">
        <v>22</v>
      </c>
      <c r="H42" s="6">
        <v>0</v>
      </c>
      <c r="I42" s="7">
        <v>0</v>
      </c>
      <c r="J42" s="5">
        <v>45904</v>
      </c>
      <c r="K42" s="1" t="s">
        <v>22</v>
      </c>
      <c r="L42" s="8">
        <v>0</v>
      </c>
      <c r="M42" s="6"/>
      <c r="N42" s="6"/>
      <c r="O42" s="9">
        <v>-126</v>
      </c>
    </row>
    <row r="43" spans="1:15" ht="19.5" customHeight="1">
      <c r="A43" s="1" t="s">
        <v>81</v>
      </c>
      <c r="B43" s="5">
        <v>45904</v>
      </c>
      <c r="C43" s="1" t="s">
        <v>77</v>
      </c>
      <c r="D43" s="1" t="s">
        <v>82</v>
      </c>
      <c r="E43" s="1" t="s">
        <v>22</v>
      </c>
      <c r="F43" s="1" t="s">
        <v>22</v>
      </c>
      <c r="G43" s="1" t="s">
        <v>22</v>
      </c>
      <c r="H43" s="6">
        <v>0</v>
      </c>
      <c r="I43" s="7">
        <v>0</v>
      </c>
      <c r="J43" s="5">
        <v>45904</v>
      </c>
      <c r="K43" s="1" t="s">
        <v>22</v>
      </c>
      <c r="L43" s="8">
        <v>0</v>
      </c>
      <c r="M43" s="6"/>
      <c r="N43" s="6"/>
      <c r="O43" s="9">
        <v>-618.17999999999995</v>
      </c>
    </row>
    <row r="44" spans="1:15" ht="19.5" customHeight="1">
      <c r="A44" s="1" t="s">
        <v>373</v>
      </c>
      <c r="B44" s="5">
        <v>45905</v>
      </c>
      <c r="C44" s="1" t="s">
        <v>28</v>
      </c>
      <c r="D44" s="1" t="s">
        <v>29</v>
      </c>
      <c r="E44" s="1" t="s">
        <v>92</v>
      </c>
      <c r="F44" s="1" t="s">
        <v>93</v>
      </c>
      <c r="G44" s="1" t="s">
        <v>21</v>
      </c>
      <c r="H44" s="6">
        <v>1</v>
      </c>
      <c r="I44" s="7">
        <v>0</v>
      </c>
      <c r="J44" s="5">
        <v>45901</v>
      </c>
      <c r="K44" s="1" t="s">
        <v>30</v>
      </c>
      <c r="L44" s="8">
        <v>0</v>
      </c>
      <c r="M44" s="6"/>
      <c r="N44" s="6"/>
      <c r="O44" s="9">
        <v>-46</v>
      </c>
    </row>
    <row r="45" spans="1:15" ht="19.5" customHeight="1">
      <c r="A45" s="1" t="s">
        <v>373</v>
      </c>
      <c r="B45" s="5">
        <v>45905</v>
      </c>
      <c r="C45" s="1" t="s">
        <v>28</v>
      </c>
      <c r="D45" s="1" t="s">
        <v>356</v>
      </c>
      <c r="E45" s="1" t="s">
        <v>92</v>
      </c>
      <c r="F45" s="1" t="s">
        <v>93</v>
      </c>
      <c r="G45" s="1" t="s">
        <v>21</v>
      </c>
      <c r="H45" s="6">
        <v>1</v>
      </c>
      <c r="I45" s="7">
        <v>0</v>
      </c>
      <c r="J45" s="5">
        <v>45901</v>
      </c>
      <c r="K45" s="1" t="s">
        <v>30</v>
      </c>
      <c r="L45" s="8">
        <v>0</v>
      </c>
      <c r="M45" s="6"/>
      <c r="N45" s="6"/>
      <c r="O45" s="9">
        <v>0</v>
      </c>
    </row>
    <row r="46" spans="1:15" ht="19.5" customHeight="1">
      <c r="A46" s="1" t="s">
        <v>373</v>
      </c>
      <c r="B46" s="5">
        <v>45905</v>
      </c>
      <c r="C46" s="1" t="s">
        <v>28</v>
      </c>
      <c r="D46" s="1" t="s">
        <v>46</v>
      </c>
      <c r="E46" s="1" t="s">
        <v>92</v>
      </c>
      <c r="F46" s="1" t="s">
        <v>93</v>
      </c>
      <c r="G46" s="1" t="s">
        <v>21</v>
      </c>
      <c r="H46" s="6">
        <v>1</v>
      </c>
      <c r="I46" s="7">
        <v>0</v>
      </c>
      <c r="J46" s="5">
        <v>45901</v>
      </c>
      <c r="K46" s="1" t="s">
        <v>30</v>
      </c>
      <c r="L46" s="8">
        <v>0</v>
      </c>
      <c r="M46" s="6"/>
      <c r="N46" s="6"/>
      <c r="O46" s="9">
        <v>-46</v>
      </c>
    </row>
    <row r="47" spans="1:15" ht="19.5" customHeight="1">
      <c r="A47" s="1" t="s">
        <v>373</v>
      </c>
      <c r="B47" s="5">
        <v>45905</v>
      </c>
      <c r="C47" s="1" t="s">
        <v>17</v>
      </c>
      <c r="D47" s="1" t="s">
        <v>47</v>
      </c>
      <c r="E47" s="1" t="s">
        <v>92</v>
      </c>
      <c r="F47" s="1" t="s">
        <v>93</v>
      </c>
      <c r="G47" s="1" t="s">
        <v>21</v>
      </c>
      <c r="H47" s="6">
        <v>1</v>
      </c>
      <c r="I47" s="7">
        <v>0</v>
      </c>
      <c r="J47" s="5">
        <v>45901</v>
      </c>
      <c r="K47" s="1" t="s">
        <v>30</v>
      </c>
      <c r="L47" s="8">
        <v>0</v>
      </c>
      <c r="M47" s="6"/>
      <c r="N47" s="6"/>
      <c r="O47" s="9">
        <v>-15</v>
      </c>
    </row>
    <row r="48" spans="1:15" ht="19.5" customHeight="1">
      <c r="A48" s="1" t="s">
        <v>374</v>
      </c>
      <c r="B48" s="5">
        <v>45905</v>
      </c>
      <c r="C48" s="1" t="s">
        <v>28</v>
      </c>
      <c r="D48" s="1" t="s">
        <v>29</v>
      </c>
      <c r="E48" s="1" t="s">
        <v>25</v>
      </c>
      <c r="F48" s="1" t="s">
        <v>26</v>
      </c>
      <c r="G48" s="1" t="s">
        <v>21</v>
      </c>
      <c r="H48" s="6">
        <v>1</v>
      </c>
      <c r="I48" s="7">
        <v>0</v>
      </c>
      <c r="J48" s="5">
        <v>45897</v>
      </c>
      <c r="K48" s="1" t="s">
        <v>30</v>
      </c>
      <c r="L48" s="8">
        <v>0</v>
      </c>
      <c r="M48" s="6"/>
      <c r="N48" s="6"/>
      <c r="O48" s="9">
        <v>-46</v>
      </c>
    </row>
    <row r="49" spans="1:15" ht="19.5" customHeight="1">
      <c r="A49" s="1" t="s">
        <v>374</v>
      </c>
      <c r="B49" s="5">
        <v>45905</v>
      </c>
      <c r="C49" s="1" t="s">
        <v>17</v>
      </c>
      <c r="D49" s="1" t="s">
        <v>37</v>
      </c>
      <c r="E49" s="1" t="s">
        <v>25</v>
      </c>
      <c r="F49" s="1" t="s">
        <v>26</v>
      </c>
      <c r="G49" s="1" t="s">
        <v>21</v>
      </c>
      <c r="H49" s="6">
        <v>1</v>
      </c>
      <c r="I49" s="7">
        <v>0</v>
      </c>
      <c r="J49" s="5">
        <v>45897</v>
      </c>
      <c r="K49" s="1" t="s">
        <v>30</v>
      </c>
      <c r="L49" s="8">
        <v>0</v>
      </c>
      <c r="M49" s="6"/>
      <c r="N49" s="6"/>
      <c r="O49" s="9">
        <v>-7.29</v>
      </c>
    </row>
    <row r="50" spans="1:15" ht="19.5" customHeight="1">
      <c r="A50" s="1" t="s">
        <v>374</v>
      </c>
      <c r="B50" s="5">
        <v>45905</v>
      </c>
      <c r="C50" s="1" t="s">
        <v>28</v>
      </c>
      <c r="D50" s="1" t="s">
        <v>45</v>
      </c>
      <c r="E50" s="1" t="s">
        <v>25</v>
      </c>
      <c r="F50" s="1" t="s">
        <v>26</v>
      </c>
      <c r="G50" s="1" t="s">
        <v>21</v>
      </c>
      <c r="H50" s="6">
        <v>1</v>
      </c>
      <c r="I50" s="7">
        <v>0</v>
      </c>
      <c r="J50" s="5">
        <v>45897</v>
      </c>
      <c r="K50" s="1" t="s">
        <v>30</v>
      </c>
      <c r="L50" s="8">
        <v>0</v>
      </c>
      <c r="M50" s="6"/>
      <c r="N50" s="6"/>
      <c r="O50" s="9">
        <v>0</v>
      </c>
    </row>
    <row r="51" spans="1:15" ht="19.5" customHeight="1">
      <c r="A51" s="1" t="s">
        <v>374</v>
      </c>
      <c r="B51" s="5">
        <v>45905</v>
      </c>
      <c r="C51" s="1" t="s">
        <v>28</v>
      </c>
      <c r="D51" s="1" t="s">
        <v>46</v>
      </c>
      <c r="E51" s="1" t="s">
        <v>25</v>
      </c>
      <c r="F51" s="1" t="s">
        <v>26</v>
      </c>
      <c r="G51" s="1" t="s">
        <v>21</v>
      </c>
      <c r="H51" s="6">
        <v>1</v>
      </c>
      <c r="I51" s="7">
        <v>0</v>
      </c>
      <c r="J51" s="5">
        <v>45897</v>
      </c>
      <c r="K51" s="1" t="s">
        <v>30</v>
      </c>
      <c r="L51" s="8">
        <v>0</v>
      </c>
      <c r="M51" s="6"/>
      <c r="N51" s="6"/>
      <c r="O51" s="9">
        <v>-46</v>
      </c>
    </row>
    <row r="52" spans="1:15" ht="19.5" customHeight="1">
      <c r="A52" s="1" t="s">
        <v>375</v>
      </c>
      <c r="B52" s="5">
        <v>45905</v>
      </c>
      <c r="C52" s="1" t="s">
        <v>28</v>
      </c>
      <c r="D52" s="1" t="s">
        <v>29</v>
      </c>
      <c r="E52" s="1" t="s">
        <v>25</v>
      </c>
      <c r="F52" s="1" t="s">
        <v>26</v>
      </c>
      <c r="G52" s="1" t="s">
        <v>21</v>
      </c>
      <c r="H52" s="6">
        <v>1</v>
      </c>
      <c r="I52" s="7">
        <v>1450</v>
      </c>
      <c r="J52" s="5">
        <v>45900</v>
      </c>
      <c r="K52" s="1" t="s">
        <v>30</v>
      </c>
      <c r="L52" s="8">
        <v>0.2</v>
      </c>
      <c r="M52" s="6"/>
      <c r="N52" s="6"/>
      <c r="O52" s="9">
        <v>-46</v>
      </c>
    </row>
    <row r="53" spans="1:15" ht="19.5" customHeight="1">
      <c r="A53" s="1" t="s">
        <v>375</v>
      </c>
      <c r="B53" s="5">
        <v>45905</v>
      </c>
      <c r="C53" s="1" t="s">
        <v>31</v>
      </c>
      <c r="D53" s="1" t="s">
        <v>32</v>
      </c>
      <c r="E53" s="1" t="s">
        <v>25</v>
      </c>
      <c r="F53" s="1" t="s">
        <v>26</v>
      </c>
      <c r="G53" s="1" t="s">
        <v>21</v>
      </c>
      <c r="H53" s="6">
        <v>1</v>
      </c>
      <c r="I53" s="7">
        <v>1450</v>
      </c>
      <c r="J53" s="5">
        <v>45900</v>
      </c>
      <c r="K53" s="1" t="s">
        <v>30</v>
      </c>
      <c r="L53" s="8">
        <v>0</v>
      </c>
      <c r="M53" s="6"/>
      <c r="N53" s="6"/>
      <c r="O53" s="9">
        <v>833.49</v>
      </c>
    </row>
    <row r="54" spans="1:15" ht="19.5" customHeight="1">
      <c r="A54" s="1" t="s">
        <v>375</v>
      </c>
      <c r="B54" s="5">
        <v>45905</v>
      </c>
      <c r="C54" s="1" t="s">
        <v>31</v>
      </c>
      <c r="D54" s="1" t="s">
        <v>33</v>
      </c>
      <c r="E54" s="1" t="s">
        <v>25</v>
      </c>
      <c r="F54" s="1" t="s">
        <v>26</v>
      </c>
      <c r="G54" s="1" t="s">
        <v>21</v>
      </c>
      <c r="H54" s="6">
        <v>1</v>
      </c>
      <c r="I54" s="7">
        <v>1450</v>
      </c>
      <c r="J54" s="5">
        <v>45900</v>
      </c>
      <c r="K54" s="1" t="s">
        <v>30</v>
      </c>
      <c r="L54" s="8">
        <v>0</v>
      </c>
      <c r="M54" s="6"/>
      <c r="N54" s="6"/>
      <c r="O54" s="9">
        <v>6.13</v>
      </c>
    </row>
    <row r="55" spans="1:15" ht="19.5" customHeight="1">
      <c r="A55" s="1" t="s">
        <v>375</v>
      </c>
      <c r="B55" s="5">
        <v>45905</v>
      </c>
      <c r="C55" s="1" t="s">
        <v>31</v>
      </c>
      <c r="D55" s="1" t="s">
        <v>34</v>
      </c>
      <c r="E55" s="1" t="s">
        <v>25</v>
      </c>
      <c r="F55" s="1" t="s">
        <v>26</v>
      </c>
      <c r="G55" s="1" t="s">
        <v>21</v>
      </c>
      <c r="H55" s="6">
        <v>1</v>
      </c>
      <c r="I55" s="7">
        <v>1450</v>
      </c>
      <c r="J55" s="5">
        <v>45900</v>
      </c>
      <c r="K55" s="1" t="s">
        <v>30</v>
      </c>
      <c r="L55" s="8">
        <v>0</v>
      </c>
      <c r="M55" s="6"/>
      <c r="N55" s="6"/>
      <c r="O55" s="9">
        <v>610.38</v>
      </c>
    </row>
    <row r="56" spans="1:15" ht="19.5" customHeight="1">
      <c r="A56" s="1" t="s">
        <v>375</v>
      </c>
      <c r="B56" s="5">
        <v>45905</v>
      </c>
      <c r="C56" s="1" t="s">
        <v>35</v>
      </c>
      <c r="D56" s="1" t="s">
        <v>36</v>
      </c>
      <c r="E56" s="1" t="s">
        <v>25</v>
      </c>
      <c r="F56" s="1" t="s">
        <v>26</v>
      </c>
      <c r="G56" s="1" t="s">
        <v>21</v>
      </c>
      <c r="H56" s="6">
        <v>1</v>
      </c>
      <c r="I56" s="7">
        <v>1450</v>
      </c>
      <c r="J56" s="5">
        <v>45900</v>
      </c>
      <c r="K56" s="1" t="s">
        <v>30</v>
      </c>
      <c r="L56" s="8">
        <v>0.2</v>
      </c>
      <c r="M56" s="6"/>
      <c r="N56" s="6"/>
      <c r="O56" s="9">
        <v>-290</v>
      </c>
    </row>
    <row r="57" spans="1:15" ht="19.5" customHeight="1">
      <c r="A57" s="1" t="s">
        <v>375</v>
      </c>
      <c r="B57" s="5">
        <v>45905</v>
      </c>
      <c r="C57" s="1" t="s">
        <v>17</v>
      </c>
      <c r="D57" s="1" t="s">
        <v>37</v>
      </c>
      <c r="E57" s="1" t="s">
        <v>25</v>
      </c>
      <c r="F57" s="1" t="s">
        <v>26</v>
      </c>
      <c r="G57" s="1" t="s">
        <v>21</v>
      </c>
      <c r="H57" s="6">
        <v>1</v>
      </c>
      <c r="I57" s="7">
        <v>1450</v>
      </c>
      <c r="J57" s="5">
        <v>45900</v>
      </c>
      <c r="K57" s="1" t="s">
        <v>30</v>
      </c>
      <c r="L57" s="8">
        <v>0.2</v>
      </c>
      <c r="M57" s="6"/>
      <c r="N57" s="6"/>
      <c r="O57" s="9">
        <v>-7.95</v>
      </c>
    </row>
    <row r="58" spans="1:15" ht="19.5" customHeight="1">
      <c r="A58" s="1" t="s">
        <v>81</v>
      </c>
      <c r="B58" s="5">
        <v>45905</v>
      </c>
      <c r="C58" s="1" t="s">
        <v>77</v>
      </c>
      <c r="D58" s="1" t="s">
        <v>82</v>
      </c>
      <c r="E58" s="1" t="s">
        <v>22</v>
      </c>
      <c r="F58" s="1" t="s">
        <v>22</v>
      </c>
      <c r="G58" s="1" t="s">
        <v>22</v>
      </c>
      <c r="H58" s="6">
        <v>0</v>
      </c>
      <c r="I58" s="7">
        <v>0</v>
      </c>
      <c r="J58" s="5">
        <v>45905</v>
      </c>
      <c r="K58" s="1" t="s">
        <v>22</v>
      </c>
      <c r="L58" s="8">
        <v>0</v>
      </c>
      <c r="M58" s="6"/>
      <c r="N58" s="6"/>
      <c r="O58" s="9">
        <v>-9.69</v>
      </c>
    </row>
    <row r="59" spans="1:15" ht="19.5" customHeight="1">
      <c r="A59" s="1" t="s">
        <v>376</v>
      </c>
      <c r="B59" s="5">
        <v>45906</v>
      </c>
      <c r="C59" s="1" t="s">
        <v>28</v>
      </c>
      <c r="D59" s="1" t="s">
        <v>29</v>
      </c>
      <c r="E59" s="1" t="s">
        <v>25</v>
      </c>
      <c r="F59" s="1" t="s">
        <v>26</v>
      </c>
      <c r="G59" s="1" t="s">
        <v>21</v>
      </c>
      <c r="H59" s="6">
        <v>1</v>
      </c>
      <c r="I59" s="7">
        <v>1225</v>
      </c>
      <c r="J59" s="5">
        <v>45904</v>
      </c>
      <c r="K59" s="1" t="s">
        <v>30</v>
      </c>
      <c r="L59" s="8">
        <v>0.2</v>
      </c>
      <c r="M59" s="6"/>
      <c r="N59" s="6"/>
      <c r="O59" s="9">
        <v>-46</v>
      </c>
    </row>
    <row r="60" spans="1:15" ht="19.5" customHeight="1">
      <c r="A60" s="1" t="s">
        <v>376</v>
      </c>
      <c r="B60" s="5">
        <v>45906</v>
      </c>
      <c r="C60" s="1" t="s">
        <v>31</v>
      </c>
      <c r="D60" s="1" t="s">
        <v>32</v>
      </c>
      <c r="E60" s="1" t="s">
        <v>25</v>
      </c>
      <c r="F60" s="1" t="s">
        <v>26</v>
      </c>
      <c r="G60" s="1" t="s">
        <v>21</v>
      </c>
      <c r="H60" s="6">
        <v>1</v>
      </c>
      <c r="I60" s="7">
        <v>1225</v>
      </c>
      <c r="J60" s="5">
        <v>45904</v>
      </c>
      <c r="K60" s="1" t="s">
        <v>30</v>
      </c>
      <c r="L60" s="8">
        <v>0</v>
      </c>
      <c r="M60" s="6"/>
      <c r="N60" s="6"/>
      <c r="O60" s="9">
        <v>780.95</v>
      </c>
    </row>
    <row r="61" spans="1:15" ht="19.5" customHeight="1">
      <c r="A61" s="1" t="s">
        <v>376</v>
      </c>
      <c r="B61" s="5">
        <v>45906</v>
      </c>
      <c r="C61" s="1" t="s">
        <v>31</v>
      </c>
      <c r="D61" s="1" t="s">
        <v>33</v>
      </c>
      <c r="E61" s="1" t="s">
        <v>25</v>
      </c>
      <c r="F61" s="1" t="s">
        <v>26</v>
      </c>
      <c r="G61" s="1" t="s">
        <v>21</v>
      </c>
      <c r="H61" s="6">
        <v>1</v>
      </c>
      <c r="I61" s="7">
        <v>1225</v>
      </c>
      <c r="J61" s="5">
        <v>45904</v>
      </c>
      <c r="K61" s="1" t="s">
        <v>30</v>
      </c>
      <c r="L61" s="8">
        <v>0</v>
      </c>
      <c r="M61" s="6"/>
      <c r="N61" s="6"/>
      <c r="O61" s="9">
        <v>5.74</v>
      </c>
    </row>
    <row r="62" spans="1:15" ht="19.5" customHeight="1">
      <c r="A62" s="1" t="s">
        <v>376</v>
      </c>
      <c r="B62" s="5">
        <v>45906</v>
      </c>
      <c r="C62" s="1" t="s">
        <v>31</v>
      </c>
      <c r="D62" s="1" t="s">
        <v>34</v>
      </c>
      <c r="E62" s="1" t="s">
        <v>25</v>
      </c>
      <c r="F62" s="1" t="s">
        <v>26</v>
      </c>
      <c r="G62" s="1" t="s">
        <v>21</v>
      </c>
      <c r="H62" s="6">
        <v>1</v>
      </c>
      <c r="I62" s="7">
        <v>1225</v>
      </c>
      <c r="J62" s="5">
        <v>45904</v>
      </c>
      <c r="K62" s="1" t="s">
        <v>30</v>
      </c>
      <c r="L62" s="8">
        <v>0</v>
      </c>
      <c r="M62" s="6"/>
      <c r="N62" s="6"/>
      <c r="O62" s="9">
        <v>438.31</v>
      </c>
    </row>
    <row r="63" spans="1:15" ht="19.5" customHeight="1">
      <c r="A63" s="1" t="s">
        <v>376</v>
      </c>
      <c r="B63" s="5">
        <v>45906</v>
      </c>
      <c r="C63" s="1" t="s">
        <v>35</v>
      </c>
      <c r="D63" s="1" t="s">
        <v>36</v>
      </c>
      <c r="E63" s="1" t="s">
        <v>25</v>
      </c>
      <c r="F63" s="1" t="s">
        <v>26</v>
      </c>
      <c r="G63" s="1" t="s">
        <v>21</v>
      </c>
      <c r="H63" s="6">
        <v>1</v>
      </c>
      <c r="I63" s="7">
        <v>1225</v>
      </c>
      <c r="J63" s="5">
        <v>45904</v>
      </c>
      <c r="K63" s="1" t="s">
        <v>30</v>
      </c>
      <c r="L63" s="8">
        <v>0.2</v>
      </c>
      <c r="M63" s="6"/>
      <c r="N63" s="6"/>
      <c r="O63" s="9">
        <v>-245</v>
      </c>
    </row>
    <row r="64" spans="1:15" ht="19.5" customHeight="1">
      <c r="A64" s="1" t="s">
        <v>376</v>
      </c>
      <c r="B64" s="5">
        <v>45906</v>
      </c>
      <c r="C64" s="1" t="s">
        <v>17</v>
      </c>
      <c r="D64" s="1" t="s">
        <v>37</v>
      </c>
      <c r="E64" s="1" t="s">
        <v>25</v>
      </c>
      <c r="F64" s="1" t="s">
        <v>26</v>
      </c>
      <c r="G64" s="1" t="s">
        <v>21</v>
      </c>
      <c r="H64" s="6">
        <v>1</v>
      </c>
      <c r="I64" s="7">
        <v>1225</v>
      </c>
      <c r="J64" s="5">
        <v>45904</v>
      </c>
      <c r="K64" s="1" t="s">
        <v>30</v>
      </c>
      <c r="L64" s="8">
        <v>0.2</v>
      </c>
      <c r="M64" s="6"/>
      <c r="N64" s="6"/>
      <c r="O64" s="9">
        <v>-5.28</v>
      </c>
    </row>
    <row r="65" spans="1:15" ht="19.5" customHeight="1">
      <c r="A65" s="1" t="s">
        <v>377</v>
      </c>
      <c r="B65" s="5">
        <v>45906</v>
      </c>
      <c r="C65" s="1" t="s">
        <v>261</v>
      </c>
      <c r="D65" s="1" t="s">
        <v>326</v>
      </c>
      <c r="E65" s="1" t="s">
        <v>22</v>
      </c>
      <c r="F65" s="1" t="s">
        <v>22</v>
      </c>
      <c r="G65" s="1" t="s">
        <v>22</v>
      </c>
      <c r="H65" s="6">
        <v>0</v>
      </c>
      <c r="I65" s="7">
        <v>0</v>
      </c>
      <c r="J65" s="5">
        <v>45895</v>
      </c>
      <c r="K65" s="1" t="s">
        <v>22</v>
      </c>
      <c r="L65" s="8">
        <v>0</v>
      </c>
      <c r="M65" s="6"/>
      <c r="N65" s="6"/>
      <c r="O65" s="9">
        <v>-1461.6</v>
      </c>
    </row>
    <row r="66" spans="1:15" ht="19.5" customHeight="1">
      <c r="A66" s="1" t="s">
        <v>378</v>
      </c>
      <c r="B66" s="5">
        <v>45906</v>
      </c>
      <c r="C66" s="1" t="s">
        <v>28</v>
      </c>
      <c r="D66" s="1" t="s">
        <v>356</v>
      </c>
      <c r="E66" s="1" t="s">
        <v>25</v>
      </c>
      <c r="F66" s="1" t="s">
        <v>26</v>
      </c>
      <c r="G66" s="1" t="s">
        <v>21</v>
      </c>
      <c r="H66" s="6">
        <v>1</v>
      </c>
      <c r="I66" s="7">
        <v>0</v>
      </c>
      <c r="J66" s="5">
        <v>45902</v>
      </c>
      <c r="K66" s="1" t="s">
        <v>30</v>
      </c>
      <c r="L66" s="8">
        <v>0</v>
      </c>
      <c r="M66" s="6"/>
      <c r="N66" s="6"/>
      <c r="O66" s="9">
        <v>0</v>
      </c>
    </row>
    <row r="67" spans="1:15" ht="19.5" customHeight="1">
      <c r="A67" s="1" t="s">
        <v>378</v>
      </c>
      <c r="B67" s="5">
        <v>45906</v>
      </c>
      <c r="C67" s="1" t="s">
        <v>28</v>
      </c>
      <c r="D67" s="1" t="s">
        <v>46</v>
      </c>
      <c r="E67" s="1" t="s">
        <v>25</v>
      </c>
      <c r="F67" s="1" t="s">
        <v>26</v>
      </c>
      <c r="G67" s="1" t="s">
        <v>21</v>
      </c>
      <c r="H67" s="6">
        <v>1</v>
      </c>
      <c r="I67" s="7">
        <v>0</v>
      </c>
      <c r="J67" s="5">
        <v>45902</v>
      </c>
      <c r="K67" s="1" t="s">
        <v>30</v>
      </c>
      <c r="L67" s="8">
        <v>0</v>
      </c>
      <c r="M67" s="6"/>
      <c r="N67" s="6"/>
      <c r="O67" s="9">
        <v>-46</v>
      </c>
    </row>
    <row r="68" spans="1:15" ht="19.5" customHeight="1">
      <c r="A68" s="1" t="s">
        <v>378</v>
      </c>
      <c r="B68" s="5">
        <v>45906</v>
      </c>
      <c r="C68" s="1" t="s">
        <v>17</v>
      </c>
      <c r="D68" s="1" t="s">
        <v>47</v>
      </c>
      <c r="E68" s="1" t="s">
        <v>25</v>
      </c>
      <c r="F68" s="1" t="s">
        <v>26</v>
      </c>
      <c r="G68" s="1" t="s">
        <v>21</v>
      </c>
      <c r="H68" s="6">
        <v>1</v>
      </c>
      <c r="I68" s="7">
        <v>0</v>
      </c>
      <c r="J68" s="5">
        <v>45902</v>
      </c>
      <c r="K68" s="1" t="s">
        <v>30</v>
      </c>
      <c r="L68" s="8">
        <v>0</v>
      </c>
      <c r="M68" s="6"/>
      <c r="N68" s="6"/>
      <c r="O68" s="9">
        <v>-15</v>
      </c>
    </row>
    <row r="69" spans="1:15" ht="19.5" customHeight="1">
      <c r="A69" s="1" t="s">
        <v>378</v>
      </c>
      <c r="B69" s="5">
        <v>45906</v>
      </c>
      <c r="C69" s="1" t="s">
        <v>28</v>
      </c>
      <c r="D69" s="1" t="s">
        <v>29</v>
      </c>
      <c r="E69" s="1" t="s">
        <v>25</v>
      </c>
      <c r="F69" s="1" t="s">
        <v>26</v>
      </c>
      <c r="G69" s="1" t="s">
        <v>21</v>
      </c>
      <c r="H69" s="6">
        <v>1</v>
      </c>
      <c r="I69" s="7">
        <v>0</v>
      </c>
      <c r="J69" s="5">
        <v>45902</v>
      </c>
      <c r="K69" s="1" t="s">
        <v>30</v>
      </c>
      <c r="L69" s="8">
        <v>0</v>
      </c>
      <c r="M69" s="6"/>
      <c r="N69" s="6"/>
      <c r="O69" s="9">
        <v>-46</v>
      </c>
    </row>
    <row r="70" spans="1:15" ht="19.5" customHeight="1">
      <c r="A70" s="1" t="s">
        <v>378</v>
      </c>
      <c r="B70" s="5">
        <v>45906</v>
      </c>
      <c r="C70" s="1" t="s">
        <v>17</v>
      </c>
      <c r="D70" s="1" t="s">
        <v>37</v>
      </c>
      <c r="E70" s="1" t="s">
        <v>25</v>
      </c>
      <c r="F70" s="1" t="s">
        <v>26</v>
      </c>
      <c r="G70" s="1" t="s">
        <v>21</v>
      </c>
      <c r="H70" s="6">
        <v>1</v>
      </c>
      <c r="I70" s="7">
        <v>0</v>
      </c>
      <c r="J70" s="5">
        <v>45902</v>
      </c>
      <c r="K70" s="1" t="s">
        <v>30</v>
      </c>
      <c r="L70" s="8">
        <v>0</v>
      </c>
      <c r="M70" s="6"/>
      <c r="N70" s="6"/>
      <c r="O70" s="9">
        <v>-4.4800000000000004</v>
      </c>
    </row>
    <row r="71" spans="1:15" ht="19.5" customHeight="1">
      <c r="A71" s="1" t="s">
        <v>22</v>
      </c>
      <c r="B71" s="5">
        <v>45906</v>
      </c>
      <c r="C71" s="1" t="s">
        <v>77</v>
      </c>
      <c r="D71" s="1" t="s">
        <v>80</v>
      </c>
      <c r="E71" s="1" t="s">
        <v>22</v>
      </c>
      <c r="F71" s="1" t="s">
        <v>22</v>
      </c>
      <c r="G71" s="1" t="s">
        <v>22</v>
      </c>
      <c r="H71" s="6">
        <v>0</v>
      </c>
      <c r="I71" s="7">
        <v>0</v>
      </c>
      <c r="J71" s="5">
        <v>45906</v>
      </c>
      <c r="K71" s="1" t="s">
        <v>22</v>
      </c>
      <c r="L71" s="8">
        <v>0</v>
      </c>
      <c r="M71" s="6"/>
      <c r="N71" s="6"/>
      <c r="O71" s="9">
        <v>-216</v>
      </c>
    </row>
    <row r="72" spans="1:15" ht="19.5" customHeight="1">
      <c r="A72" s="1" t="s">
        <v>379</v>
      </c>
      <c r="B72" s="5">
        <v>45908</v>
      </c>
      <c r="C72" s="1" t="s">
        <v>28</v>
      </c>
      <c r="D72" s="1" t="s">
        <v>29</v>
      </c>
      <c r="E72" s="1" t="s">
        <v>25</v>
      </c>
      <c r="F72" s="1" t="s">
        <v>26</v>
      </c>
      <c r="G72" s="1" t="s">
        <v>21</v>
      </c>
      <c r="H72" s="6">
        <v>1</v>
      </c>
      <c r="I72" s="7">
        <v>1750</v>
      </c>
      <c r="J72" s="5">
        <v>45892</v>
      </c>
      <c r="K72" s="1" t="s">
        <v>30</v>
      </c>
      <c r="L72" s="8">
        <v>0.2</v>
      </c>
      <c r="M72" s="6"/>
      <c r="N72" s="6"/>
      <c r="O72" s="9">
        <v>-46</v>
      </c>
    </row>
    <row r="73" spans="1:15" ht="19.5" customHeight="1">
      <c r="A73" s="1" t="s">
        <v>379</v>
      </c>
      <c r="B73" s="5">
        <v>45908</v>
      </c>
      <c r="C73" s="1" t="s">
        <v>31</v>
      </c>
      <c r="D73" s="1" t="s">
        <v>32</v>
      </c>
      <c r="E73" s="1" t="s">
        <v>25</v>
      </c>
      <c r="F73" s="1" t="s">
        <v>26</v>
      </c>
      <c r="G73" s="1" t="s">
        <v>21</v>
      </c>
      <c r="H73" s="6">
        <v>1</v>
      </c>
      <c r="I73" s="7">
        <v>1750</v>
      </c>
      <c r="J73" s="5">
        <v>45892</v>
      </c>
      <c r="K73" s="1" t="s">
        <v>30</v>
      </c>
      <c r="L73" s="8">
        <v>0</v>
      </c>
      <c r="M73" s="6"/>
      <c r="N73" s="6"/>
      <c r="O73" s="9">
        <v>1409</v>
      </c>
    </row>
    <row r="74" spans="1:15" ht="19.5" customHeight="1">
      <c r="A74" s="1" t="s">
        <v>379</v>
      </c>
      <c r="B74" s="5">
        <v>45908</v>
      </c>
      <c r="C74" s="1" t="s">
        <v>31</v>
      </c>
      <c r="D74" s="1" t="s">
        <v>33</v>
      </c>
      <c r="E74" s="1" t="s">
        <v>25</v>
      </c>
      <c r="F74" s="1" t="s">
        <v>26</v>
      </c>
      <c r="G74" s="1" t="s">
        <v>21</v>
      </c>
      <c r="H74" s="6">
        <v>1</v>
      </c>
      <c r="I74" s="7">
        <v>1750</v>
      </c>
      <c r="J74" s="5">
        <v>45892</v>
      </c>
      <c r="K74" s="1" t="s">
        <v>30</v>
      </c>
      <c r="L74" s="8">
        <v>0</v>
      </c>
      <c r="M74" s="6"/>
      <c r="N74" s="6"/>
      <c r="O74" s="9">
        <v>10.36</v>
      </c>
    </row>
    <row r="75" spans="1:15" ht="19.5" customHeight="1">
      <c r="A75" s="1" t="s">
        <v>379</v>
      </c>
      <c r="B75" s="5">
        <v>45908</v>
      </c>
      <c r="C75" s="1" t="s">
        <v>31</v>
      </c>
      <c r="D75" s="1" t="s">
        <v>34</v>
      </c>
      <c r="E75" s="1" t="s">
        <v>25</v>
      </c>
      <c r="F75" s="1" t="s">
        <v>26</v>
      </c>
      <c r="G75" s="1" t="s">
        <v>21</v>
      </c>
      <c r="H75" s="6">
        <v>1</v>
      </c>
      <c r="I75" s="7">
        <v>1750</v>
      </c>
      <c r="J75" s="5">
        <v>45892</v>
      </c>
      <c r="K75" s="1" t="s">
        <v>30</v>
      </c>
      <c r="L75" s="8">
        <v>0</v>
      </c>
      <c r="M75" s="6"/>
      <c r="N75" s="6"/>
      <c r="O75" s="9">
        <v>330.64</v>
      </c>
    </row>
    <row r="76" spans="1:15" ht="19.5" customHeight="1">
      <c r="A76" s="1" t="s">
        <v>379</v>
      </c>
      <c r="B76" s="5">
        <v>45908</v>
      </c>
      <c r="C76" s="1" t="s">
        <v>35</v>
      </c>
      <c r="D76" s="1" t="s">
        <v>36</v>
      </c>
      <c r="E76" s="1" t="s">
        <v>25</v>
      </c>
      <c r="F76" s="1" t="s">
        <v>26</v>
      </c>
      <c r="G76" s="1" t="s">
        <v>21</v>
      </c>
      <c r="H76" s="6">
        <v>1</v>
      </c>
      <c r="I76" s="7">
        <v>1750</v>
      </c>
      <c r="J76" s="5">
        <v>45892</v>
      </c>
      <c r="K76" s="1" t="s">
        <v>30</v>
      </c>
      <c r="L76" s="8">
        <v>0.2</v>
      </c>
      <c r="M76" s="6"/>
      <c r="N76" s="6"/>
      <c r="O76" s="9">
        <v>-350</v>
      </c>
    </row>
    <row r="77" spans="1:15" ht="19.5" customHeight="1">
      <c r="A77" s="1" t="s">
        <v>380</v>
      </c>
      <c r="B77" s="5">
        <v>45908</v>
      </c>
      <c r="C77" s="1" t="s">
        <v>28</v>
      </c>
      <c r="D77" s="1" t="s">
        <v>29</v>
      </c>
      <c r="E77" s="1" t="s">
        <v>25</v>
      </c>
      <c r="F77" s="1" t="s">
        <v>26</v>
      </c>
      <c r="G77" s="1" t="s">
        <v>21</v>
      </c>
      <c r="H77" s="6">
        <v>1</v>
      </c>
      <c r="I77" s="7">
        <v>1225</v>
      </c>
      <c r="J77" s="5">
        <v>45904</v>
      </c>
      <c r="K77" s="1" t="s">
        <v>30</v>
      </c>
      <c r="L77" s="8">
        <v>0.2</v>
      </c>
      <c r="M77" s="6"/>
      <c r="N77" s="6"/>
      <c r="O77" s="9">
        <v>-46</v>
      </c>
    </row>
    <row r="78" spans="1:15" ht="19.5" customHeight="1">
      <c r="A78" s="1" t="s">
        <v>380</v>
      </c>
      <c r="B78" s="5">
        <v>45908</v>
      </c>
      <c r="C78" s="1" t="s">
        <v>31</v>
      </c>
      <c r="D78" s="1" t="s">
        <v>32</v>
      </c>
      <c r="E78" s="1" t="s">
        <v>25</v>
      </c>
      <c r="F78" s="1" t="s">
        <v>26</v>
      </c>
      <c r="G78" s="1" t="s">
        <v>21</v>
      </c>
      <c r="H78" s="6">
        <v>1</v>
      </c>
      <c r="I78" s="7">
        <v>1225</v>
      </c>
      <c r="J78" s="5">
        <v>45904</v>
      </c>
      <c r="K78" s="1" t="s">
        <v>30</v>
      </c>
      <c r="L78" s="8">
        <v>0</v>
      </c>
      <c r="M78" s="6"/>
      <c r="N78" s="6"/>
      <c r="O78" s="9">
        <v>802.86</v>
      </c>
    </row>
    <row r="79" spans="1:15" ht="19.5" customHeight="1">
      <c r="A79" s="1" t="s">
        <v>380</v>
      </c>
      <c r="B79" s="5">
        <v>45908</v>
      </c>
      <c r="C79" s="1" t="s">
        <v>31</v>
      </c>
      <c r="D79" s="1" t="s">
        <v>33</v>
      </c>
      <c r="E79" s="1" t="s">
        <v>25</v>
      </c>
      <c r="F79" s="1" t="s">
        <v>26</v>
      </c>
      <c r="G79" s="1" t="s">
        <v>21</v>
      </c>
      <c r="H79" s="6">
        <v>1</v>
      </c>
      <c r="I79" s="7">
        <v>1225</v>
      </c>
      <c r="J79" s="5">
        <v>45904</v>
      </c>
      <c r="K79" s="1" t="s">
        <v>30</v>
      </c>
      <c r="L79" s="8">
        <v>0</v>
      </c>
      <c r="M79" s="6"/>
      <c r="N79" s="6"/>
      <c r="O79" s="9">
        <v>5.9</v>
      </c>
    </row>
    <row r="80" spans="1:15" ht="19.5" customHeight="1">
      <c r="A80" s="1" t="s">
        <v>380</v>
      </c>
      <c r="B80" s="5">
        <v>45908</v>
      </c>
      <c r="C80" s="1" t="s">
        <v>31</v>
      </c>
      <c r="D80" s="1" t="s">
        <v>34</v>
      </c>
      <c r="E80" s="1" t="s">
        <v>25</v>
      </c>
      <c r="F80" s="1" t="s">
        <v>26</v>
      </c>
      <c r="G80" s="1" t="s">
        <v>21</v>
      </c>
      <c r="H80" s="6">
        <v>1</v>
      </c>
      <c r="I80" s="7">
        <v>1225</v>
      </c>
      <c r="J80" s="5">
        <v>45904</v>
      </c>
      <c r="K80" s="1" t="s">
        <v>30</v>
      </c>
      <c r="L80" s="8">
        <v>0</v>
      </c>
      <c r="M80" s="6"/>
      <c r="N80" s="6"/>
      <c r="O80" s="9">
        <v>416.24</v>
      </c>
    </row>
    <row r="81" spans="1:15" ht="19.5" customHeight="1">
      <c r="A81" s="1" t="s">
        <v>380</v>
      </c>
      <c r="B81" s="5">
        <v>45908</v>
      </c>
      <c r="C81" s="1" t="s">
        <v>35</v>
      </c>
      <c r="D81" s="1" t="s">
        <v>36</v>
      </c>
      <c r="E81" s="1" t="s">
        <v>25</v>
      </c>
      <c r="F81" s="1" t="s">
        <v>26</v>
      </c>
      <c r="G81" s="1" t="s">
        <v>21</v>
      </c>
      <c r="H81" s="6">
        <v>1</v>
      </c>
      <c r="I81" s="7">
        <v>1225</v>
      </c>
      <c r="J81" s="5">
        <v>45904</v>
      </c>
      <c r="K81" s="1" t="s">
        <v>30</v>
      </c>
      <c r="L81" s="8">
        <v>0.2</v>
      </c>
      <c r="M81" s="6"/>
      <c r="N81" s="6"/>
      <c r="O81" s="9">
        <v>-245</v>
      </c>
    </row>
    <row r="82" spans="1:15" ht="19.5" customHeight="1">
      <c r="A82" s="1" t="s">
        <v>380</v>
      </c>
      <c r="B82" s="5">
        <v>45908</v>
      </c>
      <c r="C82" s="1" t="s">
        <v>17</v>
      </c>
      <c r="D82" s="1" t="s">
        <v>37</v>
      </c>
      <c r="E82" s="1" t="s">
        <v>25</v>
      </c>
      <c r="F82" s="1" t="s">
        <v>26</v>
      </c>
      <c r="G82" s="1" t="s">
        <v>21</v>
      </c>
      <c r="H82" s="6">
        <v>1</v>
      </c>
      <c r="I82" s="7">
        <v>1225</v>
      </c>
      <c r="J82" s="5">
        <v>45904</v>
      </c>
      <c r="K82" s="1" t="s">
        <v>30</v>
      </c>
      <c r="L82" s="8">
        <v>0.2</v>
      </c>
      <c r="M82" s="6"/>
      <c r="N82" s="6"/>
      <c r="O82" s="9">
        <v>-10.199999999999999</v>
      </c>
    </row>
    <row r="83" spans="1:15" ht="19.5" customHeight="1">
      <c r="A83" s="1" t="s">
        <v>380</v>
      </c>
      <c r="B83" s="5">
        <v>45908</v>
      </c>
      <c r="C83" s="1" t="s">
        <v>17</v>
      </c>
      <c r="D83" s="1" t="s">
        <v>18</v>
      </c>
      <c r="E83" s="1" t="s">
        <v>25</v>
      </c>
      <c r="F83" s="1" t="s">
        <v>26</v>
      </c>
      <c r="G83" s="1" t="s">
        <v>21</v>
      </c>
      <c r="H83" s="6">
        <v>1</v>
      </c>
      <c r="I83" s="7">
        <v>0</v>
      </c>
      <c r="J83" s="5">
        <v>45904</v>
      </c>
      <c r="K83" s="1" t="s">
        <v>22</v>
      </c>
      <c r="L83" s="8">
        <v>0</v>
      </c>
      <c r="M83" s="6"/>
      <c r="N83" s="6"/>
      <c r="O83" s="9">
        <v>-15.25</v>
      </c>
    </row>
    <row r="84" spans="1:15" ht="19.5" customHeight="1">
      <c r="A84" s="1" t="s">
        <v>83</v>
      </c>
      <c r="B84" s="5">
        <v>45908</v>
      </c>
      <c r="C84" s="1" t="s">
        <v>77</v>
      </c>
      <c r="D84" s="1" t="s">
        <v>84</v>
      </c>
      <c r="E84" s="1" t="s">
        <v>22</v>
      </c>
      <c r="F84" s="1" t="s">
        <v>22</v>
      </c>
      <c r="G84" s="1" t="s">
        <v>22</v>
      </c>
      <c r="H84" s="6">
        <v>0</v>
      </c>
      <c r="I84" s="7">
        <v>0</v>
      </c>
      <c r="J84" s="5">
        <v>45908</v>
      </c>
      <c r="K84" s="1" t="s">
        <v>22</v>
      </c>
      <c r="L84" s="8">
        <v>0</v>
      </c>
      <c r="M84" s="6"/>
      <c r="N84" s="6"/>
      <c r="O84" s="9">
        <v>-110.25</v>
      </c>
    </row>
    <row r="85" spans="1:15" ht="19.5" customHeight="1">
      <c r="A85" s="1" t="s">
        <v>381</v>
      </c>
      <c r="B85" s="5">
        <v>45909</v>
      </c>
      <c r="C85" s="1" t="s">
        <v>28</v>
      </c>
      <c r="D85" s="1" t="s">
        <v>29</v>
      </c>
      <c r="E85" s="1" t="s">
        <v>25</v>
      </c>
      <c r="F85" s="1" t="s">
        <v>26</v>
      </c>
      <c r="G85" s="1" t="s">
        <v>21</v>
      </c>
      <c r="H85" s="6">
        <v>1</v>
      </c>
      <c r="I85" s="7">
        <v>1750</v>
      </c>
      <c r="J85" s="5">
        <v>45893</v>
      </c>
      <c r="K85" s="1" t="s">
        <v>30</v>
      </c>
      <c r="L85" s="8">
        <v>0.2</v>
      </c>
      <c r="M85" s="6"/>
      <c r="N85" s="6"/>
      <c r="O85" s="9">
        <v>-46</v>
      </c>
    </row>
    <row r="86" spans="1:15" ht="19.5" customHeight="1">
      <c r="A86" s="1" t="s">
        <v>381</v>
      </c>
      <c r="B86" s="5">
        <v>45909</v>
      </c>
      <c r="C86" s="1" t="s">
        <v>31</v>
      </c>
      <c r="D86" s="1" t="s">
        <v>32</v>
      </c>
      <c r="E86" s="1" t="s">
        <v>25</v>
      </c>
      <c r="F86" s="1" t="s">
        <v>26</v>
      </c>
      <c r="G86" s="1" t="s">
        <v>21</v>
      </c>
      <c r="H86" s="6">
        <v>1</v>
      </c>
      <c r="I86" s="7">
        <v>1750</v>
      </c>
      <c r="J86" s="5">
        <v>45893</v>
      </c>
      <c r="K86" s="1" t="s">
        <v>30</v>
      </c>
      <c r="L86" s="8">
        <v>0</v>
      </c>
      <c r="M86" s="6"/>
      <c r="N86" s="6"/>
      <c r="O86" s="9">
        <v>751.5</v>
      </c>
    </row>
    <row r="87" spans="1:15" ht="19.5" customHeight="1">
      <c r="A87" s="1" t="s">
        <v>381</v>
      </c>
      <c r="B87" s="5">
        <v>45909</v>
      </c>
      <c r="C87" s="1" t="s">
        <v>31</v>
      </c>
      <c r="D87" s="1" t="s">
        <v>33</v>
      </c>
      <c r="E87" s="1" t="s">
        <v>25</v>
      </c>
      <c r="F87" s="1" t="s">
        <v>26</v>
      </c>
      <c r="G87" s="1" t="s">
        <v>21</v>
      </c>
      <c r="H87" s="6">
        <v>1</v>
      </c>
      <c r="I87" s="7">
        <v>1750</v>
      </c>
      <c r="J87" s="5">
        <v>45893</v>
      </c>
      <c r="K87" s="1" t="s">
        <v>30</v>
      </c>
      <c r="L87" s="8">
        <v>0</v>
      </c>
      <c r="M87" s="6"/>
      <c r="N87" s="6"/>
      <c r="O87" s="9">
        <v>0</v>
      </c>
    </row>
    <row r="88" spans="1:15" ht="19.5" customHeight="1">
      <c r="A88" s="1" t="s">
        <v>381</v>
      </c>
      <c r="B88" s="5">
        <v>45909</v>
      </c>
      <c r="C88" s="1" t="s">
        <v>31</v>
      </c>
      <c r="D88" s="1" t="s">
        <v>34</v>
      </c>
      <c r="E88" s="1" t="s">
        <v>25</v>
      </c>
      <c r="F88" s="1" t="s">
        <v>26</v>
      </c>
      <c r="G88" s="1" t="s">
        <v>21</v>
      </c>
      <c r="H88" s="6">
        <v>1</v>
      </c>
      <c r="I88" s="7">
        <v>1750</v>
      </c>
      <c r="J88" s="5">
        <v>45893</v>
      </c>
      <c r="K88" s="1" t="s">
        <v>30</v>
      </c>
      <c r="L88" s="8">
        <v>0</v>
      </c>
      <c r="M88" s="6"/>
      <c r="N88" s="6"/>
      <c r="O88" s="9">
        <v>998.5</v>
      </c>
    </row>
    <row r="89" spans="1:15" ht="19.5" customHeight="1">
      <c r="A89" s="1" t="s">
        <v>381</v>
      </c>
      <c r="B89" s="5">
        <v>45909</v>
      </c>
      <c r="C89" s="1" t="s">
        <v>35</v>
      </c>
      <c r="D89" s="1" t="s">
        <v>36</v>
      </c>
      <c r="E89" s="1" t="s">
        <v>25</v>
      </c>
      <c r="F89" s="1" t="s">
        <v>26</v>
      </c>
      <c r="G89" s="1" t="s">
        <v>21</v>
      </c>
      <c r="H89" s="6">
        <v>1</v>
      </c>
      <c r="I89" s="7">
        <v>1750</v>
      </c>
      <c r="J89" s="5">
        <v>45893</v>
      </c>
      <c r="K89" s="1" t="s">
        <v>30</v>
      </c>
      <c r="L89" s="8">
        <v>0.2</v>
      </c>
      <c r="M89" s="6"/>
      <c r="N89" s="6"/>
      <c r="O89" s="9">
        <v>-350</v>
      </c>
    </row>
    <row r="90" spans="1:15" ht="19.5" customHeight="1">
      <c r="A90" s="1" t="s">
        <v>382</v>
      </c>
      <c r="B90" s="5">
        <v>45909</v>
      </c>
      <c r="C90" s="1" t="s">
        <v>28</v>
      </c>
      <c r="D90" s="1" t="s">
        <v>29</v>
      </c>
      <c r="E90" s="1" t="s">
        <v>25</v>
      </c>
      <c r="F90" s="1" t="s">
        <v>26</v>
      </c>
      <c r="G90" s="1" t="s">
        <v>21</v>
      </c>
      <c r="H90" s="6">
        <v>1</v>
      </c>
      <c r="I90" s="7">
        <v>0</v>
      </c>
      <c r="J90" s="5">
        <v>45892</v>
      </c>
      <c r="K90" s="1" t="s">
        <v>30</v>
      </c>
      <c r="L90" s="8">
        <v>0</v>
      </c>
      <c r="M90" s="6"/>
      <c r="N90" s="6"/>
      <c r="O90" s="9">
        <v>-46</v>
      </c>
    </row>
    <row r="91" spans="1:15" ht="19.5" customHeight="1">
      <c r="A91" s="1" t="s">
        <v>382</v>
      </c>
      <c r="B91" s="5">
        <v>45909</v>
      </c>
      <c r="C91" s="1" t="s">
        <v>17</v>
      </c>
      <c r="D91" s="1" t="s">
        <v>37</v>
      </c>
      <c r="E91" s="1" t="s">
        <v>25</v>
      </c>
      <c r="F91" s="1" t="s">
        <v>26</v>
      </c>
      <c r="G91" s="1" t="s">
        <v>21</v>
      </c>
      <c r="H91" s="6">
        <v>1</v>
      </c>
      <c r="I91" s="7">
        <v>0</v>
      </c>
      <c r="J91" s="5">
        <v>45892</v>
      </c>
      <c r="K91" s="1" t="s">
        <v>30</v>
      </c>
      <c r="L91" s="8">
        <v>0</v>
      </c>
      <c r="M91" s="6"/>
      <c r="N91" s="6"/>
      <c r="O91" s="9">
        <v>-8</v>
      </c>
    </row>
    <row r="92" spans="1:15" ht="19.5" customHeight="1">
      <c r="A92" s="1" t="s">
        <v>382</v>
      </c>
      <c r="B92" s="5">
        <v>45909</v>
      </c>
      <c r="C92" s="1" t="s">
        <v>28</v>
      </c>
      <c r="D92" s="1" t="s">
        <v>356</v>
      </c>
      <c r="E92" s="1" t="s">
        <v>25</v>
      </c>
      <c r="F92" s="1" t="s">
        <v>26</v>
      </c>
      <c r="G92" s="1" t="s">
        <v>21</v>
      </c>
      <c r="H92" s="6">
        <v>1</v>
      </c>
      <c r="I92" s="7">
        <v>0</v>
      </c>
      <c r="J92" s="5">
        <v>45892</v>
      </c>
      <c r="K92" s="1" t="s">
        <v>30</v>
      </c>
      <c r="L92" s="8">
        <v>0</v>
      </c>
      <c r="M92" s="6"/>
      <c r="N92" s="6"/>
      <c r="O92" s="9">
        <v>0</v>
      </c>
    </row>
    <row r="93" spans="1:15" ht="19.5" customHeight="1">
      <c r="A93" s="1" t="s">
        <v>382</v>
      </c>
      <c r="B93" s="5">
        <v>45909</v>
      </c>
      <c r="C93" s="1" t="s">
        <v>28</v>
      </c>
      <c r="D93" s="1" t="s">
        <v>46</v>
      </c>
      <c r="E93" s="1" t="s">
        <v>25</v>
      </c>
      <c r="F93" s="1" t="s">
        <v>26</v>
      </c>
      <c r="G93" s="1" t="s">
        <v>21</v>
      </c>
      <c r="H93" s="6">
        <v>1</v>
      </c>
      <c r="I93" s="7">
        <v>0</v>
      </c>
      <c r="J93" s="5">
        <v>45892</v>
      </c>
      <c r="K93" s="1" t="s">
        <v>30</v>
      </c>
      <c r="L93" s="8">
        <v>0</v>
      </c>
      <c r="M93" s="6"/>
      <c r="N93" s="6"/>
      <c r="O93" s="9">
        <v>-46</v>
      </c>
    </row>
    <row r="94" spans="1:15" ht="19.5" customHeight="1">
      <c r="A94" s="1" t="s">
        <v>382</v>
      </c>
      <c r="B94" s="5">
        <v>45909</v>
      </c>
      <c r="C94" s="1" t="s">
        <v>17</v>
      </c>
      <c r="D94" s="1" t="s">
        <v>47</v>
      </c>
      <c r="E94" s="1" t="s">
        <v>25</v>
      </c>
      <c r="F94" s="1" t="s">
        <v>26</v>
      </c>
      <c r="G94" s="1" t="s">
        <v>21</v>
      </c>
      <c r="H94" s="6">
        <v>1</v>
      </c>
      <c r="I94" s="7">
        <v>0</v>
      </c>
      <c r="J94" s="5">
        <v>45892</v>
      </c>
      <c r="K94" s="1" t="s">
        <v>30</v>
      </c>
      <c r="L94" s="8">
        <v>0</v>
      </c>
      <c r="M94" s="6"/>
      <c r="N94" s="6"/>
      <c r="O94" s="9">
        <v>-15</v>
      </c>
    </row>
    <row r="95" spans="1:15" ht="19.5" customHeight="1">
      <c r="A95" s="1" t="s">
        <v>383</v>
      </c>
      <c r="B95" s="5">
        <v>45909</v>
      </c>
      <c r="C95" s="1" t="s">
        <v>17</v>
      </c>
      <c r="D95" s="1" t="s">
        <v>18</v>
      </c>
      <c r="E95" s="1" t="s">
        <v>25</v>
      </c>
      <c r="F95" s="1" t="s">
        <v>26</v>
      </c>
      <c r="G95" s="1" t="s">
        <v>21</v>
      </c>
      <c r="H95" s="6">
        <v>1</v>
      </c>
      <c r="I95" s="7">
        <v>0</v>
      </c>
      <c r="J95" s="5">
        <v>45909</v>
      </c>
      <c r="K95" s="1" t="s">
        <v>22</v>
      </c>
      <c r="L95" s="8">
        <v>0</v>
      </c>
      <c r="M95" s="6"/>
      <c r="N95" s="6"/>
      <c r="O95" s="9">
        <v>-7.93</v>
      </c>
    </row>
    <row r="96" spans="1:15" ht="19.5" customHeight="1">
      <c r="A96" s="1" t="s">
        <v>22</v>
      </c>
      <c r="B96" s="5">
        <v>45909</v>
      </c>
      <c r="C96" s="1" t="s">
        <v>77</v>
      </c>
      <c r="D96" s="1" t="s">
        <v>80</v>
      </c>
      <c r="E96" s="1" t="s">
        <v>22</v>
      </c>
      <c r="F96" s="1" t="s">
        <v>22</v>
      </c>
      <c r="G96" s="1" t="s">
        <v>22</v>
      </c>
      <c r="H96" s="6">
        <v>0</v>
      </c>
      <c r="I96" s="7">
        <v>0</v>
      </c>
      <c r="J96" s="5">
        <v>45909</v>
      </c>
      <c r="K96" s="1" t="s">
        <v>22</v>
      </c>
      <c r="L96" s="8">
        <v>0</v>
      </c>
      <c r="M96" s="6"/>
      <c r="N96" s="6"/>
      <c r="O96" s="9">
        <v>-216</v>
      </c>
    </row>
    <row r="97" spans="1:15" ht="19.5" customHeight="1">
      <c r="A97" s="1" t="s">
        <v>81</v>
      </c>
      <c r="B97" s="5">
        <v>45909</v>
      </c>
      <c r="C97" s="1" t="s">
        <v>77</v>
      </c>
      <c r="D97" s="1" t="s">
        <v>82</v>
      </c>
      <c r="E97" s="1" t="s">
        <v>22</v>
      </c>
      <c r="F97" s="1" t="s">
        <v>22</v>
      </c>
      <c r="G97" s="1" t="s">
        <v>22</v>
      </c>
      <c r="H97" s="6">
        <v>0</v>
      </c>
      <c r="I97" s="7">
        <v>0</v>
      </c>
      <c r="J97" s="5">
        <v>45909</v>
      </c>
      <c r="K97" s="1" t="s">
        <v>22</v>
      </c>
      <c r="L97" s="8">
        <v>0</v>
      </c>
      <c r="M97" s="6"/>
      <c r="N97" s="6"/>
      <c r="O97" s="9">
        <v>-890.01</v>
      </c>
    </row>
    <row r="98" spans="1:15" ht="19.5" customHeight="1">
      <c r="A98" s="1" t="s">
        <v>83</v>
      </c>
      <c r="B98" s="5">
        <v>45909</v>
      </c>
      <c r="C98" s="1" t="s">
        <v>77</v>
      </c>
      <c r="D98" s="1" t="s">
        <v>84</v>
      </c>
      <c r="E98" s="1" t="s">
        <v>22</v>
      </c>
      <c r="F98" s="1" t="s">
        <v>22</v>
      </c>
      <c r="G98" s="1" t="s">
        <v>22</v>
      </c>
      <c r="H98" s="6">
        <v>0</v>
      </c>
      <c r="I98" s="7">
        <v>0</v>
      </c>
      <c r="J98" s="5">
        <v>45909</v>
      </c>
      <c r="K98" s="1" t="s">
        <v>22</v>
      </c>
      <c r="L98" s="8">
        <v>0</v>
      </c>
      <c r="M98" s="6"/>
      <c r="N98" s="6"/>
      <c r="O98" s="9">
        <v>-157.5</v>
      </c>
    </row>
    <row r="99" spans="1:15" ht="19.5" customHeight="1">
      <c r="A99" s="1" t="s">
        <v>384</v>
      </c>
      <c r="B99" s="5">
        <v>45910</v>
      </c>
      <c r="C99" s="1" t="s">
        <v>17</v>
      </c>
      <c r="D99" s="1" t="s">
        <v>18</v>
      </c>
      <c r="E99" s="1" t="s">
        <v>25</v>
      </c>
      <c r="F99" s="1" t="s">
        <v>26</v>
      </c>
      <c r="G99" s="1" t="s">
        <v>21</v>
      </c>
      <c r="H99" s="6">
        <v>1</v>
      </c>
      <c r="I99" s="7">
        <v>0</v>
      </c>
      <c r="J99" s="5">
        <v>45909</v>
      </c>
      <c r="K99" s="1" t="s">
        <v>22</v>
      </c>
      <c r="L99" s="8">
        <v>0</v>
      </c>
      <c r="M99" s="6"/>
      <c r="N99" s="6"/>
      <c r="O99" s="9">
        <v>-2.65</v>
      </c>
    </row>
    <row r="100" spans="1:15" ht="19.5" customHeight="1">
      <c r="A100" s="1" t="s">
        <v>385</v>
      </c>
      <c r="B100" s="5">
        <v>45910</v>
      </c>
      <c r="C100" s="1" t="s">
        <v>17</v>
      </c>
      <c r="D100" s="1" t="s">
        <v>18</v>
      </c>
      <c r="E100" s="1" t="s">
        <v>25</v>
      </c>
      <c r="F100" s="1" t="s">
        <v>26</v>
      </c>
      <c r="G100" s="1" t="s">
        <v>21</v>
      </c>
      <c r="H100" s="6">
        <v>1</v>
      </c>
      <c r="I100" s="7">
        <v>0</v>
      </c>
      <c r="J100" s="5">
        <v>45910</v>
      </c>
      <c r="K100" s="1" t="s">
        <v>22</v>
      </c>
      <c r="L100" s="8">
        <v>0</v>
      </c>
      <c r="M100" s="6"/>
      <c r="N100" s="6"/>
      <c r="O100" s="9">
        <v>-11.25</v>
      </c>
    </row>
    <row r="101" spans="1:15" ht="19.5" customHeight="1">
      <c r="A101" s="1" t="s">
        <v>386</v>
      </c>
      <c r="B101" s="5">
        <v>45910</v>
      </c>
      <c r="C101" s="1" t="s">
        <v>17</v>
      </c>
      <c r="D101" s="1" t="s">
        <v>18</v>
      </c>
      <c r="E101" s="1" t="s">
        <v>19</v>
      </c>
      <c r="F101" s="1" t="s">
        <v>20</v>
      </c>
      <c r="G101" s="1" t="s">
        <v>21</v>
      </c>
      <c r="H101" s="6">
        <v>1</v>
      </c>
      <c r="I101" s="7">
        <v>0</v>
      </c>
      <c r="J101" s="5">
        <v>45910</v>
      </c>
      <c r="K101" s="1" t="s">
        <v>22</v>
      </c>
      <c r="L101" s="8">
        <v>0</v>
      </c>
      <c r="M101" s="6"/>
      <c r="N101" s="6"/>
      <c r="O101" s="9">
        <v>-6.31</v>
      </c>
    </row>
    <row r="102" spans="1:15" ht="19.5" customHeight="1">
      <c r="A102" s="1" t="s">
        <v>81</v>
      </c>
      <c r="B102" s="5">
        <v>45910</v>
      </c>
      <c r="C102" s="1" t="s">
        <v>77</v>
      </c>
      <c r="D102" s="1" t="s">
        <v>82</v>
      </c>
      <c r="E102" s="1" t="s">
        <v>22</v>
      </c>
      <c r="F102" s="1" t="s">
        <v>22</v>
      </c>
      <c r="G102" s="1" t="s">
        <v>22</v>
      </c>
      <c r="H102" s="6">
        <v>0</v>
      </c>
      <c r="I102" s="7">
        <v>0</v>
      </c>
      <c r="J102" s="5">
        <v>45910</v>
      </c>
      <c r="K102" s="1" t="s">
        <v>22</v>
      </c>
      <c r="L102" s="8">
        <v>0</v>
      </c>
      <c r="M102" s="6"/>
      <c r="N102" s="6"/>
      <c r="O102" s="9">
        <v>-2038.53</v>
      </c>
    </row>
    <row r="103" spans="1:15" ht="19.5" customHeight="1">
      <c r="A103" s="1" t="s">
        <v>85</v>
      </c>
      <c r="B103" s="5">
        <v>45910</v>
      </c>
      <c r="C103" s="1" t="s">
        <v>77</v>
      </c>
      <c r="D103" s="1" t="s">
        <v>82</v>
      </c>
      <c r="E103" s="1" t="s">
        <v>22</v>
      </c>
      <c r="F103" s="1" t="s">
        <v>22</v>
      </c>
      <c r="G103" s="1" t="s">
        <v>22</v>
      </c>
      <c r="H103" s="6">
        <v>0</v>
      </c>
      <c r="I103" s="7">
        <v>0</v>
      </c>
      <c r="J103" s="5">
        <v>45910</v>
      </c>
      <c r="K103" s="1" t="s">
        <v>22</v>
      </c>
      <c r="L103" s="8">
        <v>0</v>
      </c>
      <c r="M103" s="6"/>
      <c r="N103" s="6"/>
      <c r="O103" s="9">
        <v>-88.63</v>
      </c>
    </row>
    <row r="104" spans="1:15" ht="19.5" customHeight="1">
      <c r="A104" s="1" t="s">
        <v>387</v>
      </c>
      <c r="B104" s="5">
        <v>45911</v>
      </c>
      <c r="C104" s="1" t="s">
        <v>17</v>
      </c>
      <c r="D104" s="1" t="s">
        <v>18</v>
      </c>
      <c r="E104" s="1" t="s">
        <v>25</v>
      </c>
      <c r="F104" s="1" t="s">
        <v>26</v>
      </c>
      <c r="G104" s="1" t="s">
        <v>21</v>
      </c>
      <c r="H104" s="6">
        <v>1</v>
      </c>
      <c r="I104" s="7">
        <v>0</v>
      </c>
      <c r="J104" s="5">
        <v>45911</v>
      </c>
      <c r="K104" s="1" t="s">
        <v>22</v>
      </c>
      <c r="L104" s="8">
        <v>0</v>
      </c>
      <c r="M104" s="6"/>
      <c r="N104" s="6"/>
      <c r="O104" s="9">
        <v>-10.83</v>
      </c>
    </row>
    <row r="105" spans="1:15" ht="19.5" customHeight="1">
      <c r="A105" s="1" t="s">
        <v>370</v>
      </c>
      <c r="B105" s="5">
        <v>45911</v>
      </c>
      <c r="C105" s="1" t="s">
        <v>126</v>
      </c>
      <c r="D105" s="1" t="s">
        <v>127</v>
      </c>
      <c r="E105" s="1" t="s">
        <v>92</v>
      </c>
      <c r="F105" s="1" t="s">
        <v>93</v>
      </c>
      <c r="G105" s="1" t="s">
        <v>21</v>
      </c>
      <c r="H105" s="6">
        <v>1</v>
      </c>
      <c r="I105" s="7">
        <v>-1400</v>
      </c>
      <c r="J105" s="5">
        <v>45902</v>
      </c>
      <c r="K105" s="1" t="s">
        <v>30</v>
      </c>
      <c r="L105" s="8">
        <v>0</v>
      </c>
      <c r="M105" s="6"/>
      <c r="N105" s="6"/>
      <c r="O105" s="9">
        <v>-920.95</v>
      </c>
    </row>
    <row r="106" spans="1:15" ht="19.5" customHeight="1">
      <c r="A106" s="1" t="s">
        <v>370</v>
      </c>
      <c r="B106" s="5">
        <v>45911</v>
      </c>
      <c r="C106" s="1" t="s">
        <v>126</v>
      </c>
      <c r="D106" s="1" t="s">
        <v>33</v>
      </c>
      <c r="E106" s="1" t="s">
        <v>92</v>
      </c>
      <c r="F106" s="1" t="s">
        <v>93</v>
      </c>
      <c r="G106" s="1" t="s">
        <v>21</v>
      </c>
      <c r="H106" s="6">
        <v>1</v>
      </c>
      <c r="I106" s="7">
        <v>-1400</v>
      </c>
      <c r="J106" s="5">
        <v>45902</v>
      </c>
      <c r="K106" s="1" t="s">
        <v>30</v>
      </c>
      <c r="L106" s="8">
        <v>0</v>
      </c>
      <c r="M106" s="6"/>
      <c r="N106" s="6"/>
      <c r="O106" s="9">
        <v>-6.77</v>
      </c>
    </row>
    <row r="107" spans="1:15" ht="19.5" customHeight="1">
      <c r="A107" s="1" t="s">
        <v>370</v>
      </c>
      <c r="B107" s="5">
        <v>45911</v>
      </c>
      <c r="C107" s="1" t="s">
        <v>126</v>
      </c>
      <c r="D107" s="1" t="s">
        <v>34</v>
      </c>
      <c r="E107" s="1" t="s">
        <v>92</v>
      </c>
      <c r="F107" s="1" t="s">
        <v>93</v>
      </c>
      <c r="G107" s="1" t="s">
        <v>21</v>
      </c>
      <c r="H107" s="6">
        <v>1</v>
      </c>
      <c r="I107" s="7">
        <v>-1400</v>
      </c>
      <c r="J107" s="5">
        <v>45902</v>
      </c>
      <c r="K107" s="1" t="s">
        <v>30</v>
      </c>
      <c r="L107" s="8">
        <v>0</v>
      </c>
      <c r="M107" s="6"/>
      <c r="N107" s="6"/>
      <c r="O107" s="9">
        <v>-472.28</v>
      </c>
    </row>
    <row r="108" spans="1:15" ht="19.5" customHeight="1">
      <c r="A108" s="1" t="s">
        <v>370</v>
      </c>
      <c r="B108" s="5">
        <v>45911</v>
      </c>
      <c r="C108" s="1" t="s">
        <v>35</v>
      </c>
      <c r="D108" s="1" t="s">
        <v>128</v>
      </c>
      <c r="E108" s="1" t="s">
        <v>92</v>
      </c>
      <c r="F108" s="1" t="s">
        <v>93</v>
      </c>
      <c r="G108" s="1" t="s">
        <v>21</v>
      </c>
      <c r="H108" s="6">
        <v>1</v>
      </c>
      <c r="I108" s="7">
        <v>-1400</v>
      </c>
      <c r="J108" s="5">
        <v>45902</v>
      </c>
      <c r="K108" s="1" t="s">
        <v>30</v>
      </c>
      <c r="L108" s="8">
        <v>0.2</v>
      </c>
      <c r="M108" s="6"/>
      <c r="N108" s="6"/>
      <c r="O108" s="9">
        <v>280</v>
      </c>
    </row>
    <row r="109" spans="1:15" ht="19.5" customHeight="1">
      <c r="A109" s="1" t="s">
        <v>370</v>
      </c>
      <c r="B109" s="5">
        <v>45911</v>
      </c>
      <c r="C109" s="1" t="s">
        <v>17</v>
      </c>
      <c r="D109" s="1" t="s">
        <v>18</v>
      </c>
      <c r="E109" s="1" t="s">
        <v>92</v>
      </c>
      <c r="F109" s="1" t="s">
        <v>93</v>
      </c>
      <c r="G109" s="1" t="s">
        <v>21</v>
      </c>
      <c r="H109" s="6">
        <v>1</v>
      </c>
      <c r="I109" s="7">
        <v>0</v>
      </c>
      <c r="J109" s="5">
        <v>45902</v>
      </c>
      <c r="K109" s="1" t="s">
        <v>22</v>
      </c>
      <c r="L109" s="8">
        <v>0</v>
      </c>
      <c r="M109" s="6"/>
      <c r="N109" s="6"/>
      <c r="O109" s="9">
        <v>17.5</v>
      </c>
    </row>
    <row r="110" spans="1:15" ht="19.5" customHeight="1">
      <c r="A110" s="1" t="s">
        <v>388</v>
      </c>
      <c r="B110" s="5">
        <v>45911</v>
      </c>
      <c r="C110" s="1" t="s">
        <v>17</v>
      </c>
      <c r="D110" s="1" t="s">
        <v>18</v>
      </c>
      <c r="E110" s="1" t="s">
        <v>25</v>
      </c>
      <c r="F110" s="1" t="s">
        <v>26</v>
      </c>
      <c r="G110" s="1" t="s">
        <v>21</v>
      </c>
      <c r="H110" s="6">
        <v>1</v>
      </c>
      <c r="I110" s="7">
        <v>0</v>
      </c>
      <c r="J110" s="5">
        <v>45911</v>
      </c>
      <c r="K110" s="1" t="s">
        <v>22</v>
      </c>
      <c r="L110" s="8">
        <v>0</v>
      </c>
      <c r="M110" s="6"/>
      <c r="N110" s="6"/>
      <c r="O110" s="9">
        <v>-10.71</v>
      </c>
    </row>
    <row r="111" spans="1:15" ht="19.5" customHeight="1">
      <c r="A111" s="1" t="s">
        <v>389</v>
      </c>
      <c r="B111" s="5">
        <v>45911</v>
      </c>
      <c r="C111" s="1" t="s">
        <v>17</v>
      </c>
      <c r="D111" s="1" t="s">
        <v>18</v>
      </c>
      <c r="E111" s="1" t="s">
        <v>92</v>
      </c>
      <c r="F111" s="1" t="s">
        <v>93</v>
      </c>
      <c r="G111" s="1" t="s">
        <v>21</v>
      </c>
      <c r="H111" s="6">
        <v>1</v>
      </c>
      <c r="I111" s="7">
        <v>0</v>
      </c>
      <c r="J111" s="5">
        <v>45911</v>
      </c>
      <c r="K111" s="1" t="s">
        <v>22</v>
      </c>
      <c r="L111" s="8">
        <v>0</v>
      </c>
      <c r="M111" s="6"/>
      <c r="N111" s="6"/>
      <c r="O111" s="9">
        <v>-3</v>
      </c>
    </row>
    <row r="112" spans="1:15" ht="19.5" customHeight="1">
      <c r="A112" s="1" t="s">
        <v>390</v>
      </c>
      <c r="B112" s="5">
        <v>45911</v>
      </c>
      <c r="C112" s="1" t="s">
        <v>28</v>
      </c>
      <c r="D112" s="1" t="s">
        <v>29</v>
      </c>
      <c r="E112" s="1" t="s">
        <v>25</v>
      </c>
      <c r="F112" s="1" t="s">
        <v>26</v>
      </c>
      <c r="G112" s="1" t="s">
        <v>21</v>
      </c>
      <c r="H112" s="6">
        <v>1</v>
      </c>
      <c r="I112" s="7">
        <v>1176</v>
      </c>
      <c r="J112" s="5">
        <v>45909</v>
      </c>
      <c r="K112" s="1" t="s">
        <v>30</v>
      </c>
      <c r="L112" s="8">
        <v>0.2</v>
      </c>
      <c r="M112" s="6"/>
      <c r="N112" s="6"/>
      <c r="O112" s="9">
        <v>-46</v>
      </c>
    </row>
    <row r="113" spans="1:15" ht="19.5" customHeight="1">
      <c r="A113" s="1" t="s">
        <v>390</v>
      </c>
      <c r="B113" s="5">
        <v>45911</v>
      </c>
      <c r="C113" s="1" t="s">
        <v>31</v>
      </c>
      <c r="D113" s="1" t="s">
        <v>32</v>
      </c>
      <c r="E113" s="1" t="s">
        <v>25</v>
      </c>
      <c r="F113" s="1" t="s">
        <v>26</v>
      </c>
      <c r="G113" s="1" t="s">
        <v>21</v>
      </c>
      <c r="H113" s="6">
        <v>1</v>
      </c>
      <c r="I113" s="7">
        <v>1176</v>
      </c>
      <c r="J113" s="5">
        <v>45909</v>
      </c>
      <c r="K113" s="1" t="s">
        <v>30</v>
      </c>
      <c r="L113" s="8">
        <v>0</v>
      </c>
      <c r="M113" s="6"/>
      <c r="N113" s="6"/>
      <c r="O113" s="9">
        <v>564.76</v>
      </c>
    </row>
    <row r="114" spans="1:15" ht="19.5" customHeight="1">
      <c r="A114" s="1" t="s">
        <v>390</v>
      </c>
      <c r="B114" s="5">
        <v>45911</v>
      </c>
      <c r="C114" s="1" t="s">
        <v>31</v>
      </c>
      <c r="D114" s="1" t="s">
        <v>33</v>
      </c>
      <c r="E114" s="1" t="s">
        <v>25</v>
      </c>
      <c r="F114" s="1" t="s">
        <v>26</v>
      </c>
      <c r="G114" s="1" t="s">
        <v>21</v>
      </c>
      <c r="H114" s="6">
        <v>1</v>
      </c>
      <c r="I114" s="7">
        <v>1176</v>
      </c>
      <c r="J114" s="5">
        <v>45909</v>
      </c>
      <c r="K114" s="1" t="s">
        <v>30</v>
      </c>
      <c r="L114" s="8">
        <v>0</v>
      </c>
      <c r="M114" s="6"/>
      <c r="N114" s="6"/>
      <c r="O114" s="9">
        <v>4.1500000000000004</v>
      </c>
    </row>
    <row r="115" spans="1:15" ht="19.5" customHeight="1">
      <c r="A115" s="1" t="s">
        <v>390</v>
      </c>
      <c r="B115" s="5">
        <v>45911</v>
      </c>
      <c r="C115" s="1" t="s">
        <v>31</v>
      </c>
      <c r="D115" s="1" t="s">
        <v>34</v>
      </c>
      <c r="E115" s="1" t="s">
        <v>25</v>
      </c>
      <c r="F115" s="1" t="s">
        <v>26</v>
      </c>
      <c r="G115" s="1" t="s">
        <v>21</v>
      </c>
      <c r="H115" s="6">
        <v>1</v>
      </c>
      <c r="I115" s="7">
        <v>1176</v>
      </c>
      <c r="J115" s="5">
        <v>45909</v>
      </c>
      <c r="K115" s="1" t="s">
        <v>30</v>
      </c>
      <c r="L115" s="8">
        <v>0</v>
      </c>
      <c r="M115" s="6"/>
      <c r="N115" s="6"/>
      <c r="O115" s="9">
        <v>607.09</v>
      </c>
    </row>
    <row r="116" spans="1:15" ht="19.5" customHeight="1">
      <c r="A116" s="1" t="s">
        <v>390</v>
      </c>
      <c r="B116" s="5">
        <v>45911</v>
      </c>
      <c r="C116" s="1" t="s">
        <v>35</v>
      </c>
      <c r="D116" s="1" t="s">
        <v>36</v>
      </c>
      <c r="E116" s="1" t="s">
        <v>25</v>
      </c>
      <c r="F116" s="1" t="s">
        <v>26</v>
      </c>
      <c r="G116" s="1" t="s">
        <v>21</v>
      </c>
      <c r="H116" s="6">
        <v>1</v>
      </c>
      <c r="I116" s="7">
        <v>1176</v>
      </c>
      <c r="J116" s="5">
        <v>45909</v>
      </c>
      <c r="K116" s="1" t="s">
        <v>30</v>
      </c>
      <c r="L116" s="8">
        <v>0.2</v>
      </c>
      <c r="M116" s="6"/>
      <c r="N116" s="6"/>
      <c r="O116" s="9">
        <v>-235.2</v>
      </c>
    </row>
    <row r="117" spans="1:15" ht="19.5" customHeight="1">
      <c r="A117" s="1" t="s">
        <v>390</v>
      </c>
      <c r="B117" s="5">
        <v>45911</v>
      </c>
      <c r="C117" s="1" t="s">
        <v>17</v>
      </c>
      <c r="D117" s="1" t="s">
        <v>37</v>
      </c>
      <c r="E117" s="1" t="s">
        <v>25</v>
      </c>
      <c r="F117" s="1" t="s">
        <v>26</v>
      </c>
      <c r="G117" s="1" t="s">
        <v>21</v>
      </c>
      <c r="H117" s="6">
        <v>1</v>
      </c>
      <c r="I117" s="7">
        <v>1176</v>
      </c>
      <c r="J117" s="5">
        <v>45909</v>
      </c>
      <c r="K117" s="1" t="s">
        <v>30</v>
      </c>
      <c r="L117" s="8">
        <v>0.2</v>
      </c>
      <c r="M117" s="6"/>
      <c r="N117" s="6"/>
      <c r="O117" s="9">
        <v>-4.6100000000000003</v>
      </c>
    </row>
    <row r="118" spans="1:15" ht="19.5" customHeight="1">
      <c r="A118" s="1" t="s">
        <v>390</v>
      </c>
      <c r="B118" s="5">
        <v>45911</v>
      </c>
      <c r="C118" s="1" t="s">
        <v>17</v>
      </c>
      <c r="D118" s="1" t="s">
        <v>18</v>
      </c>
      <c r="E118" s="1" t="s">
        <v>25</v>
      </c>
      <c r="F118" s="1" t="s">
        <v>26</v>
      </c>
      <c r="G118" s="1" t="s">
        <v>21</v>
      </c>
      <c r="H118" s="6">
        <v>1</v>
      </c>
      <c r="I118" s="7">
        <v>0</v>
      </c>
      <c r="J118" s="5">
        <v>45909</v>
      </c>
      <c r="K118" s="1" t="s">
        <v>22</v>
      </c>
      <c r="L118" s="8">
        <v>0</v>
      </c>
      <c r="M118" s="6"/>
      <c r="N118" s="6"/>
      <c r="O118" s="9">
        <v>-10.73</v>
      </c>
    </row>
    <row r="119" spans="1:15" ht="19.5" customHeight="1">
      <c r="A119" s="1" t="s">
        <v>391</v>
      </c>
      <c r="B119" s="5">
        <v>45911</v>
      </c>
      <c r="C119" s="1" t="s">
        <v>17</v>
      </c>
      <c r="D119" s="1" t="s">
        <v>18</v>
      </c>
      <c r="E119" s="1" t="s">
        <v>111</v>
      </c>
      <c r="F119" s="1" t="s">
        <v>112</v>
      </c>
      <c r="G119" s="1" t="s">
        <v>21</v>
      </c>
      <c r="H119" s="6">
        <v>1</v>
      </c>
      <c r="I119" s="7">
        <v>0</v>
      </c>
      <c r="J119" s="5">
        <v>45911</v>
      </c>
      <c r="K119" s="1" t="s">
        <v>22</v>
      </c>
      <c r="L119" s="8">
        <v>0</v>
      </c>
      <c r="M119" s="6"/>
      <c r="N119" s="6"/>
      <c r="O119" s="9">
        <v>-40.950000000000003</v>
      </c>
    </row>
    <row r="120" spans="1:15" ht="19.5" customHeight="1">
      <c r="A120" s="1" t="s">
        <v>392</v>
      </c>
      <c r="B120" s="5">
        <v>45911</v>
      </c>
      <c r="C120" s="1" t="s">
        <v>28</v>
      </c>
      <c r="D120" s="1" t="s">
        <v>29</v>
      </c>
      <c r="E120" s="1" t="s">
        <v>228</v>
      </c>
      <c r="F120" s="1" t="s">
        <v>393</v>
      </c>
      <c r="G120" s="1" t="s">
        <v>21</v>
      </c>
      <c r="H120" s="6">
        <v>1</v>
      </c>
      <c r="I120" s="7">
        <v>0</v>
      </c>
      <c r="J120" s="5">
        <v>45904</v>
      </c>
      <c r="K120" s="1" t="s">
        <v>30</v>
      </c>
      <c r="L120" s="8">
        <v>0</v>
      </c>
      <c r="M120" s="6"/>
      <c r="N120" s="6"/>
      <c r="O120" s="9">
        <v>-46</v>
      </c>
    </row>
    <row r="121" spans="1:15" ht="19.5" customHeight="1">
      <c r="A121" s="1" t="s">
        <v>392</v>
      </c>
      <c r="B121" s="5">
        <v>45911</v>
      </c>
      <c r="C121" s="1" t="s">
        <v>17</v>
      </c>
      <c r="D121" s="1" t="s">
        <v>37</v>
      </c>
      <c r="E121" s="1" t="s">
        <v>228</v>
      </c>
      <c r="F121" s="1" t="s">
        <v>393</v>
      </c>
      <c r="G121" s="1" t="s">
        <v>21</v>
      </c>
      <c r="H121" s="6">
        <v>1</v>
      </c>
      <c r="I121" s="7">
        <v>0</v>
      </c>
      <c r="J121" s="5">
        <v>45904</v>
      </c>
      <c r="K121" s="1" t="s">
        <v>30</v>
      </c>
      <c r="L121" s="8">
        <v>0</v>
      </c>
      <c r="M121" s="6"/>
      <c r="N121" s="6"/>
      <c r="O121" s="9">
        <v>-5.59</v>
      </c>
    </row>
    <row r="122" spans="1:15" ht="19.5" customHeight="1">
      <c r="A122" s="1" t="s">
        <v>392</v>
      </c>
      <c r="B122" s="5">
        <v>45911</v>
      </c>
      <c r="C122" s="1" t="s">
        <v>28</v>
      </c>
      <c r="D122" s="1" t="s">
        <v>45</v>
      </c>
      <c r="E122" s="1" t="s">
        <v>228</v>
      </c>
      <c r="F122" s="1" t="s">
        <v>393</v>
      </c>
      <c r="G122" s="1" t="s">
        <v>21</v>
      </c>
      <c r="H122" s="6">
        <v>1</v>
      </c>
      <c r="I122" s="7">
        <v>0</v>
      </c>
      <c r="J122" s="5">
        <v>45904</v>
      </c>
      <c r="K122" s="1" t="s">
        <v>30</v>
      </c>
      <c r="L122" s="8">
        <v>0</v>
      </c>
      <c r="M122" s="6"/>
      <c r="N122" s="6"/>
      <c r="O122" s="9">
        <v>0</v>
      </c>
    </row>
    <row r="123" spans="1:15" ht="19.5" customHeight="1">
      <c r="A123" s="1" t="s">
        <v>392</v>
      </c>
      <c r="B123" s="5">
        <v>45911</v>
      </c>
      <c r="C123" s="1" t="s">
        <v>28</v>
      </c>
      <c r="D123" s="1" t="s">
        <v>46</v>
      </c>
      <c r="E123" s="1" t="s">
        <v>228</v>
      </c>
      <c r="F123" s="1" t="s">
        <v>393</v>
      </c>
      <c r="G123" s="1" t="s">
        <v>21</v>
      </c>
      <c r="H123" s="6">
        <v>1</v>
      </c>
      <c r="I123" s="7">
        <v>0</v>
      </c>
      <c r="J123" s="5">
        <v>45904</v>
      </c>
      <c r="K123" s="1" t="s">
        <v>30</v>
      </c>
      <c r="L123" s="8">
        <v>0</v>
      </c>
      <c r="M123" s="6"/>
      <c r="N123" s="6"/>
      <c r="O123" s="9">
        <v>-46</v>
      </c>
    </row>
    <row r="124" spans="1:15" ht="19.5" customHeight="1">
      <c r="A124" s="1" t="s">
        <v>85</v>
      </c>
      <c r="B124" s="5">
        <v>45911</v>
      </c>
      <c r="C124" s="1" t="s">
        <v>77</v>
      </c>
      <c r="D124" s="1" t="s">
        <v>82</v>
      </c>
      <c r="E124" s="1" t="s">
        <v>22</v>
      </c>
      <c r="F124" s="1" t="s">
        <v>22</v>
      </c>
      <c r="G124" s="1" t="s">
        <v>22</v>
      </c>
      <c r="H124" s="6">
        <v>0</v>
      </c>
      <c r="I124" s="7">
        <v>0</v>
      </c>
      <c r="J124" s="5">
        <v>45911</v>
      </c>
      <c r="K124" s="1" t="s">
        <v>22</v>
      </c>
      <c r="L124" s="8">
        <v>0</v>
      </c>
      <c r="M124" s="6"/>
      <c r="N124" s="6"/>
      <c r="O124" s="9">
        <v>-517.78</v>
      </c>
    </row>
    <row r="125" spans="1:15" ht="19.5" customHeight="1">
      <c r="A125" s="1" t="s">
        <v>83</v>
      </c>
      <c r="B125" s="5">
        <v>45911</v>
      </c>
      <c r="C125" s="1" t="s">
        <v>77</v>
      </c>
      <c r="D125" s="1" t="s">
        <v>84</v>
      </c>
      <c r="E125" s="1" t="s">
        <v>22</v>
      </c>
      <c r="F125" s="1" t="s">
        <v>22</v>
      </c>
      <c r="G125" s="1" t="s">
        <v>22</v>
      </c>
      <c r="H125" s="6">
        <v>0</v>
      </c>
      <c r="I125" s="7">
        <v>0</v>
      </c>
      <c r="J125" s="5">
        <v>45911</v>
      </c>
      <c r="K125" s="1" t="s">
        <v>22</v>
      </c>
      <c r="L125" s="8">
        <v>0</v>
      </c>
      <c r="M125" s="6"/>
      <c r="N125" s="6"/>
      <c r="O125" s="9">
        <v>-105.84</v>
      </c>
    </row>
    <row r="126" spans="1:15" ht="19.5" customHeight="1">
      <c r="A126" s="1" t="s">
        <v>81</v>
      </c>
      <c r="B126" s="5">
        <v>45911</v>
      </c>
      <c r="C126" s="1" t="s">
        <v>77</v>
      </c>
      <c r="D126" s="1" t="s">
        <v>82</v>
      </c>
      <c r="E126" s="1" t="s">
        <v>22</v>
      </c>
      <c r="F126" s="1" t="s">
        <v>22</v>
      </c>
      <c r="G126" s="1" t="s">
        <v>22</v>
      </c>
      <c r="H126" s="6">
        <v>0</v>
      </c>
      <c r="I126" s="7">
        <v>0</v>
      </c>
      <c r="J126" s="5">
        <v>45911</v>
      </c>
      <c r="K126" s="1" t="s">
        <v>22</v>
      </c>
      <c r="L126" s="8">
        <v>0</v>
      </c>
      <c r="M126" s="6"/>
      <c r="N126" s="6"/>
      <c r="O126" s="9">
        <v>-1917.96</v>
      </c>
    </row>
    <row r="127" spans="1:15" ht="19.5" customHeight="1">
      <c r="A127" s="1" t="s">
        <v>394</v>
      </c>
      <c r="B127" s="5">
        <v>45912</v>
      </c>
      <c r="C127" s="1" t="s">
        <v>28</v>
      </c>
      <c r="D127" s="1" t="s">
        <v>29</v>
      </c>
      <c r="E127" s="1" t="s">
        <v>223</v>
      </c>
      <c r="F127" s="1" t="s">
        <v>395</v>
      </c>
      <c r="G127" s="1" t="s">
        <v>21</v>
      </c>
      <c r="H127" s="6">
        <v>1</v>
      </c>
      <c r="I127" s="7">
        <v>0</v>
      </c>
      <c r="J127" s="5">
        <v>45904</v>
      </c>
      <c r="K127" s="1" t="s">
        <v>30</v>
      </c>
      <c r="L127" s="8">
        <v>0</v>
      </c>
      <c r="M127" s="6"/>
      <c r="N127" s="6"/>
      <c r="O127" s="9">
        <v>-46</v>
      </c>
    </row>
    <row r="128" spans="1:15" ht="19.5" customHeight="1">
      <c r="A128" s="1" t="s">
        <v>394</v>
      </c>
      <c r="B128" s="5">
        <v>45912</v>
      </c>
      <c r="C128" s="1" t="s">
        <v>17</v>
      </c>
      <c r="D128" s="1" t="s">
        <v>37</v>
      </c>
      <c r="E128" s="1" t="s">
        <v>223</v>
      </c>
      <c r="F128" s="1" t="s">
        <v>395</v>
      </c>
      <c r="G128" s="1" t="s">
        <v>21</v>
      </c>
      <c r="H128" s="6">
        <v>1</v>
      </c>
      <c r="I128" s="7">
        <v>0</v>
      </c>
      <c r="J128" s="5">
        <v>45904</v>
      </c>
      <c r="K128" s="1" t="s">
        <v>30</v>
      </c>
      <c r="L128" s="8">
        <v>0</v>
      </c>
      <c r="M128" s="6"/>
      <c r="N128" s="6"/>
      <c r="O128" s="9">
        <v>-7.42</v>
      </c>
    </row>
    <row r="129" spans="1:15" ht="19.5" customHeight="1">
      <c r="A129" s="1" t="s">
        <v>394</v>
      </c>
      <c r="B129" s="5">
        <v>45912</v>
      </c>
      <c r="C129" s="1" t="s">
        <v>28</v>
      </c>
      <c r="D129" s="1" t="s">
        <v>356</v>
      </c>
      <c r="E129" s="1" t="s">
        <v>223</v>
      </c>
      <c r="F129" s="1" t="s">
        <v>395</v>
      </c>
      <c r="G129" s="1" t="s">
        <v>21</v>
      </c>
      <c r="H129" s="6">
        <v>1</v>
      </c>
      <c r="I129" s="7">
        <v>0</v>
      </c>
      <c r="J129" s="5">
        <v>45904</v>
      </c>
      <c r="K129" s="1" t="s">
        <v>30</v>
      </c>
      <c r="L129" s="8">
        <v>0</v>
      </c>
      <c r="M129" s="6"/>
      <c r="N129" s="6"/>
      <c r="O129" s="9">
        <v>0</v>
      </c>
    </row>
    <row r="130" spans="1:15" ht="19.5" customHeight="1">
      <c r="A130" s="1" t="s">
        <v>394</v>
      </c>
      <c r="B130" s="5">
        <v>45912</v>
      </c>
      <c r="C130" s="1" t="s">
        <v>28</v>
      </c>
      <c r="D130" s="1" t="s">
        <v>46</v>
      </c>
      <c r="E130" s="1" t="s">
        <v>223</v>
      </c>
      <c r="F130" s="1" t="s">
        <v>395</v>
      </c>
      <c r="G130" s="1" t="s">
        <v>21</v>
      </c>
      <c r="H130" s="6">
        <v>1</v>
      </c>
      <c r="I130" s="7">
        <v>0</v>
      </c>
      <c r="J130" s="5">
        <v>45904</v>
      </c>
      <c r="K130" s="1" t="s">
        <v>30</v>
      </c>
      <c r="L130" s="8">
        <v>0</v>
      </c>
      <c r="M130" s="6"/>
      <c r="N130" s="6"/>
      <c r="O130" s="9">
        <v>-46</v>
      </c>
    </row>
    <row r="131" spans="1:15" ht="19.5" customHeight="1">
      <c r="A131" s="1" t="s">
        <v>394</v>
      </c>
      <c r="B131" s="5">
        <v>45912</v>
      </c>
      <c r="C131" s="1" t="s">
        <v>17</v>
      </c>
      <c r="D131" s="1" t="s">
        <v>47</v>
      </c>
      <c r="E131" s="1" t="s">
        <v>223</v>
      </c>
      <c r="F131" s="1" t="s">
        <v>395</v>
      </c>
      <c r="G131" s="1" t="s">
        <v>21</v>
      </c>
      <c r="H131" s="6">
        <v>1</v>
      </c>
      <c r="I131" s="7">
        <v>0</v>
      </c>
      <c r="J131" s="5">
        <v>45904</v>
      </c>
      <c r="K131" s="1" t="s">
        <v>30</v>
      </c>
      <c r="L131" s="8">
        <v>0</v>
      </c>
      <c r="M131" s="6"/>
      <c r="N131" s="6"/>
      <c r="O131" s="9">
        <v>-15</v>
      </c>
    </row>
    <row r="132" spans="1:15" ht="19.5" customHeight="1">
      <c r="A132" s="1" t="s">
        <v>396</v>
      </c>
      <c r="B132" s="5">
        <v>45912</v>
      </c>
      <c r="C132" s="1" t="s">
        <v>17</v>
      </c>
      <c r="D132" s="1" t="s">
        <v>18</v>
      </c>
      <c r="E132" s="1" t="s">
        <v>25</v>
      </c>
      <c r="F132" s="1" t="s">
        <v>26</v>
      </c>
      <c r="G132" s="1" t="s">
        <v>21</v>
      </c>
      <c r="H132" s="6">
        <v>1</v>
      </c>
      <c r="I132" s="7">
        <v>0</v>
      </c>
      <c r="J132" s="5">
        <v>45912</v>
      </c>
      <c r="K132" s="1" t="s">
        <v>22</v>
      </c>
      <c r="L132" s="8">
        <v>0</v>
      </c>
      <c r="M132" s="6"/>
      <c r="N132" s="6"/>
      <c r="O132" s="9">
        <v>-11.7</v>
      </c>
    </row>
    <row r="133" spans="1:15" ht="19.5" customHeight="1">
      <c r="A133" s="1" t="s">
        <v>397</v>
      </c>
      <c r="B133" s="5">
        <v>45912</v>
      </c>
      <c r="C133" s="1" t="s">
        <v>28</v>
      </c>
      <c r="D133" s="1" t="s">
        <v>29</v>
      </c>
      <c r="E133" s="1" t="s">
        <v>25</v>
      </c>
      <c r="F133" s="1" t="s">
        <v>26</v>
      </c>
      <c r="G133" s="1" t="s">
        <v>21</v>
      </c>
      <c r="H133" s="6">
        <v>1</v>
      </c>
      <c r="I133" s="7">
        <v>1118</v>
      </c>
      <c r="J133" s="5">
        <v>45909</v>
      </c>
      <c r="K133" s="1" t="s">
        <v>30</v>
      </c>
      <c r="L133" s="8">
        <v>0.2</v>
      </c>
      <c r="M133" s="6"/>
      <c r="N133" s="6"/>
      <c r="O133" s="9">
        <v>-46</v>
      </c>
    </row>
    <row r="134" spans="1:15" ht="19.5" customHeight="1">
      <c r="A134" s="1" t="s">
        <v>397</v>
      </c>
      <c r="B134" s="5">
        <v>45912</v>
      </c>
      <c r="C134" s="1" t="s">
        <v>31</v>
      </c>
      <c r="D134" s="1" t="s">
        <v>32</v>
      </c>
      <c r="E134" s="1" t="s">
        <v>25</v>
      </c>
      <c r="F134" s="1" t="s">
        <v>26</v>
      </c>
      <c r="G134" s="1" t="s">
        <v>21</v>
      </c>
      <c r="H134" s="6">
        <v>1</v>
      </c>
      <c r="I134" s="7">
        <v>1118</v>
      </c>
      <c r="J134" s="5">
        <v>45909</v>
      </c>
      <c r="K134" s="1" t="s">
        <v>30</v>
      </c>
      <c r="L134" s="8">
        <v>0</v>
      </c>
      <c r="M134" s="6"/>
      <c r="N134" s="6"/>
      <c r="O134" s="9">
        <v>417.38</v>
      </c>
    </row>
    <row r="135" spans="1:15" ht="19.5" customHeight="1">
      <c r="A135" s="1" t="s">
        <v>397</v>
      </c>
      <c r="B135" s="5">
        <v>45912</v>
      </c>
      <c r="C135" s="1" t="s">
        <v>31</v>
      </c>
      <c r="D135" s="1" t="s">
        <v>33</v>
      </c>
      <c r="E135" s="1" t="s">
        <v>25</v>
      </c>
      <c r="F135" s="1" t="s">
        <v>26</v>
      </c>
      <c r="G135" s="1" t="s">
        <v>21</v>
      </c>
      <c r="H135" s="6">
        <v>1</v>
      </c>
      <c r="I135" s="7">
        <v>1118</v>
      </c>
      <c r="J135" s="5">
        <v>45909</v>
      </c>
      <c r="K135" s="1" t="s">
        <v>30</v>
      </c>
      <c r="L135" s="8">
        <v>0</v>
      </c>
      <c r="M135" s="6"/>
      <c r="N135" s="6"/>
      <c r="O135" s="9">
        <v>3.07</v>
      </c>
    </row>
    <row r="136" spans="1:15" ht="19.5" customHeight="1">
      <c r="A136" s="1" t="s">
        <v>397</v>
      </c>
      <c r="B136" s="5">
        <v>45912</v>
      </c>
      <c r="C136" s="1" t="s">
        <v>31</v>
      </c>
      <c r="D136" s="1" t="s">
        <v>34</v>
      </c>
      <c r="E136" s="1" t="s">
        <v>25</v>
      </c>
      <c r="F136" s="1" t="s">
        <v>26</v>
      </c>
      <c r="G136" s="1" t="s">
        <v>21</v>
      </c>
      <c r="H136" s="6">
        <v>1</v>
      </c>
      <c r="I136" s="7">
        <v>1118</v>
      </c>
      <c r="J136" s="5">
        <v>45909</v>
      </c>
      <c r="K136" s="1" t="s">
        <v>30</v>
      </c>
      <c r="L136" s="8">
        <v>0</v>
      </c>
      <c r="M136" s="6"/>
      <c r="N136" s="6"/>
      <c r="O136" s="9">
        <v>697.55</v>
      </c>
    </row>
    <row r="137" spans="1:15" ht="19.5" customHeight="1">
      <c r="A137" s="1" t="s">
        <v>397</v>
      </c>
      <c r="B137" s="5">
        <v>45912</v>
      </c>
      <c r="C137" s="1" t="s">
        <v>35</v>
      </c>
      <c r="D137" s="1" t="s">
        <v>36</v>
      </c>
      <c r="E137" s="1" t="s">
        <v>25</v>
      </c>
      <c r="F137" s="1" t="s">
        <v>26</v>
      </c>
      <c r="G137" s="1" t="s">
        <v>21</v>
      </c>
      <c r="H137" s="6">
        <v>1</v>
      </c>
      <c r="I137" s="7">
        <v>1118</v>
      </c>
      <c r="J137" s="5">
        <v>45909</v>
      </c>
      <c r="K137" s="1" t="s">
        <v>30</v>
      </c>
      <c r="L137" s="8">
        <v>0.2</v>
      </c>
      <c r="M137" s="6"/>
      <c r="N137" s="6"/>
      <c r="O137" s="9">
        <v>-223.6</v>
      </c>
    </row>
    <row r="138" spans="1:15" ht="19.5" customHeight="1">
      <c r="A138" s="1" t="s">
        <v>397</v>
      </c>
      <c r="B138" s="5">
        <v>45912</v>
      </c>
      <c r="C138" s="1" t="s">
        <v>17</v>
      </c>
      <c r="D138" s="1" t="s">
        <v>37</v>
      </c>
      <c r="E138" s="1" t="s">
        <v>25</v>
      </c>
      <c r="F138" s="1" t="s">
        <v>26</v>
      </c>
      <c r="G138" s="1" t="s">
        <v>21</v>
      </c>
      <c r="H138" s="6">
        <v>1</v>
      </c>
      <c r="I138" s="7">
        <v>1118</v>
      </c>
      <c r="J138" s="5">
        <v>45909</v>
      </c>
      <c r="K138" s="1" t="s">
        <v>30</v>
      </c>
      <c r="L138" s="8">
        <v>0.2</v>
      </c>
      <c r="M138" s="6"/>
      <c r="N138" s="6"/>
      <c r="O138" s="9">
        <v>-9.23</v>
      </c>
    </row>
    <row r="139" spans="1:15" ht="19.5" customHeight="1">
      <c r="A139" s="1" t="s">
        <v>398</v>
      </c>
      <c r="B139" s="5">
        <v>45912</v>
      </c>
      <c r="C139" s="1" t="s">
        <v>28</v>
      </c>
      <c r="D139" s="1" t="s">
        <v>29</v>
      </c>
      <c r="E139" s="1" t="s">
        <v>19</v>
      </c>
      <c r="F139" s="1" t="s">
        <v>20</v>
      </c>
      <c r="G139" s="1" t="s">
        <v>21</v>
      </c>
      <c r="H139" s="6">
        <v>1</v>
      </c>
      <c r="I139" s="7">
        <v>1500</v>
      </c>
      <c r="J139" s="5">
        <v>45910</v>
      </c>
      <c r="K139" s="1" t="s">
        <v>30</v>
      </c>
      <c r="L139" s="8">
        <v>0.2</v>
      </c>
      <c r="M139" s="6"/>
      <c r="N139" s="6"/>
      <c r="O139" s="9">
        <v>-46</v>
      </c>
    </row>
    <row r="140" spans="1:15" ht="19.5" customHeight="1">
      <c r="A140" s="1" t="s">
        <v>398</v>
      </c>
      <c r="B140" s="5">
        <v>45912</v>
      </c>
      <c r="C140" s="1" t="s">
        <v>31</v>
      </c>
      <c r="D140" s="1" t="s">
        <v>32</v>
      </c>
      <c r="E140" s="1" t="s">
        <v>19</v>
      </c>
      <c r="F140" s="1" t="s">
        <v>20</v>
      </c>
      <c r="G140" s="1" t="s">
        <v>21</v>
      </c>
      <c r="H140" s="6">
        <v>1</v>
      </c>
      <c r="I140" s="7">
        <v>1500</v>
      </c>
      <c r="J140" s="5">
        <v>45910</v>
      </c>
      <c r="K140" s="1" t="s">
        <v>30</v>
      </c>
      <c r="L140" s="8">
        <v>0</v>
      </c>
      <c r="M140" s="6"/>
      <c r="N140" s="6"/>
      <c r="O140" s="9">
        <v>1001</v>
      </c>
    </row>
    <row r="141" spans="1:15" ht="19.5" customHeight="1">
      <c r="A141" s="1" t="s">
        <v>398</v>
      </c>
      <c r="B141" s="5">
        <v>45912</v>
      </c>
      <c r="C141" s="1" t="s">
        <v>31</v>
      </c>
      <c r="D141" s="1" t="s">
        <v>33</v>
      </c>
      <c r="E141" s="1" t="s">
        <v>19</v>
      </c>
      <c r="F141" s="1" t="s">
        <v>20</v>
      </c>
      <c r="G141" s="1" t="s">
        <v>21</v>
      </c>
      <c r="H141" s="6">
        <v>1</v>
      </c>
      <c r="I141" s="7">
        <v>1500</v>
      </c>
      <c r="J141" s="5">
        <v>45910</v>
      </c>
      <c r="K141" s="1" t="s">
        <v>30</v>
      </c>
      <c r="L141" s="8">
        <v>0</v>
      </c>
      <c r="M141" s="6"/>
      <c r="N141" s="6"/>
      <c r="O141" s="9">
        <v>0</v>
      </c>
    </row>
    <row r="142" spans="1:15" ht="19.5" customHeight="1">
      <c r="A142" s="1" t="s">
        <v>398</v>
      </c>
      <c r="B142" s="5">
        <v>45912</v>
      </c>
      <c r="C142" s="1" t="s">
        <v>31</v>
      </c>
      <c r="D142" s="1" t="s">
        <v>34</v>
      </c>
      <c r="E142" s="1" t="s">
        <v>19</v>
      </c>
      <c r="F142" s="1" t="s">
        <v>20</v>
      </c>
      <c r="G142" s="1" t="s">
        <v>21</v>
      </c>
      <c r="H142" s="6">
        <v>1</v>
      </c>
      <c r="I142" s="7">
        <v>1500</v>
      </c>
      <c r="J142" s="5">
        <v>45910</v>
      </c>
      <c r="K142" s="1" t="s">
        <v>30</v>
      </c>
      <c r="L142" s="8">
        <v>0</v>
      </c>
      <c r="M142" s="6"/>
      <c r="N142" s="6"/>
      <c r="O142" s="9">
        <v>499</v>
      </c>
    </row>
    <row r="143" spans="1:15" ht="19.5" customHeight="1">
      <c r="A143" s="1" t="s">
        <v>398</v>
      </c>
      <c r="B143" s="5">
        <v>45912</v>
      </c>
      <c r="C143" s="1" t="s">
        <v>35</v>
      </c>
      <c r="D143" s="1" t="s">
        <v>36</v>
      </c>
      <c r="E143" s="1" t="s">
        <v>19</v>
      </c>
      <c r="F143" s="1" t="s">
        <v>20</v>
      </c>
      <c r="G143" s="1" t="s">
        <v>21</v>
      </c>
      <c r="H143" s="6">
        <v>1</v>
      </c>
      <c r="I143" s="7">
        <v>1500</v>
      </c>
      <c r="J143" s="5">
        <v>45910</v>
      </c>
      <c r="K143" s="1" t="s">
        <v>30</v>
      </c>
      <c r="L143" s="8">
        <v>0.2</v>
      </c>
      <c r="M143" s="6"/>
      <c r="N143" s="6"/>
      <c r="O143" s="9">
        <v>-300</v>
      </c>
    </row>
    <row r="144" spans="1:15" ht="19.5" customHeight="1">
      <c r="A144" s="1" t="s">
        <v>399</v>
      </c>
      <c r="B144" s="5">
        <v>45912</v>
      </c>
      <c r="C144" s="1" t="s">
        <v>17</v>
      </c>
      <c r="D144" s="1" t="s">
        <v>18</v>
      </c>
      <c r="E144" s="1" t="s">
        <v>25</v>
      </c>
      <c r="F144" s="1" t="s">
        <v>26</v>
      </c>
      <c r="G144" s="1" t="s">
        <v>21</v>
      </c>
      <c r="H144" s="6">
        <v>1</v>
      </c>
      <c r="I144" s="7">
        <v>0</v>
      </c>
      <c r="J144" s="5">
        <v>45912</v>
      </c>
      <c r="K144" s="1" t="s">
        <v>22</v>
      </c>
      <c r="L144" s="8">
        <v>0</v>
      </c>
      <c r="M144" s="6"/>
      <c r="N144" s="6"/>
      <c r="O144" s="9">
        <v>-11.69</v>
      </c>
    </row>
    <row r="145" spans="1:15" ht="19.5" customHeight="1">
      <c r="A145" s="1" t="s">
        <v>83</v>
      </c>
      <c r="B145" s="5">
        <v>45912</v>
      </c>
      <c r="C145" s="1" t="s">
        <v>77</v>
      </c>
      <c r="D145" s="1" t="s">
        <v>84</v>
      </c>
      <c r="E145" s="1" t="s">
        <v>22</v>
      </c>
      <c r="F145" s="1" t="s">
        <v>22</v>
      </c>
      <c r="G145" s="1" t="s">
        <v>22</v>
      </c>
      <c r="H145" s="6">
        <v>0</v>
      </c>
      <c r="I145" s="7">
        <v>0</v>
      </c>
      <c r="J145" s="5">
        <v>45912</v>
      </c>
      <c r="K145" s="1" t="s">
        <v>22</v>
      </c>
      <c r="L145" s="8">
        <v>0</v>
      </c>
      <c r="M145" s="6"/>
      <c r="N145" s="6"/>
      <c r="O145" s="9">
        <v>-211.68</v>
      </c>
    </row>
    <row r="146" spans="1:15" ht="19.5" customHeight="1">
      <c r="A146" s="1" t="s">
        <v>81</v>
      </c>
      <c r="B146" s="5">
        <v>45912</v>
      </c>
      <c r="C146" s="1" t="s">
        <v>77</v>
      </c>
      <c r="D146" s="1" t="s">
        <v>82</v>
      </c>
      <c r="E146" s="1" t="s">
        <v>22</v>
      </c>
      <c r="F146" s="1" t="s">
        <v>22</v>
      </c>
      <c r="G146" s="1" t="s">
        <v>22</v>
      </c>
      <c r="H146" s="6">
        <v>0</v>
      </c>
      <c r="I146" s="7">
        <v>0</v>
      </c>
      <c r="J146" s="5">
        <v>45912</v>
      </c>
      <c r="K146" s="1" t="s">
        <v>22</v>
      </c>
      <c r="L146" s="8">
        <v>0</v>
      </c>
      <c r="M146" s="6"/>
      <c r="N146" s="6"/>
      <c r="O146" s="9">
        <v>-915.95</v>
      </c>
    </row>
    <row r="147" spans="1:15" ht="19.5" customHeight="1">
      <c r="A147" s="1" t="s">
        <v>400</v>
      </c>
      <c r="B147" s="5">
        <v>45913</v>
      </c>
      <c r="C147" s="1" t="s">
        <v>28</v>
      </c>
      <c r="D147" s="1" t="s">
        <v>29</v>
      </c>
      <c r="E147" s="1" t="s">
        <v>92</v>
      </c>
      <c r="F147" s="1" t="s">
        <v>93</v>
      </c>
      <c r="G147" s="1" t="s">
        <v>21</v>
      </c>
      <c r="H147" s="6">
        <v>1</v>
      </c>
      <c r="I147" s="7">
        <v>0</v>
      </c>
      <c r="J147" s="5">
        <v>45888</v>
      </c>
      <c r="K147" s="1" t="s">
        <v>30</v>
      </c>
      <c r="L147" s="8">
        <v>0</v>
      </c>
      <c r="M147" s="6"/>
      <c r="N147" s="6"/>
      <c r="O147" s="9">
        <v>-46</v>
      </c>
    </row>
    <row r="148" spans="1:15" ht="19.5" customHeight="1">
      <c r="A148" s="1" t="s">
        <v>400</v>
      </c>
      <c r="B148" s="5">
        <v>45913</v>
      </c>
      <c r="C148" s="1" t="s">
        <v>17</v>
      </c>
      <c r="D148" s="1" t="s">
        <v>37</v>
      </c>
      <c r="E148" s="1" t="s">
        <v>92</v>
      </c>
      <c r="F148" s="1" t="s">
        <v>93</v>
      </c>
      <c r="G148" s="1" t="s">
        <v>21</v>
      </c>
      <c r="H148" s="6">
        <v>1</v>
      </c>
      <c r="I148" s="7">
        <v>0</v>
      </c>
      <c r="J148" s="5">
        <v>45888</v>
      </c>
      <c r="K148" s="1" t="s">
        <v>30</v>
      </c>
      <c r="L148" s="8">
        <v>0</v>
      </c>
      <c r="M148" s="6"/>
      <c r="N148" s="6"/>
      <c r="O148" s="9">
        <v>-7.35</v>
      </c>
    </row>
    <row r="149" spans="1:15" ht="19.5" customHeight="1">
      <c r="A149" s="1" t="s">
        <v>400</v>
      </c>
      <c r="B149" s="5">
        <v>45913</v>
      </c>
      <c r="C149" s="1" t="s">
        <v>28</v>
      </c>
      <c r="D149" s="1" t="s">
        <v>45</v>
      </c>
      <c r="E149" s="1" t="s">
        <v>92</v>
      </c>
      <c r="F149" s="1" t="s">
        <v>93</v>
      </c>
      <c r="G149" s="1" t="s">
        <v>21</v>
      </c>
      <c r="H149" s="6">
        <v>1</v>
      </c>
      <c r="I149" s="7">
        <v>0</v>
      </c>
      <c r="J149" s="5">
        <v>45888</v>
      </c>
      <c r="K149" s="1" t="s">
        <v>30</v>
      </c>
      <c r="L149" s="8">
        <v>0</v>
      </c>
      <c r="M149" s="6"/>
      <c r="N149" s="6"/>
      <c r="O149" s="9">
        <v>0</v>
      </c>
    </row>
    <row r="150" spans="1:15" ht="19.5" customHeight="1">
      <c r="A150" s="1" t="s">
        <v>400</v>
      </c>
      <c r="B150" s="5">
        <v>45913</v>
      </c>
      <c r="C150" s="1" t="s">
        <v>28</v>
      </c>
      <c r="D150" s="1" t="s">
        <v>46</v>
      </c>
      <c r="E150" s="1" t="s">
        <v>92</v>
      </c>
      <c r="F150" s="1" t="s">
        <v>93</v>
      </c>
      <c r="G150" s="1" t="s">
        <v>21</v>
      </c>
      <c r="H150" s="6">
        <v>1</v>
      </c>
      <c r="I150" s="7">
        <v>0</v>
      </c>
      <c r="J150" s="5">
        <v>45888</v>
      </c>
      <c r="K150" s="1" t="s">
        <v>30</v>
      </c>
      <c r="L150" s="8">
        <v>0</v>
      </c>
      <c r="M150" s="6"/>
      <c r="N150" s="6"/>
      <c r="O150" s="9">
        <v>-46</v>
      </c>
    </row>
    <row r="151" spans="1:15" ht="19.5" customHeight="1">
      <c r="A151" s="1" t="s">
        <v>401</v>
      </c>
      <c r="B151" s="5">
        <v>45913</v>
      </c>
      <c r="C151" s="1" t="s">
        <v>17</v>
      </c>
      <c r="D151" s="1" t="s">
        <v>18</v>
      </c>
      <c r="E151" s="1" t="s">
        <v>227</v>
      </c>
      <c r="F151" s="1" t="s">
        <v>402</v>
      </c>
      <c r="G151" s="1" t="s">
        <v>21</v>
      </c>
      <c r="H151" s="6">
        <v>1</v>
      </c>
      <c r="I151" s="7">
        <v>0</v>
      </c>
      <c r="J151" s="5">
        <v>45913</v>
      </c>
      <c r="K151" s="1" t="s">
        <v>22</v>
      </c>
      <c r="L151" s="8">
        <v>0</v>
      </c>
      <c r="M151" s="6"/>
      <c r="N151" s="6"/>
      <c r="O151" s="9">
        <v>-17.37</v>
      </c>
    </row>
    <row r="152" spans="1:15" ht="19.5" customHeight="1">
      <c r="A152" s="1" t="s">
        <v>403</v>
      </c>
      <c r="B152" s="5">
        <v>45913</v>
      </c>
      <c r="C152" s="1" t="s">
        <v>17</v>
      </c>
      <c r="D152" s="1" t="s">
        <v>18</v>
      </c>
      <c r="E152" s="1" t="s">
        <v>25</v>
      </c>
      <c r="F152" s="1" t="s">
        <v>26</v>
      </c>
      <c r="G152" s="1" t="s">
        <v>21</v>
      </c>
      <c r="H152" s="6">
        <v>1</v>
      </c>
      <c r="I152" s="7">
        <v>0</v>
      </c>
      <c r="J152" s="5">
        <v>45913</v>
      </c>
      <c r="K152" s="1" t="s">
        <v>22</v>
      </c>
      <c r="L152" s="8">
        <v>0</v>
      </c>
      <c r="M152" s="6"/>
      <c r="N152" s="6"/>
      <c r="O152" s="9">
        <v>-11.65</v>
      </c>
    </row>
    <row r="153" spans="1:15" ht="19.5" customHeight="1">
      <c r="A153" s="1" t="s">
        <v>404</v>
      </c>
      <c r="B153" s="5">
        <v>45913</v>
      </c>
      <c r="C153" s="1" t="s">
        <v>17</v>
      </c>
      <c r="D153" s="1" t="s">
        <v>18</v>
      </c>
      <c r="E153" s="1" t="s">
        <v>228</v>
      </c>
      <c r="F153" s="1" t="s">
        <v>393</v>
      </c>
      <c r="G153" s="1" t="s">
        <v>21</v>
      </c>
      <c r="H153" s="6">
        <v>1</v>
      </c>
      <c r="I153" s="7">
        <v>0</v>
      </c>
      <c r="J153" s="5">
        <v>45913</v>
      </c>
      <c r="K153" s="1" t="s">
        <v>22</v>
      </c>
      <c r="L153" s="8">
        <v>0</v>
      </c>
      <c r="M153" s="6"/>
      <c r="N153" s="6"/>
      <c r="O153" s="9">
        <v>-17.29</v>
      </c>
    </row>
    <row r="154" spans="1:15" ht="19.5" customHeight="1">
      <c r="A154" s="1" t="s">
        <v>405</v>
      </c>
      <c r="B154" s="5">
        <v>45913</v>
      </c>
      <c r="C154" s="1" t="s">
        <v>28</v>
      </c>
      <c r="D154" s="1" t="s">
        <v>29</v>
      </c>
      <c r="E154" s="1" t="s">
        <v>54</v>
      </c>
      <c r="F154" s="1" t="s">
        <v>55</v>
      </c>
      <c r="G154" s="1" t="s">
        <v>21</v>
      </c>
      <c r="H154" s="6">
        <v>1</v>
      </c>
      <c r="I154" s="7">
        <v>1344</v>
      </c>
      <c r="J154" s="5">
        <v>45910</v>
      </c>
      <c r="K154" s="1" t="s">
        <v>30</v>
      </c>
      <c r="L154" s="8">
        <v>0.2</v>
      </c>
      <c r="M154" s="6"/>
      <c r="N154" s="6"/>
      <c r="O154" s="9">
        <v>-46</v>
      </c>
    </row>
    <row r="155" spans="1:15" ht="19.5" customHeight="1">
      <c r="A155" s="1" t="s">
        <v>405</v>
      </c>
      <c r="B155" s="5">
        <v>45913</v>
      </c>
      <c r="C155" s="1" t="s">
        <v>31</v>
      </c>
      <c r="D155" s="1" t="s">
        <v>32</v>
      </c>
      <c r="E155" s="1" t="s">
        <v>54</v>
      </c>
      <c r="F155" s="1" t="s">
        <v>55</v>
      </c>
      <c r="G155" s="1" t="s">
        <v>21</v>
      </c>
      <c r="H155" s="6">
        <v>1</v>
      </c>
      <c r="I155" s="7">
        <v>1344</v>
      </c>
      <c r="J155" s="5">
        <v>45910</v>
      </c>
      <c r="K155" s="1" t="s">
        <v>30</v>
      </c>
      <c r="L155" s="8">
        <v>0</v>
      </c>
      <c r="M155" s="6"/>
      <c r="N155" s="6"/>
      <c r="O155" s="9">
        <v>700.95</v>
      </c>
    </row>
    <row r="156" spans="1:15" ht="19.5" customHeight="1">
      <c r="A156" s="1" t="s">
        <v>405</v>
      </c>
      <c r="B156" s="5">
        <v>45913</v>
      </c>
      <c r="C156" s="1" t="s">
        <v>31</v>
      </c>
      <c r="D156" s="1" t="s">
        <v>33</v>
      </c>
      <c r="E156" s="1" t="s">
        <v>54</v>
      </c>
      <c r="F156" s="1" t="s">
        <v>55</v>
      </c>
      <c r="G156" s="1" t="s">
        <v>21</v>
      </c>
      <c r="H156" s="6">
        <v>1</v>
      </c>
      <c r="I156" s="7">
        <v>1344</v>
      </c>
      <c r="J156" s="5">
        <v>45910</v>
      </c>
      <c r="K156" s="1" t="s">
        <v>30</v>
      </c>
      <c r="L156" s="8">
        <v>0</v>
      </c>
      <c r="M156" s="6"/>
      <c r="N156" s="6"/>
      <c r="O156" s="9">
        <v>5.15</v>
      </c>
    </row>
    <row r="157" spans="1:15" ht="19.5" customHeight="1">
      <c r="A157" s="1" t="s">
        <v>405</v>
      </c>
      <c r="B157" s="5">
        <v>45913</v>
      </c>
      <c r="C157" s="1" t="s">
        <v>31</v>
      </c>
      <c r="D157" s="1" t="s">
        <v>34</v>
      </c>
      <c r="E157" s="1" t="s">
        <v>54</v>
      </c>
      <c r="F157" s="1" t="s">
        <v>55</v>
      </c>
      <c r="G157" s="1" t="s">
        <v>21</v>
      </c>
      <c r="H157" s="6">
        <v>1</v>
      </c>
      <c r="I157" s="7">
        <v>1344</v>
      </c>
      <c r="J157" s="5">
        <v>45910</v>
      </c>
      <c r="K157" s="1" t="s">
        <v>30</v>
      </c>
      <c r="L157" s="8">
        <v>0</v>
      </c>
      <c r="M157" s="6"/>
      <c r="N157" s="6"/>
      <c r="O157" s="9">
        <v>637.9</v>
      </c>
    </row>
    <row r="158" spans="1:15" ht="19.5" customHeight="1">
      <c r="A158" s="1" t="s">
        <v>405</v>
      </c>
      <c r="B158" s="5">
        <v>45913</v>
      </c>
      <c r="C158" s="1" t="s">
        <v>35</v>
      </c>
      <c r="D158" s="1" t="s">
        <v>36</v>
      </c>
      <c r="E158" s="1" t="s">
        <v>54</v>
      </c>
      <c r="F158" s="1" t="s">
        <v>55</v>
      </c>
      <c r="G158" s="1" t="s">
        <v>21</v>
      </c>
      <c r="H158" s="6">
        <v>1</v>
      </c>
      <c r="I158" s="7">
        <v>1344</v>
      </c>
      <c r="J158" s="5">
        <v>45910</v>
      </c>
      <c r="K158" s="1" t="s">
        <v>30</v>
      </c>
      <c r="L158" s="8">
        <v>0.2</v>
      </c>
      <c r="M158" s="6"/>
      <c r="N158" s="6"/>
      <c r="O158" s="9">
        <v>-268.8</v>
      </c>
    </row>
    <row r="159" spans="1:15" ht="19.5" customHeight="1">
      <c r="A159" s="1" t="s">
        <v>405</v>
      </c>
      <c r="B159" s="5">
        <v>45913</v>
      </c>
      <c r="C159" s="1" t="s">
        <v>17</v>
      </c>
      <c r="D159" s="1" t="s">
        <v>37</v>
      </c>
      <c r="E159" s="1" t="s">
        <v>54</v>
      </c>
      <c r="F159" s="1" t="s">
        <v>55</v>
      </c>
      <c r="G159" s="1" t="s">
        <v>21</v>
      </c>
      <c r="H159" s="6">
        <v>1</v>
      </c>
      <c r="I159" s="7">
        <v>1344</v>
      </c>
      <c r="J159" s="5">
        <v>45910</v>
      </c>
      <c r="K159" s="1" t="s">
        <v>30</v>
      </c>
      <c r="L159" s="8">
        <v>0.2</v>
      </c>
      <c r="M159" s="6"/>
      <c r="N159" s="6"/>
      <c r="O159" s="9">
        <v>-7</v>
      </c>
    </row>
    <row r="160" spans="1:15" ht="19.5" customHeight="1">
      <c r="A160" s="1" t="s">
        <v>405</v>
      </c>
      <c r="B160" s="5">
        <v>45913</v>
      </c>
      <c r="C160" s="1" t="s">
        <v>17</v>
      </c>
      <c r="D160" s="1" t="s">
        <v>18</v>
      </c>
      <c r="E160" s="1" t="s">
        <v>54</v>
      </c>
      <c r="F160" s="1" t="s">
        <v>55</v>
      </c>
      <c r="G160" s="1" t="s">
        <v>21</v>
      </c>
      <c r="H160" s="6">
        <v>1</v>
      </c>
      <c r="I160" s="7">
        <v>0</v>
      </c>
      <c r="J160" s="5">
        <v>45910</v>
      </c>
      <c r="K160" s="1" t="s">
        <v>22</v>
      </c>
      <c r="L160" s="8">
        <v>0</v>
      </c>
      <c r="M160" s="6"/>
      <c r="N160" s="6"/>
      <c r="O160" s="9">
        <v>-13.32</v>
      </c>
    </row>
    <row r="161" spans="1:15" ht="19.5" customHeight="1">
      <c r="A161" s="1" t="s">
        <v>406</v>
      </c>
      <c r="B161" s="5">
        <v>45913</v>
      </c>
      <c r="C161" s="1" t="s">
        <v>28</v>
      </c>
      <c r="D161" s="1" t="s">
        <v>29</v>
      </c>
      <c r="E161" s="1" t="s">
        <v>25</v>
      </c>
      <c r="F161" s="1" t="s">
        <v>26</v>
      </c>
      <c r="G161" s="1" t="s">
        <v>21</v>
      </c>
      <c r="H161" s="6">
        <v>1</v>
      </c>
      <c r="I161" s="7">
        <v>1176</v>
      </c>
      <c r="J161" s="5">
        <v>45912</v>
      </c>
      <c r="K161" s="1" t="s">
        <v>30</v>
      </c>
      <c r="L161" s="8">
        <v>0.2</v>
      </c>
      <c r="M161" s="6"/>
      <c r="N161" s="6"/>
      <c r="O161" s="9">
        <v>-46</v>
      </c>
    </row>
    <row r="162" spans="1:15" ht="19.5" customHeight="1">
      <c r="A162" s="1" t="s">
        <v>406</v>
      </c>
      <c r="B162" s="5">
        <v>45913</v>
      </c>
      <c r="C162" s="1" t="s">
        <v>31</v>
      </c>
      <c r="D162" s="1" t="s">
        <v>32</v>
      </c>
      <c r="E162" s="1" t="s">
        <v>25</v>
      </c>
      <c r="F162" s="1" t="s">
        <v>26</v>
      </c>
      <c r="G162" s="1" t="s">
        <v>21</v>
      </c>
      <c r="H162" s="6">
        <v>1</v>
      </c>
      <c r="I162" s="7">
        <v>1176</v>
      </c>
      <c r="J162" s="5">
        <v>45912</v>
      </c>
      <c r="K162" s="1" t="s">
        <v>30</v>
      </c>
      <c r="L162" s="8">
        <v>0</v>
      </c>
      <c r="M162" s="6"/>
      <c r="N162" s="6"/>
      <c r="O162" s="9">
        <v>615.02</v>
      </c>
    </row>
    <row r="163" spans="1:15" ht="19.5" customHeight="1">
      <c r="A163" s="1" t="s">
        <v>406</v>
      </c>
      <c r="B163" s="5">
        <v>45913</v>
      </c>
      <c r="C163" s="1" t="s">
        <v>31</v>
      </c>
      <c r="D163" s="1" t="s">
        <v>33</v>
      </c>
      <c r="E163" s="1" t="s">
        <v>25</v>
      </c>
      <c r="F163" s="1" t="s">
        <v>26</v>
      </c>
      <c r="G163" s="1" t="s">
        <v>21</v>
      </c>
      <c r="H163" s="6">
        <v>1</v>
      </c>
      <c r="I163" s="7">
        <v>1176</v>
      </c>
      <c r="J163" s="5">
        <v>45912</v>
      </c>
      <c r="K163" s="1" t="s">
        <v>30</v>
      </c>
      <c r="L163" s="8">
        <v>0</v>
      </c>
      <c r="M163" s="6"/>
      <c r="N163" s="6"/>
      <c r="O163" s="9">
        <v>4.5199999999999996</v>
      </c>
    </row>
    <row r="164" spans="1:15" ht="19.5" customHeight="1">
      <c r="A164" s="1" t="s">
        <v>406</v>
      </c>
      <c r="B164" s="5">
        <v>45913</v>
      </c>
      <c r="C164" s="1" t="s">
        <v>31</v>
      </c>
      <c r="D164" s="1" t="s">
        <v>34</v>
      </c>
      <c r="E164" s="1" t="s">
        <v>25</v>
      </c>
      <c r="F164" s="1" t="s">
        <v>26</v>
      </c>
      <c r="G164" s="1" t="s">
        <v>21</v>
      </c>
      <c r="H164" s="6">
        <v>1</v>
      </c>
      <c r="I164" s="7">
        <v>1176</v>
      </c>
      <c r="J164" s="5">
        <v>45912</v>
      </c>
      <c r="K164" s="1" t="s">
        <v>30</v>
      </c>
      <c r="L164" s="8">
        <v>0</v>
      </c>
      <c r="M164" s="6"/>
      <c r="N164" s="6"/>
      <c r="O164" s="9">
        <v>556.46</v>
      </c>
    </row>
    <row r="165" spans="1:15" ht="19.5" customHeight="1">
      <c r="A165" s="1" t="s">
        <v>406</v>
      </c>
      <c r="B165" s="5">
        <v>45913</v>
      </c>
      <c r="C165" s="1" t="s">
        <v>35</v>
      </c>
      <c r="D165" s="1" t="s">
        <v>36</v>
      </c>
      <c r="E165" s="1" t="s">
        <v>25</v>
      </c>
      <c r="F165" s="1" t="s">
        <v>26</v>
      </c>
      <c r="G165" s="1" t="s">
        <v>21</v>
      </c>
      <c r="H165" s="6">
        <v>1</v>
      </c>
      <c r="I165" s="7">
        <v>1176</v>
      </c>
      <c r="J165" s="5">
        <v>45912</v>
      </c>
      <c r="K165" s="1" t="s">
        <v>30</v>
      </c>
      <c r="L165" s="8">
        <v>0.2</v>
      </c>
      <c r="M165" s="6"/>
      <c r="N165" s="6"/>
      <c r="O165" s="9">
        <v>-235.2</v>
      </c>
    </row>
    <row r="166" spans="1:15" ht="19.5" customHeight="1">
      <c r="A166" s="1" t="s">
        <v>406</v>
      </c>
      <c r="B166" s="5">
        <v>45913</v>
      </c>
      <c r="C166" s="1" t="s">
        <v>17</v>
      </c>
      <c r="D166" s="1" t="s">
        <v>37</v>
      </c>
      <c r="E166" s="1" t="s">
        <v>25</v>
      </c>
      <c r="F166" s="1" t="s">
        <v>26</v>
      </c>
      <c r="G166" s="1" t="s">
        <v>21</v>
      </c>
      <c r="H166" s="6">
        <v>1</v>
      </c>
      <c r="I166" s="7">
        <v>1176</v>
      </c>
      <c r="J166" s="5">
        <v>45912</v>
      </c>
      <c r="K166" s="1" t="s">
        <v>30</v>
      </c>
      <c r="L166" s="8">
        <v>0.2</v>
      </c>
      <c r="M166" s="6"/>
      <c r="N166" s="6"/>
      <c r="O166" s="9">
        <v>-13.98</v>
      </c>
    </row>
    <row r="167" spans="1:15" ht="19.5" customHeight="1">
      <c r="A167" s="1" t="s">
        <v>407</v>
      </c>
      <c r="B167" s="5">
        <v>45913</v>
      </c>
      <c r="C167" s="1" t="s">
        <v>28</v>
      </c>
      <c r="D167" s="1" t="s">
        <v>29</v>
      </c>
      <c r="E167" s="1" t="s">
        <v>25</v>
      </c>
      <c r="F167" s="1" t="s">
        <v>26</v>
      </c>
      <c r="G167" s="1" t="s">
        <v>21</v>
      </c>
      <c r="H167" s="6">
        <v>1</v>
      </c>
      <c r="I167" s="7">
        <v>1176</v>
      </c>
      <c r="J167" s="5">
        <v>45912</v>
      </c>
      <c r="K167" s="1" t="s">
        <v>30</v>
      </c>
      <c r="L167" s="8">
        <v>0.2</v>
      </c>
      <c r="M167" s="6"/>
      <c r="N167" s="6"/>
      <c r="O167" s="9">
        <v>-46</v>
      </c>
    </row>
    <row r="168" spans="1:15" ht="19.5" customHeight="1">
      <c r="A168" s="1" t="s">
        <v>407</v>
      </c>
      <c r="B168" s="5">
        <v>45913</v>
      </c>
      <c r="C168" s="1" t="s">
        <v>31</v>
      </c>
      <c r="D168" s="1" t="s">
        <v>32</v>
      </c>
      <c r="E168" s="1" t="s">
        <v>25</v>
      </c>
      <c r="F168" s="1" t="s">
        <v>26</v>
      </c>
      <c r="G168" s="1" t="s">
        <v>21</v>
      </c>
      <c r="H168" s="6">
        <v>1</v>
      </c>
      <c r="I168" s="7">
        <v>1176</v>
      </c>
      <c r="J168" s="5">
        <v>45912</v>
      </c>
      <c r="K168" s="1" t="s">
        <v>30</v>
      </c>
      <c r="L168" s="8">
        <v>0</v>
      </c>
      <c r="M168" s="6"/>
      <c r="N168" s="6"/>
      <c r="O168" s="9">
        <v>620</v>
      </c>
    </row>
    <row r="169" spans="1:15" ht="19.5" customHeight="1">
      <c r="A169" s="1" t="s">
        <v>407</v>
      </c>
      <c r="B169" s="5">
        <v>45913</v>
      </c>
      <c r="C169" s="1" t="s">
        <v>31</v>
      </c>
      <c r="D169" s="1" t="s">
        <v>33</v>
      </c>
      <c r="E169" s="1" t="s">
        <v>25</v>
      </c>
      <c r="F169" s="1" t="s">
        <v>26</v>
      </c>
      <c r="G169" s="1" t="s">
        <v>21</v>
      </c>
      <c r="H169" s="6">
        <v>1</v>
      </c>
      <c r="I169" s="7">
        <v>1176</v>
      </c>
      <c r="J169" s="5">
        <v>45912</v>
      </c>
      <c r="K169" s="1" t="s">
        <v>30</v>
      </c>
      <c r="L169" s="8">
        <v>0</v>
      </c>
      <c r="M169" s="6"/>
      <c r="N169" s="6"/>
      <c r="O169" s="9">
        <v>4.5599999999999996</v>
      </c>
    </row>
    <row r="170" spans="1:15" ht="19.5" customHeight="1">
      <c r="A170" s="1" t="s">
        <v>407</v>
      </c>
      <c r="B170" s="5">
        <v>45913</v>
      </c>
      <c r="C170" s="1" t="s">
        <v>31</v>
      </c>
      <c r="D170" s="1" t="s">
        <v>34</v>
      </c>
      <c r="E170" s="1" t="s">
        <v>25</v>
      </c>
      <c r="F170" s="1" t="s">
        <v>26</v>
      </c>
      <c r="G170" s="1" t="s">
        <v>21</v>
      </c>
      <c r="H170" s="6">
        <v>1</v>
      </c>
      <c r="I170" s="7">
        <v>1176</v>
      </c>
      <c r="J170" s="5">
        <v>45912</v>
      </c>
      <c r="K170" s="1" t="s">
        <v>30</v>
      </c>
      <c r="L170" s="8">
        <v>0</v>
      </c>
      <c r="M170" s="6"/>
      <c r="N170" s="6"/>
      <c r="O170" s="9">
        <v>551.44000000000005</v>
      </c>
    </row>
    <row r="171" spans="1:15" ht="19.5" customHeight="1">
      <c r="A171" s="1" t="s">
        <v>407</v>
      </c>
      <c r="B171" s="5">
        <v>45913</v>
      </c>
      <c r="C171" s="1" t="s">
        <v>35</v>
      </c>
      <c r="D171" s="1" t="s">
        <v>36</v>
      </c>
      <c r="E171" s="1" t="s">
        <v>25</v>
      </c>
      <c r="F171" s="1" t="s">
        <v>26</v>
      </c>
      <c r="G171" s="1" t="s">
        <v>21</v>
      </c>
      <c r="H171" s="6">
        <v>1</v>
      </c>
      <c r="I171" s="7">
        <v>1176</v>
      </c>
      <c r="J171" s="5">
        <v>45912</v>
      </c>
      <c r="K171" s="1" t="s">
        <v>30</v>
      </c>
      <c r="L171" s="8">
        <v>0.2</v>
      </c>
      <c r="M171" s="6"/>
      <c r="N171" s="6"/>
      <c r="O171" s="9">
        <v>-235.2</v>
      </c>
    </row>
    <row r="172" spans="1:15" ht="19.5" customHeight="1">
      <c r="A172" s="1" t="s">
        <v>407</v>
      </c>
      <c r="B172" s="5">
        <v>45913</v>
      </c>
      <c r="C172" s="1" t="s">
        <v>17</v>
      </c>
      <c r="D172" s="1" t="s">
        <v>37</v>
      </c>
      <c r="E172" s="1" t="s">
        <v>25</v>
      </c>
      <c r="F172" s="1" t="s">
        <v>26</v>
      </c>
      <c r="G172" s="1" t="s">
        <v>21</v>
      </c>
      <c r="H172" s="6">
        <v>1</v>
      </c>
      <c r="I172" s="7">
        <v>1176</v>
      </c>
      <c r="J172" s="5">
        <v>45912</v>
      </c>
      <c r="K172" s="1" t="s">
        <v>30</v>
      </c>
      <c r="L172" s="8">
        <v>0.2</v>
      </c>
      <c r="M172" s="6"/>
      <c r="N172" s="6"/>
      <c r="O172" s="9">
        <v>-5.13</v>
      </c>
    </row>
    <row r="173" spans="1:15" ht="19.5" customHeight="1">
      <c r="A173" s="1" t="s">
        <v>407</v>
      </c>
      <c r="B173" s="5">
        <v>45913</v>
      </c>
      <c r="C173" s="1" t="s">
        <v>17</v>
      </c>
      <c r="D173" s="1" t="s">
        <v>18</v>
      </c>
      <c r="E173" s="1" t="s">
        <v>25</v>
      </c>
      <c r="F173" s="1" t="s">
        <v>26</v>
      </c>
      <c r="G173" s="1" t="s">
        <v>21</v>
      </c>
      <c r="H173" s="6">
        <v>1</v>
      </c>
      <c r="I173" s="7">
        <v>0</v>
      </c>
      <c r="J173" s="5">
        <v>45912</v>
      </c>
      <c r="K173" s="1" t="s">
        <v>22</v>
      </c>
      <c r="L173" s="8">
        <v>0</v>
      </c>
      <c r="M173" s="6"/>
      <c r="N173" s="6"/>
      <c r="O173" s="9">
        <v>-11.78</v>
      </c>
    </row>
    <row r="174" spans="1:15" ht="19.5" customHeight="1">
      <c r="A174" s="1" t="s">
        <v>408</v>
      </c>
      <c r="B174" s="5">
        <v>45913</v>
      </c>
      <c r="C174" s="1" t="s">
        <v>28</v>
      </c>
      <c r="D174" s="1" t="s">
        <v>29</v>
      </c>
      <c r="E174" s="1" t="s">
        <v>25</v>
      </c>
      <c r="F174" s="1" t="s">
        <v>26</v>
      </c>
      <c r="G174" s="1" t="s">
        <v>21</v>
      </c>
      <c r="H174" s="6">
        <v>1</v>
      </c>
      <c r="I174" s="7">
        <v>1176</v>
      </c>
      <c r="J174" s="5">
        <v>45910</v>
      </c>
      <c r="K174" s="1" t="s">
        <v>30</v>
      </c>
      <c r="L174" s="8">
        <v>0.2</v>
      </c>
      <c r="M174" s="6"/>
      <c r="N174" s="6"/>
      <c r="O174" s="9">
        <v>-46</v>
      </c>
    </row>
    <row r="175" spans="1:15" ht="19.5" customHeight="1">
      <c r="A175" s="1" t="s">
        <v>408</v>
      </c>
      <c r="B175" s="5">
        <v>45913</v>
      </c>
      <c r="C175" s="1" t="s">
        <v>31</v>
      </c>
      <c r="D175" s="1" t="s">
        <v>32</v>
      </c>
      <c r="E175" s="1" t="s">
        <v>25</v>
      </c>
      <c r="F175" s="1" t="s">
        <v>26</v>
      </c>
      <c r="G175" s="1" t="s">
        <v>21</v>
      </c>
      <c r="H175" s="6">
        <v>1</v>
      </c>
      <c r="I175" s="7">
        <v>1176</v>
      </c>
      <c r="J175" s="5">
        <v>45910</v>
      </c>
      <c r="K175" s="1" t="s">
        <v>30</v>
      </c>
      <c r="L175" s="8">
        <v>0</v>
      </c>
      <c r="M175" s="6"/>
      <c r="N175" s="6"/>
      <c r="O175" s="9">
        <v>586.57000000000005</v>
      </c>
    </row>
    <row r="176" spans="1:15" ht="19.5" customHeight="1">
      <c r="A176" s="1" t="s">
        <v>408</v>
      </c>
      <c r="B176" s="5">
        <v>45913</v>
      </c>
      <c r="C176" s="1" t="s">
        <v>31</v>
      </c>
      <c r="D176" s="1" t="s">
        <v>33</v>
      </c>
      <c r="E176" s="1" t="s">
        <v>25</v>
      </c>
      <c r="F176" s="1" t="s">
        <v>26</v>
      </c>
      <c r="G176" s="1" t="s">
        <v>21</v>
      </c>
      <c r="H176" s="6">
        <v>1</v>
      </c>
      <c r="I176" s="7">
        <v>1176</v>
      </c>
      <c r="J176" s="5">
        <v>45910</v>
      </c>
      <c r="K176" s="1" t="s">
        <v>30</v>
      </c>
      <c r="L176" s="8">
        <v>0</v>
      </c>
      <c r="M176" s="6"/>
      <c r="N176" s="6"/>
      <c r="O176" s="9">
        <v>4.3099999999999996</v>
      </c>
    </row>
    <row r="177" spans="1:15" ht="19.5" customHeight="1">
      <c r="A177" s="1" t="s">
        <v>408</v>
      </c>
      <c r="B177" s="5">
        <v>45913</v>
      </c>
      <c r="C177" s="1" t="s">
        <v>31</v>
      </c>
      <c r="D177" s="1" t="s">
        <v>34</v>
      </c>
      <c r="E177" s="1" t="s">
        <v>25</v>
      </c>
      <c r="F177" s="1" t="s">
        <v>26</v>
      </c>
      <c r="G177" s="1" t="s">
        <v>21</v>
      </c>
      <c r="H177" s="6">
        <v>1</v>
      </c>
      <c r="I177" s="7">
        <v>1176</v>
      </c>
      <c r="J177" s="5">
        <v>45910</v>
      </c>
      <c r="K177" s="1" t="s">
        <v>30</v>
      </c>
      <c r="L177" s="8">
        <v>0</v>
      </c>
      <c r="M177" s="6"/>
      <c r="N177" s="6"/>
      <c r="O177" s="9">
        <v>585.12</v>
      </c>
    </row>
    <row r="178" spans="1:15" ht="19.5" customHeight="1">
      <c r="A178" s="1" t="s">
        <v>408</v>
      </c>
      <c r="B178" s="5">
        <v>45913</v>
      </c>
      <c r="C178" s="1" t="s">
        <v>35</v>
      </c>
      <c r="D178" s="1" t="s">
        <v>36</v>
      </c>
      <c r="E178" s="1" t="s">
        <v>25</v>
      </c>
      <c r="F178" s="1" t="s">
        <v>26</v>
      </c>
      <c r="G178" s="1" t="s">
        <v>21</v>
      </c>
      <c r="H178" s="6">
        <v>1</v>
      </c>
      <c r="I178" s="7">
        <v>1176</v>
      </c>
      <c r="J178" s="5">
        <v>45910</v>
      </c>
      <c r="K178" s="1" t="s">
        <v>30</v>
      </c>
      <c r="L178" s="8">
        <v>0.2</v>
      </c>
      <c r="M178" s="6"/>
      <c r="N178" s="6"/>
      <c r="O178" s="9">
        <v>-235.2</v>
      </c>
    </row>
    <row r="179" spans="1:15" ht="19.5" customHeight="1">
      <c r="A179" s="1" t="s">
        <v>408</v>
      </c>
      <c r="B179" s="5">
        <v>45913</v>
      </c>
      <c r="C179" s="1" t="s">
        <v>17</v>
      </c>
      <c r="D179" s="1" t="s">
        <v>37</v>
      </c>
      <c r="E179" s="1" t="s">
        <v>25</v>
      </c>
      <c r="F179" s="1" t="s">
        <v>26</v>
      </c>
      <c r="G179" s="1" t="s">
        <v>21</v>
      </c>
      <c r="H179" s="6">
        <v>1</v>
      </c>
      <c r="I179" s="7">
        <v>1176</v>
      </c>
      <c r="J179" s="5">
        <v>45910</v>
      </c>
      <c r="K179" s="1" t="s">
        <v>30</v>
      </c>
      <c r="L179" s="8">
        <v>0.2</v>
      </c>
      <c r="M179" s="6"/>
      <c r="N179" s="6"/>
      <c r="O179" s="9">
        <v>-4.17</v>
      </c>
    </row>
    <row r="180" spans="1:15" ht="19.5" customHeight="1">
      <c r="A180" s="1" t="s">
        <v>408</v>
      </c>
      <c r="B180" s="5">
        <v>45913</v>
      </c>
      <c r="C180" s="1" t="s">
        <v>17</v>
      </c>
      <c r="D180" s="1" t="s">
        <v>18</v>
      </c>
      <c r="E180" s="1" t="s">
        <v>25</v>
      </c>
      <c r="F180" s="1" t="s">
        <v>26</v>
      </c>
      <c r="G180" s="1" t="s">
        <v>21</v>
      </c>
      <c r="H180" s="6">
        <v>1</v>
      </c>
      <c r="I180" s="7">
        <v>0</v>
      </c>
      <c r="J180" s="5">
        <v>45910</v>
      </c>
      <c r="K180" s="1" t="s">
        <v>22</v>
      </c>
      <c r="L180" s="8">
        <v>0</v>
      </c>
      <c r="M180" s="6"/>
      <c r="N180" s="6"/>
      <c r="O180" s="9">
        <v>-11.14</v>
      </c>
    </row>
    <row r="181" spans="1:15" ht="19.5" customHeight="1">
      <c r="A181" s="1" t="s">
        <v>409</v>
      </c>
      <c r="B181" s="5">
        <v>45913</v>
      </c>
      <c r="C181" s="1" t="s">
        <v>28</v>
      </c>
      <c r="D181" s="1" t="s">
        <v>29</v>
      </c>
      <c r="E181" s="1" t="s">
        <v>25</v>
      </c>
      <c r="F181" s="1" t="s">
        <v>26</v>
      </c>
      <c r="G181" s="1" t="s">
        <v>21</v>
      </c>
      <c r="H181" s="6">
        <v>1</v>
      </c>
      <c r="I181" s="7">
        <v>1176</v>
      </c>
      <c r="J181" s="5">
        <v>45910</v>
      </c>
      <c r="K181" s="1" t="s">
        <v>30</v>
      </c>
      <c r="L181" s="8">
        <v>0.2</v>
      </c>
      <c r="M181" s="6"/>
      <c r="N181" s="6"/>
      <c r="O181" s="9">
        <v>-46</v>
      </c>
    </row>
    <row r="182" spans="1:15" ht="19.5" customHeight="1">
      <c r="A182" s="1" t="s">
        <v>409</v>
      </c>
      <c r="B182" s="5">
        <v>45913</v>
      </c>
      <c r="C182" s="1" t="s">
        <v>31</v>
      </c>
      <c r="D182" s="1" t="s">
        <v>32</v>
      </c>
      <c r="E182" s="1" t="s">
        <v>25</v>
      </c>
      <c r="F182" s="1" t="s">
        <v>26</v>
      </c>
      <c r="G182" s="1" t="s">
        <v>21</v>
      </c>
      <c r="H182" s="6">
        <v>1</v>
      </c>
      <c r="I182" s="7">
        <v>1176</v>
      </c>
      <c r="J182" s="5">
        <v>45910</v>
      </c>
      <c r="K182" s="1" t="s">
        <v>30</v>
      </c>
      <c r="L182" s="8">
        <v>0</v>
      </c>
      <c r="M182" s="6"/>
      <c r="N182" s="6"/>
      <c r="O182" s="9">
        <v>591.86</v>
      </c>
    </row>
    <row r="183" spans="1:15" ht="19.5" customHeight="1">
      <c r="A183" s="1" t="s">
        <v>409</v>
      </c>
      <c r="B183" s="5">
        <v>45913</v>
      </c>
      <c r="C183" s="1" t="s">
        <v>31</v>
      </c>
      <c r="D183" s="1" t="s">
        <v>33</v>
      </c>
      <c r="E183" s="1" t="s">
        <v>25</v>
      </c>
      <c r="F183" s="1" t="s">
        <v>26</v>
      </c>
      <c r="G183" s="1" t="s">
        <v>21</v>
      </c>
      <c r="H183" s="6">
        <v>1</v>
      </c>
      <c r="I183" s="7">
        <v>1176</v>
      </c>
      <c r="J183" s="5">
        <v>45910</v>
      </c>
      <c r="K183" s="1" t="s">
        <v>30</v>
      </c>
      <c r="L183" s="8">
        <v>0</v>
      </c>
      <c r="M183" s="6"/>
      <c r="N183" s="6"/>
      <c r="O183" s="9">
        <v>4.3499999999999996</v>
      </c>
    </row>
    <row r="184" spans="1:15" ht="19.5" customHeight="1">
      <c r="A184" s="1" t="s">
        <v>409</v>
      </c>
      <c r="B184" s="5">
        <v>45913</v>
      </c>
      <c r="C184" s="1" t="s">
        <v>31</v>
      </c>
      <c r="D184" s="1" t="s">
        <v>34</v>
      </c>
      <c r="E184" s="1" t="s">
        <v>25</v>
      </c>
      <c r="F184" s="1" t="s">
        <v>26</v>
      </c>
      <c r="G184" s="1" t="s">
        <v>21</v>
      </c>
      <c r="H184" s="6">
        <v>1</v>
      </c>
      <c r="I184" s="7">
        <v>1176</v>
      </c>
      <c r="J184" s="5">
        <v>45910</v>
      </c>
      <c r="K184" s="1" t="s">
        <v>30</v>
      </c>
      <c r="L184" s="8">
        <v>0</v>
      </c>
      <c r="M184" s="6"/>
      <c r="N184" s="6"/>
      <c r="O184" s="9">
        <v>579.79</v>
      </c>
    </row>
    <row r="185" spans="1:15" ht="19.5" customHeight="1">
      <c r="A185" s="1" t="s">
        <v>409</v>
      </c>
      <c r="B185" s="5">
        <v>45913</v>
      </c>
      <c r="C185" s="1" t="s">
        <v>35</v>
      </c>
      <c r="D185" s="1" t="s">
        <v>36</v>
      </c>
      <c r="E185" s="1" t="s">
        <v>25</v>
      </c>
      <c r="F185" s="1" t="s">
        <v>26</v>
      </c>
      <c r="G185" s="1" t="s">
        <v>21</v>
      </c>
      <c r="H185" s="6">
        <v>1</v>
      </c>
      <c r="I185" s="7">
        <v>1176</v>
      </c>
      <c r="J185" s="5">
        <v>45910</v>
      </c>
      <c r="K185" s="1" t="s">
        <v>30</v>
      </c>
      <c r="L185" s="8">
        <v>0.2</v>
      </c>
      <c r="M185" s="6"/>
      <c r="N185" s="6"/>
      <c r="O185" s="9">
        <v>-235.2</v>
      </c>
    </row>
    <row r="186" spans="1:15" ht="19.5" customHeight="1">
      <c r="A186" s="1" t="s">
        <v>409</v>
      </c>
      <c r="B186" s="5">
        <v>45913</v>
      </c>
      <c r="C186" s="1" t="s">
        <v>17</v>
      </c>
      <c r="D186" s="1" t="s">
        <v>37</v>
      </c>
      <c r="E186" s="1" t="s">
        <v>25</v>
      </c>
      <c r="F186" s="1" t="s">
        <v>26</v>
      </c>
      <c r="G186" s="1" t="s">
        <v>21</v>
      </c>
      <c r="H186" s="6">
        <v>1</v>
      </c>
      <c r="I186" s="7">
        <v>1176</v>
      </c>
      <c r="J186" s="5">
        <v>45910</v>
      </c>
      <c r="K186" s="1" t="s">
        <v>30</v>
      </c>
      <c r="L186" s="8">
        <v>0.2</v>
      </c>
      <c r="M186" s="6"/>
      <c r="N186" s="6"/>
      <c r="O186" s="9">
        <v>-6.55</v>
      </c>
    </row>
    <row r="187" spans="1:15" ht="19.5" customHeight="1">
      <c r="A187" s="1" t="s">
        <v>410</v>
      </c>
      <c r="B187" s="5">
        <v>45913</v>
      </c>
      <c r="C187" s="1" t="s">
        <v>28</v>
      </c>
      <c r="D187" s="1" t="s">
        <v>29</v>
      </c>
      <c r="E187" s="1" t="s">
        <v>25</v>
      </c>
      <c r="F187" s="1" t="s">
        <v>26</v>
      </c>
      <c r="G187" s="1" t="s">
        <v>21</v>
      </c>
      <c r="H187" s="6">
        <v>1</v>
      </c>
      <c r="I187" s="7">
        <v>1176</v>
      </c>
      <c r="J187" s="5">
        <v>45909</v>
      </c>
      <c r="K187" s="1" t="s">
        <v>30</v>
      </c>
      <c r="L187" s="8">
        <v>0.2</v>
      </c>
      <c r="M187" s="6"/>
      <c r="N187" s="6"/>
      <c r="O187" s="9">
        <v>-46</v>
      </c>
    </row>
    <row r="188" spans="1:15" ht="19.5" customHeight="1">
      <c r="A188" s="1" t="s">
        <v>410</v>
      </c>
      <c r="B188" s="5">
        <v>45913</v>
      </c>
      <c r="C188" s="1" t="s">
        <v>31</v>
      </c>
      <c r="D188" s="1" t="s">
        <v>32</v>
      </c>
      <c r="E188" s="1" t="s">
        <v>25</v>
      </c>
      <c r="F188" s="1" t="s">
        <v>26</v>
      </c>
      <c r="G188" s="1" t="s">
        <v>21</v>
      </c>
      <c r="H188" s="6">
        <v>1</v>
      </c>
      <c r="I188" s="7">
        <v>1176</v>
      </c>
      <c r="J188" s="5">
        <v>45909</v>
      </c>
      <c r="K188" s="1" t="s">
        <v>30</v>
      </c>
      <c r="L188" s="8">
        <v>0</v>
      </c>
      <c r="M188" s="6"/>
      <c r="N188" s="6"/>
      <c r="O188" s="9">
        <v>647.39</v>
      </c>
    </row>
    <row r="189" spans="1:15" ht="19.5" customHeight="1">
      <c r="A189" s="1" t="s">
        <v>410</v>
      </c>
      <c r="B189" s="5">
        <v>45913</v>
      </c>
      <c r="C189" s="1" t="s">
        <v>31</v>
      </c>
      <c r="D189" s="1" t="s">
        <v>33</v>
      </c>
      <c r="E189" s="1" t="s">
        <v>25</v>
      </c>
      <c r="F189" s="1" t="s">
        <v>26</v>
      </c>
      <c r="G189" s="1" t="s">
        <v>21</v>
      </c>
      <c r="H189" s="6">
        <v>1</v>
      </c>
      <c r="I189" s="7">
        <v>1176</v>
      </c>
      <c r="J189" s="5">
        <v>45909</v>
      </c>
      <c r="K189" s="1" t="s">
        <v>30</v>
      </c>
      <c r="L189" s="8">
        <v>0</v>
      </c>
      <c r="M189" s="6"/>
      <c r="N189" s="6"/>
      <c r="O189" s="9">
        <v>0</v>
      </c>
    </row>
    <row r="190" spans="1:15" ht="19.5" customHeight="1">
      <c r="A190" s="1" t="s">
        <v>410</v>
      </c>
      <c r="B190" s="5">
        <v>45913</v>
      </c>
      <c r="C190" s="1" t="s">
        <v>31</v>
      </c>
      <c r="D190" s="1" t="s">
        <v>34</v>
      </c>
      <c r="E190" s="1" t="s">
        <v>25</v>
      </c>
      <c r="F190" s="1" t="s">
        <v>26</v>
      </c>
      <c r="G190" s="1" t="s">
        <v>21</v>
      </c>
      <c r="H190" s="6">
        <v>1</v>
      </c>
      <c r="I190" s="7">
        <v>1176</v>
      </c>
      <c r="J190" s="5">
        <v>45909</v>
      </c>
      <c r="K190" s="1" t="s">
        <v>30</v>
      </c>
      <c r="L190" s="8">
        <v>0</v>
      </c>
      <c r="M190" s="6"/>
      <c r="N190" s="6"/>
      <c r="O190" s="9">
        <v>528.61</v>
      </c>
    </row>
    <row r="191" spans="1:15" ht="19.5" customHeight="1">
      <c r="A191" s="1" t="s">
        <v>410</v>
      </c>
      <c r="B191" s="5">
        <v>45913</v>
      </c>
      <c r="C191" s="1" t="s">
        <v>35</v>
      </c>
      <c r="D191" s="1" t="s">
        <v>36</v>
      </c>
      <c r="E191" s="1" t="s">
        <v>25</v>
      </c>
      <c r="F191" s="1" t="s">
        <v>26</v>
      </c>
      <c r="G191" s="1" t="s">
        <v>21</v>
      </c>
      <c r="H191" s="6">
        <v>1</v>
      </c>
      <c r="I191" s="7">
        <v>1176</v>
      </c>
      <c r="J191" s="5">
        <v>45909</v>
      </c>
      <c r="K191" s="1" t="s">
        <v>30</v>
      </c>
      <c r="L191" s="8">
        <v>0.2</v>
      </c>
      <c r="M191" s="6"/>
      <c r="N191" s="6"/>
      <c r="O191" s="9">
        <v>-235.2</v>
      </c>
    </row>
    <row r="192" spans="1:15" ht="19.5" customHeight="1">
      <c r="A192" s="1" t="s">
        <v>410</v>
      </c>
      <c r="B192" s="5">
        <v>45913</v>
      </c>
      <c r="C192" s="1" t="s">
        <v>17</v>
      </c>
      <c r="D192" s="1" t="s">
        <v>37</v>
      </c>
      <c r="E192" s="1" t="s">
        <v>25</v>
      </c>
      <c r="F192" s="1" t="s">
        <v>26</v>
      </c>
      <c r="G192" s="1" t="s">
        <v>21</v>
      </c>
      <c r="H192" s="6">
        <v>1</v>
      </c>
      <c r="I192" s="7">
        <v>1176</v>
      </c>
      <c r="J192" s="5">
        <v>45909</v>
      </c>
      <c r="K192" s="1" t="s">
        <v>30</v>
      </c>
      <c r="L192" s="8">
        <v>0.2</v>
      </c>
      <c r="M192" s="6"/>
      <c r="N192" s="6"/>
      <c r="O192" s="9">
        <v>-4.24</v>
      </c>
    </row>
    <row r="193" spans="1:15" ht="19.5" customHeight="1">
      <c r="A193" s="1" t="s">
        <v>411</v>
      </c>
      <c r="B193" s="5">
        <v>45913</v>
      </c>
      <c r="C193" s="1" t="s">
        <v>17</v>
      </c>
      <c r="D193" s="1" t="s">
        <v>18</v>
      </c>
      <c r="E193" s="1" t="s">
        <v>222</v>
      </c>
      <c r="F193" s="1" t="s">
        <v>412</v>
      </c>
      <c r="G193" s="1" t="s">
        <v>21</v>
      </c>
      <c r="H193" s="6">
        <v>1</v>
      </c>
      <c r="I193" s="7">
        <v>0</v>
      </c>
      <c r="J193" s="5">
        <v>45913</v>
      </c>
      <c r="K193" s="1" t="s">
        <v>22</v>
      </c>
      <c r="L193" s="8">
        <v>0</v>
      </c>
      <c r="M193" s="6"/>
      <c r="N193" s="6"/>
      <c r="O193" s="9">
        <v>-6.96</v>
      </c>
    </row>
    <row r="194" spans="1:15" ht="19.5" customHeight="1">
      <c r="A194" s="1" t="s">
        <v>83</v>
      </c>
      <c r="B194" s="5">
        <v>45913</v>
      </c>
      <c r="C194" s="1" t="s">
        <v>77</v>
      </c>
      <c r="D194" s="1" t="s">
        <v>84</v>
      </c>
      <c r="E194" s="1" t="s">
        <v>22</v>
      </c>
      <c r="F194" s="1" t="s">
        <v>22</v>
      </c>
      <c r="G194" s="1" t="s">
        <v>22</v>
      </c>
      <c r="H194" s="6">
        <v>0</v>
      </c>
      <c r="I194" s="7">
        <v>0</v>
      </c>
      <c r="J194" s="5">
        <v>45913</v>
      </c>
      <c r="K194" s="1" t="s">
        <v>22</v>
      </c>
      <c r="L194" s="8">
        <v>0</v>
      </c>
      <c r="M194" s="6"/>
      <c r="N194" s="6"/>
      <c r="O194" s="9">
        <v>-598.67999999999995</v>
      </c>
    </row>
    <row r="195" spans="1:15" ht="19.5" customHeight="1">
      <c r="A195" s="1" t="s">
        <v>81</v>
      </c>
      <c r="B195" s="5">
        <v>45913</v>
      </c>
      <c r="C195" s="1" t="s">
        <v>77</v>
      </c>
      <c r="D195" s="1" t="s">
        <v>82</v>
      </c>
      <c r="E195" s="1" t="s">
        <v>22</v>
      </c>
      <c r="F195" s="1" t="s">
        <v>22</v>
      </c>
      <c r="G195" s="1" t="s">
        <v>22</v>
      </c>
      <c r="H195" s="6">
        <v>0</v>
      </c>
      <c r="I195" s="7">
        <v>0</v>
      </c>
      <c r="J195" s="5">
        <v>45913</v>
      </c>
      <c r="K195" s="1" t="s">
        <v>22</v>
      </c>
      <c r="L195" s="8">
        <v>0</v>
      </c>
      <c r="M195" s="6"/>
      <c r="N195" s="6"/>
      <c r="O195" s="9">
        <v>-2266.62</v>
      </c>
    </row>
    <row r="196" spans="1:15" ht="19.5" customHeight="1">
      <c r="A196" s="1" t="s">
        <v>413</v>
      </c>
      <c r="B196" s="5">
        <v>45914</v>
      </c>
      <c r="C196" s="1" t="s">
        <v>28</v>
      </c>
      <c r="D196" s="1" t="s">
        <v>356</v>
      </c>
      <c r="E196" s="1" t="s">
        <v>25</v>
      </c>
      <c r="F196" s="1" t="s">
        <v>26</v>
      </c>
      <c r="G196" s="1" t="s">
        <v>21</v>
      </c>
      <c r="H196" s="6">
        <v>1</v>
      </c>
      <c r="I196" s="7">
        <v>0</v>
      </c>
      <c r="J196" s="5">
        <v>45903</v>
      </c>
      <c r="K196" s="1" t="s">
        <v>30</v>
      </c>
      <c r="L196" s="8">
        <v>0</v>
      </c>
      <c r="M196" s="6"/>
      <c r="N196" s="6"/>
      <c r="O196" s="9">
        <v>0</v>
      </c>
    </row>
    <row r="197" spans="1:15" ht="19.5" customHeight="1">
      <c r="A197" s="1" t="s">
        <v>413</v>
      </c>
      <c r="B197" s="5">
        <v>45914</v>
      </c>
      <c r="C197" s="1" t="s">
        <v>28</v>
      </c>
      <c r="D197" s="1" t="s">
        <v>46</v>
      </c>
      <c r="E197" s="1" t="s">
        <v>25</v>
      </c>
      <c r="F197" s="1" t="s">
        <v>26</v>
      </c>
      <c r="G197" s="1" t="s">
        <v>21</v>
      </c>
      <c r="H197" s="6">
        <v>1</v>
      </c>
      <c r="I197" s="7">
        <v>0</v>
      </c>
      <c r="J197" s="5">
        <v>45903</v>
      </c>
      <c r="K197" s="1" t="s">
        <v>30</v>
      </c>
      <c r="L197" s="8">
        <v>0</v>
      </c>
      <c r="M197" s="6"/>
      <c r="N197" s="6"/>
      <c r="O197" s="9">
        <v>-46</v>
      </c>
    </row>
    <row r="198" spans="1:15" ht="19.5" customHeight="1">
      <c r="A198" s="1" t="s">
        <v>413</v>
      </c>
      <c r="B198" s="5">
        <v>45914</v>
      </c>
      <c r="C198" s="1" t="s">
        <v>17</v>
      </c>
      <c r="D198" s="1" t="s">
        <v>47</v>
      </c>
      <c r="E198" s="1" t="s">
        <v>25</v>
      </c>
      <c r="F198" s="1" t="s">
        <v>26</v>
      </c>
      <c r="G198" s="1" t="s">
        <v>21</v>
      </c>
      <c r="H198" s="6">
        <v>1</v>
      </c>
      <c r="I198" s="7">
        <v>0</v>
      </c>
      <c r="J198" s="5">
        <v>45903</v>
      </c>
      <c r="K198" s="1" t="s">
        <v>30</v>
      </c>
      <c r="L198" s="8">
        <v>0</v>
      </c>
      <c r="M198" s="6"/>
      <c r="N198" s="6"/>
      <c r="O198" s="9">
        <v>-15</v>
      </c>
    </row>
    <row r="199" spans="1:15" ht="19.5" customHeight="1">
      <c r="A199" s="1" t="s">
        <v>413</v>
      </c>
      <c r="B199" s="5">
        <v>45914</v>
      </c>
      <c r="C199" s="1" t="s">
        <v>28</v>
      </c>
      <c r="D199" s="1" t="s">
        <v>29</v>
      </c>
      <c r="E199" s="1" t="s">
        <v>25</v>
      </c>
      <c r="F199" s="1" t="s">
        <v>26</v>
      </c>
      <c r="G199" s="1" t="s">
        <v>21</v>
      </c>
      <c r="H199" s="6">
        <v>1</v>
      </c>
      <c r="I199" s="7">
        <v>0</v>
      </c>
      <c r="J199" s="5">
        <v>45903</v>
      </c>
      <c r="K199" s="1" t="s">
        <v>30</v>
      </c>
      <c r="L199" s="8">
        <v>0</v>
      </c>
      <c r="M199" s="6"/>
      <c r="N199" s="6"/>
      <c r="O199" s="9">
        <v>-46</v>
      </c>
    </row>
    <row r="200" spans="1:15" ht="19.5" customHeight="1">
      <c r="A200" s="1" t="s">
        <v>414</v>
      </c>
      <c r="B200" s="5">
        <v>45914</v>
      </c>
      <c r="C200" s="1" t="s">
        <v>17</v>
      </c>
      <c r="D200" s="1" t="s">
        <v>18</v>
      </c>
      <c r="E200" s="1" t="s">
        <v>25</v>
      </c>
      <c r="F200" s="1" t="s">
        <v>26</v>
      </c>
      <c r="G200" s="1" t="s">
        <v>21</v>
      </c>
      <c r="H200" s="6">
        <v>1</v>
      </c>
      <c r="I200" s="7">
        <v>0</v>
      </c>
      <c r="J200" s="5">
        <v>45914</v>
      </c>
      <c r="K200" s="1" t="s">
        <v>22</v>
      </c>
      <c r="L200" s="8">
        <v>0</v>
      </c>
      <c r="M200" s="6"/>
      <c r="N200" s="6"/>
      <c r="O200" s="9">
        <v>-2.75</v>
      </c>
    </row>
    <row r="201" spans="1:15" ht="19.5" customHeight="1">
      <c r="A201" s="1" t="s">
        <v>415</v>
      </c>
      <c r="B201" s="5">
        <v>45914</v>
      </c>
      <c r="C201" s="1" t="s">
        <v>17</v>
      </c>
      <c r="D201" s="1" t="s">
        <v>18</v>
      </c>
      <c r="E201" s="1" t="s">
        <v>25</v>
      </c>
      <c r="F201" s="1" t="s">
        <v>26</v>
      </c>
      <c r="G201" s="1" t="s">
        <v>21</v>
      </c>
      <c r="H201" s="6">
        <v>1</v>
      </c>
      <c r="I201" s="7">
        <v>0</v>
      </c>
      <c r="J201" s="5">
        <v>45914</v>
      </c>
      <c r="K201" s="1" t="s">
        <v>22</v>
      </c>
      <c r="L201" s="8">
        <v>0</v>
      </c>
      <c r="M201" s="6"/>
      <c r="N201" s="6"/>
      <c r="O201" s="9">
        <v>-3.7</v>
      </c>
    </row>
    <row r="202" spans="1:15" ht="19.5" customHeight="1">
      <c r="A202" s="1" t="s">
        <v>370</v>
      </c>
      <c r="B202" s="5">
        <v>45914</v>
      </c>
      <c r="C202" s="1" t="s">
        <v>28</v>
      </c>
      <c r="D202" s="1" t="s">
        <v>60</v>
      </c>
      <c r="E202" s="1" t="s">
        <v>92</v>
      </c>
      <c r="F202" s="1" t="s">
        <v>93</v>
      </c>
      <c r="G202" s="1" t="s">
        <v>21</v>
      </c>
      <c r="H202" s="6">
        <v>1</v>
      </c>
      <c r="I202" s="7">
        <v>0</v>
      </c>
      <c r="J202" s="5">
        <v>45902</v>
      </c>
      <c r="K202" s="1" t="s">
        <v>30</v>
      </c>
      <c r="L202" s="8">
        <v>0</v>
      </c>
      <c r="M202" s="6"/>
      <c r="N202" s="6"/>
      <c r="O202" s="9">
        <v>0</v>
      </c>
    </row>
    <row r="203" spans="1:15" ht="19.5" customHeight="1">
      <c r="A203" s="1" t="s">
        <v>370</v>
      </c>
      <c r="B203" s="5">
        <v>45914</v>
      </c>
      <c r="C203" s="1" t="s">
        <v>28</v>
      </c>
      <c r="D203" s="1" t="s">
        <v>46</v>
      </c>
      <c r="E203" s="1" t="s">
        <v>92</v>
      </c>
      <c r="F203" s="1" t="s">
        <v>93</v>
      </c>
      <c r="G203" s="1" t="s">
        <v>21</v>
      </c>
      <c r="H203" s="6">
        <v>1</v>
      </c>
      <c r="I203" s="7">
        <v>0</v>
      </c>
      <c r="J203" s="5">
        <v>45902</v>
      </c>
      <c r="K203" s="1" t="s">
        <v>30</v>
      </c>
      <c r="L203" s="8">
        <v>0</v>
      </c>
      <c r="M203" s="6"/>
      <c r="N203" s="6"/>
      <c r="O203" s="9">
        <v>-46</v>
      </c>
    </row>
    <row r="204" spans="1:15" ht="19.5" customHeight="1">
      <c r="A204" s="1" t="s">
        <v>370</v>
      </c>
      <c r="B204" s="5">
        <v>45914</v>
      </c>
      <c r="C204" s="1" t="s">
        <v>17</v>
      </c>
      <c r="D204" s="1" t="s">
        <v>47</v>
      </c>
      <c r="E204" s="1" t="s">
        <v>92</v>
      </c>
      <c r="F204" s="1" t="s">
        <v>93</v>
      </c>
      <c r="G204" s="1" t="s">
        <v>21</v>
      </c>
      <c r="H204" s="6">
        <v>1</v>
      </c>
      <c r="I204" s="7">
        <v>0</v>
      </c>
      <c r="J204" s="5">
        <v>45902</v>
      </c>
      <c r="K204" s="1" t="s">
        <v>30</v>
      </c>
      <c r="L204" s="8">
        <v>0</v>
      </c>
      <c r="M204" s="6"/>
      <c r="N204" s="6"/>
      <c r="O204" s="9">
        <v>-15</v>
      </c>
    </row>
    <row r="205" spans="1:15" ht="19.5" customHeight="1">
      <c r="A205" s="1" t="s">
        <v>416</v>
      </c>
      <c r="B205" s="5">
        <v>45914</v>
      </c>
      <c r="C205" s="1" t="s">
        <v>28</v>
      </c>
      <c r="D205" s="1" t="s">
        <v>356</v>
      </c>
      <c r="E205" s="1" t="s">
        <v>25</v>
      </c>
      <c r="F205" s="1" t="s">
        <v>26</v>
      </c>
      <c r="G205" s="1" t="s">
        <v>21</v>
      </c>
      <c r="H205" s="6">
        <v>1</v>
      </c>
      <c r="I205" s="7">
        <v>0</v>
      </c>
      <c r="J205" s="5">
        <v>45908</v>
      </c>
      <c r="K205" s="1" t="s">
        <v>30</v>
      </c>
      <c r="L205" s="8">
        <v>0</v>
      </c>
      <c r="M205" s="6"/>
      <c r="N205" s="6"/>
      <c r="O205" s="9">
        <v>0</v>
      </c>
    </row>
    <row r="206" spans="1:15" ht="19.5" customHeight="1">
      <c r="A206" s="1" t="s">
        <v>416</v>
      </c>
      <c r="B206" s="5">
        <v>45914</v>
      </c>
      <c r="C206" s="1" t="s">
        <v>28</v>
      </c>
      <c r="D206" s="1" t="s">
        <v>46</v>
      </c>
      <c r="E206" s="1" t="s">
        <v>25</v>
      </c>
      <c r="F206" s="1" t="s">
        <v>26</v>
      </c>
      <c r="G206" s="1" t="s">
        <v>21</v>
      </c>
      <c r="H206" s="6">
        <v>1</v>
      </c>
      <c r="I206" s="7">
        <v>0</v>
      </c>
      <c r="J206" s="5">
        <v>45908</v>
      </c>
      <c r="K206" s="1" t="s">
        <v>30</v>
      </c>
      <c r="L206" s="8">
        <v>0</v>
      </c>
      <c r="M206" s="6"/>
      <c r="N206" s="6"/>
      <c r="O206" s="9">
        <v>-46</v>
      </c>
    </row>
    <row r="207" spans="1:15" ht="19.5" customHeight="1">
      <c r="A207" s="1" t="s">
        <v>416</v>
      </c>
      <c r="B207" s="5">
        <v>45914</v>
      </c>
      <c r="C207" s="1" t="s">
        <v>17</v>
      </c>
      <c r="D207" s="1" t="s">
        <v>47</v>
      </c>
      <c r="E207" s="1" t="s">
        <v>25</v>
      </c>
      <c r="F207" s="1" t="s">
        <v>26</v>
      </c>
      <c r="G207" s="1" t="s">
        <v>21</v>
      </c>
      <c r="H207" s="6">
        <v>1</v>
      </c>
      <c r="I207" s="7">
        <v>0</v>
      </c>
      <c r="J207" s="5">
        <v>45908</v>
      </c>
      <c r="K207" s="1" t="s">
        <v>30</v>
      </c>
      <c r="L207" s="8">
        <v>0</v>
      </c>
      <c r="M207" s="6"/>
      <c r="N207" s="6"/>
      <c r="O207" s="9">
        <v>-15</v>
      </c>
    </row>
    <row r="208" spans="1:15" ht="19.5" customHeight="1">
      <c r="A208" s="1" t="s">
        <v>416</v>
      </c>
      <c r="B208" s="5">
        <v>45914</v>
      </c>
      <c r="C208" s="1" t="s">
        <v>28</v>
      </c>
      <c r="D208" s="1" t="s">
        <v>29</v>
      </c>
      <c r="E208" s="1" t="s">
        <v>25</v>
      </c>
      <c r="F208" s="1" t="s">
        <v>26</v>
      </c>
      <c r="G208" s="1" t="s">
        <v>21</v>
      </c>
      <c r="H208" s="6">
        <v>1</v>
      </c>
      <c r="I208" s="7">
        <v>0</v>
      </c>
      <c r="J208" s="5">
        <v>45908</v>
      </c>
      <c r="K208" s="1" t="s">
        <v>30</v>
      </c>
      <c r="L208" s="8">
        <v>0</v>
      </c>
      <c r="M208" s="6"/>
      <c r="N208" s="6"/>
      <c r="O208" s="9">
        <v>-46</v>
      </c>
    </row>
    <row r="209" spans="1:15" ht="19.5" customHeight="1">
      <c r="A209" s="1" t="s">
        <v>416</v>
      </c>
      <c r="B209" s="5">
        <v>45914</v>
      </c>
      <c r="C209" s="1" t="s">
        <v>17</v>
      </c>
      <c r="D209" s="1" t="s">
        <v>37</v>
      </c>
      <c r="E209" s="1" t="s">
        <v>25</v>
      </c>
      <c r="F209" s="1" t="s">
        <v>26</v>
      </c>
      <c r="G209" s="1" t="s">
        <v>21</v>
      </c>
      <c r="H209" s="6">
        <v>1</v>
      </c>
      <c r="I209" s="7">
        <v>0</v>
      </c>
      <c r="J209" s="5">
        <v>45908</v>
      </c>
      <c r="K209" s="1" t="s">
        <v>30</v>
      </c>
      <c r="L209" s="8">
        <v>0</v>
      </c>
      <c r="M209" s="6"/>
      <c r="N209" s="6"/>
      <c r="O209" s="9">
        <v>-4.6500000000000004</v>
      </c>
    </row>
    <row r="210" spans="1:15" ht="19.5" customHeight="1">
      <c r="A210" s="1" t="s">
        <v>417</v>
      </c>
      <c r="B210" s="5">
        <v>45914</v>
      </c>
      <c r="C210" s="1" t="s">
        <v>17</v>
      </c>
      <c r="D210" s="1" t="s">
        <v>18</v>
      </c>
      <c r="E210" s="1" t="s">
        <v>88</v>
      </c>
      <c r="F210" s="1" t="s">
        <v>89</v>
      </c>
      <c r="G210" s="1" t="s">
        <v>21</v>
      </c>
      <c r="H210" s="6">
        <v>1</v>
      </c>
      <c r="I210" s="7">
        <v>0</v>
      </c>
      <c r="J210" s="5">
        <v>45914</v>
      </c>
      <c r="K210" s="1" t="s">
        <v>22</v>
      </c>
      <c r="L210" s="8">
        <v>0</v>
      </c>
      <c r="M210" s="6"/>
      <c r="N210" s="6"/>
      <c r="O210" s="9">
        <v>-14.42</v>
      </c>
    </row>
    <row r="211" spans="1:15" ht="19.5" customHeight="1">
      <c r="A211" s="1" t="s">
        <v>418</v>
      </c>
      <c r="B211" s="5">
        <v>45914</v>
      </c>
      <c r="C211" s="1" t="s">
        <v>17</v>
      </c>
      <c r="D211" s="1" t="s">
        <v>18</v>
      </c>
      <c r="E211" s="1" t="s">
        <v>25</v>
      </c>
      <c r="F211" s="1" t="s">
        <v>26</v>
      </c>
      <c r="G211" s="1" t="s">
        <v>21</v>
      </c>
      <c r="H211" s="6">
        <v>1</v>
      </c>
      <c r="I211" s="7">
        <v>0</v>
      </c>
      <c r="J211" s="5">
        <v>45914</v>
      </c>
      <c r="K211" s="1" t="s">
        <v>22</v>
      </c>
      <c r="L211" s="8">
        <v>0</v>
      </c>
      <c r="M211" s="6"/>
      <c r="N211" s="6"/>
      <c r="O211" s="9">
        <v>-11.02</v>
      </c>
    </row>
    <row r="212" spans="1:15" ht="19.5" customHeight="1">
      <c r="A212" s="1" t="s">
        <v>419</v>
      </c>
      <c r="B212" s="5">
        <v>45914</v>
      </c>
      <c r="C212" s="1" t="s">
        <v>28</v>
      </c>
      <c r="D212" s="1" t="s">
        <v>29</v>
      </c>
      <c r="E212" s="1" t="s">
        <v>223</v>
      </c>
      <c r="F212" s="1" t="s">
        <v>395</v>
      </c>
      <c r="G212" s="1" t="s">
        <v>21</v>
      </c>
      <c r="H212" s="6">
        <v>1</v>
      </c>
      <c r="I212" s="7">
        <v>0</v>
      </c>
      <c r="J212" s="5">
        <v>45910</v>
      </c>
      <c r="K212" s="1" t="s">
        <v>30</v>
      </c>
      <c r="L212" s="8">
        <v>0</v>
      </c>
      <c r="M212" s="6"/>
      <c r="N212" s="6"/>
      <c r="O212" s="9">
        <v>-46</v>
      </c>
    </row>
    <row r="213" spans="1:15" ht="19.5" customHeight="1">
      <c r="A213" s="1" t="s">
        <v>419</v>
      </c>
      <c r="B213" s="5">
        <v>45914</v>
      </c>
      <c r="C213" s="1" t="s">
        <v>28</v>
      </c>
      <c r="D213" s="1" t="s">
        <v>356</v>
      </c>
      <c r="E213" s="1" t="s">
        <v>223</v>
      </c>
      <c r="F213" s="1" t="s">
        <v>395</v>
      </c>
      <c r="G213" s="1" t="s">
        <v>21</v>
      </c>
      <c r="H213" s="6">
        <v>1</v>
      </c>
      <c r="I213" s="7">
        <v>0</v>
      </c>
      <c r="J213" s="5">
        <v>45910</v>
      </c>
      <c r="K213" s="1" t="s">
        <v>30</v>
      </c>
      <c r="L213" s="8">
        <v>0</v>
      </c>
      <c r="M213" s="6"/>
      <c r="N213" s="6"/>
      <c r="O213" s="9">
        <v>0</v>
      </c>
    </row>
    <row r="214" spans="1:15" ht="19.5" customHeight="1">
      <c r="A214" s="1" t="s">
        <v>419</v>
      </c>
      <c r="B214" s="5">
        <v>45914</v>
      </c>
      <c r="C214" s="1" t="s">
        <v>28</v>
      </c>
      <c r="D214" s="1" t="s">
        <v>46</v>
      </c>
      <c r="E214" s="1" t="s">
        <v>223</v>
      </c>
      <c r="F214" s="1" t="s">
        <v>395</v>
      </c>
      <c r="G214" s="1" t="s">
        <v>21</v>
      </c>
      <c r="H214" s="6">
        <v>1</v>
      </c>
      <c r="I214" s="7">
        <v>0</v>
      </c>
      <c r="J214" s="5">
        <v>45910</v>
      </c>
      <c r="K214" s="1" t="s">
        <v>30</v>
      </c>
      <c r="L214" s="8">
        <v>0</v>
      </c>
      <c r="M214" s="6"/>
      <c r="N214" s="6"/>
      <c r="O214" s="9">
        <v>-46</v>
      </c>
    </row>
    <row r="215" spans="1:15" ht="19.5" customHeight="1">
      <c r="A215" s="1" t="s">
        <v>419</v>
      </c>
      <c r="B215" s="5">
        <v>45914</v>
      </c>
      <c r="C215" s="1" t="s">
        <v>17</v>
      </c>
      <c r="D215" s="1" t="s">
        <v>47</v>
      </c>
      <c r="E215" s="1" t="s">
        <v>223</v>
      </c>
      <c r="F215" s="1" t="s">
        <v>395</v>
      </c>
      <c r="G215" s="1" t="s">
        <v>21</v>
      </c>
      <c r="H215" s="6">
        <v>1</v>
      </c>
      <c r="I215" s="7">
        <v>0</v>
      </c>
      <c r="J215" s="5">
        <v>45910</v>
      </c>
      <c r="K215" s="1" t="s">
        <v>30</v>
      </c>
      <c r="L215" s="8">
        <v>0</v>
      </c>
      <c r="M215" s="6"/>
      <c r="N215" s="6"/>
      <c r="O215" s="9">
        <v>-15</v>
      </c>
    </row>
    <row r="216" spans="1:15" ht="19.5" customHeight="1">
      <c r="A216" s="1" t="s">
        <v>420</v>
      </c>
      <c r="B216" s="5">
        <v>45914</v>
      </c>
      <c r="C216" s="1" t="s">
        <v>17</v>
      </c>
      <c r="D216" s="1" t="s">
        <v>18</v>
      </c>
      <c r="E216" s="1" t="s">
        <v>222</v>
      </c>
      <c r="F216" s="1" t="s">
        <v>412</v>
      </c>
      <c r="G216" s="1" t="s">
        <v>21</v>
      </c>
      <c r="H216" s="6">
        <v>1</v>
      </c>
      <c r="I216" s="7">
        <v>0</v>
      </c>
      <c r="J216" s="5">
        <v>45914</v>
      </c>
      <c r="K216" s="1" t="s">
        <v>22</v>
      </c>
      <c r="L216" s="8">
        <v>0</v>
      </c>
      <c r="M216" s="6"/>
      <c r="N216" s="6"/>
      <c r="O216" s="9">
        <v>-5.65</v>
      </c>
    </row>
    <row r="217" spans="1:15" ht="19.5" customHeight="1">
      <c r="A217" s="1" t="s">
        <v>421</v>
      </c>
      <c r="B217" s="5">
        <v>45914</v>
      </c>
      <c r="C217" s="1" t="s">
        <v>28</v>
      </c>
      <c r="D217" s="1" t="s">
        <v>29</v>
      </c>
      <c r="E217" s="1" t="s">
        <v>228</v>
      </c>
      <c r="F217" s="1" t="s">
        <v>393</v>
      </c>
      <c r="G217" s="1" t="s">
        <v>21</v>
      </c>
      <c r="H217" s="6">
        <v>1</v>
      </c>
      <c r="I217" s="7">
        <v>1500</v>
      </c>
      <c r="J217" s="5">
        <v>45913</v>
      </c>
      <c r="K217" s="1" t="s">
        <v>30</v>
      </c>
      <c r="L217" s="8">
        <v>0.2</v>
      </c>
      <c r="M217" s="6"/>
      <c r="N217" s="6"/>
      <c r="O217" s="9">
        <v>-46</v>
      </c>
    </row>
    <row r="218" spans="1:15" ht="19.5" customHeight="1">
      <c r="A218" s="1" t="s">
        <v>421</v>
      </c>
      <c r="B218" s="5">
        <v>45914</v>
      </c>
      <c r="C218" s="1" t="s">
        <v>31</v>
      </c>
      <c r="D218" s="1" t="s">
        <v>32</v>
      </c>
      <c r="E218" s="1" t="s">
        <v>228</v>
      </c>
      <c r="F218" s="1" t="s">
        <v>393</v>
      </c>
      <c r="G218" s="1" t="s">
        <v>21</v>
      </c>
      <c r="H218" s="6">
        <v>1</v>
      </c>
      <c r="I218" s="7">
        <v>1500</v>
      </c>
      <c r="J218" s="5">
        <v>45913</v>
      </c>
      <c r="K218" s="1" t="s">
        <v>30</v>
      </c>
      <c r="L218" s="8">
        <v>0</v>
      </c>
      <c r="M218" s="6"/>
      <c r="N218" s="6"/>
      <c r="O218" s="9">
        <v>909.95</v>
      </c>
    </row>
    <row r="219" spans="1:15" ht="19.5" customHeight="1">
      <c r="A219" s="1" t="s">
        <v>421</v>
      </c>
      <c r="B219" s="5">
        <v>45914</v>
      </c>
      <c r="C219" s="1" t="s">
        <v>31</v>
      </c>
      <c r="D219" s="1" t="s">
        <v>33</v>
      </c>
      <c r="E219" s="1" t="s">
        <v>228</v>
      </c>
      <c r="F219" s="1" t="s">
        <v>393</v>
      </c>
      <c r="G219" s="1" t="s">
        <v>21</v>
      </c>
      <c r="H219" s="6">
        <v>1</v>
      </c>
      <c r="I219" s="7">
        <v>1500</v>
      </c>
      <c r="J219" s="5">
        <v>45913</v>
      </c>
      <c r="K219" s="1" t="s">
        <v>30</v>
      </c>
      <c r="L219" s="8">
        <v>0</v>
      </c>
      <c r="M219" s="6"/>
      <c r="N219" s="6"/>
      <c r="O219" s="9">
        <v>6.69</v>
      </c>
    </row>
    <row r="220" spans="1:15" ht="19.5" customHeight="1">
      <c r="A220" s="1" t="s">
        <v>421</v>
      </c>
      <c r="B220" s="5">
        <v>45914</v>
      </c>
      <c r="C220" s="1" t="s">
        <v>31</v>
      </c>
      <c r="D220" s="1" t="s">
        <v>34</v>
      </c>
      <c r="E220" s="1" t="s">
        <v>228</v>
      </c>
      <c r="F220" s="1" t="s">
        <v>393</v>
      </c>
      <c r="G220" s="1" t="s">
        <v>21</v>
      </c>
      <c r="H220" s="6">
        <v>1</v>
      </c>
      <c r="I220" s="7">
        <v>1500</v>
      </c>
      <c r="J220" s="5">
        <v>45913</v>
      </c>
      <c r="K220" s="1" t="s">
        <v>30</v>
      </c>
      <c r="L220" s="8">
        <v>0</v>
      </c>
      <c r="M220" s="6"/>
      <c r="N220" s="6"/>
      <c r="O220" s="9">
        <v>583.36</v>
      </c>
    </row>
    <row r="221" spans="1:15" ht="19.5" customHeight="1">
      <c r="A221" s="1" t="s">
        <v>421</v>
      </c>
      <c r="B221" s="5">
        <v>45914</v>
      </c>
      <c r="C221" s="1" t="s">
        <v>35</v>
      </c>
      <c r="D221" s="1" t="s">
        <v>36</v>
      </c>
      <c r="E221" s="1" t="s">
        <v>228</v>
      </c>
      <c r="F221" s="1" t="s">
        <v>393</v>
      </c>
      <c r="G221" s="1" t="s">
        <v>21</v>
      </c>
      <c r="H221" s="6">
        <v>1</v>
      </c>
      <c r="I221" s="7">
        <v>1500</v>
      </c>
      <c r="J221" s="5">
        <v>45913</v>
      </c>
      <c r="K221" s="1" t="s">
        <v>30</v>
      </c>
      <c r="L221" s="8">
        <v>0.2</v>
      </c>
      <c r="M221" s="6"/>
      <c r="N221" s="6"/>
      <c r="O221" s="9">
        <v>-300</v>
      </c>
    </row>
    <row r="222" spans="1:15" ht="19.5" customHeight="1">
      <c r="A222" s="1" t="s">
        <v>421</v>
      </c>
      <c r="B222" s="5">
        <v>45914</v>
      </c>
      <c r="C222" s="1" t="s">
        <v>17</v>
      </c>
      <c r="D222" s="1" t="s">
        <v>37</v>
      </c>
      <c r="E222" s="1" t="s">
        <v>228</v>
      </c>
      <c r="F222" s="1" t="s">
        <v>393</v>
      </c>
      <c r="G222" s="1" t="s">
        <v>21</v>
      </c>
      <c r="H222" s="6">
        <v>1</v>
      </c>
      <c r="I222" s="7">
        <v>1500</v>
      </c>
      <c r="J222" s="5">
        <v>45913</v>
      </c>
      <c r="K222" s="1" t="s">
        <v>30</v>
      </c>
      <c r="L222" s="8">
        <v>0.2</v>
      </c>
      <c r="M222" s="6"/>
      <c r="N222" s="6"/>
      <c r="O222" s="9">
        <v>-7.16</v>
      </c>
    </row>
    <row r="223" spans="1:15" ht="19.5" customHeight="1">
      <c r="A223" s="1" t="s">
        <v>81</v>
      </c>
      <c r="B223" s="5">
        <v>45914</v>
      </c>
      <c r="C223" s="1" t="s">
        <v>77</v>
      </c>
      <c r="D223" s="1" t="s">
        <v>82</v>
      </c>
      <c r="E223" s="1" t="s">
        <v>22</v>
      </c>
      <c r="F223" s="1" t="s">
        <v>22</v>
      </c>
      <c r="G223" s="1" t="s">
        <v>22</v>
      </c>
      <c r="H223" s="6">
        <v>0</v>
      </c>
      <c r="I223" s="7">
        <v>0</v>
      </c>
      <c r="J223" s="5">
        <v>45914</v>
      </c>
      <c r="K223" s="1" t="s">
        <v>22</v>
      </c>
      <c r="L223" s="8">
        <v>0</v>
      </c>
      <c r="M223" s="6"/>
      <c r="N223" s="6"/>
      <c r="O223" s="9">
        <v>-3500</v>
      </c>
    </row>
    <row r="224" spans="1:15" ht="19.5" customHeight="1">
      <c r="A224" s="1" t="s">
        <v>85</v>
      </c>
      <c r="B224" s="5">
        <v>45914</v>
      </c>
      <c r="C224" s="1" t="s">
        <v>77</v>
      </c>
      <c r="D224" s="1" t="s">
        <v>82</v>
      </c>
      <c r="E224" s="1" t="s">
        <v>22</v>
      </c>
      <c r="F224" s="1" t="s">
        <v>22</v>
      </c>
      <c r="G224" s="1" t="s">
        <v>22</v>
      </c>
      <c r="H224" s="6">
        <v>0</v>
      </c>
      <c r="I224" s="7">
        <v>0</v>
      </c>
      <c r="J224" s="5">
        <v>45914</v>
      </c>
      <c r="K224" s="1" t="s">
        <v>22</v>
      </c>
      <c r="L224" s="8">
        <v>0</v>
      </c>
      <c r="M224" s="6"/>
      <c r="N224" s="6"/>
      <c r="O224" s="9">
        <v>-1000</v>
      </c>
    </row>
    <row r="225" spans="1:15" ht="19.5" customHeight="1">
      <c r="A225" s="1" t="s">
        <v>83</v>
      </c>
      <c r="B225" s="5">
        <v>45914</v>
      </c>
      <c r="C225" s="1" t="s">
        <v>77</v>
      </c>
      <c r="D225" s="1" t="s">
        <v>84</v>
      </c>
      <c r="E225" s="1" t="s">
        <v>22</v>
      </c>
      <c r="F225" s="1" t="s">
        <v>22</v>
      </c>
      <c r="G225" s="1" t="s">
        <v>22</v>
      </c>
      <c r="H225" s="6">
        <v>0</v>
      </c>
      <c r="I225" s="7">
        <v>0</v>
      </c>
      <c r="J225" s="5">
        <v>45914</v>
      </c>
      <c r="K225" s="1" t="s">
        <v>22</v>
      </c>
      <c r="L225" s="8">
        <v>0</v>
      </c>
      <c r="M225" s="6"/>
      <c r="N225" s="6"/>
      <c r="O225" s="9">
        <v>-434.52</v>
      </c>
    </row>
    <row r="226" spans="1:15" ht="19.5" customHeight="1">
      <c r="A226" s="1" t="s">
        <v>422</v>
      </c>
      <c r="B226" s="5">
        <v>45915</v>
      </c>
      <c r="C226" s="1" t="s">
        <v>17</v>
      </c>
      <c r="D226" s="1" t="s">
        <v>18</v>
      </c>
      <c r="E226" s="1" t="s">
        <v>25</v>
      </c>
      <c r="F226" s="1" t="s">
        <v>26</v>
      </c>
      <c r="G226" s="1" t="s">
        <v>21</v>
      </c>
      <c r="H226" s="6">
        <v>1</v>
      </c>
      <c r="I226" s="7">
        <v>0</v>
      </c>
      <c r="J226" s="5">
        <v>45915</v>
      </c>
      <c r="K226" s="1" t="s">
        <v>22</v>
      </c>
      <c r="L226" s="8">
        <v>0</v>
      </c>
      <c r="M226" s="6"/>
      <c r="N226" s="6"/>
      <c r="O226" s="9">
        <v>-12.09</v>
      </c>
    </row>
    <row r="227" spans="1:15" ht="19.5" customHeight="1">
      <c r="A227" s="1" t="s">
        <v>423</v>
      </c>
      <c r="B227" s="5">
        <v>45915</v>
      </c>
      <c r="C227" s="1" t="s">
        <v>28</v>
      </c>
      <c r="D227" s="1" t="s">
        <v>29</v>
      </c>
      <c r="E227" s="1" t="s">
        <v>25</v>
      </c>
      <c r="F227" s="1" t="s">
        <v>26</v>
      </c>
      <c r="G227" s="1" t="s">
        <v>21</v>
      </c>
      <c r="H227" s="6">
        <v>1</v>
      </c>
      <c r="I227" s="7">
        <v>0</v>
      </c>
      <c r="J227" s="5">
        <v>45911</v>
      </c>
      <c r="K227" s="1" t="s">
        <v>30</v>
      </c>
      <c r="L227" s="8">
        <v>0</v>
      </c>
      <c r="M227" s="6"/>
      <c r="N227" s="6"/>
      <c r="O227" s="9">
        <v>-46</v>
      </c>
    </row>
    <row r="228" spans="1:15" ht="19.5" customHeight="1">
      <c r="A228" s="1" t="s">
        <v>423</v>
      </c>
      <c r="B228" s="5">
        <v>45915</v>
      </c>
      <c r="C228" s="1" t="s">
        <v>17</v>
      </c>
      <c r="D228" s="1" t="s">
        <v>37</v>
      </c>
      <c r="E228" s="1" t="s">
        <v>25</v>
      </c>
      <c r="F228" s="1" t="s">
        <v>26</v>
      </c>
      <c r="G228" s="1" t="s">
        <v>21</v>
      </c>
      <c r="H228" s="6">
        <v>1</v>
      </c>
      <c r="I228" s="7">
        <v>0</v>
      </c>
      <c r="J228" s="5">
        <v>45911</v>
      </c>
      <c r="K228" s="1" t="s">
        <v>30</v>
      </c>
      <c r="L228" s="8">
        <v>0</v>
      </c>
      <c r="M228" s="6"/>
      <c r="N228" s="6"/>
      <c r="O228" s="9">
        <v>-7.23</v>
      </c>
    </row>
    <row r="229" spans="1:15" ht="19.5" customHeight="1">
      <c r="A229" s="1" t="s">
        <v>423</v>
      </c>
      <c r="B229" s="5">
        <v>45915</v>
      </c>
      <c r="C229" s="1" t="s">
        <v>28</v>
      </c>
      <c r="D229" s="1" t="s">
        <v>356</v>
      </c>
      <c r="E229" s="1" t="s">
        <v>25</v>
      </c>
      <c r="F229" s="1" t="s">
        <v>26</v>
      </c>
      <c r="G229" s="1" t="s">
        <v>21</v>
      </c>
      <c r="H229" s="6">
        <v>1</v>
      </c>
      <c r="I229" s="7">
        <v>0</v>
      </c>
      <c r="J229" s="5">
        <v>45911</v>
      </c>
      <c r="K229" s="1" t="s">
        <v>30</v>
      </c>
      <c r="L229" s="8">
        <v>0</v>
      </c>
      <c r="M229" s="6"/>
      <c r="N229" s="6"/>
      <c r="O229" s="9">
        <v>0</v>
      </c>
    </row>
    <row r="230" spans="1:15" ht="19.5" customHeight="1">
      <c r="A230" s="1" t="s">
        <v>423</v>
      </c>
      <c r="B230" s="5">
        <v>45915</v>
      </c>
      <c r="C230" s="1" t="s">
        <v>28</v>
      </c>
      <c r="D230" s="1" t="s">
        <v>46</v>
      </c>
      <c r="E230" s="1" t="s">
        <v>25</v>
      </c>
      <c r="F230" s="1" t="s">
        <v>26</v>
      </c>
      <c r="G230" s="1" t="s">
        <v>21</v>
      </c>
      <c r="H230" s="6">
        <v>1</v>
      </c>
      <c r="I230" s="7">
        <v>0</v>
      </c>
      <c r="J230" s="5">
        <v>45911</v>
      </c>
      <c r="K230" s="1" t="s">
        <v>30</v>
      </c>
      <c r="L230" s="8">
        <v>0</v>
      </c>
      <c r="M230" s="6"/>
      <c r="N230" s="6"/>
      <c r="O230" s="9">
        <v>-46</v>
      </c>
    </row>
    <row r="231" spans="1:15" ht="19.5" customHeight="1">
      <c r="A231" s="1" t="s">
        <v>423</v>
      </c>
      <c r="B231" s="5">
        <v>45915</v>
      </c>
      <c r="C231" s="1" t="s">
        <v>17</v>
      </c>
      <c r="D231" s="1" t="s">
        <v>47</v>
      </c>
      <c r="E231" s="1" t="s">
        <v>25</v>
      </c>
      <c r="F231" s="1" t="s">
        <v>26</v>
      </c>
      <c r="G231" s="1" t="s">
        <v>21</v>
      </c>
      <c r="H231" s="6">
        <v>1</v>
      </c>
      <c r="I231" s="7">
        <v>0</v>
      </c>
      <c r="J231" s="5">
        <v>45911</v>
      </c>
      <c r="K231" s="1" t="s">
        <v>30</v>
      </c>
      <c r="L231" s="8">
        <v>0</v>
      </c>
      <c r="M231" s="6"/>
      <c r="N231" s="6"/>
      <c r="O231" s="9">
        <v>-15</v>
      </c>
    </row>
    <row r="232" spans="1:15" ht="19.5" customHeight="1">
      <c r="A232" s="1" t="s">
        <v>424</v>
      </c>
      <c r="B232" s="5">
        <v>45915</v>
      </c>
      <c r="C232" s="1" t="s">
        <v>28</v>
      </c>
      <c r="D232" s="1" t="s">
        <v>135</v>
      </c>
      <c r="E232" s="1" t="s">
        <v>111</v>
      </c>
      <c r="F232" s="1" t="s">
        <v>112</v>
      </c>
      <c r="G232" s="1" t="s">
        <v>21</v>
      </c>
      <c r="H232" s="6">
        <v>1</v>
      </c>
      <c r="I232" s="7">
        <v>3500</v>
      </c>
      <c r="J232" s="5">
        <v>45911</v>
      </c>
      <c r="K232" s="1" t="s">
        <v>113</v>
      </c>
      <c r="L232" s="8">
        <v>0.33500000000000002</v>
      </c>
      <c r="M232" s="6"/>
      <c r="N232" s="6"/>
      <c r="O232" s="9">
        <v>-10</v>
      </c>
    </row>
    <row r="233" spans="1:15" ht="19.5" customHeight="1">
      <c r="A233" s="1" t="s">
        <v>424</v>
      </c>
      <c r="B233" s="5">
        <v>45915</v>
      </c>
      <c r="C233" s="1" t="s">
        <v>28</v>
      </c>
      <c r="D233" s="1" t="s">
        <v>29</v>
      </c>
      <c r="E233" s="1" t="s">
        <v>111</v>
      </c>
      <c r="F233" s="1" t="s">
        <v>112</v>
      </c>
      <c r="G233" s="1" t="s">
        <v>21</v>
      </c>
      <c r="H233" s="6">
        <v>1</v>
      </c>
      <c r="I233" s="7">
        <v>3500</v>
      </c>
      <c r="J233" s="5">
        <v>45911</v>
      </c>
      <c r="K233" s="1" t="s">
        <v>113</v>
      </c>
      <c r="L233" s="8">
        <v>0.33500000000000002</v>
      </c>
      <c r="M233" s="6"/>
      <c r="N233" s="6"/>
      <c r="O233" s="9">
        <v>-98</v>
      </c>
    </row>
    <row r="234" spans="1:15" ht="19.5" customHeight="1">
      <c r="A234" s="1" t="s">
        <v>424</v>
      </c>
      <c r="B234" s="5">
        <v>45915</v>
      </c>
      <c r="C234" s="1" t="s">
        <v>31</v>
      </c>
      <c r="D234" s="1" t="s">
        <v>32</v>
      </c>
      <c r="E234" s="1" t="s">
        <v>111</v>
      </c>
      <c r="F234" s="1" t="s">
        <v>112</v>
      </c>
      <c r="G234" s="1" t="s">
        <v>21</v>
      </c>
      <c r="H234" s="6">
        <v>1</v>
      </c>
      <c r="I234" s="7">
        <v>3500</v>
      </c>
      <c r="J234" s="5">
        <v>45911</v>
      </c>
      <c r="K234" s="1" t="s">
        <v>113</v>
      </c>
      <c r="L234" s="8">
        <v>0</v>
      </c>
      <c r="M234" s="6"/>
      <c r="N234" s="6"/>
      <c r="O234" s="9">
        <v>2155.09</v>
      </c>
    </row>
    <row r="235" spans="1:15" ht="19.5" customHeight="1">
      <c r="A235" s="1" t="s">
        <v>424</v>
      </c>
      <c r="B235" s="5">
        <v>45915</v>
      </c>
      <c r="C235" s="1" t="s">
        <v>31</v>
      </c>
      <c r="D235" s="1" t="s">
        <v>33</v>
      </c>
      <c r="E235" s="1" t="s">
        <v>111</v>
      </c>
      <c r="F235" s="1" t="s">
        <v>112</v>
      </c>
      <c r="G235" s="1" t="s">
        <v>21</v>
      </c>
      <c r="H235" s="6">
        <v>1</v>
      </c>
      <c r="I235" s="7">
        <v>3500</v>
      </c>
      <c r="J235" s="5">
        <v>45911</v>
      </c>
      <c r="K235" s="1" t="s">
        <v>113</v>
      </c>
      <c r="L235" s="8">
        <v>0</v>
      </c>
      <c r="M235" s="6"/>
      <c r="N235" s="6"/>
      <c r="O235" s="9">
        <v>15.84</v>
      </c>
    </row>
    <row r="236" spans="1:15" ht="19.5" customHeight="1">
      <c r="A236" s="1" t="s">
        <v>424</v>
      </c>
      <c r="B236" s="5">
        <v>45915</v>
      </c>
      <c r="C236" s="1" t="s">
        <v>31</v>
      </c>
      <c r="D236" s="1" t="s">
        <v>34</v>
      </c>
      <c r="E236" s="1" t="s">
        <v>111</v>
      </c>
      <c r="F236" s="1" t="s">
        <v>112</v>
      </c>
      <c r="G236" s="1" t="s">
        <v>21</v>
      </c>
      <c r="H236" s="6">
        <v>1</v>
      </c>
      <c r="I236" s="7">
        <v>3500</v>
      </c>
      <c r="J236" s="5">
        <v>45911</v>
      </c>
      <c r="K236" s="1" t="s">
        <v>113</v>
      </c>
      <c r="L236" s="8">
        <v>0</v>
      </c>
      <c r="M236" s="6"/>
      <c r="N236" s="6"/>
      <c r="O236" s="9">
        <v>1329.07</v>
      </c>
    </row>
    <row r="237" spans="1:15" ht="19.5" customHeight="1">
      <c r="A237" s="1" t="s">
        <v>424</v>
      </c>
      <c r="B237" s="5">
        <v>45915</v>
      </c>
      <c r="C237" s="1" t="s">
        <v>35</v>
      </c>
      <c r="D237" s="1" t="s">
        <v>36</v>
      </c>
      <c r="E237" s="1" t="s">
        <v>111</v>
      </c>
      <c r="F237" s="1" t="s">
        <v>112</v>
      </c>
      <c r="G237" s="1" t="s">
        <v>21</v>
      </c>
      <c r="H237" s="6">
        <v>1</v>
      </c>
      <c r="I237" s="7">
        <v>3500</v>
      </c>
      <c r="J237" s="5">
        <v>45911</v>
      </c>
      <c r="K237" s="1" t="s">
        <v>113</v>
      </c>
      <c r="L237" s="8">
        <v>0.33500000000000002</v>
      </c>
      <c r="M237" s="6"/>
      <c r="N237" s="6"/>
      <c r="O237" s="9">
        <v>-1172.5</v>
      </c>
    </row>
    <row r="238" spans="1:15" ht="19.5" customHeight="1">
      <c r="A238" s="1" t="s">
        <v>424</v>
      </c>
      <c r="B238" s="5">
        <v>45915</v>
      </c>
      <c r="C238" s="1" t="s">
        <v>17</v>
      </c>
      <c r="D238" s="1" t="s">
        <v>138</v>
      </c>
      <c r="E238" s="1" t="s">
        <v>111</v>
      </c>
      <c r="F238" s="1" t="s">
        <v>112</v>
      </c>
      <c r="G238" s="1" t="s">
        <v>21</v>
      </c>
      <c r="H238" s="6">
        <v>1</v>
      </c>
      <c r="I238" s="7">
        <v>3500</v>
      </c>
      <c r="J238" s="5">
        <v>45911</v>
      </c>
      <c r="K238" s="1" t="s">
        <v>113</v>
      </c>
      <c r="L238" s="8">
        <v>0.33500000000000002</v>
      </c>
      <c r="M238" s="6"/>
      <c r="N238" s="6"/>
      <c r="O238" s="9">
        <v>-20</v>
      </c>
    </row>
    <row r="239" spans="1:15" ht="19.5" customHeight="1">
      <c r="A239" s="1" t="s">
        <v>424</v>
      </c>
      <c r="B239" s="5">
        <v>45915</v>
      </c>
      <c r="C239" s="1" t="s">
        <v>17</v>
      </c>
      <c r="D239" s="1" t="s">
        <v>37</v>
      </c>
      <c r="E239" s="1" t="s">
        <v>111</v>
      </c>
      <c r="F239" s="1" t="s">
        <v>112</v>
      </c>
      <c r="G239" s="1" t="s">
        <v>21</v>
      </c>
      <c r="H239" s="6">
        <v>1</v>
      </c>
      <c r="I239" s="7">
        <v>3500</v>
      </c>
      <c r="J239" s="5">
        <v>45911</v>
      </c>
      <c r="K239" s="1" t="s">
        <v>113</v>
      </c>
      <c r="L239" s="8">
        <v>0.33500000000000002</v>
      </c>
      <c r="M239" s="6"/>
      <c r="N239" s="6"/>
      <c r="O239" s="9">
        <v>-13.44</v>
      </c>
    </row>
    <row r="240" spans="1:15" ht="19.5" customHeight="1">
      <c r="A240" s="1" t="s">
        <v>389</v>
      </c>
      <c r="B240" s="5">
        <v>45915</v>
      </c>
      <c r="C240" s="1" t="s">
        <v>17</v>
      </c>
      <c r="D240" s="1" t="s">
        <v>18</v>
      </c>
      <c r="E240" s="1" t="s">
        <v>92</v>
      </c>
      <c r="F240" s="1" t="s">
        <v>93</v>
      </c>
      <c r="G240" s="1" t="s">
        <v>21</v>
      </c>
      <c r="H240" s="6">
        <v>1</v>
      </c>
      <c r="I240" s="7">
        <v>0</v>
      </c>
      <c r="J240" s="5">
        <v>45911</v>
      </c>
      <c r="K240" s="1" t="s">
        <v>22</v>
      </c>
      <c r="L240" s="8">
        <v>0</v>
      </c>
      <c r="M240" s="6"/>
      <c r="N240" s="6"/>
      <c r="O240" s="9">
        <v>3</v>
      </c>
    </row>
    <row r="241" spans="1:15" ht="19.5" customHeight="1">
      <c r="A241" s="1" t="s">
        <v>425</v>
      </c>
      <c r="B241" s="5">
        <v>45915</v>
      </c>
      <c r="C241" s="1" t="s">
        <v>28</v>
      </c>
      <c r="D241" s="1" t="s">
        <v>29</v>
      </c>
      <c r="E241" s="1" t="s">
        <v>25</v>
      </c>
      <c r="F241" s="1" t="s">
        <v>26</v>
      </c>
      <c r="G241" s="1" t="s">
        <v>21</v>
      </c>
      <c r="H241" s="6">
        <v>1</v>
      </c>
      <c r="I241" s="7">
        <v>1176</v>
      </c>
      <c r="J241" s="5">
        <v>45911</v>
      </c>
      <c r="K241" s="1" t="s">
        <v>30</v>
      </c>
      <c r="L241" s="8">
        <v>0.2</v>
      </c>
      <c r="M241" s="6"/>
      <c r="N241" s="6"/>
      <c r="O241" s="9">
        <v>-46</v>
      </c>
    </row>
    <row r="242" spans="1:15" ht="19.5" customHeight="1">
      <c r="A242" s="1" t="s">
        <v>425</v>
      </c>
      <c r="B242" s="5">
        <v>45915</v>
      </c>
      <c r="C242" s="1" t="s">
        <v>31</v>
      </c>
      <c r="D242" s="1" t="s">
        <v>32</v>
      </c>
      <c r="E242" s="1" t="s">
        <v>25</v>
      </c>
      <c r="F242" s="1" t="s">
        <v>26</v>
      </c>
      <c r="G242" s="1" t="s">
        <v>21</v>
      </c>
      <c r="H242" s="6">
        <v>1</v>
      </c>
      <c r="I242" s="7">
        <v>1176</v>
      </c>
      <c r="J242" s="5">
        <v>45911</v>
      </c>
      <c r="K242" s="1" t="s">
        <v>30</v>
      </c>
      <c r="L242" s="8">
        <v>0</v>
      </c>
      <c r="M242" s="6"/>
      <c r="N242" s="6"/>
      <c r="O242" s="9">
        <v>563.80999999999995</v>
      </c>
    </row>
    <row r="243" spans="1:15" ht="19.5" customHeight="1">
      <c r="A243" s="1" t="s">
        <v>425</v>
      </c>
      <c r="B243" s="5">
        <v>45915</v>
      </c>
      <c r="C243" s="1" t="s">
        <v>31</v>
      </c>
      <c r="D243" s="1" t="s">
        <v>33</v>
      </c>
      <c r="E243" s="1" t="s">
        <v>25</v>
      </c>
      <c r="F243" s="1" t="s">
        <v>26</v>
      </c>
      <c r="G243" s="1" t="s">
        <v>21</v>
      </c>
      <c r="H243" s="6">
        <v>1</v>
      </c>
      <c r="I243" s="7">
        <v>1176</v>
      </c>
      <c r="J243" s="5">
        <v>45911</v>
      </c>
      <c r="K243" s="1" t="s">
        <v>30</v>
      </c>
      <c r="L243" s="8">
        <v>0</v>
      </c>
      <c r="M243" s="6"/>
      <c r="N243" s="6"/>
      <c r="O243" s="9">
        <v>4.1399999999999997</v>
      </c>
    </row>
    <row r="244" spans="1:15" ht="19.5" customHeight="1">
      <c r="A244" s="1" t="s">
        <v>425</v>
      </c>
      <c r="B244" s="5">
        <v>45915</v>
      </c>
      <c r="C244" s="1" t="s">
        <v>31</v>
      </c>
      <c r="D244" s="1" t="s">
        <v>34</v>
      </c>
      <c r="E244" s="1" t="s">
        <v>25</v>
      </c>
      <c r="F244" s="1" t="s">
        <v>26</v>
      </c>
      <c r="G244" s="1" t="s">
        <v>21</v>
      </c>
      <c r="H244" s="6">
        <v>1</v>
      </c>
      <c r="I244" s="7">
        <v>1176</v>
      </c>
      <c r="J244" s="5">
        <v>45911</v>
      </c>
      <c r="K244" s="1" t="s">
        <v>30</v>
      </c>
      <c r="L244" s="8">
        <v>0</v>
      </c>
      <c r="M244" s="6"/>
      <c r="N244" s="6"/>
      <c r="O244" s="9">
        <v>608.04999999999995</v>
      </c>
    </row>
    <row r="245" spans="1:15" ht="19.5" customHeight="1">
      <c r="A245" s="1" t="s">
        <v>425</v>
      </c>
      <c r="B245" s="5">
        <v>45915</v>
      </c>
      <c r="C245" s="1" t="s">
        <v>35</v>
      </c>
      <c r="D245" s="1" t="s">
        <v>36</v>
      </c>
      <c r="E245" s="1" t="s">
        <v>25</v>
      </c>
      <c r="F245" s="1" t="s">
        <v>26</v>
      </c>
      <c r="G245" s="1" t="s">
        <v>21</v>
      </c>
      <c r="H245" s="6">
        <v>1</v>
      </c>
      <c r="I245" s="7">
        <v>1176</v>
      </c>
      <c r="J245" s="5">
        <v>45911</v>
      </c>
      <c r="K245" s="1" t="s">
        <v>30</v>
      </c>
      <c r="L245" s="8">
        <v>0.2</v>
      </c>
      <c r="M245" s="6"/>
      <c r="N245" s="6"/>
      <c r="O245" s="9">
        <v>-235.2</v>
      </c>
    </row>
    <row r="246" spans="1:15" ht="19.5" customHeight="1">
      <c r="A246" s="1" t="s">
        <v>426</v>
      </c>
      <c r="B246" s="5">
        <v>45915</v>
      </c>
      <c r="C246" s="1" t="s">
        <v>28</v>
      </c>
      <c r="D246" s="1" t="s">
        <v>29</v>
      </c>
      <c r="E246" s="1" t="s">
        <v>25</v>
      </c>
      <c r="F246" s="1" t="s">
        <v>26</v>
      </c>
      <c r="G246" s="1" t="s">
        <v>21</v>
      </c>
      <c r="H246" s="6">
        <v>1</v>
      </c>
      <c r="I246" s="7">
        <v>1176</v>
      </c>
      <c r="J246" s="5">
        <v>45914</v>
      </c>
      <c r="K246" s="1" t="s">
        <v>30</v>
      </c>
      <c r="L246" s="8">
        <v>0.2</v>
      </c>
      <c r="M246" s="6"/>
      <c r="N246" s="6"/>
      <c r="O246" s="9">
        <v>-46</v>
      </c>
    </row>
    <row r="247" spans="1:15" ht="19.5" customHeight="1">
      <c r="A247" s="1" t="s">
        <v>426</v>
      </c>
      <c r="B247" s="5">
        <v>45915</v>
      </c>
      <c r="C247" s="1" t="s">
        <v>31</v>
      </c>
      <c r="D247" s="1" t="s">
        <v>32</v>
      </c>
      <c r="E247" s="1" t="s">
        <v>25</v>
      </c>
      <c r="F247" s="1" t="s">
        <v>26</v>
      </c>
      <c r="G247" s="1" t="s">
        <v>21</v>
      </c>
      <c r="H247" s="6">
        <v>1</v>
      </c>
      <c r="I247" s="7">
        <v>1176</v>
      </c>
      <c r="J247" s="5">
        <v>45914</v>
      </c>
      <c r="K247" s="1" t="s">
        <v>30</v>
      </c>
      <c r="L247" s="8">
        <v>0</v>
      </c>
      <c r="M247" s="6"/>
      <c r="N247" s="6"/>
      <c r="O247" s="9">
        <v>616.19000000000005</v>
      </c>
    </row>
    <row r="248" spans="1:15" ht="19.5" customHeight="1">
      <c r="A248" s="1" t="s">
        <v>426</v>
      </c>
      <c r="B248" s="5">
        <v>45915</v>
      </c>
      <c r="C248" s="1" t="s">
        <v>31</v>
      </c>
      <c r="D248" s="1" t="s">
        <v>33</v>
      </c>
      <c r="E248" s="1" t="s">
        <v>25</v>
      </c>
      <c r="F248" s="1" t="s">
        <v>26</v>
      </c>
      <c r="G248" s="1" t="s">
        <v>21</v>
      </c>
      <c r="H248" s="6">
        <v>1</v>
      </c>
      <c r="I248" s="7">
        <v>1176</v>
      </c>
      <c r="J248" s="5">
        <v>45914</v>
      </c>
      <c r="K248" s="1" t="s">
        <v>30</v>
      </c>
      <c r="L248" s="8">
        <v>0</v>
      </c>
      <c r="M248" s="6"/>
      <c r="N248" s="6"/>
      <c r="O248" s="9">
        <v>4.53</v>
      </c>
    </row>
    <row r="249" spans="1:15" ht="19.5" customHeight="1">
      <c r="A249" s="1" t="s">
        <v>426</v>
      </c>
      <c r="B249" s="5">
        <v>45915</v>
      </c>
      <c r="C249" s="1" t="s">
        <v>31</v>
      </c>
      <c r="D249" s="1" t="s">
        <v>34</v>
      </c>
      <c r="E249" s="1" t="s">
        <v>25</v>
      </c>
      <c r="F249" s="1" t="s">
        <v>26</v>
      </c>
      <c r="G249" s="1" t="s">
        <v>21</v>
      </c>
      <c r="H249" s="6">
        <v>1</v>
      </c>
      <c r="I249" s="7">
        <v>1176</v>
      </c>
      <c r="J249" s="5">
        <v>45914</v>
      </c>
      <c r="K249" s="1" t="s">
        <v>30</v>
      </c>
      <c r="L249" s="8">
        <v>0</v>
      </c>
      <c r="M249" s="6"/>
      <c r="N249" s="6"/>
      <c r="O249" s="9">
        <v>555.28</v>
      </c>
    </row>
    <row r="250" spans="1:15" ht="19.5" customHeight="1">
      <c r="A250" s="1" t="s">
        <v>426</v>
      </c>
      <c r="B250" s="5">
        <v>45915</v>
      </c>
      <c r="C250" s="1" t="s">
        <v>35</v>
      </c>
      <c r="D250" s="1" t="s">
        <v>36</v>
      </c>
      <c r="E250" s="1" t="s">
        <v>25</v>
      </c>
      <c r="F250" s="1" t="s">
        <v>26</v>
      </c>
      <c r="G250" s="1" t="s">
        <v>21</v>
      </c>
      <c r="H250" s="6">
        <v>1</v>
      </c>
      <c r="I250" s="7">
        <v>1176</v>
      </c>
      <c r="J250" s="5">
        <v>45914</v>
      </c>
      <c r="K250" s="1" t="s">
        <v>30</v>
      </c>
      <c r="L250" s="8">
        <v>0.2</v>
      </c>
      <c r="M250" s="6"/>
      <c r="N250" s="6"/>
      <c r="O250" s="9">
        <v>-235.2</v>
      </c>
    </row>
    <row r="251" spans="1:15" ht="19.5" customHeight="1">
      <c r="A251" s="1" t="s">
        <v>426</v>
      </c>
      <c r="B251" s="5">
        <v>45915</v>
      </c>
      <c r="C251" s="1" t="s">
        <v>17</v>
      </c>
      <c r="D251" s="1" t="s">
        <v>37</v>
      </c>
      <c r="E251" s="1" t="s">
        <v>25</v>
      </c>
      <c r="F251" s="1" t="s">
        <v>26</v>
      </c>
      <c r="G251" s="1" t="s">
        <v>21</v>
      </c>
      <c r="H251" s="6">
        <v>1</v>
      </c>
      <c r="I251" s="7">
        <v>1176</v>
      </c>
      <c r="J251" s="5">
        <v>45914</v>
      </c>
      <c r="K251" s="1" t="s">
        <v>30</v>
      </c>
      <c r="L251" s="8">
        <v>0.2</v>
      </c>
      <c r="M251" s="6"/>
      <c r="N251" s="6"/>
      <c r="O251" s="9">
        <v>-5.88</v>
      </c>
    </row>
    <row r="252" spans="1:15" ht="19.5" customHeight="1">
      <c r="A252" s="1" t="s">
        <v>427</v>
      </c>
      <c r="B252" s="5">
        <v>45915</v>
      </c>
      <c r="C252" s="1" t="s">
        <v>28</v>
      </c>
      <c r="D252" s="1" t="s">
        <v>29</v>
      </c>
      <c r="E252" s="1" t="s">
        <v>226</v>
      </c>
      <c r="F252" s="1" t="s">
        <v>428</v>
      </c>
      <c r="G252" s="1" t="s">
        <v>21</v>
      </c>
      <c r="H252" s="6">
        <v>1</v>
      </c>
      <c r="I252" s="7">
        <v>1500</v>
      </c>
      <c r="J252" s="5">
        <v>45913</v>
      </c>
      <c r="K252" s="1" t="s">
        <v>30</v>
      </c>
      <c r="L252" s="8">
        <v>0.2</v>
      </c>
      <c r="M252" s="6"/>
      <c r="N252" s="6"/>
      <c r="O252" s="9">
        <v>-46</v>
      </c>
    </row>
    <row r="253" spans="1:15" ht="19.5" customHeight="1">
      <c r="A253" s="1" t="s">
        <v>427</v>
      </c>
      <c r="B253" s="5">
        <v>45915</v>
      </c>
      <c r="C253" s="1" t="s">
        <v>31</v>
      </c>
      <c r="D253" s="1" t="s">
        <v>32</v>
      </c>
      <c r="E253" s="1" t="s">
        <v>226</v>
      </c>
      <c r="F253" s="1" t="s">
        <v>428</v>
      </c>
      <c r="G253" s="1" t="s">
        <v>21</v>
      </c>
      <c r="H253" s="6">
        <v>1</v>
      </c>
      <c r="I253" s="7">
        <v>1500</v>
      </c>
      <c r="J253" s="5">
        <v>45913</v>
      </c>
      <c r="K253" s="1" t="s">
        <v>30</v>
      </c>
      <c r="L253" s="8">
        <v>0</v>
      </c>
      <c r="M253" s="6"/>
      <c r="N253" s="6"/>
      <c r="O253" s="9">
        <v>913.42</v>
      </c>
    </row>
    <row r="254" spans="1:15" ht="19.5" customHeight="1">
      <c r="A254" s="1" t="s">
        <v>427</v>
      </c>
      <c r="B254" s="5">
        <v>45915</v>
      </c>
      <c r="C254" s="1" t="s">
        <v>31</v>
      </c>
      <c r="D254" s="1" t="s">
        <v>33</v>
      </c>
      <c r="E254" s="1" t="s">
        <v>226</v>
      </c>
      <c r="F254" s="1" t="s">
        <v>428</v>
      </c>
      <c r="G254" s="1" t="s">
        <v>21</v>
      </c>
      <c r="H254" s="6">
        <v>1</v>
      </c>
      <c r="I254" s="7">
        <v>1500</v>
      </c>
      <c r="J254" s="5">
        <v>45913</v>
      </c>
      <c r="K254" s="1" t="s">
        <v>30</v>
      </c>
      <c r="L254" s="8">
        <v>0</v>
      </c>
      <c r="M254" s="6"/>
      <c r="N254" s="6"/>
      <c r="O254" s="9">
        <v>6.71</v>
      </c>
    </row>
    <row r="255" spans="1:15" ht="19.5" customHeight="1">
      <c r="A255" s="1" t="s">
        <v>427</v>
      </c>
      <c r="B255" s="5">
        <v>45915</v>
      </c>
      <c r="C255" s="1" t="s">
        <v>31</v>
      </c>
      <c r="D255" s="1" t="s">
        <v>34</v>
      </c>
      <c r="E255" s="1" t="s">
        <v>226</v>
      </c>
      <c r="F255" s="1" t="s">
        <v>428</v>
      </c>
      <c r="G255" s="1" t="s">
        <v>21</v>
      </c>
      <c r="H255" s="6">
        <v>1</v>
      </c>
      <c r="I255" s="7">
        <v>1500</v>
      </c>
      <c r="J255" s="5">
        <v>45913</v>
      </c>
      <c r="K255" s="1" t="s">
        <v>30</v>
      </c>
      <c r="L255" s="8">
        <v>0</v>
      </c>
      <c r="M255" s="6"/>
      <c r="N255" s="6"/>
      <c r="O255" s="9">
        <v>579.87</v>
      </c>
    </row>
    <row r="256" spans="1:15" ht="19.5" customHeight="1">
      <c r="A256" s="1" t="s">
        <v>427</v>
      </c>
      <c r="B256" s="5">
        <v>45915</v>
      </c>
      <c r="C256" s="1" t="s">
        <v>35</v>
      </c>
      <c r="D256" s="1" t="s">
        <v>36</v>
      </c>
      <c r="E256" s="1" t="s">
        <v>226</v>
      </c>
      <c r="F256" s="1" t="s">
        <v>428</v>
      </c>
      <c r="G256" s="1" t="s">
        <v>21</v>
      </c>
      <c r="H256" s="6">
        <v>1</v>
      </c>
      <c r="I256" s="7">
        <v>1500</v>
      </c>
      <c r="J256" s="5">
        <v>45913</v>
      </c>
      <c r="K256" s="1" t="s">
        <v>30</v>
      </c>
      <c r="L256" s="8">
        <v>0.2</v>
      </c>
      <c r="M256" s="6"/>
      <c r="N256" s="6"/>
      <c r="O256" s="9">
        <v>-300</v>
      </c>
    </row>
    <row r="257" spans="1:15" ht="19.5" customHeight="1">
      <c r="A257" s="1" t="s">
        <v>427</v>
      </c>
      <c r="B257" s="5">
        <v>45915</v>
      </c>
      <c r="C257" s="1" t="s">
        <v>17</v>
      </c>
      <c r="D257" s="1" t="s">
        <v>37</v>
      </c>
      <c r="E257" s="1" t="s">
        <v>226</v>
      </c>
      <c r="F257" s="1" t="s">
        <v>428</v>
      </c>
      <c r="G257" s="1" t="s">
        <v>21</v>
      </c>
      <c r="H257" s="6">
        <v>1</v>
      </c>
      <c r="I257" s="7">
        <v>1500</v>
      </c>
      <c r="J257" s="5">
        <v>45913</v>
      </c>
      <c r="K257" s="1" t="s">
        <v>30</v>
      </c>
      <c r="L257" s="8">
        <v>0.2</v>
      </c>
      <c r="M257" s="6"/>
      <c r="N257" s="6"/>
      <c r="O257" s="9">
        <v>-13.84</v>
      </c>
    </row>
    <row r="258" spans="1:15" ht="19.5" customHeight="1">
      <c r="A258" s="1" t="s">
        <v>429</v>
      </c>
      <c r="B258" s="5">
        <v>45915</v>
      </c>
      <c r="C258" s="1" t="s">
        <v>28</v>
      </c>
      <c r="D258" s="1" t="s">
        <v>29</v>
      </c>
      <c r="E258" s="1" t="s">
        <v>228</v>
      </c>
      <c r="F258" s="1" t="s">
        <v>393</v>
      </c>
      <c r="G258" s="1" t="s">
        <v>21</v>
      </c>
      <c r="H258" s="6">
        <v>1</v>
      </c>
      <c r="I258" s="7">
        <v>1500</v>
      </c>
      <c r="J258" s="5">
        <v>45913</v>
      </c>
      <c r="K258" s="1" t="s">
        <v>30</v>
      </c>
      <c r="L258" s="8">
        <v>0.2</v>
      </c>
      <c r="M258" s="6"/>
      <c r="N258" s="6"/>
      <c r="O258" s="9">
        <v>-46</v>
      </c>
    </row>
    <row r="259" spans="1:15" ht="19.5" customHeight="1">
      <c r="A259" s="1" t="s">
        <v>429</v>
      </c>
      <c r="B259" s="5">
        <v>45915</v>
      </c>
      <c r="C259" s="1" t="s">
        <v>31</v>
      </c>
      <c r="D259" s="1" t="s">
        <v>32</v>
      </c>
      <c r="E259" s="1" t="s">
        <v>228</v>
      </c>
      <c r="F259" s="1" t="s">
        <v>393</v>
      </c>
      <c r="G259" s="1" t="s">
        <v>21</v>
      </c>
      <c r="H259" s="6">
        <v>1</v>
      </c>
      <c r="I259" s="7">
        <v>1500</v>
      </c>
      <c r="J259" s="5">
        <v>45913</v>
      </c>
      <c r="K259" s="1" t="s">
        <v>30</v>
      </c>
      <c r="L259" s="8">
        <v>0</v>
      </c>
      <c r="M259" s="6"/>
      <c r="N259" s="6"/>
      <c r="O259" s="9">
        <v>909.09</v>
      </c>
    </row>
    <row r="260" spans="1:15" ht="19.5" customHeight="1">
      <c r="A260" s="1" t="s">
        <v>429</v>
      </c>
      <c r="B260" s="5">
        <v>45915</v>
      </c>
      <c r="C260" s="1" t="s">
        <v>31</v>
      </c>
      <c r="D260" s="1" t="s">
        <v>33</v>
      </c>
      <c r="E260" s="1" t="s">
        <v>228</v>
      </c>
      <c r="F260" s="1" t="s">
        <v>393</v>
      </c>
      <c r="G260" s="1" t="s">
        <v>21</v>
      </c>
      <c r="H260" s="6">
        <v>1</v>
      </c>
      <c r="I260" s="7">
        <v>1500</v>
      </c>
      <c r="J260" s="5">
        <v>45913</v>
      </c>
      <c r="K260" s="1" t="s">
        <v>30</v>
      </c>
      <c r="L260" s="8">
        <v>0</v>
      </c>
      <c r="M260" s="6"/>
      <c r="N260" s="6"/>
      <c r="O260" s="9">
        <v>6.68</v>
      </c>
    </row>
    <row r="261" spans="1:15" ht="19.5" customHeight="1">
      <c r="A261" s="1" t="s">
        <v>429</v>
      </c>
      <c r="B261" s="5">
        <v>45915</v>
      </c>
      <c r="C261" s="1" t="s">
        <v>31</v>
      </c>
      <c r="D261" s="1" t="s">
        <v>34</v>
      </c>
      <c r="E261" s="1" t="s">
        <v>228</v>
      </c>
      <c r="F261" s="1" t="s">
        <v>393</v>
      </c>
      <c r="G261" s="1" t="s">
        <v>21</v>
      </c>
      <c r="H261" s="6">
        <v>1</v>
      </c>
      <c r="I261" s="7">
        <v>1500</v>
      </c>
      <c r="J261" s="5">
        <v>45913</v>
      </c>
      <c r="K261" s="1" t="s">
        <v>30</v>
      </c>
      <c r="L261" s="8">
        <v>0</v>
      </c>
      <c r="M261" s="6"/>
      <c r="N261" s="6"/>
      <c r="O261" s="9">
        <v>584.23</v>
      </c>
    </row>
    <row r="262" spans="1:15" ht="19.5" customHeight="1">
      <c r="A262" s="1" t="s">
        <v>429</v>
      </c>
      <c r="B262" s="5">
        <v>45915</v>
      </c>
      <c r="C262" s="1" t="s">
        <v>35</v>
      </c>
      <c r="D262" s="1" t="s">
        <v>36</v>
      </c>
      <c r="E262" s="1" t="s">
        <v>228</v>
      </c>
      <c r="F262" s="1" t="s">
        <v>393</v>
      </c>
      <c r="G262" s="1" t="s">
        <v>21</v>
      </c>
      <c r="H262" s="6">
        <v>1</v>
      </c>
      <c r="I262" s="7">
        <v>1500</v>
      </c>
      <c r="J262" s="5">
        <v>45913</v>
      </c>
      <c r="K262" s="1" t="s">
        <v>30</v>
      </c>
      <c r="L262" s="8">
        <v>0.2</v>
      </c>
      <c r="M262" s="6"/>
      <c r="N262" s="6"/>
      <c r="O262" s="9">
        <v>-300</v>
      </c>
    </row>
    <row r="263" spans="1:15" ht="19.5" customHeight="1">
      <c r="A263" s="1" t="s">
        <v>429</v>
      </c>
      <c r="B263" s="5">
        <v>45915</v>
      </c>
      <c r="C263" s="1" t="s">
        <v>17</v>
      </c>
      <c r="D263" s="1" t="s">
        <v>37</v>
      </c>
      <c r="E263" s="1" t="s">
        <v>228</v>
      </c>
      <c r="F263" s="1" t="s">
        <v>393</v>
      </c>
      <c r="G263" s="1" t="s">
        <v>21</v>
      </c>
      <c r="H263" s="6">
        <v>1</v>
      </c>
      <c r="I263" s="7">
        <v>1500</v>
      </c>
      <c r="J263" s="5">
        <v>45913</v>
      </c>
      <c r="K263" s="1" t="s">
        <v>30</v>
      </c>
      <c r="L263" s="8">
        <v>0.2</v>
      </c>
      <c r="M263" s="6"/>
      <c r="N263" s="6"/>
      <c r="O263" s="9">
        <v>-6.87</v>
      </c>
    </row>
    <row r="264" spans="1:15" ht="19.5" customHeight="1">
      <c r="A264" s="1" t="s">
        <v>426</v>
      </c>
      <c r="B264" s="5">
        <v>45915</v>
      </c>
      <c r="C264" s="1" t="s">
        <v>17</v>
      </c>
      <c r="D264" s="1" t="s">
        <v>18</v>
      </c>
      <c r="E264" s="1" t="s">
        <v>25</v>
      </c>
      <c r="F264" s="1" t="s">
        <v>26</v>
      </c>
      <c r="G264" s="1" t="s">
        <v>21</v>
      </c>
      <c r="H264" s="6">
        <v>1</v>
      </c>
      <c r="I264" s="7">
        <v>0</v>
      </c>
      <c r="J264" s="5">
        <v>45914</v>
      </c>
      <c r="K264" s="1" t="s">
        <v>22</v>
      </c>
      <c r="L264" s="8">
        <v>0</v>
      </c>
      <c r="M264" s="6"/>
      <c r="N264" s="6"/>
      <c r="O264" s="9">
        <v>-11.71</v>
      </c>
    </row>
    <row r="265" spans="1:15" ht="19.5" customHeight="1">
      <c r="A265" s="1" t="s">
        <v>429</v>
      </c>
      <c r="B265" s="5">
        <v>45915</v>
      </c>
      <c r="C265" s="1" t="s">
        <v>17</v>
      </c>
      <c r="D265" s="1" t="s">
        <v>18</v>
      </c>
      <c r="E265" s="1" t="s">
        <v>228</v>
      </c>
      <c r="F265" s="1" t="s">
        <v>393</v>
      </c>
      <c r="G265" s="1" t="s">
        <v>21</v>
      </c>
      <c r="H265" s="6">
        <v>1</v>
      </c>
      <c r="I265" s="7">
        <v>0</v>
      </c>
      <c r="J265" s="5">
        <v>45913</v>
      </c>
      <c r="K265" s="1" t="s">
        <v>22</v>
      </c>
      <c r="L265" s="8">
        <v>0</v>
      </c>
      <c r="M265" s="6"/>
      <c r="N265" s="6"/>
      <c r="O265" s="9">
        <v>-17.27</v>
      </c>
    </row>
    <row r="266" spans="1:15" ht="19.5" customHeight="1">
      <c r="A266" s="1" t="s">
        <v>427</v>
      </c>
      <c r="B266" s="5">
        <v>45915</v>
      </c>
      <c r="C266" s="1" t="s">
        <v>17</v>
      </c>
      <c r="D266" s="1" t="s">
        <v>18</v>
      </c>
      <c r="E266" s="1" t="s">
        <v>226</v>
      </c>
      <c r="F266" s="1" t="s">
        <v>428</v>
      </c>
      <c r="G266" s="1" t="s">
        <v>21</v>
      </c>
      <c r="H266" s="6">
        <v>1</v>
      </c>
      <c r="I266" s="7">
        <v>0</v>
      </c>
      <c r="J266" s="5">
        <v>45913</v>
      </c>
      <c r="K266" s="1" t="s">
        <v>22</v>
      </c>
      <c r="L266" s="8">
        <v>0</v>
      </c>
      <c r="M266" s="6"/>
      <c r="N266" s="6"/>
      <c r="O266" s="9">
        <v>-17.350000000000001</v>
      </c>
    </row>
    <row r="267" spans="1:15" ht="19.5" customHeight="1">
      <c r="A267" s="1" t="s">
        <v>430</v>
      </c>
      <c r="B267" s="5">
        <v>45915</v>
      </c>
      <c r="C267" s="1" t="s">
        <v>28</v>
      </c>
      <c r="D267" s="1" t="s">
        <v>29</v>
      </c>
      <c r="E267" s="1" t="s">
        <v>25</v>
      </c>
      <c r="F267" s="1" t="s">
        <v>26</v>
      </c>
      <c r="G267" s="1" t="s">
        <v>21</v>
      </c>
      <c r="H267" s="6">
        <v>1</v>
      </c>
      <c r="I267" s="7">
        <v>1176</v>
      </c>
      <c r="J267" s="5">
        <v>45914</v>
      </c>
      <c r="K267" s="1" t="s">
        <v>30</v>
      </c>
      <c r="L267" s="8">
        <v>0.2</v>
      </c>
      <c r="M267" s="6"/>
      <c r="N267" s="6"/>
      <c r="O267" s="9">
        <v>-46</v>
      </c>
    </row>
    <row r="268" spans="1:15" ht="19.5" customHeight="1">
      <c r="A268" s="1" t="s">
        <v>430</v>
      </c>
      <c r="B268" s="5">
        <v>45915</v>
      </c>
      <c r="C268" s="1" t="s">
        <v>31</v>
      </c>
      <c r="D268" s="1" t="s">
        <v>32</v>
      </c>
      <c r="E268" s="1" t="s">
        <v>25</v>
      </c>
      <c r="F268" s="1" t="s">
        <v>26</v>
      </c>
      <c r="G268" s="1" t="s">
        <v>21</v>
      </c>
      <c r="H268" s="6">
        <v>1</v>
      </c>
      <c r="I268" s="7">
        <v>1176</v>
      </c>
      <c r="J268" s="5">
        <v>45914</v>
      </c>
      <c r="K268" s="1" t="s">
        <v>30</v>
      </c>
      <c r="L268" s="8">
        <v>0</v>
      </c>
      <c r="M268" s="6"/>
      <c r="N268" s="6"/>
      <c r="O268" s="9">
        <v>671.74</v>
      </c>
    </row>
    <row r="269" spans="1:15" ht="19.5" customHeight="1">
      <c r="A269" s="1" t="s">
        <v>430</v>
      </c>
      <c r="B269" s="5">
        <v>45915</v>
      </c>
      <c r="C269" s="1" t="s">
        <v>31</v>
      </c>
      <c r="D269" s="1" t="s">
        <v>33</v>
      </c>
      <c r="E269" s="1" t="s">
        <v>25</v>
      </c>
      <c r="F269" s="1" t="s">
        <v>26</v>
      </c>
      <c r="G269" s="1" t="s">
        <v>21</v>
      </c>
      <c r="H269" s="6">
        <v>1</v>
      </c>
      <c r="I269" s="7">
        <v>1176</v>
      </c>
      <c r="J269" s="5">
        <v>45914</v>
      </c>
      <c r="K269" s="1" t="s">
        <v>30</v>
      </c>
      <c r="L269" s="8">
        <v>0</v>
      </c>
      <c r="M269" s="6"/>
      <c r="N269" s="6"/>
      <c r="O269" s="9">
        <v>0</v>
      </c>
    </row>
    <row r="270" spans="1:15" ht="19.5" customHeight="1">
      <c r="A270" s="1" t="s">
        <v>430</v>
      </c>
      <c r="B270" s="5">
        <v>45915</v>
      </c>
      <c r="C270" s="1" t="s">
        <v>31</v>
      </c>
      <c r="D270" s="1" t="s">
        <v>34</v>
      </c>
      <c r="E270" s="1" t="s">
        <v>25</v>
      </c>
      <c r="F270" s="1" t="s">
        <v>26</v>
      </c>
      <c r="G270" s="1" t="s">
        <v>21</v>
      </c>
      <c r="H270" s="6">
        <v>1</v>
      </c>
      <c r="I270" s="7">
        <v>1176</v>
      </c>
      <c r="J270" s="5">
        <v>45914</v>
      </c>
      <c r="K270" s="1" t="s">
        <v>30</v>
      </c>
      <c r="L270" s="8">
        <v>0</v>
      </c>
      <c r="M270" s="6"/>
      <c r="N270" s="6"/>
      <c r="O270" s="9">
        <v>504.26</v>
      </c>
    </row>
    <row r="271" spans="1:15" ht="19.5" customHeight="1">
      <c r="A271" s="1" t="s">
        <v>430</v>
      </c>
      <c r="B271" s="5">
        <v>45915</v>
      </c>
      <c r="C271" s="1" t="s">
        <v>35</v>
      </c>
      <c r="D271" s="1" t="s">
        <v>36</v>
      </c>
      <c r="E271" s="1" t="s">
        <v>25</v>
      </c>
      <c r="F271" s="1" t="s">
        <v>26</v>
      </c>
      <c r="G271" s="1" t="s">
        <v>21</v>
      </c>
      <c r="H271" s="6">
        <v>1</v>
      </c>
      <c r="I271" s="7">
        <v>1176</v>
      </c>
      <c r="J271" s="5">
        <v>45914</v>
      </c>
      <c r="K271" s="1" t="s">
        <v>30</v>
      </c>
      <c r="L271" s="8">
        <v>0.2</v>
      </c>
      <c r="M271" s="6"/>
      <c r="N271" s="6"/>
      <c r="O271" s="9">
        <v>-235.2</v>
      </c>
    </row>
    <row r="272" spans="1:15" ht="19.5" customHeight="1">
      <c r="A272" s="1" t="s">
        <v>430</v>
      </c>
      <c r="B272" s="5">
        <v>45915</v>
      </c>
      <c r="C272" s="1" t="s">
        <v>17</v>
      </c>
      <c r="D272" s="1" t="s">
        <v>37</v>
      </c>
      <c r="E272" s="1" t="s">
        <v>25</v>
      </c>
      <c r="F272" s="1" t="s">
        <v>26</v>
      </c>
      <c r="G272" s="1" t="s">
        <v>21</v>
      </c>
      <c r="H272" s="6">
        <v>1</v>
      </c>
      <c r="I272" s="7">
        <v>1176</v>
      </c>
      <c r="J272" s="5">
        <v>45914</v>
      </c>
      <c r="K272" s="1" t="s">
        <v>30</v>
      </c>
      <c r="L272" s="8">
        <v>0.2</v>
      </c>
      <c r="M272" s="6"/>
      <c r="N272" s="6"/>
      <c r="O272" s="9">
        <v>-10.3</v>
      </c>
    </row>
    <row r="273" spans="1:15" ht="19.5" customHeight="1">
      <c r="A273" s="1" t="s">
        <v>431</v>
      </c>
      <c r="B273" s="5">
        <v>45915</v>
      </c>
      <c r="C273" s="1" t="s">
        <v>28</v>
      </c>
      <c r="D273" s="1" t="s">
        <v>29</v>
      </c>
      <c r="E273" s="1" t="s">
        <v>25</v>
      </c>
      <c r="F273" s="1" t="s">
        <v>26</v>
      </c>
      <c r="G273" s="1" t="s">
        <v>21</v>
      </c>
      <c r="H273" s="6">
        <v>1</v>
      </c>
      <c r="I273" s="7">
        <v>1176</v>
      </c>
      <c r="J273" s="5">
        <v>45913</v>
      </c>
      <c r="K273" s="1" t="s">
        <v>30</v>
      </c>
      <c r="L273" s="8">
        <v>0.2</v>
      </c>
      <c r="M273" s="6"/>
      <c r="N273" s="6"/>
      <c r="O273" s="9">
        <v>-46</v>
      </c>
    </row>
    <row r="274" spans="1:15" ht="19.5" customHeight="1">
      <c r="A274" s="1" t="s">
        <v>431</v>
      </c>
      <c r="B274" s="5">
        <v>45915</v>
      </c>
      <c r="C274" s="1" t="s">
        <v>31</v>
      </c>
      <c r="D274" s="1" t="s">
        <v>32</v>
      </c>
      <c r="E274" s="1" t="s">
        <v>25</v>
      </c>
      <c r="F274" s="1" t="s">
        <v>26</v>
      </c>
      <c r="G274" s="1" t="s">
        <v>21</v>
      </c>
      <c r="H274" s="6">
        <v>1</v>
      </c>
      <c r="I274" s="7">
        <v>1176</v>
      </c>
      <c r="J274" s="5">
        <v>45913</v>
      </c>
      <c r="K274" s="1" t="s">
        <v>30</v>
      </c>
      <c r="L274" s="8">
        <v>0</v>
      </c>
      <c r="M274" s="6"/>
      <c r="N274" s="6"/>
      <c r="O274" s="9">
        <v>616.19000000000005</v>
      </c>
    </row>
    <row r="275" spans="1:15" ht="19.5" customHeight="1">
      <c r="A275" s="1" t="s">
        <v>431</v>
      </c>
      <c r="B275" s="5">
        <v>45915</v>
      </c>
      <c r="C275" s="1" t="s">
        <v>31</v>
      </c>
      <c r="D275" s="1" t="s">
        <v>33</v>
      </c>
      <c r="E275" s="1" t="s">
        <v>25</v>
      </c>
      <c r="F275" s="1" t="s">
        <v>26</v>
      </c>
      <c r="G275" s="1" t="s">
        <v>21</v>
      </c>
      <c r="H275" s="6">
        <v>1</v>
      </c>
      <c r="I275" s="7">
        <v>1176</v>
      </c>
      <c r="J275" s="5">
        <v>45913</v>
      </c>
      <c r="K275" s="1" t="s">
        <v>30</v>
      </c>
      <c r="L275" s="8">
        <v>0</v>
      </c>
      <c r="M275" s="6"/>
      <c r="N275" s="6"/>
      <c r="O275" s="9">
        <v>4.53</v>
      </c>
    </row>
    <row r="276" spans="1:15" ht="19.5" customHeight="1">
      <c r="A276" s="1" t="s">
        <v>431</v>
      </c>
      <c r="B276" s="5">
        <v>45915</v>
      </c>
      <c r="C276" s="1" t="s">
        <v>31</v>
      </c>
      <c r="D276" s="1" t="s">
        <v>34</v>
      </c>
      <c r="E276" s="1" t="s">
        <v>25</v>
      </c>
      <c r="F276" s="1" t="s">
        <v>26</v>
      </c>
      <c r="G276" s="1" t="s">
        <v>21</v>
      </c>
      <c r="H276" s="6">
        <v>1</v>
      </c>
      <c r="I276" s="7">
        <v>1176</v>
      </c>
      <c r="J276" s="5">
        <v>45913</v>
      </c>
      <c r="K276" s="1" t="s">
        <v>30</v>
      </c>
      <c r="L276" s="8">
        <v>0</v>
      </c>
      <c r="M276" s="6"/>
      <c r="N276" s="6"/>
      <c r="O276" s="9">
        <v>555.28</v>
      </c>
    </row>
    <row r="277" spans="1:15" ht="19.5" customHeight="1">
      <c r="A277" s="1" t="s">
        <v>431</v>
      </c>
      <c r="B277" s="5">
        <v>45915</v>
      </c>
      <c r="C277" s="1" t="s">
        <v>35</v>
      </c>
      <c r="D277" s="1" t="s">
        <v>36</v>
      </c>
      <c r="E277" s="1" t="s">
        <v>25</v>
      </c>
      <c r="F277" s="1" t="s">
        <v>26</v>
      </c>
      <c r="G277" s="1" t="s">
        <v>21</v>
      </c>
      <c r="H277" s="6">
        <v>1</v>
      </c>
      <c r="I277" s="7">
        <v>1176</v>
      </c>
      <c r="J277" s="5">
        <v>45913</v>
      </c>
      <c r="K277" s="1" t="s">
        <v>30</v>
      </c>
      <c r="L277" s="8">
        <v>0.2</v>
      </c>
      <c r="M277" s="6"/>
      <c r="N277" s="6"/>
      <c r="O277" s="9">
        <v>-235.2</v>
      </c>
    </row>
    <row r="278" spans="1:15" ht="19.5" customHeight="1">
      <c r="A278" s="1" t="s">
        <v>431</v>
      </c>
      <c r="B278" s="5">
        <v>45915</v>
      </c>
      <c r="C278" s="1" t="s">
        <v>17</v>
      </c>
      <c r="D278" s="1" t="s">
        <v>37</v>
      </c>
      <c r="E278" s="1" t="s">
        <v>25</v>
      </c>
      <c r="F278" s="1" t="s">
        <v>26</v>
      </c>
      <c r="G278" s="1" t="s">
        <v>21</v>
      </c>
      <c r="H278" s="6">
        <v>1</v>
      </c>
      <c r="I278" s="7">
        <v>1176</v>
      </c>
      <c r="J278" s="5">
        <v>45913</v>
      </c>
      <c r="K278" s="1" t="s">
        <v>30</v>
      </c>
      <c r="L278" s="8">
        <v>0.2</v>
      </c>
      <c r="M278" s="6"/>
      <c r="N278" s="6"/>
      <c r="O278" s="9">
        <v>-5.19</v>
      </c>
    </row>
    <row r="279" spans="1:15" ht="19.5" customHeight="1">
      <c r="A279" s="1" t="s">
        <v>431</v>
      </c>
      <c r="B279" s="5">
        <v>45915</v>
      </c>
      <c r="C279" s="1" t="s">
        <v>17</v>
      </c>
      <c r="D279" s="1" t="s">
        <v>18</v>
      </c>
      <c r="E279" s="1" t="s">
        <v>25</v>
      </c>
      <c r="F279" s="1" t="s">
        <v>26</v>
      </c>
      <c r="G279" s="1" t="s">
        <v>21</v>
      </c>
      <c r="H279" s="6">
        <v>1</v>
      </c>
      <c r="I279" s="7">
        <v>0</v>
      </c>
      <c r="J279" s="5">
        <v>45913</v>
      </c>
      <c r="K279" s="1" t="s">
        <v>22</v>
      </c>
      <c r="L279" s="8">
        <v>0</v>
      </c>
      <c r="M279" s="6"/>
      <c r="N279" s="6"/>
      <c r="O279" s="9">
        <v>-11.71</v>
      </c>
    </row>
    <row r="280" spans="1:15" ht="19.5" customHeight="1">
      <c r="A280" s="1" t="s">
        <v>432</v>
      </c>
      <c r="B280" s="5">
        <v>45915</v>
      </c>
      <c r="C280" s="1" t="s">
        <v>28</v>
      </c>
      <c r="D280" s="1" t="s">
        <v>29</v>
      </c>
      <c r="E280" s="1" t="s">
        <v>25</v>
      </c>
      <c r="F280" s="1" t="s">
        <v>26</v>
      </c>
      <c r="G280" s="1" t="s">
        <v>21</v>
      </c>
      <c r="H280" s="6">
        <v>1</v>
      </c>
      <c r="I280" s="7">
        <v>0</v>
      </c>
      <c r="J280" s="5">
        <v>45913</v>
      </c>
      <c r="K280" s="1" t="s">
        <v>30</v>
      </c>
      <c r="L280" s="8">
        <v>0</v>
      </c>
      <c r="M280" s="6"/>
      <c r="N280" s="6"/>
      <c r="O280" s="9">
        <v>-46</v>
      </c>
    </row>
    <row r="281" spans="1:15" ht="19.5" customHeight="1">
      <c r="A281" s="1" t="s">
        <v>81</v>
      </c>
      <c r="B281" s="5">
        <v>45915</v>
      </c>
      <c r="C281" s="1" t="s">
        <v>77</v>
      </c>
      <c r="D281" s="1" t="s">
        <v>82</v>
      </c>
      <c r="E281" s="1" t="s">
        <v>22</v>
      </c>
      <c r="F281" s="1" t="s">
        <v>22</v>
      </c>
      <c r="G281" s="1" t="s">
        <v>22</v>
      </c>
      <c r="H281" s="6">
        <v>0</v>
      </c>
      <c r="I281" s="7">
        <v>0</v>
      </c>
      <c r="J281" s="5">
        <v>45915</v>
      </c>
      <c r="K281" s="1" t="s">
        <v>22</v>
      </c>
      <c r="L281" s="8">
        <v>0</v>
      </c>
      <c r="M281" s="6"/>
      <c r="N281" s="6"/>
      <c r="O281" s="9">
        <v>-864.55</v>
      </c>
    </row>
    <row r="282" spans="1:15" ht="19.5" customHeight="1">
      <c r="A282" s="1" t="s">
        <v>83</v>
      </c>
      <c r="B282" s="5">
        <v>45915</v>
      </c>
      <c r="C282" s="1" t="s">
        <v>77</v>
      </c>
      <c r="D282" s="1" t="s">
        <v>84</v>
      </c>
      <c r="E282" s="1" t="s">
        <v>22</v>
      </c>
      <c r="F282" s="1" t="s">
        <v>22</v>
      </c>
      <c r="G282" s="1" t="s">
        <v>22</v>
      </c>
      <c r="H282" s="6">
        <v>0</v>
      </c>
      <c r="I282" s="7">
        <v>0</v>
      </c>
      <c r="J282" s="5">
        <v>45915</v>
      </c>
      <c r="K282" s="1" t="s">
        <v>22</v>
      </c>
      <c r="L282" s="8">
        <v>0</v>
      </c>
      <c r="M282" s="6"/>
      <c r="N282" s="6"/>
      <c r="O282" s="9">
        <v>-481.68</v>
      </c>
    </row>
    <row r="283" spans="1:15" ht="19.5" customHeight="1">
      <c r="A283" s="1" t="s">
        <v>85</v>
      </c>
      <c r="B283" s="5">
        <v>45915</v>
      </c>
      <c r="C283" s="1" t="s">
        <v>77</v>
      </c>
      <c r="D283" s="1" t="s">
        <v>82</v>
      </c>
      <c r="E283" s="1" t="s">
        <v>22</v>
      </c>
      <c r="F283" s="1" t="s">
        <v>22</v>
      </c>
      <c r="G283" s="1" t="s">
        <v>22</v>
      </c>
      <c r="H283" s="6">
        <v>0</v>
      </c>
      <c r="I283" s="7">
        <v>0</v>
      </c>
      <c r="J283" s="5">
        <v>45915</v>
      </c>
      <c r="K283" s="1" t="s">
        <v>22</v>
      </c>
      <c r="L283" s="8">
        <v>0</v>
      </c>
      <c r="M283" s="6"/>
      <c r="N283" s="6"/>
      <c r="O283" s="9">
        <v>-210.97</v>
      </c>
    </row>
    <row r="284" spans="1:15" ht="19.5" customHeight="1">
      <c r="A284" s="1" t="s">
        <v>433</v>
      </c>
      <c r="B284" s="5">
        <v>45916</v>
      </c>
      <c r="C284" s="1" t="s">
        <v>28</v>
      </c>
      <c r="D284" s="1" t="s">
        <v>29</v>
      </c>
      <c r="E284" s="1" t="s">
        <v>222</v>
      </c>
      <c r="F284" s="1" t="s">
        <v>412</v>
      </c>
      <c r="G284" s="1" t="s">
        <v>21</v>
      </c>
      <c r="H284" s="6">
        <v>1</v>
      </c>
      <c r="I284" s="7">
        <v>1300</v>
      </c>
      <c r="J284" s="5">
        <v>45913</v>
      </c>
      <c r="K284" s="1" t="s">
        <v>30</v>
      </c>
      <c r="L284" s="8">
        <v>0.2</v>
      </c>
      <c r="M284" s="6"/>
      <c r="N284" s="6"/>
      <c r="O284" s="9">
        <v>-46</v>
      </c>
    </row>
    <row r="285" spans="1:15" ht="19.5" customHeight="1">
      <c r="A285" s="1" t="s">
        <v>433</v>
      </c>
      <c r="B285" s="5">
        <v>45916</v>
      </c>
      <c r="C285" s="1" t="s">
        <v>31</v>
      </c>
      <c r="D285" s="1" t="s">
        <v>32</v>
      </c>
      <c r="E285" s="1" t="s">
        <v>222</v>
      </c>
      <c r="F285" s="1" t="s">
        <v>412</v>
      </c>
      <c r="G285" s="1" t="s">
        <v>21</v>
      </c>
      <c r="H285" s="6">
        <v>1</v>
      </c>
      <c r="I285" s="7">
        <v>1300</v>
      </c>
      <c r="J285" s="5">
        <v>45913</v>
      </c>
      <c r="K285" s="1" t="s">
        <v>30</v>
      </c>
      <c r="L285" s="8">
        <v>0</v>
      </c>
      <c r="M285" s="6"/>
      <c r="N285" s="6"/>
      <c r="O285" s="9">
        <v>808.75</v>
      </c>
    </row>
    <row r="286" spans="1:15" ht="19.5" customHeight="1">
      <c r="A286" s="1" t="s">
        <v>433</v>
      </c>
      <c r="B286" s="5">
        <v>45916</v>
      </c>
      <c r="C286" s="1" t="s">
        <v>31</v>
      </c>
      <c r="D286" s="1" t="s">
        <v>33</v>
      </c>
      <c r="E286" s="1" t="s">
        <v>222</v>
      </c>
      <c r="F286" s="1" t="s">
        <v>412</v>
      </c>
      <c r="G286" s="1" t="s">
        <v>21</v>
      </c>
      <c r="H286" s="6">
        <v>1</v>
      </c>
      <c r="I286" s="7">
        <v>1300</v>
      </c>
      <c r="J286" s="5">
        <v>45913</v>
      </c>
      <c r="K286" s="1" t="s">
        <v>30</v>
      </c>
      <c r="L286" s="8">
        <v>0</v>
      </c>
      <c r="M286" s="6"/>
      <c r="N286" s="6"/>
      <c r="O286" s="9">
        <v>0</v>
      </c>
    </row>
    <row r="287" spans="1:15" ht="19.5" customHeight="1">
      <c r="A287" s="1" t="s">
        <v>433</v>
      </c>
      <c r="B287" s="5">
        <v>45916</v>
      </c>
      <c r="C287" s="1" t="s">
        <v>31</v>
      </c>
      <c r="D287" s="1" t="s">
        <v>34</v>
      </c>
      <c r="E287" s="1" t="s">
        <v>222</v>
      </c>
      <c r="F287" s="1" t="s">
        <v>412</v>
      </c>
      <c r="G287" s="1" t="s">
        <v>21</v>
      </c>
      <c r="H287" s="6">
        <v>1</v>
      </c>
      <c r="I287" s="7">
        <v>1300</v>
      </c>
      <c r="J287" s="5">
        <v>45913</v>
      </c>
      <c r="K287" s="1" t="s">
        <v>30</v>
      </c>
      <c r="L287" s="8">
        <v>0</v>
      </c>
      <c r="M287" s="6"/>
      <c r="N287" s="6"/>
      <c r="O287" s="9">
        <v>491.25</v>
      </c>
    </row>
    <row r="288" spans="1:15" ht="19.5" customHeight="1">
      <c r="A288" s="1" t="s">
        <v>433</v>
      </c>
      <c r="B288" s="5">
        <v>45916</v>
      </c>
      <c r="C288" s="1" t="s">
        <v>35</v>
      </c>
      <c r="D288" s="1" t="s">
        <v>36</v>
      </c>
      <c r="E288" s="1" t="s">
        <v>222</v>
      </c>
      <c r="F288" s="1" t="s">
        <v>412</v>
      </c>
      <c r="G288" s="1" t="s">
        <v>21</v>
      </c>
      <c r="H288" s="6">
        <v>1</v>
      </c>
      <c r="I288" s="7">
        <v>1300</v>
      </c>
      <c r="J288" s="5">
        <v>45913</v>
      </c>
      <c r="K288" s="1" t="s">
        <v>30</v>
      </c>
      <c r="L288" s="8">
        <v>0.2</v>
      </c>
      <c r="M288" s="6"/>
      <c r="N288" s="6"/>
      <c r="O288" s="9">
        <v>-260</v>
      </c>
    </row>
    <row r="289" spans="1:15" ht="19.5" customHeight="1">
      <c r="A289" s="1" t="s">
        <v>433</v>
      </c>
      <c r="B289" s="5">
        <v>45916</v>
      </c>
      <c r="C289" s="1" t="s">
        <v>17</v>
      </c>
      <c r="D289" s="1" t="s">
        <v>37</v>
      </c>
      <c r="E289" s="1" t="s">
        <v>222</v>
      </c>
      <c r="F289" s="1" t="s">
        <v>412</v>
      </c>
      <c r="G289" s="1" t="s">
        <v>21</v>
      </c>
      <c r="H289" s="6">
        <v>1</v>
      </c>
      <c r="I289" s="7">
        <v>1300</v>
      </c>
      <c r="J289" s="5">
        <v>45913</v>
      </c>
      <c r="K289" s="1" t="s">
        <v>30</v>
      </c>
      <c r="L289" s="8">
        <v>0.2</v>
      </c>
      <c r="M289" s="6"/>
      <c r="N289" s="6"/>
      <c r="O289" s="9">
        <v>-11.03</v>
      </c>
    </row>
    <row r="290" spans="1:15" ht="19.5" customHeight="1">
      <c r="A290" s="1" t="s">
        <v>434</v>
      </c>
      <c r="B290" s="5">
        <v>45916</v>
      </c>
      <c r="C290" s="1" t="s">
        <v>28</v>
      </c>
      <c r="D290" s="1" t="s">
        <v>29</v>
      </c>
      <c r="E290" s="1" t="s">
        <v>25</v>
      </c>
      <c r="F290" s="1" t="s">
        <v>26</v>
      </c>
      <c r="G290" s="1" t="s">
        <v>21</v>
      </c>
      <c r="H290" s="6">
        <v>1</v>
      </c>
      <c r="I290" s="7">
        <v>1176</v>
      </c>
      <c r="J290" s="5">
        <v>45914</v>
      </c>
      <c r="K290" s="1" t="s">
        <v>30</v>
      </c>
      <c r="L290" s="8">
        <v>0.2</v>
      </c>
      <c r="M290" s="6"/>
      <c r="N290" s="6"/>
      <c r="O290" s="9">
        <v>-46</v>
      </c>
    </row>
    <row r="291" spans="1:15" ht="19.5" customHeight="1">
      <c r="A291" s="1" t="s">
        <v>434</v>
      </c>
      <c r="B291" s="5">
        <v>45916</v>
      </c>
      <c r="C291" s="1" t="s">
        <v>31</v>
      </c>
      <c r="D291" s="1" t="s">
        <v>32</v>
      </c>
      <c r="E291" s="1" t="s">
        <v>25</v>
      </c>
      <c r="F291" s="1" t="s">
        <v>26</v>
      </c>
      <c r="G291" s="1" t="s">
        <v>21</v>
      </c>
      <c r="H291" s="6">
        <v>1</v>
      </c>
      <c r="I291" s="7">
        <v>1176</v>
      </c>
      <c r="J291" s="5">
        <v>45914</v>
      </c>
      <c r="K291" s="1" t="s">
        <v>30</v>
      </c>
      <c r="L291" s="8">
        <v>0</v>
      </c>
      <c r="M291" s="6"/>
      <c r="N291" s="6"/>
      <c r="O291" s="9">
        <v>672.38</v>
      </c>
    </row>
    <row r="292" spans="1:15" ht="19.5" customHeight="1">
      <c r="A292" s="1" t="s">
        <v>434</v>
      </c>
      <c r="B292" s="5">
        <v>45916</v>
      </c>
      <c r="C292" s="1" t="s">
        <v>31</v>
      </c>
      <c r="D292" s="1" t="s">
        <v>33</v>
      </c>
      <c r="E292" s="1" t="s">
        <v>25</v>
      </c>
      <c r="F292" s="1" t="s">
        <v>26</v>
      </c>
      <c r="G292" s="1" t="s">
        <v>21</v>
      </c>
      <c r="H292" s="6">
        <v>1</v>
      </c>
      <c r="I292" s="7">
        <v>1176</v>
      </c>
      <c r="J292" s="5">
        <v>45914</v>
      </c>
      <c r="K292" s="1" t="s">
        <v>30</v>
      </c>
      <c r="L292" s="8">
        <v>0</v>
      </c>
      <c r="M292" s="6"/>
      <c r="N292" s="6"/>
      <c r="O292" s="9">
        <v>0</v>
      </c>
    </row>
    <row r="293" spans="1:15" ht="19.5" customHeight="1">
      <c r="A293" s="1" t="s">
        <v>434</v>
      </c>
      <c r="B293" s="5">
        <v>45916</v>
      </c>
      <c r="C293" s="1" t="s">
        <v>31</v>
      </c>
      <c r="D293" s="1" t="s">
        <v>34</v>
      </c>
      <c r="E293" s="1" t="s">
        <v>25</v>
      </c>
      <c r="F293" s="1" t="s">
        <v>26</v>
      </c>
      <c r="G293" s="1" t="s">
        <v>21</v>
      </c>
      <c r="H293" s="6">
        <v>1</v>
      </c>
      <c r="I293" s="7">
        <v>1176</v>
      </c>
      <c r="J293" s="5">
        <v>45914</v>
      </c>
      <c r="K293" s="1" t="s">
        <v>30</v>
      </c>
      <c r="L293" s="8">
        <v>0</v>
      </c>
      <c r="M293" s="6"/>
      <c r="N293" s="6"/>
      <c r="O293" s="9">
        <v>503.62</v>
      </c>
    </row>
    <row r="294" spans="1:15" ht="19.5" customHeight="1">
      <c r="A294" s="1" t="s">
        <v>434</v>
      </c>
      <c r="B294" s="5">
        <v>45916</v>
      </c>
      <c r="C294" s="1" t="s">
        <v>35</v>
      </c>
      <c r="D294" s="1" t="s">
        <v>36</v>
      </c>
      <c r="E294" s="1" t="s">
        <v>25</v>
      </c>
      <c r="F294" s="1" t="s">
        <v>26</v>
      </c>
      <c r="G294" s="1" t="s">
        <v>21</v>
      </c>
      <c r="H294" s="6">
        <v>1</v>
      </c>
      <c r="I294" s="7">
        <v>1176</v>
      </c>
      <c r="J294" s="5">
        <v>45914</v>
      </c>
      <c r="K294" s="1" t="s">
        <v>30</v>
      </c>
      <c r="L294" s="8">
        <v>0.2</v>
      </c>
      <c r="M294" s="6"/>
      <c r="N294" s="6"/>
      <c r="O294" s="9">
        <v>-235.2</v>
      </c>
    </row>
    <row r="295" spans="1:15" ht="19.5" customHeight="1">
      <c r="A295" s="1" t="s">
        <v>434</v>
      </c>
      <c r="B295" s="5">
        <v>45916</v>
      </c>
      <c r="C295" s="1" t="s">
        <v>17</v>
      </c>
      <c r="D295" s="1" t="s">
        <v>37</v>
      </c>
      <c r="E295" s="1" t="s">
        <v>25</v>
      </c>
      <c r="F295" s="1" t="s">
        <v>26</v>
      </c>
      <c r="G295" s="1" t="s">
        <v>21</v>
      </c>
      <c r="H295" s="6">
        <v>1</v>
      </c>
      <c r="I295" s="7">
        <v>1176</v>
      </c>
      <c r="J295" s="5">
        <v>45914</v>
      </c>
      <c r="K295" s="1" t="s">
        <v>30</v>
      </c>
      <c r="L295" s="8">
        <v>0.2</v>
      </c>
      <c r="M295" s="6"/>
      <c r="N295" s="6"/>
      <c r="O295" s="9">
        <v>-4.5199999999999996</v>
      </c>
    </row>
    <row r="296" spans="1:15" ht="19.5" customHeight="1">
      <c r="A296" s="1" t="s">
        <v>435</v>
      </c>
      <c r="B296" s="5">
        <v>45916</v>
      </c>
      <c r="C296" s="1" t="s">
        <v>28</v>
      </c>
      <c r="D296" s="1" t="s">
        <v>29</v>
      </c>
      <c r="E296" s="1" t="s">
        <v>25</v>
      </c>
      <c r="F296" s="1" t="s">
        <v>26</v>
      </c>
      <c r="G296" s="1" t="s">
        <v>21</v>
      </c>
      <c r="H296" s="6">
        <v>1</v>
      </c>
      <c r="I296" s="7">
        <v>0</v>
      </c>
      <c r="J296" s="5">
        <v>45911</v>
      </c>
      <c r="K296" s="1" t="s">
        <v>30</v>
      </c>
      <c r="L296" s="8">
        <v>0</v>
      </c>
      <c r="M296" s="6"/>
      <c r="N296" s="6"/>
      <c r="O296" s="9">
        <v>-46</v>
      </c>
    </row>
    <row r="297" spans="1:15" ht="19.5" customHeight="1">
      <c r="A297" s="1" t="s">
        <v>435</v>
      </c>
      <c r="B297" s="5">
        <v>45916</v>
      </c>
      <c r="C297" s="1" t="s">
        <v>17</v>
      </c>
      <c r="D297" s="1" t="s">
        <v>37</v>
      </c>
      <c r="E297" s="1" t="s">
        <v>25</v>
      </c>
      <c r="F297" s="1" t="s">
        <v>26</v>
      </c>
      <c r="G297" s="1" t="s">
        <v>21</v>
      </c>
      <c r="H297" s="6">
        <v>1</v>
      </c>
      <c r="I297" s="7">
        <v>0</v>
      </c>
      <c r="J297" s="5">
        <v>45911</v>
      </c>
      <c r="K297" s="1" t="s">
        <v>30</v>
      </c>
      <c r="L297" s="8">
        <v>0</v>
      </c>
      <c r="M297" s="6"/>
      <c r="N297" s="6"/>
      <c r="O297" s="9">
        <v>-3.18</v>
      </c>
    </row>
    <row r="298" spans="1:15" ht="19.5" customHeight="1">
      <c r="A298" s="1" t="s">
        <v>435</v>
      </c>
      <c r="B298" s="5">
        <v>45916</v>
      </c>
      <c r="C298" s="1" t="s">
        <v>28</v>
      </c>
      <c r="D298" s="1" t="s">
        <v>356</v>
      </c>
      <c r="E298" s="1" t="s">
        <v>25</v>
      </c>
      <c r="F298" s="1" t="s">
        <v>26</v>
      </c>
      <c r="G298" s="1" t="s">
        <v>21</v>
      </c>
      <c r="H298" s="6">
        <v>1</v>
      </c>
      <c r="I298" s="7">
        <v>0</v>
      </c>
      <c r="J298" s="5">
        <v>45911</v>
      </c>
      <c r="K298" s="1" t="s">
        <v>30</v>
      </c>
      <c r="L298" s="8">
        <v>0</v>
      </c>
      <c r="M298" s="6"/>
      <c r="N298" s="6"/>
      <c r="O298" s="9">
        <v>0</v>
      </c>
    </row>
    <row r="299" spans="1:15" ht="19.5" customHeight="1">
      <c r="A299" s="1" t="s">
        <v>435</v>
      </c>
      <c r="B299" s="5">
        <v>45916</v>
      </c>
      <c r="C299" s="1" t="s">
        <v>28</v>
      </c>
      <c r="D299" s="1" t="s">
        <v>46</v>
      </c>
      <c r="E299" s="1" t="s">
        <v>25</v>
      </c>
      <c r="F299" s="1" t="s">
        <v>26</v>
      </c>
      <c r="G299" s="1" t="s">
        <v>21</v>
      </c>
      <c r="H299" s="6">
        <v>1</v>
      </c>
      <c r="I299" s="7">
        <v>0</v>
      </c>
      <c r="J299" s="5">
        <v>45911</v>
      </c>
      <c r="K299" s="1" t="s">
        <v>30</v>
      </c>
      <c r="L299" s="8">
        <v>0</v>
      </c>
      <c r="M299" s="6"/>
      <c r="N299" s="6"/>
      <c r="O299" s="9">
        <v>-46</v>
      </c>
    </row>
    <row r="300" spans="1:15" ht="19.5" customHeight="1">
      <c r="A300" s="1" t="s">
        <v>435</v>
      </c>
      <c r="B300" s="5">
        <v>45916</v>
      </c>
      <c r="C300" s="1" t="s">
        <v>17</v>
      </c>
      <c r="D300" s="1" t="s">
        <v>47</v>
      </c>
      <c r="E300" s="1" t="s">
        <v>25</v>
      </c>
      <c r="F300" s="1" t="s">
        <v>26</v>
      </c>
      <c r="G300" s="1" t="s">
        <v>21</v>
      </c>
      <c r="H300" s="6">
        <v>1</v>
      </c>
      <c r="I300" s="7">
        <v>0</v>
      </c>
      <c r="J300" s="5">
        <v>45911</v>
      </c>
      <c r="K300" s="1" t="s">
        <v>30</v>
      </c>
      <c r="L300" s="8">
        <v>0</v>
      </c>
      <c r="M300" s="6"/>
      <c r="N300" s="6"/>
      <c r="O300" s="9">
        <v>-15</v>
      </c>
    </row>
    <row r="301" spans="1:15" ht="19.5" customHeight="1">
      <c r="A301" s="1" t="s">
        <v>436</v>
      </c>
      <c r="B301" s="5">
        <v>45916</v>
      </c>
      <c r="C301" s="1" t="s">
        <v>17</v>
      </c>
      <c r="D301" s="1" t="s">
        <v>18</v>
      </c>
      <c r="E301" s="1" t="s">
        <v>25</v>
      </c>
      <c r="F301" s="1" t="s">
        <v>26</v>
      </c>
      <c r="G301" s="1" t="s">
        <v>21</v>
      </c>
      <c r="H301" s="6">
        <v>1</v>
      </c>
      <c r="I301" s="7">
        <v>0</v>
      </c>
      <c r="J301" s="5">
        <v>45916</v>
      </c>
      <c r="K301" s="1" t="s">
        <v>22</v>
      </c>
      <c r="L301" s="8">
        <v>0</v>
      </c>
      <c r="M301" s="6"/>
      <c r="N301" s="6"/>
      <c r="O301" s="9">
        <v>-11.25</v>
      </c>
    </row>
    <row r="302" spans="1:15" ht="19.5" customHeight="1">
      <c r="A302" s="1" t="s">
        <v>437</v>
      </c>
      <c r="B302" s="5">
        <v>45916</v>
      </c>
      <c r="C302" s="1" t="s">
        <v>17</v>
      </c>
      <c r="D302" s="1" t="s">
        <v>18</v>
      </c>
      <c r="E302" s="1" t="s">
        <v>25</v>
      </c>
      <c r="F302" s="1" t="s">
        <v>26</v>
      </c>
      <c r="G302" s="1" t="s">
        <v>21</v>
      </c>
      <c r="H302" s="6">
        <v>1</v>
      </c>
      <c r="I302" s="7">
        <v>0</v>
      </c>
      <c r="J302" s="5">
        <v>45916</v>
      </c>
      <c r="K302" s="1" t="s">
        <v>22</v>
      </c>
      <c r="L302" s="8">
        <v>0</v>
      </c>
      <c r="M302" s="6"/>
      <c r="N302" s="6"/>
      <c r="O302" s="9">
        <v>-3.17</v>
      </c>
    </row>
    <row r="303" spans="1:15" ht="19.5" customHeight="1">
      <c r="A303" s="1" t="s">
        <v>438</v>
      </c>
      <c r="B303" s="5">
        <v>45916</v>
      </c>
      <c r="C303" s="1" t="s">
        <v>28</v>
      </c>
      <c r="D303" s="1" t="s">
        <v>29</v>
      </c>
      <c r="E303" s="1" t="s">
        <v>25</v>
      </c>
      <c r="F303" s="1" t="s">
        <v>26</v>
      </c>
      <c r="G303" s="1" t="s">
        <v>21</v>
      </c>
      <c r="H303" s="6">
        <v>1</v>
      </c>
      <c r="I303" s="7">
        <v>1176</v>
      </c>
      <c r="J303" s="5">
        <v>45912</v>
      </c>
      <c r="K303" s="1" t="s">
        <v>30</v>
      </c>
      <c r="L303" s="8">
        <v>0.2</v>
      </c>
      <c r="M303" s="6"/>
      <c r="N303" s="6"/>
      <c r="O303" s="9">
        <v>-46</v>
      </c>
    </row>
    <row r="304" spans="1:15" ht="19.5" customHeight="1">
      <c r="A304" s="1" t="s">
        <v>438</v>
      </c>
      <c r="B304" s="5">
        <v>45916</v>
      </c>
      <c r="C304" s="1" t="s">
        <v>31</v>
      </c>
      <c r="D304" s="1" t="s">
        <v>32</v>
      </c>
      <c r="E304" s="1" t="s">
        <v>25</v>
      </c>
      <c r="F304" s="1" t="s">
        <v>26</v>
      </c>
      <c r="G304" s="1" t="s">
        <v>21</v>
      </c>
      <c r="H304" s="6">
        <v>1</v>
      </c>
      <c r="I304" s="7">
        <v>1176</v>
      </c>
      <c r="J304" s="5">
        <v>45912</v>
      </c>
      <c r="K304" s="1" t="s">
        <v>30</v>
      </c>
      <c r="L304" s="8">
        <v>0</v>
      </c>
      <c r="M304" s="6"/>
      <c r="N304" s="6"/>
      <c r="O304" s="9">
        <v>563.27</v>
      </c>
    </row>
    <row r="305" spans="1:15" ht="19.5" customHeight="1">
      <c r="A305" s="1" t="s">
        <v>438</v>
      </c>
      <c r="B305" s="5">
        <v>45916</v>
      </c>
      <c r="C305" s="1" t="s">
        <v>31</v>
      </c>
      <c r="D305" s="1" t="s">
        <v>33</v>
      </c>
      <c r="E305" s="1" t="s">
        <v>25</v>
      </c>
      <c r="F305" s="1" t="s">
        <v>26</v>
      </c>
      <c r="G305" s="1" t="s">
        <v>21</v>
      </c>
      <c r="H305" s="6">
        <v>1</v>
      </c>
      <c r="I305" s="7">
        <v>1176</v>
      </c>
      <c r="J305" s="5">
        <v>45912</v>
      </c>
      <c r="K305" s="1" t="s">
        <v>30</v>
      </c>
      <c r="L305" s="8">
        <v>0</v>
      </c>
      <c r="M305" s="6"/>
      <c r="N305" s="6"/>
      <c r="O305" s="9">
        <v>4.1399999999999997</v>
      </c>
    </row>
    <row r="306" spans="1:15" ht="19.5" customHeight="1">
      <c r="A306" s="1" t="s">
        <v>438</v>
      </c>
      <c r="B306" s="5">
        <v>45916</v>
      </c>
      <c r="C306" s="1" t="s">
        <v>31</v>
      </c>
      <c r="D306" s="1" t="s">
        <v>34</v>
      </c>
      <c r="E306" s="1" t="s">
        <v>25</v>
      </c>
      <c r="F306" s="1" t="s">
        <v>26</v>
      </c>
      <c r="G306" s="1" t="s">
        <v>21</v>
      </c>
      <c r="H306" s="6">
        <v>1</v>
      </c>
      <c r="I306" s="7">
        <v>1176</v>
      </c>
      <c r="J306" s="5">
        <v>45912</v>
      </c>
      <c r="K306" s="1" t="s">
        <v>30</v>
      </c>
      <c r="L306" s="8">
        <v>0</v>
      </c>
      <c r="M306" s="6"/>
      <c r="N306" s="6"/>
      <c r="O306" s="9">
        <v>608.59</v>
      </c>
    </row>
    <row r="307" spans="1:15" ht="19.5" customHeight="1">
      <c r="A307" s="1" t="s">
        <v>438</v>
      </c>
      <c r="B307" s="5">
        <v>45916</v>
      </c>
      <c r="C307" s="1" t="s">
        <v>35</v>
      </c>
      <c r="D307" s="1" t="s">
        <v>36</v>
      </c>
      <c r="E307" s="1" t="s">
        <v>25</v>
      </c>
      <c r="F307" s="1" t="s">
        <v>26</v>
      </c>
      <c r="G307" s="1" t="s">
        <v>21</v>
      </c>
      <c r="H307" s="6">
        <v>1</v>
      </c>
      <c r="I307" s="7">
        <v>1176</v>
      </c>
      <c r="J307" s="5">
        <v>45912</v>
      </c>
      <c r="K307" s="1" t="s">
        <v>30</v>
      </c>
      <c r="L307" s="8">
        <v>0.2</v>
      </c>
      <c r="M307" s="6"/>
      <c r="N307" s="6"/>
      <c r="O307" s="9">
        <v>-235.2</v>
      </c>
    </row>
    <row r="308" spans="1:15" ht="19.5" customHeight="1">
      <c r="A308" s="1" t="s">
        <v>438</v>
      </c>
      <c r="B308" s="5">
        <v>45916</v>
      </c>
      <c r="C308" s="1" t="s">
        <v>17</v>
      </c>
      <c r="D308" s="1" t="s">
        <v>37</v>
      </c>
      <c r="E308" s="1" t="s">
        <v>25</v>
      </c>
      <c r="F308" s="1" t="s">
        <v>26</v>
      </c>
      <c r="G308" s="1" t="s">
        <v>21</v>
      </c>
      <c r="H308" s="6">
        <v>1</v>
      </c>
      <c r="I308" s="7">
        <v>1176</v>
      </c>
      <c r="J308" s="5">
        <v>45912</v>
      </c>
      <c r="K308" s="1" t="s">
        <v>30</v>
      </c>
      <c r="L308" s="8">
        <v>0.2</v>
      </c>
      <c r="M308" s="6"/>
      <c r="N308" s="6"/>
      <c r="O308" s="9">
        <v>-4.33</v>
      </c>
    </row>
    <row r="309" spans="1:15" ht="19.5" customHeight="1">
      <c r="A309" s="1" t="s">
        <v>438</v>
      </c>
      <c r="B309" s="5">
        <v>45916</v>
      </c>
      <c r="C309" s="1" t="s">
        <v>17</v>
      </c>
      <c r="D309" s="1" t="s">
        <v>18</v>
      </c>
      <c r="E309" s="1" t="s">
        <v>25</v>
      </c>
      <c r="F309" s="1" t="s">
        <v>26</v>
      </c>
      <c r="G309" s="1" t="s">
        <v>21</v>
      </c>
      <c r="H309" s="6">
        <v>1</v>
      </c>
      <c r="I309" s="7">
        <v>0</v>
      </c>
      <c r="J309" s="5">
        <v>45912</v>
      </c>
      <c r="K309" s="1" t="s">
        <v>22</v>
      </c>
      <c r="L309" s="8">
        <v>0</v>
      </c>
      <c r="M309" s="6"/>
      <c r="N309" s="6"/>
      <c r="O309" s="9">
        <v>-10.7</v>
      </c>
    </row>
    <row r="310" spans="1:15" ht="19.5" customHeight="1">
      <c r="A310" s="1" t="s">
        <v>439</v>
      </c>
      <c r="B310" s="5">
        <v>45916</v>
      </c>
      <c r="C310" s="1" t="s">
        <v>28</v>
      </c>
      <c r="D310" s="1" t="s">
        <v>29</v>
      </c>
      <c r="E310" s="1" t="s">
        <v>25</v>
      </c>
      <c r="F310" s="1" t="s">
        <v>26</v>
      </c>
      <c r="G310" s="1" t="s">
        <v>21</v>
      </c>
      <c r="H310" s="6">
        <v>1</v>
      </c>
      <c r="I310" s="7">
        <v>1176</v>
      </c>
      <c r="J310" s="5">
        <v>45915</v>
      </c>
      <c r="K310" s="1" t="s">
        <v>30</v>
      </c>
      <c r="L310" s="8">
        <v>0.2</v>
      </c>
      <c r="M310" s="6"/>
      <c r="N310" s="6"/>
      <c r="O310" s="9">
        <v>-46</v>
      </c>
    </row>
    <row r="311" spans="1:15" ht="19.5" customHeight="1">
      <c r="A311" s="1" t="s">
        <v>439</v>
      </c>
      <c r="B311" s="5">
        <v>45916</v>
      </c>
      <c r="C311" s="1" t="s">
        <v>31</v>
      </c>
      <c r="D311" s="1" t="s">
        <v>32</v>
      </c>
      <c r="E311" s="1" t="s">
        <v>25</v>
      </c>
      <c r="F311" s="1" t="s">
        <v>26</v>
      </c>
      <c r="G311" s="1" t="s">
        <v>21</v>
      </c>
      <c r="H311" s="6">
        <v>1</v>
      </c>
      <c r="I311" s="7">
        <v>1176</v>
      </c>
      <c r="J311" s="5">
        <v>45915</v>
      </c>
      <c r="K311" s="1" t="s">
        <v>30</v>
      </c>
      <c r="L311" s="8">
        <v>0</v>
      </c>
      <c r="M311" s="6"/>
      <c r="N311" s="6"/>
      <c r="O311" s="9">
        <v>592.41999999999996</v>
      </c>
    </row>
    <row r="312" spans="1:15" ht="19.5" customHeight="1">
      <c r="A312" s="1" t="s">
        <v>439</v>
      </c>
      <c r="B312" s="5">
        <v>45916</v>
      </c>
      <c r="C312" s="1" t="s">
        <v>31</v>
      </c>
      <c r="D312" s="1" t="s">
        <v>33</v>
      </c>
      <c r="E312" s="1" t="s">
        <v>25</v>
      </c>
      <c r="F312" s="1" t="s">
        <v>26</v>
      </c>
      <c r="G312" s="1" t="s">
        <v>21</v>
      </c>
      <c r="H312" s="6">
        <v>1</v>
      </c>
      <c r="I312" s="7">
        <v>1176</v>
      </c>
      <c r="J312" s="5">
        <v>45915</v>
      </c>
      <c r="K312" s="1" t="s">
        <v>30</v>
      </c>
      <c r="L312" s="8">
        <v>0</v>
      </c>
      <c r="M312" s="6"/>
      <c r="N312" s="6"/>
      <c r="O312" s="9">
        <v>4.3499999999999996</v>
      </c>
    </row>
    <row r="313" spans="1:15" ht="19.5" customHeight="1">
      <c r="A313" s="1" t="s">
        <v>439</v>
      </c>
      <c r="B313" s="5">
        <v>45916</v>
      </c>
      <c r="C313" s="1" t="s">
        <v>31</v>
      </c>
      <c r="D313" s="1" t="s">
        <v>34</v>
      </c>
      <c r="E313" s="1" t="s">
        <v>25</v>
      </c>
      <c r="F313" s="1" t="s">
        <v>26</v>
      </c>
      <c r="G313" s="1" t="s">
        <v>21</v>
      </c>
      <c r="H313" s="6">
        <v>1</v>
      </c>
      <c r="I313" s="7">
        <v>1176</v>
      </c>
      <c r="J313" s="5">
        <v>45915</v>
      </c>
      <c r="K313" s="1" t="s">
        <v>30</v>
      </c>
      <c r="L313" s="8">
        <v>0</v>
      </c>
      <c r="M313" s="6"/>
      <c r="N313" s="6"/>
      <c r="O313" s="9">
        <v>579.23</v>
      </c>
    </row>
    <row r="314" spans="1:15" ht="19.5" customHeight="1">
      <c r="A314" s="1" t="s">
        <v>439</v>
      </c>
      <c r="B314" s="5">
        <v>45916</v>
      </c>
      <c r="C314" s="1" t="s">
        <v>35</v>
      </c>
      <c r="D314" s="1" t="s">
        <v>36</v>
      </c>
      <c r="E314" s="1" t="s">
        <v>25</v>
      </c>
      <c r="F314" s="1" t="s">
        <v>26</v>
      </c>
      <c r="G314" s="1" t="s">
        <v>21</v>
      </c>
      <c r="H314" s="6">
        <v>1</v>
      </c>
      <c r="I314" s="7">
        <v>1176</v>
      </c>
      <c r="J314" s="5">
        <v>45915</v>
      </c>
      <c r="K314" s="1" t="s">
        <v>30</v>
      </c>
      <c r="L314" s="8">
        <v>0.2</v>
      </c>
      <c r="M314" s="6"/>
      <c r="N314" s="6"/>
      <c r="O314" s="9">
        <v>-235.2</v>
      </c>
    </row>
    <row r="315" spans="1:15" ht="19.5" customHeight="1">
      <c r="A315" s="1" t="s">
        <v>439</v>
      </c>
      <c r="B315" s="5">
        <v>45916</v>
      </c>
      <c r="C315" s="1" t="s">
        <v>17</v>
      </c>
      <c r="D315" s="1" t="s">
        <v>37</v>
      </c>
      <c r="E315" s="1" t="s">
        <v>25</v>
      </c>
      <c r="F315" s="1" t="s">
        <v>26</v>
      </c>
      <c r="G315" s="1" t="s">
        <v>21</v>
      </c>
      <c r="H315" s="6">
        <v>1</v>
      </c>
      <c r="I315" s="7">
        <v>1176</v>
      </c>
      <c r="J315" s="5">
        <v>45915</v>
      </c>
      <c r="K315" s="1" t="s">
        <v>30</v>
      </c>
      <c r="L315" s="8">
        <v>0.2</v>
      </c>
      <c r="M315" s="6"/>
      <c r="N315" s="6"/>
      <c r="O315" s="9">
        <v>-4.3099999999999996</v>
      </c>
    </row>
    <row r="316" spans="1:15" ht="19.5" customHeight="1">
      <c r="A316" s="1" t="s">
        <v>439</v>
      </c>
      <c r="B316" s="5">
        <v>45916</v>
      </c>
      <c r="C316" s="1" t="s">
        <v>17</v>
      </c>
      <c r="D316" s="1" t="s">
        <v>18</v>
      </c>
      <c r="E316" s="1" t="s">
        <v>25</v>
      </c>
      <c r="F316" s="1" t="s">
        <v>26</v>
      </c>
      <c r="G316" s="1" t="s">
        <v>21</v>
      </c>
      <c r="H316" s="6">
        <v>1</v>
      </c>
      <c r="I316" s="7">
        <v>0</v>
      </c>
      <c r="J316" s="5">
        <v>45915</v>
      </c>
      <c r="K316" s="1" t="s">
        <v>22</v>
      </c>
      <c r="L316" s="8">
        <v>0</v>
      </c>
      <c r="M316" s="6"/>
      <c r="N316" s="6"/>
      <c r="O316" s="9">
        <v>-11.26</v>
      </c>
    </row>
    <row r="317" spans="1:15" ht="19.5" customHeight="1">
      <c r="A317" s="1" t="s">
        <v>440</v>
      </c>
      <c r="B317" s="5">
        <v>45916</v>
      </c>
      <c r="C317" s="1" t="s">
        <v>17</v>
      </c>
      <c r="D317" s="1" t="s">
        <v>18</v>
      </c>
      <c r="E317" s="1" t="s">
        <v>25</v>
      </c>
      <c r="F317" s="1" t="s">
        <v>26</v>
      </c>
      <c r="G317" s="1" t="s">
        <v>21</v>
      </c>
      <c r="H317" s="6">
        <v>1</v>
      </c>
      <c r="I317" s="7">
        <v>0</v>
      </c>
      <c r="J317" s="5">
        <v>45916</v>
      </c>
      <c r="K317" s="1" t="s">
        <v>22</v>
      </c>
      <c r="L317" s="8">
        <v>0</v>
      </c>
      <c r="M317" s="6"/>
      <c r="N317" s="6"/>
      <c r="O317" s="9">
        <v>-10.7</v>
      </c>
    </row>
    <row r="318" spans="1:15" ht="19.5" customHeight="1">
      <c r="A318" s="1" t="s">
        <v>440</v>
      </c>
      <c r="B318" s="5">
        <v>45916</v>
      </c>
      <c r="C318" s="1" t="s">
        <v>17</v>
      </c>
      <c r="D318" s="1" t="s">
        <v>18</v>
      </c>
      <c r="E318" s="1" t="s">
        <v>88</v>
      </c>
      <c r="F318" s="1" t="s">
        <v>89</v>
      </c>
      <c r="G318" s="1" t="s">
        <v>21</v>
      </c>
      <c r="H318" s="6">
        <v>1</v>
      </c>
      <c r="I318" s="7">
        <v>0</v>
      </c>
      <c r="J318" s="5">
        <v>45916</v>
      </c>
      <c r="K318" s="1" t="s">
        <v>22</v>
      </c>
      <c r="L318" s="8">
        <v>0</v>
      </c>
      <c r="M318" s="6"/>
      <c r="N318" s="6"/>
      <c r="O318" s="9">
        <v>-12.71</v>
      </c>
    </row>
    <row r="319" spans="1:15" ht="19.5" customHeight="1">
      <c r="A319" s="1" t="s">
        <v>83</v>
      </c>
      <c r="B319" s="5">
        <v>45916</v>
      </c>
      <c r="C319" s="1" t="s">
        <v>77</v>
      </c>
      <c r="D319" s="1" t="s">
        <v>84</v>
      </c>
      <c r="E319" s="1" t="s">
        <v>22</v>
      </c>
      <c r="F319" s="1" t="s">
        <v>22</v>
      </c>
      <c r="G319" s="1" t="s">
        <v>22</v>
      </c>
      <c r="H319" s="6">
        <v>0</v>
      </c>
      <c r="I319" s="7">
        <v>0</v>
      </c>
      <c r="J319" s="5">
        <v>45916</v>
      </c>
      <c r="K319" s="1" t="s">
        <v>22</v>
      </c>
      <c r="L319" s="8">
        <v>0</v>
      </c>
      <c r="M319" s="6"/>
      <c r="N319" s="6"/>
      <c r="O319" s="9">
        <v>-317.52</v>
      </c>
    </row>
    <row r="320" spans="1:15" ht="19.5" customHeight="1">
      <c r="A320" s="1" t="s">
        <v>81</v>
      </c>
      <c r="B320" s="5">
        <v>45916</v>
      </c>
      <c r="C320" s="1" t="s">
        <v>77</v>
      </c>
      <c r="D320" s="1" t="s">
        <v>82</v>
      </c>
      <c r="E320" s="1" t="s">
        <v>22</v>
      </c>
      <c r="F320" s="1" t="s">
        <v>22</v>
      </c>
      <c r="G320" s="1" t="s">
        <v>22</v>
      </c>
      <c r="H320" s="6">
        <v>0</v>
      </c>
      <c r="I320" s="7">
        <v>0</v>
      </c>
      <c r="J320" s="5">
        <v>45916</v>
      </c>
      <c r="K320" s="1" t="s">
        <v>22</v>
      </c>
      <c r="L320" s="8">
        <v>0</v>
      </c>
      <c r="M320" s="6"/>
      <c r="N320" s="6"/>
      <c r="O320" s="9">
        <v>-2821.87</v>
      </c>
    </row>
    <row r="321" spans="1:15" ht="19.5" customHeight="1">
      <c r="A321" s="1" t="s">
        <v>85</v>
      </c>
      <c r="B321" s="5">
        <v>45916</v>
      </c>
      <c r="C321" s="1" t="s">
        <v>77</v>
      </c>
      <c r="D321" s="1" t="s">
        <v>82</v>
      </c>
      <c r="E321" s="1" t="s">
        <v>22</v>
      </c>
      <c r="F321" s="1" t="s">
        <v>22</v>
      </c>
      <c r="G321" s="1" t="s">
        <v>22</v>
      </c>
      <c r="H321" s="6">
        <v>0</v>
      </c>
      <c r="I321" s="7">
        <v>0</v>
      </c>
      <c r="J321" s="5">
        <v>45916</v>
      </c>
      <c r="K321" s="1" t="s">
        <v>22</v>
      </c>
      <c r="L321" s="8">
        <v>0</v>
      </c>
      <c r="M321" s="6"/>
      <c r="N321" s="6"/>
      <c r="O321" s="9">
        <v>-959.69</v>
      </c>
    </row>
    <row r="322" spans="1:15" ht="19.5" customHeight="1">
      <c r="A322" s="1" t="s">
        <v>441</v>
      </c>
      <c r="B322" s="5">
        <v>45917</v>
      </c>
      <c r="C322" s="1" t="s">
        <v>17</v>
      </c>
      <c r="D322" s="1" t="s">
        <v>18</v>
      </c>
      <c r="E322" s="1" t="s">
        <v>19</v>
      </c>
      <c r="F322" s="1" t="s">
        <v>20</v>
      </c>
      <c r="G322" s="1" t="s">
        <v>21</v>
      </c>
      <c r="H322" s="6">
        <v>1</v>
      </c>
      <c r="I322" s="7">
        <v>0</v>
      </c>
      <c r="J322" s="5">
        <v>45917</v>
      </c>
      <c r="K322" s="1" t="s">
        <v>22</v>
      </c>
      <c r="L322" s="8">
        <v>0</v>
      </c>
      <c r="M322" s="6"/>
      <c r="N322" s="6"/>
      <c r="O322" s="9">
        <v>-5.08</v>
      </c>
    </row>
    <row r="323" spans="1:15" ht="19.5" customHeight="1">
      <c r="A323" s="1" t="s">
        <v>442</v>
      </c>
      <c r="B323" s="5">
        <v>45917</v>
      </c>
      <c r="C323" s="1" t="s">
        <v>17</v>
      </c>
      <c r="D323" s="1" t="s">
        <v>18</v>
      </c>
      <c r="E323" s="1" t="s">
        <v>25</v>
      </c>
      <c r="F323" s="1" t="s">
        <v>26</v>
      </c>
      <c r="G323" s="1" t="s">
        <v>21</v>
      </c>
      <c r="H323" s="6">
        <v>2</v>
      </c>
      <c r="I323" s="7">
        <v>0</v>
      </c>
      <c r="J323" s="5">
        <v>45917</v>
      </c>
      <c r="K323" s="1" t="s">
        <v>22</v>
      </c>
      <c r="L323" s="8">
        <v>0</v>
      </c>
      <c r="M323" s="6"/>
      <c r="N323" s="6"/>
      <c r="O323" s="9">
        <v>-22.38</v>
      </c>
    </row>
    <row r="324" spans="1:15" ht="19.5" customHeight="1">
      <c r="A324" s="1" t="s">
        <v>443</v>
      </c>
      <c r="B324" s="5">
        <v>45917</v>
      </c>
      <c r="C324" s="1" t="s">
        <v>28</v>
      </c>
      <c r="D324" s="1" t="s">
        <v>29</v>
      </c>
      <c r="E324" s="1" t="s">
        <v>25</v>
      </c>
      <c r="F324" s="1" t="s">
        <v>26</v>
      </c>
      <c r="G324" s="1" t="s">
        <v>21</v>
      </c>
      <c r="H324" s="6">
        <v>1</v>
      </c>
      <c r="I324" s="7">
        <v>1176</v>
      </c>
      <c r="J324" s="5">
        <v>45912</v>
      </c>
      <c r="K324" s="1" t="s">
        <v>30</v>
      </c>
      <c r="L324" s="8">
        <v>0.2</v>
      </c>
      <c r="M324" s="6"/>
      <c r="N324" s="6"/>
      <c r="O324" s="9">
        <v>-46</v>
      </c>
    </row>
    <row r="325" spans="1:15" ht="19.5" customHeight="1">
      <c r="A325" s="1" t="s">
        <v>443</v>
      </c>
      <c r="B325" s="5">
        <v>45917</v>
      </c>
      <c r="C325" s="1" t="s">
        <v>31</v>
      </c>
      <c r="D325" s="1" t="s">
        <v>32</v>
      </c>
      <c r="E325" s="1" t="s">
        <v>25</v>
      </c>
      <c r="F325" s="1" t="s">
        <v>26</v>
      </c>
      <c r="G325" s="1" t="s">
        <v>21</v>
      </c>
      <c r="H325" s="6">
        <v>1</v>
      </c>
      <c r="I325" s="7">
        <v>1176</v>
      </c>
      <c r="J325" s="5">
        <v>45912</v>
      </c>
      <c r="K325" s="1" t="s">
        <v>30</v>
      </c>
      <c r="L325" s="8">
        <v>0</v>
      </c>
      <c r="M325" s="6"/>
      <c r="N325" s="6"/>
      <c r="O325" s="9">
        <v>615.89</v>
      </c>
    </row>
    <row r="326" spans="1:15" ht="19.5" customHeight="1">
      <c r="A326" s="1" t="s">
        <v>443</v>
      </c>
      <c r="B326" s="5">
        <v>45917</v>
      </c>
      <c r="C326" s="1" t="s">
        <v>31</v>
      </c>
      <c r="D326" s="1" t="s">
        <v>33</v>
      </c>
      <c r="E326" s="1" t="s">
        <v>25</v>
      </c>
      <c r="F326" s="1" t="s">
        <v>26</v>
      </c>
      <c r="G326" s="1" t="s">
        <v>21</v>
      </c>
      <c r="H326" s="6">
        <v>1</v>
      </c>
      <c r="I326" s="7">
        <v>1176</v>
      </c>
      <c r="J326" s="5">
        <v>45912</v>
      </c>
      <c r="K326" s="1" t="s">
        <v>30</v>
      </c>
      <c r="L326" s="8">
        <v>0</v>
      </c>
      <c r="M326" s="6"/>
      <c r="N326" s="6"/>
      <c r="O326" s="9">
        <v>4.53</v>
      </c>
    </row>
    <row r="327" spans="1:15" ht="19.5" customHeight="1">
      <c r="A327" s="1" t="s">
        <v>443</v>
      </c>
      <c r="B327" s="5">
        <v>45917</v>
      </c>
      <c r="C327" s="1" t="s">
        <v>31</v>
      </c>
      <c r="D327" s="1" t="s">
        <v>34</v>
      </c>
      <c r="E327" s="1" t="s">
        <v>25</v>
      </c>
      <c r="F327" s="1" t="s">
        <v>26</v>
      </c>
      <c r="G327" s="1" t="s">
        <v>21</v>
      </c>
      <c r="H327" s="6">
        <v>1</v>
      </c>
      <c r="I327" s="7">
        <v>1176</v>
      </c>
      <c r="J327" s="5">
        <v>45912</v>
      </c>
      <c r="K327" s="1" t="s">
        <v>30</v>
      </c>
      <c r="L327" s="8">
        <v>0</v>
      </c>
      <c r="M327" s="6"/>
      <c r="N327" s="6"/>
      <c r="O327" s="9">
        <v>555.58000000000004</v>
      </c>
    </row>
    <row r="328" spans="1:15" ht="19.5" customHeight="1">
      <c r="A328" s="1" t="s">
        <v>443</v>
      </c>
      <c r="B328" s="5">
        <v>45917</v>
      </c>
      <c r="C328" s="1" t="s">
        <v>35</v>
      </c>
      <c r="D328" s="1" t="s">
        <v>36</v>
      </c>
      <c r="E328" s="1" t="s">
        <v>25</v>
      </c>
      <c r="F328" s="1" t="s">
        <v>26</v>
      </c>
      <c r="G328" s="1" t="s">
        <v>21</v>
      </c>
      <c r="H328" s="6">
        <v>1</v>
      </c>
      <c r="I328" s="7">
        <v>1176</v>
      </c>
      <c r="J328" s="5">
        <v>45912</v>
      </c>
      <c r="K328" s="1" t="s">
        <v>30</v>
      </c>
      <c r="L328" s="8">
        <v>0.2</v>
      </c>
      <c r="M328" s="6"/>
      <c r="N328" s="6"/>
      <c r="O328" s="9">
        <v>-235.2</v>
      </c>
    </row>
    <row r="329" spans="1:15" ht="19.5" customHeight="1">
      <c r="A329" s="1" t="s">
        <v>443</v>
      </c>
      <c r="B329" s="5">
        <v>45917</v>
      </c>
      <c r="C329" s="1" t="s">
        <v>17</v>
      </c>
      <c r="D329" s="1" t="s">
        <v>37</v>
      </c>
      <c r="E329" s="1" t="s">
        <v>25</v>
      </c>
      <c r="F329" s="1" t="s">
        <v>26</v>
      </c>
      <c r="G329" s="1" t="s">
        <v>21</v>
      </c>
      <c r="H329" s="6">
        <v>1</v>
      </c>
      <c r="I329" s="7">
        <v>1176</v>
      </c>
      <c r="J329" s="5">
        <v>45912</v>
      </c>
      <c r="K329" s="1" t="s">
        <v>30</v>
      </c>
      <c r="L329" s="8">
        <v>0.2</v>
      </c>
      <c r="M329" s="6"/>
      <c r="N329" s="6"/>
      <c r="O329" s="9">
        <v>-3.47</v>
      </c>
    </row>
    <row r="330" spans="1:15" ht="19.5" customHeight="1">
      <c r="A330" s="1" t="s">
        <v>444</v>
      </c>
      <c r="B330" s="5">
        <v>45917</v>
      </c>
      <c r="C330" s="1" t="s">
        <v>17</v>
      </c>
      <c r="D330" s="1" t="s">
        <v>18</v>
      </c>
      <c r="E330" s="1" t="s">
        <v>19</v>
      </c>
      <c r="F330" s="1" t="s">
        <v>20</v>
      </c>
      <c r="G330" s="1" t="s">
        <v>21</v>
      </c>
      <c r="H330" s="6">
        <v>1</v>
      </c>
      <c r="I330" s="7">
        <v>0</v>
      </c>
      <c r="J330" s="5">
        <v>45917</v>
      </c>
      <c r="K330" s="1" t="s">
        <v>22</v>
      </c>
      <c r="L330" s="8">
        <v>0</v>
      </c>
      <c r="M330" s="6"/>
      <c r="N330" s="6"/>
      <c r="O330" s="9">
        <v>-16.07</v>
      </c>
    </row>
    <row r="331" spans="1:15" ht="19.5" customHeight="1">
      <c r="A331" s="1" t="s">
        <v>445</v>
      </c>
      <c r="B331" s="5">
        <v>45917</v>
      </c>
      <c r="C331" s="1" t="s">
        <v>28</v>
      </c>
      <c r="D331" s="1" t="s">
        <v>29</v>
      </c>
      <c r="E331" s="1" t="s">
        <v>25</v>
      </c>
      <c r="F331" s="1" t="s">
        <v>26</v>
      </c>
      <c r="G331" s="1" t="s">
        <v>21</v>
      </c>
      <c r="H331" s="6">
        <v>1</v>
      </c>
      <c r="I331" s="7">
        <v>1176</v>
      </c>
      <c r="J331" s="5">
        <v>45916</v>
      </c>
      <c r="K331" s="1" t="s">
        <v>30</v>
      </c>
      <c r="L331" s="8">
        <v>0.2</v>
      </c>
      <c r="M331" s="6"/>
      <c r="N331" s="6"/>
      <c r="O331" s="9">
        <v>-46</v>
      </c>
    </row>
    <row r="332" spans="1:15" ht="19.5" customHeight="1">
      <c r="A332" s="1" t="s">
        <v>445</v>
      </c>
      <c r="B332" s="5">
        <v>45917</v>
      </c>
      <c r="C332" s="1" t="s">
        <v>31</v>
      </c>
      <c r="D332" s="1" t="s">
        <v>32</v>
      </c>
      <c r="E332" s="1" t="s">
        <v>25</v>
      </c>
      <c r="F332" s="1" t="s">
        <v>26</v>
      </c>
      <c r="G332" s="1" t="s">
        <v>21</v>
      </c>
      <c r="H332" s="6">
        <v>1</v>
      </c>
      <c r="I332" s="7">
        <v>1176</v>
      </c>
      <c r="J332" s="5">
        <v>45916</v>
      </c>
      <c r="K332" s="1" t="s">
        <v>30</v>
      </c>
      <c r="L332" s="8">
        <v>0</v>
      </c>
      <c r="M332" s="6"/>
      <c r="N332" s="6"/>
      <c r="O332" s="9">
        <v>575.89</v>
      </c>
    </row>
    <row r="333" spans="1:15" ht="19.5" customHeight="1">
      <c r="A333" s="1" t="s">
        <v>445</v>
      </c>
      <c r="B333" s="5">
        <v>45917</v>
      </c>
      <c r="C333" s="1" t="s">
        <v>31</v>
      </c>
      <c r="D333" s="1" t="s">
        <v>33</v>
      </c>
      <c r="E333" s="1" t="s">
        <v>25</v>
      </c>
      <c r="F333" s="1" t="s">
        <v>26</v>
      </c>
      <c r="G333" s="1" t="s">
        <v>21</v>
      </c>
      <c r="H333" s="6">
        <v>1</v>
      </c>
      <c r="I333" s="7">
        <v>1176</v>
      </c>
      <c r="J333" s="5">
        <v>45916</v>
      </c>
      <c r="K333" s="1" t="s">
        <v>30</v>
      </c>
      <c r="L333" s="8">
        <v>0</v>
      </c>
      <c r="M333" s="6"/>
      <c r="N333" s="6"/>
      <c r="O333" s="9">
        <v>0</v>
      </c>
    </row>
    <row r="334" spans="1:15" ht="19.5" customHeight="1">
      <c r="A334" s="1" t="s">
        <v>445</v>
      </c>
      <c r="B334" s="5">
        <v>45917</v>
      </c>
      <c r="C334" s="1" t="s">
        <v>31</v>
      </c>
      <c r="D334" s="1" t="s">
        <v>34</v>
      </c>
      <c r="E334" s="1" t="s">
        <v>25</v>
      </c>
      <c r="F334" s="1" t="s">
        <v>26</v>
      </c>
      <c r="G334" s="1" t="s">
        <v>21</v>
      </c>
      <c r="H334" s="6">
        <v>1</v>
      </c>
      <c r="I334" s="7">
        <v>1176</v>
      </c>
      <c r="J334" s="5">
        <v>45916</v>
      </c>
      <c r="K334" s="1" t="s">
        <v>30</v>
      </c>
      <c r="L334" s="8">
        <v>0</v>
      </c>
      <c r="M334" s="6"/>
      <c r="N334" s="6"/>
      <c r="O334" s="9">
        <v>600.11</v>
      </c>
    </row>
    <row r="335" spans="1:15" ht="19.5" customHeight="1">
      <c r="A335" s="1" t="s">
        <v>445</v>
      </c>
      <c r="B335" s="5">
        <v>45917</v>
      </c>
      <c r="C335" s="1" t="s">
        <v>35</v>
      </c>
      <c r="D335" s="1" t="s">
        <v>36</v>
      </c>
      <c r="E335" s="1" t="s">
        <v>25</v>
      </c>
      <c r="F335" s="1" t="s">
        <v>26</v>
      </c>
      <c r="G335" s="1" t="s">
        <v>21</v>
      </c>
      <c r="H335" s="6">
        <v>1</v>
      </c>
      <c r="I335" s="7">
        <v>1176</v>
      </c>
      <c r="J335" s="5">
        <v>45916</v>
      </c>
      <c r="K335" s="1" t="s">
        <v>30</v>
      </c>
      <c r="L335" s="8">
        <v>0.2</v>
      </c>
      <c r="M335" s="6"/>
      <c r="N335" s="6"/>
      <c r="O335" s="9">
        <v>-235.2</v>
      </c>
    </row>
    <row r="336" spans="1:15" ht="19.5" customHeight="1">
      <c r="A336" s="1" t="s">
        <v>446</v>
      </c>
      <c r="B336" s="5">
        <v>45917</v>
      </c>
      <c r="C336" s="1" t="s">
        <v>28</v>
      </c>
      <c r="D336" s="1" t="s">
        <v>29</v>
      </c>
      <c r="E336" s="1" t="s">
        <v>25</v>
      </c>
      <c r="F336" s="1" t="s">
        <v>26</v>
      </c>
      <c r="G336" s="1" t="s">
        <v>21</v>
      </c>
      <c r="H336" s="6">
        <v>1</v>
      </c>
      <c r="I336" s="7">
        <v>1176</v>
      </c>
      <c r="J336" s="5">
        <v>45914</v>
      </c>
      <c r="K336" s="1" t="s">
        <v>30</v>
      </c>
      <c r="L336" s="8">
        <v>0.2</v>
      </c>
      <c r="M336" s="6"/>
      <c r="N336" s="6"/>
      <c r="O336" s="9">
        <v>-46</v>
      </c>
    </row>
    <row r="337" spans="1:15" ht="19.5" customHeight="1">
      <c r="A337" s="1" t="s">
        <v>446</v>
      </c>
      <c r="B337" s="5">
        <v>45917</v>
      </c>
      <c r="C337" s="1" t="s">
        <v>31</v>
      </c>
      <c r="D337" s="1" t="s">
        <v>32</v>
      </c>
      <c r="E337" s="1" t="s">
        <v>25</v>
      </c>
      <c r="F337" s="1" t="s">
        <v>26</v>
      </c>
      <c r="G337" s="1" t="s">
        <v>21</v>
      </c>
      <c r="H337" s="6">
        <v>1</v>
      </c>
      <c r="I337" s="7">
        <v>1176</v>
      </c>
      <c r="J337" s="5">
        <v>45914</v>
      </c>
      <c r="K337" s="1" t="s">
        <v>30</v>
      </c>
      <c r="L337" s="8">
        <v>0</v>
      </c>
      <c r="M337" s="6"/>
      <c r="N337" s="6"/>
      <c r="O337" s="9">
        <v>636.19000000000005</v>
      </c>
    </row>
    <row r="338" spans="1:15" ht="19.5" customHeight="1">
      <c r="A338" s="1" t="s">
        <v>446</v>
      </c>
      <c r="B338" s="5">
        <v>45917</v>
      </c>
      <c r="C338" s="1" t="s">
        <v>31</v>
      </c>
      <c r="D338" s="1" t="s">
        <v>33</v>
      </c>
      <c r="E338" s="1" t="s">
        <v>25</v>
      </c>
      <c r="F338" s="1" t="s">
        <v>26</v>
      </c>
      <c r="G338" s="1" t="s">
        <v>21</v>
      </c>
      <c r="H338" s="6">
        <v>1</v>
      </c>
      <c r="I338" s="7">
        <v>1176</v>
      </c>
      <c r="J338" s="5">
        <v>45914</v>
      </c>
      <c r="K338" s="1" t="s">
        <v>30</v>
      </c>
      <c r="L338" s="8">
        <v>0</v>
      </c>
      <c r="M338" s="6"/>
      <c r="N338" s="6"/>
      <c r="O338" s="9">
        <v>4.68</v>
      </c>
    </row>
    <row r="339" spans="1:15" ht="19.5" customHeight="1">
      <c r="A339" s="1" t="s">
        <v>446</v>
      </c>
      <c r="B339" s="5">
        <v>45917</v>
      </c>
      <c r="C339" s="1" t="s">
        <v>31</v>
      </c>
      <c r="D339" s="1" t="s">
        <v>34</v>
      </c>
      <c r="E339" s="1" t="s">
        <v>25</v>
      </c>
      <c r="F339" s="1" t="s">
        <v>26</v>
      </c>
      <c r="G339" s="1" t="s">
        <v>21</v>
      </c>
      <c r="H339" s="6">
        <v>1</v>
      </c>
      <c r="I339" s="7">
        <v>1176</v>
      </c>
      <c r="J339" s="5">
        <v>45914</v>
      </c>
      <c r="K339" s="1" t="s">
        <v>30</v>
      </c>
      <c r="L339" s="8">
        <v>0</v>
      </c>
      <c r="M339" s="6"/>
      <c r="N339" s="6"/>
      <c r="O339" s="9">
        <v>535.13</v>
      </c>
    </row>
    <row r="340" spans="1:15" ht="19.5" customHeight="1">
      <c r="A340" s="1" t="s">
        <v>446</v>
      </c>
      <c r="B340" s="5">
        <v>45917</v>
      </c>
      <c r="C340" s="1" t="s">
        <v>35</v>
      </c>
      <c r="D340" s="1" t="s">
        <v>36</v>
      </c>
      <c r="E340" s="1" t="s">
        <v>25</v>
      </c>
      <c r="F340" s="1" t="s">
        <v>26</v>
      </c>
      <c r="G340" s="1" t="s">
        <v>21</v>
      </c>
      <c r="H340" s="6">
        <v>1</v>
      </c>
      <c r="I340" s="7">
        <v>1176</v>
      </c>
      <c r="J340" s="5">
        <v>45914</v>
      </c>
      <c r="K340" s="1" t="s">
        <v>30</v>
      </c>
      <c r="L340" s="8">
        <v>0.2</v>
      </c>
      <c r="M340" s="6"/>
      <c r="N340" s="6"/>
      <c r="O340" s="9">
        <v>-235.2</v>
      </c>
    </row>
    <row r="341" spans="1:15" ht="19.5" customHeight="1">
      <c r="A341" s="1" t="s">
        <v>446</v>
      </c>
      <c r="B341" s="5">
        <v>45917</v>
      </c>
      <c r="C341" s="1" t="s">
        <v>17</v>
      </c>
      <c r="D341" s="1" t="s">
        <v>37</v>
      </c>
      <c r="E341" s="1" t="s">
        <v>25</v>
      </c>
      <c r="F341" s="1" t="s">
        <v>26</v>
      </c>
      <c r="G341" s="1" t="s">
        <v>21</v>
      </c>
      <c r="H341" s="6">
        <v>1</v>
      </c>
      <c r="I341" s="7">
        <v>1176</v>
      </c>
      <c r="J341" s="5">
        <v>45914</v>
      </c>
      <c r="K341" s="1" t="s">
        <v>30</v>
      </c>
      <c r="L341" s="8">
        <v>0.2</v>
      </c>
      <c r="M341" s="6"/>
      <c r="N341" s="6"/>
      <c r="O341" s="9">
        <v>-4.8899999999999997</v>
      </c>
    </row>
    <row r="342" spans="1:15" ht="19.5" customHeight="1">
      <c r="A342" s="1" t="s">
        <v>446</v>
      </c>
      <c r="B342" s="5">
        <v>45917</v>
      </c>
      <c r="C342" s="1" t="s">
        <v>17</v>
      </c>
      <c r="D342" s="1" t="s">
        <v>18</v>
      </c>
      <c r="E342" s="1" t="s">
        <v>25</v>
      </c>
      <c r="F342" s="1" t="s">
        <v>26</v>
      </c>
      <c r="G342" s="1" t="s">
        <v>21</v>
      </c>
      <c r="H342" s="6">
        <v>1</v>
      </c>
      <c r="I342" s="7">
        <v>0</v>
      </c>
      <c r="J342" s="5">
        <v>45914</v>
      </c>
      <c r="K342" s="1" t="s">
        <v>22</v>
      </c>
      <c r="L342" s="8">
        <v>0</v>
      </c>
      <c r="M342" s="6"/>
      <c r="N342" s="6"/>
      <c r="O342" s="9">
        <v>-12.09</v>
      </c>
    </row>
    <row r="343" spans="1:15" ht="19.5" customHeight="1">
      <c r="A343" s="1" t="s">
        <v>447</v>
      </c>
      <c r="B343" s="5">
        <v>45917</v>
      </c>
      <c r="C343" s="1" t="s">
        <v>17</v>
      </c>
      <c r="D343" s="1" t="s">
        <v>18</v>
      </c>
      <c r="E343" s="1" t="s">
        <v>25</v>
      </c>
      <c r="F343" s="1" t="s">
        <v>26</v>
      </c>
      <c r="G343" s="1" t="s">
        <v>21</v>
      </c>
      <c r="H343" s="6">
        <v>1</v>
      </c>
      <c r="I343" s="7">
        <v>0</v>
      </c>
      <c r="J343" s="5">
        <v>45917</v>
      </c>
      <c r="K343" s="1" t="s">
        <v>22</v>
      </c>
      <c r="L343" s="8">
        <v>0</v>
      </c>
      <c r="M343" s="6"/>
      <c r="N343" s="6"/>
      <c r="O343" s="9">
        <v>-5.7</v>
      </c>
    </row>
    <row r="344" spans="1:15" ht="19.5" customHeight="1">
      <c r="A344" s="1" t="s">
        <v>448</v>
      </c>
      <c r="B344" s="5">
        <v>45917</v>
      </c>
      <c r="C344" s="1" t="s">
        <v>28</v>
      </c>
      <c r="D344" s="1" t="s">
        <v>29</v>
      </c>
      <c r="E344" s="1" t="s">
        <v>25</v>
      </c>
      <c r="F344" s="1" t="s">
        <v>26</v>
      </c>
      <c r="G344" s="1" t="s">
        <v>21</v>
      </c>
      <c r="H344" s="6">
        <v>1</v>
      </c>
      <c r="I344" s="7">
        <v>1176</v>
      </c>
      <c r="J344" s="5">
        <v>45916</v>
      </c>
      <c r="K344" s="1" t="s">
        <v>30</v>
      </c>
      <c r="L344" s="8">
        <v>0.2</v>
      </c>
      <c r="M344" s="6"/>
      <c r="N344" s="6"/>
      <c r="O344" s="9">
        <v>-46</v>
      </c>
    </row>
    <row r="345" spans="1:15" ht="19.5" customHeight="1">
      <c r="A345" s="1" t="s">
        <v>448</v>
      </c>
      <c r="B345" s="5">
        <v>45917</v>
      </c>
      <c r="C345" s="1" t="s">
        <v>31</v>
      </c>
      <c r="D345" s="1" t="s">
        <v>32</v>
      </c>
      <c r="E345" s="1" t="s">
        <v>25</v>
      </c>
      <c r="F345" s="1" t="s">
        <v>26</v>
      </c>
      <c r="G345" s="1" t="s">
        <v>21</v>
      </c>
      <c r="H345" s="6">
        <v>1</v>
      </c>
      <c r="I345" s="7">
        <v>1176</v>
      </c>
      <c r="J345" s="5">
        <v>45916</v>
      </c>
      <c r="K345" s="1" t="s">
        <v>30</v>
      </c>
      <c r="L345" s="8">
        <v>0</v>
      </c>
      <c r="M345" s="6"/>
      <c r="N345" s="6"/>
      <c r="O345" s="9">
        <v>591.86</v>
      </c>
    </row>
    <row r="346" spans="1:15" ht="19.5" customHeight="1">
      <c r="A346" s="1" t="s">
        <v>448</v>
      </c>
      <c r="B346" s="5">
        <v>45917</v>
      </c>
      <c r="C346" s="1" t="s">
        <v>31</v>
      </c>
      <c r="D346" s="1" t="s">
        <v>33</v>
      </c>
      <c r="E346" s="1" t="s">
        <v>25</v>
      </c>
      <c r="F346" s="1" t="s">
        <v>26</v>
      </c>
      <c r="G346" s="1" t="s">
        <v>21</v>
      </c>
      <c r="H346" s="6">
        <v>1</v>
      </c>
      <c r="I346" s="7">
        <v>1176</v>
      </c>
      <c r="J346" s="5">
        <v>45916</v>
      </c>
      <c r="K346" s="1" t="s">
        <v>30</v>
      </c>
      <c r="L346" s="8">
        <v>0</v>
      </c>
      <c r="M346" s="6"/>
      <c r="N346" s="6"/>
      <c r="O346" s="9">
        <v>4.3499999999999996</v>
      </c>
    </row>
    <row r="347" spans="1:15" ht="19.5" customHeight="1">
      <c r="A347" s="1" t="s">
        <v>448</v>
      </c>
      <c r="B347" s="5">
        <v>45917</v>
      </c>
      <c r="C347" s="1" t="s">
        <v>31</v>
      </c>
      <c r="D347" s="1" t="s">
        <v>34</v>
      </c>
      <c r="E347" s="1" t="s">
        <v>25</v>
      </c>
      <c r="F347" s="1" t="s">
        <v>26</v>
      </c>
      <c r="G347" s="1" t="s">
        <v>21</v>
      </c>
      <c r="H347" s="6">
        <v>1</v>
      </c>
      <c r="I347" s="7">
        <v>1176</v>
      </c>
      <c r="J347" s="5">
        <v>45916</v>
      </c>
      <c r="K347" s="1" t="s">
        <v>30</v>
      </c>
      <c r="L347" s="8">
        <v>0</v>
      </c>
      <c r="M347" s="6"/>
      <c r="N347" s="6"/>
      <c r="O347" s="9">
        <v>579.79</v>
      </c>
    </row>
    <row r="348" spans="1:15" ht="19.5" customHeight="1">
      <c r="A348" s="1" t="s">
        <v>448</v>
      </c>
      <c r="B348" s="5">
        <v>45917</v>
      </c>
      <c r="C348" s="1" t="s">
        <v>35</v>
      </c>
      <c r="D348" s="1" t="s">
        <v>36</v>
      </c>
      <c r="E348" s="1" t="s">
        <v>25</v>
      </c>
      <c r="F348" s="1" t="s">
        <v>26</v>
      </c>
      <c r="G348" s="1" t="s">
        <v>21</v>
      </c>
      <c r="H348" s="6">
        <v>1</v>
      </c>
      <c r="I348" s="7">
        <v>1176</v>
      </c>
      <c r="J348" s="5">
        <v>45916</v>
      </c>
      <c r="K348" s="1" t="s">
        <v>30</v>
      </c>
      <c r="L348" s="8">
        <v>0.2</v>
      </c>
      <c r="M348" s="6"/>
      <c r="N348" s="6"/>
      <c r="O348" s="9">
        <v>-235.2</v>
      </c>
    </row>
    <row r="349" spans="1:15" ht="19.5" customHeight="1">
      <c r="A349" s="1" t="s">
        <v>448</v>
      </c>
      <c r="B349" s="5">
        <v>45917</v>
      </c>
      <c r="C349" s="1" t="s">
        <v>17</v>
      </c>
      <c r="D349" s="1" t="s">
        <v>37</v>
      </c>
      <c r="E349" s="1" t="s">
        <v>25</v>
      </c>
      <c r="F349" s="1" t="s">
        <v>26</v>
      </c>
      <c r="G349" s="1" t="s">
        <v>21</v>
      </c>
      <c r="H349" s="6">
        <v>1</v>
      </c>
      <c r="I349" s="7">
        <v>1176</v>
      </c>
      <c r="J349" s="5">
        <v>45916</v>
      </c>
      <c r="K349" s="1" t="s">
        <v>30</v>
      </c>
      <c r="L349" s="8">
        <v>0.2</v>
      </c>
      <c r="M349" s="6"/>
      <c r="N349" s="6"/>
      <c r="O349" s="9">
        <v>-5.04</v>
      </c>
    </row>
    <row r="350" spans="1:15" ht="19.5" customHeight="1">
      <c r="A350" s="1" t="s">
        <v>449</v>
      </c>
      <c r="B350" s="5">
        <v>45917</v>
      </c>
      <c r="C350" s="1" t="s">
        <v>28</v>
      </c>
      <c r="D350" s="1" t="s">
        <v>29</v>
      </c>
      <c r="E350" s="1" t="s">
        <v>25</v>
      </c>
      <c r="F350" s="1" t="s">
        <v>26</v>
      </c>
      <c r="G350" s="1" t="s">
        <v>21</v>
      </c>
      <c r="H350" s="6">
        <v>1</v>
      </c>
      <c r="I350" s="7">
        <v>1176</v>
      </c>
      <c r="J350" s="5">
        <v>45914</v>
      </c>
      <c r="K350" s="1" t="s">
        <v>30</v>
      </c>
      <c r="L350" s="8">
        <v>0.2</v>
      </c>
      <c r="M350" s="6"/>
      <c r="N350" s="6"/>
      <c r="O350" s="9">
        <v>-46</v>
      </c>
    </row>
    <row r="351" spans="1:15" ht="19.5" customHeight="1">
      <c r="A351" s="1" t="s">
        <v>449</v>
      </c>
      <c r="B351" s="5">
        <v>45917</v>
      </c>
      <c r="C351" s="1" t="s">
        <v>31</v>
      </c>
      <c r="D351" s="1" t="s">
        <v>32</v>
      </c>
      <c r="E351" s="1" t="s">
        <v>25</v>
      </c>
      <c r="F351" s="1" t="s">
        <v>26</v>
      </c>
      <c r="G351" s="1" t="s">
        <v>21</v>
      </c>
      <c r="H351" s="6">
        <v>1</v>
      </c>
      <c r="I351" s="7">
        <v>1176</v>
      </c>
      <c r="J351" s="5">
        <v>45914</v>
      </c>
      <c r="K351" s="1" t="s">
        <v>30</v>
      </c>
      <c r="L351" s="8">
        <v>0</v>
      </c>
      <c r="M351" s="6"/>
      <c r="N351" s="6"/>
      <c r="O351" s="9">
        <v>580</v>
      </c>
    </row>
    <row r="352" spans="1:15" ht="19.5" customHeight="1">
      <c r="A352" s="1" t="s">
        <v>449</v>
      </c>
      <c r="B352" s="5">
        <v>45917</v>
      </c>
      <c r="C352" s="1" t="s">
        <v>31</v>
      </c>
      <c r="D352" s="1" t="s">
        <v>33</v>
      </c>
      <c r="E352" s="1" t="s">
        <v>25</v>
      </c>
      <c r="F352" s="1" t="s">
        <v>26</v>
      </c>
      <c r="G352" s="1" t="s">
        <v>21</v>
      </c>
      <c r="H352" s="6">
        <v>1</v>
      </c>
      <c r="I352" s="7">
        <v>1176</v>
      </c>
      <c r="J352" s="5">
        <v>45914</v>
      </c>
      <c r="K352" s="1" t="s">
        <v>30</v>
      </c>
      <c r="L352" s="8">
        <v>0</v>
      </c>
      <c r="M352" s="6"/>
      <c r="N352" s="6"/>
      <c r="O352" s="9">
        <v>4.26</v>
      </c>
    </row>
    <row r="353" spans="1:15" ht="19.5" customHeight="1">
      <c r="A353" s="1" t="s">
        <v>449</v>
      </c>
      <c r="B353" s="5">
        <v>45917</v>
      </c>
      <c r="C353" s="1" t="s">
        <v>31</v>
      </c>
      <c r="D353" s="1" t="s">
        <v>34</v>
      </c>
      <c r="E353" s="1" t="s">
        <v>25</v>
      </c>
      <c r="F353" s="1" t="s">
        <v>26</v>
      </c>
      <c r="G353" s="1" t="s">
        <v>21</v>
      </c>
      <c r="H353" s="6">
        <v>1</v>
      </c>
      <c r="I353" s="7">
        <v>1176</v>
      </c>
      <c r="J353" s="5">
        <v>45914</v>
      </c>
      <c r="K353" s="1" t="s">
        <v>30</v>
      </c>
      <c r="L353" s="8">
        <v>0</v>
      </c>
      <c r="M353" s="6"/>
      <c r="N353" s="6"/>
      <c r="O353" s="9">
        <v>591.74</v>
      </c>
    </row>
    <row r="354" spans="1:15" ht="19.5" customHeight="1">
      <c r="A354" s="1" t="s">
        <v>449</v>
      </c>
      <c r="B354" s="5">
        <v>45917</v>
      </c>
      <c r="C354" s="1" t="s">
        <v>35</v>
      </c>
      <c r="D354" s="1" t="s">
        <v>36</v>
      </c>
      <c r="E354" s="1" t="s">
        <v>25</v>
      </c>
      <c r="F354" s="1" t="s">
        <v>26</v>
      </c>
      <c r="G354" s="1" t="s">
        <v>21</v>
      </c>
      <c r="H354" s="6">
        <v>1</v>
      </c>
      <c r="I354" s="7">
        <v>1176</v>
      </c>
      <c r="J354" s="5">
        <v>45914</v>
      </c>
      <c r="K354" s="1" t="s">
        <v>30</v>
      </c>
      <c r="L354" s="8">
        <v>0.2</v>
      </c>
      <c r="M354" s="6"/>
      <c r="N354" s="6"/>
      <c r="O354" s="9">
        <v>-235.2</v>
      </c>
    </row>
    <row r="355" spans="1:15" ht="19.5" customHeight="1">
      <c r="A355" s="1" t="s">
        <v>449</v>
      </c>
      <c r="B355" s="5">
        <v>45917</v>
      </c>
      <c r="C355" s="1" t="s">
        <v>17</v>
      </c>
      <c r="D355" s="1" t="s">
        <v>37</v>
      </c>
      <c r="E355" s="1" t="s">
        <v>25</v>
      </c>
      <c r="F355" s="1" t="s">
        <v>26</v>
      </c>
      <c r="G355" s="1" t="s">
        <v>21</v>
      </c>
      <c r="H355" s="6">
        <v>1</v>
      </c>
      <c r="I355" s="7">
        <v>1176</v>
      </c>
      <c r="J355" s="5">
        <v>45914</v>
      </c>
      <c r="K355" s="1" t="s">
        <v>30</v>
      </c>
      <c r="L355" s="8">
        <v>0.2</v>
      </c>
      <c r="M355" s="6"/>
      <c r="N355" s="6"/>
      <c r="O355" s="9">
        <v>-3.52</v>
      </c>
    </row>
    <row r="356" spans="1:15" ht="19.5" customHeight="1">
      <c r="A356" s="1" t="s">
        <v>450</v>
      </c>
      <c r="B356" s="5">
        <v>45917</v>
      </c>
      <c r="C356" s="1" t="s">
        <v>28</v>
      </c>
      <c r="D356" s="1" t="s">
        <v>29</v>
      </c>
      <c r="E356" s="1" t="s">
        <v>25</v>
      </c>
      <c r="F356" s="1" t="s">
        <v>26</v>
      </c>
      <c r="G356" s="1" t="s">
        <v>21</v>
      </c>
      <c r="H356" s="6">
        <v>1</v>
      </c>
      <c r="I356" s="7">
        <v>1176</v>
      </c>
      <c r="J356" s="5">
        <v>45915</v>
      </c>
      <c r="K356" s="1" t="s">
        <v>30</v>
      </c>
      <c r="L356" s="8">
        <v>0.2</v>
      </c>
      <c r="M356" s="6"/>
      <c r="N356" s="6"/>
      <c r="O356" s="9">
        <v>-46</v>
      </c>
    </row>
    <row r="357" spans="1:15" ht="19.5" customHeight="1">
      <c r="A357" s="1" t="s">
        <v>450</v>
      </c>
      <c r="B357" s="5">
        <v>45917</v>
      </c>
      <c r="C357" s="1" t="s">
        <v>31</v>
      </c>
      <c r="D357" s="1" t="s">
        <v>32</v>
      </c>
      <c r="E357" s="1" t="s">
        <v>25</v>
      </c>
      <c r="F357" s="1" t="s">
        <v>26</v>
      </c>
      <c r="G357" s="1" t="s">
        <v>21</v>
      </c>
      <c r="H357" s="6">
        <v>1</v>
      </c>
      <c r="I357" s="7">
        <v>1176</v>
      </c>
      <c r="J357" s="5">
        <v>45915</v>
      </c>
      <c r="K357" s="1" t="s">
        <v>30</v>
      </c>
      <c r="L357" s="8">
        <v>0</v>
      </c>
      <c r="M357" s="6"/>
      <c r="N357" s="6"/>
      <c r="O357" s="9">
        <v>636.19000000000005</v>
      </c>
    </row>
    <row r="358" spans="1:15" ht="19.5" customHeight="1">
      <c r="A358" s="1" t="s">
        <v>450</v>
      </c>
      <c r="B358" s="5">
        <v>45917</v>
      </c>
      <c r="C358" s="1" t="s">
        <v>31</v>
      </c>
      <c r="D358" s="1" t="s">
        <v>33</v>
      </c>
      <c r="E358" s="1" t="s">
        <v>25</v>
      </c>
      <c r="F358" s="1" t="s">
        <v>26</v>
      </c>
      <c r="G358" s="1" t="s">
        <v>21</v>
      </c>
      <c r="H358" s="6">
        <v>1</v>
      </c>
      <c r="I358" s="7">
        <v>1176</v>
      </c>
      <c r="J358" s="5">
        <v>45915</v>
      </c>
      <c r="K358" s="1" t="s">
        <v>30</v>
      </c>
      <c r="L358" s="8">
        <v>0</v>
      </c>
      <c r="M358" s="6"/>
      <c r="N358" s="6"/>
      <c r="O358" s="9">
        <v>4.68</v>
      </c>
    </row>
    <row r="359" spans="1:15" ht="19.5" customHeight="1">
      <c r="A359" s="1" t="s">
        <v>450</v>
      </c>
      <c r="B359" s="5">
        <v>45917</v>
      </c>
      <c r="C359" s="1" t="s">
        <v>31</v>
      </c>
      <c r="D359" s="1" t="s">
        <v>34</v>
      </c>
      <c r="E359" s="1" t="s">
        <v>25</v>
      </c>
      <c r="F359" s="1" t="s">
        <v>26</v>
      </c>
      <c r="G359" s="1" t="s">
        <v>21</v>
      </c>
      <c r="H359" s="6">
        <v>1</v>
      </c>
      <c r="I359" s="7">
        <v>1176</v>
      </c>
      <c r="J359" s="5">
        <v>45915</v>
      </c>
      <c r="K359" s="1" t="s">
        <v>30</v>
      </c>
      <c r="L359" s="8">
        <v>0</v>
      </c>
      <c r="M359" s="6"/>
      <c r="N359" s="6"/>
      <c r="O359" s="9">
        <v>535.13</v>
      </c>
    </row>
    <row r="360" spans="1:15" ht="19.5" customHeight="1">
      <c r="A360" s="1" t="s">
        <v>450</v>
      </c>
      <c r="B360" s="5">
        <v>45917</v>
      </c>
      <c r="C360" s="1" t="s">
        <v>35</v>
      </c>
      <c r="D360" s="1" t="s">
        <v>36</v>
      </c>
      <c r="E360" s="1" t="s">
        <v>25</v>
      </c>
      <c r="F360" s="1" t="s">
        <v>26</v>
      </c>
      <c r="G360" s="1" t="s">
        <v>21</v>
      </c>
      <c r="H360" s="6">
        <v>1</v>
      </c>
      <c r="I360" s="7">
        <v>1176</v>
      </c>
      <c r="J360" s="5">
        <v>45915</v>
      </c>
      <c r="K360" s="1" t="s">
        <v>30</v>
      </c>
      <c r="L360" s="8">
        <v>0.2</v>
      </c>
      <c r="M360" s="6"/>
      <c r="N360" s="6"/>
      <c r="O360" s="9">
        <v>-235.2</v>
      </c>
    </row>
    <row r="361" spans="1:15" ht="19.5" customHeight="1">
      <c r="A361" s="1" t="s">
        <v>450</v>
      </c>
      <c r="B361" s="5">
        <v>45917</v>
      </c>
      <c r="C361" s="1" t="s">
        <v>17</v>
      </c>
      <c r="D361" s="1" t="s">
        <v>37</v>
      </c>
      <c r="E361" s="1" t="s">
        <v>25</v>
      </c>
      <c r="F361" s="1" t="s">
        <v>26</v>
      </c>
      <c r="G361" s="1" t="s">
        <v>21</v>
      </c>
      <c r="H361" s="6">
        <v>1</v>
      </c>
      <c r="I361" s="7">
        <v>1176</v>
      </c>
      <c r="J361" s="5">
        <v>45915</v>
      </c>
      <c r="K361" s="1" t="s">
        <v>30</v>
      </c>
      <c r="L361" s="8">
        <v>0.2</v>
      </c>
      <c r="M361" s="6"/>
      <c r="N361" s="6"/>
      <c r="O361" s="9">
        <v>-4.1900000000000004</v>
      </c>
    </row>
    <row r="362" spans="1:15" ht="19.5" customHeight="1">
      <c r="A362" s="1" t="s">
        <v>451</v>
      </c>
      <c r="B362" s="5">
        <v>45917</v>
      </c>
      <c r="C362" s="1" t="s">
        <v>17</v>
      </c>
      <c r="D362" s="1" t="s">
        <v>18</v>
      </c>
      <c r="E362" s="1" t="s">
        <v>25</v>
      </c>
      <c r="F362" s="1" t="s">
        <v>26</v>
      </c>
      <c r="G362" s="1" t="s">
        <v>21</v>
      </c>
      <c r="H362" s="6">
        <v>1</v>
      </c>
      <c r="I362" s="7">
        <v>0</v>
      </c>
      <c r="J362" s="5">
        <v>45917</v>
      </c>
      <c r="K362" s="1" t="s">
        <v>22</v>
      </c>
      <c r="L362" s="8">
        <v>0</v>
      </c>
      <c r="M362" s="6"/>
      <c r="N362" s="6"/>
      <c r="O362" s="9">
        <v>-3.51</v>
      </c>
    </row>
    <row r="363" spans="1:15" ht="19.5" customHeight="1">
      <c r="A363" s="1" t="s">
        <v>452</v>
      </c>
      <c r="B363" s="5">
        <v>45917</v>
      </c>
      <c r="C363" s="1" t="s">
        <v>17</v>
      </c>
      <c r="D363" s="1" t="s">
        <v>18</v>
      </c>
      <c r="E363" s="1" t="s">
        <v>25</v>
      </c>
      <c r="F363" s="1" t="s">
        <v>26</v>
      </c>
      <c r="G363" s="1" t="s">
        <v>21</v>
      </c>
      <c r="H363" s="6">
        <v>1</v>
      </c>
      <c r="I363" s="7">
        <v>0</v>
      </c>
      <c r="J363" s="5">
        <v>45917</v>
      </c>
      <c r="K363" s="1" t="s">
        <v>22</v>
      </c>
      <c r="L363" s="8">
        <v>0</v>
      </c>
      <c r="M363" s="6"/>
      <c r="N363" s="6"/>
      <c r="O363" s="9">
        <v>-3.51</v>
      </c>
    </row>
    <row r="364" spans="1:15" ht="19.5" customHeight="1">
      <c r="A364" s="1" t="s">
        <v>451</v>
      </c>
      <c r="B364" s="5">
        <v>45917</v>
      </c>
      <c r="C364" s="1" t="s">
        <v>17</v>
      </c>
      <c r="D364" s="1" t="s">
        <v>18</v>
      </c>
      <c r="E364" s="1" t="s">
        <v>25</v>
      </c>
      <c r="F364" s="1" t="s">
        <v>26</v>
      </c>
      <c r="G364" s="1" t="s">
        <v>21</v>
      </c>
      <c r="H364" s="6">
        <v>1</v>
      </c>
      <c r="I364" s="7">
        <v>0</v>
      </c>
      <c r="J364" s="5">
        <v>45917</v>
      </c>
      <c r="K364" s="1" t="s">
        <v>22</v>
      </c>
      <c r="L364" s="8">
        <v>0</v>
      </c>
      <c r="M364" s="6"/>
      <c r="N364" s="6"/>
      <c r="O364" s="9">
        <v>3.51</v>
      </c>
    </row>
    <row r="365" spans="1:15" ht="19.5" customHeight="1">
      <c r="A365" s="1" t="s">
        <v>22</v>
      </c>
      <c r="B365" s="5">
        <v>45917</v>
      </c>
      <c r="C365" s="1" t="s">
        <v>77</v>
      </c>
      <c r="D365" s="1" t="s">
        <v>78</v>
      </c>
      <c r="E365" s="1" t="s">
        <v>22</v>
      </c>
      <c r="F365" s="1" t="s">
        <v>22</v>
      </c>
      <c r="G365" s="1" t="s">
        <v>453</v>
      </c>
      <c r="H365" s="6">
        <v>0</v>
      </c>
      <c r="I365" s="7">
        <v>0</v>
      </c>
      <c r="J365" s="5">
        <v>45917</v>
      </c>
      <c r="K365" s="1" t="s">
        <v>22</v>
      </c>
      <c r="L365" s="8">
        <v>0</v>
      </c>
      <c r="M365" s="6"/>
      <c r="N365" s="6"/>
      <c r="O365" s="9">
        <v>-100</v>
      </c>
    </row>
    <row r="366" spans="1:15" ht="19.5" customHeight="1">
      <c r="A366" s="1" t="s">
        <v>83</v>
      </c>
      <c r="B366" s="5">
        <v>45917</v>
      </c>
      <c r="C366" s="1" t="s">
        <v>77</v>
      </c>
      <c r="D366" s="1" t="s">
        <v>84</v>
      </c>
      <c r="E366" s="1" t="s">
        <v>22</v>
      </c>
      <c r="F366" s="1" t="s">
        <v>22</v>
      </c>
      <c r="G366" s="1" t="s">
        <v>22</v>
      </c>
      <c r="H366" s="6">
        <v>0</v>
      </c>
      <c r="I366" s="7">
        <v>0</v>
      </c>
      <c r="J366" s="5">
        <v>45917</v>
      </c>
      <c r="K366" s="1" t="s">
        <v>22</v>
      </c>
      <c r="L366" s="8">
        <v>0</v>
      </c>
      <c r="M366" s="6"/>
      <c r="N366" s="6"/>
      <c r="O366" s="9">
        <v>-671.76</v>
      </c>
    </row>
    <row r="367" spans="1:15" ht="19.5" customHeight="1">
      <c r="A367" s="1" t="s">
        <v>85</v>
      </c>
      <c r="B367" s="5">
        <v>45917</v>
      </c>
      <c r="C367" s="1" t="s">
        <v>77</v>
      </c>
      <c r="D367" s="1" t="s">
        <v>82</v>
      </c>
      <c r="E367" s="1" t="s">
        <v>22</v>
      </c>
      <c r="F367" s="1" t="s">
        <v>22</v>
      </c>
      <c r="G367" s="1" t="s">
        <v>22</v>
      </c>
      <c r="H367" s="6">
        <v>0</v>
      </c>
      <c r="I367" s="7">
        <v>0</v>
      </c>
      <c r="J367" s="5">
        <v>45917</v>
      </c>
      <c r="K367" s="1" t="s">
        <v>22</v>
      </c>
      <c r="L367" s="8">
        <v>0</v>
      </c>
      <c r="M367" s="6"/>
      <c r="N367" s="6"/>
      <c r="O367" s="9">
        <v>-814.52</v>
      </c>
    </row>
    <row r="368" spans="1:15" ht="19.5" customHeight="1">
      <c r="A368" s="1" t="s">
        <v>81</v>
      </c>
      <c r="B368" s="5">
        <v>45917</v>
      </c>
      <c r="C368" s="1" t="s">
        <v>77</v>
      </c>
      <c r="D368" s="1" t="s">
        <v>82</v>
      </c>
      <c r="E368" s="1" t="s">
        <v>22</v>
      </c>
      <c r="F368" s="1" t="s">
        <v>22</v>
      </c>
      <c r="G368" s="1" t="s">
        <v>22</v>
      </c>
      <c r="H368" s="6">
        <v>0</v>
      </c>
      <c r="I368" s="7">
        <v>0</v>
      </c>
      <c r="J368" s="5">
        <v>45917</v>
      </c>
      <c r="K368" s="1" t="s">
        <v>22</v>
      </c>
      <c r="L368" s="8">
        <v>0</v>
      </c>
      <c r="M368" s="6"/>
      <c r="N368" s="6"/>
      <c r="O368" s="9">
        <v>-2813.64</v>
      </c>
    </row>
    <row r="369" spans="1:15" ht="19.5" customHeight="1">
      <c r="A369" s="1" t="s">
        <v>454</v>
      </c>
      <c r="B369" s="5">
        <v>45917</v>
      </c>
      <c r="C369" s="1" t="s">
        <v>77</v>
      </c>
      <c r="D369" s="1" t="s">
        <v>82</v>
      </c>
      <c r="E369" s="1" t="s">
        <v>22</v>
      </c>
      <c r="F369" s="1" t="s">
        <v>22</v>
      </c>
      <c r="G369" s="1" t="s">
        <v>22</v>
      </c>
      <c r="H369" s="6">
        <v>0</v>
      </c>
      <c r="I369" s="7">
        <v>0</v>
      </c>
      <c r="J369" s="5">
        <v>45917</v>
      </c>
      <c r="K369" s="1" t="s">
        <v>22</v>
      </c>
      <c r="L369" s="8">
        <v>0</v>
      </c>
      <c r="M369" s="6"/>
      <c r="N369" s="6"/>
      <c r="O369" s="9">
        <v>-1594.63</v>
      </c>
    </row>
    <row r="370" spans="1:15" ht="19.5" customHeight="1">
      <c r="A370" s="1" t="s">
        <v>455</v>
      </c>
      <c r="B370" s="5">
        <v>45918</v>
      </c>
      <c r="C370" s="1" t="s">
        <v>17</v>
      </c>
      <c r="D370" s="1" t="s">
        <v>18</v>
      </c>
      <c r="E370" s="1" t="s">
        <v>92</v>
      </c>
      <c r="F370" s="1" t="s">
        <v>93</v>
      </c>
      <c r="G370" s="1" t="s">
        <v>21</v>
      </c>
      <c r="H370" s="6">
        <v>1</v>
      </c>
      <c r="I370" s="7">
        <v>0</v>
      </c>
      <c r="J370" s="5">
        <v>45918</v>
      </c>
      <c r="K370" s="1" t="s">
        <v>22</v>
      </c>
      <c r="L370" s="8">
        <v>0</v>
      </c>
      <c r="M370" s="6"/>
      <c r="N370" s="6"/>
      <c r="O370" s="9">
        <v>-3.16</v>
      </c>
    </row>
    <row r="371" spans="1:15" ht="19.5" customHeight="1">
      <c r="A371" s="1" t="s">
        <v>456</v>
      </c>
      <c r="B371" s="5">
        <v>45918</v>
      </c>
      <c r="C371" s="1" t="s">
        <v>28</v>
      </c>
      <c r="D371" s="1" t="s">
        <v>29</v>
      </c>
      <c r="E371" s="1" t="s">
        <v>227</v>
      </c>
      <c r="F371" s="1" t="s">
        <v>402</v>
      </c>
      <c r="G371" s="1" t="s">
        <v>21</v>
      </c>
      <c r="H371" s="6">
        <v>1</v>
      </c>
      <c r="I371" s="7">
        <v>1500</v>
      </c>
      <c r="J371" s="5">
        <v>45914</v>
      </c>
      <c r="K371" s="1" t="s">
        <v>30</v>
      </c>
      <c r="L371" s="8">
        <v>0.2</v>
      </c>
      <c r="M371" s="6"/>
      <c r="N371" s="6"/>
      <c r="O371" s="9">
        <v>-46</v>
      </c>
    </row>
    <row r="372" spans="1:15" ht="19.5" customHeight="1">
      <c r="A372" s="1" t="s">
        <v>456</v>
      </c>
      <c r="B372" s="5">
        <v>45918</v>
      </c>
      <c r="C372" s="1" t="s">
        <v>31</v>
      </c>
      <c r="D372" s="1" t="s">
        <v>32</v>
      </c>
      <c r="E372" s="1" t="s">
        <v>227</v>
      </c>
      <c r="F372" s="1" t="s">
        <v>402</v>
      </c>
      <c r="G372" s="1" t="s">
        <v>21</v>
      </c>
      <c r="H372" s="6">
        <v>1</v>
      </c>
      <c r="I372" s="7">
        <v>1500</v>
      </c>
      <c r="J372" s="5">
        <v>45914</v>
      </c>
      <c r="K372" s="1" t="s">
        <v>30</v>
      </c>
      <c r="L372" s="8">
        <v>0</v>
      </c>
      <c r="M372" s="6"/>
      <c r="N372" s="6"/>
      <c r="O372" s="9">
        <v>940</v>
      </c>
    </row>
    <row r="373" spans="1:15" ht="19.5" customHeight="1">
      <c r="A373" s="1" t="s">
        <v>456</v>
      </c>
      <c r="B373" s="5">
        <v>45918</v>
      </c>
      <c r="C373" s="1" t="s">
        <v>31</v>
      </c>
      <c r="D373" s="1" t="s">
        <v>33</v>
      </c>
      <c r="E373" s="1" t="s">
        <v>227</v>
      </c>
      <c r="F373" s="1" t="s">
        <v>402</v>
      </c>
      <c r="G373" s="1" t="s">
        <v>21</v>
      </c>
      <c r="H373" s="6">
        <v>1</v>
      </c>
      <c r="I373" s="7">
        <v>1500</v>
      </c>
      <c r="J373" s="5">
        <v>45914</v>
      </c>
      <c r="K373" s="1" t="s">
        <v>30</v>
      </c>
      <c r="L373" s="8">
        <v>0</v>
      </c>
      <c r="M373" s="6"/>
      <c r="N373" s="6"/>
      <c r="O373" s="9">
        <v>6.91</v>
      </c>
    </row>
    <row r="374" spans="1:15" ht="19.5" customHeight="1">
      <c r="A374" s="1" t="s">
        <v>456</v>
      </c>
      <c r="B374" s="5">
        <v>45918</v>
      </c>
      <c r="C374" s="1" t="s">
        <v>31</v>
      </c>
      <c r="D374" s="1" t="s">
        <v>34</v>
      </c>
      <c r="E374" s="1" t="s">
        <v>227</v>
      </c>
      <c r="F374" s="1" t="s">
        <v>402</v>
      </c>
      <c r="G374" s="1" t="s">
        <v>21</v>
      </c>
      <c r="H374" s="6">
        <v>1</v>
      </c>
      <c r="I374" s="7">
        <v>1500</v>
      </c>
      <c r="J374" s="5">
        <v>45914</v>
      </c>
      <c r="K374" s="1" t="s">
        <v>30</v>
      </c>
      <c r="L374" s="8">
        <v>0</v>
      </c>
      <c r="M374" s="6"/>
      <c r="N374" s="6"/>
      <c r="O374" s="9">
        <v>553.09</v>
      </c>
    </row>
    <row r="375" spans="1:15" ht="19.5" customHeight="1">
      <c r="A375" s="1" t="s">
        <v>456</v>
      </c>
      <c r="B375" s="5">
        <v>45918</v>
      </c>
      <c r="C375" s="1" t="s">
        <v>35</v>
      </c>
      <c r="D375" s="1" t="s">
        <v>36</v>
      </c>
      <c r="E375" s="1" t="s">
        <v>227</v>
      </c>
      <c r="F375" s="1" t="s">
        <v>402</v>
      </c>
      <c r="G375" s="1" t="s">
        <v>21</v>
      </c>
      <c r="H375" s="6">
        <v>1</v>
      </c>
      <c r="I375" s="7">
        <v>1500</v>
      </c>
      <c r="J375" s="5">
        <v>45914</v>
      </c>
      <c r="K375" s="1" t="s">
        <v>30</v>
      </c>
      <c r="L375" s="8">
        <v>0.2</v>
      </c>
      <c r="M375" s="6"/>
      <c r="N375" s="6"/>
      <c r="O375" s="9">
        <v>-300</v>
      </c>
    </row>
    <row r="376" spans="1:15" ht="19.5" customHeight="1">
      <c r="A376" s="1" t="s">
        <v>456</v>
      </c>
      <c r="B376" s="5">
        <v>45918</v>
      </c>
      <c r="C376" s="1" t="s">
        <v>17</v>
      </c>
      <c r="D376" s="1" t="s">
        <v>37</v>
      </c>
      <c r="E376" s="1" t="s">
        <v>227</v>
      </c>
      <c r="F376" s="1" t="s">
        <v>402</v>
      </c>
      <c r="G376" s="1" t="s">
        <v>21</v>
      </c>
      <c r="H376" s="6">
        <v>1</v>
      </c>
      <c r="I376" s="7">
        <v>1500</v>
      </c>
      <c r="J376" s="5">
        <v>45914</v>
      </c>
      <c r="K376" s="1" t="s">
        <v>30</v>
      </c>
      <c r="L376" s="8">
        <v>0.2</v>
      </c>
      <c r="M376" s="6"/>
      <c r="N376" s="6"/>
      <c r="O376" s="9">
        <v>-4.71</v>
      </c>
    </row>
    <row r="377" spans="1:15" ht="19.5" customHeight="1">
      <c r="A377" s="1" t="s">
        <v>456</v>
      </c>
      <c r="B377" s="5">
        <v>45918</v>
      </c>
      <c r="C377" s="1" t="s">
        <v>17</v>
      </c>
      <c r="D377" s="1" t="s">
        <v>18</v>
      </c>
      <c r="E377" s="1" t="s">
        <v>227</v>
      </c>
      <c r="F377" s="1" t="s">
        <v>402</v>
      </c>
      <c r="G377" s="1" t="s">
        <v>21</v>
      </c>
      <c r="H377" s="6">
        <v>1</v>
      </c>
      <c r="I377" s="7">
        <v>0</v>
      </c>
      <c r="J377" s="5">
        <v>45914</v>
      </c>
      <c r="K377" s="1" t="s">
        <v>22</v>
      </c>
      <c r="L377" s="8">
        <v>0</v>
      </c>
      <c r="M377" s="6"/>
      <c r="N377" s="6"/>
      <c r="O377" s="9">
        <v>-17.86</v>
      </c>
    </row>
    <row r="378" spans="1:15" ht="19.5" customHeight="1">
      <c r="A378" s="1" t="s">
        <v>457</v>
      </c>
      <c r="B378" s="5">
        <v>45918</v>
      </c>
      <c r="C378" s="1" t="s">
        <v>17</v>
      </c>
      <c r="D378" s="1" t="s">
        <v>18</v>
      </c>
      <c r="E378" s="1" t="s">
        <v>25</v>
      </c>
      <c r="F378" s="1" t="s">
        <v>26</v>
      </c>
      <c r="G378" s="1" t="s">
        <v>21</v>
      </c>
      <c r="H378" s="6">
        <v>1</v>
      </c>
      <c r="I378" s="7">
        <v>0</v>
      </c>
      <c r="J378" s="5">
        <v>45918</v>
      </c>
      <c r="K378" s="1" t="s">
        <v>22</v>
      </c>
      <c r="L378" s="8">
        <v>0</v>
      </c>
      <c r="M378" s="6"/>
      <c r="N378" s="6"/>
      <c r="O378" s="9">
        <v>-11.71</v>
      </c>
    </row>
    <row r="379" spans="1:15" ht="19.5" customHeight="1">
      <c r="A379" s="1" t="s">
        <v>458</v>
      </c>
      <c r="B379" s="5">
        <v>45918</v>
      </c>
      <c r="C379" s="1" t="s">
        <v>28</v>
      </c>
      <c r="D379" s="1" t="s">
        <v>29</v>
      </c>
      <c r="E379" s="1" t="s">
        <v>227</v>
      </c>
      <c r="F379" s="1" t="s">
        <v>402</v>
      </c>
      <c r="G379" s="1" t="s">
        <v>21</v>
      </c>
      <c r="H379" s="6">
        <v>1</v>
      </c>
      <c r="I379" s="7">
        <v>1500</v>
      </c>
      <c r="J379" s="5">
        <v>45913</v>
      </c>
      <c r="K379" s="1" t="s">
        <v>30</v>
      </c>
      <c r="L379" s="8">
        <v>0.2</v>
      </c>
      <c r="M379" s="6"/>
      <c r="N379" s="6"/>
      <c r="O379" s="9">
        <v>-46</v>
      </c>
    </row>
    <row r="380" spans="1:15" ht="19.5" customHeight="1">
      <c r="A380" s="1" t="s">
        <v>458</v>
      </c>
      <c r="B380" s="5">
        <v>45918</v>
      </c>
      <c r="C380" s="1" t="s">
        <v>31</v>
      </c>
      <c r="D380" s="1" t="s">
        <v>32</v>
      </c>
      <c r="E380" s="1" t="s">
        <v>227</v>
      </c>
      <c r="F380" s="1" t="s">
        <v>402</v>
      </c>
      <c r="G380" s="1" t="s">
        <v>21</v>
      </c>
      <c r="H380" s="6">
        <v>1</v>
      </c>
      <c r="I380" s="7">
        <v>1500</v>
      </c>
      <c r="J380" s="5">
        <v>45913</v>
      </c>
      <c r="K380" s="1" t="s">
        <v>30</v>
      </c>
      <c r="L380" s="8">
        <v>0</v>
      </c>
      <c r="M380" s="6"/>
      <c r="N380" s="6"/>
      <c r="O380" s="9">
        <v>914.29</v>
      </c>
    </row>
    <row r="381" spans="1:15" ht="19.5" customHeight="1">
      <c r="A381" s="1" t="s">
        <v>458</v>
      </c>
      <c r="B381" s="5">
        <v>45918</v>
      </c>
      <c r="C381" s="1" t="s">
        <v>31</v>
      </c>
      <c r="D381" s="1" t="s">
        <v>33</v>
      </c>
      <c r="E381" s="1" t="s">
        <v>227</v>
      </c>
      <c r="F381" s="1" t="s">
        <v>402</v>
      </c>
      <c r="G381" s="1" t="s">
        <v>21</v>
      </c>
      <c r="H381" s="6">
        <v>1</v>
      </c>
      <c r="I381" s="7">
        <v>1500</v>
      </c>
      <c r="J381" s="5">
        <v>45913</v>
      </c>
      <c r="K381" s="1" t="s">
        <v>30</v>
      </c>
      <c r="L381" s="8">
        <v>0</v>
      </c>
      <c r="M381" s="6"/>
      <c r="N381" s="6"/>
      <c r="O381" s="9">
        <v>6.72</v>
      </c>
    </row>
    <row r="382" spans="1:15" ht="19.5" customHeight="1">
      <c r="A382" s="1" t="s">
        <v>458</v>
      </c>
      <c r="B382" s="5">
        <v>45918</v>
      </c>
      <c r="C382" s="1" t="s">
        <v>31</v>
      </c>
      <c r="D382" s="1" t="s">
        <v>34</v>
      </c>
      <c r="E382" s="1" t="s">
        <v>227</v>
      </c>
      <c r="F382" s="1" t="s">
        <v>402</v>
      </c>
      <c r="G382" s="1" t="s">
        <v>21</v>
      </c>
      <c r="H382" s="6">
        <v>1</v>
      </c>
      <c r="I382" s="7">
        <v>1500</v>
      </c>
      <c r="J382" s="5">
        <v>45913</v>
      </c>
      <c r="K382" s="1" t="s">
        <v>30</v>
      </c>
      <c r="L382" s="8">
        <v>0</v>
      </c>
      <c r="M382" s="6"/>
      <c r="N382" s="6"/>
      <c r="O382" s="9">
        <v>578.99</v>
      </c>
    </row>
    <row r="383" spans="1:15" ht="19.5" customHeight="1">
      <c r="A383" s="1" t="s">
        <v>458</v>
      </c>
      <c r="B383" s="5">
        <v>45918</v>
      </c>
      <c r="C383" s="1" t="s">
        <v>35</v>
      </c>
      <c r="D383" s="1" t="s">
        <v>36</v>
      </c>
      <c r="E383" s="1" t="s">
        <v>227</v>
      </c>
      <c r="F383" s="1" t="s">
        <v>402</v>
      </c>
      <c r="G383" s="1" t="s">
        <v>21</v>
      </c>
      <c r="H383" s="6">
        <v>1</v>
      </c>
      <c r="I383" s="7">
        <v>1500</v>
      </c>
      <c r="J383" s="5">
        <v>45913</v>
      </c>
      <c r="K383" s="1" t="s">
        <v>30</v>
      </c>
      <c r="L383" s="8">
        <v>0.2</v>
      </c>
      <c r="M383" s="6"/>
      <c r="N383" s="6"/>
      <c r="O383" s="9">
        <v>-300</v>
      </c>
    </row>
    <row r="384" spans="1:15" ht="19.5" customHeight="1">
      <c r="A384" s="1" t="s">
        <v>458</v>
      </c>
      <c r="B384" s="5">
        <v>45918</v>
      </c>
      <c r="C384" s="1" t="s">
        <v>17</v>
      </c>
      <c r="D384" s="1" t="s">
        <v>37</v>
      </c>
      <c r="E384" s="1" t="s">
        <v>227</v>
      </c>
      <c r="F384" s="1" t="s">
        <v>402</v>
      </c>
      <c r="G384" s="1" t="s">
        <v>21</v>
      </c>
      <c r="H384" s="6">
        <v>1</v>
      </c>
      <c r="I384" s="7">
        <v>1500</v>
      </c>
      <c r="J384" s="5">
        <v>45913</v>
      </c>
      <c r="K384" s="1" t="s">
        <v>30</v>
      </c>
      <c r="L384" s="8">
        <v>0.2</v>
      </c>
      <c r="M384" s="6"/>
      <c r="N384" s="6"/>
      <c r="O384" s="9">
        <v>-9.4700000000000006</v>
      </c>
    </row>
    <row r="385" spans="1:15" ht="19.5" customHeight="1">
      <c r="A385" s="1" t="s">
        <v>459</v>
      </c>
      <c r="B385" s="5">
        <v>45918</v>
      </c>
      <c r="C385" s="1" t="s">
        <v>17</v>
      </c>
      <c r="D385" s="1" t="s">
        <v>18</v>
      </c>
      <c r="E385" s="1" t="s">
        <v>51</v>
      </c>
      <c r="F385" s="1" t="s">
        <v>52</v>
      </c>
      <c r="G385" s="1" t="s">
        <v>41</v>
      </c>
      <c r="H385" s="6">
        <v>1</v>
      </c>
      <c r="I385" s="7">
        <v>0</v>
      </c>
      <c r="J385" s="5">
        <v>45918</v>
      </c>
      <c r="K385" s="1" t="s">
        <v>22</v>
      </c>
      <c r="L385" s="8">
        <v>0</v>
      </c>
      <c r="M385" s="6"/>
      <c r="N385" s="6"/>
      <c r="O385" s="9">
        <v>-34.380000000000003</v>
      </c>
    </row>
    <row r="386" spans="1:15" ht="19.5" customHeight="1">
      <c r="A386" s="1" t="s">
        <v>460</v>
      </c>
      <c r="B386" s="5">
        <v>45918</v>
      </c>
      <c r="C386" s="1" t="s">
        <v>17</v>
      </c>
      <c r="D386" s="1" t="s">
        <v>18</v>
      </c>
      <c r="E386" s="1" t="s">
        <v>224</v>
      </c>
      <c r="F386" s="1" t="s">
        <v>461</v>
      </c>
      <c r="G386" s="1" t="s">
        <v>21</v>
      </c>
      <c r="H386" s="6">
        <v>1</v>
      </c>
      <c r="I386" s="7">
        <v>0</v>
      </c>
      <c r="J386" s="5">
        <v>45918</v>
      </c>
      <c r="K386" s="1" t="s">
        <v>22</v>
      </c>
      <c r="L386" s="8">
        <v>0</v>
      </c>
      <c r="M386" s="6"/>
      <c r="N386" s="6"/>
      <c r="O386" s="9">
        <v>-5.04</v>
      </c>
    </row>
    <row r="387" spans="1:15" ht="19.5" customHeight="1">
      <c r="A387" s="1" t="s">
        <v>462</v>
      </c>
      <c r="B387" s="5">
        <v>45918</v>
      </c>
      <c r="C387" s="1" t="s">
        <v>28</v>
      </c>
      <c r="D387" s="1" t="s">
        <v>29</v>
      </c>
      <c r="E387" s="1" t="s">
        <v>88</v>
      </c>
      <c r="F387" s="1" t="s">
        <v>89</v>
      </c>
      <c r="G387" s="1" t="s">
        <v>21</v>
      </c>
      <c r="H387" s="6">
        <v>1</v>
      </c>
      <c r="I387" s="7">
        <v>1392</v>
      </c>
      <c r="J387" s="5">
        <v>45914</v>
      </c>
      <c r="K387" s="1" t="s">
        <v>30</v>
      </c>
      <c r="L387" s="8">
        <v>0.2</v>
      </c>
      <c r="M387" s="6"/>
      <c r="N387" s="6"/>
      <c r="O387" s="9">
        <v>-46</v>
      </c>
    </row>
    <row r="388" spans="1:15" ht="19.5" customHeight="1">
      <c r="A388" s="1" t="s">
        <v>462</v>
      </c>
      <c r="B388" s="5">
        <v>45918</v>
      </c>
      <c r="C388" s="1" t="s">
        <v>31</v>
      </c>
      <c r="D388" s="1" t="s">
        <v>32</v>
      </c>
      <c r="E388" s="1" t="s">
        <v>88</v>
      </c>
      <c r="F388" s="1" t="s">
        <v>89</v>
      </c>
      <c r="G388" s="1" t="s">
        <v>21</v>
      </c>
      <c r="H388" s="6">
        <v>1</v>
      </c>
      <c r="I388" s="7">
        <v>1392</v>
      </c>
      <c r="J388" s="5">
        <v>45914</v>
      </c>
      <c r="K388" s="1" t="s">
        <v>30</v>
      </c>
      <c r="L388" s="8">
        <v>0</v>
      </c>
      <c r="M388" s="6"/>
      <c r="N388" s="6"/>
      <c r="O388" s="9">
        <v>759.05</v>
      </c>
    </row>
    <row r="389" spans="1:15" ht="19.5" customHeight="1">
      <c r="A389" s="1" t="s">
        <v>462</v>
      </c>
      <c r="B389" s="5">
        <v>45918</v>
      </c>
      <c r="C389" s="1" t="s">
        <v>31</v>
      </c>
      <c r="D389" s="1" t="s">
        <v>33</v>
      </c>
      <c r="E389" s="1" t="s">
        <v>88</v>
      </c>
      <c r="F389" s="1" t="s">
        <v>89</v>
      </c>
      <c r="G389" s="1" t="s">
        <v>21</v>
      </c>
      <c r="H389" s="6">
        <v>1</v>
      </c>
      <c r="I389" s="7">
        <v>1392</v>
      </c>
      <c r="J389" s="5">
        <v>45914</v>
      </c>
      <c r="K389" s="1" t="s">
        <v>30</v>
      </c>
      <c r="L389" s="8">
        <v>0</v>
      </c>
      <c r="M389" s="6"/>
      <c r="N389" s="6"/>
      <c r="O389" s="9">
        <v>5.58</v>
      </c>
    </row>
    <row r="390" spans="1:15" ht="19.5" customHeight="1">
      <c r="A390" s="1" t="s">
        <v>462</v>
      </c>
      <c r="B390" s="5">
        <v>45918</v>
      </c>
      <c r="C390" s="1" t="s">
        <v>31</v>
      </c>
      <c r="D390" s="1" t="s">
        <v>34</v>
      </c>
      <c r="E390" s="1" t="s">
        <v>88</v>
      </c>
      <c r="F390" s="1" t="s">
        <v>89</v>
      </c>
      <c r="G390" s="1" t="s">
        <v>21</v>
      </c>
      <c r="H390" s="6">
        <v>1</v>
      </c>
      <c r="I390" s="7">
        <v>1392</v>
      </c>
      <c r="J390" s="5">
        <v>45914</v>
      </c>
      <c r="K390" s="1" t="s">
        <v>30</v>
      </c>
      <c r="L390" s="8">
        <v>0</v>
      </c>
      <c r="M390" s="6"/>
      <c r="N390" s="6"/>
      <c r="O390" s="9">
        <v>627.37</v>
      </c>
    </row>
    <row r="391" spans="1:15" ht="19.5" customHeight="1">
      <c r="A391" s="1" t="s">
        <v>462</v>
      </c>
      <c r="B391" s="5">
        <v>45918</v>
      </c>
      <c r="C391" s="1" t="s">
        <v>35</v>
      </c>
      <c r="D391" s="1" t="s">
        <v>36</v>
      </c>
      <c r="E391" s="1" t="s">
        <v>88</v>
      </c>
      <c r="F391" s="1" t="s">
        <v>89</v>
      </c>
      <c r="G391" s="1" t="s">
        <v>21</v>
      </c>
      <c r="H391" s="6">
        <v>1</v>
      </c>
      <c r="I391" s="7">
        <v>1392</v>
      </c>
      <c r="J391" s="5">
        <v>45914</v>
      </c>
      <c r="K391" s="1" t="s">
        <v>30</v>
      </c>
      <c r="L391" s="8">
        <v>0.2</v>
      </c>
      <c r="M391" s="6"/>
      <c r="N391" s="6"/>
      <c r="O391" s="9">
        <v>-278.39999999999998</v>
      </c>
    </row>
    <row r="392" spans="1:15" ht="19.5" customHeight="1">
      <c r="A392" s="1" t="s">
        <v>463</v>
      </c>
      <c r="B392" s="5">
        <v>45918</v>
      </c>
      <c r="C392" s="1" t="s">
        <v>17</v>
      </c>
      <c r="D392" s="1" t="s">
        <v>18</v>
      </c>
      <c r="E392" s="1" t="s">
        <v>229</v>
      </c>
      <c r="F392" s="1" t="s">
        <v>464</v>
      </c>
      <c r="G392" s="1" t="s">
        <v>21</v>
      </c>
      <c r="H392" s="6">
        <v>1</v>
      </c>
      <c r="I392" s="7">
        <v>0</v>
      </c>
      <c r="J392" s="5">
        <v>45918</v>
      </c>
      <c r="K392" s="1" t="s">
        <v>22</v>
      </c>
      <c r="L392" s="8">
        <v>0</v>
      </c>
      <c r="M392" s="6"/>
      <c r="N392" s="6"/>
      <c r="O392" s="9">
        <v>-16.8</v>
      </c>
    </row>
    <row r="393" spans="1:15" ht="19.5" customHeight="1">
      <c r="A393" s="1" t="s">
        <v>465</v>
      </c>
      <c r="B393" s="5">
        <v>45918</v>
      </c>
      <c r="C393" s="1" t="s">
        <v>17</v>
      </c>
      <c r="D393" s="1" t="s">
        <v>18</v>
      </c>
      <c r="E393" s="1" t="s">
        <v>54</v>
      </c>
      <c r="F393" s="1" t="s">
        <v>55</v>
      </c>
      <c r="G393" s="1" t="s">
        <v>21</v>
      </c>
      <c r="H393" s="6">
        <v>1</v>
      </c>
      <c r="I393" s="7">
        <v>0</v>
      </c>
      <c r="J393" s="5">
        <v>45918</v>
      </c>
      <c r="K393" s="1" t="s">
        <v>22</v>
      </c>
      <c r="L393" s="8">
        <v>0</v>
      </c>
      <c r="M393" s="6"/>
      <c r="N393" s="6"/>
      <c r="O393" s="9">
        <v>-13.34</v>
      </c>
    </row>
    <row r="394" spans="1:15" ht="19.5" customHeight="1">
      <c r="A394" s="1" t="s">
        <v>466</v>
      </c>
      <c r="B394" s="5">
        <v>45918</v>
      </c>
      <c r="C394" s="1" t="s">
        <v>17</v>
      </c>
      <c r="D394" s="1" t="s">
        <v>18</v>
      </c>
      <c r="E394" s="1" t="s">
        <v>25</v>
      </c>
      <c r="F394" s="1" t="s">
        <v>26</v>
      </c>
      <c r="G394" s="1" t="s">
        <v>21</v>
      </c>
      <c r="H394" s="6">
        <v>1</v>
      </c>
      <c r="I394" s="7">
        <v>0</v>
      </c>
      <c r="J394" s="5">
        <v>45918</v>
      </c>
      <c r="K394" s="1" t="s">
        <v>22</v>
      </c>
      <c r="L394" s="8">
        <v>0</v>
      </c>
      <c r="M394" s="6"/>
      <c r="N394" s="6"/>
      <c r="O394" s="9">
        <v>-9.33</v>
      </c>
    </row>
    <row r="395" spans="1:15" ht="19.5" customHeight="1">
      <c r="A395" s="1" t="s">
        <v>467</v>
      </c>
      <c r="B395" s="5">
        <v>45918</v>
      </c>
      <c r="C395" s="1" t="s">
        <v>28</v>
      </c>
      <c r="D395" s="1" t="s">
        <v>29</v>
      </c>
      <c r="E395" s="1" t="s">
        <v>228</v>
      </c>
      <c r="F395" s="1" t="s">
        <v>393</v>
      </c>
      <c r="G395" s="1" t="s">
        <v>21</v>
      </c>
      <c r="H395" s="6">
        <v>1</v>
      </c>
      <c r="I395" s="7">
        <v>1380</v>
      </c>
      <c r="J395" s="5">
        <v>45916</v>
      </c>
      <c r="K395" s="1" t="s">
        <v>30</v>
      </c>
      <c r="L395" s="8">
        <v>0.2</v>
      </c>
      <c r="M395" s="6"/>
      <c r="N395" s="6"/>
      <c r="O395" s="9">
        <v>-46</v>
      </c>
    </row>
    <row r="396" spans="1:15" ht="19.5" customHeight="1">
      <c r="A396" s="1" t="s">
        <v>467</v>
      </c>
      <c r="B396" s="5">
        <v>45918</v>
      </c>
      <c r="C396" s="1" t="s">
        <v>31</v>
      </c>
      <c r="D396" s="1" t="s">
        <v>32</v>
      </c>
      <c r="E396" s="1" t="s">
        <v>228</v>
      </c>
      <c r="F396" s="1" t="s">
        <v>393</v>
      </c>
      <c r="G396" s="1" t="s">
        <v>21</v>
      </c>
      <c r="H396" s="6">
        <v>1</v>
      </c>
      <c r="I396" s="7">
        <v>1380</v>
      </c>
      <c r="J396" s="5">
        <v>45916</v>
      </c>
      <c r="K396" s="1" t="s">
        <v>30</v>
      </c>
      <c r="L396" s="8">
        <v>0</v>
      </c>
      <c r="M396" s="6"/>
      <c r="N396" s="6"/>
      <c r="O396" s="9">
        <v>807.62</v>
      </c>
    </row>
    <row r="397" spans="1:15" ht="19.5" customHeight="1">
      <c r="A397" s="1" t="s">
        <v>467</v>
      </c>
      <c r="B397" s="5">
        <v>45918</v>
      </c>
      <c r="C397" s="1" t="s">
        <v>31</v>
      </c>
      <c r="D397" s="1" t="s">
        <v>33</v>
      </c>
      <c r="E397" s="1" t="s">
        <v>228</v>
      </c>
      <c r="F397" s="1" t="s">
        <v>393</v>
      </c>
      <c r="G397" s="1" t="s">
        <v>21</v>
      </c>
      <c r="H397" s="6">
        <v>1</v>
      </c>
      <c r="I397" s="7">
        <v>1380</v>
      </c>
      <c r="J397" s="5">
        <v>45916</v>
      </c>
      <c r="K397" s="1" t="s">
        <v>30</v>
      </c>
      <c r="L397" s="8">
        <v>0</v>
      </c>
      <c r="M397" s="6"/>
      <c r="N397" s="6"/>
      <c r="O397" s="9">
        <v>5.94</v>
      </c>
    </row>
    <row r="398" spans="1:15" ht="19.5" customHeight="1">
      <c r="A398" s="1" t="s">
        <v>467</v>
      </c>
      <c r="B398" s="5">
        <v>45918</v>
      </c>
      <c r="C398" s="1" t="s">
        <v>31</v>
      </c>
      <c r="D398" s="1" t="s">
        <v>34</v>
      </c>
      <c r="E398" s="1" t="s">
        <v>228</v>
      </c>
      <c r="F398" s="1" t="s">
        <v>393</v>
      </c>
      <c r="G398" s="1" t="s">
        <v>21</v>
      </c>
      <c r="H398" s="6">
        <v>1</v>
      </c>
      <c r="I398" s="7">
        <v>1380</v>
      </c>
      <c r="J398" s="5">
        <v>45916</v>
      </c>
      <c r="K398" s="1" t="s">
        <v>30</v>
      </c>
      <c r="L398" s="8">
        <v>0</v>
      </c>
      <c r="M398" s="6"/>
      <c r="N398" s="6"/>
      <c r="O398" s="9">
        <v>566.44000000000005</v>
      </c>
    </row>
    <row r="399" spans="1:15" ht="19.5" customHeight="1">
      <c r="A399" s="1" t="s">
        <v>467</v>
      </c>
      <c r="B399" s="5">
        <v>45918</v>
      </c>
      <c r="C399" s="1" t="s">
        <v>35</v>
      </c>
      <c r="D399" s="1" t="s">
        <v>36</v>
      </c>
      <c r="E399" s="1" t="s">
        <v>228</v>
      </c>
      <c r="F399" s="1" t="s">
        <v>393</v>
      </c>
      <c r="G399" s="1" t="s">
        <v>21</v>
      </c>
      <c r="H399" s="6">
        <v>1</v>
      </c>
      <c r="I399" s="7">
        <v>1380</v>
      </c>
      <c r="J399" s="5">
        <v>45916</v>
      </c>
      <c r="K399" s="1" t="s">
        <v>30</v>
      </c>
      <c r="L399" s="8">
        <v>0.2</v>
      </c>
      <c r="M399" s="6"/>
      <c r="N399" s="6"/>
      <c r="O399" s="9">
        <v>-276</v>
      </c>
    </row>
    <row r="400" spans="1:15" ht="19.5" customHeight="1">
      <c r="A400" s="1" t="s">
        <v>467</v>
      </c>
      <c r="B400" s="5">
        <v>45918</v>
      </c>
      <c r="C400" s="1" t="s">
        <v>17</v>
      </c>
      <c r="D400" s="1" t="s">
        <v>37</v>
      </c>
      <c r="E400" s="1" t="s">
        <v>228</v>
      </c>
      <c r="F400" s="1" t="s">
        <v>393</v>
      </c>
      <c r="G400" s="1" t="s">
        <v>21</v>
      </c>
      <c r="H400" s="6">
        <v>1</v>
      </c>
      <c r="I400" s="7">
        <v>1380</v>
      </c>
      <c r="J400" s="5">
        <v>45916</v>
      </c>
      <c r="K400" s="1" t="s">
        <v>30</v>
      </c>
      <c r="L400" s="8">
        <v>0.2</v>
      </c>
      <c r="M400" s="6"/>
      <c r="N400" s="6"/>
      <c r="O400" s="9">
        <v>-4.87</v>
      </c>
    </row>
    <row r="401" spans="1:15" ht="19.5" customHeight="1">
      <c r="A401" s="1" t="s">
        <v>467</v>
      </c>
      <c r="B401" s="5">
        <v>45918</v>
      </c>
      <c r="C401" s="1" t="s">
        <v>17</v>
      </c>
      <c r="D401" s="1" t="s">
        <v>18</v>
      </c>
      <c r="E401" s="1" t="s">
        <v>228</v>
      </c>
      <c r="F401" s="1" t="s">
        <v>393</v>
      </c>
      <c r="G401" s="1" t="s">
        <v>21</v>
      </c>
      <c r="H401" s="6">
        <v>1</v>
      </c>
      <c r="I401" s="7">
        <v>0</v>
      </c>
      <c r="J401" s="5">
        <v>45916</v>
      </c>
      <c r="K401" s="1" t="s">
        <v>22</v>
      </c>
      <c r="L401" s="8">
        <v>0</v>
      </c>
      <c r="M401" s="6"/>
      <c r="N401" s="6"/>
      <c r="O401" s="9">
        <v>-15.34</v>
      </c>
    </row>
    <row r="402" spans="1:15" ht="19.5" customHeight="1">
      <c r="A402" s="1" t="s">
        <v>468</v>
      </c>
      <c r="B402" s="5">
        <v>45918</v>
      </c>
      <c r="C402" s="1" t="s">
        <v>28</v>
      </c>
      <c r="D402" s="1" t="s">
        <v>29</v>
      </c>
      <c r="E402" s="1" t="s">
        <v>88</v>
      </c>
      <c r="F402" s="1" t="s">
        <v>89</v>
      </c>
      <c r="G402" s="1" t="s">
        <v>21</v>
      </c>
      <c r="H402" s="6">
        <v>1</v>
      </c>
      <c r="I402" s="7">
        <v>1392</v>
      </c>
      <c r="J402" s="5">
        <v>45916</v>
      </c>
      <c r="K402" s="1" t="s">
        <v>30</v>
      </c>
      <c r="L402" s="8">
        <v>0.2</v>
      </c>
      <c r="M402" s="6"/>
      <c r="N402" s="6"/>
      <c r="O402" s="9">
        <v>-46</v>
      </c>
    </row>
    <row r="403" spans="1:15" ht="19.5" customHeight="1">
      <c r="A403" s="1" t="s">
        <v>468</v>
      </c>
      <c r="B403" s="5">
        <v>45918</v>
      </c>
      <c r="C403" s="1" t="s">
        <v>31</v>
      </c>
      <c r="D403" s="1" t="s">
        <v>32</v>
      </c>
      <c r="E403" s="1" t="s">
        <v>88</v>
      </c>
      <c r="F403" s="1" t="s">
        <v>89</v>
      </c>
      <c r="G403" s="1" t="s">
        <v>21</v>
      </c>
      <c r="H403" s="6">
        <v>1</v>
      </c>
      <c r="I403" s="7">
        <v>1392</v>
      </c>
      <c r="J403" s="5">
        <v>45916</v>
      </c>
      <c r="K403" s="1" t="s">
        <v>30</v>
      </c>
      <c r="L403" s="8">
        <v>0</v>
      </c>
      <c r="M403" s="6"/>
      <c r="N403" s="6"/>
      <c r="O403" s="9">
        <v>668.89</v>
      </c>
    </row>
    <row r="404" spans="1:15" ht="19.5" customHeight="1">
      <c r="A404" s="1" t="s">
        <v>468</v>
      </c>
      <c r="B404" s="5">
        <v>45918</v>
      </c>
      <c r="C404" s="1" t="s">
        <v>31</v>
      </c>
      <c r="D404" s="1" t="s">
        <v>33</v>
      </c>
      <c r="E404" s="1" t="s">
        <v>88</v>
      </c>
      <c r="F404" s="1" t="s">
        <v>89</v>
      </c>
      <c r="G404" s="1" t="s">
        <v>21</v>
      </c>
      <c r="H404" s="6">
        <v>1</v>
      </c>
      <c r="I404" s="7">
        <v>1392</v>
      </c>
      <c r="J404" s="5">
        <v>45916</v>
      </c>
      <c r="K404" s="1" t="s">
        <v>30</v>
      </c>
      <c r="L404" s="8">
        <v>0</v>
      </c>
      <c r="M404" s="6"/>
      <c r="N404" s="6"/>
      <c r="O404" s="9">
        <v>4.92</v>
      </c>
    </row>
    <row r="405" spans="1:15" ht="19.5" customHeight="1">
      <c r="A405" s="1" t="s">
        <v>468</v>
      </c>
      <c r="B405" s="5">
        <v>45918</v>
      </c>
      <c r="C405" s="1" t="s">
        <v>31</v>
      </c>
      <c r="D405" s="1" t="s">
        <v>34</v>
      </c>
      <c r="E405" s="1" t="s">
        <v>88</v>
      </c>
      <c r="F405" s="1" t="s">
        <v>89</v>
      </c>
      <c r="G405" s="1" t="s">
        <v>21</v>
      </c>
      <c r="H405" s="6">
        <v>1</v>
      </c>
      <c r="I405" s="7">
        <v>1392</v>
      </c>
      <c r="J405" s="5">
        <v>45916</v>
      </c>
      <c r="K405" s="1" t="s">
        <v>30</v>
      </c>
      <c r="L405" s="8">
        <v>0</v>
      </c>
      <c r="M405" s="6"/>
      <c r="N405" s="6"/>
      <c r="O405" s="9">
        <v>718.19</v>
      </c>
    </row>
    <row r="406" spans="1:15" ht="19.5" customHeight="1">
      <c r="A406" s="1" t="s">
        <v>468</v>
      </c>
      <c r="B406" s="5">
        <v>45918</v>
      </c>
      <c r="C406" s="1" t="s">
        <v>35</v>
      </c>
      <c r="D406" s="1" t="s">
        <v>36</v>
      </c>
      <c r="E406" s="1" t="s">
        <v>88</v>
      </c>
      <c r="F406" s="1" t="s">
        <v>89</v>
      </c>
      <c r="G406" s="1" t="s">
        <v>21</v>
      </c>
      <c r="H406" s="6">
        <v>1</v>
      </c>
      <c r="I406" s="7">
        <v>1392</v>
      </c>
      <c r="J406" s="5">
        <v>45916</v>
      </c>
      <c r="K406" s="1" t="s">
        <v>30</v>
      </c>
      <c r="L406" s="8">
        <v>0.2</v>
      </c>
      <c r="M406" s="6"/>
      <c r="N406" s="6"/>
      <c r="O406" s="9">
        <v>-278.39999999999998</v>
      </c>
    </row>
    <row r="407" spans="1:15" ht="19.5" customHeight="1">
      <c r="A407" s="1" t="s">
        <v>468</v>
      </c>
      <c r="B407" s="5">
        <v>45918</v>
      </c>
      <c r="C407" s="1" t="s">
        <v>17</v>
      </c>
      <c r="D407" s="1" t="s">
        <v>37</v>
      </c>
      <c r="E407" s="1" t="s">
        <v>88</v>
      </c>
      <c r="F407" s="1" t="s">
        <v>89</v>
      </c>
      <c r="G407" s="1" t="s">
        <v>21</v>
      </c>
      <c r="H407" s="6">
        <v>1</v>
      </c>
      <c r="I407" s="7">
        <v>1392</v>
      </c>
      <c r="J407" s="5">
        <v>45916</v>
      </c>
      <c r="K407" s="1" t="s">
        <v>30</v>
      </c>
      <c r="L407" s="8">
        <v>0.2</v>
      </c>
      <c r="M407" s="6"/>
      <c r="N407" s="6"/>
      <c r="O407" s="9">
        <v>-5.19</v>
      </c>
    </row>
    <row r="408" spans="1:15" ht="19.5" customHeight="1">
      <c r="A408" s="1" t="s">
        <v>469</v>
      </c>
      <c r="B408" s="5">
        <v>45918</v>
      </c>
      <c r="C408" s="1" t="s">
        <v>28</v>
      </c>
      <c r="D408" s="1" t="s">
        <v>29</v>
      </c>
      <c r="E408" s="1" t="s">
        <v>25</v>
      </c>
      <c r="F408" s="1" t="s">
        <v>26</v>
      </c>
      <c r="G408" s="1" t="s">
        <v>21</v>
      </c>
      <c r="H408" s="6">
        <v>1</v>
      </c>
      <c r="I408" s="7">
        <v>1176</v>
      </c>
      <c r="J408" s="5">
        <v>45916</v>
      </c>
      <c r="K408" s="1" t="s">
        <v>30</v>
      </c>
      <c r="L408" s="8">
        <v>0.2</v>
      </c>
      <c r="M408" s="6"/>
      <c r="N408" s="6"/>
      <c r="O408" s="9">
        <v>-46</v>
      </c>
    </row>
    <row r="409" spans="1:15" ht="19.5" customHeight="1">
      <c r="A409" s="1" t="s">
        <v>469</v>
      </c>
      <c r="B409" s="5">
        <v>45918</v>
      </c>
      <c r="C409" s="1" t="s">
        <v>31</v>
      </c>
      <c r="D409" s="1" t="s">
        <v>32</v>
      </c>
      <c r="E409" s="1" t="s">
        <v>25</v>
      </c>
      <c r="F409" s="1" t="s">
        <v>26</v>
      </c>
      <c r="G409" s="1" t="s">
        <v>21</v>
      </c>
      <c r="H409" s="6">
        <v>1</v>
      </c>
      <c r="I409" s="7">
        <v>1176</v>
      </c>
      <c r="J409" s="5">
        <v>45916</v>
      </c>
      <c r="K409" s="1" t="s">
        <v>30</v>
      </c>
      <c r="L409" s="8">
        <v>0</v>
      </c>
      <c r="M409" s="6"/>
      <c r="N409" s="6"/>
      <c r="O409" s="9">
        <v>563.27</v>
      </c>
    </row>
    <row r="410" spans="1:15" ht="19.5" customHeight="1">
      <c r="A410" s="1" t="s">
        <v>469</v>
      </c>
      <c r="B410" s="5">
        <v>45918</v>
      </c>
      <c r="C410" s="1" t="s">
        <v>31</v>
      </c>
      <c r="D410" s="1" t="s">
        <v>33</v>
      </c>
      <c r="E410" s="1" t="s">
        <v>25</v>
      </c>
      <c r="F410" s="1" t="s">
        <v>26</v>
      </c>
      <c r="G410" s="1" t="s">
        <v>21</v>
      </c>
      <c r="H410" s="6">
        <v>1</v>
      </c>
      <c r="I410" s="7">
        <v>1176</v>
      </c>
      <c r="J410" s="5">
        <v>45916</v>
      </c>
      <c r="K410" s="1" t="s">
        <v>30</v>
      </c>
      <c r="L410" s="8">
        <v>0</v>
      </c>
      <c r="M410" s="6"/>
      <c r="N410" s="6"/>
      <c r="O410" s="9">
        <v>4.1399999999999997</v>
      </c>
    </row>
    <row r="411" spans="1:15" ht="19.5" customHeight="1">
      <c r="A411" s="1" t="s">
        <v>469</v>
      </c>
      <c r="B411" s="5">
        <v>45918</v>
      </c>
      <c r="C411" s="1" t="s">
        <v>31</v>
      </c>
      <c r="D411" s="1" t="s">
        <v>34</v>
      </c>
      <c r="E411" s="1" t="s">
        <v>25</v>
      </c>
      <c r="F411" s="1" t="s">
        <v>26</v>
      </c>
      <c r="G411" s="1" t="s">
        <v>21</v>
      </c>
      <c r="H411" s="6">
        <v>1</v>
      </c>
      <c r="I411" s="7">
        <v>1176</v>
      </c>
      <c r="J411" s="5">
        <v>45916</v>
      </c>
      <c r="K411" s="1" t="s">
        <v>30</v>
      </c>
      <c r="L411" s="8">
        <v>0</v>
      </c>
      <c r="M411" s="6"/>
      <c r="N411" s="6"/>
      <c r="O411" s="9">
        <v>608.59</v>
      </c>
    </row>
    <row r="412" spans="1:15" ht="19.5" customHeight="1">
      <c r="A412" s="1" t="s">
        <v>469</v>
      </c>
      <c r="B412" s="5">
        <v>45918</v>
      </c>
      <c r="C412" s="1" t="s">
        <v>35</v>
      </c>
      <c r="D412" s="1" t="s">
        <v>36</v>
      </c>
      <c r="E412" s="1" t="s">
        <v>25</v>
      </c>
      <c r="F412" s="1" t="s">
        <v>26</v>
      </c>
      <c r="G412" s="1" t="s">
        <v>21</v>
      </c>
      <c r="H412" s="6">
        <v>1</v>
      </c>
      <c r="I412" s="7">
        <v>1176</v>
      </c>
      <c r="J412" s="5">
        <v>45916</v>
      </c>
      <c r="K412" s="1" t="s">
        <v>30</v>
      </c>
      <c r="L412" s="8">
        <v>0.2</v>
      </c>
      <c r="M412" s="6"/>
      <c r="N412" s="6"/>
      <c r="O412" s="9">
        <v>-235.2</v>
      </c>
    </row>
    <row r="413" spans="1:15" ht="19.5" customHeight="1">
      <c r="A413" s="1" t="s">
        <v>469</v>
      </c>
      <c r="B413" s="5">
        <v>45918</v>
      </c>
      <c r="C413" s="1" t="s">
        <v>17</v>
      </c>
      <c r="D413" s="1" t="s">
        <v>37</v>
      </c>
      <c r="E413" s="1" t="s">
        <v>25</v>
      </c>
      <c r="F413" s="1" t="s">
        <v>26</v>
      </c>
      <c r="G413" s="1" t="s">
        <v>21</v>
      </c>
      <c r="H413" s="6">
        <v>1</v>
      </c>
      <c r="I413" s="7">
        <v>1176</v>
      </c>
      <c r="J413" s="5">
        <v>45916</v>
      </c>
      <c r="K413" s="1" t="s">
        <v>30</v>
      </c>
      <c r="L413" s="8">
        <v>0.2</v>
      </c>
      <c r="M413" s="6"/>
      <c r="N413" s="6"/>
      <c r="O413" s="9">
        <v>-4.3899999999999997</v>
      </c>
    </row>
    <row r="414" spans="1:15" ht="19.5" customHeight="1">
      <c r="A414" s="1" t="s">
        <v>470</v>
      </c>
      <c r="B414" s="5">
        <v>45918</v>
      </c>
      <c r="C414" s="1" t="s">
        <v>28</v>
      </c>
      <c r="D414" s="1" t="s">
        <v>29</v>
      </c>
      <c r="E414" s="1" t="s">
        <v>25</v>
      </c>
      <c r="F414" s="1" t="s">
        <v>26</v>
      </c>
      <c r="G414" s="1" t="s">
        <v>21</v>
      </c>
      <c r="H414" s="6">
        <v>1</v>
      </c>
      <c r="I414" s="7">
        <v>1176</v>
      </c>
      <c r="J414" s="5">
        <v>45917</v>
      </c>
      <c r="K414" s="1" t="s">
        <v>30</v>
      </c>
      <c r="L414" s="8">
        <v>0.2</v>
      </c>
      <c r="M414" s="6"/>
      <c r="N414" s="6"/>
      <c r="O414" s="9">
        <v>-46</v>
      </c>
    </row>
    <row r="415" spans="1:15" ht="19.5" customHeight="1">
      <c r="A415" s="1" t="s">
        <v>470</v>
      </c>
      <c r="B415" s="5">
        <v>45918</v>
      </c>
      <c r="C415" s="1" t="s">
        <v>31</v>
      </c>
      <c r="D415" s="1" t="s">
        <v>32</v>
      </c>
      <c r="E415" s="1" t="s">
        <v>25</v>
      </c>
      <c r="F415" s="1" t="s">
        <v>26</v>
      </c>
      <c r="G415" s="1" t="s">
        <v>21</v>
      </c>
      <c r="H415" s="6">
        <v>1</v>
      </c>
      <c r="I415" s="7">
        <v>1176</v>
      </c>
      <c r="J415" s="5">
        <v>45917</v>
      </c>
      <c r="K415" s="1" t="s">
        <v>30</v>
      </c>
      <c r="L415" s="8">
        <v>0</v>
      </c>
      <c r="M415" s="6"/>
      <c r="N415" s="6"/>
      <c r="O415" s="9">
        <v>595.24</v>
      </c>
    </row>
    <row r="416" spans="1:15" ht="19.5" customHeight="1">
      <c r="A416" s="1" t="s">
        <v>470</v>
      </c>
      <c r="B416" s="5">
        <v>45918</v>
      </c>
      <c r="C416" s="1" t="s">
        <v>31</v>
      </c>
      <c r="D416" s="1" t="s">
        <v>33</v>
      </c>
      <c r="E416" s="1" t="s">
        <v>25</v>
      </c>
      <c r="F416" s="1" t="s">
        <v>26</v>
      </c>
      <c r="G416" s="1" t="s">
        <v>21</v>
      </c>
      <c r="H416" s="6">
        <v>1</v>
      </c>
      <c r="I416" s="7">
        <v>1176</v>
      </c>
      <c r="J416" s="5">
        <v>45917</v>
      </c>
      <c r="K416" s="1" t="s">
        <v>30</v>
      </c>
      <c r="L416" s="8">
        <v>0</v>
      </c>
      <c r="M416" s="6"/>
      <c r="N416" s="6"/>
      <c r="O416" s="9">
        <v>4.38</v>
      </c>
    </row>
    <row r="417" spans="1:15" ht="19.5" customHeight="1">
      <c r="A417" s="1" t="s">
        <v>470</v>
      </c>
      <c r="B417" s="5">
        <v>45918</v>
      </c>
      <c r="C417" s="1" t="s">
        <v>31</v>
      </c>
      <c r="D417" s="1" t="s">
        <v>34</v>
      </c>
      <c r="E417" s="1" t="s">
        <v>25</v>
      </c>
      <c r="F417" s="1" t="s">
        <v>26</v>
      </c>
      <c r="G417" s="1" t="s">
        <v>21</v>
      </c>
      <c r="H417" s="6">
        <v>1</v>
      </c>
      <c r="I417" s="7">
        <v>1176</v>
      </c>
      <c r="J417" s="5">
        <v>45917</v>
      </c>
      <c r="K417" s="1" t="s">
        <v>30</v>
      </c>
      <c r="L417" s="8">
        <v>0</v>
      </c>
      <c r="M417" s="6"/>
      <c r="N417" s="6"/>
      <c r="O417" s="9">
        <v>576.38</v>
      </c>
    </row>
    <row r="418" spans="1:15" ht="19.5" customHeight="1">
      <c r="A418" s="1" t="s">
        <v>470</v>
      </c>
      <c r="B418" s="5">
        <v>45918</v>
      </c>
      <c r="C418" s="1" t="s">
        <v>35</v>
      </c>
      <c r="D418" s="1" t="s">
        <v>36</v>
      </c>
      <c r="E418" s="1" t="s">
        <v>25</v>
      </c>
      <c r="F418" s="1" t="s">
        <v>26</v>
      </c>
      <c r="G418" s="1" t="s">
        <v>21</v>
      </c>
      <c r="H418" s="6">
        <v>1</v>
      </c>
      <c r="I418" s="7">
        <v>1176</v>
      </c>
      <c r="J418" s="5">
        <v>45917</v>
      </c>
      <c r="K418" s="1" t="s">
        <v>30</v>
      </c>
      <c r="L418" s="8">
        <v>0.2</v>
      </c>
      <c r="M418" s="6"/>
      <c r="N418" s="6"/>
      <c r="O418" s="9">
        <v>-235.2</v>
      </c>
    </row>
    <row r="419" spans="1:15" ht="19.5" customHeight="1">
      <c r="A419" s="1" t="s">
        <v>470</v>
      </c>
      <c r="B419" s="5">
        <v>45918</v>
      </c>
      <c r="C419" s="1" t="s">
        <v>17</v>
      </c>
      <c r="D419" s="1" t="s">
        <v>37</v>
      </c>
      <c r="E419" s="1" t="s">
        <v>25</v>
      </c>
      <c r="F419" s="1" t="s">
        <v>26</v>
      </c>
      <c r="G419" s="1" t="s">
        <v>21</v>
      </c>
      <c r="H419" s="6">
        <v>1</v>
      </c>
      <c r="I419" s="7">
        <v>1176</v>
      </c>
      <c r="J419" s="5">
        <v>45917</v>
      </c>
      <c r="K419" s="1" t="s">
        <v>30</v>
      </c>
      <c r="L419" s="8">
        <v>0.2</v>
      </c>
      <c r="M419" s="6"/>
      <c r="N419" s="6"/>
      <c r="O419" s="9">
        <v>-4.13</v>
      </c>
    </row>
    <row r="420" spans="1:15" ht="19.5" customHeight="1">
      <c r="A420" s="1" t="s">
        <v>470</v>
      </c>
      <c r="B420" s="5">
        <v>45918</v>
      </c>
      <c r="C420" s="1" t="s">
        <v>17</v>
      </c>
      <c r="D420" s="1" t="s">
        <v>18</v>
      </c>
      <c r="E420" s="1" t="s">
        <v>25</v>
      </c>
      <c r="F420" s="1" t="s">
        <v>26</v>
      </c>
      <c r="G420" s="1" t="s">
        <v>21</v>
      </c>
      <c r="H420" s="6">
        <v>1</v>
      </c>
      <c r="I420" s="7">
        <v>0</v>
      </c>
      <c r="J420" s="5">
        <v>45917</v>
      </c>
      <c r="K420" s="1" t="s">
        <v>22</v>
      </c>
      <c r="L420" s="8">
        <v>0</v>
      </c>
      <c r="M420" s="6"/>
      <c r="N420" s="6"/>
      <c r="O420" s="9">
        <v>-11.31</v>
      </c>
    </row>
    <row r="421" spans="1:15" ht="19.5" customHeight="1">
      <c r="A421" s="1" t="s">
        <v>471</v>
      </c>
      <c r="B421" s="5">
        <v>45918</v>
      </c>
      <c r="C421" s="1" t="s">
        <v>17</v>
      </c>
      <c r="D421" s="1" t="s">
        <v>18</v>
      </c>
      <c r="E421" s="1" t="s">
        <v>92</v>
      </c>
      <c r="F421" s="1" t="s">
        <v>93</v>
      </c>
      <c r="G421" s="1" t="s">
        <v>21</v>
      </c>
      <c r="H421" s="6">
        <v>1</v>
      </c>
      <c r="I421" s="7">
        <v>0</v>
      </c>
      <c r="J421" s="5">
        <v>45918</v>
      </c>
      <c r="K421" s="1" t="s">
        <v>22</v>
      </c>
      <c r="L421" s="8">
        <v>0</v>
      </c>
      <c r="M421" s="6"/>
      <c r="N421" s="6"/>
      <c r="O421" s="9">
        <v>-12.9</v>
      </c>
    </row>
    <row r="422" spans="1:15" ht="19.5" customHeight="1">
      <c r="A422" s="1" t="s">
        <v>472</v>
      </c>
      <c r="B422" s="5">
        <v>45918</v>
      </c>
      <c r="C422" s="1" t="s">
        <v>28</v>
      </c>
      <c r="D422" s="1" t="s">
        <v>29</v>
      </c>
      <c r="E422" s="1" t="s">
        <v>25</v>
      </c>
      <c r="F422" s="1" t="s">
        <v>26</v>
      </c>
      <c r="G422" s="1" t="s">
        <v>21</v>
      </c>
      <c r="H422" s="6">
        <v>1</v>
      </c>
      <c r="I422" s="7">
        <v>1176</v>
      </c>
      <c r="J422" s="5">
        <v>45917</v>
      </c>
      <c r="K422" s="1" t="s">
        <v>30</v>
      </c>
      <c r="L422" s="8">
        <v>0.2</v>
      </c>
      <c r="M422" s="6"/>
      <c r="N422" s="6"/>
      <c r="O422" s="9">
        <v>-46</v>
      </c>
    </row>
    <row r="423" spans="1:15" ht="19.5" customHeight="1">
      <c r="A423" s="1" t="s">
        <v>472</v>
      </c>
      <c r="B423" s="5">
        <v>45918</v>
      </c>
      <c r="C423" s="1" t="s">
        <v>31</v>
      </c>
      <c r="D423" s="1" t="s">
        <v>32</v>
      </c>
      <c r="E423" s="1" t="s">
        <v>25</v>
      </c>
      <c r="F423" s="1" t="s">
        <v>26</v>
      </c>
      <c r="G423" s="1" t="s">
        <v>21</v>
      </c>
      <c r="H423" s="6">
        <v>1</v>
      </c>
      <c r="I423" s="7">
        <v>1176</v>
      </c>
      <c r="J423" s="5">
        <v>45917</v>
      </c>
      <c r="K423" s="1" t="s">
        <v>30</v>
      </c>
      <c r="L423" s="8">
        <v>0</v>
      </c>
      <c r="M423" s="6"/>
      <c r="N423" s="6"/>
      <c r="O423" s="9">
        <v>615.6</v>
      </c>
    </row>
    <row r="424" spans="1:15" ht="19.5" customHeight="1">
      <c r="A424" s="1" t="s">
        <v>472</v>
      </c>
      <c r="B424" s="5">
        <v>45918</v>
      </c>
      <c r="C424" s="1" t="s">
        <v>31</v>
      </c>
      <c r="D424" s="1" t="s">
        <v>33</v>
      </c>
      <c r="E424" s="1" t="s">
        <v>25</v>
      </c>
      <c r="F424" s="1" t="s">
        <v>26</v>
      </c>
      <c r="G424" s="1" t="s">
        <v>21</v>
      </c>
      <c r="H424" s="6">
        <v>1</v>
      </c>
      <c r="I424" s="7">
        <v>1176</v>
      </c>
      <c r="J424" s="5">
        <v>45917</v>
      </c>
      <c r="K424" s="1" t="s">
        <v>30</v>
      </c>
      <c r="L424" s="8">
        <v>0</v>
      </c>
      <c r="M424" s="6"/>
      <c r="N424" s="6"/>
      <c r="O424" s="9">
        <v>4.5199999999999996</v>
      </c>
    </row>
    <row r="425" spans="1:15" ht="19.5" customHeight="1">
      <c r="A425" s="1" t="s">
        <v>472</v>
      </c>
      <c r="B425" s="5">
        <v>45918</v>
      </c>
      <c r="C425" s="1" t="s">
        <v>31</v>
      </c>
      <c r="D425" s="1" t="s">
        <v>34</v>
      </c>
      <c r="E425" s="1" t="s">
        <v>25</v>
      </c>
      <c r="F425" s="1" t="s">
        <v>26</v>
      </c>
      <c r="G425" s="1" t="s">
        <v>21</v>
      </c>
      <c r="H425" s="6">
        <v>1</v>
      </c>
      <c r="I425" s="7">
        <v>1176</v>
      </c>
      <c r="J425" s="5">
        <v>45917</v>
      </c>
      <c r="K425" s="1" t="s">
        <v>30</v>
      </c>
      <c r="L425" s="8">
        <v>0</v>
      </c>
      <c r="M425" s="6"/>
      <c r="N425" s="6"/>
      <c r="O425" s="9">
        <v>555.88</v>
      </c>
    </row>
    <row r="426" spans="1:15" ht="19.5" customHeight="1">
      <c r="A426" s="1" t="s">
        <v>472</v>
      </c>
      <c r="B426" s="5">
        <v>45918</v>
      </c>
      <c r="C426" s="1" t="s">
        <v>35</v>
      </c>
      <c r="D426" s="1" t="s">
        <v>36</v>
      </c>
      <c r="E426" s="1" t="s">
        <v>25</v>
      </c>
      <c r="F426" s="1" t="s">
        <v>26</v>
      </c>
      <c r="G426" s="1" t="s">
        <v>21</v>
      </c>
      <c r="H426" s="6">
        <v>1</v>
      </c>
      <c r="I426" s="7">
        <v>1176</v>
      </c>
      <c r="J426" s="5">
        <v>45917</v>
      </c>
      <c r="K426" s="1" t="s">
        <v>30</v>
      </c>
      <c r="L426" s="8">
        <v>0.2</v>
      </c>
      <c r="M426" s="6"/>
      <c r="N426" s="6"/>
      <c r="O426" s="9">
        <v>-235.2</v>
      </c>
    </row>
    <row r="427" spans="1:15" ht="19.5" customHeight="1">
      <c r="A427" s="1" t="s">
        <v>472</v>
      </c>
      <c r="B427" s="5">
        <v>45918</v>
      </c>
      <c r="C427" s="1" t="s">
        <v>17</v>
      </c>
      <c r="D427" s="1" t="s">
        <v>37</v>
      </c>
      <c r="E427" s="1" t="s">
        <v>25</v>
      </c>
      <c r="F427" s="1" t="s">
        <v>26</v>
      </c>
      <c r="G427" s="1" t="s">
        <v>21</v>
      </c>
      <c r="H427" s="6">
        <v>1</v>
      </c>
      <c r="I427" s="7">
        <v>1176</v>
      </c>
      <c r="J427" s="5">
        <v>45917</v>
      </c>
      <c r="K427" s="1" t="s">
        <v>30</v>
      </c>
      <c r="L427" s="8">
        <v>0.2</v>
      </c>
      <c r="M427" s="6"/>
      <c r="N427" s="6"/>
      <c r="O427" s="9">
        <v>-3.95</v>
      </c>
    </row>
    <row r="428" spans="1:15" ht="19.5" customHeight="1">
      <c r="A428" s="1" t="s">
        <v>472</v>
      </c>
      <c r="B428" s="5">
        <v>45918</v>
      </c>
      <c r="C428" s="1" t="s">
        <v>17</v>
      </c>
      <c r="D428" s="1" t="s">
        <v>18</v>
      </c>
      <c r="E428" s="1" t="s">
        <v>25</v>
      </c>
      <c r="F428" s="1" t="s">
        <v>26</v>
      </c>
      <c r="G428" s="1" t="s">
        <v>21</v>
      </c>
      <c r="H428" s="6">
        <v>1</v>
      </c>
      <c r="I428" s="7">
        <v>0</v>
      </c>
      <c r="J428" s="5">
        <v>45917</v>
      </c>
      <c r="K428" s="1" t="s">
        <v>22</v>
      </c>
      <c r="L428" s="8">
        <v>0</v>
      </c>
      <c r="M428" s="6"/>
      <c r="N428" s="6"/>
      <c r="O428" s="9">
        <v>-11.7</v>
      </c>
    </row>
    <row r="429" spans="1:15" ht="19.5" customHeight="1">
      <c r="A429" s="1" t="s">
        <v>22</v>
      </c>
      <c r="B429" s="5">
        <v>45918</v>
      </c>
      <c r="C429" s="1" t="s">
        <v>77</v>
      </c>
      <c r="D429" s="1" t="s">
        <v>78</v>
      </c>
      <c r="E429" s="1" t="s">
        <v>22</v>
      </c>
      <c r="F429" s="1" t="s">
        <v>22</v>
      </c>
      <c r="G429" s="1" t="s">
        <v>473</v>
      </c>
      <c r="H429" s="6">
        <v>0</v>
      </c>
      <c r="I429" s="7">
        <v>0</v>
      </c>
      <c r="J429" s="5">
        <v>45918</v>
      </c>
      <c r="K429" s="1" t="s">
        <v>22</v>
      </c>
      <c r="L429" s="8">
        <v>0</v>
      </c>
      <c r="M429" s="6"/>
      <c r="N429" s="6"/>
      <c r="O429" s="9">
        <v>-100</v>
      </c>
    </row>
    <row r="430" spans="1:15" ht="19.5" customHeight="1">
      <c r="A430" s="1" t="s">
        <v>474</v>
      </c>
      <c r="B430" s="5">
        <v>45918</v>
      </c>
      <c r="C430" s="1" t="s">
        <v>17</v>
      </c>
      <c r="D430" s="1" t="s">
        <v>18</v>
      </c>
      <c r="E430" s="1" t="s">
        <v>19</v>
      </c>
      <c r="F430" s="1" t="s">
        <v>20</v>
      </c>
      <c r="G430" s="1" t="s">
        <v>21</v>
      </c>
      <c r="H430" s="6">
        <v>1</v>
      </c>
      <c r="I430" s="7">
        <v>0</v>
      </c>
      <c r="J430" s="5">
        <v>45918</v>
      </c>
      <c r="K430" s="1" t="s">
        <v>22</v>
      </c>
      <c r="L430" s="8">
        <v>0</v>
      </c>
      <c r="M430" s="6"/>
      <c r="N430" s="6"/>
      <c r="O430" s="9">
        <v>-15.9</v>
      </c>
    </row>
    <row r="431" spans="1:15" ht="19.5" customHeight="1">
      <c r="A431" s="1" t="s">
        <v>475</v>
      </c>
      <c r="B431" s="5">
        <v>45918</v>
      </c>
      <c r="C431" s="1" t="s">
        <v>17</v>
      </c>
      <c r="D431" s="1" t="s">
        <v>18</v>
      </c>
      <c r="E431" s="1" t="s">
        <v>25</v>
      </c>
      <c r="F431" s="1" t="s">
        <v>26</v>
      </c>
      <c r="G431" s="1" t="s">
        <v>21</v>
      </c>
      <c r="H431" s="6">
        <v>1</v>
      </c>
      <c r="I431" s="7">
        <v>0</v>
      </c>
      <c r="J431" s="5">
        <v>45918</v>
      </c>
      <c r="K431" s="1" t="s">
        <v>22</v>
      </c>
      <c r="L431" s="8">
        <v>0</v>
      </c>
      <c r="M431" s="6"/>
      <c r="N431" s="6"/>
      <c r="O431" s="9">
        <v>-10.57</v>
      </c>
    </row>
    <row r="432" spans="1:15" ht="19.5" customHeight="1">
      <c r="A432" s="1" t="s">
        <v>476</v>
      </c>
      <c r="B432" s="5">
        <v>45918</v>
      </c>
      <c r="C432" s="1" t="s">
        <v>17</v>
      </c>
      <c r="D432" s="1" t="s">
        <v>18</v>
      </c>
      <c r="E432" s="1" t="s">
        <v>25</v>
      </c>
      <c r="F432" s="1" t="s">
        <v>26</v>
      </c>
      <c r="G432" s="1" t="s">
        <v>21</v>
      </c>
      <c r="H432" s="6">
        <v>1</v>
      </c>
      <c r="I432" s="7">
        <v>0</v>
      </c>
      <c r="J432" s="5">
        <v>45918</v>
      </c>
      <c r="K432" s="1" t="s">
        <v>22</v>
      </c>
      <c r="L432" s="8">
        <v>0</v>
      </c>
      <c r="M432" s="6"/>
      <c r="N432" s="6"/>
      <c r="O432" s="9">
        <v>-11.05</v>
      </c>
    </row>
    <row r="433" spans="1:15" ht="19.5" customHeight="1">
      <c r="A433" s="1" t="s">
        <v>22</v>
      </c>
      <c r="B433" s="5">
        <v>45918</v>
      </c>
      <c r="C433" s="1" t="s">
        <v>77</v>
      </c>
      <c r="D433" s="1" t="s">
        <v>80</v>
      </c>
      <c r="E433" s="1" t="s">
        <v>22</v>
      </c>
      <c r="F433" s="1" t="s">
        <v>22</v>
      </c>
      <c r="G433" s="1" t="s">
        <v>22</v>
      </c>
      <c r="H433" s="6">
        <v>0</v>
      </c>
      <c r="I433" s="7">
        <v>0</v>
      </c>
      <c r="J433" s="5">
        <v>45918</v>
      </c>
      <c r="K433" s="1" t="s">
        <v>22</v>
      </c>
      <c r="L433" s="8">
        <v>0</v>
      </c>
      <c r="M433" s="6"/>
      <c r="N433" s="6"/>
      <c r="O433" s="9">
        <v>-504</v>
      </c>
    </row>
    <row r="434" spans="1:15" ht="19.5" customHeight="1">
      <c r="A434" s="1" t="s">
        <v>454</v>
      </c>
      <c r="B434" s="5">
        <v>45918</v>
      </c>
      <c r="C434" s="1" t="s">
        <v>77</v>
      </c>
      <c r="D434" s="1" t="s">
        <v>82</v>
      </c>
      <c r="E434" s="1" t="s">
        <v>22</v>
      </c>
      <c r="F434" s="1" t="s">
        <v>22</v>
      </c>
      <c r="G434" s="1" t="s">
        <v>22</v>
      </c>
      <c r="H434" s="6">
        <v>0</v>
      </c>
      <c r="I434" s="7">
        <v>0</v>
      </c>
      <c r="J434" s="5">
        <v>45918</v>
      </c>
      <c r="K434" s="1" t="s">
        <v>22</v>
      </c>
      <c r="L434" s="8">
        <v>0</v>
      </c>
      <c r="M434" s="6"/>
      <c r="N434" s="6"/>
      <c r="O434" s="9">
        <v>-1990.73</v>
      </c>
    </row>
    <row r="435" spans="1:15" ht="19.5" customHeight="1">
      <c r="A435" s="1" t="s">
        <v>85</v>
      </c>
      <c r="B435" s="5">
        <v>45918</v>
      </c>
      <c r="C435" s="1" t="s">
        <v>77</v>
      </c>
      <c r="D435" s="1" t="s">
        <v>82</v>
      </c>
      <c r="E435" s="1" t="s">
        <v>22</v>
      </c>
      <c r="F435" s="1" t="s">
        <v>22</v>
      </c>
      <c r="G435" s="1" t="s">
        <v>22</v>
      </c>
      <c r="H435" s="6">
        <v>0</v>
      </c>
      <c r="I435" s="7">
        <v>0</v>
      </c>
      <c r="J435" s="5">
        <v>45918</v>
      </c>
      <c r="K435" s="1" t="s">
        <v>22</v>
      </c>
      <c r="L435" s="8">
        <v>0</v>
      </c>
      <c r="M435" s="6"/>
      <c r="N435" s="6"/>
      <c r="O435" s="9">
        <v>-764.68</v>
      </c>
    </row>
    <row r="436" spans="1:15" ht="19.5" customHeight="1">
      <c r="A436" s="1" t="s">
        <v>83</v>
      </c>
      <c r="B436" s="5">
        <v>45918</v>
      </c>
      <c r="C436" s="1" t="s">
        <v>77</v>
      </c>
      <c r="D436" s="1" t="s">
        <v>84</v>
      </c>
      <c r="E436" s="1" t="s">
        <v>22</v>
      </c>
      <c r="F436" s="1" t="s">
        <v>22</v>
      </c>
      <c r="G436" s="1" t="s">
        <v>22</v>
      </c>
      <c r="H436" s="6">
        <v>0</v>
      </c>
      <c r="I436" s="7">
        <v>0</v>
      </c>
      <c r="J436" s="5">
        <v>45918</v>
      </c>
      <c r="K436" s="1" t="s">
        <v>22</v>
      </c>
      <c r="L436" s="8">
        <v>0</v>
      </c>
      <c r="M436" s="6"/>
      <c r="N436" s="6"/>
      <c r="O436" s="9">
        <v>-1821.06</v>
      </c>
    </row>
    <row r="437" spans="1:15" ht="19.5" customHeight="1">
      <c r="A437" s="1" t="s">
        <v>81</v>
      </c>
      <c r="B437" s="5">
        <v>45918</v>
      </c>
      <c r="C437" s="1" t="s">
        <v>77</v>
      </c>
      <c r="D437" s="1" t="s">
        <v>82</v>
      </c>
      <c r="E437" s="1" t="s">
        <v>22</v>
      </c>
      <c r="F437" s="1" t="s">
        <v>22</v>
      </c>
      <c r="G437" s="1" t="s">
        <v>22</v>
      </c>
      <c r="H437" s="6">
        <v>0</v>
      </c>
      <c r="I437" s="7">
        <v>0</v>
      </c>
      <c r="J437" s="5">
        <v>45918</v>
      </c>
      <c r="K437" s="1" t="s">
        <v>22</v>
      </c>
      <c r="L437" s="8">
        <v>0</v>
      </c>
      <c r="M437" s="6"/>
      <c r="N437" s="6"/>
      <c r="O437" s="9">
        <v>-2839.91</v>
      </c>
    </row>
    <row r="438" spans="1:15" ht="19.5" customHeight="1">
      <c r="A438" s="1" t="s">
        <v>477</v>
      </c>
      <c r="B438" s="5">
        <v>45919</v>
      </c>
      <c r="C438" s="1" t="s">
        <v>17</v>
      </c>
      <c r="D438" s="1" t="s">
        <v>18</v>
      </c>
      <c r="E438" s="1" t="s">
        <v>25</v>
      </c>
      <c r="F438" s="1" t="s">
        <v>26</v>
      </c>
      <c r="G438" s="1" t="s">
        <v>21</v>
      </c>
      <c r="H438" s="6">
        <v>1</v>
      </c>
      <c r="I438" s="7">
        <v>0</v>
      </c>
      <c r="J438" s="5">
        <v>45919</v>
      </c>
      <c r="K438" s="1" t="s">
        <v>22</v>
      </c>
      <c r="L438" s="8">
        <v>0</v>
      </c>
      <c r="M438" s="6"/>
      <c r="N438" s="6"/>
      <c r="O438" s="9">
        <v>-11.1</v>
      </c>
    </row>
    <row r="439" spans="1:15" ht="19.5" customHeight="1">
      <c r="A439" s="1" t="s">
        <v>478</v>
      </c>
      <c r="B439" s="5">
        <v>45919</v>
      </c>
      <c r="C439" s="1" t="s">
        <v>28</v>
      </c>
      <c r="D439" s="1" t="s">
        <v>29</v>
      </c>
      <c r="E439" s="1" t="s">
        <v>224</v>
      </c>
      <c r="F439" s="1" t="s">
        <v>461</v>
      </c>
      <c r="G439" s="1" t="s">
        <v>21</v>
      </c>
      <c r="H439" s="6">
        <v>1</v>
      </c>
      <c r="I439" s="7">
        <v>0</v>
      </c>
      <c r="J439" s="5">
        <v>45914</v>
      </c>
      <c r="K439" s="1" t="s">
        <v>30</v>
      </c>
      <c r="L439" s="8">
        <v>0</v>
      </c>
      <c r="M439" s="6"/>
      <c r="N439" s="6"/>
      <c r="O439" s="9">
        <v>-46</v>
      </c>
    </row>
    <row r="440" spans="1:15" ht="19.5" customHeight="1">
      <c r="A440" s="1" t="s">
        <v>478</v>
      </c>
      <c r="B440" s="5">
        <v>45919</v>
      </c>
      <c r="C440" s="1" t="s">
        <v>17</v>
      </c>
      <c r="D440" s="1" t="s">
        <v>37</v>
      </c>
      <c r="E440" s="1" t="s">
        <v>224</v>
      </c>
      <c r="F440" s="1" t="s">
        <v>461</v>
      </c>
      <c r="G440" s="1" t="s">
        <v>21</v>
      </c>
      <c r="H440" s="6">
        <v>1</v>
      </c>
      <c r="I440" s="7">
        <v>0</v>
      </c>
      <c r="J440" s="5">
        <v>45914</v>
      </c>
      <c r="K440" s="1" t="s">
        <v>30</v>
      </c>
      <c r="L440" s="8">
        <v>0</v>
      </c>
      <c r="M440" s="6"/>
      <c r="N440" s="6"/>
      <c r="O440" s="9">
        <v>-9.61</v>
      </c>
    </row>
    <row r="441" spans="1:15" ht="19.5" customHeight="1">
      <c r="A441" s="1" t="s">
        <v>479</v>
      </c>
      <c r="B441" s="5">
        <v>45919</v>
      </c>
      <c r="C441" s="1" t="s">
        <v>28</v>
      </c>
      <c r="D441" s="1" t="s">
        <v>29</v>
      </c>
      <c r="E441" s="1" t="s">
        <v>54</v>
      </c>
      <c r="F441" s="1" t="s">
        <v>55</v>
      </c>
      <c r="G441" s="1" t="s">
        <v>21</v>
      </c>
      <c r="H441" s="6">
        <v>1</v>
      </c>
      <c r="I441" s="7">
        <v>0</v>
      </c>
      <c r="J441" s="5">
        <v>45914</v>
      </c>
      <c r="K441" s="1" t="s">
        <v>30</v>
      </c>
      <c r="L441" s="8">
        <v>0</v>
      </c>
      <c r="M441" s="6"/>
      <c r="N441" s="6"/>
      <c r="O441" s="9">
        <v>-46</v>
      </c>
    </row>
    <row r="442" spans="1:15" ht="19.5" customHeight="1">
      <c r="A442" s="1" t="s">
        <v>479</v>
      </c>
      <c r="B442" s="5">
        <v>45919</v>
      </c>
      <c r="C442" s="1" t="s">
        <v>17</v>
      </c>
      <c r="D442" s="1" t="s">
        <v>37</v>
      </c>
      <c r="E442" s="1" t="s">
        <v>54</v>
      </c>
      <c r="F442" s="1" t="s">
        <v>55</v>
      </c>
      <c r="G442" s="1" t="s">
        <v>21</v>
      </c>
      <c r="H442" s="6">
        <v>1</v>
      </c>
      <c r="I442" s="7">
        <v>0</v>
      </c>
      <c r="J442" s="5">
        <v>45914</v>
      </c>
      <c r="K442" s="1" t="s">
        <v>30</v>
      </c>
      <c r="L442" s="8">
        <v>0</v>
      </c>
      <c r="M442" s="6"/>
      <c r="N442" s="6"/>
      <c r="O442" s="9">
        <v>-8.61</v>
      </c>
    </row>
    <row r="443" spans="1:15" ht="19.5" customHeight="1">
      <c r="A443" s="1" t="s">
        <v>479</v>
      </c>
      <c r="B443" s="5">
        <v>45919</v>
      </c>
      <c r="C443" s="1" t="s">
        <v>28</v>
      </c>
      <c r="D443" s="1" t="s">
        <v>45</v>
      </c>
      <c r="E443" s="1" t="s">
        <v>54</v>
      </c>
      <c r="F443" s="1" t="s">
        <v>55</v>
      </c>
      <c r="G443" s="1" t="s">
        <v>21</v>
      </c>
      <c r="H443" s="6">
        <v>1</v>
      </c>
      <c r="I443" s="7">
        <v>0</v>
      </c>
      <c r="J443" s="5">
        <v>45914</v>
      </c>
      <c r="K443" s="1" t="s">
        <v>30</v>
      </c>
      <c r="L443" s="8">
        <v>0</v>
      </c>
      <c r="M443" s="6"/>
      <c r="N443" s="6"/>
      <c r="O443" s="9">
        <v>0</v>
      </c>
    </row>
    <row r="444" spans="1:15" ht="19.5" customHeight="1">
      <c r="A444" s="1" t="s">
        <v>479</v>
      </c>
      <c r="B444" s="5">
        <v>45919</v>
      </c>
      <c r="C444" s="1" t="s">
        <v>28</v>
      </c>
      <c r="D444" s="1" t="s">
        <v>46</v>
      </c>
      <c r="E444" s="1" t="s">
        <v>54</v>
      </c>
      <c r="F444" s="1" t="s">
        <v>55</v>
      </c>
      <c r="G444" s="1" t="s">
        <v>21</v>
      </c>
      <c r="H444" s="6">
        <v>1</v>
      </c>
      <c r="I444" s="7">
        <v>0</v>
      </c>
      <c r="J444" s="5">
        <v>45914</v>
      </c>
      <c r="K444" s="1" t="s">
        <v>30</v>
      </c>
      <c r="L444" s="8">
        <v>0</v>
      </c>
      <c r="M444" s="6"/>
      <c r="N444" s="6"/>
      <c r="O444" s="9">
        <v>-46</v>
      </c>
    </row>
    <row r="445" spans="1:15" ht="19.5" customHeight="1">
      <c r="A445" s="1" t="s">
        <v>480</v>
      </c>
      <c r="B445" s="5">
        <v>45919</v>
      </c>
      <c r="C445" s="1" t="s">
        <v>28</v>
      </c>
      <c r="D445" s="1" t="s">
        <v>45</v>
      </c>
      <c r="E445" s="1" t="s">
        <v>222</v>
      </c>
      <c r="F445" s="1" t="s">
        <v>412</v>
      </c>
      <c r="G445" s="1" t="s">
        <v>21</v>
      </c>
      <c r="H445" s="6">
        <v>1</v>
      </c>
      <c r="I445" s="7">
        <v>0</v>
      </c>
      <c r="J445" s="5">
        <v>45914</v>
      </c>
      <c r="K445" s="1" t="s">
        <v>30</v>
      </c>
      <c r="L445" s="8">
        <v>0</v>
      </c>
      <c r="M445" s="6"/>
      <c r="N445" s="6"/>
      <c r="O445" s="9">
        <v>0</v>
      </c>
    </row>
    <row r="446" spans="1:15" ht="19.5" customHeight="1">
      <c r="A446" s="1" t="s">
        <v>480</v>
      </c>
      <c r="B446" s="5">
        <v>45919</v>
      </c>
      <c r="C446" s="1" t="s">
        <v>28</v>
      </c>
      <c r="D446" s="1" t="s">
        <v>46</v>
      </c>
      <c r="E446" s="1" t="s">
        <v>222</v>
      </c>
      <c r="F446" s="1" t="s">
        <v>412</v>
      </c>
      <c r="G446" s="1" t="s">
        <v>21</v>
      </c>
      <c r="H446" s="6">
        <v>1</v>
      </c>
      <c r="I446" s="7">
        <v>0</v>
      </c>
      <c r="J446" s="5">
        <v>45914</v>
      </c>
      <c r="K446" s="1" t="s">
        <v>30</v>
      </c>
      <c r="L446" s="8">
        <v>0</v>
      </c>
      <c r="M446" s="6"/>
      <c r="N446" s="6"/>
      <c r="O446" s="9">
        <v>-46</v>
      </c>
    </row>
    <row r="447" spans="1:15" ht="19.5" customHeight="1">
      <c r="A447" s="1" t="s">
        <v>478</v>
      </c>
      <c r="B447" s="5">
        <v>45919</v>
      </c>
      <c r="C447" s="1" t="s">
        <v>28</v>
      </c>
      <c r="D447" s="1" t="s">
        <v>45</v>
      </c>
      <c r="E447" s="1" t="s">
        <v>224</v>
      </c>
      <c r="F447" s="1" t="s">
        <v>461</v>
      </c>
      <c r="G447" s="1" t="s">
        <v>21</v>
      </c>
      <c r="H447" s="6">
        <v>1</v>
      </c>
      <c r="I447" s="7">
        <v>0</v>
      </c>
      <c r="J447" s="5">
        <v>45914</v>
      </c>
      <c r="K447" s="1" t="s">
        <v>30</v>
      </c>
      <c r="L447" s="8">
        <v>0</v>
      </c>
      <c r="M447" s="6"/>
      <c r="N447" s="6"/>
      <c r="O447" s="9">
        <v>0</v>
      </c>
    </row>
    <row r="448" spans="1:15" ht="19.5" customHeight="1">
      <c r="A448" s="1" t="s">
        <v>478</v>
      </c>
      <c r="B448" s="5">
        <v>45919</v>
      </c>
      <c r="C448" s="1" t="s">
        <v>28</v>
      </c>
      <c r="D448" s="1" t="s">
        <v>46</v>
      </c>
      <c r="E448" s="1" t="s">
        <v>224</v>
      </c>
      <c r="F448" s="1" t="s">
        <v>461</v>
      </c>
      <c r="G448" s="1" t="s">
        <v>21</v>
      </c>
      <c r="H448" s="6">
        <v>1</v>
      </c>
      <c r="I448" s="7">
        <v>0</v>
      </c>
      <c r="J448" s="5">
        <v>45914</v>
      </c>
      <c r="K448" s="1" t="s">
        <v>30</v>
      </c>
      <c r="L448" s="8">
        <v>0</v>
      </c>
      <c r="M448" s="6"/>
      <c r="N448" s="6"/>
      <c r="O448" s="9">
        <v>-46</v>
      </c>
    </row>
    <row r="449" spans="1:15" ht="19.5" customHeight="1">
      <c r="A449" s="1" t="s">
        <v>480</v>
      </c>
      <c r="B449" s="5">
        <v>45919</v>
      </c>
      <c r="C449" s="1" t="s">
        <v>28</v>
      </c>
      <c r="D449" s="1" t="s">
        <v>29</v>
      </c>
      <c r="E449" s="1" t="s">
        <v>222</v>
      </c>
      <c r="F449" s="1" t="s">
        <v>412</v>
      </c>
      <c r="G449" s="1" t="s">
        <v>21</v>
      </c>
      <c r="H449" s="6">
        <v>1</v>
      </c>
      <c r="I449" s="7">
        <v>0</v>
      </c>
      <c r="J449" s="5">
        <v>45914</v>
      </c>
      <c r="K449" s="1" t="s">
        <v>30</v>
      </c>
      <c r="L449" s="8">
        <v>0</v>
      </c>
      <c r="M449" s="6"/>
      <c r="N449" s="6"/>
      <c r="O449" s="9">
        <v>-46</v>
      </c>
    </row>
    <row r="450" spans="1:15" ht="19.5" customHeight="1">
      <c r="A450" s="1" t="s">
        <v>480</v>
      </c>
      <c r="B450" s="5">
        <v>45919</v>
      </c>
      <c r="C450" s="1" t="s">
        <v>17</v>
      </c>
      <c r="D450" s="1" t="s">
        <v>37</v>
      </c>
      <c r="E450" s="1" t="s">
        <v>222</v>
      </c>
      <c r="F450" s="1" t="s">
        <v>412</v>
      </c>
      <c r="G450" s="1" t="s">
        <v>21</v>
      </c>
      <c r="H450" s="6">
        <v>1</v>
      </c>
      <c r="I450" s="7">
        <v>0</v>
      </c>
      <c r="J450" s="5">
        <v>45914</v>
      </c>
      <c r="K450" s="1" t="s">
        <v>30</v>
      </c>
      <c r="L450" s="8">
        <v>0</v>
      </c>
      <c r="M450" s="6"/>
      <c r="N450" s="6"/>
      <c r="O450" s="9">
        <v>-8.32</v>
      </c>
    </row>
    <row r="451" spans="1:15" ht="19.5" customHeight="1">
      <c r="A451" s="1" t="s">
        <v>481</v>
      </c>
      <c r="B451" s="5">
        <v>45919</v>
      </c>
      <c r="C451" s="1" t="s">
        <v>28</v>
      </c>
      <c r="D451" s="1" t="s">
        <v>29</v>
      </c>
      <c r="E451" s="1" t="s">
        <v>224</v>
      </c>
      <c r="F451" s="1" t="s">
        <v>461</v>
      </c>
      <c r="G451" s="1" t="s">
        <v>21</v>
      </c>
      <c r="H451" s="6">
        <v>1</v>
      </c>
      <c r="I451" s="7">
        <v>1500</v>
      </c>
      <c r="J451" s="5">
        <v>45911</v>
      </c>
      <c r="K451" s="1" t="s">
        <v>30</v>
      </c>
      <c r="L451" s="8">
        <v>0.2</v>
      </c>
      <c r="M451" s="6"/>
      <c r="N451" s="6"/>
      <c r="O451" s="9">
        <v>-46</v>
      </c>
    </row>
    <row r="452" spans="1:15" ht="19.5" customHeight="1">
      <c r="A452" s="1" t="s">
        <v>481</v>
      </c>
      <c r="B452" s="5">
        <v>45919</v>
      </c>
      <c r="C452" s="1" t="s">
        <v>31</v>
      </c>
      <c r="D452" s="1" t="s">
        <v>32</v>
      </c>
      <c r="E452" s="1" t="s">
        <v>224</v>
      </c>
      <c r="F452" s="1" t="s">
        <v>461</v>
      </c>
      <c r="G452" s="1" t="s">
        <v>21</v>
      </c>
      <c r="H452" s="6">
        <v>1</v>
      </c>
      <c r="I452" s="7">
        <v>1500</v>
      </c>
      <c r="J452" s="5">
        <v>45911</v>
      </c>
      <c r="K452" s="1" t="s">
        <v>30</v>
      </c>
      <c r="L452" s="8">
        <v>0</v>
      </c>
      <c r="M452" s="6"/>
      <c r="N452" s="6"/>
      <c r="O452" s="9">
        <v>874.29</v>
      </c>
    </row>
    <row r="453" spans="1:15" ht="19.5" customHeight="1">
      <c r="A453" s="1" t="s">
        <v>481</v>
      </c>
      <c r="B453" s="5">
        <v>45919</v>
      </c>
      <c r="C453" s="1" t="s">
        <v>31</v>
      </c>
      <c r="D453" s="1" t="s">
        <v>33</v>
      </c>
      <c r="E453" s="1" t="s">
        <v>224</v>
      </c>
      <c r="F453" s="1" t="s">
        <v>461</v>
      </c>
      <c r="G453" s="1" t="s">
        <v>21</v>
      </c>
      <c r="H453" s="6">
        <v>1</v>
      </c>
      <c r="I453" s="7">
        <v>1500</v>
      </c>
      <c r="J453" s="5">
        <v>45911</v>
      </c>
      <c r="K453" s="1" t="s">
        <v>30</v>
      </c>
      <c r="L453" s="8">
        <v>0</v>
      </c>
      <c r="M453" s="6"/>
      <c r="N453" s="6"/>
      <c r="O453" s="9">
        <v>6.43</v>
      </c>
    </row>
    <row r="454" spans="1:15" ht="19.5" customHeight="1">
      <c r="A454" s="1" t="s">
        <v>481</v>
      </c>
      <c r="B454" s="5">
        <v>45919</v>
      </c>
      <c r="C454" s="1" t="s">
        <v>31</v>
      </c>
      <c r="D454" s="1" t="s">
        <v>34</v>
      </c>
      <c r="E454" s="1" t="s">
        <v>224</v>
      </c>
      <c r="F454" s="1" t="s">
        <v>461</v>
      </c>
      <c r="G454" s="1" t="s">
        <v>21</v>
      </c>
      <c r="H454" s="6">
        <v>1</v>
      </c>
      <c r="I454" s="7">
        <v>1500</v>
      </c>
      <c r="J454" s="5">
        <v>45911</v>
      </c>
      <c r="K454" s="1" t="s">
        <v>30</v>
      </c>
      <c r="L454" s="8">
        <v>0</v>
      </c>
      <c r="M454" s="6"/>
      <c r="N454" s="6"/>
      <c r="O454" s="9">
        <v>619.28</v>
      </c>
    </row>
    <row r="455" spans="1:15" ht="19.5" customHeight="1">
      <c r="A455" s="1" t="s">
        <v>481</v>
      </c>
      <c r="B455" s="5">
        <v>45919</v>
      </c>
      <c r="C455" s="1" t="s">
        <v>35</v>
      </c>
      <c r="D455" s="1" t="s">
        <v>36</v>
      </c>
      <c r="E455" s="1" t="s">
        <v>224</v>
      </c>
      <c r="F455" s="1" t="s">
        <v>461</v>
      </c>
      <c r="G455" s="1" t="s">
        <v>21</v>
      </c>
      <c r="H455" s="6">
        <v>1</v>
      </c>
      <c r="I455" s="7">
        <v>1500</v>
      </c>
      <c r="J455" s="5">
        <v>45911</v>
      </c>
      <c r="K455" s="1" t="s">
        <v>30</v>
      </c>
      <c r="L455" s="8">
        <v>0.2</v>
      </c>
      <c r="M455" s="6"/>
      <c r="N455" s="6"/>
      <c r="O455" s="9">
        <v>-300</v>
      </c>
    </row>
    <row r="456" spans="1:15" ht="19.5" customHeight="1">
      <c r="A456" s="1" t="s">
        <v>481</v>
      </c>
      <c r="B456" s="5">
        <v>45919</v>
      </c>
      <c r="C456" s="1" t="s">
        <v>17</v>
      </c>
      <c r="D456" s="1" t="s">
        <v>37</v>
      </c>
      <c r="E456" s="1" t="s">
        <v>224</v>
      </c>
      <c r="F456" s="1" t="s">
        <v>461</v>
      </c>
      <c r="G456" s="1" t="s">
        <v>21</v>
      </c>
      <c r="H456" s="6">
        <v>1</v>
      </c>
      <c r="I456" s="7">
        <v>1500</v>
      </c>
      <c r="J456" s="5">
        <v>45911</v>
      </c>
      <c r="K456" s="1" t="s">
        <v>30</v>
      </c>
      <c r="L456" s="8">
        <v>0.2</v>
      </c>
      <c r="M456" s="6"/>
      <c r="N456" s="6"/>
      <c r="O456" s="9">
        <v>-6.23</v>
      </c>
    </row>
    <row r="457" spans="1:15" ht="19.5" customHeight="1">
      <c r="A457" s="1" t="s">
        <v>482</v>
      </c>
      <c r="B457" s="5">
        <v>45919</v>
      </c>
      <c r="C457" s="1" t="s">
        <v>28</v>
      </c>
      <c r="D457" s="1" t="s">
        <v>29</v>
      </c>
      <c r="E457" s="1" t="s">
        <v>92</v>
      </c>
      <c r="F457" s="1" t="s">
        <v>93</v>
      </c>
      <c r="G457" s="1" t="s">
        <v>21</v>
      </c>
      <c r="H457" s="6">
        <v>1</v>
      </c>
      <c r="I457" s="7">
        <v>0</v>
      </c>
      <c r="J457" s="5">
        <v>45914</v>
      </c>
      <c r="K457" s="1" t="s">
        <v>30</v>
      </c>
      <c r="L457" s="8">
        <v>0</v>
      </c>
      <c r="M457" s="6"/>
      <c r="N457" s="6"/>
      <c r="O457" s="9">
        <v>-46</v>
      </c>
    </row>
    <row r="458" spans="1:15" ht="19.5" customHeight="1">
      <c r="A458" s="1" t="s">
        <v>481</v>
      </c>
      <c r="B458" s="5">
        <v>45919</v>
      </c>
      <c r="C458" s="1" t="s">
        <v>17</v>
      </c>
      <c r="D458" s="1" t="s">
        <v>18</v>
      </c>
      <c r="E458" s="1" t="s">
        <v>224</v>
      </c>
      <c r="F458" s="1" t="s">
        <v>461</v>
      </c>
      <c r="G458" s="1" t="s">
        <v>21</v>
      </c>
      <c r="H458" s="6">
        <v>1</v>
      </c>
      <c r="I458" s="7">
        <v>0</v>
      </c>
      <c r="J458" s="5">
        <v>45911</v>
      </c>
      <c r="K458" s="1" t="s">
        <v>22</v>
      </c>
      <c r="L458" s="8">
        <v>0</v>
      </c>
      <c r="M458" s="6"/>
      <c r="N458" s="6"/>
      <c r="O458" s="9">
        <v>-16.61</v>
      </c>
    </row>
    <row r="459" spans="1:15" ht="19.5" customHeight="1">
      <c r="A459" s="1" t="s">
        <v>482</v>
      </c>
      <c r="B459" s="5">
        <v>45919</v>
      </c>
      <c r="C459" s="1" t="s">
        <v>28</v>
      </c>
      <c r="D459" s="1" t="s">
        <v>45</v>
      </c>
      <c r="E459" s="1" t="s">
        <v>92</v>
      </c>
      <c r="F459" s="1" t="s">
        <v>93</v>
      </c>
      <c r="G459" s="1" t="s">
        <v>21</v>
      </c>
      <c r="H459" s="6">
        <v>1</v>
      </c>
      <c r="I459" s="7">
        <v>0</v>
      </c>
      <c r="J459" s="5">
        <v>45914</v>
      </c>
      <c r="K459" s="1" t="s">
        <v>30</v>
      </c>
      <c r="L459" s="8">
        <v>0</v>
      </c>
      <c r="M459" s="6"/>
      <c r="N459" s="6"/>
      <c r="O459" s="9">
        <v>0</v>
      </c>
    </row>
    <row r="460" spans="1:15" ht="19.5" customHeight="1">
      <c r="A460" s="1" t="s">
        <v>482</v>
      </c>
      <c r="B460" s="5">
        <v>45919</v>
      </c>
      <c r="C460" s="1" t="s">
        <v>28</v>
      </c>
      <c r="D460" s="1" t="s">
        <v>46</v>
      </c>
      <c r="E460" s="1" t="s">
        <v>92</v>
      </c>
      <c r="F460" s="1" t="s">
        <v>93</v>
      </c>
      <c r="G460" s="1" t="s">
        <v>21</v>
      </c>
      <c r="H460" s="6">
        <v>1</v>
      </c>
      <c r="I460" s="7">
        <v>0</v>
      </c>
      <c r="J460" s="5">
        <v>45914</v>
      </c>
      <c r="K460" s="1" t="s">
        <v>30</v>
      </c>
      <c r="L460" s="8">
        <v>0</v>
      </c>
      <c r="M460" s="6"/>
      <c r="N460" s="6"/>
      <c r="O460" s="9">
        <v>-46</v>
      </c>
    </row>
    <row r="461" spans="1:15" ht="19.5" customHeight="1">
      <c r="A461" s="1" t="s">
        <v>460</v>
      </c>
      <c r="B461" s="5">
        <v>45919</v>
      </c>
      <c r="C461" s="1" t="s">
        <v>17</v>
      </c>
      <c r="D461" s="1" t="s">
        <v>18</v>
      </c>
      <c r="E461" s="1" t="s">
        <v>224</v>
      </c>
      <c r="F461" s="1" t="s">
        <v>461</v>
      </c>
      <c r="G461" s="1" t="s">
        <v>21</v>
      </c>
      <c r="H461" s="6">
        <v>1</v>
      </c>
      <c r="I461" s="7">
        <v>0</v>
      </c>
      <c r="J461" s="5">
        <v>45918</v>
      </c>
      <c r="K461" s="1" t="s">
        <v>22</v>
      </c>
      <c r="L461" s="8">
        <v>0</v>
      </c>
      <c r="M461" s="6"/>
      <c r="N461" s="6"/>
      <c r="O461" s="9">
        <v>5.04</v>
      </c>
    </row>
    <row r="462" spans="1:15" ht="19.5" customHeight="1">
      <c r="A462" s="1" t="s">
        <v>483</v>
      </c>
      <c r="B462" s="5">
        <v>45919</v>
      </c>
      <c r="C462" s="1" t="s">
        <v>28</v>
      </c>
      <c r="D462" s="1" t="s">
        <v>29</v>
      </c>
      <c r="E462" s="1" t="s">
        <v>25</v>
      </c>
      <c r="F462" s="1" t="s">
        <v>26</v>
      </c>
      <c r="G462" s="1" t="s">
        <v>21</v>
      </c>
      <c r="H462" s="6">
        <v>1</v>
      </c>
      <c r="I462" s="7">
        <v>1176</v>
      </c>
      <c r="J462" s="5">
        <v>45917</v>
      </c>
      <c r="K462" s="1" t="s">
        <v>30</v>
      </c>
      <c r="L462" s="8">
        <v>0.2</v>
      </c>
      <c r="M462" s="6"/>
      <c r="N462" s="6"/>
      <c r="O462" s="9">
        <v>-46</v>
      </c>
    </row>
    <row r="463" spans="1:15" ht="19.5" customHeight="1">
      <c r="A463" s="1" t="s">
        <v>483</v>
      </c>
      <c r="B463" s="5">
        <v>45919</v>
      </c>
      <c r="C463" s="1" t="s">
        <v>31</v>
      </c>
      <c r="D463" s="1" t="s">
        <v>32</v>
      </c>
      <c r="E463" s="1" t="s">
        <v>25</v>
      </c>
      <c r="F463" s="1" t="s">
        <v>26</v>
      </c>
      <c r="G463" s="1" t="s">
        <v>21</v>
      </c>
      <c r="H463" s="6">
        <v>1</v>
      </c>
      <c r="I463" s="7">
        <v>1176</v>
      </c>
      <c r="J463" s="5">
        <v>45917</v>
      </c>
      <c r="K463" s="1" t="s">
        <v>30</v>
      </c>
      <c r="L463" s="8">
        <v>0</v>
      </c>
      <c r="M463" s="6"/>
      <c r="N463" s="6"/>
      <c r="O463" s="9">
        <v>589.07000000000005</v>
      </c>
    </row>
    <row r="464" spans="1:15" ht="19.5" customHeight="1">
      <c r="A464" s="1" t="s">
        <v>483</v>
      </c>
      <c r="B464" s="5">
        <v>45919</v>
      </c>
      <c r="C464" s="1" t="s">
        <v>31</v>
      </c>
      <c r="D464" s="1" t="s">
        <v>33</v>
      </c>
      <c r="E464" s="1" t="s">
        <v>25</v>
      </c>
      <c r="F464" s="1" t="s">
        <v>26</v>
      </c>
      <c r="G464" s="1" t="s">
        <v>21</v>
      </c>
      <c r="H464" s="6">
        <v>1</v>
      </c>
      <c r="I464" s="7">
        <v>1176</v>
      </c>
      <c r="J464" s="5">
        <v>45917</v>
      </c>
      <c r="K464" s="1" t="s">
        <v>30</v>
      </c>
      <c r="L464" s="8">
        <v>0</v>
      </c>
      <c r="M464" s="6"/>
      <c r="N464" s="6"/>
      <c r="O464" s="9">
        <v>4.33</v>
      </c>
    </row>
    <row r="465" spans="1:15" ht="19.5" customHeight="1">
      <c r="A465" s="1" t="s">
        <v>483</v>
      </c>
      <c r="B465" s="5">
        <v>45919</v>
      </c>
      <c r="C465" s="1" t="s">
        <v>31</v>
      </c>
      <c r="D465" s="1" t="s">
        <v>34</v>
      </c>
      <c r="E465" s="1" t="s">
        <v>25</v>
      </c>
      <c r="F465" s="1" t="s">
        <v>26</v>
      </c>
      <c r="G465" s="1" t="s">
        <v>21</v>
      </c>
      <c r="H465" s="6">
        <v>1</v>
      </c>
      <c r="I465" s="7">
        <v>1176</v>
      </c>
      <c r="J465" s="5">
        <v>45917</v>
      </c>
      <c r="K465" s="1" t="s">
        <v>30</v>
      </c>
      <c r="L465" s="8">
        <v>0</v>
      </c>
      <c r="M465" s="6"/>
      <c r="N465" s="6"/>
      <c r="O465" s="9">
        <v>582.6</v>
      </c>
    </row>
    <row r="466" spans="1:15" ht="19.5" customHeight="1">
      <c r="A466" s="1" t="s">
        <v>483</v>
      </c>
      <c r="B466" s="5">
        <v>45919</v>
      </c>
      <c r="C466" s="1" t="s">
        <v>35</v>
      </c>
      <c r="D466" s="1" t="s">
        <v>36</v>
      </c>
      <c r="E466" s="1" t="s">
        <v>25</v>
      </c>
      <c r="F466" s="1" t="s">
        <v>26</v>
      </c>
      <c r="G466" s="1" t="s">
        <v>21</v>
      </c>
      <c r="H466" s="6">
        <v>1</v>
      </c>
      <c r="I466" s="7">
        <v>1176</v>
      </c>
      <c r="J466" s="5">
        <v>45917</v>
      </c>
      <c r="K466" s="1" t="s">
        <v>30</v>
      </c>
      <c r="L466" s="8">
        <v>0.2</v>
      </c>
      <c r="M466" s="6"/>
      <c r="N466" s="6"/>
      <c r="O466" s="9">
        <v>-235.2</v>
      </c>
    </row>
    <row r="467" spans="1:15" ht="19.5" customHeight="1">
      <c r="A467" s="1" t="s">
        <v>483</v>
      </c>
      <c r="B467" s="5">
        <v>45919</v>
      </c>
      <c r="C467" s="1" t="s">
        <v>17</v>
      </c>
      <c r="D467" s="1" t="s">
        <v>37</v>
      </c>
      <c r="E467" s="1" t="s">
        <v>25</v>
      </c>
      <c r="F467" s="1" t="s">
        <v>26</v>
      </c>
      <c r="G467" s="1" t="s">
        <v>21</v>
      </c>
      <c r="H467" s="6">
        <v>1</v>
      </c>
      <c r="I467" s="7">
        <v>1176</v>
      </c>
      <c r="J467" s="5">
        <v>45917</v>
      </c>
      <c r="K467" s="1" t="s">
        <v>30</v>
      </c>
      <c r="L467" s="8">
        <v>0.2</v>
      </c>
      <c r="M467" s="6"/>
      <c r="N467" s="6"/>
      <c r="O467" s="9">
        <v>-5.42</v>
      </c>
    </row>
    <row r="468" spans="1:15" ht="19.5" customHeight="1">
      <c r="A468" s="1" t="s">
        <v>484</v>
      </c>
      <c r="B468" s="5">
        <v>45919</v>
      </c>
      <c r="C468" s="1" t="s">
        <v>28</v>
      </c>
      <c r="D468" s="1" t="s">
        <v>29</v>
      </c>
      <c r="E468" s="1" t="s">
        <v>25</v>
      </c>
      <c r="F468" s="1" t="s">
        <v>26</v>
      </c>
      <c r="G468" s="1" t="s">
        <v>21</v>
      </c>
      <c r="H468" s="6">
        <v>1</v>
      </c>
      <c r="I468" s="7">
        <v>1176</v>
      </c>
      <c r="J468" s="5">
        <v>45917</v>
      </c>
      <c r="K468" s="1" t="s">
        <v>30</v>
      </c>
      <c r="L468" s="8">
        <v>0.2</v>
      </c>
      <c r="M468" s="6"/>
      <c r="N468" s="6"/>
      <c r="O468" s="9">
        <v>-46</v>
      </c>
    </row>
    <row r="469" spans="1:15" ht="19.5" customHeight="1">
      <c r="A469" s="1" t="s">
        <v>484</v>
      </c>
      <c r="B469" s="5">
        <v>45919</v>
      </c>
      <c r="C469" s="1" t="s">
        <v>31</v>
      </c>
      <c r="D469" s="1" t="s">
        <v>32</v>
      </c>
      <c r="E469" s="1" t="s">
        <v>25</v>
      </c>
      <c r="F469" s="1" t="s">
        <v>26</v>
      </c>
      <c r="G469" s="1" t="s">
        <v>21</v>
      </c>
      <c r="H469" s="6">
        <v>1</v>
      </c>
      <c r="I469" s="7">
        <v>1176</v>
      </c>
      <c r="J469" s="5">
        <v>45917</v>
      </c>
      <c r="K469" s="1" t="s">
        <v>30</v>
      </c>
      <c r="L469" s="8">
        <v>0</v>
      </c>
      <c r="M469" s="6"/>
      <c r="N469" s="6"/>
      <c r="O469" s="9">
        <v>589.07000000000005</v>
      </c>
    </row>
    <row r="470" spans="1:15" ht="19.5" customHeight="1">
      <c r="A470" s="1" t="s">
        <v>484</v>
      </c>
      <c r="B470" s="5">
        <v>45919</v>
      </c>
      <c r="C470" s="1" t="s">
        <v>31</v>
      </c>
      <c r="D470" s="1" t="s">
        <v>33</v>
      </c>
      <c r="E470" s="1" t="s">
        <v>25</v>
      </c>
      <c r="F470" s="1" t="s">
        <v>26</v>
      </c>
      <c r="G470" s="1" t="s">
        <v>21</v>
      </c>
      <c r="H470" s="6">
        <v>1</v>
      </c>
      <c r="I470" s="7">
        <v>1176</v>
      </c>
      <c r="J470" s="5">
        <v>45917</v>
      </c>
      <c r="K470" s="1" t="s">
        <v>30</v>
      </c>
      <c r="L470" s="8">
        <v>0</v>
      </c>
      <c r="M470" s="6"/>
      <c r="N470" s="6"/>
      <c r="O470" s="9">
        <v>4.33</v>
      </c>
    </row>
    <row r="471" spans="1:15" ht="19.5" customHeight="1">
      <c r="A471" s="1" t="s">
        <v>484</v>
      </c>
      <c r="B471" s="5">
        <v>45919</v>
      </c>
      <c r="C471" s="1" t="s">
        <v>31</v>
      </c>
      <c r="D471" s="1" t="s">
        <v>34</v>
      </c>
      <c r="E471" s="1" t="s">
        <v>25</v>
      </c>
      <c r="F471" s="1" t="s">
        <v>26</v>
      </c>
      <c r="G471" s="1" t="s">
        <v>21</v>
      </c>
      <c r="H471" s="6">
        <v>1</v>
      </c>
      <c r="I471" s="7">
        <v>1176</v>
      </c>
      <c r="J471" s="5">
        <v>45917</v>
      </c>
      <c r="K471" s="1" t="s">
        <v>30</v>
      </c>
      <c r="L471" s="8">
        <v>0</v>
      </c>
      <c r="M471" s="6"/>
      <c r="N471" s="6"/>
      <c r="O471" s="9">
        <v>582.6</v>
      </c>
    </row>
    <row r="472" spans="1:15" ht="19.5" customHeight="1">
      <c r="A472" s="1" t="s">
        <v>484</v>
      </c>
      <c r="B472" s="5">
        <v>45919</v>
      </c>
      <c r="C472" s="1" t="s">
        <v>35</v>
      </c>
      <c r="D472" s="1" t="s">
        <v>36</v>
      </c>
      <c r="E472" s="1" t="s">
        <v>25</v>
      </c>
      <c r="F472" s="1" t="s">
        <v>26</v>
      </c>
      <c r="G472" s="1" t="s">
        <v>21</v>
      </c>
      <c r="H472" s="6">
        <v>1</v>
      </c>
      <c r="I472" s="7">
        <v>1176</v>
      </c>
      <c r="J472" s="5">
        <v>45917</v>
      </c>
      <c r="K472" s="1" t="s">
        <v>30</v>
      </c>
      <c r="L472" s="8">
        <v>0.2</v>
      </c>
      <c r="M472" s="6"/>
      <c r="N472" s="6"/>
      <c r="O472" s="9">
        <v>-235.2</v>
      </c>
    </row>
    <row r="473" spans="1:15" ht="19.5" customHeight="1">
      <c r="A473" s="1" t="s">
        <v>484</v>
      </c>
      <c r="B473" s="5">
        <v>45919</v>
      </c>
      <c r="C473" s="1" t="s">
        <v>17</v>
      </c>
      <c r="D473" s="1" t="s">
        <v>37</v>
      </c>
      <c r="E473" s="1" t="s">
        <v>25</v>
      </c>
      <c r="F473" s="1" t="s">
        <v>26</v>
      </c>
      <c r="G473" s="1" t="s">
        <v>21</v>
      </c>
      <c r="H473" s="6">
        <v>1</v>
      </c>
      <c r="I473" s="7">
        <v>1176</v>
      </c>
      <c r="J473" s="5">
        <v>45917</v>
      </c>
      <c r="K473" s="1" t="s">
        <v>30</v>
      </c>
      <c r="L473" s="8">
        <v>0.2</v>
      </c>
      <c r="M473" s="6"/>
      <c r="N473" s="6"/>
      <c r="O473" s="9">
        <v>-5.42</v>
      </c>
    </row>
    <row r="474" spans="1:15" ht="19.5" customHeight="1">
      <c r="A474" s="1" t="s">
        <v>485</v>
      </c>
      <c r="B474" s="5">
        <v>45919</v>
      </c>
      <c r="C474" s="1" t="s">
        <v>28</v>
      </c>
      <c r="D474" s="1" t="s">
        <v>29</v>
      </c>
      <c r="E474" s="1" t="s">
        <v>25</v>
      </c>
      <c r="F474" s="1" t="s">
        <v>26</v>
      </c>
      <c r="G474" s="1" t="s">
        <v>21</v>
      </c>
      <c r="H474" s="6">
        <v>1</v>
      </c>
      <c r="I474" s="7">
        <v>1176</v>
      </c>
      <c r="J474" s="5">
        <v>45918</v>
      </c>
      <c r="K474" s="1" t="s">
        <v>30</v>
      </c>
      <c r="L474" s="8">
        <v>0.2</v>
      </c>
      <c r="M474" s="6"/>
      <c r="N474" s="6"/>
      <c r="O474" s="9">
        <v>-46</v>
      </c>
    </row>
    <row r="475" spans="1:15" ht="19.5" customHeight="1">
      <c r="A475" s="1" t="s">
        <v>485</v>
      </c>
      <c r="B475" s="5">
        <v>45919</v>
      </c>
      <c r="C475" s="1" t="s">
        <v>31</v>
      </c>
      <c r="D475" s="1" t="s">
        <v>32</v>
      </c>
      <c r="E475" s="1" t="s">
        <v>25</v>
      </c>
      <c r="F475" s="1" t="s">
        <v>26</v>
      </c>
      <c r="G475" s="1" t="s">
        <v>21</v>
      </c>
      <c r="H475" s="6">
        <v>1</v>
      </c>
      <c r="I475" s="7">
        <v>1176</v>
      </c>
      <c r="J475" s="5">
        <v>45918</v>
      </c>
      <c r="K475" s="1" t="s">
        <v>30</v>
      </c>
      <c r="L475" s="8">
        <v>0</v>
      </c>
      <c r="M475" s="6"/>
      <c r="N475" s="6"/>
      <c r="O475" s="9">
        <v>491.2</v>
      </c>
    </row>
    <row r="476" spans="1:15" ht="19.5" customHeight="1">
      <c r="A476" s="1" t="s">
        <v>485</v>
      </c>
      <c r="B476" s="5">
        <v>45919</v>
      </c>
      <c r="C476" s="1" t="s">
        <v>31</v>
      </c>
      <c r="D476" s="1" t="s">
        <v>33</v>
      </c>
      <c r="E476" s="1" t="s">
        <v>25</v>
      </c>
      <c r="F476" s="1" t="s">
        <v>26</v>
      </c>
      <c r="G476" s="1" t="s">
        <v>21</v>
      </c>
      <c r="H476" s="6">
        <v>1</v>
      </c>
      <c r="I476" s="7">
        <v>1176</v>
      </c>
      <c r="J476" s="5">
        <v>45918</v>
      </c>
      <c r="K476" s="1" t="s">
        <v>30</v>
      </c>
      <c r="L476" s="8">
        <v>0</v>
      </c>
      <c r="M476" s="6"/>
      <c r="N476" s="6"/>
      <c r="O476" s="9">
        <v>3.61</v>
      </c>
    </row>
    <row r="477" spans="1:15" ht="19.5" customHeight="1">
      <c r="A477" s="1" t="s">
        <v>485</v>
      </c>
      <c r="B477" s="5">
        <v>45919</v>
      </c>
      <c r="C477" s="1" t="s">
        <v>31</v>
      </c>
      <c r="D477" s="1" t="s">
        <v>34</v>
      </c>
      <c r="E477" s="1" t="s">
        <v>25</v>
      </c>
      <c r="F477" s="1" t="s">
        <v>26</v>
      </c>
      <c r="G477" s="1" t="s">
        <v>21</v>
      </c>
      <c r="H477" s="6">
        <v>1</v>
      </c>
      <c r="I477" s="7">
        <v>1176</v>
      </c>
      <c r="J477" s="5">
        <v>45918</v>
      </c>
      <c r="K477" s="1" t="s">
        <v>30</v>
      </c>
      <c r="L477" s="8">
        <v>0</v>
      </c>
      <c r="M477" s="6"/>
      <c r="N477" s="6"/>
      <c r="O477" s="9">
        <v>681.19</v>
      </c>
    </row>
    <row r="478" spans="1:15" ht="19.5" customHeight="1">
      <c r="A478" s="1" t="s">
        <v>485</v>
      </c>
      <c r="B478" s="5">
        <v>45919</v>
      </c>
      <c r="C478" s="1" t="s">
        <v>35</v>
      </c>
      <c r="D478" s="1" t="s">
        <v>36</v>
      </c>
      <c r="E478" s="1" t="s">
        <v>25</v>
      </c>
      <c r="F478" s="1" t="s">
        <v>26</v>
      </c>
      <c r="G478" s="1" t="s">
        <v>21</v>
      </c>
      <c r="H478" s="6">
        <v>1</v>
      </c>
      <c r="I478" s="7">
        <v>1176</v>
      </c>
      <c r="J478" s="5">
        <v>45918</v>
      </c>
      <c r="K478" s="1" t="s">
        <v>30</v>
      </c>
      <c r="L478" s="8">
        <v>0.2</v>
      </c>
      <c r="M478" s="6"/>
      <c r="N478" s="6"/>
      <c r="O478" s="9">
        <v>-235.2</v>
      </c>
    </row>
    <row r="479" spans="1:15" ht="19.5" customHeight="1">
      <c r="A479" s="1" t="s">
        <v>486</v>
      </c>
      <c r="B479" s="5">
        <v>45919</v>
      </c>
      <c r="C479" s="1" t="s">
        <v>17</v>
      </c>
      <c r="D479" s="1" t="s">
        <v>18</v>
      </c>
      <c r="E479" s="1" t="s">
        <v>25</v>
      </c>
      <c r="F479" s="1" t="s">
        <v>26</v>
      </c>
      <c r="G479" s="1" t="s">
        <v>21</v>
      </c>
      <c r="H479" s="6">
        <v>1</v>
      </c>
      <c r="I479" s="7">
        <v>0</v>
      </c>
      <c r="J479" s="5">
        <v>45919</v>
      </c>
      <c r="K479" s="1" t="s">
        <v>22</v>
      </c>
      <c r="L479" s="8">
        <v>0</v>
      </c>
      <c r="M479" s="6"/>
      <c r="N479" s="6"/>
      <c r="O479" s="9">
        <v>-10.99</v>
      </c>
    </row>
    <row r="480" spans="1:15" ht="19.5" customHeight="1">
      <c r="A480" s="1" t="s">
        <v>487</v>
      </c>
      <c r="B480" s="5">
        <v>45919</v>
      </c>
      <c r="C480" s="1" t="s">
        <v>17</v>
      </c>
      <c r="D480" s="1" t="s">
        <v>18</v>
      </c>
      <c r="E480" s="1" t="s">
        <v>92</v>
      </c>
      <c r="F480" s="1" t="s">
        <v>93</v>
      </c>
      <c r="G480" s="1" t="s">
        <v>21</v>
      </c>
      <c r="H480" s="6">
        <v>1</v>
      </c>
      <c r="I480" s="7">
        <v>0</v>
      </c>
      <c r="J480" s="5">
        <v>45919</v>
      </c>
      <c r="K480" s="1" t="s">
        <v>22</v>
      </c>
      <c r="L480" s="8">
        <v>0</v>
      </c>
      <c r="M480" s="6"/>
      <c r="N480" s="6"/>
      <c r="O480" s="9">
        <v>-4.21</v>
      </c>
    </row>
    <row r="481" spans="1:15" ht="19.5" customHeight="1">
      <c r="A481" s="1" t="s">
        <v>488</v>
      </c>
      <c r="B481" s="5">
        <v>45919</v>
      </c>
      <c r="C481" s="1" t="s">
        <v>28</v>
      </c>
      <c r="D481" s="1" t="s">
        <v>29</v>
      </c>
      <c r="E481" s="1" t="s">
        <v>25</v>
      </c>
      <c r="F481" s="1" t="s">
        <v>26</v>
      </c>
      <c r="G481" s="1" t="s">
        <v>21</v>
      </c>
      <c r="H481" s="6">
        <v>1</v>
      </c>
      <c r="I481" s="7">
        <v>0</v>
      </c>
      <c r="J481" s="5">
        <v>45914</v>
      </c>
      <c r="K481" s="1" t="s">
        <v>30</v>
      </c>
      <c r="L481" s="8">
        <v>0</v>
      </c>
      <c r="M481" s="6"/>
      <c r="N481" s="6"/>
      <c r="O481" s="9">
        <v>-46</v>
      </c>
    </row>
    <row r="482" spans="1:15" ht="19.5" customHeight="1">
      <c r="A482" s="1" t="s">
        <v>488</v>
      </c>
      <c r="B482" s="5">
        <v>45919</v>
      </c>
      <c r="C482" s="1" t="s">
        <v>17</v>
      </c>
      <c r="D482" s="1" t="s">
        <v>37</v>
      </c>
      <c r="E482" s="1" t="s">
        <v>25</v>
      </c>
      <c r="F482" s="1" t="s">
        <v>26</v>
      </c>
      <c r="G482" s="1" t="s">
        <v>21</v>
      </c>
      <c r="H482" s="6">
        <v>1</v>
      </c>
      <c r="I482" s="7">
        <v>0</v>
      </c>
      <c r="J482" s="5">
        <v>45914</v>
      </c>
      <c r="K482" s="1" t="s">
        <v>30</v>
      </c>
      <c r="L482" s="8">
        <v>0</v>
      </c>
      <c r="M482" s="6"/>
      <c r="N482" s="6"/>
      <c r="O482" s="9">
        <v>-3.75</v>
      </c>
    </row>
    <row r="483" spans="1:15" ht="19.5" customHeight="1">
      <c r="A483" s="1" t="s">
        <v>488</v>
      </c>
      <c r="B483" s="5">
        <v>45919</v>
      </c>
      <c r="C483" s="1" t="s">
        <v>28</v>
      </c>
      <c r="D483" s="1" t="s">
        <v>356</v>
      </c>
      <c r="E483" s="1" t="s">
        <v>25</v>
      </c>
      <c r="F483" s="1" t="s">
        <v>26</v>
      </c>
      <c r="G483" s="1" t="s">
        <v>21</v>
      </c>
      <c r="H483" s="6">
        <v>1</v>
      </c>
      <c r="I483" s="7">
        <v>0</v>
      </c>
      <c r="J483" s="5">
        <v>45914</v>
      </c>
      <c r="K483" s="1" t="s">
        <v>30</v>
      </c>
      <c r="L483" s="8">
        <v>0</v>
      </c>
      <c r="M483" s="6"/>
      <c r="N483" s="6"/>
      <c r="O483" s="9">
        <v>0</v>
      </c>
    </row>
    <row r="484" spans="1:15" ht="19.5" customHeight="1">
      <c r="A484" s="1" t="s">
        <v>488</v>
      </c>
      <c r="B484" s="5">
        <v>45919</v>
      </c>
      <c r="C484" s="1" t="s">
        <v>28</v>
      </c>
      <c r="D484" s="1" t="s">
        <v>46</v>
      </c>
      <c r="E484" s="1" t="s">
        <v>25</v>
      </c>
      <c r="F484" s="1" t="s">
        <v>26</v>
      </c>
      <c r="G484" s="1" t="s">
        <v>21</v>
      </c>
      <c r="H484" s="6">
        <v>1</v>
      </c>
      <c r="I484" s="7">
        <v>0</v>
      </c>
      <c r="J484" s="5">
        <v>45914</v>
      </c>
      <c r="K484" s="1" t="s">
        <v>30</v>
      </c>
      <c r="L484" s="8">
        <v>0</v>
      </c>
      <c r="M484" s="6"/>
      <c r="N484" s="6"/>
      <c r="O484" s="9">
        <v>-46</v>
      </c>
    </row>
    <row r="485" spans="1:15" ht="19.5" customHeight="1">
      <c r="A485" s="1" t="s">
        <v>488</v>
      </c>
      <c r="B485" s="5">
        <v>45919</v>
      </c>
      <c r="C485" s="1" t="s">
        <v>17</v>
      </c>
      <c r="D485" s="1" t="s">
        <v>47</v>
      </c>
      <c r="E485" s="1" t="s">
        <v>25</v>
      </c>
      <c r="F485" s="1" t="s">
        <v>26</v>
      </c>
      <c r="G485" s="1" t="s">
        <v>21</v>
      </c>
      <c r="H485" s="6">
        <v>1</v>
      </c>
      <c r="I485" s="7">
        <v>0</v>
      </c>
      <c r="J485" s="5">
        <v>45914</v>
      </c>
      <c r="K485" s="1" t="s">
        <v>30</v>
      </c>
      <c r="L485" s="8">
        <v>0</v>
      </c>
      <c r="M485" s="6"/>
      <c r="N485" s="6"/>
      <c r="O485" s="9">
        <v>-15</v>
      </c>
    </row>
    <row r="486" spans="1:15" ht="19.5" customHeight="1">
      <c r="A486" s="1" t="s">
        <v>489</v>
      </c>
      <c r="B486" s="5">
        <v>45919</v>
      </c>
      <c r="C486" s="1" t="s">
        <v>28</v>
      </c>
      <c r="D486" s="1" t="s">
        <v>29</v>
      </c>
      <c r="E486" s="1" t="s">
        <v>222</v>
      </c>
      <c r="F486" s="1" t="s">
        <v>412</v>
      </c>
      <c r="G486" s="1" t="s">
        <v>21</v>
      </c>
      <c r="H486" s="6">
        <v>1</v>
      </c>
      <c r="I486" s="7">
        <v>1300</v>
      </c>
      <c r="J486" s="5">
        <v>45914</v>
      </c>
      <c r="K486" s="1" t="s">
        <v>30</v>
      </c>
      <c r="L486" s="8">
        <v>0.2</v>
      </c>
      <c r="M486" s="6"/>
      <c r="N486" s="6"/>
      <c r="O486" s="9">
        <v>-46</v>
      </c>
    </row>
    <row r="487" spans="1:15" ht="19.5" customHeight="1">
      <c r="A487" s="1" t="s">
        <v>489</v>
      </c>
      <c r="B487" s="5">
        <v>45919</v>
      </c>
      <c r="C487" s="1" t="s">
        <v>31</v>
      </c>
      <c r="D487" s="1" t="s">
        <v>32</v>
      </c>
      <c r="E487" s="1" t="s">
        <v>222</v>
      </c>
      <c r="F487" s="1" t="s">
        <v>412</v>
      </c>
      <c r="G487" s="1" t="s">
        <v>21</v>
      </c>
      <c r="H487" s="6">
        <v>1</v>
      </c>
      <c r="I487" s="7">
        <v>1300</v>
      </c>
      <c r="J487" s="5">
        <v>45914</v>
      </c>
      <c r="K487" s="1" t="s">
        <v>30</v>
      </c>
      <c r="L487" s="8">
        <v>0</v>
      </c>
      <c r="M487" s="6"/>
      <c r="N487" s="6"/>
      <c r="O487" s="9">
        <v>896.19</v>
      </c>
    </row>
    <row r="488" spans="1:15" ht="19.5" customHeight="1">
      <c r="A488" s="1" t="s">
        <v>489</v>
      </c>
      <c r="B488" s="5">
        <v>45919</v>
      </c>
      <c r="C488" s="1" t="s">
        <v>31</v>
      </c>
      <c r="D488" s="1" t="s">
        <v>33</v>
      </c>
      <c r="E488" s="1" t="s">
        <v>222</v>
      </c>
      <c r="F488" s="1" t="s">
        <v>412</v>
      </c>
      <c r="G488" s="1" t="s">
        <v>21</v>
      </c>
      <c r="H488" s="6">
        <v>1</v>
      </c>
      <c r="I488" s="7">
        <v>1300</v>
      </c>
      <c r="J488" s="5">
        <v>45914</v>
      </c>
      <c r="K488" s="1" t="s">
        <v>30</v>
      </c>
      <c r="L488" s="8">
        <v>0</v>
      </c>
      <c r="M488" s="6"/>
      <c r="N488" s="6"/>
      <c r="O488" s="9">
        <v>0</v>
      </c>
    </row>
    <row r="489" spans="1:15" ht="19.5" customHeight="1">
      <c r="A489" s="1" t="s">
        <v>489</v>
      </c>
      <c r="B489" s="5">
        <v>45919</v>
      </c>
      <c r="C489" s="1" t="s">
        <v>31</v>
      </c>
      <c r="D489" s="1" t="s">
        <v>34</v>
      </c>
      <c r="E489" s="1" t="s">
        <v>222</v>
      </c>
      <c r="F489" s="1" t="s">
        <v>412</v>
      </c>
      <c r="G489" s="1" t="s">
        <v>21</v>
      </c>
      <c r="H489" s="6">
        <v>1</v>
      </c>
      <c r="I489" s="7">
        <v>1300</v>
      </c>
      <c r="J489" s="5">
        <v>45914</v>
      </c>
      <c r="K489" s="1" t="s">
        <v>30</v>
      </c>
      <c r="L489" s="8">
        <v>0</v>
      </c>
      <c r="M489" s="6"/>
      <c r="N489" s="6"/>
      <c r="O489" s="9">
        <v>403.81</v>
      </c>
    </row>
    <row r="490" spans="1:15" ht="19.5" customHeight="1">
      <c r="A490" s="1" t="s">
        <v>489</v>
      </c>
      <c r="B490" s="5">
        <v>45919</v>
      </c>
      <c r="C490" s="1" t="s">
        <v>35</v>
      </c>
      <c r="D490" s="1" t="s">
        <v>36</v>
      </c>
      <c r="E490" s="1" t="s">
        <v>222</v>
      </c>
      <c r="F490" s="1" t="s">
        <v>412</v>
      </c>
      <c r="G490" s="1" t="s">
        <v>21</v>
      </c>
      <c r="H490" s="6">
        <v>1</v>
      </c>
      <c r="I490" s="7">
        <v>1300</v>
      </c>
      <c r="J490" s="5">
        <v>45914</v>
      </c>
      <c r="K490" s="1" t="s">
        <v>30</v>
      </c>
      <c r="L490" s="8">
        <v>0.2</v>
      </c>
      <c r="M490" s="6"/>
      <c r="N490" s="6"/>
      <c r="O490" s="9">
        <v>-260</v>
      </c>
    </row>
    <row r="491" spans="1:15" ht="19.5" customHeight="1">
      <c r="A491" s="1" t="s">
        <v>489</v>
      </c>
      <c r="B491" s="5">
        <v>45919</v>
      </c>
      <c r="C491" s="1" t="s">
        <v>17</v>
      </c>
      <c r="D491" s="1" t="s">
        <v>37</v>
      </c>
      <c r="E491" s="1" t="s">
        <v>222</v>
      </c>
      <c r="F491" s="1" t="s">
        <v>412</v>
      </c>
      <c r="G491" s="1" t="s">
        <v>21</v>
      </c>
      <c r="H491" s="6">
        <v>1</v>
      </c>
      <c r="I491" s="7">
        <v>1300</v>
      </c>
      <c r="J491" s="5">
        <v>45914</v>
      </c>
      <c r="K491" s="1" t="s">
        <v>30</v>
      </c>
      <c r="L491" s="8">
        <v>0.2</v>
      </c>
      <c r="M491" s="6"/>
      <c r="N491" s="6"/>
      <c r="O491" s="9">
        <v>-8.41</v>
      </c>
    </row>
    <row r="492" spans="1:15" ht="19.5" customHeight="1">
      <c r="A492" s="1" t="s">
        <v>490</v>
      </c>
      <c r="B492" s="5">
        <v>45919</v>
      </c>
      <c r="C492" s="1" t="s">
        <v>28</v>
      </c>
      <c r="D492" s="1" t="s">
        <v>29</v>
      </c>
      <c r="E492" s="1" t="s">
        <v>225</v>
      </c>
      <c r="F492" s="1" t="s">
        <v>491</v>
      </c>
      <c r="G492" s="1" t="s">
        <v>21</v>
      </c>
      <c r="H492" s="6">
        <v>1</v>
      </c>
      <c r="I492" s="7">
        <v>1380</v>
      </c>
      <c r="J492" s="5">
        <v>45917</v>
      </c>
      <c r="K492" s="1" t="s">
        <v>30</v>
      </c>
      <c r="L492" s="8">
        <v>0.2</v>
      </c>
      <c r="M492" s="6"/>
      <c r="N492" s="6"/>
      <c r="O492" s="9">
        <v>-46</v>
      </c>
    </row>
    <row r="493" spans="1:15" ht="19.5" customHeight="1">
      <c r="A493" s="1" t="s">
        <v>490</v>
      </c>
      <c r="B493" s="5">
        <v>45919</v>
      </c>
      <c r="C493" s="1" t="s">
        <v>31</v>
      </c>
      <c r="D493" s="1" t="s">
        <v>32</v>
      </c>
      <c r="E493" s="1" t="s">
        <v>225</v>
      </c>
      <c r="F493" s="1" t="s">
        <v>491</v>
      </c>
      <c r="G493" s="1" t="s">
        <v>21</v>
      </c>
      <c r="H493" s="6">
        <v>1</v>
      </c>
      <c r="I493" s="7">
        <v>1380</v>
      </c>
      <c r="J493" s="5">
        <v>45917</v>
      </c>
      <c r="K493" s="1" t="s">
        <v>30</v>
      </c>
      <c r="L493" s="8">
        <v>0</v>
      </c>
      <c r="M493" s="6"/>
      <c r="N493" s="6"/>
      <c r="O493" s="9">
        <v>918.48</v>
      </c>
    </row>
    <row r="494" spans="1:15" ht="19.5" customHeight="1">
      <c r="A494" s="1" t="s">
        <v>490</v>
      </c>
      <c r="B494" s="5">
        <v>45919</v>
      </c>
      <c r="C494" s="1" t="s">
        <v>31</v>
      </c>
      <c r="D494" s="1" t="s">
        <v>33</v>
      </c>
      <c r="E494" s="1" t="s">
        <v>225</v>
      </c>
      <c r="F494" s="1" t="s">
        <v>491</v>
      </c>
      <c r="G494" s="1" t="s">
        <v>21</v>
      </c>
      <c r="H494" s="6">
        <v>1</v>
      </c>
      <c r="I494" s="7">
        <v>1380</v>
      </c>
      <c r="J494" s="5">
        <v>45917</v>
      </c>
      <c r="K494" s="1" t="s">
        <v>30</v>
      </c>
      <c r="L494" s="8">
        <v>0</v>
      </c>
      <c r="M494" s="6"/>
      <c r="N494" s="6"/>
      <c r="O494" s="9">
        <v>0</v>
      </c>
    </row>
    <row r="495" spans="1:15" ht="19.5" customHeight="1">
      <c r="A495" s="1" t="s">
        <v>490</v>
      </c>
      <c r="B495" s="5">
        <v>45919</v>
      </c>
      <c r="C495" s="1" t="s">
        <v>31</v>
      </c>
      <c r="D495" s="1" t="s">
        <v>34</v>
      </c>
      <c r="E495" s="1" t="s">
        <v>225</v>
      </c>
      <c r="F495" s="1" t="s">
        <v>491</v>
      </c>
      <c r="G495" s="1" t="s">
        <v>21</v>
      </c>
      <c r="H495" s="6">
        <v>1</v>
      </c>
      <c r="I495" s="7">
        <v>1380</v>
      </c>
      <c r="J495" s="5">
        <v>45917</v>
      </c>
      <c r="K495" s="1" t="s">
        <v>30</v>
      </c>
      <c r="L495" s="8">
        <v>0</v>
      </c>
      <c r="M495" s="6"/>
      <c r="N495" s="6"/>
      <c r="O495" s="9">
        <v>461.52</v>
      </c>
    </row>
    <row r="496" spans="1:15" ht="19.5" customHeight="1">
      <c r="A496" s="1" t="s">
        <v>490</v>
      </c>
      <c r="B496" s="5">
        <v>45919</v>
      </c>
      <c r="C496" s="1" t="s">
        <v>35</v>
      </c>
      <c r="D496" s="1" t="s">
        <v>36</v>
      </c>
      <c r="E496" s="1" t="s">
        <v>225</v>
      </c>
      <c r="F496" s="1" t="s">
        <v>491</v>
      </c>
      <c r="G496" s="1" t="s">
        <v>21</v>
      </c>
      <c r="H496" s="6">
        <v>1</v>
      </c>
      <c r="I496" s="7">
        <v>1380</v>
      </c>
      <c r="J496" s="5">
        <v>45917</v>
      </c>
      <c r="K496" s="1" t="s">
        <v>30</v>
      </c>
      <c r="L496" s="8">
        <v>0.2</v>
      </c>
      <c r="M496" s="6"/>
      <c r="N496" s="6"/>
      <c r="O496" s="9">
        <v>-276</v>
      </c>
    </row>
    <row r="497" spans="1:15" ht="19.5" customHeight="1">
      <c r="A497" s="1" t="s">
        <v>490</v>
      </c>
      <c r="B497" s="5">
        <v>45919</v>
      </c>
      <c r="C497" s="1" t="s">
        <v>17</v>
      </c>
      <c r="D497" s="1" t="s">
        <v>37</v>
      </c>
      <c r="E497" s="1" t="s">
        <v>225</v>
      </c>
      <c r="F497" s="1" t="s">
        <v>491</v>
      </c>
      <c r="G497" s="1" t="s">
        <v>21</v>
      </c>
      <c r="H497" s="6">
        <v>1</v>
      </c>
      <c r="I497" s="7">
        <v>1380</v>
      </c>
      <c r="J497" s="5">
        <v>45917</v>
      </c>
      <c r="K497" s="1" t="s">
        <v>30</v>
      </c>
      <c r="L497" s="8">
        <v>0.2</v>
      </c>
      <c r="M497" s="6"/>
      <c r="N497" s="6"/>
      <c r="O497" s="9">
        <v>-6.26</v>
      </c>
    </row>
    <row r="498" spans="1:15" ht="19.5" customHeight="1">
      <c r="A498" s="1" t="s">
        <v>490</v>
      </c>
      <c r="B498" s="5">
        <v>45919</v>
      </c>
      <c r="C498" s="1" t="s">
        <v>17</v>
      </c>
      <c r="D498" s="1" t="s">
        <v>18</v>
      </c>
      <c r="E498" s="1" t="s">
        <v>225</v>
      </c>
      <c r="F498" s="1" t="s">
        <v>491</v>
      </c>
      <c r="G498" s="1" t="s">
        <v>21</v>
      </c>
      <c r="H498" s="6">
        <v>1</v>
      </c>
      <c r="I498" s="7">
        <v>0</v>
      </c>
      <c r="J498" s="5">
        <v>45917</v>
      </c>
      <c r="K498" s="1" t="s">
        <v>22</v>
      </c>
      <c r="L498" s="8">
        <v>0</v>
      </c>
      <c r="M498" s="6"/>
      <c r="N498" s="6"/>
      <c r="O498" s="9">
        <v>-5.79</v>
      </c>
    </row>
    <row r="499" spans="1:15" ht="19.5" customHeight="1">
      <c r="A499" s="1" t="s">
        <v>492</v>
      </c>
      <c r="B499" s="5">
        <v>45919</v>
      </c>
      <c r="C499" s="1" t="s">
        <v>28</v>
      </c>
      <c r="D499" s="1" t="s">
        <v>29</v>
      </c>
      <c r="E499" s="1" t="s">
        <v>227</v>
      </c>
      <c r="F499" s="1" t="s">
        <v>402</v>
      </c>
      <c r="G499" s="1" t="s">
        <v>21</v>
      </c>
      <c r="H499" s="6">
        <v>1</v>
      </c>
      <c r="I499" s="7">
        <v>0</v>
      </c>
      <c r="J499" s="5">
        <v>45914</v>
      </c>
      <c r="K499" s="1" t="s">
        <v>30</v>
      </c>
      <c r="L499" s="8">
        <v>0</v>
      </c>
      <c r="M499" s="6"/>
      <c r="N499" s="6"/>
      <c r="O499" s="9">
        <v>-46</v>
      </c>
    </row>
    <row r="500" spans="1:15" ht="19.5" customHeight="1">
      <c r="A500" s="1" t="s">
        <v>492</v>
      </c>
      <c r="B500" s="5">
        <v>45919</v>
      </c>
      <c r="C500" s="1" t="s">
        <v>17</v>
      </c>
      <c r="D500" s="1" t="s">
        <v>37</v>
      </c>
      <c r="E500" s="1" t="s">
        <v>227</v>
      </c>
      <c r="F500" s="1" t="s">
        <v>402</v>
      </c>
      <c r="G500" s="1" t="s">
        <v>21</v>
      </c>
      <c r="H500" s="6">
        <v>1</v>
      </c>
      <c r="I500" s="7">
        <v>0</v>
      </c>
      <c r="J500" s="5">
        <v>45914</v>
      </c>
      <c r="K500" s="1" t="s">
        <v>30</v>
      </c>
      <c r="L500" s="8">
        <v>0</v>
      </c>
      <c r="M500" s="6"/>
      <c r="N500" s="6"/>
      <c r="O500" s="9">
        <v>-8</v>
      </c>
    </row>
    <row r="501" spans="1:15" ht="19.5" customHeight="1">
      <c r="A501" s="1" t="s">
        <v>493</v>
      </c>
      <c r="B501" s="5">
        <v>45919</v>
      </c>
      <c r="C501" s="1" t="s">
        <v>28</v>
      </c>
      <c r="D501" s="1" t="s">
        <v>29</v>
      </c>
      <c r="E501" s="1" t="s">
        <v>25</v>
      </c>
      <c r="F501" s="1" t="s">
        <v>26</v>
      </c>
      <c r="G501" s="1" t="s">
        <v>21</v>
      </c>
      <c r="H501" s="6">
        <v>1</v>
      </c>
      <c r="I501" s="7">
        <v>1176</v>
      </c>
      <c r="J501" s="5">
        <v>45917</v>
      </c>
      <c r="K501" s="1" t="s">
        <v>30</v>
      </c>
      <c r="L501" s="8">
        <v>0.2</v>
      </c>
      <c r="M501" s="6"/>
      <c r="N501" s="6"/>
      <c r="O501" s="9">
        <v>-46</v>
      </c>
    </row>
    <row r="502" spans="1:15" ht="19.5" customHeight="1">
      <c r="A502" s="1" t="s">
        <v>493</v>
      </c>
      <c r="B502" s="5">
        <v>45919</v>
      </c>
      <c r="C502" s="1" t="s">
        <v>31</v>
      </c>
      <c r="D502" s="1" t="s">
        <v>32</v>
      </c>
      <c r="E502" s="1" t="s">
        <v>25</v>
      </c>
      <c r="F502" s="1" t="s">
        <v>26</v>
      </c>
      <c r="G502" s="1" t="s">
        <v>21</v>
      </c>
      <c r="H502" s="6">
        <v>1</v>
      </c>
      <c r="I502" s="7">
        <v>1176</v>
      </c>
      <c r="J502" s="5">
        <v>45917</v>
      </c>
      <c r="K502" s="1" t="s">
        <v>30</v>
      </c>
      <c r="L502" s="8">
        <v>0</v>
      </c>
      <c r="M502" s="6"/>
      <c r="N502" s="6"/>
      <c r="O502" s="9">
        <v>563.27</v>
      </c>
    </row>
    <row r="503" spans="1:15" ht="19.5" customHeight="1">
      <c r="A503" s="1" t="s">
        <v>493</v>
      </c>
      <c r="B503" s="5">
        <v>45919</v>
      </c>
      <c r="C503" s="1" t="s">
        <v>31</v>
      </c>
      <c r="D503" s="1" t="s">
        <v>33</v>
      </c>
      <c r="E503" s="1" t="s">
        <v>25</v>
      </c>
      <c r="F503" s="1" t="s">
        <v>26</v>
      </c>
      <c r="G503" s="1" t="s">
        <v>21</v>
      </c>
      <c r="H503" s="6">
        <v>1</v>
      </c>
      <c r="I503" s="7">
        <v>1176</v>
      </c>
      <c r="J503" s="5">
        <v>45917</v>
      </c>
      <c r="K503" s="1" t="s">
        <v>30</v>
      </c>
      <c r="L503" s="8">
        <v>0</v>
      </c>
      <c r="M503" s="6"/>
      <c r="N503" s="6"/>
      <c r="O503" s="9">
        <v>4.1399999999999997</v>
      </c>
    </row>
    <row r="504" spans="1:15" ht="19.5" customHeight="1">
      <c r="A504" s="1" t="s">
        <v>493</v>
      </c>
      <c r="B504" s="5">
        <v>45919</v>
      </c>
      <c r="C504" s="1" t="s">
        <v>31</v>
      </c>
      <c r="D504" s="1" t="s">
        <v>34</v>
      </c>
      <c r="E504" s="1" t="s">
        <v>25</v>
      </c>
      <c r="F504" s="1" t="s">
        <v>26</v>
      </c>
      <c r="G504" s="1" t="s">
        <v>21</v>
      </c>
      <c r="H504" s="6">
        <v>1</v>
      </c>
      <c r="I504" s="7">
        <v>1176</v>
      </c>
      <c r="J504" s="5">
        <v>45917</v>
      </c>
      <c r="K504" s="1" t="s">
        <v>30</v>
      </c>
      <c r="L504" s="8">
        <v>0</v>
      </c>
      <c r="M504" s="6"/>
      <c r="N504" s="6"/>
      <c r="O504" s="9">
        <v>608.59</v>
      </c>
    </row>
    <row r="505" spans="1:15" ht="19.5" customHeight="1">
      <c r="A505" s="1" t="s">
        <v>493</v>
      </c>
      <c r="B505" s="5">
        <v>45919</v>
      </c>
      <c r="C505" s="1" t="s">
        <v>35</v>
      </c>
      <c r="D505" s="1" t="s">
        <v>36</v>
      </c>
      <c r="E505" s="1" t="s">
        <v>25</v>
      </c>
      <c r="F505" s="1" t="s">
        <v>26</v>
      </c>
      <c r="G505" s="1" t="s">
        <v>21</v>
      </c>
      <c r="H505" s="6">
        <v>1</v>
      </c>
      <c r="I505" s="7">
        <v>1176</v>
      </c>
      <c r="J505" s="5">
        <v>45917</v>
      </c>
      <c r="K505" s="1" t="s">
        <v>30</v>
      </c>
      <c r="L505" s="8">
        <v>0.2</v>
      </c>
      <c r="M505" s="6"/>
      <c r="N505" s="6"/>
      <c r="O505" s="9">
        <v>-235.2</v>
      </c>
    </row>
    <row r="506" spans="1:15" ht="19.5" customHeight="1">
      <c r="A506" s="1" t="s">
        <v>493</v>
      </c>
      <c r="B506" s="5">
        <v>45919</v>
      </c>
      <c r="C506" s="1" t="s">
        <v>17</v>
      </c>
      <c r="D506" s="1" t="s">
        <v>37</v>
      </c>
      <c r="E506" s="1" t="s">
        <v>25</v>
      </c>
      <c r="F506" s="1" t="s">
        <v>26</v>
      </c>
      <c r="G506" s="1" t="s">
        <v>21</v>
      </c>
      <c r="H506" s="6">
        <v>1</v>
      </c>
      <c r="I506" s="7">
        <v>1176</v>
      </c>
      <c r="J506" s="5">
        <v>45917</v>
      </c>
      <c r="K506" s="1" t="s">
        <v>30</v>
      </c>
      <c r="L506" s="8">
        <v>0.2</v>
      </c>
      <c r="M506" s="6"/>
      <c r="N506" s="6"/>
      <c r="O506" s="9">
        <v>-4.34</v>
      </c>
    </row>
    <row r="507" spans="1:15" ht="19.5" customHeight="1">
      <c r="A507" s="1" t="s">
        <v>492</v>
      </c>
      <c r="B507" s="5">
        <v>45919</v>
      </c>
      <c r="C507" s="1" t="s">
        <v>28</v>
      </c>
      <c r="D507" s="1" t="s">
        <v>45</v>
      </c>
      <c r="E507" s="1" t="s">
        <v>227</v>
      </c>
      <c r="F507" s="1" t="s">
        <v>402</v>
      </c>
      <c r="G507" s="1" t="s">
        <v>21</v>
      </c>
      <c r="H507" s="6">
        <v>1</v>
      </c>
      <c r="I507" s="7">
        <v>0</v>
      </c>
      <c r="J507" s="5">
        <v>45914</v>
      </c>
      <c r="K507" s="1" t="s">
        <v>30</v>
      </c>
      <c r="L507" s="8">
        <v>0</v>
      </c>
      <c r="M507" s="6"/>
      <c r="N507" s="6"/>
      <c r="O507" s="9">
        <v>0</v>
      </c>
    </row>
    <row r="508" spans="1:15" ht="19.5" customHeight="1">
      <c r="A508" s="1" t="s">
        <v>492</v>
      </c>
      <c r="B508" s="5">
        <v>45919</v>
      </c>
      <c r="C508" s="1" t="s">
        <v>28</v>
      </c>
      <c r="D508" s="1" t="s">
        <v>46</v>
      </c>
      <c r="E508" s="1" t="s">
        <v>227</v>
      </c>
      <c r="F508" s="1" t="s">
        <v>402</v>
      </c>
      <c r="G508" s="1" t="s">
        <v>21</v>
      </c>
      <c r="H508" s="6">
        <v>1</v>
      </c>
      <c r="I508" s="7">
        <v>0</v>
      </c>
      <c r="J508" s="5">
        <v>45914</v>
      </c>
      <c r="K508" s="1" t="s">
        <v>30</v>
      </c>
      <c r="L508" s="8">
        <v>0</v>
      </c>
      <c r="M508" s="6"/>
      <c r="N508" s="6"/>
      <c r="O508" s="9">
        <v>-46</v>
      </c>
    </row>
    <row r="509" spans="1:15" ht="19.5" customHeight="1">
      <c r="A509" s="1" t="s">
        <v>494</v>
      </c>
      <c r="B509" s="5">
        <v>45919</v>
      </c>
      <c r="C509" s="1" t="s">
        <v>28</v>
      </c>
      <c r="D509" s="1" t="s">
        <v>29</v>
      </c>
      <c r="E509" s="1" t="s">
        <v>224</v>
      </c>
      <c r="F509" s="1" t="s">
        <v>461</v>
      </c>
      <c r="G509" s="1" t="s">
        <v>21</v>
      </c>
      <c r="H509" s="6">
        <v>1</v>
      </c>
      <c r="I509" s="7">
        <v>1380</v>
      </c>
      <c r="J509" s="5">
        <v>45916</v>
      </c>
      <c r="K509" s="1" t="s">
        <v>30</v>
      </c>
      <c r="L509" s="8">
        <v>0.2</v>
      </c>
      <c r="M509" s="6"/>
      <c r="N509" s="6"/>
      <c r="O509" s="9">
        <v>-46</v>
      </c>
    </row>
    <row r="510" spans="1:15" ht="19.5" customHeight="1">
      <c r="A510" s="1" t="s">
        <v>494</v>
      </c>
      <c r="B510" s="5">
        <v>45919</v>
      </c>
      <c r="C510" s="1" t="s">
        <v>31</v>
      </c>
      <c r="D510" s="1" t="s">
        <v>32</v>
      </c>
      <c r="E510" s="1" t="s">
        <v>224</v>
      </c>
      <c r="F510" s="1" t="s">
        <v>461</v>
      </c>
      <c r="G510" s="1" t="s">
        <v>21</v>
      </c>
      <c r="H510" s="6">
        <v>1</v>
      </c>
      <c r="I510" s="7">
        <v>1380</v>
      </c>
      <c r="J510" s="5">
        <v>45916</v>
      </c>
      <c r="K510" s="1" t="s">
        <v>30</v>
      </c>
      <c r="L510" s="8">
        <v>0</v>
      </c>
      <c r="M510" s="6"/>
      <c r="N510" s="6"/>
      <c r="O510" s="9">
        <v>917.61</v>
      </c>
    </row>
    <row r="511" spans="1:15" ht="19.5" customHeight="1">
      <c r="A511" s="1" t="s">
        <v>494</v>
      </c>
      <c r="B511" s="5">
        <v>45919</v>
      </c>
      <c r="C511" s="1" t="s">
        <v>31</v>
      </c>
      <c r="D511" s="1" t="s">
        <v>33</v>
      </c>
      <c r="E511" s="1" t="s">
        <v>224</v>
      </c>
      <c r="F511" s="1" t="s">
        <v>461</v>
      </c>
      <c r="G511" s="1" t="s">
        <v>21</v>
      </c>
      <c r="H511" s="6">
        <v>1</v>
      </c>
      <c r="I511" s="7">
        <v>1380</v>
      </c>
      <c r="J511" s="5">
        <v>45916</v>
      </c>
      <c r="K511" s="1" t="s">
        <v>30</v>
      </c>
      <c r="L511" s="8">
        <v>0</v>
      </c>
      <c r="M511" s="6"/>
      <c r="N511" s="6"/>
      <c r="O511" s="9">
        <v>0</v>
      </c>
    </row>
    <row r="512" spans="1:15" ht="19.5" customHeight="1">
      <c r="A512" s="1" t="s">
        <v>494</v>
      </c>
      <c r="B512" s="5">
        <v>45919</v>
      </c>
      <c r="C512" s="1" t="s">
        <v>31</v>
      </c>
      <c r="D512" s="1" t="s">
        <v>34</v>
      </c>
      <c r="E512" s="1" t="s">
        <v>224</v>
      </c>
      <c r="F512" s="1" t="s">
        <v>461</v>
      </c>
      <c r="G512" s="1" t="s">
        <v>21</v>
      </c>
      <c r="H512" s="6">
        <v>1</v>
      </c>
      <c r="I512" s="7">
        <v>1380</v>
      </c>
      <c r="J512" s="5">
        <v>45916</v>
      </c>
      <c r="K512" s="1" t="s">
        <v>30</v>
      </c>
      <c r="L512" s="8">
        <v>0</v>
      </c>
      <c r="M512" s="6"/>
      <c r="N512" s="6"/>
      <c r="O512" s="9">
        <v>462.39</v>
      </c>
    </row>
    <row r="513" spans="1:15" ht="19.5" customHeight="1">
      <c r="A513" s="1" t="s">
        <v>494</v>
      </c>
      <c r="B513" s="5">
        <v>45919</v>
      </c>
      <c r="C513" s="1" t="s">
        <v>35</v>
      </c>
      <c r="D513" s="1" t="s">
        <v>36</v>
      </c>
      <c r="E513" s="1" t="s">
        <v>224</v>
      </c>
      <c r="F513" s="1" t="s">
        <v>461</v>
      </c>
      <c r="G513" s="1" t="s">
        <v>21</v>
      </c>
      <c r="H513" s="6">
        <v>1</v>
      </c>
      <c r="I513" s="7">
        <v>1380</v>
      </c>
      <c r="J513" s="5">
        <v>45916</v>
      </c>
      <c r="K513" s="1" t="s">
        <v>30</v>
      </c>
      <c r="L513" s="8">
        <v>0.2</v>
      </c>
      <c r="M513" s="6"/>
      <c r="N513" s="6"/>
      <c r="O513" s="9">
        <v>-276</v>
      </c>
    </row>
    <row r="514" spans="1:15" ht="19.5" customHeight="1">
      <c r="A514" s="1" t="s">
        <v>494</v>
      </c>
      <c r="B514" s="5">
        <v>45919</v>
      </c>
      <c r="C514" s="1" t="s">
        <v>17</v>
      </c>
      <c r="D514" s="1" t="s">
        <v>37</v>
      </c>
      <c r="E514" s="1" t="s">
        <v>224</v>
      </c>
      <c r="F514" s="1" t="s">
        <v>461</v>
      </c>
      <c r="G514" s="1" t="s">
        <v>21</v>
      </c>
      <c r="H514" s="6">
        <v>1</v>
      </c>
      <c r="I514" s="7">
        <v>1380</v>
      </c>
      <c r="J514" s="5">
        <v>45916</v>
      </c>
      <c r="K514" s="1" t="s">
        <v>30</v>
      </c>
      <c r="L514" s="8">
        <v>0.2</v>
      </c>
      <c r="M514" s="6"/>
      <c r="N514" s="6"/>
      <c r="O514" s="9">
        <v>-6.54</v>
      </c>
    </row>
    <row r="515" spans="1:15" ht="19.5" customHeight="1">
      <c r="A515" s="1" t="s">
        <v>493</v>
      </c>
      <c r="B515" s="5">
        <v>45919</v>
      </c>
      <c r="C515" s="1" t="s">
        <v>17</v>
      </c>
      <c r="D515" s="1" t="s">
        <v>18</v>
      </c>
      <c r="E515" s="1" t="s">
        <v>25</v>
      </c>
      <c r="F515" s="1" t="s">
        <v>26</v>
      </c>
      <c r="G515" s="1" t="s">
        <v>21</v>
      </c>
      <c r="H515" s="6">
        <v>1</v>
      </c>
      <c r="I515" s="7">
        <v>0</v>
      </c>
      <c r="J515" s="5">
        <v>45917</v>
      </c>
      <c r="K515" s="1" t="s">
        <v>22</v>
      </c>
      <c r="L515" s="8">
        <v>0</v>
      </c>
      <c r="M515" s="6"/>
      <c r="N515" s="6"/>
      <c r="O515" s="9">
        <v>-10.7</v>
      </c>
    </row>
    <row r="516" spans="1:15" ht="19.5" customHeight="1">
      <c r="A516" s="1" t="s">
        <v>494</v>
      </c>
      <c r="B516" s="5">
        <v>45919</v>
      </c>
      <c r="C516" s="1" t="s">
        <v>17</v>
      </c>
      <c r="D516" s="1" t="s">
        <v>18</v>
      </c>
      <c r="E516" s="1" t="s">
        <v>224</v>
      </c>
      <c r="F516" s="1" t="s">
        <v>461</v>
      </c>
      <c r="G516" s="1" t="s">
        <v>21</v>
      </c>
      <c r="H516" s="6">
        <v>1</v>
      </c>
      <c r="I516" s="7">
        <v>0</v>
      </c>
      <c r="J516" s="5">
        <v>45916</v>
      </c>
      <c r="K516" s="1" t="s">
        <v>22</v>
      </c>
      <c r="L516" s="8">
        <v>0</v>
      </c>
      <c r="M516" s="6"/>
      <c r="N516" s="6"/>
      <c r="O516" s="9">
        <v>-3.76</v>
      </c>
    </row>
    <row r="517" spans="1:15" ht="19.5" customHeight="1">
      <c r="A517" s="1" t="s">
        <v>495</v>
      </c>
      <c r="B517" s="5">
        <v>45919</v>
      </c>
      <c r="C517" s="1" t="s">
        <v>28</v>
      </c>
      <c r="D517" s="1" t="s">
        <v>29</v>
      </c>
      <c r="E517" s="1" t="s">
        <v>43</v>
      </c>
      <c r="F517" s="1" t="s">
        <v>44</v>
      </c>
      <c r="G517" s="1" t="s">
        <v>41</v>
      </c>
      <c r="H517" s="6">
        <v>1</v>
      </c>
      <c r="I517" s="7">
        <v>2900</v>
      </c>
      <c r="J517" s="5">
        <v>45917</v>
      </c>
      <c r="K517" s="1" t="s">
        <v>30</v>
      </c>
      <c r="L517" s="8">
        <v>0.18</v>
      </c>
      <c r="M517" s="6"/>
      <c r="N517" s="6"/>
      <c r="O517" s="9">
        <v>-56</v>
      </c>
    </row>
    <row r="518" spans="1:15" ht="19.5" customHeight="1">
      <c r="A518" s="1" t="s">
        <v>495</v>
      </c>
      <c r="B518" s="5">
        <v>45919</v>
      </c>
      <c r="C518" s="1" t="s">
        <v>31</v>
      </c>
      <c r="D518" s="1" t="s">
        <v>32</v>
      </c>
      <c r="E518" s="1" t="s">
        <v>43</v>
      </c>
      <c r="F518" s="1" t="s">
        <v>44</v>
      </c>
      <c r="G518" s="1" t="s">
        <v>41</v>
      </c>
      <c r="H518" s="6">
        <v>1</v>
      </c>
      <c r="I518" s="7">
        <v>2900</v>
      </c>
      <c r="J518" s="5">
        <v>45917</v>
      </c>
      <c r="K518" s="1" t="s">
        <v>30</v>
      </c>
      <c r="L518" s="8">
        <v>0</v>
      </c>
      <c r="M518" s="6"/>
      <c r="N518" s="6"/>
      <c r="O518" s="9">
        <v>1653.66</v>
      </c>
    </row>
    <row r="519" spans="1:15" ht="19.5" customHeight="1">
      <c r="A519" s="1" t="s">
        <v>495</v>
      </c>
      <c r="B519" s="5">
        <v>45919</v>
      </c>
      <c r="C519" s="1" t="s">
        <v>31</v>
      </c>
      <c r="D519" s="1" t="s">
        <v>33</v>
      </c>
      <c r="E519" s="1" t="s">
        <v>43</v>
      </c>
      <c r="F519" s="1" t="s">
        <v>44</v>
      </c>
      <c r="G519" s="1" t="s">
        <v>41</v>
      </c>
      <c r="H519" s="6">
        <v>1</v>
      </c>
      <c r="I519" s="7">
        <v>2900</v>
      </c>
      <c r="J519" s="5">
        <v>45917</v>
      </c>
      <c r="K519" s="1" t="s">
        <v>30</v>
      </c>
      <c r="L519" s="8">
        <v>0</v>
      </c>
      <c r="M519" s="6"/>
      <c r="N519" s="6"/>
      <c r="O519" s="9">
        <v>12.15</v>
      </c>
    </row>
    <row r="520" spans="1:15" ht="19.5" customHeight="1">
      <c r="A520" s="1" t="s">
        <v>495</v>
      </c>
      <c r="B520" s="5">
        <v>45919</v>
      </c>
      <c r="C520" s="1" t="s">
        <v>31</v>
      </c>
      <c r="D520" s="1" t="s">
        <v>34</v>
      </c>
      <c r="E520" s="1" t="s">
        <v>43</v>
      </c>
      <c r="F520" s="1" t="s">
        <v>44</v>
      </c>
      <c r="G520" s="1" t="s">
        <v>41</v>
      </c>
      <c r="H520" s="6">
        <v>1</v>
      </c>
      <c r="I520" s="7">
        <v>2900</v>
      </c>
      <c r="J520" s="5">
        <v>45917</v>
      </c>
      <c r="K520" s="1" t="s">
        <v>30</v>
      </c>
      <c r="L520" s="8">
        <v>0</v>
      </c>
      <c r="M520" s="6"/>
      <c r="N520" s="6"/>
      <c r="O520" s="9">
        <v>1234.19</v>
      </c>
    </row>
    <row r="521" spans="1:15" ht="19.5" customHeight="1">
      <c r="A521" s="1" t="s">
        <v>495</v>
      </c>
      <c r="B521" s="5">
        <v>45919</v>
      </c>
      <c r="C521" s="1" t="s">
        <v>35</v>
      </c>
      <c r="D521" s="1" t="s">
        <v>36</v>
      </c>
      <c r="E521" s="1" t="s">
        <v>43</v>
      </c>
      <c r="F521" s="1" t="s">
        <v>44</v>
      </c>
      <c r="G521" s="1" t="s">
        <v>41</v>
      </c>
      <c r="H521" s="6">
        <v>1</v>
      </c>
      <c r="I521" s="7">
        <v>2900</v>
      </c>
      <c r="J521" s="5">
        <v>45917</v>
      </c>
      <c r="K521" s="1" t="s">
        <v>30</v>
      </c>
      <c r="L521" s="8">
        <v>0.18</v>
      </c>
      <c r="M521" s="6"/>
      <c r="N521" s="6"/>
      <c r="O521" s="9">
        <v>-522</v>
      </c>
    </row>
    <row r="522" spans="1:15" ht="19.5" customHeight="1">
      <c r="A522" s="1" t="s">
        <v>495</v>
      </c>
      <c r="B522" s="5">
        <v>45919</v>
      </c>
      <c r="C522" s="1" t="s">
        <v>17</v>
      </c>
      <c r="D522" s="1" t="s">
        <v>37</v>
      </c>
      <c r="E522" s="1" t="s">
        <v>43</v>
      </c>
      <c r="F522" s="1" t="s">
        <v>44</v>
      </c>
      <c r="G522" s="1" t="s">
        <v>41</v>
      </c>
      <c r="H522" s="6">
        <v>1</v>
      </c>
      <c r="I522" s="7">
        <v>2900</v>
      </c>
      <c r="J522" s="5">
        <v>45917</v>
      </c>
      <c r="K522" s="1" t="s">
        <v>30</v>
      </c>
      <c r="L522" s="8">
        <v>0.18</v>
      </c>
      <c r="M522" s="6"/>
      <c r="N522" s="6"/>
      <c r="O522" s="9">
        <v>-9.36</v>
      </c>
    </row>
    <row r="523" spans="1:15" ht="19.5" customHeight="1">
      <c r="A523" s="1" t="s">
        <v>495</v>
      </c>
      <c r="B523" s="5">
        <v>45919</v>
      </c>
      <c r="C523" s="1" t="s">
        <v>17</v>
      </c>
      <c r="D523" s="1" t="s">
        <v>18</v>
      </c>
      <c r="E523" s="1" t="s">
        <v>43</v>
      </c>
      <c r="F523" s="1" t="s">
        <v>44</v>
      </c>
      <c r="G523" s="1" t="s">
        <v>41</v>
      </c>
      <c r="H523" s="6">
        <v>1</v>
      </c>
      <c r="I523" s="7">
        <v>0</v>
      </c>
      <c r="J523" s="5">
        <v>45917</v>
      </c>
      <c r="K523" s="1" t="s">
        <v>22</v>
      </c>
      <c r="L523" s="8">
        <v>0</v>
      </c>
      <c r="M523" s="6"/>
      <c r="N523" s="6"/>
      <c r="O523" s="9">
        <v>-31.42</v>
      </c>
    </row>
    <row r="524" spans="1:15" ht="19.5" customHeight="1">
      <c r="A524" s="1" t="s">
        <v>22</v>
      </c>
      <c r="B524" s="5">
        <v>45919</v>
      </c>
      <c r="C524" s="1" t="s">
        <v>77</v>
      </c>
      <c r="D524" s="1" t="s">
        <v>78</v>
      </c>
      <c r="E524" s="1" t="s">
        <v>22</v>
      </c>
      <c r="F524" s="1" t="s">
        <v>22</v>
      </c>
      <c r="G524" s="1" t="s">
        <v>496</v>
      </c>
      <c r="H524" s="6">
        <v>0</v>
      </c>
      <c r="I524" s="7">
        <v>0</v>
      </c>
      <c r="J524" s="5">
        <v>45919</v>
      </c>
      <c r="K524" s="1" t="s">
        <v>22</v>
      </c>
      <c r="L524" s="8">
        <v>0</v>
      </c>
      <c r="M524" s="6"/>
      <c r="N524" s="6"/>
      <c r="O524" s="9">
        <v>-200</v>
      </c>
    </row>
    <row r="525" spans="1:15" ht="19.5" customHeight="1">
      <c r="A525" s="1" t="s">
        <v>497</v>
      </c>
      <c r="B525" s="5">
        <v>45919</v>
      </c>
      <c r="C525" s="1" t="s">
        <v>28</v>
      </c>
      <c r="D525" s="1" t="s">
        <v>29</v>
      </c>
      <c r="E525" s="1" t="s">
        <v>92</v>
      </c>
      <c r="F525" s="1" t="s">
        <v>93</v>
      </c>
      <c r="G525" s="1" t="s">
        <v>21</v>
      </c>
      <c r="H525" s="6">
        <v>1</v>
      </c>
      <c r="I525" s="7">
        <v>0</v>
      </c>
      <c r="J525" s="5">
        <v>45911</v>
      </c>
      <c r="K525" s="1" t="s">
        <v>30</v>
      </c>
      <c r="L525" s="8">
        <v>0</v>
      </c>
      <c r="M525" s="6"/>
      <c r="N525" s="6"/>
      <c r="O525" s="9">
        <v>-46</v>
      </c>
    </row>
    <row r="526" spans="1:15" ht="19.5" customHeight="1">
      <c r="A526" s="1" t="s">
        <v>497</v>
      </c>
      <c r="B526" s="5">
        <v>45919</v>
      </c>
      <c r="C526" s="1" t="s">
        <v>17</v>
      </c>
      <c r="D526" s="1" t="s">
        <v>37</v>
      </c>
      <c r="E526" s="1" t="s">
        <v>92</v>
      </c>
      <c r="F526" s="1" t="s">
        <v>93</v>
      </c>
      <c r="G526" s="1" t="s">
        <v>21</v>
      </c>
      <c r="H526" s="6">
        <v>1</v>
      </c>
      <c r="I526" s="7">
        <v>0</v>
      </c>
      <c r="J526" s="5">
        <v>45911</v>
      </c>
      <c r="K526" s="1" t="s">
        <v>30</v>
      </c>
      <c r="L526" s="8">
        <v>0</v>
      </c>
      <c r="M526" s="6"/>
      <c r="N526" s="6"/>
      <c r="O526" s="9">
        <v>-4.75</v>
      </c>
    </row>
    <row r="527" spans="1:15" ht="19.5" customHeight="1">
      <c r="A527" s="1" t="s">
        <v>497</v>
      </c>
      <c r="B527" s="5">
        <v>45919</v>
      </c>
      <c r="C527" s="1" t="s">
        <v>28</v>
      </c>
      <c r="D527" s="1" t="s">
        <v>356</v>
      </c>
      <c r="E527" s="1" t="s">
        <v>92</v>
      </c>
      <c r="F527" s="1" t="s">
        <v>93</v>
      </c>
      <c r="G527" s="1" t="s">
        <v>21</v>
      </c>
      <c r="H527" s="6">
        <v>1</v>
      </c>
      <c r="I527" s="7">
        <v>0</v>
      </c>
      <c r="J527" s="5">
        <v>45911</v>
      </c>
      <c r="K527" s="1" t="s">
        <v>30</v>
      </c>
      <c r="L527" s="8">
        <v>0</v>
      </c>
      <c r="M527" s="6"/>
      <c r="N527" s="6"/>
      <c r="O527" s="9">
        <v>0</v>
      </c>
    </row>
    <row r="528" spans="1:15" ht="19.5" customHeight="1">
      <c r="A528" s="1" t="s">
        <v>497</v>
      </c>
      <c r="B528" s="5">
        <v>45919</v>
      </c>
      <c r="C528" s="1" t="s">
        <v>28</v>
      </c>
      <c r="D528" s="1" t="s">
        <v>46</v>
      </c>
      <c r="E528" s="1" t="s">
        <v>92</v>
      </c>
      <c r="F528" s="1" t="s">
        <v>93</v>
      </c>
      <c r="G528" s="1" t="s">
        <v>21</v>
      </c>
      <c r="H528" s="6">
        <v>1</v>
      </c>
      <c r="I528" s="7">
        <v>0</v>
      </c>
      <c r="J528" s="5">
        <v>45911</v>
      </c>
      <c r="K528" s="1" t="s">
        <v>30</v>
      </c>
      <c r="L528" s="8">
        <v>0</v>
      </c>
      <c r="M528" s="6"/>
      <c r="N528" s="6"/>
      <c r="O528" s="9">
        <v>-46</v>
      </c>
    </row>
    <row r="529" spans="1:15" ht="19.5" customHeight="1">
      <c r="A529" s="1" t="s">
        <v>497</v>
      </c>
      <c r="B529" s="5">
        <v>45919</v>
      </c>
      <c r="C529" s="1" t="s">
        <v>17</v>
      </c>
      <c r="D529" s="1" t="s">
        <v>47</v>
      </c>
      <c r="E529" s="1" t="s">
        <v>92</v>
      </c>
      <c r="F529" s="1" t="s">
        <v>93</v>
      </c>
      <c r="G529" s="1" t="s">
        <v>21</v>
      </c>
      <c r="H529" s="6">
        <v>1</v>
      </c>
      <c r="I529" s="7">
        <v>0</v>
      </c>
      <c r="J529" s="5">
        <v>45911</v>
      </c>
      <c r="K529" s="1" t="s">
        <v>30</v>
      </c>
      <c r="L529" s="8">
        <v>0</v>
      </c>
      <c r="M529" s="6"/>
      <c r="N529" s="6"/>
      <c r="O529" s="9">
        <v>-15</v>
      </c>
    </row>
    <row r="530" spans="1:15" ht="19.5" customHeight="1">
      <c r="A530" s="1" t="s">
        <v>22</v>
      </c>
      <c r="B530" s="5">
        <v>45919</v>
      </c>
      <c r="C530" s="1" t="s">
        <v>77</v>
      </c>
      <c r="D530" s="1" t="s">
        <v>80</v>
      </c>
      <c r="E530" s="1" t="s">
        <v>22</v>
      </c>
      <c r="F530" s="1" t="s">
        <v>22</v>
      </c>
      <c r="G530" s="1" t="s">
        <v>22</v>
      </c>
      <c r="H530" s="6">
        <v>0</v>
      </c>
      <c r="I530" s="7">
        <v>0</v>
      </c>
      <c r="J530" s="5">
        <v>45919</v>
      </c>
      <c r="K530" s="1" t="s">
        <v>22</v>
      </c>
      <c r="L530" s="8">
        <v>0</v>
      </c>
      <c r="M530" s="6"/>
      <c r="N530" s="6"/>
      <c r="O530" s="9">
        <v>-216</v>
      </c>
    </row>
    <row r="531" spans="1:15" ht="19.5" customHeight="1">
      <c r="A531" s="1" t="s">
        <v>83</v>
      </c>
      <c r="B531" s="5">
        <v>45919</v>
      </c>
      <c r="C531" s="1" t="s">
        <v>77</v>
      </c>
      <c r="D531" s="1" t="s">
        <v>84</v>
      </c>
      <c r="E531" s="1" t="s">
        <v>22</v>
      </c>
      <c r="F531" s="1" t="s">
        <v>22</v>
      </c>
      <c r="G531" s="1" t="s">
        <v>22</v>
      </c>
      <c r="H531" s="6">
        <v>0</v>
      </c>
      <c r="I531" s="7">
        <v>0</v>
      </c>
      <c r="J531" s="5">
        <v>45919</v>
      </c>
      <c r="K531" s="1" t="s">
        <v>22</v>
      </c>
      <c r="L531" s="8">
        <v>0</v>
      </c>
      <c r="M531" s="6"/>
      <c r="N531" s="6"/>
      <c r="O531" s="9">
        <v>-1020.08</v>
      </c>
    </row>
    <row r="532" spans="1:15" ht="19.5" customHeight="1">
      <c r="A532" s="1" t="s">
        <v>81</v>
      </c>
      <c r="B532" s="5">
        <v>45919</v>
      </c>
      <c r="C532" s="1" t="s">
        <v>77</v>
      </c>
      <c r="D532" s="1" t="s">
        <v>82</v>
      </c>
      <c r="E532" s="1" t="s">
        <v>22</v>
      </c>
      <c r="F532" s="1" t="s">
        <v>22</v>
      </c>
      <c r="G532" s="1" t="s">
        <v>22</v>
      </c>
      <c r="H532" s="6">
        <v>0</v>
      </c>
      <c r="I532" s="7">
        <v>0</v>
      </c>
      <c r="J532" s="5">
        <v>45919</v>
      </c>
      <c r="K532" s="1" t="s">
        <v>22</v>
      </c>
      <c r="L532" s="8">
        <v>0</v>
      </c>
      <c r="M532" s="6"/>
      <c r="N532" s="6"/>
      <c r="O532" s="9">
        <v>-2821.55</v>
      </c>
    </row>
    <row r="533" spans="1:15" ht="19.5" customHeight="1">
      <c r="A533" s="1" t="s">
        <v>85</v>
      </c>
      <c r="B533" s="5">
        <v>45919</v>
      </c>
      <c r="C533" s="1" t="s">
        <v>77</v>
      </c>
      <c r="D533" s="1" t="s">
        <v>82</v>
      </c>
      <c r="E533" s="1" t="s">
        <v>22</v>
      </c>
      <c r="F533" s="1" t="s">
        <v>22</v>
      </c>
      <c r="G533" s="1" t="s">
        <v>22</v>
      </c>
      <c r="H533" s="6">
        <v>0</v>
      </c>
      <c r="I533" s="7">
        <v>0</v>
      </c>
      <c r="J533" s="5">
        <v>45919</v>
      </c>
      <c r="K533" s="1" t="s">
        <v>22</v>
      </c>
      <c r="L533" s="8">
        <v>0</v>
      </c>
      <c r="M533" s="6"/>
      <c r="N533" s="6"/>
      <c r="O533" s="9">
        <v>-796.98</v>
      </c>
    </row>
    <row r="534" spans="1:15" ht="19.5" customHeight="1">
      <c r="A534" s="1" t="s">
        <v>454</v>
      </c>
      <c r="B534" s="5">
        <v>45919</v>
      </c>
      <c r="C534" s="1" t="s">
        <v>77</v>
      </c>
      <c r="D534" s="1" t="s">
        <v>82</v>
      </c>
      <c r="E534" s="1" t="s">
        <v>22</v>
      </c>
      <c r="F534" s="1" t="s">
        <v>22</v>
      </c>
      <c r="G534" s="1" t="s">
        <v>22</v>
      </c>
      <c r="H534" s="6">
        <v>0</v>
      </c>
      <c r="I534" s="7">
        <v>0</v>
      </c>
      <c r="J534" s="5">
        <v>45919</v>
      </c>
      <c r="K534" s="1" t="s">
        <v>22</v>
      </c>
      <c r="L534" s="8">
        <v>0</v>
      </c>
      <c r="M534" s="6"/>
      <c r="N534" s="6"/>
      <c r="O534" s="9">
        <v>-1948.21</v>
      </c>
    </row>
    <row r="535" spans="1:15" ht="19.5" customHeight="1">
      <c r="A535" s="1" t="s">
        <v>498</v>
      </c>
      <c r="B535" s="5">
        <v>45920</v>
      </c>
      <c r="C535" s="1" t="s">
        <v>28</v>
      </c>
      <c r="D535" s="1" t="s">
        <v>29</v>
      </c>
      <c r="E535" s="1" t="s">
        <v>54</v>
      </c>
      <c r="F535" s="1" t="s">
        <v>55</v>
      </c>
      <c r="G535" s="1" t="s">
        <v>21</v>
      </c>
      <c r="H535" s="6">
        <v>1</v>
      </c>
      <c r="I535" s="7">
        <v>0</v>
      </c>
      <c r="J535" s="5">
        <v>45915</v>
      </c>
      <c r="K535" s="1" t="s">
        <v>30</v>
      </c>
      <c r="L535" s="8">
        <v>0</v>
      </c>
      <c r="M535" s="6"/>
      <c r="N535" s="6"/>
      <c r="O535" s="9">
        <v>-46</v>
      </c>
    </row>
    <row r="536" spans="1:15" ht="19.5" customHeight="1">
      <c r="A536" s="1" t="s">
        <v>498</v>
      </c>
      <c r="B536" s="5">
        <v>45920</v>
      </c>
      <c r="C536" s="1" t="s">
        <v>17</v>
      </c>
      <c r="D536" s="1" t="s">
        <v>37</v>
      </c>
      <c r="E536" s="1" t="s">
        <v>54</v>
      </c>
      <c r="F536" s="1" t="s">
        <v>55</v>
      </c>
      <c r="G536" s="1" t="s">
        <v>21</v>
      </c>
      <c r="H536" s="6">
        <v>1</v>
      </c>
      <c r="I536" s="7">
        <v>0</v>
      </c>
      <c r="J536" s="5">
        <v>45915</v>
      </c>
      <c r="K536" s="1" t="s">
        <v>30</v>
      </c>
      <c r="L536" s="8">
        <v>0</v>
      </c>
      <c r="M536" s="6"/>
      <c r="N536" s="6"/>
      <c r="O536" s="9">
        <v>-4.3099999999999996</v>
      </c>
    </row>
    <row r="537" spans="1:15" ht="19.5" customHeight="1">
      <c r="A537" s="1" t="s">
        <v>498</v>
      </c>
      <c r="B537" s="5">
        <v>45920</v>
      </c>
      <c r="C537" s="1" t="s">
        <v>28</v>
      </c>
      <c r="D537" s="1" t="s">
        <v>45</v>
      </c>
      <c r="E537" s="1" t="s">
        <v>54</v>
      </c>
      <c r="F537" s="1" t="s">
        <v>55</v>
      </c>
      <c r="G537" s="1" t="s">
        <v>21</v>
      </c>
      <c r="H537" s="6">
        <v>1</v>
      </c>
      <c r="I537" s="7">
        <v>0</v>
      </c>
      <c r="J537" s="5">
        <v>45915</v>
      </c>
      <c r="K537" s="1" t="s">
        <v>30</v>
      </c>
      <c r="L537" s="8">
        <v>0</v>
      </c>
      <c r="M537" s="6"/>
      <c r="N537" s="6"/>
      <c r="O537" s="9">
        <v>0</v>
      </c>
    </row>
    <row r="538" spans="1:15" ht="19.5" customHeight="1">
      <c r="A538" s="1" t="s">
        <v>498</v>
      </c>
      <c r="B538" s="5">
        <v>45920</v>
      </c>
      <c r="C538" s="1" t="s">
        <v>28</v>
      </c>
      <c r="D538" s="1" t="s">
        <v>46</v>
      </c>
      <c r="E538" s="1" t="s">
        <v>54</v>
      </c>
      <c r="F538" s="1" t="s">
        <v>55</v>
      </c>
      <c r="G538" s="1" t="s">
        <v>21</v>
      </c>
      <c r="H538" s="6">
        <v>1</v>
      </c>
      <c r="I538" s="7">
        <v>0</v>
      </c>
      <c r="J538" s="5">
        <v>45915</v>
      </c>
      <c r="K538" s="1" t="s">
        <v>30</v>
      </c>
      <c r="L538" s="8">
        <v>0</v>
      </c>
      <c r="M538" s="6"/>
      <c r="N538" s="6"/>
      <c r="O538" s="9">
        <v>-46</v>
      </c>
    </row>
    <row r="539" spans="1:15" ht="19.5" customHeight="1">
      <c r="A539" s="1" t="s">
        <v>499</v>
      </c>
      <c r="B539" s="5">
        <v>45920</v>
      </c>
      <c r="C539" s="1" t="s">
        <v>28</v>
      </c>
      <c r="D539" s="1" t="s">
        <v>29</v>
      </c>
      <c r="E539" s="1" t="s">
        <v>25</v>
      </c>
      <c r="F539" s="1" t="s">
        <v>26</v>
      </c>
      <c r="G539" s="1" t="s">
        <v>21</v>
      </c>
      <c r="H539" s="6">
        <v>1</v>
      </c>
      <c r="I539" s="7">
        <v>1176</v>
      </c>
      <c r="J539" s="5">
        <v>45911</v>
      </c>
      <c r="K539" s="1" t="s">
        <v>30</v>
      </c>
      <c r="L539" s="8">
        <v>0.2</v>
      </c>
      <c r="M539" s="6"/>
      <c r="N539" s="6"/>
      <c r="O539" s="9">
        <v>-46</v>
      </c>
    </row>
    <row r="540" spans="1:15" ht="19.5" customHeight="1">
      <c r="A540" s="1" t="s">
        <v>499</v>
      </c>
      <c r="B540" s="5">
        <v>45920</v>
      </c>
      <c r="C540" s="1" t="s">
        <v>31</v>
      </c>
      <c r="D540" s="1" t="s">
        <v>32</v>
      </c>
      <c r="E540" s="1" t="s">
        <v>25</v>
      </c>
      <c r="F540" s="1" t="s">
        <v>26</v>
      </c>
      <c r="G540" s="1" t="s">
        <v>21</v>
      </c>
      <c r="H540" s="6">
        <v>1</v>
      </c>
      <c r="I540" s="7">
        <v>1176</v>
      </c>
      <c r="J540" s="5">
        <v>45911</v>
      </c>
      <c r="K540" s="1" t="s">
        <v>30</v>
      </c>
      <c r="L540" s="8">
        <v>0</v>
      </c>
      <c r="M540" s="6"/>
      <c r="N540" s="6"/>
      <c r="O540" s="9">
        <v>570</v>
      </c>
    </row>
    <row r="541" spans="1:15" ht="19.5" customHeight="1">
      <c r="A541" s="1" t="s">
        <v>499</v>
      </c>
      <c r="B541" s="5">
        <v>45920</v>
      </c>
      <c r="C541" s="1" t="s">
        <v>31</v>
      </c>
      <c r="D541" s="1" t="s">
        <v>33</v>
      </c>
      <c r="E541" s="1" t="s">
        <v>25</v>
      </c>
      <c r="F541" s="1" t="s">
        <v>26</v>
      </c>
      <c r="G541" s="1" t="s">
        <v>21</v>
      </c>
      <c r="H541" s="6">
        <v>1</v>
      </c>
      <c r="I541" s="7">
        <v>1176</v>
      </c>
      <c r="J541" s="5">
        <v>45911</v>
      </c>
      <c r="K541" s="1" t="s">
        <v>30</v>
      </c>
      <c r="L541" s="8">
        <v>0</v>
      </c>
      <c r="M541" s="6"/>
      <c r="N541" s="6"/>
      <c r="O541" s="9">
        <v>4.1900000000000004</v>
      </c>
    </row>
    <row r="542" spans="1:15" ht="19.5" customHeight="1">
      <c r="A542" s="1" t="s">
        <v>499</v>
      </c>
      <c r="B542" s="5">
        <v>45920</v>
      </c>
      <c r="C542" s="1" t="s">
        <v>31</v>
      </c>
      <c r="D542" s="1" t="s">
        <v>34</v>
      </c>
      <c r="E542" s="1" t="s">
        <v>25</v>
      </c>
      <c r="F542" s="1" t="s">
        <v>26</v>
      </c>
      <c r="G542" s="1" t="s">
        <v>21</v>
      </c>
      <c r="H542" s="6">
        <v>1</v>
      </c>
      <c r="I542" s="7">
        <v>1176</v>
      </c>
      <c r="J542" s="5">
        <v>45911</v>
      </c>
      <c r="K542" s="1" t="s">
        <v>30</v>
      </c>
      <c r="L542" s="8">
        <v>0</v>
      </c>
      <c r="M542" s="6"/>
      <c r="N542" s="6"/>
      <c r="O542" s="9">
        <v>601.80999999999995</v>
      </c>
    </row>
    <row r="543" spans="1:15" ht="19.5" customHeight="1">
      <c r="A543" s="1" t="s">
        <v>499</v>
      </c>
      <c r="B543" s="5">
        <v>45920</v>
      </c>
      <c r="C543" s="1" t="s">
        <v>35</v>
      </c>
      <c r="D543" s="1" t="s">
        <v>36</v>
      </c>
      <c r="E543" s="1" t="s">
        <v>25</v>
      </c>
      <c r="F543" s="1" t="s">
        <v>26</v>
      </c>
      <c r="G543" s="1" t="s">
        <v>21</v>
      </c>
      <c r="H543" s="6">
        <v>1</v>
      </c>
      <c r="I543" s="7">
        <v>1176</v>
      </c>
      <c r="J543" s="5">
        <v>45911</v>
      </c>
      <c r="K543" s="1" t="s">
        <v>30</v>
      </c>
      <c r="L543" s="8">
        <v>0.2</v>
      </c>
      <c r="M543" s="6"/>
      <c r="N543" s="6"/>
      <c r="O543" s="9">
        <v>-235.2</v>
      </c>
    </row>
    <row r="544" spans="1:15" ht="19.5" customHeight="1">
      <c r="A544" s="1" t="s">
        <v>500</v>
      </c>
      <c r="B544" s="5">
        <v>45920</v>
      </c>
      <c r="C544" s="1" t="s">
        <v>28</v>
      </c>
      <c r="D544" s="1" t="s">
        <v>356</v>
      </c>
      <c r="E544" s="1" t="s">
        <v>25</v>
      </c>
      <c r="F544" s="1" t="s">
        <v>26</v>
      </c>
      <c r="G544" s="1" t="s">
        <v>21</v>
      </c>
      <c r="H544" s="6">
        <v>1</v>
      </c>
      <c r="I544" s="7">
        <v>0</v>
      </c>
      <c r="J544" s="5">
        <v>45915</v>
      </c>
      <c r="K544" s="1" t="s">
        <v>30</v>
      </c>
      <c r="L544" s="8">
        <v>0</v>
      </c>
      <c r="M544" s="6"/>
      <c r="N544" s="6"/>
      <c r="O544" s="9">
        <v>0</v>
      </c>
    </row>
    <row r="545" spans="1:15" ht="19.5" customHeight="1">
      <c r="A545" s="1" t="s">
        <v>500</v>
      </c>
      <c r="B545" s="5">
        <v>45920</v>
      </c>
      <c r="C545" s="1" t="s">
        <v>28</v>
      </c>
      <c r="D545" s="1" t="s">
        <v>46</v>
      </c>
      <c r="E545" s="1" t="s">
        <v>25</v>
      </c>
      <c r="F545" s="1" t="s">
        <v>26</v>
      </c>
      <c r="G545" s="1" t="s">
        <v>21</v>
      </c>
      <c r="H545" s="6">
        <v>1</v>
      </c>
      <c r="I545" s="7">
        <v>0</v>
      </c>
      <c r="J545" s="5">
        <v>45915</v>
      </c>
      <c r="K545" s="1" t="s">
        <v>30</v>
      </c>
      <c r="L545" s="8">
        <v>0</v>
      </c>
      <c r="M545" s="6"/>
      <c r="N545" s="6"/>
      <c r="O545" s="9">
        <v>-46</v>
      </c>
    </row>
    <row r="546" spans="1:15" ht="19.5" customHeight="1">
      <c r="A546" s="1" t="s">
        <v>500</v>
      </c>
      <c r="B546" s="5">
        <v>45920</v>
      </c>
      <c r="C546" s="1" t="s">
        <v>17</v>
      </c>
      <c r="D546" s="1" t="s">
        <v>47</v>
      </c>
      <c r="E546" s="1" t="s">
        <v>25</v>
      </c>
      <c r="F546" s="1" t="s">
        <v>26</v>
      </c>
      <c r="G546" s="1" t="s">
        <v>21</v>
      </c>
      <c r="H546" s="6">
        <v>1</v>
      </c>
      <c r="I546" s="7">
        <v>0</v>
      </c>
      <c r="J546" s="5">
        <v>45915</v>
      </c>
      <c r="K546" s="1" t="s">
        <v>30</v>
      </c>
      <c r="L546" s="8">
        <v>0</v>
      </c>
      <c r="M546" s="6"/>
      <c r="N546" s="6"/>
      <c r="O546" s="9">
        <v>-15</v>
      </c>
    </row>
    <row r="547" spans="1:15" ht="19.5" customHeight="1">
      <c r="A547" s="1" t="s">
        <v>500</v>
      </c>
      <c r="B547" s="5">
        <v>45920</v>
      </c>
      <c r="C547" s="1" t="s">
        <v>28</v>
      </c>
      <c r="D547" s="1" t="s">
        <v>29</v>
      </c>
      <c r="E547" s="1" t="s">
        <v>25</v>
      </c>
      <c r="F547" s="1" t="s">
        <v>26</v>
      </c>
      <c r="G547" s="1" t="s">
        <v>21</v>
      </c>
      <c r="H547" s="6">
        <v>1</v>
      </c>
      <c r="I547" s="7">
        <v>0</v>
      </c>
      <c r="J547" s="5">
        <v>45915</v>
      </c>
      <c r="K547" s="1" t="s">
        <v>30</v>
      </c>
      <c r="L547" s="8">
        <v>0</v>
      </c>
      <c r="M547" s="6"/>
      <c r="N547" s="6"/>
      <c r="O547" s="9">
        <v>-46</v>
      </c>
    </row>
    <row r="548" spans="1:15" ht="19.5" customHeight="1">
      <c r="A548" s="1" t="s">
        <v>500</v>
      </c>
      <c r="B548" s="5">
        <v>45920</v>
      </c>
      <c r="C548" s="1" t="s">
        <v>17</v>
      </c>
      <c r="D548" s="1" t="s">
        <v>37</v>
      </c>
      <c r="E548" s="1" t="s">
        <v>25</v>
      </c>
      <c r="F548" s="1" t="s">
        <v>26</v>
      </c>
      <c r="G548" s="1" t="s">
        <v>21</v>
      </c>
      <c r="H548" s="6">
        <v>1</v>
      </c>
      <c r="I548" s="7">
        <v>0</v>
      </c>
      <c r="J548" s="5">
        <v>45915</v>
      </c>
      <c r="K548" s="1" t="s">
        <v>30</v>
      </c>
      <c r="L548" s="8">
        <v>0</v>
      </c>
      <c r="M548" s="6"/>
      <c r="N548" s="6"/>
      <c r="O548" s="9">
        <v>-5.2</v>
      </c>
    </row>
    <row r="549" spans="1:15" ht="19.5" customHeight="1">
      <c r="A549" s="1" t="s">
        <v>501</v>
      </c>
      <c r="B549" s="5">
        <v>45920</v>
      </c>
      <c r="C549" s="1" t="s">
        <v>17</v>
      </c>
      <c r="D549" s="1" t="s">
        <v>18</v>
      </c>
      <c r="E549" s="1" t="s">
        <v>25</v>
      </c>
      <c r="F549" s="1" t="s">
        <v>26</v>
      </c>
      <c r="G549" s="1" t="s">
        <v>21</v>
      </c>
      <c r="H549" s="6">
        <v>1</v>
      </c>
      <c r="I549" s="7">
        <v>0</v>
      </c>
      <c r="J549" s="5">
        <v>45920</v>
      </c>
      <c r="K549" s="1" t="s">
        <v>22</v>
      </c>
      <c r="L549" s="8">
        <v>0</v>
      </c>
      <c r="M549" s="6"/>
      <c r="N549" s="6"/>
      <c r="O549" s="9">
        <v>-3.63</v>
      </c>
    </row>
    <row r="550" spans="1:15" ht="19.5" customHeight="1">
      <c r="A550" s="1" t="s">
        <v>502</v>
      </c>
      <c r="B550" s="5">
        <v>45920</v>
      </c>
      <c r="C550" s="1" t="s">
        <v>28</v>
      </c>
      <c r="D550" s="1" t="s">
        <v>29</v>
      </c>
      <c r="E550" s="1" t="s">
        <v>25</v>
      </c>
      <c r="F550" s="1" t="s">
        <v>26</v>
      </c>
      <c r="G550" s="1" t="s">
        <v>21</v>
      </c>
      <c r="H550" s="6">
        <v>1</v>
      </c>
      <c r="I550" s="7">
        <v>1176</v>
      </c>
      <c r="J550" s="5">
        <v>45919</v>
      </c>
      <c r="K550" s="1" t="s">
        <v>30</v>
      </c>
      <c r="L550" s="8">
        <v>0.2</v>
      </c>
      <c r="M550" s="6"/>
      <c r="N550" s="6"/>
      <c r="O550" s="9">
        <v>-46</v>
      </c>
    </row>
    <row r="551" spans="1:15" ht="19.5" customHeight="1">
      <c r="A551" s="1" t="s">
        <v>502</v>
      </c>
      <c r="B551" s="5">
        <v>45920</v>
      </c>
      <c r="C551" s="1" t="s">
        <v>31</v>
      </c>
      <c r="D551" s="1" t="s">
        <v>32</v>
      </c>
      <c r="E551" s="1" t="s">
        <v>25</v>
      </c>
      <c r="F551" s="1" t="s">
        <v>26</v>
      </c>
      <c r="G551" s="1" t="s">
        <v>21</v>
      </c>
      <c r="H551" s="6">
        <v>1</v>
      </c>
      <c r="I551" s="7">
        <v>1176</v>
      </c>
      <c r="J551" s="5">
        <v>45919</v>
      </c>
      <c r="K551" s="1" t="s">
        <v>30</v>
      </c>
      <c r="L551" s="8">
        <v>0</v>
      </c>
      <c r="M551" s="6"/>
      <c r="N551" s="6"/>
      <c r="O551" s="9">
        <v>584.21</v>
      </c>
    </row>
    <row r="552" spans="1:15" ht="19.5" customHeight="1">
      <c r="A552" s="1" t="s">
        <v>502</v>
      </c>
      <c r="B552" s="5">
        <v>45920</v>
      </c>
      <c r="C552" s="1" t="s">
        <v>31</v>
      </c>
      <c r="D552" s="1" t="s">
        <v>33</v>
      </c>
      <c r="E552" s="1" t="s">
        <v>25</v>
      </c>
      <c r="F552" s="1" t="s">
        <v>26</v>
      </c>
      <c r="G552" s="1" t="s">
        <v>21</v>
      </c>
      <c r="H552" s="6">
        <v>1</v>
      </c>
      <c r="I552" s="7">
        <v>1176</v>
      </c>
      <c r="J552" s="5">
        <v>45919</v>
      </c>
      <c r="K552" s="1" t="s">
        <v>30</v>
      </c>
      <c r="L552" s="8">
        <v>0</v>
      </c>
      <c r="M552" s="6"/>
      <c r="N552" s="6"/>
      <c r="O552" s="9">
        <v>4.29</v>
      </c>
    </row>
    <row r="553" spans="1:15" ht="19.5" customHeight="1">
      <c r="A553" s="1" t="s">
        <v>502</v>
      </c>
      <c r="B553" s="5">
        <v>45920</v>
      </c>
      <c r="C553" s="1" t="s">
        <v>31</v>
      </c>
      <c r="D553" s="1" t="s">
        <v>34</v>
      </c>
      <c r="E553" s="1" t="s">
        <v>25</v>
      </c>
      <c r="F553" s="1" t="s">
        <v>26</v>
      </c>
      <c r="G553" s="1" t="s">
        <v>21</v>
      </c>
      <c r="H553" s="6">
        <v>1</v>
      </c>
      <c r="I553" s="7">
        <v>1176</v>
      </c>
      <c r="J553" s="5">
        <v>45919</v>
      </c>
      <c r="K553" s="1" t="s">
        <v>30</v>
      </c>
      <c r="L553" s="8">
        <v>0</v>
      </c>
      <c r="M553" s="6"/>
      <c r="N553" s="6"/>
      <c r="O553" s="9">
        <v>587.5</v>
      </c>
    </row>
    <row r="554" spans="1:15" ht="19.5" customHeight="1">
      <c r="A554" s="1" t="s">
        <v>502</v>
      </c>
      <c r="B554" s="5">
        <v>45920</v>
      </c>
      <c r="C554" s="1" t="s">
        <v>35</v>
      </c>
      <c r="D554" s="1" t="s">
        <v>36</v>
      </c>
      <c r="E554" s="1" t="s">
        <v>25</v>
      </c>
      <c r="F554" s="1" t="s">
        <v>26</v>
      </c>
      <c r="G554" s="1" t="s">
        <v>21</v>
      </c>
      <c r="H554" s="6">
        <v>1</v>
      </c>
      <c r="I554" s="7">
        <v>1176</v>
      </c>
      <c r="J554" s="5">
        <v>45919</v>
      </c>
      <c r="K554" s="1" t="s">
        <v>30</v>
      </c>
      <c r="L554" s="8">
        <v>0.2</v>
      </c>
      <c r="M554" s="6"/>
      <c r="N554" s="6"/>
      <c r="O554" s="9">
        <v>-235.2</v>
      </c>
    </row>
    <row r="555" spans="1:15" ht="19.5" customHeight="1">
      <c r="A555" s="1" t="s">
        <v>502</v>
      </c>
      <c r="B555" s="5">
        <v>45920</v>
      </c>
      <c r="C555" s="1" t="s">
        <v>17</v>
      </c>
      <c r="D555" s="1" t="s">
        <v>37</v>
      </c>
      <c r="E555" s="1" t="s">
        <v>25</v>
      </c>
      <c r="F555" s="1" t="s">
        <v>26</v>
      </c>
      <c r="G555" s="1" t="s">
        <v>21</v>
      </c>
      <c r="H555" s="6">
        <v>1</v>
      </c>
      <c r="I555" s="7">
        <v>1176</v>
      </c>
      <c r="J555" s="5">
        <v>45919</v>
      </c>
      <c r="K555" s="1" t="s">
        <v>30</v>
      </c>
      <c r="L555" s="8">
        <v>0.2</v>
      </c>
      <c r="M555" s="6"/>
      <c r="N555" s="6"/>
      <c r="O555" s="9">
        <v>-5</v>
      </c>
    </row>
    <row r="556" spans="1:15" ht="19.5" customHeight="1">
      <c r="A556" s="1" t="s">
        <v>459</v>
      </c>
      <c r="B556" s="5">
        <v>45920</v>
      </c>
      <c r="C556" s="1" t="s">
        <v>17</v>
      </c>
      <c r="D556" s="1" t="s">
        <v>18</v>
      </c>
      <c r="E556" s="1" t="s">
        <v>51</v>
      </c>
      <c r="F556" s="1" t="s">
        <v>52</v>
      </c>
      <c r="G556" s="1" t="s">
        <v>41</v>
      </c>
      <c r="H556" s="6">
        <v>1</v>
      </c>
      <c r="I556" s="7">
        <v>0</v>
      </c>
      <c r="J556" s="5">
        <v>45918</v>
      </c>
      <c r="K556" s="1" t="s">
        <v>22</v>
      </c>
      <c r="L556" s="8">
        <v>0</v>
      </c>
      <c r="M556" s="6"/>
      <c r="N556" s="6"/>
      <c r="O556" s="9">
        <v>34.380000000000003</v>
      </c>
    </row>
    <row r="557" spans="1:15" ht="19.5" customHeight="1">
      <c r="A557" s="1" t="s">
        <v>503</v>
      </c>
      <c r="B557" s="5">
        <v>45920</v>
      </c>
      <c r="C557" s="1" t="s">
        <v>28</v>
      </c>
      <c r="D557" s="1" t="s">
        <v>29</v>
      </c>
      <c r="E557" s="1" t="s">
        <v>92</v>
      </c>
      <c r="F557" s="1" t="s">
        <v>93</v>
      </c>
      <c r="G557" s="1" t="s">
        <v>21</v>
      </c>
      <c r="H557" s="6">
        <v>1</v>
      </c>
      <c r="I557" s="7">
        <v>1300</v>
      </c>
      <c r="J557" s="5">
        <v>45918</v>
      </c>
      <c r="K557" s="1" t="s">
        <v>30</v>
      </c>
      <c r="L557" s="8">
        <v>0.2</v>
      </c>
      <c r="M557" s="6"/>
      <c r="N557" s="6"/>
      <c r="O557" s="9">
        <v>-46</v>
      </c>
    </row>
    <row r="558" spans="1:15" ht="19.5" customHeight="1">
      <c r="A558" s="1" t="s">
        <v>503</v>
      </c>
      <c r="B558" s="5">
        <v>45920</v>
      </c>
      <c r="C558" s="1" t="s">
        <v>31</v>
      </c>
      <c r="D558" s="1" t="s">
        <v>32</v>
      </c>
      <c r="E558" s="1" t="s">
        <v>92</v>
      </c>
      <c r="F558" s="1" t="s">
        <v>93</v>
      </c>
      <c r="G558" s="1" t="s">
        <v>21</v>
      </c>
      <c r="H558" s="6">
        <v>1</v>
      </c>
      <c r="I558" s="7">
        <v>1300</v>
      </c>
      <c r="J558" s="5">
        <v>45918</v>
      </c>
      <c r="K558" s="1" t="s">
        <v>30</v>
      </c>
      <c r="L558" s="8">
        <v>0</v>
      </c>
      <c r="M558" s="6"/>
      <c r="N558" s="6"/>
      <c r="O558" s="9">
        <v>769.52</v>
      </c>
    </row>
    <row r="559" spans="1:15" ht="19.5" customHeight="1">
      <c r="A559" s="1" t="s">
        <v>503</v>
      </c>
      <c r="B559" s="5">
        <v>45920</v>
      </c>
      <c r="C559" s="1" t="s">
        <v>31</v>
      </c>
      <c r="D559" s="1" t="s">
        <v>33</v>
      </c>
      <c r="E559" s="1" t="s">
        <v>92</v>
      </c>
      <c r="F559" s="1" t="s">
        <v>93</v>
      </c>
      <c r="G559" s="1" t="s">
        <v>21</v>
      </c>
      <c r="H559" s="6">
        <v>1</v>
      </c>
      <c r="I559" s="7">
        <v>1300</v>
      </c>
      <c r="J559" s="5">
        <v>45918</v>
      </c>
      <c r="K559" s="1" t="s">
        <v>30</v>
      </c>
      <c r="L559" s="8">
        <v>0</v>
      </c>
      <c r="M559" s="6"/>
      <c r="N559" s="6"/>
      <c r="O559" s="9">
        <v>0</v>
      </c>
    </row>
    <row r="560" spans="1:15" ht="19.5" customHeight="1">
      <c r="A560" s="1" t="s">
        <v>503</v>
      </c>
      <c r="B560" s="5">
        <v>45920</v>
      </c>
      <c r="C560" s="1" t="s">
        <v>31</v>
      </c>
      <c r="D560" s="1" t="s">
        <v>34</v>
      </c>
      <c r="E560" s="1" t="s">
        <v>92</v>
      </c>
      <c r="F560" s="1" t="s">
        <v>93</v>
      </c>
      <c r="G560" s="1" t="s">
        <v>21</v>
      </c>
      <c r="H560" s="6">
        <v>1</v>
      </c>
      <c r="I560" s="7">
        <v>1300</v>
      </c>
      <c r="J560" s="5">
        <v>45918</v>
      </c>
      <c r="K560" s="1" t="s">
        <v>30</v>
      </c>
      <c r="L560" s="8">
        <v>0</v>
      </c>
      <c r="M560" s="6"/>
      <c r="N560" s="6"/>
      <c r="O560" s="9">
        <v>530.48</v>
      </c>
    </row>
    <row r="561" spans="1:15" ht="19.5" customHeight="1">
      <c r="A561" s="1" t="s">
        <v>503</v>
      </c>
      <c r="B561" s="5">
        <v>45920</v>
      </c>
      <c r="C561" s="1" t="s">
        <v>35</v>
      </c>
      <c r="D561" s="1" t="s">
        <v>36</v>
      </c>
      <c r="E561" s="1" t="s">
        <v>92</v>
      </c>
      <c r="F561" s="1" t="s">
        <v>93</v>
      </c>
      <c r="G561" s="1" t="s">
        <v>21</v>
      </c>
      <c r="H561" s="6">
        <v>1</v>
      </c>
      <c r="I561" s="7">
        <v>1300</v>
      </c>
      <c r="J561" s="5">
        <v>45918</v>
      </c>
      <c r="K561" s="1" t="s">
        <v>30</v>
      </c>
      <c r="L561" s="8">
        <v>0.2</v>
      </c>
      <c r="M561" s="6"/>
      <c r="N561" s="6"/>
      <c r="O561" s="9">
        <v>-260</v>
      </c>
    </row>
    <row r="562" spans="1:15" ht="19.5" customHeight="1">
      <c r="A562" s="1" t="s">
        <v>503</v>
      </c>
      <c r="B562" s="5">
        <v>45920</v>
      </c>
      <c r="C562" s="1" t="s">
        <v>17</v>
      </c>
      <c r="D562" s="1" t="s">
        <v>37</v>
      </c>
      <c r="E562" s="1" t="s">
        <v>92</v>
      </c>
      <c r="F562" s="1" t="s">
        <v>93</v>
      </c>
      <c r="G562" s="1" t="s">
        <v>21</v>
      </c>
      <c r="H562" s="6">
        <v>1</v>
      </c>
      <c r="I562" s="7">
        <v>1300</v>
      </c>
      <c r="J562" s="5">
        <v>45918</v>
      </c>
      <c r="K562" s="1" t="s">
        <v>30</v>
      </c>
      <c r="L562" s="8">
        <v>0.2</v>
      </c>
      <c r="M562" s="6"/>
      <c r="N562" s="6"/>
      <c r="O562" s="9">
        <v>-10.92</v>
      </c>
    </row>
    <row r="563" spans="1:15" ht="19.5" customHeight="1">
      <c r="A563" s="1" t="s">
        <v>504</v>
      </c>
      <c r="B563" s="5">
        <v>45920</v>
      </c>
      <c r="C563" s="1" t="s">
        <v>28</v>
      </c>
      <c r="D563" s="1" t="s">
        <v>29</v>
      </c>
      <c r="E563" s="1" t="s">
        <v>25</v>
      </c>
      <c r="F563" s="1" t="s">
        <v>26</v>
      </c>
      <c r="G563" s="1" t="s">
        <v>21</v>
      </c>
      <c r="H563" s="6">
        <v>1</v>
      </c>
      <c r="I563" s="7">
        <v>1176</v>
      </c>
      <c r="J563" s="5">
        <v>45918</v>
      </c>
      <c r="K563" s="1" t="s">
        <v>30</v>
      </c>
      <c r="L563" s="8">
        <v>0.2</v>
      </c>
      <c r="M563" s="6"/>
      <c r="N563" s="6"/>
      <c r="O563" s="9">
        <v>-46</v>
      </c>
    </row>
    <row r="564" spans="1:15" ht="19.5" customHeight="1">
      <c r="A564" s="1" t="s">
        <v>504</v>
      </c>
      <c r="B564" s="5">
        <v>45920</v>
      </c>
      <c r="C564" s="1" t="s">
        <v>31</v>
      </c>
      <c r="D564" s="1" t="s">
        <v>32</v>
      </c>
      <c r="E564" s="1" t="s">
        <v>25</v>
      </c>
      <c r="F564" s="1" t="s">
        <v>26</v>
      </c>
      <c r="G564" s="1" t="s">
        <v>21</v>
      </c>
      <c r="H564" s="6">
        <v>1</v>
      </c>
      <c r="I564" s="7">
        <v>1176</v>
      </c>
      <c r="J564" s="5">
        <v>45918</v>
      </c>
      <c r="K564" s="1" t="s">
        <v>30</v>
      </c>
      <c r="L564" s="8">
        <v>0</v>
      </c>
      <c r="M564" s="6"/>
      <c r="N564" s="6"/>
      <c r="O564" s="9">
        <v>581.44000000000005</v>
      </c>
    </row>
    <row r="565" spans="1:15" ht="19.5" customHeight="1">
      <c r="A565" s="1" t="s">
        <v>504</v>
      </c>
      <c r="B565" s="5">
        <v>45920</v>
      </c>
      <c r="C565" s="1" t="s">
        <v>31</v>
      </c>
      <c r="D565" s="1" t="s">
        <v>33</v>
      </c>
      <c r="E565" s="1" t="s">
        <v>25</v>
      </c>
      <c r="F565" s="1" t="s">
        <v>26</v>
      </c>
      <c r="G565" s="1" t="s">
        <v>21</v>
      </c>
      <c r="H565" s="6">
        <v>1</v>
      </c>
      <c r="I565" s="7">
        <v>1176</v>
      </c>
      <c r="J565" s="5">
        <v>45918</v>
      </c>
      <c r="K565" s="1" t="s">
        <v>30</v>
      </c>
      <c r="L565" s="8">
        <v>0</v>
      </c>
      <c r="M565" s="6"/>
      <c r="N565" s="6"/>
      <c r="O565" s="9">
        <v>4.2699999999999996</v>
      </c>
    </row>
    <row r="566" spans="1:15" ht="19.5" customHeight="1">
      <c r="A566" s="1" t="s">
        <v>504</v>
      </c>
      <c r="B566" s="5">
        <v>45920</v>
      </c>
      <c r="C566" s="1" t="s">
        <v>31</v>
      </c>
      <c r="D566" s="1" t="s">
        <v>34</v>
      </c>
      <c r="E566" s="1" t="s">
        <v>25</v>
      </c>
      <c r="F566" s="1" t="s">
        <v>26</v>
      </c>
      <c r="G566" s="1" t="s">
        <v>21</v>
      </c>
      <c r="H566" s="6">
        <v>1</v>
      </c>
      <c r="I566" s="7">
        <v>1176</v>
      </c>
      <c r="J566" s="5">
        <v>45918</v>
      </c>
      <c r="K566" s="1" t="s">
        <v>30</v>
      </c>
      <c r="L566" s="8">
        <v>0</v>
      </c>
      <c r="M566" s="6"/>
      <c r="N566" s="6"/>
      <c r="O566" s="9">
        <v>590.29</v>
      </c>
    </row>
    <row r="567" spans="1:15" ht="19.5" customHeight="1">
      <c r="A567" s="1" t="s">
        <v>504</v>
      </c>
      <c r="B567" s="5">
        <v>45920</v>
      </c>
      <c r="C567" s="1" t="s">
        <v>35</v>
      </c>
      <c r="D567" s="1" t="s">
        <v>36</v>
      </c>
      <c r="E567" s="1" t="s">
        <v>25</v>
      </c>
      <c r="F567" s="1" t="s">
        <v>26</v>
      </c>
      <c r="G567" s="1" t="s">
        <v>21</v>
      </c>
      <c r="H567" s="6">
        <v>1</v>
      </c>
      <c r="I567" s="7">
        <v>1176</v>
      </c>
      <c r="J567" s="5">
        <v>45918</v>
      </c>
      <c r="K567" s="1" t="s">
        <v>30</v>
      </c>
      <c r="L567" s="8">
        <v>0.2</v>
      </c>
      <c r="M567" s="6"/>
      <c r="N567" s="6"/>
      <c r="O567" s="9">
        <v>-235.2</v>
      </c>
    </row>
    <row r="568" spans="1:15" ht="19.5" customHeight="1">
      <c r="A568" s="1" t="s">
        <v>504</v>
      </c>
      <c r="B568" s="5">
        <v>45920</v>
      </c>
      <c r="C568" s="1" t="s">
        <v>17</v>
      </c>
      <c r="D568" s="1" t="s">
        <v>37</v>
      </c>
      <c r="E568" s="1" t="s">
        <v>25</v>
      </c>
      <c r="F568" s="1" t="s">
        <v>26</v>
      </c>
      <c r="G568" s="1" t="s">
        <v>21</v>
      </c>
      <c r="H568" s="6">
        <v>1</v>
      </c>
      <c r="I568" s="7">
        <v>1176</v>
      </c>
      <c r="J568" s="5">
        <v>45918</v>
      </c>
      <c r="K568" s="1" t="s">
        <v>30</v>
      </c>
      <c r="L568" s="8">
        <v>0.2</v>
      </c>
      <c r="M568" s="6"/>
      <c r="N568" s="6"/>
      <c r="O568" s="9">
        <v>-4.87</v>
      </c>
    </row>
    <row r="569" spans="1:15" ht="19.5" customHeight="1">
      <c r="A569" s="1" t="s">
        <v>505</v>
      </c>
      <c r="B569" s="5">
        <v>45920</v>
      </c>
      <c r="C569" s="1" t="s">
        <v>28</v>
      </c>
      <c r="D569" s="1" t="s">
        <v>29</v>
      </c>
      <c r="E569" s="1" t="s">
        <v>25</v>
      </c>
      <c r="F569" s="1" t="s">
        <v>26</v>
      </c>
      <c r="G569" s="1" t="s">
        <v>21</v>
      </c>
      <c r="H569" s="6">
        <v>1</v>
      </c>
      <c r="I569" s="7">
        <v>0</v>
      </c>
      <c r="J569" s="5">
        <v>45916</v>
      </c>
      <c r="K569" s="1" t="s">
        <v>30</v>
      </c>
      <c r="L569" s="8">
        <v>0</v>
      </c>
      <c r="M569" s="6"/>
      <c r="N569" s="6"/>
      <c r="O569" s="9">
        <v>-46</v>
      </c>
    </row>
    <row r="570" spans="1:15" ht="19.5" customHeight="1">
      <c r="A570" s="1" t="s">
        <v>505</v>
      </c>
      <c r="B570" s="5">
        <v>45920</v>
      </c>
      <c r="C570" s="1" t="s">
        <v>17</v>
      </c>
      <c r="D570" s="1" t="s">
        <v>37</v>
      </c>
      <c r="E570" s="1" t="s">
        <v>25</v>
      </c>
      <c r="F570" s="1" t="s">
        <v>26</v>
      </c>
      <c r="G570" s="1" t="s">
        <v>21</v>
      </c>
      <c r="H570" s="6">
        <v>1</v>
      </c>
      <c r="I570" s="7">
        <v>0</v>
      </c>
      <c r="J570" s="5">
        <v>45916</v>
      </c>
      <c r="K570" s="1" t="s">
        <v>30</v>
      </c>
      <c r="L570" s="8">
        <v>0</v>
      </c>
      <c r="M570" s="6"/>
      <c r="N570" s="6"/>
      <c r="O570" s="9">
        <v>-4.16</v>
      </c>
    </row>
    <row r="571" spans="1:15" ht="19.5" customHeight="1">
      <c r="A571" s="1" t="s">
        <v>506</v>
      </c>
      <c r="B571" s="5">
        <v>45920</v>
      </c>
      <c r="C571" s="1" t="s">
        <v>28</v>
      </c>
      <c r="D571" s="1" t="s">
        <v>29</v>
      </c>
      <c r="E571" s="1" t="s">
        <v>92</v>
      </c>
      <c r="F571" s="1" t="s">
        <v>93</v>
      </c>
      <c r="G571" s="1" t="s">
        <v>21</v>
      </c>
      <c r="H571" s="6">
        <v>1</v>
      </c>
      <c r="I571" s="7">
        <v>1300</v>
      </c>
      <c r="J571" s="5">
        <v>45918</v>
      </c>
      <c r="K571" s="1" t="s">
        <v>30</v>
      </c>
      <c r="L571" s="8">
        <v>0.2</v>
      </c>
      <c r="M571" s="6"/>
      <c r="N571" s="6"/>
      <c r="O571" s="9">
        <v>-46</v>
      </c>
    </row>
    <row r="572" spans="1:15" ht="19.5" customHeight="1">
      <c r="A572" s="1" t="s">
        <v>506</v>
      </c>
      <c r="B572" s="5">
        <v>45920</v>
      </c>
      <c r="C572" s="1" t="s">
        <v>31</v>
      </c>
      <c r="D572" s="1" t="s">
        <v>32</v>
      </c>
      <c r="E572" s="1" t="s">
        <v>92</v>
      </c>
      <c r="F572" s="1" t="s">
        <v>93</v>
      </c>
      <c r="G572" s="1" t="s">
        <v>21</v>
      </c>
      <c r="H572" s="6">
        <v>1</v>
      </c>
      <c r="I572" s="7">
        <v>1300</v>
      </c>
      <c r="J572" s="5">
        <v>45918</v>
      </c>
      <c r="K572" s="1" t="s">
        <v>30</v>
      </c>
      <c r="L572" s="8">
        <v>0</v>
      </c>
      <c r="M572" s="6"/>
      <c r="N572" s="6"/>
      <c r="O572" s="9">
        <v>679.05</v>
      </c>
    </row>
    <row r="573" spans="1:15" ht="19.5" customHeight="1">
      <c r="A573" s="1" t="s">
        <v>506</v>
      </c>
      <c r="B573" s="5">
        <v>45920</v>
      </c>
      <c r="C573" s="1" t="s">
        <v>31</v>
      </c>
      <c r="D573" s="1" t="s">
        <v>33</v>
      </c>
      <c r="E573" s="1" t="s">
        <v>92</v>
      </c>
      <c r="F573" s="1" t="s">
        <v>93</v>
      </c>
      <c r="G573" s="1" t="s">
        <v>21</v>
      </c>
      <c r="H573" s="6">
        <v>1</v>
      </c>
      <c r="I573" s="7">
        <v>1300</v>
      </c>
      <c r="J573" s="5">
        <v>45918</v>
      </c>
      <c r="K573" s="1" t="s">
        <v>30</v>
      </c>
      <c r="L573" s="8">
        <v>0</v>
      </c>
      <c r="M573" s="6"/>
      <c r="N573" s="6"/>
      <c r="O573" s="9">
        <v>4.99</v>
      </c>
    </row>
    <row r="574" spans="1:15" ht="19.5" customHeight="1">
      <c r="A574" s="1" t="s">
        <v>506</v>
      </c>
      <c r="B574" s="5">
        <v>45920</v>
      </c>
      <c r="C574" s="1" t="s">
        <v>31</v>
      </c>
      <c r="D574" s="1" t="s">
        <v>34</v>
      </c>
      <c r="E574" s="1" t="s">
        <v>92</v>
      </c>
      <c r="F574" s="1" t="s">
        <v>93</v>
      </c>
      <c r="G574" s="1" t="s">
        <v>21</v>
      </c>
      <c r="H574" s="6">
        <v>1</v>
      </c>
      <c r="I574" s="7">
        <v>1300</v>
      </c>
      <c r="J574" s="5">
        <v>45918</v>
      </c>
      <c r="K574" s="1" t="s">
        <v>30</v>
      </c>
      <c r="L574" s="8">
        <v>0</v>
      </c>
      <c r="M574" s="6"/>
      <c r="N574" s="6"/>
      <c r="O574" s="9">
        <v>615.96</v>
      </c>
    </row>
    <row r="575" spans="1:15" ht="19.5" customHeight="1">
      <c r="A575" s="1" t="s">
        <v>506</v>
      </c>
      <c r="B575" s="5">
        <v>45920</v>
      </c>
      <c r="C575" s="1" t="s">
        <v>35</v>
      </c>
      <c r="D575" s="1" t="s">
        <v>36</v>
      </c>
      <c r="E575" s="1" t="s">
        <v>92</v>
      </c>
      <c r="F575" s="1" t="s">
        <v>93</v>
      </c>
      <c r="G575" s="1" t="s">
        <v>21</v>
      </c>
      <c r="H575" s="6">
        <v>1</v>
      </c>
      <c r="I575" s="7">
        <v>1300</v>
      </c>
      <c r="J575" s="5">
        <v>45918</v>
      </c>
      <c r="K575" s="1" t="s">
        <v>30</v>
      </c>
      <c r="L575" s="8">
        <v>0.2</v>
      </c>
      <c r="M575" s="6"/>
      <c r="N575" s="6"/>
      <c r="O575" s="9">
        <v>-260</v>
      </c>
    </row>
    <row r="576" spans="1:15" ht="19.5" customHeight="1">
      <c r="A576" s="1" t="s">
        <v>506</v>
      </c>
      <c r="B576" s="5">
        <v>45920</v>
      </c>
      <c r="C576" s="1" t="s">
        <v>17</v>
      </c>
      <c r="D576" s="1" t="s">
        <v>37</v>
      </c>
      <c r="E576" s="1" t="s">
        <v>92</v>
      </c>
      <c r="F576" s="1" t="s">
        <v>93</v>
      </c>
      <c r="G576" s="1" t="s">
        <v>21</v>
      </c>
      <c r="H576" s="6">
        <v>1</v>
      </c>
      <c r="I576" s="7">
        <v>1300</v>
      </c>
      <c r="J576" s="5">
        <v>45918</v>
      </c>
      <c r="K576" s="1" t="s">
        <v>30</v>
      </c>
      <c r="L576" s="8">
        <v>0.2</v>
      </c>
      <c r="M576" s="6"/>
      <c r="N576" s="6"/>
      <c r="O576" s="9">
        <v>-5.47</v>
      </c>
    </row>
    <row r="577" spans="1:15" ht="19.5" customHeight="1">
      <c r="A577" s="1" t="s">
        <v>505</v>
      </c>
      <c r="B577" s="5">
        <v>45920</v>
      </c>
      <c r="C577" s="1" t="s">
        <v>28</v>
      </c>
      <c r="D577" s="1" t="s">
        <v>356</v>
      </c>
      <c r="E577" s="1" t="s">
        <v>25</v>
      </c>
      <c r="F577" s="1" t="s">
        <v>26</v>
      </c>
      <c r="G577" s="1" t="s">
        <v>21</v>
      </c>
      <c r="H577" s="6">
        <v>1</v>
      </c>
      <c r="I577" s="7">
        <v>0</v>
      </c>
      <c r="J577" s="5">
        <v>45916</v>
      </c>
      <c r="K577" s="1" t="s">
        <v>30</v>
      </c>
      <c r="L577" s="8">
        <v>0</v>
      </c>
      <c r="M577" s="6"/>
      <c r="N577" s="6"/>
      <c r="O577" s="9">
        <v>0</v>
      </c>
    </row>
    <row r="578" spans="1:15" ht="19.5" customHeight="1">
      <c r="A578" s="1" t="s">
        <v>505</v>
      </c>
      <c r="B578" s="5">
        <v>45920</v>
      </c>
      <c r="C578" s="1" t="s">
        <v>28</v>
      </c>
      <c r="D578" s="1" t="s">
        <v>46</v>
      </c>
      <c r="E578" s="1" t="s">
        <v>25</v>
      </c>
      <c r="F578" s="1" t="s">
        <v>26</v>
      </c>
      <c r="G578" s="1" t="s">
        <v>21</v>
      </c>
      <c r="H578" s="6">
        <v>1</v>
      </c>
      <c r="I578" s="7">
        <v>0</v>
      </c>
      <c r="J578" s="5">
        <v>45916</v>
      </c>
      <c r="K578" s="1" t="s">
        <v>30</v>
      </c>
      <c r="L578" s="8">
        <v>0</v>
      </c>
      <c r="M578" s="6"/>
      <c r="N578" s="6"/>
      <c r="O578" s="9">
        <v>-46</v>
      </c>
    </row>
    <row r="579" spans="1:15" ht="19.5" customHeight="1">
      <c r="A579" s="1" t="s">
        <v>505</v>
      </c>
      <c r="B579" s="5">
        <v>45920</v>
      </c>
      <c r="C579" s="1" t="s">
        <v>17</v>
      </c>
      <c r="D579" s="1" t="s">
        <v>47</v>
      </c>
      <c r="E579" s="1" t="s">
        <v>25</v>
      </c>
      <c r="F579" s="1" t="s">
        <v>26</v>
      </c>
      <c r="G579" s="1" t="s">
        <v>21</v>
      </c>
      <c r="H579" s="6">
        <v>1</v>
      </c>
      <c r="I579" s="7">
        <v>0</v>
      </c>
      <c r="J579" s="5">
        <v>45916</v>
      </c>
      <c r="K579" s="1" t="s">
        <v>30</v>
      </c>
      <c r="L579" s="8">
        <v>0</v>
      </c>
      <c r="M579" s="6"/>
      <c r="N579" s="6"/>
      <c r="O579" s="9">
        <v>-15</v>
      </c>
    </row>
    <row r="580" spans="1:15" ht="19.5" customHeight="1">
      <c r="A580" s="1" t="s">
        <v>507</v>
      </c>
      <c r="B580" s="5">
        <v>45920</v>
      </c>
      <c r="C580" s="1" t="s">
        <v>28</v>
      </c>
      <c r="D580" s="1" t="s">
        <v>29</v>
      </c>
      <c r="E580" s="1" t="s">
        <v>25</v>
      </c>
      <c r="F580" s="1" t="s">
        <v>26</v>
      </c>
      <c r="G580" s="1" t="s">
        <v>21</v>
      </c>
      <c r="H580" s="6">
        <v>1</v>
      </c>
      <c r="I580" s="7">
        <v>1176</v>
      </c>
      <c r="J580" s="5">
        <v>45918</v>
      </c>
      <c r="K580" s="1" t="s">
        <v>30</v>
      </c>
      <c r="L580" s="8">
        <v>0.2</v>
      </c>
      <c r="M580" s="6"/>
      <c r="N580" s="6"/>
      <c r="O580" s="9">
        <v>-46</v>
      </c>
    </row>
    <row r="581" spans="1:15" ht="19.5" customHeight="1">
      <c r="A581" s="1" t="s">
        <v>507</v>
      </c>
      <c r="B581" s="5">
        <v>45920</v>
      </c>
      <c r="C581" s="1" t="s">
        <v>31</v>
      </c>
      <c r="D581" s="1" t="s">
        <v>32</v>
      </c>
      <c r="E581" s="1" t="s">
        <v>25</v>
      </c>
      <c r="F581" s="1" t="s">
        <v>26</v>
      </c>
      <c r="G581" s="1" t="s">
        <v>21</v>
      </c>
      <c r="H581" s="6">
        <v>1</v>
      </c>
      <c r="I581" s="7">
        <v>1176</v>
      </c>
      <c r="J581" s="5">
        <v>45918</v>
      </c>
      <c r="K581" s="1" t="s">
        <v>30</v>
      </c>
      <c r="L581" s="8">
        <v>0</v>
      </c>
      <c r="M581" s="6"/>
      <c r="N581" s="6"/>
      <c r="O581" s="9">
        <v>556.19000000000005</v>
      </c>
    </row>
    <row r="582" spans="1:15" ht="19.5" customHeight="1">
      <c r="A582" s="1" t="s">
        <v>507</v>
      </c>
      <c r="B582" s="5">
        <v>45920</v>
      </c>
      <c r="C582" s="1" t="s">
        <v>31</v>
      </c>
      <c r="D582" s="1" t="s">
        <v>33</v>
      </c>
      <c r="E582" s="1" t="s">
        <v>25</v>
      </c>
      <c r="F582" s="1" t="s">
        <v>26</v>
      </c>
      <c r="G582" s="1" t="s">
        <v>21</v>
      </c>
      <c r="H582" s="6">
        <v>1</v>
      </c>
      <c r="I582" s="7">
        <v>1176</v>
      </c>
      <c r="J582" s="5">
        <v>45918</v>
      </c>
      <c r="K582" s="1" t="s">
        <v>30</v>
      </c>
      <c r="L582" s="8">
        <v>0</v>
      </c>
      <c r="M582" s="6"/>
      <c r="N582" s="6"/>
      <c r="O582" s="9">
        <v>34.799999999999997</v>
      </c>
    </row>
    <row r="583" spans="1:15" ht="19.5" customHeight="1">
      <c r="A583" s="1" t="s">
        <v>507</v>
      </c>
      <c r="B583" s="5">
        <v>45920</v>
      </c>
      <c r="C583" s="1" t="s">
        <v>31</v>
      </c>
      <c r="D583" s="1" t="s">
        <v>34</v>
      </c>
      <c r="E583" s="1" t="s">
        <v>25</v>
      </c>
      <c r="F583" s="1" t="s">
        <v>26</v>
      </c>
      <c r="G583" s="1" t="s">
        <v>21</v>
      </c>
      <c r="H583" s="6">
        <v>1</v>
      </c>
      <c r="I583" s="7">
        <v>1176</v>
      </c>
      <c r="J583" s="5">
        <v>45918</v>
      </c>
      <c r="K583" s="1" t="s">
        <v>30</v>
      </c>
      <c r="L583" s="8">
        <v>0</v>
      </c>
      <c r="M583" s="6"/>
      <c r="N583" s="6"/>
      <c r="O583" s="9">
        <v>585.01</v>
      </c>
    </row>
    <row r="584" spans="1:15" ht="19.5" customHeight="1">
      <c r="A584" s="1" t="s">
        <v>507</v>
      </c>
      <c r="B584" s="5">
        <v>45920</v>
      </c>
      <c r="C584" s="1" t="s">
        <v>35</v>
      </c>
      <c r="D584" s="1" t="s">
        <v>36</v>
      </c>
      <c r="E584" s="1" t="s">
        <v>25</v>
      </c>
      <c r="F584" s="1" t="s">
        <v>26</v>
      </c>
      <c r="G584" s="1" t="s">
        <v>21</v>
      </c>
      <c r="H584" s="6">
        <v>1</v>
      </c>
      <c r="I584" s="7">
        <v>1176</v>
      </c>
      <c r="J584" s="5">
        <v>45918</v>
      </c>
      <c r="K584" s="1" t="s">
        <v>30</v>
      </c>
      <c r="L584" s="8">
        <v>0.2</v>
      </c>
      <c r="M584" s="6"/>
      <c r="N584" s="6"/>
      <c r="O584" s="9">
        <v>-235.2</v>
      </c>
    </row>
    <row r="585" spans="1:15" ht="19.5" customHeight="1">
      <c r="A585" s="1" t="s">
        <v>507</v>
      </c>
      <c r="B585" s="5">
        <v>45920</v>
      </c>
      <c r="C585" s="1" t="s">
        <v>17</v>
      </c>
      <c r="D585" s="1" t="s">
        <v>37</v>
      </c>
      <c r="E585" s="1" t="s">
        <v>25</v>
      </c>
      <c r="F585" s="1" t="s">
        <v>26</v>
      </c>
      <c r="G585" s="1" t="s">
        <v>21</v>
      </c>
      <c r="H585" s="6">
        <v>1</v>
      </c>
      <c r="I585" s="7">
        <v>1176</v>
      </c>
      <c r="J585" s="5">
        <v>45918</v>
      </c>
      <c r="K585" s="1" t="s">
        <v>30</v>
      </c>
      <c r="L585" s="8">
        <v>0.2</v>
      </c>
      <c r="M585" s="6"/>
      <c r="N585" s="6"/>
      <c r="O585" s="9">
        <v>-4.04</v>
      </c>
    </row>
    <row r="586" spans="1:15" ht="19.5" customHeight="1">
      <c r="A586" s="1" t="s">
        <v>508</v>
      </c>
      <c r="B586" s="5">
        <v>45920</v>
      </c>
      <c r="C586" s="1" t="s">
        <v>28</v>
      </c>
      <c r="D586" s="1" t="s">
        <v>29</v>
      </c>
      <c r="E586" s="1" t="s">
        <v>88</v>
      </c>
      <c r="F586" s="1" t="s">
        <v>89</v>
      </c>
      <c r="G586" s="1" t="s">
        <v>21</v>
      </c>
      <c r="H586" s="6">
        <v>1</v>
      </c>
      <c r="I586" s="7">
        <v>1392</v>
      </c>
      <c r="J586" s="5">
        <v>45919</v>
      </c>
      <c r="K586" s="1" t="s">
        <v>30</v>
      </c>
      <c r="L586" s="8">
        <v>0.2</v>
      </c>
      <c r="M586" s="6"/>
      <c r="N586" s="6"/>
      <c r="O586" s="9">
        <v>-46</v>
      </c>
    </row>
    <row r="587" spans="1:15" ht="19.5" customHeight="1">
      <c r="A587" s="1" t="s">
        <v>508</v>
      </c>
      <c r="B587" s="5">
        <v>45920</v>
      </c>
      <c r="C587" s="1" t="s">
        <v>31</v>
      </c>
      <c r="D587" s="1" t="s">
        <v>32</v>
      </c>
      <c r="E587" s="1" t="s">
        <v>88</v>
      </c>
      <c r="F587" s="1" t="s">
        <v>89</v>
      </c>
      <c r="G587" s="1" t="s">
        <v>21</v>
      </c>
      <c r="H587" s="6">
        <v>1</v>
      </c>
      <c r="I587" s="7">
        <v>1392</v>
      </c>
      <c r="J587" s="5">
        <v>45919</v>
      </c>
      <c r="K587" s="1" t="s">
        <v>30</v>
      </c>
      <c r="L587" s="8">
        <v>0</v>
      </c>
      <c r="M587" s="6"/>
      <c r="N587" s="6"/>
      <c r="O587" s="9">
        <v>705.43</v>
      </c>
    </row>
    <row r="588" spans="1:15" ht="19.5" customHeight="1">
      <c r="A588" s="1" t="s">
        <v>508</v>
      </c>
      <c r="B588" s="5">
        <v>45920</v>
      </c>
      <c r="C588" s="1" t="s">
        <v>31</v>
      </c>
      <c r="D588" s="1" t="s">
        <v>33</v>
      </c>
      <c r="E588" s="1" t="s">
        <v>88</v>
      </c>
      <c r="F588" s="1" t="s">
        <v>89</v>
      </c>
      <c r="G588" s="1" t="s">
        <v>21</v>
      </c>
      <c r="H588" s="6">
        <v>1</v>
      </c>
      <c r="I588" s="7">
        <v>1392</v>
      </c>
      <c r="J588" s="5">
        <v>45919</v>
      </c>
      <c r="K588" s="1" t="s">
        <v>30</v>
      </c>
      <c r="L588" s="8">
        <v>0</v>
      </c>
      <c r="M588" s="6"/>
      <c r="N588" s="6"/>
      <c r="O588" s="9">
        <v>0</v>
      </c>
    </row>
    <row r="589" spans="1:15" ht="19.5" customHeight="1">
      <c r="A589" s="1" t="s">
        <v>508</v>
      </c>
      <c r="B589" s="5">
        <v>45920</v>
      </c>
      <c r="C589" s="1" t="s">
        <v>31</v>
      </c>
      <c r="D589" s="1" t="s">
        <v>34</v>
      </c>
      <c r="E589" s="1" t="s">
        <v>88</v>
      </c>
      <c r="F589" s="1" t="s">
        <v>89</v>
      </c>
      <c r="G589" s="1" t="s">
        <v>21</v>
      </c>
      <c r="H589" s="6">
        <v>1</v>
      </c>
      <c r="I589" s="7">
        <v>1392</v>
      </c>
      <c r="J589" s="5">
        <v>45919</v>
      </c>
      <c r="K589" s="1" t="s">
        <v>30</v>
      </c>
      <c r="L589" s="8">
        <v>0</v>
      </c>
      <c r="M589" s="6"/>
      <c r="N589" s="6"/>
      <c r="O589" s="9">
        <v>686.57</v>
      </c>
    </row>
    <row r="590" spans="1:15" ht="19.5" customHeight="1">
      <c r="A590" s="1" t="s">
        <v>508</v>
      </c>
      <c r="B590" s="5">
        <v>45920</v>
      </c>
      <c r="C590" s="1" t="s">
        <v>35</v>
      </c>
      <c r="D590" s="1" t="s">
        <v>36</v>
      </c>
      <c r="E590" s="1" t="s">
        <v>88</v>
      </c>
      <c r="F590" s="1" t="s">
        <v>89</v>
      </c>
      <c r="G590" s="1" t="s">
        <v>21</v>
      </c>
      <c r="H590" s="6">
        <v>1</v>
      </c>
      <c r="I590" s="7">
        <v>1392</v>
      </c>
      <c r="J590" s="5">
        <v>45919</v>
      </c>
      <c r="K590" s="1" t="s">
        <v>30</v>
      </c>
      <c r="L590" s="8">
        <v>0.2</v>
      </c>
      <c r="M590" s="6"/>
      <c r="N590" s="6"/>
      <c r="O590" s="9">
        <v>-278.39999999999998</v>
      </c>
    </row>
    <row r="591" spans="1:15" ht="19.5" customHeight="1">
      <c r="A591" s="1" t="s">
        <v>508</v>
      </c>
      <c r="B591" s="5">
        <v>45920</v>
      </c>
      <c r="C591" s="1" t="s">
        <v>17</v>
      </c>
      <c r="D591" s="1" t="s">
        <v>37</v>
      </c>
      <c r="E591" s="1" t="s">
        <v>88</v>
      </c>
      <c r="F591" s="1" t="s">
        <v>89</v>
      </c>
      <c r="G591" s="1" t="s">
        <v>21</v>
      </c>
      <c r="H591" s="6">
        <v>1</v>
      </c>
      <c r="I591" s="7">
        <v>1392</v>
      </c>
      <c r="J591" s="5">
        <v>45919</v>
      </c>
      <c r="K591" s="1" t="s">
        <v>30</v>
      </c>
      <c r="L591" s="8">
        <v>0.2</v>
      </c>
      <c r="M591" s="6"/>
      <c r="N591" s="6"/>
      <c r="O591" s="9">
        <v>-6.35</v>
      </c>
    </row>
    <row r="592" spans="1:15" ht="19.5" customHeight="1">
      <c r="A592" s="1" t="s">
        <v>508</v>
      </c>
      <c r="B592" s="5">
        <v>45920</v>
      </c>
      <c r="C592" s="1" t="s">
        <v>17</v>
      </c>
      <c r="D592" s="1" t="s">
        <v>18</v>
      </c>
      <c r="E592" s="1" t="s">
        <v>88</v>
      </c>
      <c r="F592" s="1" t="s">
        <v>89</v>
      </c>
      <c r="G592" s="1" t="s">
        <v>21</v>
      </c>
      <c r="H592" s="6">
        <v>1</v>
      </c>
      <c r="I592" s="7">
        <v>0</v>
      </c>
      <c r="J592" s="5">
        <v>45919</v>
      </c>
      <c r="K592" s="1" t="s">
        <v>22</v>
      </c>
      <c r="L592" s="8">
        <v>0</v>
      </c>
      <c r="M592" s="6"/>
      <c r="N592" s="6"/>
      <c r="O592" s="9">
        <v>-5.5</v>
      </c>
    </row>
    <row r="593" spans="1:15" ht="19.5" customHeight="1">
      <c r="A593" s="1" t="s">
        <v>509</v>
      </c>
      <c r="B593" s="5">
        <v>45920</v>
      </c>
      <c r="C593" s="1" t="s">
        <v>17</v>
      </c>
      <c r="D593" s="1" t="s">
        <v>18</v>
      </c>
      <c r="E593" s="1" t="s">
        <v>25</v>
      </c>
      <c r="F593" s="1" t="s">
        <v>26</v>
      </c>
      <c r="G593" s="1" t="s">
        <v>21</v>
      </c>
      <c r="H593" s="6">
        <v>1</v>
      </c>
      <c r="I593" s="7">
        <v>0</v>
      </c>
      <c r="J593" s="5">
        <v>45920</v>
      </c>
      <c r="K593" s="1" t="s">
        <v>22</v>
      </c>
      <c r="L593" s="8">
        <v>0</v>
      </c>
      <c r="M593" s="6"/>
      <c r="N593" s="6"/>
      <c r="O593" s="9">
        <v>-11.44</v>
      </c>
    </row>
    <row r="594" spans="1:15" ht="19.5" customHeight="1">
      <c r="A594" s="1" t="s">
        <v>510</v>
      </c>
      <c r="B594" s="5">
        <v>45920</v>
      </c>
      <c r="C594" s="1" t="s">
        <v>28</v>
      </c>
      <c r="D594" s="1" t="s">
        <v>29</v>
      </c>
      <c r="E594" s="1" t="s">
        <v>25</v>
      </c>
      <c r="F594" s="1" t="s">
        <v>26</v>
      </c>
      <c r="G594" s="1" t="s">
        <v>21</v>
      </c>
      <c r="H594" s="6">
        <v>1</v>
      </c>
      <c r="I594" s="7">
        <v>1176</v>
      </c>
      <c r="J594" s="5">
        <v>45918</v>
      </c>
      <c r="K594" s="1" t="s">
        <v>30</v>
      </c>
      <c r="L594" s="8">
        <v>0.2</v>
      </c>
      <c r="M594" s="6"/>
      <c r="N594" s="6"/>
      <c r="O594" s="9">
        <v>-46</v>
      </c>
    </row>
    <row r="595" spans="1:15" ht="19.5" customHeight="1">
      <c r="A595" s="1" t="s">
        <v>510</v>
      </c>
      <c r="B595" s="5">
        <v>45920</v>
      </c>
      <c r="C595" s="1" t="s">
        <v>31</v>
      </c>
      <c r="D595" s="1" t="s">
        <v>32</v>
      </c>
      <c r="E595" s="1" t="s">
        <v>25</v>
      </c>
      <c r="F595" s="1" t="s">
        <v>26</v>
      </c>
      <c r="G595" s="1" t="s">
        <v>21</v>
      </c>
      <c r="H595" s="6">
        <v>1</v>
      </c>
      <c r="I595" s="7">
        <v>1176</v>
      </c>
      <c r="J595" s="5">
        <v>45918</v>
      </c>
      <c r="K595" s="1" t="s">
        <v>30</v>
      </c>
      <c r="L595" s="8">
        <v>0</v>
      </c>
      <c r="M595" s="6"/>
      <c r="N595" s="6"/>
      <c r="O595" s="9">
        <v>616.19000000000005</v>
      </c>
    </row>
    <row r="596" spans="1:15" ht="19.5" customHeight="1">
      <c r="A596" s="1" t="s">
        <v>510</v>
      </c>
      <c r="B596" s="5">
        <v>45920</v>
      </c>
      <c r="C596" s="1" t="s">
        <v>31</v>
      </c>
      <c r="D596" s="1" t="s">
        <v>33</v>
      </c>
      <c r="E596" s="1" t="s">
        <v>25</v>
      </c>
      <c r="F596" s="1" t="s">
        <v>26</v>
      </c>
      <c r="G596" s="1" t="s">
        <v>21</v>
      </c>
      <c r="H596" s="6">
        <v>1</v>
      </c>
      <c r="I596" s="7">
        <v>1176</v>
      </c>
      <c r="J596" s="5">
        <v>45918</v>
      </c>
      <c r="K596" s="1" t="s">
        <v>30</v>
      </c>
      <c r="L596" s="8">
        <v>0</v>
      </c>
      <c r="M596" s="6"/>
      <c r="N596" s="6"/>
      <c r="O596" s="9">
        <v>4.53</v>
      </c>
    </row>
    <row r="597" spans="1:15" ht="19.5" customHeight="1">
      <c r="A597" s="1" t="s">
        <v>510</v>
      </c>
      <c r="B597" s="5">
        <v>45920</v>
      </c>
      <c r="C597" s="1" t="s">
        <v>31</v>
      </c>
      <c r="D597" s="1" t="s">
        <v>34</v>
      </c>
      <c r="E597" s="1" t="s">
        <v>25</v>
      </c>
      <c r="F597" s="1" t="s">
        <v>26</v>
      </c>
      <c r="G597" s="1" t="s">
        <v>21</v>
      </c>
      <c r="H597" s="6">
        <v>1</v>
      </c>
      <c r="I597" s="7">
        <v>1176</v>
      </c>
      <c r="J597" s="5">
        <v>45918</v>
      </c>
      <c r="K597" s="1" t="s">
        <v>30</v>
      </c>
      <c r="L597" s="8">
        <v>0</v>
      </c>
      <c r="M597" s="6"/>
      <c r="N597" s="6"/>
      <c r="O597" s="9">
        <v>555.28</v>
      </c>
    </row>
    <row r="598" spans="1:15" ht="19.5" customHeight="1">
      <c r="A598" s="1" t="s">
        <v>510</v>
      </c>
      <c r="B598" s="5">
        <v>45920</v>
      </c>
      <c r="C598" s="1" t="s">
        <v>35</v>
      </c>
      <c r="D598" s="1" t="s">
        <v>36</v>
      </c>
      <c r="E598" s="1" t="s">
        <v>25</v>
      </c>
      <c r="F598" s="1" t="s">
        <v>26</v>
      </c>
      <c r="G598" s="1" t="s">
        <v>21</v>
      </c>
      <c r="H598" s="6">
        <v>1</v>
      </c>
      <c r="I598" s="7">
        <v>1176</v>
      </c>
      <c r="J598" s="5">
        <v>45918</v>
      </c>
      <c r="K598" s="1" t="s">
        <v>30</v>
      </c>
      <c r="L598" s="8">
        <v>0.2</v>
      </c>
      <c r="M598" s="6"/>
      <c r="N598" s="6"/>
      <c r="O598" s="9">
        <v>-235.2</v>
      </c>
    </row>
    <row r="599" spans="1:15" ht="19.5" customHeight="1">
      <c r="A599" s="1" t="s">
        <v>510</v>
      </c>
      <c r="B599" s="5">
        <v>45920</v>
      </c>
      <c r="C599" s="1" t="s">
        <v>17</v>
      </c>
      <c r="D599" s="1" t="s">
        <v>37</v>
      </c>
      <c r="E599" s="1" t="s">
        <v>25</v>
      </c>
      <c r="F599" s="1" t="s">
        <v>26</v>
      </c>
      <c r="G599" s="1" t="s">
        <v>21</v>
      </c>
      <c r="H599" s="6">
        <v>1</v>
      </c>
      <c r="I599" s="7">
        <v>1176</v>
      </c>
      <c r="J599" s="5">
        <v>45918</v>
      </c>
      <c r="K599" s="1" t="s">
        <v>30</v>
      </c>
      <c r="L599" s="8">
        <v>0.2</v>
      </c>
      <c r="M599" s="6"/>
      <c r="N599" s="6"/>
      <c r="O599" s="9">
        <v>-4.3600000000000003</v>
      </c>
    </row>
    <row r="600" spans="1:15" ht="19.5" customHeight="1">
      <c r="A600" s="1" t="s">
        <v>511</v>
      </c>
      <c r="B600" s="5">
        <v>45920</v>
      </c>
      <c r="C600" s="1" t="s">
        <v>28</v>
      </c>
      <c r="D600" s="1" t="s">
        <v>29</v>
      </c>
      <c r="E600" s="1" t="s">
        <v>25</v>
      </c>
      <c r="F600" s="1" t="s">
        <v>26</v>
      </c>
      <c r="G600" s="1" t="s">
        <v>21</v>
      </c>
      <c r="H600" s="6">
        <v>1</v>
      </c>
      <c r="I600" s="7">
        <v>1176</v>
      </c>
      <c r="J600" s="5">
        <v>45919</v>
      </c>
      <c r="K600" s="1" t="s">
        <v>30</v>
      </c>
      <c r="L600" s="8">
        <v>0.2</v>
      </c>
      <c r="M600" s="6"/>
      <c r="N600" s="6"/>
      <c r="O600" s="9">
        <v>-46</v>
      </c>
    </row>
    <row r="601" spans="1:15" ht="19.5" customHeight="1">
      <c r="A601" s="1" t="s">
        <v>511</v>
      </c>
      <c r="B601" s="5">
        <v>45920</v>
      </c>
      <c r="C601" s="1" t="s">
        <v>31</v>
      </c>
      <c r="D601" s="1" t="s">
        <v>32</v>
      </c>
      <c r="E601" s="1" t="s">
        <v>25</v>
      </c>
      <c r="F601" s="1" t="s">
        <v>26</v>
      </c>
      <c r="G601" s="1" t="s">
        <v>21</v>
      </c>
      <c r="H601" s="6">
        <v>1</v>
      </c>
      <c r="I601" s="7">
        <v>1176</v>
      </c>
      <c r="J601" s="5">
        <v>45919</v>
      </c>
      <c r="K601" s="1" t="s">
        <v>30</v>
      </c>
      <c r="L601" s="8">
        <v>0</v>
      </c>
      <c r="M601" s="6"/>
      <c r="N601" s="6"/>
      <c r="O601" s="9">
        <v>605.14</v>
      </c>
    </row>
    <row r="602" spans="1:15" ht="19.5" customHeight="1">
      <c r="A602" s="1" t="s">
        <v>511</v>
      </c>
      <c r="B602" s="5">
        <v>45920</v>
      </c>
      <c r="C602" s="1" t="s">
        <v>31</v>
      </c>
      <c r="D602" s="1" t="s">
        <v>33</v>
      </c>
      <c r="E602" s="1" t="s">
        <v>25</v>
      </c>
      <c r="F602" s="1" t="s">
        <v>26</v>
      </c>
      <c r="G602" s="1" t="s">
        <v>21</v>
      </c>
      <c r="H602" s="6">
        <v>1</v>
      </c>
      <c r="I602" s="7">
        <v>1176</v>
      </c>
      <c r="J602" s="5">
        <v>45919</v>
      </c>
      <c r="K602" s="1" t="s">
        <v>30</v>
      </c>
      <c r="L602" s="8">
        <v>0</v>
      </c>
      <c r="M602" s="6"/>
      <c r="N602" s="6"/>
      <c r="O602" s="9">
        <v>4.45</v>
      </c>
    </row>
    <row r="603" spans="1:15" ht="19.5" customHeight="1">
      <c r="A603" s="1" t="s">
        <v>511</v>
      </c>
      <c r="B603" s="5">
        <v>45920</v>
      </c>
      <c r="C603" s="1" t="s">
        <v>31</v>
      </c>
      <c r="D603" s="1" t="s">
        <v>34</v>
      </c>
      <c r="E603" s="1" t="s">
        <v>25</v>
      </c>
      <c r="F603" s="1" t="s">
        <v>26</v>
      </c>
      <c r="G603" s="1" t="s">
        <v>21</v>
      </c>
      <c r="H603" s="6">
        <v>1</v>
      </c>
      <c r="I603" s="7">
        <v>1176</v>
      </c>
      <c r="J603" s="5">
        <v>45919</v>
      </c>
      <c r="K603" s="1" t="s">
        <v>30</v>
      </c>
      <c r="L603" s="8">
        <v>0</v>
      </c>
      <c r="M603" s="6"/>
      <c r="N603" s="6"/>
      <c r="O603" s="9">
        <v>566.41</v>
      </c>
    </row>
    <row r="604" spans="1:15" ht="19.5" customHeight="1">
      <c r="A604" s="1" t="s">
        <v>511</v>
      </c>
      <c r="B604" s="5">
        <v>45920</v>
      </c>
      <c r="C604" s="1" t="s">
        <v>35</v>
      </c>
      <c r="D604" s="1" t="s">
        <v>36</v>
      </c>
      <c r="E604" s="1" t="s">
        <v>25</v>
      </c>
      <c r="F604" s="1" t="s">
        <v>26</v>
      </c>
      <c r="G604" s="1" t="s">
        <v>21</v>
      </c>
      <c r="H604" s="6">
        <v>1</v>
      </c>
      <c r="I604" s="7">
        <v>1176</v>
      </c>
      <c r="J604" s="5">
        <v>45919</v>
      </c>
      <c r="K604" s="1" t="s">
        <v>30</v>
      </c>
      <c r="L604" s="8">
        <v>0.2</v>
      </c>
      <c r="M604" s="6"/>
      <c r="N604" s="6"/>
      <c r="O604" s="9">
        <v>-235.2</v>
      </c>
    </row>
    <row r="605" spans="1:15" ht="19.5" customHeight="1">
      <c r="A605" s="1" t="s">
        <v>511</v>
      </c>
      <c r="B605" s="5">
        <v>45920</v>
      </c>
      <c r="C605" s="1" t="s">
        <v>17</v>
      </c>
      <c r="D605" s="1" t="s">
        <v>37</v>
      </c>
      <c r="E605" s="1" t="s">
        <v>25</v>
      </c>
      <c r="F605" s="1" t="s">
        <v>26</v>
      </c>
      <c r="G605" s="1" t="s">
        <v>21</v>
      </c>
      <c r="H605" s="6">
        <v>1</v>
      </c>
      <c r="I605" s="7">
        <v>1176</v>
      </c>
      <c r="J605" s="5">
        <v>45919</v>
      </c>
      <c r="K605" s="1" t="s">
        <v>30</v>
      </c>
      <c r="L605" s="8">
        <v>0.2</v>
      </c>
      <c r="M605" s="6"/>
      <c r="N605" s="6"/>
      <c r="O605" s="9">
        <v>-6.19</v>
      </c>
    </row>
    <row r="606" spans="1:15" ht="19.5" customHeight="1">
      <c r="A606" s="1" t="s">
        <v>511</v>
      </c>
      <c r="B606" s="5">
        <v>45920</v>
      </c>
      <c r="C606" s="1" t="s">
        <v>17</v>
      </c>
      <c r="D606" s="1" t="s">
        <v>18</v>
      </c>
      <c r="E606" s="1" t="s">
        <v>25</v>
      </c>
      <c r="F606" s="1" t="s">
        <v>26</v>
      </c>
      <c r="G606" s="1" t="s">
        <v>21</v>
      </c>
      <c r="H606" s="6">
        <v>1</v>
      </c>
      <c r="I606" s="7">
        <v>0</v>
      </c>
      <c r="J606" s="5">
        <v>45919</v>
      </c>
      <c r="K606" s="1" t="s">
        <v>22</v>
      </c>
      <c r="L606" s="8">
        <v>0</v>
      </c>
      <c r="M606" s="6"/>
      <c r="N606" s="6"/>
      <c r="O606" s="9">
        <v>-11.5</v>
      </c>
    </row>
    <row r="607" spans="1:15" ht="19.5" customHeight="1">
      <c r="A607" s="1" t="s">
        <v>22</v>
      </c>
      <c r="B607" s="5">
        <v>45920</v>
      </c>
      <c r="C607" s="1" t="s">
        <v>77</v>
      </c>
      <c r="D607" s="1" t="s">
        <v>78</v>
      </c>
      <c r="E607" s="1" t="s">
        <v>22</v>
      </c>
      <c r="F607" s="1" t="s">
        <v>22</v>
      </c>
      <c r="G607" s="1" t="s">
        <v>512</v>
      </c>
      <c r="H607" s="6">
        <v>0</v>
      </c>
      <c r="I607" s="7">
        <v>0</v>
      </c>
      <c r="J607" s="5">
        <v>45920</v>
      </c>
      <c r="K607" s="1" t="s">
        <v>22</v>
      </c>
      <c r="L607" s="8">
        <v>0</v>
      </c>
      <c r="M607" s="6"/>
      <c r="N607" s="6"/>
      <c r="O607" s="9">
        <v>-200</v>
      </c>
    </row>
    <row r="608" spans="1:15" ht="19.5" customHeight="1">
      <c r="A608" s="1" t="s">
        <v>513</v>
      </c>
      <c r="B608" s="5">
        <v>45920</v>
      </c>
      <c r="C608" s="1" t="s">
        <v>28</v>
      </c>
      <c r="D608" s="1" t="s">
        <v>29</v>
      </c>
      <c r="E608" s="1" t="s">
        <v>224</v>
      </c>
      <c r="F608" s="1" t="s">
        <v>461</v>
      </c>
      <c r="G608" s="1" t="s">
        <v>21</v>
      </c>
      <c r="H608" s="6">
        <v>1</v>
      </c>
      <c r="I608" s="7">
        <v>0</v>
      </c>
      <c r="J608" s="5">
        <v>45913</v>
      </c>
      <c r="K608" s="1" t="s">
        <v>30</v>
      </c>
      <c r="L608" s="8">
        <v>0</v>
      </c>
      <c r="M608" s="6"/>
      <c r="N608" s="6"/>
      <c r="O608" s="9">
        <v>-46</v>
      </c>
    </row>
    <row r="609" spans="1:15" ht="19.5" customHeight="1">
      <c r="A609" s="1" t="s">
        <v>513</v>
      </c>
      <c r="B609" s="5">
        <v>45920</v>
      </c>
      <c r="C609" s="1" t="s">
        <v>17</v>
      </c>
      <c r="D609" s="1" t="s">
        <v>37</v>
      </c>
      <c r="E609" s="1" t="s">
        <v>224</v>
      </c>
      <c r="F609" s="1" t="s">
        <v>461</v>
      </c>
      <c r="G609" s="1" t="s">
        <v>21</v>
      </c>
      <c r="H609" s="6">
        <v>1</v>
      </c>
      <c r="I609" s="7">
        <v>0</v>
      </c>
      <c r="J609" s="5">
        <v>45913</v>
      </c>
      <c r="K609" s="1" t="s">
        <v>30</v>
      </c>
      <c r="L609" s="8">
        <v>0</v>
      </c>
      <c r="M609" s="6"/>
      <c r="N609" s="6"/>
      <c r="O609" s="9">
        <v>-7.07</v>
      </c>
    </row>
    <row r="610" spans="1:15" ht="19.5" customHeight="1">
      <c r="A610" s="1" t="s">
        <v>513</v>
      </c>
      <c r="B610" s="5">
        <v>45920</v>
      </c>
      <c r="C610" s="1" t="s">
        <v>28</v>
      </c>
      <c r="D610" s="1" t="s">
        <v>356</v>
      </c>
      <c r="E610" s="1" t="s">
        <v>224</v>
      </c>
      <c r="F610" s="1" t="s">
        <v>461</v>
      </c>
      <c r="G610" s="1" t="s">
        <v>21</v>
      </c>
      <c r="H610" s="6">
        <v>1</v>
      </c>
      <c r="I610" s="7">
        <v>0</v>
      </c>
      <c r="J610" s="5">
        <v>45913</v>
      </c>
      <c r="K610" s="1" t="s">
        <v>30</v>
      </c>
      <c r="L610" s="8">
        <v>0</v>
      </c>
      <c r="M610" s="6"/>
      <c r="N610" s="6"/>
      <c r="O610" s="9">
        <v>0</v>
      </c>
    </row>
    <row r="611" spans="1:15" ht="19.5" customHeight="1">
      <c r="A611" s="1" t="s">
        <v>513</v>
      </c>
      <c r="B611" s="5">
        <v>45920</v>
      </c>
      <c r="C611" s="1" t="s">
        <v>28</v>
      </c>
      <c r="D611" s="1" t="s">
        <v>46</v>
      </c>
      <c r="E611" s="1" t="s">
        <v>224</v>
      </c>
      <c r="F611" s="1" t="s">
        <v>461</v>
      </c>
      <c r="G611" s="1" t="s">
        <v>21</v>
      </c>
      <c r="H611" s="6">
        <v>1</v>
      </c>
      <c r="I611" s="7">
        <v>0</v>
      </c>
      <c r="J611" s="5">
        <v>45913</v>
      </c>
      <c r="K611" s="1" t="s">
        <v>30</v>
      </c>
      <c r="L611" s="8">
        <v>0</v>
      </c>
      <c r="M611" s="6"/>
      <c r="N611" s="6"/>
      <c r="O611" s="9">
        <v>-46</v>
      </c>
    </row>
    <row r="612" spans="1:15" ht="19.5" customHeight="1">
      <c r="A612" s="1" t="s">
        <v>513</v>
      </c>
      <c r="B612" s="5">
        <v>45920</v>
      </c>
      <c r="C612" s="1" t="s">
        <v>17</v>
      </c>
      <c r="D612" s="1" t="s">
        <v>47</v>
      </c>
      <c r="E612" s="1" t="s">
        <v>224</v>
      </c>
      <c r="F612" s="1" t="s">
        <v>461</v>
      </c>
      <c r="G612" s="1" t="s">
        <v>21</v>
      </c>
      <c r="H612" s="6">
        <v>1</v>
      </c>
      <c r="I612" s="7">
        <v>0</v>
      </c>
      <c r="J612" s="5">
        <v>45913</v>
      </c>
      <c r="K612" s="1" t="s">
        <v>30</v>
      </c>
      <c r="L612" s="8">
        <v>0</v>
      </c>
      <c r="M612" s="6"/>
      <c r="N612" s="6"/>
      <c r="O612" s="9">
        <v>-15</v>
      </c>
    </row>
    <row r="613" spans="1:15" ht="19.5" customHeight="1">
      <c r="A613" s="1" t="s">
        <v>81</v>
      </c>
      <c r="B613" s="5">
        <v>45920</v>
      </c>
      <c r="C613" s="1" t="s">
        <v>77</v>
      </c>
      <c r="D613" s="1" t="s">
        <v>82</v>
      </c>
      <c r="E613" s="1" t="s">
        <v>22</v>
      </c>
      <c r="F613" s="1" t="s">
        <v>22</v>
      </c>
      <c r="G613" s="1" t="s">
        <v>22</v>
      </c>
      <c r="H613" s="6">
        <v>0</v>
      </c>
      <c r="I613" s="7">
        <v>0</v>
      </c>
      <c r="J613" s="5">
        <v>45920</v>
      </c>
      <c r="K613" s="1" t="s">
        <v>22</v>
      </c>
      <c r="L613" s="8">
        <v>0</v>
      </c>
      <c r="M613" s="6"/>
      <c r="N613" s="6"/>
      <c r="O613" s="9">
        <v>-1838.48</v>
      </c>
    </row>
    <row r="614" spans="1:15" ht="19.5" customHeight="1">
      <c r="A614" s="1" t="s">
        <v>83</v>
      </c>
      <c r="B614" s="5">
        <v>45920</v>
      </c>
      <c r="C614" s="1" t="s">
        <v>77</v>
      </c>
      <c r="D614" s="1" t="s">
        <v>84</v>
      </c>
      <c r="E614" s="1" t="s">
        <v>22</v>
      </c>
      <c r="F614" s="1" t="s">
        <v>22</v>
      </c>
      <c r="G614" s="1" t="s">
        <v>22</v>
      </c>
      <c r="H614" s="6">
        <v>0</v>
      </c>
      <c r="I614" s="7">
        <v>0</v>
      </c>
      <c r="J614" s="5">
        <v>45920</v>
      </c>
      <c r="K614" s="1" t="s">
        <v>22</v>
      </c>
      <c r="L614" s="8">
        <v>0</v>
      </c>
      <c r="M614" s="6"/>
      <c r="N614" s="6"/>
      <c r="O614" s="9">
        <v>-461.16</v>
      </c>
    </row>
    <row r="615" spans="1:15" ht="19.5" customHeight="1">
      <c r="A615" s="1" t="s">
        <v>85</v>
      </c>
      <c r="B615" s="5">
        <v>45920</v>
      </c>
      <c r="C615" s="1" t="s">
        <v>77</v>
      </c>
      <c r="D615" s="1" t="s">
        <v>82</v>
      </c>
      <c r="E615" s="1" t="s">
        <v>22</v>
      </c>
      <c r="F615" s="1" t="s">
        <v>22</v>
      </c>
      <c r="G615" s="1" t="s">
        <v>22</v>
      </c>
      <c r="H615" s="6">
        <v>0</v>
      </c>
      <c r="I615" s="7">
        <v>0</v>
      </c>
      <c r="J615" s="5">
        <v>45920</v>
      </c>
      <c r="K615" s="1" t="s">
        <v>22</v>
      </c>
      <c r="L615" s="8">
        <v>0</v>
      </c>
      <c r="M615" s="6"/>
      <c r="N615" s="6"/>
      <c r="O615" s="9">
        <v>-540.97</v>
      </c>
    </row>
    <row r="616" spans="1:15" ht="19.5" customHeight="1">
      <c r="A616" s="1" t="s">
        <v>454</v>
      </c>
      <c r="B616" s="5">
        <v>45920</v>
      </c>
      <c r="C616" s="1" t="s">
        <v>77</v>
      </c>
      <c r="D616" s="1" t="s">
        <v>82</v>
      </c>
      <c r="E616" s="1" t="s">
        <v>22</v>
      </c>
      <c r="F616" s="1" t="s">
        <v>22</v>
      </c>
      <c r="G616" s="1" t="s">
        <v>22</v>
      </c>
      <c r="H616" s="6">
        <v>0</v>
      </c>
      <c r="I616" s="7">
        <v>0</v>
      </c>
      <c r="J616" s="5">
        <v>45920</v>
      </c>
      <c r="K616" s="1" t="s">
        <v>22</v>
      </c>
      <c r="L616" s="8">
        <v>0</v>
      </c>
      <c r="M616" s="6"/>
      <c r="N616" s="6"/>
      <c r="O616" s="9">
        <v>-1998.33</v>
      </c>
    </row>
    <row r="617" spans="1:15" ht="19.5" customHeight="1">
      <c r="A617" s="1" t="s">
        <v>514</v>
      </c>
      <c r="B617" s="5">
        <v>45921</v>
      </c>
      <c r="C617" s="1" t="s">
        <v>17</v>
      </c>
      <c r="D617" s="1" t="s">
        <v>18</v>
      </c>
      <c r="E617" s="1" t="s">
        <v>245</v>
      </c>
      <c r="F617" s="1" t="s">
        <v>515</v>
      </c>
      <c r="G617" s="1" t="s">
        <v>41</v>
      </c>
      <c r="H617" s="6">
        <v>1</v>
      </c>
      <c r="I617" s="7">
        <v>0</v>
      </c>
      <c r="J617" s="5">
        <v>45921</v>
      </c>
      <c r="K617" s="1" t="s">
        <v>22</v>
      </c>
      <c r="L617" s="8">
        <v>0</v>
      </c>
      <c r="M617" s="6"/>
      <c r="N617" s="6"/>
      <c r="O617" s="9">
        <v>-15.07</v>
      </c>
    </row>
    <row r="618" spans="1:15" ht="19.5" customHeight="1">
      <c r="A618" s="1" t="s">
        <v>481</v>
      </c>
      <c r="B618" s="5">
        <v>45921</v>
      </c>
      <c r="C618" s="1" t="s">
        <v>126</v>
      </c>
      <c r="D618" s="1" t="s">
        <v>127</v>
      </c>
      <c r="E618" s="1" t="s">
        <v>224</v>
      </c>
      <c r="F618" s="1" t="s">
        <v>461</v>
      </c>
      <c r="G618" s="1" t="s">
        <v>21</v>
      </c>
      <c r="H618" s="6">
        <v>1</v>
      </c>
      <c r="I618" s="7">
        <v>-1500</v>
      </c>
      <c r="J618" s="5">
        <v>45911</v>
      </c>
      <c r="K618" s="1" t="s">
        <v>30</v>
      </c>
      <c r="L618" s="8">
        <v>0</v>
      </c>
      <c r="M618" s="6"/>
      <c r="N618" s="6"/>
      <c r="O618" s="9">
        <v>-874.29</v>
      </c>
    </row>
    <row r="619" spans="1:15" ht="19.5" customHeight="1">
      <c r="A619" s="1" t="s">
        <v>481</v>
      </c>
      <c r="B619" s="5">
        <v>45921</v>
      </c>
      <c r="C619" s="1" t="s">
        <v>126</v>
      </c>
      <c r="D619" s="1" t="s">
        <v>33</v>
      </c>
      <c r="E619" s="1" t="s">
        <v>224</v>
      </c>
      <c r="F619" s="1" t="s">
        <v>461</v>
      </c>
      <c r="G619" s="1" t="s">
        <v>21</v>
      </c>
      <c r="H619" s="6">
        <v>1</v>
      </c>
      <c r="I619" s="7">
        <v>-1500</v>
      </c>
      <c r="J619" s="5">
        <v>45911</v>
      </c>
      <c r="K619" s="1" t="s">
        <v>30</v>
      </c>
      <c r="L619" s="8">
        <v>0</v>
      </c>
      <c r="M619" s="6"/>
      <c r="N619" s="6"/>
      <c r="O619" s="9">
        <v>-6.43</v>
      </c>
    </row>
    <row r="620" spans="1:15" ht="19.5" customHeight="1">
      <c r="A620" s="1" t="s">
        <v>481</v>
      </c>
      <c r="B620" s="5">
        <v>45921</v>
      </c>
      <c r="C620" s="1" t="s">
        <v>126</v>
      </c>
      <c r="D620" s="1" t="s">
        <v>34</v>
      </c>
      <c r="E620" s="1" t="s">
        <v>224</v>
      </c>
      <c r="F620" s="1" t="s">
        <v>461</v>
      </c>
      <c r="G620" s="1" t="s">
        <v>21</v>
      </c>
      <c r="H620" s="6">
        <v>1</v>
      </c>
      <c r="I620" s="7">
        <v>-1500</v>
      </c>
      <c r="J620" s="5">
        <v>45911</v>
      </c>
      <c r="K620" s="1" t="s">
        <v>30</v>
      </c>
      <c r="L620" s="8">
        <v>0</v>
      </c>
      <c r="M620" s="6"/>
      <c r="N620" s="6"/>
      <c r="O620" s="9">
        <v>-619.28</v>
      </c>
    </row>
    <row r="621" spans="1:15" ht="19.5" customHeight="1">
      <c r="A621" s="1" t="s">
        <v>481</v>
      </c>
      <c r="B621" s="5">
        <v>45921</v>
      </c>
      <c r="C621" s="1" t="s">
        <v>35</v>
      </c>
      <c r="D621" s="1" t="s">
        <v>128</v>
      </c>
      <c r="E621" s="1" t="s">
        <v>224</v>
      </c>
      <c r="F621" s="1" t="s">
        <v>461</v>
      </c>
      <c r="G621" s="1" t="s">
        <v>21</v>
      </c>
      <c r="H621" s="6">
        <v>1</v>
      </c>
      <c r="I621" s="7">
        <v>-1500</v>
      </c>
      <c r="J621" s="5">
        <v>45911</v>
      </c>
      <c r="K621" s="1" t="s">
        <v>30</v>
      </c>
      <c r="L621" s="8">
        <v>0.2</v>
      </c>
      <c r="M621" s="6"/>
      <c r="N621" s="6"/>
      <c r="O621" s="9">
        <v>300</v>
      </c>
    </row>
    <row r="622" spans="1:15" ht="19.5" customHeight="1">
      <c r="A622" s="1" t="s">
        <v>481</v>
      </c>
      <c r="B622" s="5">
        <v>45921</v>
      </c>
      <c r="C622" s="1" t="s">
        <v>17</v>
      </c>
      <c r="D622" s="1" t="s">
        <v>18</v>
      </c>
      <c r="E622" s="1" t="s">
        <v>224</v>
      </c>
      <c r="F622" s="1" t="s">
        <v>461</v>
      </c>
      <c r="G622" s="1" t="s">
        <v>21</v>
      </c>
      <c r="H622" s="6">
        <v>1</v>
      </c>
      <c r="I622" s="7">
        <v>0</v>
      </c>
      <c r="J622" s="5">
        <v>45911</v>
      </c>
      <c r="K622" s="1" t="s">
        <v>22</v>
      </c>
      <c r="L622" s="8">
        <v>0</v>
      </c>
      <c r="M622" s="6"/>
      <c r="N622" s="6"/>
      <c r="O622" s="9">
        <v>16.61</v>
      </c>
    </row>
    <row r="623" spans="1:15" ht="19.5" customHeight="1">
      <c r="A623" s="1" t="s">
        <v>516</v>
      </c>
      <c r="B623" s="5">
        <v>45921</v>
      </c>
      <c r="C623" s="1" t="s">
        <v>17</v>
      </c>
      <c r="D623" s="1" t="s">
        <v>18</v>
      </c>
      <c r="E623" s="1" t="s">
        <v>19</v>
      </c>
      <c r="F623" s="1" t="s">
        <v>20</v>
      </c>
      <c r="G623" s="1" t="s">
        <v>21</v>
      </c>
      <c r="H623" s="6">
        <v>1</v>
      </c>
      <c r="I623" s="7">
        <v>0</v>
      </c>
      <c r="J623" s="5">
        <v>45921</v>
      </c>
      <c r="K623" s="1" t="s">
        <v>22</v>
      </c>
      <c r="L623" s="8">
        <v>0</v>
      </c>
      <c r="M623" s="6"/>
      <c r="N623" s="6"/>
      <c r="O623" s="9">
        <v>-14.6</v>
      </c>
    </row>
    <row r="624" spans="1:15" ht="19.5" customHeight="1">
      <c r="A624" s="1" t="s">
        <v>517</v>
      </c>
      <c r="B624" s="5">
        <v>45921</v>
      </c>
      <c r="C624" s="1" t="s">
        <v>28</v>
      </c>
      <c r="D624" s="1" t="s">
        <v>29</v>
      </c>
      <c r="E624" s="1" t="s">
        <v>19</v>
      </c>
      <c r="F624" s="1" t="s">
        <v>20</v>
      </c>
      <c r="G624" s="1" t="s">
        <v>21</v>
      </c>
      <c r="H624" s="6">
        <v>1</v>
      </c>
      <c r="I624" s="7">
        <v>1380</v>
      </c>
      <c r="J624" s="5">
        <v>45917</v>
      </c>
      <c r="K624" s="1" t="s">
        <v>30</v>
      </c>
      <c r="L624" s="8">
        <v>0.2</v>
      </c>
      <c r="M624" s="6"/>
      <c r="N624" s="6"/>
      <c r="O624" s="9">
        <v>-46</v>
      </c>
    </row>
    <row r="625" spans="1:15" ht="19.5" customHeight="1">
      <c r="A625" s="1" t="s">
        <v>517</v>
      </c>
      <c r="B625" s="5">
        <v>45921</v>
      </c>
      <c r="C625" s="1" t="s">
        <v>31</v>
      </c>
      <c r="D625" s="1" t="s">
        <v>32</v>
      </c>
      <c r="E625" s="1" t="s">
        <v>19</v>
      </c>
      <c r="F625" s="1" t="s">
        <v>20</v>
      </c>
      <c r="G625" s="1" t="s">
        <v>21</v>
      </c>
      <c r="H625" s="6">
        <v>1</v>
      </c>
      <c r="I625" s="7">
        <v>1380</v>
      </c>
      <c r="J625" s="5">
        <v>45917</v>
      </c>
      <c r="K625" s="1" t="s">
        <v>30</v>
      </c>
      <c r="L625" s="8">
        <v>0</v>
      </c>
      <c r="M625" s="6"/>
      <c r="N625" s="6"/>
      <c r="O625" s="9">
        <v>845.86</v>
      </c>
    </row>
    <row r="626" spans="1:15" ht="19.5" customHeight="1">
      <c r="A626" s="1" t="s">
        <v>517</v>
      </c>
      <c r="B626" s="5">
        <v>45921</v>
      </c>
      <c r="C626" s="1" t="s">
        <v>31</v>
      </c>
      <c r="D626" s="1" t="s">
        <v>33</v>
      </c>
      <c r="E626" s="1" t="s">
        <v>19</v>
      </c>
      <c r="F626" s="1" t="s">
        <v>20</v>
      </c>
      <c r="G626" s="1" t="s">
        <v>21</v>
      </c>
      <c r="H626" s="6">
        <v>1</v>
      </c>
      <c r="I626" s="7">
        <v>1380</v>
      </c>
      <c r="J626" s="5">
        <v>45917</v>
      </c>
      <c r="K626" s="1" t="s">
        <v>30</v>
      </c>
      <c r="L626" s="8">
        <v>0</v>
      </c>
      <c r="M626" s="6"/>
      <c r="N626" s="6"/>
      <c r="O626" s="9">
        <v>6.22</v>
      </c>
    </row>
    <row r="627" spans="1:15" ht="19.5" customHeight="1">
      <c r="A627" s="1" t="s">
        <v>517</v>
      </c>
      <c r="B627" s="5">
        <v>45921</v>
      </c>
      <c r="C627" s="1" t="s">
        <v>31</v>
      </c>
      <c r="D627" s="1" t="s">
        <v>34</v>
      </c>
      <c r="E627" s="1" t="s">
        <v>19</v>
      </c>
      <c r="F627" s="1" t="s">
        <v>20</v>
      </c>
      <c r="G627" s="1" t="s">
        <v>21</v>
      </c>
      <c r="H627" s="6">
        <v>1</v>
      </c>
      <c r="I627" s="7">
        <v>1380</v>
      </c>
      <c r="J627" s="5">
        <v>45917</v>
      </c>
      <c r="K627" s="1" t="s">
        <v>30</v>
      </c>
      <c r="L627" s="8">
        <v>0</v>
      </c>
      <c r="M627" s="6"/>
      <c r="N627" s="6"/>
      <c r="O627" s="9">
        <v>527.91999999999996</v>
      </c>
    </row>
    <row r="628" spans="1:15" ht="19.5" customHeight="1">
      <c r="A628" s="1" t="s">
        <v>517</v>
      </c>
      <c r="B628" s="5">
        <v>45921</v>
      </c>
      <c r="C628" s="1" t="s">
        <v>35</v>
      </c>
      <c r="D628" s="1" t="s">
        <v>36</v>
      </c>
      <c r="E628" s="1" t="s">
        <v>19</v>
      </c>
      <c r="F628" s="1" t="s">
        <v>20</v>
      </c>
      <c r="G628" s="1" t="s">
        <v>21</v>
      </c>
      <c r="H628" s="6">
        <v>1</v>
      </c>
      <c r="I628" s="7">
        <v>1380</v>
      </c>
      <c r="J628" s="5">
        <v>45917</v>
      </c>
      <c r="K628" s="1" t="s">
        <v>30</v>
      </c>
      <c r="L628" s="8">
        <v>0.2</v>
      </c>
      <c r="M628" s="6"/>
      <c r="N628" s="6"/>
      <c r="O628" s="9">
        <v>-276</v>
      </c>
    </row>
    <row r="629" spans="1:15" ht="19.5" customHeight="1">
      <c r="A629" s="1" t="s">
        <v>517</v>
      </c>
      <c r="B629" s="5">
        <v>45921</v>
      </c>
      <c r="C629" s="1" t="s">
        <v>17</v>
      </c>
      <c r="D629" s="1" t="s">
        <v>37</v>
      </c>
      <c r="E629" s="1" t="s">
        <v>19</v>
      </c>
      <c r="F629" s="1" t="s">
        <v>20</v>
      </c>
      <c r="G629" s="1" t="s">
        <v>21</v>
      </c>
      <c r="H629" s="6">
        <v>1</v>
      </c>
      <c r="I629" s="7">
        <v>1380</v>
      </c>
      <c r="J629" s="5">
        <v>45917</v>
      </c>
      <c r="K629" s="1" t="s">
        <v>30</v>
      </c>
      <c r="L629" s="8">
        <v>0.2</v>
      </c>
      <c r="M629" s="6"/>
      <c r="N629" s="6"/>
      <c r="O629" s="9">
        <v>-5.24</v>
      </c>
    </row>
    <row r="630" spans="1:15" ht="19.5" customHeight="1">
      <c r="A630" s="1" t="s">
        <v>518</v>
      </c>
      <c r="B630" s="5">
        <v>45921</v>
      </c>
      <c r="C630" s="1" t="s">
        <v>28</v>
      </c>
      <c r="D630" s="1" t="s">
        <v>29</v>
      </c>
      <c r="E630" s="1" t="s">
        <v>19</v>
      </c>
      <c r="F630" s="1" t="s">
        <v>20</v>
      </c>
      <c r="G630" s="1" t="s">
        <v>21</v>
      </c>
      <c r="H630" s="6">
        <v>1</v>
      </c>
      <c r="I630" s="7">
        <v>1380</v>
      </c>
      <c r="J630" s="5">
        <v>45917</v>
      </c>
      <c r="K630" s="1" t="s">
        <v>30</v>
      </c>
      <c r="L630" s="8">
        <v>0.2</v>
      </c>
      <c r="M630" s="6"/>
      <c r="N630" s="6"/>
      <c r="O630" s="9">
        <v>-46</v>
      </c>
    </row>
    <row r="631" spans="1:15" ht="19.5" customHeight="1">
      <c r="A631" s="1" t="s">
        <v>518</v>
      </c>
      <c r="B631" s="5">
        <v>45921</v>
      </c>
      <c r="C631" s="1" t="s">
        <v>31</v>
      </c>
      <c r="D631" s="1" t="s">
        <v>32</v>
      </c>
      <c r="E631" s="1" t="s">
        <v>19</v>
      </c>
      <c r="F631" s="1" t="s">
        <v>20</v>
      </c>
      <c r="G631" s="1" t="s">
        <v>21</v>
      </c>
      <c r="H631" s="6">
        <v>1</v>
      </c>
      <c r="I631" s="7">
        <v>1380</v>
      </c>
      <c r="J631" s="5">
        <v>45917</v>
      </c>
      <c r="K631" s="1" t="s">
        <v>30</v>
      </c>
      <c r="L631" s="8">
        <v>0</v>
      </c>
      <c r="M631" s="6"/>
      <c r="N631" s="6"/>
      <c r="O631" s="9">
        <v>922.86</v>
      </c>
    </row>
    <row r="632" spans="1:15" ht="19.5" customHeight="1">
      <c r="A632" s="1" t="s">
        <v>518</v>
      </c>
      <c r="B632" s="5">
        <v>45921</v>
      </c>
      <c r="C632" s="1" t="s">
        <v>31</v>
      </c>
      <c r="D632" s="1" t="s">
        <v>33</v>
      </c>
      <c r="E632" s="1" t="s">
        <v>19</v>
      </c>
      <c r="F632" s="1" t="s">
        <v>20</v>
      </c>
      <c r="G632" s="1" t="s">
        <v>21</v>
      </c>
      <c r="H632" s="6">
        <v>1</v>
      </c>
      <c r="I632" s="7">
        <v>1380</v>
      </c>
      <c r="J632" s="5">
        <v>45917</v>
      </c>
      <c r="K632" s="1" t="s">
        <v>30</v>
      </c>
      <c r="L632" s="8">
        <v>0</v>
      </c>
      <c r="M632" s="6"/>
      <c r="N632" s="6"/>
      <c r="O632" s="9">
        <v>0</v>
      </c>
    </row>
    <row r="633" spans="1:15" ht="19.5" customHeight="1">
      <c r="A633" s="1" t="s">
        <v>518</v>
      </c>
      <c r="B633" s="5">
        <v>45921</v>
      </c>
      <c r="C633" s="1" t="s">
        <v>31</v>
      </c>
      <c r="D633" s="1" t="s">
        <v>34</v>
      </c>
      <c r="E633" s="1" t="s">
        <v>19</v>
      </c>
      <c r="F633" s="1" t="s">
        <v>20</v>
      </c>
      <c r="G633" s="1" t="s">
        <v>21</v>
      </c>
      <c r="H633" s="6">
        <v>1</v>
      </c>
      <c r="I633" s="7">
        <v>1380</v>
      </c>
      <c r="J633" s="5">
        <v>45917</v>
      </c>
      <c r="K633" s="1" t="s">
        <v>30</v>
      </c>
      <c r="L633" s="8">
        <v>0</v>
      </c>
      <c r="M633" s="6"/>
      <c r="N633" s="6"/>
      <c r="O633" s="9">
        <v>457.14</v>
      </c>
    </row>
    <row r="634" spans="1:15" ht="19.5" customHeight="1">
      <c r="A634" s="1" t="s">
        <v>518</v>
      </c>
      <c r="B634" s="5">
        <v>45921</v>
      </c>
      <c r="C634" s="1" t="s">
        <v>35</v>
      </c>
      <c r="D634" s="1" t="s">
        <v>36</v>
      </c>
      <c r="E634" s="1" t="s">
        <v>19</v>
      </c>
      <c r="F634" s="1" t="s">
        <v>20</v>
      </c>
      <c r="G634" s="1" t="s">
        <v>21</v>
      </c>
      <c r="H634" s="6">
        <v>1</v>
      </c>
      <c r="I634" s="7">
        <v>1380</v>
      </c>
      <c r="J634" s="5">
        <v>45917</v>
      </c>
      <c r="K634" s="1" t="s">
        <v>30</v>
      </c>
      <c r="L634" s="8">
        <v>0.2</v>
      </c>
      <c r="M634" s="6"/>
      <c r="N634" s="6"/>
      <c r="O634" s="9">
        <v>-276</v>
      </c>
    </row>
    <row r="635" spans="1:15" ht="19.5" customHeight="1">
      <c r="A635" s="1" t="s">
        <v>518</v>
      </c>
      <c r="B635" s="5">
        <v>45921</v>
      </c>
      <c r="C635" s="1" t="s">
        <v>17</v>
      </c>
      <c r="D635" s="1" t="s">
        <v>37</v>
      </c>
      <c r="E635" s="1" t="s">
        <v>19</v>
      </c>
      <c r="F635" s="1" t="s">
        <v>20</v>
      </c>
      <c r="G635" s="1" t="s">
        <v>21</v>
      </c>
      <c r="H635" s="6">
        <v>1</v>
      </c>
      <c r="I635" s="7">
        <v>1380</v>
      </c>
      <c r="J635" s="5">
        <v>45917</v>
      </c>
      <c r="K635" s="1" t="s">
        <v>30</v>
      </c>
      <c r="L635" s="8">
        <v>0.2</v>
      </c>
      <c r="M635" s="6"/>
      <c r="N635" s="6"/>
      <c r="O635" s="9">
        <v>-4.8</v>
      </c>
    </row>
    <row r="636" spans="1:15" ht="19.5" customHeight="1">
      <c r="A636" s="1" t="s">
        <v>519</v>
      </c>
      <c r="B636" s="5">
        <v>45921</v>
      </c>
      <c r="C636" s="1" t="s">
        <v>28</v>
      </c>
      <c r="D636" s="1" t="s">
        <v>29</v>
      </c>
      <c r="E636" s="1" t="s">
        <v>25</v>
      </c>
      <c r="F636" s="1" t="s">
        <v>26</v>
      </c>
      <c r="G636" s="1" t="s">
        <v>21</v>
      </c>
      <c r="H636" s="6">
        <v>1</v>
      </c>
      <c r="I636" s="7">
        <v>0</v>
      </c>
      <c r="J636" s="5">
        <v>45910</v>
      </c>
      <c r="K636" s="1" t="s">
        <v>30</v>
      </c>
      <c r="L636" s="8">
        <v>0</v>
      </c>
      <c r="M636" s="6"/>
      <c r="N636" s="6"/>
      <c r="O636" s="9">
        <v>-46</v>
      </c>
    </row>
    <row r="637" spans="1:15" ht="19.5" customHeight="1">
      <c r="A637" s="1" t="s">
        <v>519</v>
      </c>
      <c r="B637" s="5">
        <v>45921</v>
      </c>
      <c r="C637" s="1" t="s">
        <v>28</v>
      </c>
      <c r="D637" s="1" t="s">
        <v>356</v>
      </c>
      <c r="E637" s="1" t="s">
        <v>25</v>
      </c>
      <c r="F637" s="1" t="s">
        <v>26</v>
      </c>
      <c r="G637" s="1" t="s">
        <v>21</v>
      </c>
      <c r="H637" s="6">
        <v>1</v>
      </c>
      <c r="I637" s="7">
        <v>0</v>
      </c>
      <c r="J637" s="5">
        <v>45910</v>
      </c>
      <c r="K637" s="1" t="s">
        <v>30</v>
      </c>
      <c r="L637" s="8">
        <v>0</v>
      </c>
      <c r="M637" s="6"/>
      <c r="N637" s="6"/>
      <c r="O637" s="9">
        <v>0</v>
      </c>
    </row>
    <row r="638" spans="1:15" ht="19.5" customHeight="1">
      <c r="A638" s="1" t="s">
        <v>519</v>
      </c>
      <c r="B638" s="5">
        <v>45921</v>
      </c>
      <c r="C638" s="1" t="s">
        <v>28</v>
      </c>
      <c r="D638" s="1" t="s">
        <v>46</v>
      </c>
      <c r="E638" s="1" t="s">
        <v>25</v>
      </c>
      <c r="F638" s="1" t="s">
        <v>26</v>
      </c>
      <c r="G638" s="1" t="s">
        <v>21</v>
      </c>
      <c r="H638" s="6">
        <v>1</v>
      </c>
      <c r="I638" s="7">
        <v>0</v>
      </c>
      <c r="J638" s="5">
        <v>45910</v>
      </c>
      <c r="K638" s="1" t="s">
        <v>30</v>
      </c>
      <c r="L638" s="8">
        <v>0</v>
      </c>
      <c r="M638" s="6"/>
      <c r="N638" s="6"/>
      <c r="O638" s="9">
        <v>-46</v>
      </c>
    </row>
    <row r="639" spans="1:15" ht="19.5" customHeight="1">
      <c r="A639" s="1" t="s">
        <v>520</v>
      </c>
      <c r="B639" s="5">
        <v>45921</v>
      </c>
      <c r="C639" s="1" t="s">
        <v>28</v>
      </c>
      <c r="D639" s="1" t="s">
        <v>29</v>
      </c>
      <c r="E639" s="1" t="s">
        <v>228</v>
      </c>
      <c r="F639" s="1" t="s">
        <v>393</v>
      </c>
      <c r="G639" s="1" t="s">
        <v>21</v>
      </c>
      <c r="H639" s="6">
        <v>1</v>
      </c>
      <c r="I639" s="7">
        <v>0</v>
      </c>
      <c r="J639" s="5">
        <v>45918</v>
      </c>
      <c r="K639" s="1" t="s">
        <v>30</v>
      </c>
      <c r="L639" s="8">
        <v>0</v>
      </c>
      <c r="M639" s="6"/>
      <c r="N639" s="6"/>
      <c r="O639" s="9">
        <v>-46</v>
      </c>
    </row>
    <row r="640" spans="1:15" ht="19.5" customHeight="1">
      <c r="A640" s="1" t="s">
        <v>520</v>
      </c>
      <c r="B640" s="5">
        <v>45921</v>
      </c>
      <c r="C640" s="1" t="s">
        <v>17</v>
      </c>
      <c r="D640" s="1" t="s">
        <v>37</v>
      </c>
      <c r="E640" s="1" t="s">
        <v>228</v>
      </c>
      <c r="F640" s="1" t="s">
        <v>393</v>
      </c>
      <c r="G640" s="1" t="s">
        <v>21</v>
      </c>
      <c r="H640" s="6">
        <v>1</v>
      </c>
      <c r="I640" s="7">
        <v>0</v>
      </c>
      <c r="J640" s="5">
        <v>45918</v>
      </c>
      <c r="K640" s="1" t="s">
        <v>30</v>
      </c>
      <c r="L640" s="8">
        <v>0</v>
      </c>
      <c r="M640" s="6"/>
      <c r="N640" s="6"/>
      <c r="O640" s="9">
        <v>-10.59</v>
      </c>
    </row>
    <row r="641" spans="1:15" ht="19.5" customHeight="1">
      <c r="A641" s="1" t="s">
        <v>520</v>
      </c>
      <c r="B641" s="5">
        <v>45921</v>
      </c>
      <c r="C641" s="1" t="s">
        <v>28</v>
      </c>
      <c r="D641" s="1" t="s">
        <v>356</v>
      </c>
      <c r="E641" s="1" t="s">
        <v>228</v>
      </c>
      <c r="F641" s="1" t="s">
        <v>393</v>
      </c>
      <c r="G641" s="1" t="s">
        <v>21</v>
      </c>
      <c r="H641" s="6">
        <v>1</v>
      </c>
      <c r="I641" s="7">
        <v>0</v>
      </c>
      <c r="J641" s="5">
        <v>45918</v>
      </c>
      <c r="K641" s="1" t="s">
        <v>30</v>
      </c>
      <c r="L641" s="8">
        <v>0</v>
      </c>
      <c r="M641" s="6"/>
      <c r="N641" s="6"/>
      <c r="O641" s="9">
        <v>0</v>
      </c>
    </row>
    <row r="642" spans="1:15" ht="19.5" customHeight="1">
      <c r="A642" s="1" t="s">
        <v>520</v>
      </c>
      <c r="B642" s="5">
        <v>45921</v>
      </c>
      <c r="C642" s="1" t="s">
        <v>28</v>
      </c>
      <c r="D642" s="1" t="s">
        <v>46</v>
      </c>
      <c r="E642" s="1" t="s">
        <v>228</v>
      </c>
      <c r="F642" s="1" t="s">
        <v>393</v>
      </c>
      <c r="G642" s="1" t="s">
        <v>21</v>
      </c>
      <c r="H642" s="6">
        <v>1</v>
      </c>
      <c r="I642" s="7">
        <v>0</v>
      </c>
      <c r="J642" s="5">
        <v>45918</v>
      </c>
      <c r="K642" s="1" t="s">
        <v>30</v>
      </c>
      <c r="L642" s="8">
        <v>0</v>
      </c>
      <c r="M642" s="6"/>
      <c r="N642" s="6"/>
      <c r="O642" s="9">
        <v>-46</v>
      </c>
    </row>
    <row r="643" spans="1:15" ht="19.5" customHeight="1">
      <c r="A643" s="1" t="s">
        <v>520</v>
      </c>
      <c r="B643" s="5">
        <v>45921</v>
      </c>
      <c r="C643" s="1" t="s">
        <v>17</v>
      </c>
      <c r="D643" s="1" t="s">
        <v>47</v>
      </c>
      <c r="E643" s="1" t="s">
        <v>228</v>
      </c>
      <c r="F643" s="1" t="s">
        <v>393</v>
      </c>
      <c r="G643" s="1" t="s">
        <v>21</v>
      </c>
      <c r="H643" s="6">
        <v>1</v>
      </c>
      <c r="I643" s="7">
        <v>0</v>
      </c>
      <c r="J643" s="5">
        <v>45918</v>
      </c>
      <c r="K643" s="1" t="s">
        <v>30</v>
      </c>
      <c r="L643" s="8">
        <v>0</v>
      </c>
      <c r="M643" s="6"/>
      <c r="N643" s="6"/>
      <c r="O643" s="9">
        <v>-15</v>
      </c>
    </row>
    <row r="644" spans="1:15" ht="19.5" customHeight="1">
      <c r="A644" s="1" t="s">
        <v>521</v>
      </c>
      <c r="B644" s="5">
        <v>45921</v>
      </c>
      <c r="C644" s="1" t="s">
        <v>17</v>
      </c>
      <c r="D644" s="1" t="s">
        <v>18</v>
      </c>
      <c r="E644" s="1" t="s">
        <v>70</v>
      </c>
      <c r="F644" s="1" t="s">
        <v>71</v>
      </c>
      <c r="G644" s="1" t="s">
        <v>41</v>
      </c>
      <c r="H644" s="6">
        <v>1</v>
      </c>
      <c r="I644" s="7">
        <v>0</v>
      </c>
      <c r="J644" s="5">
        <v>45921</v>
      </c>
      <c r="K644" s="1" t="s">
        <v>22</v>
      </c>
      <c r="L644" s="8">
        <v>0</v>
      </c>
      <c r="M644" s="6"/>
      <c r="N644" s="6"/>
      <c r="O644" s="9">
        <v>-42.7</v>
      </c>
    </row>
    <row r="645" spans="1:15" ht="19.5" customHeight="1">
      <c r="A645" s="1" t="s">
        <v>522</v>
      </c>
      <c r="B645" s="5">
        <v>45921</v>
      </c>
      <c r="C645" s="1" t="s">
        <v>17</v>
      </c>
      <c r="D645" s="1" t="s">
        <v>18</v>
      </c>
      <c r="E645" s="1" t="s">
        <v>227</v>
      </c>
      <c r="F645" s="1" t="s">
        <v>402</v>
      </c>
      <c r="G645" s="1" t="s">
        <v>21</v>
      </c>
      <c r="H645" s="6">
        <v>1</v>
      </c>
      <c r="I645" s="7">
        <v>0</v>
      </c>
      <c r="J645" s="5">
        <v>45921</v>
      </c>
      <c r="K645" s="1" t="s">
        <v>22</v>
      </c>
      <c r="L645" s="8">
        <v>0</v>
      </c>
      <c r="M645" s="6"/>
      <c r="N645" s="6"/>
      <c r="O645" s="9">
        <v>-15.01</v>
      </c>
    </row>
    <row r="646" spans="1:15" ht="19.5" customHeight="1">
      <c r="A646" s="1" t="s">
        <v>523</v>
      </c>
      <c r="B646" s="5">
        <v>45921</v>
      </c>
      <c r="C646" s="1" t="s">
        <v>17</v>
      </c>
      <c r="D646" s="1" t="s">
        <v>18</v>
      </c>
      <c r="E646" s="1" t="s">
        <v>70</v>
      </c>
      <c r="F646" s="1" t="s">
        <v>71</v>
      </c>
      <c r="G646" s="1" t="s">
        <v>41</v>
      </c>
      <c r="H646" s="6">
        <v>1</v>
      </c>
      <c r="I646" s="7">
        <v>0</v>
      </c>
      <c r="J646" s="5">
        <v>45921</v>
      </c>
      <c r="K646" s="1" t="s">
        <v>22</v>
      </c>
      <c r="L646" s="8">
        <v>0</v>
      </c>
      <c r="M646" s="6"/>
      <c r="N646" s="6"/>
      <c r="O646" s="9">
        <v>-42.7</v>
      </c>
    </row>
    <row r="647" spans="1:15" ht="19.5" customHeight="1">
      <c r="A647" s="1" t="s">
        <v>524</v>
      </c>
      <c r="B647" s="5">
        <v>45921</v>
      </c>
      <c r="C647" s="1" t="s">
        <v>28</v>
      </c>
      <c r="D647" s="1" t="s">
        <v>29</v>
      </c>
      <c r="E647" s="1" t="s">
        <v>25</v>
      </c>
      <c r="F647" s="1" t="s">
        <v>26</v>
      </c>
      <c r="G647" s="1" t="s">
        <v>21</v>
      </c>
      <c r="H647" s="6">
        <v>1</v>
      </c>
      <c r="I647" s="7">
        <v>0</v>
      </c>
      <c r="J647" s="5">
        <v>45917</v>
      </c>
      <c r="K647" s="1" t="s">
        <v>30</v>
      </c>
      <c r="L647" s="8">
        <v>0</v>
      </c>
      <c r="M647" s="6"/>
      <c r="N647" s="6"/>
      <c r="O647" s="9">
        <v>-46</v>
      </c>
    </row>
    <row r="648" spans="1:15" ht="19.5" customHeight="1">
      <c r="A648" s="1" t="s">
        <v>524</v>
      </c>
      <c r="B648" s="5">
        <v>45921</v>
      </c>
      <c r="C648" s="1" t="s">
        <v>17</v>
      </c>
      <c r="D648" s="1" t="s">
        <v>37</v>
      </c>
      <c r="E648" s="1" t="s">
        <v>25</v>
      </c>
      <c r="F648" s="1" t="s">
        <v>26</v>
      </c>
      <c r="G648" s="1" t="s">
        <v>21</v>
      </c>
      <c r="H648" s="6">
        <v>1</v>
      </c>
      <c r="I648" s="7">
        <v>0</v>
      </c>
      <c r="J648" s="5">
        <v>45917</v>
      </c>
      <c r="K648" s="1" t="s">
        <v>30</v>
      </c>
      <c r="L648" s="8">
        <v>0</v>
      </c>
      <c r="M648" s="6"/>
      <c r="N648" s="6"/>
      <c r="O648" s="9">
        <v>-7.89</v>
      </c>
    </row>
    <row r="649" spans="1:15" ht="19.5" customHeight="1">
      <c r="A649" s="1" t="s">
        <v>524</v>
      </c>
      <c r="B649" s="5">
        <v>45921</v>
      </c>
      <c r="C649" s="1" t="s">
        <v>28</v>
      </c>
      <c r="D649" s="1" t="s">
        <v>45</v>
      </c>
      <c r="E649" s="1" t="s">
        <v>25</v>
      </c>
      <c r="F649" s="1" t="s">
        <v>26</v>
      </c>
      <c r="G649" s="1" t="s">
        <v>21</v>
      </c>
      <c r="H649" s="6">
        <v>1</v>
      </c>
      <c r="I649" s="7">
        <v>0</v>
      </c>
      <c r="J649" s="5">
        <v>45917</v>
      </c>
      <c r="K649" s="1" t="s">
        <v>30</v>
      </c>
      <c r="L649" s="8">
        <v>0</v>
      </c>
      <c r="M649" s="6"/>
      <c r="N649" s="6"/>
      <c r="O649" s="9">
        <v>0</v>
      </c>
    </row>
    <row r="650" spans="1:15" ht="19.5" customHeight="1">
      <c r="A650" s="1" t="s">
        <v>524</v>
      </c>
      <c r="B650" s="5">
        <v>45921</v>
      </c>
      <c r="C650" s="1" t="s">
        <v>28</v>
      </c>
      <c r="D650" s="1" t="s">
        <v>46</v>
      </c>
      <c r="E650" s="1" t="s">
        <v>25</v>
      </c>
      <c r="F650" s="1" t="s">
        <v>26</v>
      </c>
      <c r="G650" s="1" t="s">
        <v>21</v>
      </c>
      <c r="H650" s="6">
        <v>1</v>
      </c>
      <c r="I650" s="7">
        <v>0</v>
      </c>
      <c r="J650" s="5">
        <v>45917</v>
      </c>
      <c r="K650" s="1" t="s">
        <v>30</v>
      </c>
      <c r="L650" s="8">
        <v>0</v>
      </c>
      <c r="M650" s="6"/>
      <c r="N650" s="6"/>
      <c r="O650" s="9">
        <v>-46</v>
      </c>
    </row>
    <row r="651" spans="1:15" ht="19.5" customHeight="1">
      <c r="A651" s="1" t="s">
        <v>525</v>
      </c>
      <c r="B651" s="5">
        <v>45921</v>
      </c>
      <c r="C651" s="1" t="s">
        <v>28</v>
      </c>
      <c r="D651" s="1" t="s">
        <v>29</v>
      </c>
      <c r="E651" s="1" t="s">
        <v>25</v>
      </c>
      <c r="F651" s="1" t="s">
        <v>26</v>
      </c>
      <c r="G651" s="1" t="s">
        <v>21</v>
      </c>
      <c r="H651" s="6">
        <v>1</v>
      </c>
      <c r="I651" s="7">
        <v>1176</v>
      </c>
      <c r="J651" s="5">
        <v>45919</v>
      </c>
      <c r="K651" s="1" t="s">
        <v>30</v>
      </c>
      <c r="L651" s="8">
        <v>0.2</v>
      </c>
      <c r="M651" s="6"/>
      <c r="N651" s="6"/>
      <c r="O651" s="9">
        <v>-46</v>
      </c>
    </row>
    <row r="652" spans="1:15" ht="19.5" customHeight="1">
      <c r="A652" s="1" t="s">
        <v>525</v>
      </c>
      <c r="B652" s="5">
        <v>45921</v>
      </c>
      <c r="C652" s="1" t="s">
        <v>31</v>
      </c>
      <c r="D652" s="1" t="s">
        <v>32</v>
      </c>
      <c r="E652" s="1" t="s">
        <v>25</v>
      </c>
      <c r="F652" s="1" t="s">
        <v>26</v>
      </c>
      <c r="G652" s="1" t="s">
        <v>21</v>
      </c>
      <c r="H652" s="6">
        <v>1</v>
      </c>
      <c r="I652" s="7">
        <v>1176</v>
      </c>
      <c r="J652" s="5">
        <v>45919</v>
      </c>
      <c r="K652" s="1" t="s">
        <v>30</v>
      </c>
      <c r="L652" s="8">
        <v>0</v>
      </c>
      <c r="M652" s="6"/>
      <c r="N652" s="6"/>
      <c r="O652" s="9">
        <v>581.99</v>
      </c>
    </row>
    <row r="653" spans="1:15" ht="19.5" customHeight="1">
      <c r="A653" s="1" t="s">
        <v>525</v>
      </c>
      <c r="B653" s="5">
        <v>45921</v>
      </c>
      <c r="C653" s="1" t="s">
        <v>31</v>
      </c>
      <c r="D653" s="1" t="s">
        <v>33</v>
      </c>
      <c r="E653" s="1" t="s">
        <v>25</v>
      </c>
      <c r="F653" s="1" t="s">
        <v>26</v>
      </c>
      <c r="G653" s="1" t="s">
        <v>21</v>
      </c>
      <c r="H653" s="6">
        <v>1</v>
      </c>
      <c r="I653" s="7">
        <v>1176</v>
      </c>
      <c r="J653" s="5">
        <v>45919</v>
      </c>
      <c r="K653" s="1" t="s">
        <v>30</v>
      </c>
      <c r="L653" s="8">
        <v>0</v>
      </c>
      <c r="M653" s="6"/>
      <c r="N653" s="6"/>
      <c r="O653" s="9">
        <v>4.28</v>
      </c>
    </row>
    <row r="654" spans="1:15" ht="19.5" customHeight="1">
      <c r="A654" s="1" t="s">
        <v>525</v>
      </c>
      <c r="B654" s="5">
        <v>45921</v>
      </c>
      <c r="C654" s="1" t="s">
        <v>31</v>
      </c>
      <c r="D654" s="1" t="s">
        <v>34</v>
      </c>
      <c r="E654" s="1" t="s">
        <v>25</v>
      </c>
      <c r="F654" s="1" t="s">
        <v>26</v>
      </c>
      <c r="G654" s="1" t="s">
        <v>21</v>
      </c>
      <c r="H654" s="6">
        <v>1</v>
      </c>
      <c r="I654" s="7">
        <v>1176</v>
      </c>
      <c r="J654" s="5">
        <v>45919</v>
      </c>
      <c r="K654" s="1" t="s">
        <v>30</v>
      </c>
      <c r="L654" s="8">
        <v>0</v>
      </c>
      <c r="M654" s="6"/>
      <c r="N654" s="6"/>
      <c r="O654" s="9">
        <v>589.73</v>
      </c>
    </row>
    <row r="655" spans="1:15" ht="19.5" customHeight="1">
      <c r="A655" s="1" t="s">
        <v>525</v>
      </c>
      <c r="B655" s="5">
        <v>45921</v>
      </c>
      <c r="C655" s="1" t="s">
        <v>35</v>
      </c>
      <c r="D655" s="1" t="s">
        <v>36</v>
      </c>
      <c r="E655" s="1" t="s">
        <v>25</v>
      </c>
      <c r="F655" s="1" t="s">
        <v>26</v>
      </c>
      <c r="G655" s="1" t="s">
        <v>21</v>
      </c>
      <c r="H655" s="6">
        <v>1</v>
      </c>
      <c r="I655" s="7">
        <v>1176</v>
      </c>
      <c r="J655" s="5">
        <v>45919</v>
      </c>
      <c r="K655" s="1" t="s">
        <v>30</v>
      </c>
      <c r="L655" s="8">
        <v>0.2</v>
      </c>
      <c r="M655" s="6"/>
      <c r="N655" s="6"/>
      <c r="O655" s="9">
        <v>-235.2</v>
      </c>
    </row>
    <row r="656" spans="1:15" ht="19.5" customHeight="1">
      <c r="A656" s="1" t="s">
        <v>525</v>
      </c>
      <c r="B656" s="5">
        <v>45921</v>
      </c>
      <c r="C656" s="1" t="s">
        <v>17</v>
      </c>
      <c r="D656" s="1" t="s">
        <v>37</v>
      </c>
      <c r="E656" s="1" t="s">
        <v>25</v>
      </c>
      <c r="F656" s="1" t="s">
        <v>26</v>
      </c>
      <c r="G656" s="1" t="s">
        <v>21</v>
      </c>
      <c r="H656" s="6">
        <v>1</v>
      </c>
      <c r="I656" s="7">
        <v>1176</v>
      </c>
      <c r="J656" s="5">
        <v>45919</v>
      </c>
      <c r="K656" s="1" t="s">
        <v>30</v>
      </c>
      <c r="L656" s="8">
        <v>0.2</v>
      </c>
      <c r="M656" s="6"/>
      <c r="N656" s="6"/>
      <c r="O656" s="9">
        <v>-7.1</v>
      </c>
    </row>
    <row r="657" spans="1:15" ht="19.5" customHeight="1">
      <c r="A657" s="1" t="s">
        <v>525</v>
      </c>
      <c r="B657" s="5">
        <v>45921</v>
      </c>
      <c r="C657" s="1" t="s">
        <v>17</v>
      </c>
      <c r="D657" s="1" t="s">
        <v>18</v>
      </c>
      <c r="E657" s="1" t="s">
        <v>25</v>
      </c>
      <c r="F657" s="1" t="s">
        <v>26</v>
      </c>
      <c r="G657" s="1" t="s">
        <v>21</v>
      </c>
      <c r="H657" s="6">
        <v>1</v>
      </c>
      <c r="I657" s="7">
        <v>0</v>
      </c>
      <c r="J657" s="5">
        <v>45919</v>
      </c>
      <c r="K657" s="1" t="s">
        <v>22</v>
      </c>
      <c r="L657" s="8">
        <v>0</v>
      </c>
      <c r="M657" s="6"/>
      <c r="N657" s="6"/>
      <c r="O657" s="9">
        <v>-11.06</v>
      </c>
    </row>
    <row r="658" spans="1:15" ht="19.5" customHeight="1">
      <c r="A658" s="1" t="s">
        <v>526</v>
      </c>
      <c r="B658" s="5">
        <v>45921</v>
      </c>
      <c r="C658" s="1" t="s">
        <v>28</v>
      </c>
      <c r="D658" s="1" t="s">
        <v>29</v>
      </c>
      <c r="E658" s="1" t="s">
        <v>224</v>
      </c>
      <c r="F658" s="1" t="s">
        <v>461</v>
      </c>
      <c r="G658" s="1" t="s">
        <v>21</v>
      </c>
      <c r="H658" s="6">
        <v>1</v>
      </c>
      <c r="I658" s="7">
        <v>0</v>
      </c>
      <c r="J658" s="5">
        <v>45918</v>
      </c>
      <c r="K658" s="1" t="s">
        <v>30</v>
      </c>
      <c r="L658" s="8">
        <v>0</v>
      </c>
      <c r="M658" s="6"/>
      <c r="N658" s="6"/>
      <c r="O658" s="9">
        <v>-46</v>
      </c>
    </row>
    <row r="659" spans="1:15" ht="19.5" customHeight="1">
      <c r="A659" s="1" t="s">
        <v>526</v>
      </c>
      <c r="B659" s="5">
        <v>45921</v>
      </c>
      <c r="C659" s="1" t="s">
        <v>28</v>
      </c>
      <c r="D659" s="1" t="s">
        <v>45</v>
      </c>
      <c r="E659" s="1" t="s">
        <v>224</v>
      </c>
      <c r="F659" s="1" t="s">
        <v>461</v>
      </c>
      <c r="G659" s="1" t="s">
        <v>21</v>
      </c>
      <c r="H659" s="6">
        <v>1</v>
      </c>
      <c r="I659" s="7">
        <v>0</v>
      </c>
      <c r="J659" s="5">
        <v>45918</v>
      </c>
      <c r="K659" s="1" t="s">
        <v>30</v>
      </c>
      <c r="L659" s="8">
        <v>0</v>
      </c>
      <c r="M659" s="6"/>
      <c r="N659" s="6"/>
      <c r="O659" s="9">
        <v>0</v>
      </c>
    </row>
    <row r="660" spans="1:15" ht="19.5" customHeight="1">
      <c r="A660" s="1" t="s">
        <v>526</v>
      </c>
      <c r="B660" s="5">
        <v>45921</v>
      </c>
      <c r="C660" s="1" t="s">
        <v>28</v>
      </c>
      <c r="D660" s="1" t="s">
        <v>46</v>
      </c>
      <c r="E660" s="1" t="s">
        <v>224</v>
      </c>
      <c r="F660" s="1" t="s">
        <v>461</v>
      </c>
      <c r="G660" s="1" t="s">
        <v>21</v>
      </c>
      <c r="H660" s="6">
        <v>1</v>
      </c>
      <c r="I660" s="7">
        <v>0</v>
      </c>
      <c r="J660" s="5">
        <v>45918</v>
      </c>
      <c r="K660" s="1" t="s">
        <v>30</v>
      </c>
      <c r="L660" s="8">
        <v>0</v>
      </c>
      <c r="M660" s="6"/>
      <c r="N660" s="6"/>
      <c r="O660" s="9">
        <v>-46</v>
      </c>
    </row>
    <row r="661" spans="1:15" ht="19.5" customHeight="1">
      <c r="A661" s="1" t="s">
        <v>527</v>
      </c>
      <c r="B661" s="5">
        <v>45921</v>
      </c>
      <c r="C661" s="1" t="s">
        <v>17</v>
      </c>
      <c r="D661" s="1" t="s">
        <v>18</v>
      </c>
      <c r="E661" s="1" t="s">
        <v>235</v>
      </c>
      <c r="F661" s="1" t="s">
        <v>528</v>
      </c>
      <c r="G661" s="1" t="s">
        <v>41</v>
      </c>
      <c r="H661" s="6">
        <v>1</v>
      </c>
      <c r="I661" s="7">
        <v>0</v>
      </c>
      <c r="J661" s="5">
        <v>45921</v>
      </c>
      <c r="K661" s="1" t="s">
        <v>22</v>
      </c>
      <c r="L661" s="8">
        <v>0</v>
      </c>
      <c r="M661" s="6"/>
      <c r="N661" s="6"/>
      <c r="O661" s="9">
        <v>-42.66</v>
      </c>
    </row>
    <row r="662" spans="1:15" ht="19.5" customHeight="1">
      <c r="A662" s="1" t="s">
        <v>529</v>
      </c>
      <c r="B662" s="5">
        <v>45921</v>
      </c>
      <c r="C662" s="1" t="s">
        <v>28</v>
      </c>
      <c r="D662" s="1" t="s">
        <v>29</v>
      </c>
      <c r="E662" s="1" t="s">
        <v>223</v>
      </c>
      <c r="F662" s="1" t="s">
        <v>395</v>
      </c>
      <c r="G662" s="1" t="s">
        <v>21</v>
      </c>
      <c r="H662" s="6">
        <v>1</v>
      </c>
      <c r="I662" s="7">
        <v>1392</v>
      </c>
      <c r="J662" s="5">
        <v>45919</v>
      </c>
      <c r="K662" s="1" t="s">
        <v>30</v>
      </c>
      <c r="L662" s="8">
        <v>0.2</v>
      </c>
      <c r="M662" s="6"/>
      <c r="N662" s="6"/>
      <c r="O662" s="9">
        <v>-46</v>
      </c>
    </row>
    <row r="663" spans="1:15" ht="19.5" customHeight="1">
      <c r="A663" s="1" t="s">
        <v>529</v>
      </c>
      <c r="B663" s="5">
        <v>45921</v>
      </c>
      <c r="C663" s="1" t="s">
        <v>31</v>
      </c>
      <c r="D663" s="1" t="s">
        <v>32</v>
      </c>
      <c r="E663" s="1" t="s">
        <v>223</v>
      </c>
      <c r="F663" s="1" t="s">
        <v>395</v>
      </c>
      <c r="G663" s="1" t="s">
        <v>21</v>
      </c>
      <c r="H663" s="6">
        <v>1</v>
      </c>
      <c r="I663" s="7">
        <v>1392</v>
      </c>
      <c r="J663" s="5">
        <v>45919</v>
      </c>
      <c r="K663" s="1" t="s">
        <v>30</v>
      </c>
      <c r="L663" s="8">
        <v>0</v>
      </c>
      <c r="M663" s="6"/>
      <c r="N663" s="6"/>
      <c r="O663" s="9">
        <v>751.43</v>
      </c>
    </row>
    <row r="664" spans="1:15" ht="19.5" customHeight="1">
      <c r="A664" s="1" t="s">
        <v>529</v>
      </c>
      <c r="B664" s="5">
        <v>45921</v>
      </c>
      <c r="C664" s="1" t="s">
        <v>31</v>
      </c>
      <c r="D664" s="1" t="s">
        <v>33</v>
      </c>
      <c r="E664" s="1" t="s">
        <v>223</v>
      </c>
      <c r="F664" s="1" t="s">
        <v>395</v>
      </c>
      <c r="G664" s="1" t="s">
        <v>21</v>
      </c>
      <c r="H664" s="6">
        <v>1</v>
      </c>
      <c r="I664" s="7">
        <v>1392</v>
      </c>
      <c r="J664" s="5">
        <v>45919</v>
      </c>
      <c r="K664" s="1" t="s">
        <v>30</v>
      </c>
      <c r="L664" s="8">
        <v>0</v>
      </c>
      <c r="M664" s="6"/>
      <c r="N664" s="6"/>
      <c r="O664" s="9">
        <v>5.52</v>
      </c>
    </row>
    <row r="665" spans="1:15" ht="19.5" customHeight="1">
      <c r="A665" s="1" t="s">
        <v>529</v>
      </c>
      <c r="B665" s="5">
        <v>45921</v>
      </c>
      <c r="C665" s="1" t="s">
        <v>31</v>
      </c>
      <c r="D665" s="1" t="s">
        <v>34</v>
      </c>
      <c r="E665" s="1" t="s">
        <v>223</v>
      </c>
      <c r="F665" s="1" t="s">
        <v>395</v>
      </c>
      <c r="G665" s="1" t="s">
        <v>21</v>
      </c>
      <c r="H665" s="6">
        <v>1</v>
      </c>
      <c r="I665" s="7">
        <v>1392</v>
      </c>
      <c r="J665" s="5">
        <v>45919</v>
      </c>
      <c r="K665" s="1" t="s">
        <v>30</v>
      </c>
      <c r="L665" s="8">
        <v>0</v>
      </c>
      <c r="M665" s="6"/>
      <c r="N665" s="6"/>
      <c r="O665" s="9">
        <v>635.04999999999995</v>
      </c>
    </row>
    <row r="666" spans="1:15" ht="19.5" customHeight="1">
      <c r="A666" s="1" t="s">
        <v>529</v>
      </c>
      <c r="B666" s="5">
        <v>45921</v>
      </c>
      <c r="C666" s="1" t="s">
        <v>35</v>
      </c>
      <c r="D666" s="1" t="s">
        <v>36</v>
      </c>
      <c r="E666" s="1" t="s">
        <v>223</v>
      </c>
      <c r="F666" s="1" t="s">
        <v>395</v>
      </c>
      <c r="G666" s="1" t="s">
        <v>21</v>
      </c>
      <c r="H666" s="6">
        <v>1</v>
      </c>
      <c r="I666" s="7">
        <v>1392</v>
      </c>
      <c r="J666" s="5">
        <v>45919</v>
      </c>
      <c r="K666" s="1" t="s">
        <v>30</v>
      </c>
      <c r="L666" s="8">
        <v>0.2</v>
      </c>
      <c r="M666" s="6"/>
      <c r="N666" s="6"/>
      <c r="O666" s="9">
        <v>-278.39999999999998</v>
      </c>
    </row>
    <row r="667" spans="1:15" ht="19.5" customHeight="1">
      <c r="A667" s="1" t="s">
        <v>529</v>
      </c>
      <c r="B667" s="5">
        <v>45921</v>
      </c>
      <c r="C667" s="1" t="s">
        <v>17</v>
      </c>
      <c r="D667" s="1" t="s">
        <v>37</v>
      </c>
      <c r="E667" s="1" t="s">
        <v>223</v>
      </c>
      <c r="F667" s="1" t="s">
        <v>395</v>
      </c>
      <c r="G667" s="1" t="s">
        <v>21</v>
      </c>
      <c r="H667" s="6">
        <v>1</v>
      </c>
      <c r="I667" s="7">
        <v>1392</v>
      </c>
      <c r="J667" s="5">
        <v>45919</v>
      </c>
      <c r="K667" s="1" t="s">
        <v>30</v>
      </c>
      <c r="L667" s="8">
        <v>0.2</v>
      </c>
      <c r="M667" s="6"/>
      <c r="N667" s="6"/>
      <c r="O667" s="9">
        <v>-5.18</v>
      </c>
    </row>
    <row r="668" spans="1:15" ht="19.5" customHeight="1">
      <c r="A668" s="1" t="s">
        <v>529</v>
      </c>
      <c r="B668" s="5">
        <v>45921</v>
      </c>
      <c r="C668" s="1" t="s">
        <v>17</v>
      </c>
      <c r="D668" s="1" t="s">
        <v>18</v>
      </c>
      <c r="E668" s="1" t="s">
        <v>223</v>
      </c>
      <c r="F668" s="1" t="s">
        <v>395</v>
      </c>
      <c r="G668" s="1" t="s">
        <v>21</v>
      </c>
      <c r="H668" s="6">
        <v>1</v>
      </c>
      <c r="I668" s="7">
        <v>0</v>
      </c>
      <c r="J668" s="5">
        <v>45919</v>
      </c>
      <c r="K668" s="1" t="s">
        <v>22</v>
      </c>
      <c r="L668" s="8">
        <v>0</v>
      </c>
      <c r="M668" s="6"/>
      <c r="N668" s="6"/>
      <c r="O668" s="9">
        <v>-14.28</v>
      </c>
    </row>
    <row r="669" spans="1:15" ht="19.5" customHeight="1">
      <c r="A669" s="1" t="s">
        <v>530</v>
      </c>
      <c r="B669" s="5">
        <v>45921</v>
      </c>
      <c r="C669" s="1" t="s">
        <v>17</v>
      </c>
      <c r="D669" s="1" t="s">
        <v>18</v>
      </c>
      <c r="E669" s="1" t="s">
        <v>226</v>
      </c>
      <c r="F669" s="1" t="s">
        <v>428</v>
      </c>
      <c r="G669" s="1" t="s">
        <v>21</v>
      </c>
      <c r="H669" s="6">
        <v>1</v>
      </c>
      <c r="I669" s="7">
        <v>0</v>
      </c>
      <c r="J669" s="5">
        <v>45921</v>
      </c>
      <c r="K669" s="1" t="s">
        <v>22</v>
      </c>
      <c r="L669" s="8">
        <v>0</v>
      </c>
      <c r="M669" s="6"/>
      <c r="N669" s="6"/>
      <c r="O669" s="9">
        <v>-5.61</v>
      </c>
    </row>
    <row r="670" spans="1:15" ht="19.5" customHeight="1">
      <c r="A670" s="1" t="s">
        <v>531</v>
      </c>
      <c r="B670" s="5">
        <v>45921</v>
      </c>
      <c r="C670" s="1" t="s">
        <v>17</v>
      </c>
      <c r="D670" s="1" t="s">
        <v>18</v>
      </c>
      <c r="E670" s="1" t="s">
        <v>25</v>
      </c>
      <c r="F670" s="1" t="s">
        <v>26</v>
      </c>
      <c r="G670" s="1" t="s">
        <v>21</v>
      </c>
      <c r="H670" s="6">
        <v>1</v>
      </c>
      <c r="I670" s="7">
        <v>0</v>
      </c>
      <c r="J670" s="5">
        <v>45921</v>
      </c>
      <c r="K670" s="1" t="s">
        <v>22</v>
      </c>
      <c r="L670" s="8">
        <v>0</v>
      </c>
      <c r="M670" s="6"/>
      <c r="N670" s="6"/>
      <c r="O670" s="9">
        <v>-3.48</v>
      </c>
    </row>
    <row r="671" spans="1:15" ht="19.5" customHeight="1">
      <c r="A671" s="1" t="s">
        <v>532</v>
      </c>
      <c r="B671" s="5">
        <v>45921</v>
      </c>
      <c r="C671" s="1" t="s">
        <v>28</v>
      </c>
      <c r="D671" s="1" t="s">
        <v>29</v>
      </c>
      <c r="E671" s="1" t="s">
        <v>19</v>
      </c>
      <c r="F671" s="1" t="s">
        <v>20</v>
      </c>
      <c r="G671" s="1" t="s">
        <v>21</v>
      </c>
      <c r="H671" s="6">
        <v>1</v>
      </c>
      <c r="I671" s="7">
        <v>1380</v>
      </c>
      <c r="J671" s="5">
        <v>45918</v>
      </c>
      <c r="K671" s="1" t="s">
        <v>30</v>
      </c>
      <c r="L671" s="8">
        <v>0.2</v>
      </c>
      <c r="M671" s="6"/>
      <c r="N671" s="6"/>
      <c r="O671" s="9">
        <v>-46</v>
      </c>
    </row>
    <row r="672" spans="1:15" ht="19.5" customHeight="1">
      <c r="A672" s="1" t="s">
        <v>532</v>
      </c>
      <c r="B672" s="5">
        <v>45921</v>
      </c>
      <c r="C672" s="1" t="s">
        <v>31</v>
      </c>
      <c r="D672" s="1" t="s">
        <v>32</v>
      </c>
      <c r="E672" s="1" t="s">
        <v>19</v>
      </c>
      <c r="F672" s="1" t="s">
        <v>20</v>
      </c>
      <c r="G672" s="1" t="s">
        <v>21</v>
      </c>
      <c r="H672" s="6">
        <v>1</v>
      </c>
      <c r="I672" s="7">
        <v>1380</v>
      </c>
      <c r="J672" s="5">
        <v>45918</v>
      </c>
      <c r="K672" s="1" t="s">
        <v>30</v>
      </c>
      <c r="L672" s="8">
        <v>0</v>
      </c>
      <c r="M672" s="6"/>
      <c r="N672" s="6"/>
      <c r="O672" s="9">
        <v>836.97</v>
      </c>
    </row>
    <row r="673" spans="1:15" ht="19.5" customHeight="1">
      <c r="A673" s="1" t="s">
        <v>532</v>
      </c>
      <c r="B673" s="5">
        <v>45921</v>
      </c>
      <c r="C673" s="1" t="s">
        <v>31</v>
      </c>
      <c r="D673" s="1" t="s">
        <v>33</v>
      </c>
      <c r="E673" s="1" t="s">
        <v>19</v>
      </c>
      <c r="F673" s="1" t="s">
        <v>20</v>
      </c>
      <c r="G673" s="1" t="s">
        <v>21</v>
      </c>
      <c r="H673" s="6">
        <v>1</v>
      </c>
      <c r="I673" s="7">
        <v>1380</v>
      </c>
      <c r="J673" s="5">
        <v>45918</v>
      </c>
      <c r="K673" s="1" t="s">
        <v>30</v>
      </c>
      <c r="L673" s="8">
        <v>0</v>
      </c>
      <c r="M673" s="6"/>
      <c r="N673" s="6"/>
      <c r="O673" s="9">
        <v>6.15</v>
      </c>
    </row>
    <row r="674" spans="1:15" ht="19.5" customHeight="1">
      <c r="A674" s="1" t="s">
        <v>532</v>
      </c>
      <c r="B674" s="5">
        <v>45921</v>
      </c>
      <c r="C674" s="1" t="s">
        <v>31</v>
      </c>
      <c r="D674" s="1" t="s">
        <v>34</v>
      </c>
      <c r="E674" s="1" t="s">
        <v>19</v>
      </c>
      <c r="F674" s="1" t="s">
        <v>20</v>
      </c>
      <c r="G674" s="1" t="s">
        <v>21</v>
      </c>
      <c r="H674" s="6">
        <v>1</v>
      </c>
      <c r="I674" s="7">
        <v>1380</v>
      </c>
      <c r="J674" s="5">
        <v>45918</v>
      </c>
      <c r="K674" s="1" t="s">
        <v>30</v>
      </c>
      <c r="L674" s="8">
        <v>0</v>
      </c>
      <c r="M674" s="6"/>
      <c r="N674" s="6"/>
      <c r="O674" s="9">
        <v>536.88</v>
      </c>
    </row>
    <row r="675" spans="1:15" ht="19.5" customHeight="1">
      <c r="A675" s="1" t="s">
        <v>532</v>
      </c>
      <c r="B675" s="5">
        <v>45921</v>
      </c>
      <c r="C675" s="1" t="s">
        <v>35</v>
      </c>
      <c r="D675" s="1" t="s">
        <v>36</v>
      </c>
      <c r="E675" s="1" t="s">
        <v>19</v>
      </c>
      <c r="F675" s="1" t="s">
        <v>20</v>
      </c>
      <c r="G675" s="1" t="s">
        <v>21</v>
      </c>
      <c r="H675" s="6">
        <v>1</v>
      </c>
      <c r="I675" s="7">
        <v>1380</v>
      </c>
      <c r="J675" s="5">
        <v>45918</v>
      </c>
      <c r="K675" s="1" t="s">
        <v>30</v>
      </c>
      <c r="L675" s="8">
        <v>0.2</v>
      </c>
      <c r="M675" s="6"/>
      <c r="N675" s="6"/>
      <c r="O675" s="9">
        <v>-276</v>
      </c>
    </row>
    <row r="676" spans="1:15" ht="19.5" customHeight="1">
      <c r="A676" s="1" t="s">
        <v>532</v>
      </c>
      <c r="B676" s="5">
        <v>45921</v>
      </c>
      <c r="C676" s="1" t="s">
        <v>17</v>
      </c>
      <c r="D676" s="1" t="s">
        <v>37</v>
      </c>
      <c r="E676" s="1" t="s">
        <v>19</v>
      </c>
      <c r="F676" s="1" t="s">
        <v>20</v>
      </c>
      <c r="G676" s="1" t="s">
        <v>21</v>
      </c>
      <c r="H676" s="6">
        <v>1</v>
      </c>
      <c r="I676" s="7">
        <v>1380</v>
      </c>
      <c r="J676" s="5">
        <v>45918</v>
      </c>
      <c r="K676" s="1" t="s">
        <v>30</v>
      </c>
      <c r="L676" s="8">
        <v>0.2</v>
      </c>
      <c r="M676" s="6"/>
      <c r="N676" s="6"/>
      <c r="O676" s="9">
        <v>-5.23</v>
      </c>
    </row>
    <row r="677" spans="1:15" ht="19.5" customHeight="1">
      <c r="A677" s="1" t="s">
        <v>22</v>
      </c>
      <c r="B677" s="5">
        <v>45921</v>
      </c>
      <c r="C677" s="1" t="s">
        <v>77</v>
      </c>
      <c r="D677" s="1" t="s">
        <v>78</v>
      </c>
      <c r="E677" s="1" t="s">
        <v>22</v>
      </c>
      <c r="F677" s="1" t="s">
        <v>22</v>
      </c>
      <c r="G677" s="1" t="s">
        <v>533</v>
      </c>
      <c r="H677" s="6">
        <v>0</v>
      </c>
      <c r="I677" s="7">
        <v>0</v>
      </c>
      <c r="J677" s="5">
        <v>45921</v>
      </c>
      <c r="K677" s="1" t="s">
        <v>22</v>
      </c>
      <c r="L677" s="8">
        <v>0</v>
      </c>
      <c r="M677" s="6"/>
      <c r="N677" s="6"/>
      <c r="O677" s="9">
        <v>-200</v>
      </c>
    </row>
    <row r="678" spans="1:15" ht="19.5" customHeight="1">
      <c r="A678" s="1" t="s">
        <v>534</v>
      </c>
      <c r="B678" s="5">
        <v>45921</v>
      </c>
      <c r="C678" s="1" t="s">
        <v>28</v>
      </c>
      <c r="D678" s="1" t="s">
        <v>29</v>
      </c>
      <c r="E678" s="1" t="s">
        <v>92</v>
      </c>
      <c r="F678" s="1" t="s">
        <v>93</v>
      </c>
      <c r="G678" s="1" t="s">
        <v>21</v>
      </c>
      <c r="H678" s="6">
        <v>1</v>
      </c>
      <c r="I678" s="7">
        <v>0</v>
      </c>
      <c r="J678" s="5">
        <v>45916</v>
      </c>
      <c r="K678" s="1" t="s">
        <v>30</v>
      </c>
      <c r="L678" s="8">
        <v>0</v>
      </c>
      <c r="M678" s="6"/>
      <c r="N678" s="6"/>
      <c r="O678" s="9">
        <v>-46</v>
      </c>
    </row>
    <row r="679" spans="1:15" ht="19.5" customHeight="1">
      <c r="A679" s="1" t="s">
        <v>534</v>
      </c>
      <c r="B679" s="5">
        <v>45921</v>
      </c>
      <c r="C679" s="1" t="s">
        <v>17</v>
      </c>
      <c r="D679" s="1" t="s">
        <v>37</v>
      </c>
      <c r="E679" s="1" t="s">
        <v>92</v>
      </c>
      <c r="F679" s="1" t="s">
        <v>93</v>
      </c>
      <c r="G679" s="1" t="s">
        <v>21</v>
      </c>
      <c r="H679" s="6">
        <v>1</v>
      </c>
      <c r="I679" s="7">
        <v>0</v>
      </c>
      <c r="J679" s="5">
        <v>45916</v>
      </c>
      <c r="K679" s="1" t="s">
        <v>30</v>
      </c>
      <c r="L679" s="8">
        <v>0</v>
      </c>
      <c r="M679" s="6"/>
      <c r="N679" s="6"/>
      <c r="O679" s="9">
        <v>-5.38</v>
      </c>
    </row>
    <row r="680" spans="1:15" ht="19.5" customHeight="1">
      <c r="A680" s="1" t="s">
        <v>534</v>
      </c>
      <c r="B680" s="5">
        <v>45921</v>
      </c>
      <c r="C680" s="1" t="s">
        <v>28</v>
      </c>
      <c r="D680" s="1" t="s">
        <v>356</v>
      </c>
      <c r="E680" s="1" t="s">
        <v>92</v>
      </c>
      <c r="F680" s="1" t="s">
        <v>93</v>
      </c>
      <c r="G680" s="1" t="s">
        <v>21</v>
      </c>
      <c r="H680" s="6">
        <v>1</v>
      </c>
      <c r="I680" s="7">
        <v>0</v>
      </c>
      <c r="J680" s="5">
        <v>45916</v>
      </c>
      <c r="K680" s="1" t="s">
        <v>30</v>
      </c>
      <c r="L680" s="8">
        <v>0</v>
      </c>
      <c r="M680" s="6"/>
      <c r="N680" s="6"/>
      <c r="O680" s="9">
        <v>0</v>
      </c>
    </row>
    <row r="681" spans="1:15" ht="19.5" customHeight="1">
      <c r="A681" s="1" t="s">
        <v>534</v>
      </c>
      <c r="B681" s="5">
        <v>45921</v>
      </c>
      <c r="C681" s="1" t="s">
        <v>28</v>
      </c>
      <c r="D681" s="1" t="s">
        <v>46</v>
      </c>
      <c r="E681" s="1" t="s">
        <v>92</v>
      </c>
      <c r="F681" s="1" t="s">
        <v>93</v>
      </c>
      <c r="G681" s="1" t="s">
        <v>21</v>
      </c>
      <c r="H681" s="6">
        <v>1</v>
      </c>
      <c r="I681" s="7">
        <v>0</v>
      </c>
      <c r="J681" s="5">
        <v>45916</v>
      </c>
      <c r="K681" s="1" t="s">
        <v>30</v>
      </c>
      <c r="L681" s="8">
        <v>0</v>
      </c>
      <c r="M681" s="6"/>
      <c r="N681" s="6"/>
      <c r="O681" s="9">
        <v>-46</v>
      </c>
    </row>
    <row r="682" spans="1:15" ht="19.5" customHeight="1">
      <c r="A682" s="1" t="s">
        <v>534</v>
      </c>
      <c r="B682" s="5">
        <v>45921</v>
      </c>
      <c r="C682" s="1" t="s">
        <v>17</v>
      </c>
      <c r="D682" s="1" t="s">
        <v>47</v>
      </c>
      <c r="E682" s="1" t="s">
        <v>92</v>
      </c>
      <c r="F682" s="1" t="s">
        <v>93</v>
      </c>
      <c r="G682" s="1" t="s">
        <v>21</v>
      </c>
      <c r="H682" s="6">
        <v>1</v>
      </c>
      <c r="I682" s="7">
        <v>0</v>
      </c>
      <c r="J682" s="5">
        <v>45916</v>
      </c>
      <c r="K682" s="1" t="s">
        <v>30</v>
      </c>
      <c r="L682" s="8">
        <v>0</v>
      </c>
      <c r="M682" s="6"/>
      <c r="N682" s="6"/>
      <c r="O682" s="9">
        <v>-15</v>
      </c>
    </row>
    <row r="683" spans="1:15" ht="19.5" customHeight="1">
      <c r="A683" s="1" t="s">
        <v>22</v>
      </c>
      <c r="B683" s="5">
        <v>45921</v>
      </c>
      <c r="C683" s="1" t="s">
        <v>77</v>
      </c>
      <c r="D683" s="1" t="s">
        <v>80</v>
      </c>
      <c r="E683" s="1" t="s">
        <v>22</v>
      </c>
      <c r="F683" s="1" t="s">
        <v>22</v>
      </c>
      <c r="G683" s="1" t="s">
        <v>22</v>
      </c>
      <c r="H683" s="6">
        <v>0</v>
      </c>
      <c r="I683" s="7">
        <v>0</v>
      </c>
      <c r="J683" s="5">
        <v>45921</v>
      </c>
      <c r="K683" s="1" t="s">
        <v>22</v>
      </c>
      <c r="L683" s="8">
        <v>0</v>
      </c>
      <c r="M683" s="6"/>
      <c r="N683" s="6"/>
      <c r="O683" s="9">
        <v>-648</v>
      </c>
    </row>
    <row r="684" spans="1:15" ht="19.5" customHeight="1">
      <c r="A684" s="1" t="s">
        <v>83</v>
      </c>
      <c r="B684" s="5">
        <v>45921</v>
      </c>
      <c r="C684" s="1" t="s">
        <v>77</v>
      </c>
      <c r="D684" s="1" t="s">
        <v>84</v>
      </c>
      <c r="E684" s="1" t="s">
        <v>22</v>
      </c>
      <c r="F684" s="1" t="s">
        <v>22</v>
      </c>
      <c r="G684" s="1" t="s">
        <v>22</v>
      </c>
      <c r="H684" s="6">
        <v>0</v>
      </c>
      <c r="I684" s="7">
        <v>0</v>
      </c>
      <c r="J684" s="5">
        <v>45921</v>
      </c>
      <c r="K684" s="1" t="s">
        <v>22</v>
      </c>
      <c r="L684" s="8">
        <v>0</v>
      </c>
      <c r="M684" s="6"/>
      <c r="N684" s="6"/>
      <c r="O684" s="9">
        <v>-1796.7</v>
      </c>
    </row>
    <row r="685" spans="1:15" ht="19.5" customHeight="1">
      <c r="A685" s="1" t="s">
        <v>454</v>
      </c>
      <c r="B685" s="5">
        <v>45921</v>
      </c>
      <c r="C685" s="1" t="s">
        <v>77</v>
      </c>
      <c r="D685" s="1" t="s">
        <v>82</v>
      </c>
      <c r="E685" s="1" t="s">
        <v>22</v>
      </c>
      <c r="F685" s="1" t="s">
        <v>22</v>
      </c>
      <c r="G685" s="1" t="s">
        <v>22</v>
      </c>
      <c r="H685" s="6">
        <v>0</v>
      </c>
      <c r="I685" s="7">
        <v>0</v>
      </c>
      <c r="J685" s="5">
        <v>45921</v>
      </c>
      <c r="K685" s="1" t="s">
        <v>22</v>
      </c>
      <c r="L685" s="8">
        <v>0</v>
      </c>
      <c r="M685" s="6"/>
      <c r="N685" s="6"/>
      <c r="O685" s="9">
        <v>-1975.19</v>
      </c>
    </row>
    <row r="686" spans="1:15" ht="19.5" customHeight="1">
      <c r="A686" s="1" t="s">
        <v>81</v>
      </c>
      <c r="B686" s="5">
        <v>45921</v>
      </c>
      <c r="C686" s="1" t="s">
        <v>77</v>
      </c>
      <c r="D686" s="1" t="s">
        <v>82</v>
      </c>
      <c r="E686" s="1" t="s">
        <v>22</v>
      </c>
      <c r="F686" s="1" t="s">
        <v>22</v>
      </c>
      <c r="G686" s="1" t="s">
        <v>22</v>
      </c>
      <c r="H686" s="6">
        <v>0</v>
      </c>
      <c r="I686" s="7">
        <v>0</v>
      </c>
      <c r="J686" s="5">
        <v>45921</v>
      </c>
      <c r="K686" s="1" t="s">
        <v>22</v>
      </c>
      <c r="L686" s="8">
        <v>0</v>
      </c>
      <c r="M686" s="6"/>
      <c r="N686" s="6"/>
      <c r="O686" s="9">
        <v>-4000</v>
      </c>
    </row>
    <row r="687" spans="1:15" ht="19.5" customHeight="1">
      <c r="A687" s="1" t="s">
        <v>535</v>
      </c>
      <c r="B687" s="5">
        <v>45922</v>
      </c>
      <c r="C687" s="1" t="s">
        <v>17</v>
      </c>
      <c r="D687" s="1" t="s">
        <v>18</v>
      </c>
      <c r="E687" s="1" t="s">
        <v>25</v>
      </c>
      <c r="F687" s="1" t="s">
        <v>26</v>
      </c>
      <c r="G687" s="1" t="s">
        <v>21</v>
      </c>
      <c r="H687" s="6">
        <v>1</v>
      </c>
      <c r="I687" s="7">
        <v>0</v>
      </c>
      <c r="J687" s="5">
        <v>45922</v>
      </c>
      <c r="K687" s="1" t="s">
        <v>22</v>
      </c>
      <c r="L687" s="8">
        <v>0</v>
      </c>
      <c r="M687" s="6"/>
      <c r="N687" s="6"/>
      <c r="O687" s="9">
        <v>-11.11</v>
      </c>
    </row>
    <row r="688" spans="1:15" ht="19.5" customHeight="1">
      <c r="A688" s="1" t="s">
        <v>536</v>
      </c>
      <c r="B688" s="5">
        <v>45922</v>
      </c>
      <c r="C688" s="1" t="s">
        <v>17</v>
      </c>
      <c r="D688" s="1" t="s">
        <v>18</v>
      </c>
      <c r="E688" s="1" t="s">
        <v>25</v>
      </c>
      <c r="F688" s="1" t="s">
        <v>26</v>
      </c>
      <c r="G688" s="1" t="s">
        <v>21</v>
      </c>
      <c r="H688" s="6">
        <v>1</v>
      </c>
      <c r="I688" s="7">
        <v>0</v>
      </c>
      <c r="J688" s="5">
        <v>45922</v>
      </c>
      <c r="K688" s="1" t="s">
        <v>22</v>
      </c>
      <c r="L688" s="8">
        <v>0</v>
      </c>
      <c r="M688" s="6"/>
      <c r="N688" s="6"/>
      <c r="O688" s="9">
        <v>-10.71</v>
      </c>
    </row>
    <row r="689" spans="1:15" ht="19.5" customHeight="1">
      <c r="A689" s="1" t="s">
        <v>537</v>
      </c>
      <c r="B689" s="5">
        <v>45922</v>
      </c>
      <c r="C689" s="1" t="s">
        <v>28</v>
      </c>
      <c r="D689" s="1" t="s">
        <v>29</v>
      </c>
      <c r="E689" s="1" t="s">
        <v>54</v>
      </c>
      <c r="F689" s="1" t="s">
        <v>55</v>
      </c>
      <c r="G689" s="1" t="s">
        <v>21</v>
      </c>
      <c r="H689" s="6">
        <v>1</v>
      </c>
      <c r="I689" s="7">
        <v>1344</v>
      </c>
      <c r="J689" s="5">
        <v>45918</v>
      </c>
      <c r="K689" s="1" t="s">
        <v>30</v>
      </c>
      <c r="L689" s="8">
        <v>0.2</v>
      </c>
      <c r="M689" s="6"/>
      <c r="N689" s="6"/>
      <c r="O689" s="9">
        <v>-46</v>
      </c>
    </row>
    <row r="690" spans="1:15" ht="19.5" customHeight="1">
      <c r="A690" s="1" t="s">
        <v>537</v>
      </c>
      <c r="B690" s="5">
        <v>45922</v>
      </c>
      <c r="C690" s="1" t="s">
        <v>31</v>
      </c>
      <c r="D690" s="1" t="s">
        <v>32</v>
      </c>
      <c r="E690" s="1" t="s">
        <v>54</v>
      </c>
      <c r="F690" s="1" t="s">
        <v>55</v>
      </c>
      <c r="G690" s="1" t="s">
        <v>21</v>
      </c>
      <c r="H690" s="6">
        <v>1</v>
      </c>
      <c r="I690" s="7">
        <v>1344</v>
      </c>
      <c r="J690" s="5">
        <v>45918</v>
      </c>
      <c r="K690" s="1" t="s">
        <v>30</v>
      </c>
      <c r="L690" s="8">
        <v>0</v>
      </c>
      <c r="M690" s="6"/>
      <c r="N690" s="6"/>
      <c r="O690" s="9">
        <v>701.9</v>
      </c>
    </row>
    <row r="691" spans="1:15" ht="19.5" customHeight="1">
      <c r="A691" s="1" t="s">
        <v>537</v>
      </c>
      <c r="B691" s="5">
        <v>45922</v>
      </c>
      <c r="C691" s="1" t="s">
        <v>31</v>
      </c>
      <c r="D691" s="1" t="s">
        <v>33</v>
      </c>
      <c r="E691" s="1" t="s">
        <v>54</v>
      </c>
      <c r="F691" s="1" t="s">
        <v>55</v>
      </c>
      <c r="G691" s="1" t="s">
        <v>21</v>
      </c>
      <c r="H691" s="6">
        <v>1</v>
      </c>
      <c r="I691" s="7">
        <v>1344</v>
      </c>
      <c r="J691" s="5">
        <v>45918</v>
      </c>
      <c r="K691" s="1" t="s">
        <v>30</v>
      </c>
      <c r="L691" s="8">
        <v>0</v>
      </c>
      <c r="M691" s="6"/>
      <c r="N691" s="6"/>
      <c r="O691" s="9">
        <v>5.16</v>
      </c>
    </row>
    <row r="692" spans="1:15" ht="19.5" customHeight="1">
      <c r="A692" s="1" t="s">
        <v>537</v>
      </c>
      <c r="B692" s="5">
        <v>45922</v>
      </c>
      <c r="C692" s="1" t="s">
        <v>31</v>
      </c>
      <c r="D692" s="1" t="s">
        <v>34</v>
      </c>
      <c r="E692" s="1" t="s">
        <v>54</v>
      </c>
      <c r="F692" s="1" t="s">
        <v>55</v>
      </c>
      <c r="G692" s="1" t="s">
        <v>21</v>
      </c>
      <c r="H692" s="6">
        <v>1</v>
      </c>
      <c r="I692" s="7">
        <v>1344</v>
      </c>
      <c r="J692" s="5">
        <v>45918</v>
      </c>
      <c r="K692" s="1" t="s">
        <v>30</v>
      </c>
      <c r="L692" s="8">
        <v>0</v>
      </c>
      <c r="M692" s="6"/>
      <c r="N692" s="6"/>
      <c r="O692" s="9">
        <v>636.94000000000005</v>
      </c>
    </row>
    <row r="693" spans="1:15" ht="19.5" customHeight="1">
      <c r="A693" s="1" t="s">
        <v>537</v>
      </c>
      <c r="B693" s="5">
        <v>45922</v>
      </c>
      <c r="C693" s="1" t="s">
        <v>35</v>
      </c>
      <c r="D693" s="1" t="s">
        <v>36</v>
      </c>
      <c r="E693" s="1" t="s">
        <v>54</v>
      </c>
      <c r="F693" s="1" t="s">
        <v>55</v>
      </c>
      <c r="G693" s="1" t="s">
        <v>21</v>
      </c>
      <c r="H693" s="6">
        <v>1</v>
      </c>
      <c r="I693" s="7">
        <v>1344</v>
      </c>
      <c r="J693" s="5">
        <v>45918</v>
      </c>
      <c r="K693" s="1" t="s">
        <v>30</v>
      </c>
      <c r="L693" s="8">
        <v>0.2</v>
      </c>
      <c r="M693" s="6"/>
      <c r="N693" s="6"/>
      <c r="O693" s="9">
        <v>-268.8</v>
      </c>
    </row>
    <row r="694" spans="1:15" ht="19.5" customHeight="1">
      <c r="A694" s="1" t="s">
        <v>537</v>
      </c>
      <c r="B694" s="5">
        <v>45922</v>
      </c>
      <c r="C694" s="1" t="s">
        <v>17</v>
      </c>
      <c r="D694" s="1" t="s">
        <v>37</v>
      </c>
      <c r="E694" s="1" t="s">
        <v>54</v>
      </c>
      <c r="F694" s="1" t="s">
        <v>55</v>
      </c>
      <c r="G694" s="1" t="s">
        <v>21</v>
      </c>
      <c r="H694" s="6">
        <v>1</v>
      </c>
      <c r="I694" s="7">
        <v>1344</v>
      </c>
      <c r="J694" s="5">
        <v>45918</v>
      </c>
      <c r="K694" s="1" t="s">
        <v>30</v>
      </c>
      <c r="L694" s="8">
        <v>0.2</v>
      </c>
      <c r="M694" s="6"/>
      <c r="N694" s="6"/>
      <c r="O694" s="9">
        <v>-7.12</v>
      </c>
    </row>
    <row r="695" spans="1:15" ht="19.5" customHeight="1">
      <c r="A695" s="1" t="s">
        <v>468</v>
      </c>
      <c r="B695" s="5">
        <v>45922</v>
      </c>
      <c r="C695" s="1" t="s">
        <v>126</v>
      </c>
      <c r="D695" s="1" t="s">
        <v>127</v>
      </c>
      <c r="E695" s="1" t="s">
        <v>88</v>
      </c>
      <c r="F695" s="1" t="s">
        <v>89</v>
      </c>
      <c r="G695" s="1" t="s">
        <v>21</v>
      </c>
      <c r="H695" s="6">
        <v>1</v>
      </c>
      <c r="I695" s="7">
        <v>-1392</v>
      </c>
      <c r="J695" s="5">
        <v>45916</v>
      </c>
      <c r="K695" s="1" t="s">
        <v>30</v>
      </c>
      <c r="L695" s="8">
        <v>0</v>
      </c>
      <c r="M695" s="6"/>
      <c r="N695" s="6"/>
      <c r="O695" s="9">
        <v>-668.89</v>
      </c>
    </row>
    <row r="696" spans="1:15" ht="19.5" customHeight="1">
      <c r="A696" s="1" t="s">
        <v>468</v>
      </c>
      <c r="B696" s="5">
        <v>45922</v>
      </c>
      <c r="C696" s="1" t="s">
        <v>126</v>
      </c>
      <c r="D696" s="1" t="s">
        <v>33</v>
      </c>
      <c r="E696" s="1" t="s">
        <v>88</v>
      </c>
      <c r="F696" s="1" t="s">
        <v>89</v>
      </c>
      <c r="G696" s="1" t="s">
        <v>21</v>
      </c>
      <c r="H696" s="6">
        <v>1</v>
      </c>
      <c r="I696" s="7">
        <v>-1392</v>
      </c>
      <c r="J696" s="5">
        <v>45916</v>
      </c>
      <c r="K696" s="1" t="s">
        <v>30</v>
      </c>
      <c r="L696" s="8">
        <v>0</v>
      </c>
      <c r="M696" s="6"/>
      <c r="N696" s="6"/>
      <c r="O696" s="9">
        <v>-4.92</v>
      </c>
    </row>
    <row r="697" spans="1:15" ht="19.5" customHeight="1">
      <c r="A697" s="1" t="s">
        <v>468</v>
      </c>
      <c r="B697" s="5">
        <v>45922</v>
      </c>
      <c r="C697" s="1" t="s">
        <v>126</v>
      </c>
      <c r="D697" s="1" t="s">
        <v>34</v>
      </c>
      <c r="E697" s="1" t="s">
        <v>88</v>
      </c>
      <c r="F697" s="1" t="s">
        <v>89</v>
      </c>
      <c r="G697" s="1" t="s">
        <v>21</v>
      </c>
      <c r="H697" s="6">
        <v>1</v>
      </c>
      <c r="I697" s="7">
        <v>-1392</v>
      </c>
      <c r="J697" s="5">
        <v>45916</v>
      </c>
      <c r="K697" s="1" t="s">
        <v>30</v>
      </c>
      <c r="L697" s="8">
        <v>0</v>
      </c>
      <c r="M697" s="6"/>
      <c r="N697" s="6"/>
      <c r="O697" s="9">
        <v>-718.19</v>
      </c>
    </row>
    <row r="698" spans="1:15" ht="19.5" customHeight="1">
      <c r="A698" s="1" t="s">
        <v>468</v>
      </c>
      <c r="B698" s="5">
        <v>45922</v>
      </c>
      <c r="C698" s="1" t="s">
        <v>35</v>
      </c>
      <c r="D698" s="1" t="s">
        <v>128</v>
      </c>
      <c r="E698" s="1" t="s">
        <v>88</v>
      </c>
      <c r="F698" s="1" t="s">
        <v>89</v>
      </c>
      <c r="G698" s="1" t="s">
        <v>21</v>
      </c>
      <c r="H698" s="6">
        <v>1</v>
      </c>
      <c r="I698" s="7">
        <v>-1392</v>
      </c>
      <c r="J698" s="5">
        <v>45916</v>
      </c>
      <c r="K698" s="1" t="s">
        <v>30</v>
      </c>
      <c r="L698" s="8">
        <v>0.2</v>
      </c>
      <c r="M698" s="6"/>
      <c r="N698" s="6"/>
      <c r="O698" s="9">
        <v>278.39999999999998</v>
      </c>
    </row>
    <row r="699" spans="1:15" ht="19.5" customHeight="1">
      <c r="A699" s="1" t="s">
        <v>440</v>
      </c>
      <c r="B699" s="5">
        <v>45922</v>
      </c>
      <c r="C699" s="1" t="s">
        <v>17</v>
      </c>
      <c r="D699" s="1" t="s">
        <v>18</v>
      </c>
      <c r="E699" s="1" t="s">
        <v>88</v>
      </c>
      <c r="F699" s="1" t="s">
        <v>89</v>
      </c>
      <c r="G699" s="1" t="s">
        <v>21</v>
      </c>
      <c r="H699" s="6">
        <v>1</v>
      </c>
      <c r="I699" s="7">
        <v>0</v>
      </c>
      <c r="J699" s="5">
        <v>45916</v>
      </c>
      <c r="K699" s="1" t="s">
        <v>22</v>
      </c>
      <c r="L699" s="8">
        <v>0</v>
      </c>
      <c r="M699" s="6"/>
      <c r="N699" s="6"/>
      <c r="O699" s="9">
        <v>12.71</v>
      </c>
    </row>
    <row r="700" spans="1:15" ht="19.5" customHeight="1">
      <c r="A700" s="1" t="s">
        <v>538</v>
      </c>
      <c r="B700" s="5">
        <v>45922</v>
      </c>
      <c r="C700" s="1" t="s">
        <v>28</v>
      </c>
      <c r="D700" s="1" t="s">
        <v>29</v>
      </c>
      <c r="E700" s="1" t="s">
        <v>25</v>
      </c>
      <c r="F700" s="1" t="s">
        <v>26</v>
      </c>
      <c r="G700" s="1" t="s">
        <v>21</v>
      </c>
      <c r="H700" s="6">
        <v>1</v>
      </c>
      <c r="I700" s="7">
        <v>1176</v>
      </c>
      <c r="J700" s="5">
        <v>45913</v>
      </c>
      <c r="K700" s="1" t="s">
        <v>30</v>
      </c>
      <c r="L700" s="8">
        <v>0.2</v>
      </c>
      <c r="M700" s="6"/>
      <c r="N700" s="6"/>
      <c r="O700" s="9">
        <v>-46</v>
      </c>
    </row>
    <row r="701" spans="1:15" ht="19.5" customHeight="1">
      <c r="A701" s="1" t="s">
        <v>538</v>
      </c>
      <c r="B701" s="5">
        <v>45922</v>
      </c>
      <c r="C701" s="1" t="s">
        <v>31</v>
      </c>
      <c r="D701" s="1" t="s">
        <v>32</v>
      </c>
      <c r="E701" s="1" t="s">
        <v>25</v>
      </c>
      <c r="F701" s="1" t="s">
        <v>26</v>
      </c>
      <c r="G701" s="1" t="s">
        <v>21</v>
      </c>
      <c r="H701" s="6">
        <v>1</v>
      </c>
      <c r="I701" s="7">
        <v>1176</v>
      </c>
      <c r="J701" s="5">
        <v>45913</v>
      </c>
      <c r="K701" s="1" t="s">
        <v>30</v>
      </c>
      <c r="L701" s="8">
        <v>0</v>
      </c>
      <c r="M701" s="6"/>
      <c r="N701" s="6"/>
      <c r="O701" s="9">
        <v>613.27</v>
      </c>
    </row>
    <row r="702" spans="1:15" ht="19.5" customHeight="1">
      <c r="A702" s="1" t="s">
        <v>538</v>
      </c>
      <c r="B702" s="5">
        <v>45922</v>
      </c>
      <c r="C702" s="1" t="s">
        <v>31</v>
      </c>
      <c r="D702" s="1" t="s">
        <v>33</v>
      </c>
      <c r="E702" s="1" t="s">
        <v>25</v>
      </c>
      <c r="F702" s="1" t="s">
        <v>26</v>
      </c>
      <c r="G702" s="1" t="s">
        <v>21</v>
      </c>
      <c r="H702" s="6">
        <v>1</v>
      </c>
      <c r="I702" s="7">
        <v>1176</v>
      </c>
      <c r="J702" s="5">
        <v>45913</v>
      </c>
      <c r="K702" s="1" t="s">
        <v>30</v>
      </c>
      <c r="L702" s="8">
        <v>0</v>
      </c>
      <c r="M702" s="6"/>
      <c r="N702" s="6"/>
      <c r="O702" s="9">
        <v>4.51</v>
      </c>
    </row>
    <row r="703" spans="1:15" ht="19.5" customHeight="1">
      <c r="A703" s="1" t="s">
        <v>538</v>
      </c>
      <c r="B703" s="5">
        <v>45922</v>
      </c>
      <c r="C703" s="1" t="s">
        <v>31</v>
      </c>
      <c r="D703" s="1" t="s">
        <v>34</v>
      </c>
      <c r="E703" s="1" t="s">
        <v>25</v>
      </c>
      <c r="F703" s="1" t="s">
        <v>26</v>
      </c>
      <c r="G703" s="1" t="s">
        <v>21</v>
      </c>
      <c r="H703" s="6">
        <v>1</v>
      </c>
      <c r="I703" s="7">
        <v>1176</v>
      </c>
      <c r="J703" s="5">
        <v>45913</v>
      </c>
      <c r="K703" s="1" t="s">
        <v>30</v>
      </c>
      <c r="L703" s="8">
        <v>0</v>
      </c>
      <c r="M703" s="6"/>
      <c r="N703" s="6"/>
      <c r="O703" s="9">
        <v>558.22</v>
      </c>
    </row>
    <row r="704" spans="1:15" ht="19.5" customHeight="1">
      <c r="A704" s="1" t="s">
        <v>538</v>
      </c>
      <c r="B704" s="5">
        <v>45922</v>
      </c>
      <c r="C704" s="1" t="s">
        <v>35</v>
      </c>
      <c r="D704" s="1" t="s">
        <v>36</v>
      </c>
      <c r="E704" s="1" t="s">
        <v>25</v>
      </c>
      <c r="F704" s="1" t="s">
        <v>26</v>
      </c>
      <c r="G704" s="1" t="s">
        <v>21</v>
      </c>
      <c r="H704" s="6">
        <v>1</v>
      </c>
      <c r="I704" s="7">
        <v>1176</v>
      </c>
      <c r="J704" s="5">
        <v>45913</v>
      </c>
      <c r="K704" s="1" t="s">
        <v>30</v>
      </c>
      <c r="L704" s="8">
        <v>0.2</v>
      </c>
      <c r="M704" s="6"/>
      <c r="N704" s="6"/>
      <c r="O704" s="9">
        <v>-235.2</v>
      </c>
    </row>
    <row r="705" spans="1:15" ht="19.5" customHeight="1">
      <c r="A705" s="1" t="s">
        <v>538</v>
      </c>
      <c r="B705" s="5">
        <v>45922</v>
      </c>
      <c r="C705" s="1" t="s">
        <v>17</v>
      </c>
      <c r="D705" s="1" t="s">
        <v>37</v>
      </c>
      <c r="E705" s="1" t="s">
        <v>25</v>
      </c>
      <c r="F705" s="1" t="s">
        <v>26</v>
      </c>
      <c r="G705" s="1" t="s">
        <v>21</v>
      </c>
      <c r="H705" s="6">
        <v>1</v>
      </c>
      <c r="I705" s="7">
        <v>1176</v>
      </c>
      <c r="J705" s="5">
        <v>45913</v>
      </c>
      <c r="K705" s="1" t="s">
        <v>30</v>
      </c>
      <c r="L705" s="8">
        <v>0.2</v>
      </c>
      <c r="M705" s="6"/>
      <c r="N705" s="6"/>
      <c r="O705" s="9">
        <v>-4.25</v>
      </c>
    </row>
    <row r="706" spans="1:15" ht="19.5" customHeight="1">
      <c r="A706" s="1" t="s">
        <v>539</v>
      </c>
      <c r="B706" s="5">
        <v>45922</v>
      </c>
      <c r="C706" s="1" t="s">
        <v>28</v>
      </c>
      <c r="D706" s="1" t="s">
        <v>135</v>
      </c>
      <c r="E706" s="1" t="s">
        <v>230</v>
      </c>
      <c r="F706" s="1" t="s">
        <v>540</v>
      </c>
      <c r="G706" s="1" t="s">
        <v>21</v>
      </c>
      <c r="H706" s="6">
        <v>1</v>
      </c>
      <c r="I706" s="7">
        <v>0</v>
      </c>
      <c r="J706" s="5">
        <v>45915</v>
      </c>
      <c r="K706" s="1" t="s">
        <v>113</v>
      </c>
      <c r="L706" s="8">
        <v>0</v>
      </c>
      <c r="M706" s="6"/>
      <c r="N706" s="6"/>
      <c r="O706" s="9">
        <v>-10</v>
      </c>
    </row>
    <row r="707" spans="1:15" ht="19.5" customHeight="1">
      <c r="A707" s="1" t="s">
        <v>539</v>
      </c>
      <c r="B707" s="5">
        <v>45922</v>
      </c>
      <c r="C707" s="1" t="s">
        <v>28</v>
      </c>
      <c r="D707" s="1" t="s">
        <v>29</v>
      </c>
      <c r="E707" s="1" t="s">
        <v>230</v>
      </c>
      <c r="F707" s="1" t="s">
        <v>540</v>
      </c>
      <c r="G707" s="1" t="s">
        <v>21</v>
      </c>
      <c r="H707" s="6">
        <v>1</v>
      </c>
      <c r="I707" s="7">
        <v>0</v>
      </c>
      <c r="J707" s="5">
        <v>45915</v>
      </c>
      <c r="K707" s="1" t="s">
        <v>113</v>
      </c>
      <c r="L707" s="8">
        <v>0</v>
      </c>
      <c r="M707" s="6"/>
      <c r="N707" s="6"/>
      <c r="O707" s="9">
        <v>-98</v>
      </c>
    </row>
    <row r="708" spans="1:15" ht="19.5" customHeight="1">
      <c r="A708" s="1" t="s">
        <v>539</v>
      </c>
      <c r="B708" s="5">
        <v>45922</v>
      </c>
      <c r="C708" s="1" t="s">
        <v>17</v>
      </c>
      <c r="D708" s="1" t="s">
        <v>138</v>
      </c>
      <c r="E708" s="1" t="s">
        <v>230</v>
      </c>
      <c r="F708" s="1" t="s">
        <v>540</v>
      </c>
      <c r="G708" s="1" t="s">
        <v>21</v>
      </c>
      <c r="H708" s="6">
        <v>1</v>
      </c>
      <c r="I708" s="7">
        <v>0</v>
      </c>
      <c r="J708" s="5">
        <v>45915</v>
      </c>
      <c r="K708" s="1" t="s">
        <v>113</v>
      </c>
      <c r="L708" s="8">
        <v>0</v>
      </c>
      <c r="M708" s="6"/>
      <c r="N708" s="6"/>
      <c r="O708" s="9">
        <v>-20</v>
      </c>
    </row>
    <row r="709" spans="1:15" ht="19.5" customHeight="1">
      <c r="A709" s="1" t="s">
        <v>539</v>
      </c>
      <c r="B709" s="5">
        <v>45922</v>
      </c>
      <c r="C709" s="1" t="s">
        <v>17</v>
      </c>
      <c r="D709" s="1" t="s">
        <v>37</v>
      </c>
      <c r="E709" s="1" t="s">
        <v>230</v>
      </c>
      <c r="F709" s="1" t="s">
        <v>540</v>
      </c>
      <c r="G709" s="1" t="s">
        <v>21</v>
      </c>
      <c r="H709" s="6">
        <v>1</v>
      </c>
      <c r="I709" s="7">
        <v>0</v>
      </c>
      <c r="J709" s="5">
        <v>45915</v>
      </c>
      <c r="K709" s="1" t="s">
        <v>113</v>
      </c>
      <c r="L709" s="8">
        <v>0</v>
      </c>
      <c r="M709" s="6"/>
      <c r="N709" s="6"/>
      <c r="O709" s="9">
        <v>-11.52</v>
      </c>
    </row>
    <row r="710" spans="1:15" ht="19.5" customHeight="1">
      <c r="A710" s="1" t="s">
        <v>539</v>
      </c>
      <c r="B710" s="5">
        <v>45922</v>
      </c>
      <c r="C710" s="1" t="s">
        <v>28</v>
      </c>
      <c r="D710" s="1" t="s">
        <v>356</v>
      </c>
      <c r="E710" s="1" t="s">
        <v>230</v>
      </c>
      <c r="F710" s="1" t="s">
        <v>540</v>
      </c>
      <c r="G710" s="1" t="s">
        <v>21</v>
      </c>
      <c r="H710" s="6">
        <v>1</v>
      </c>
      <c r="I710" s="7">
        <v>0</v>
      </c>
      <c r="J710" s="5">
        <v>45915</v>
      </c>
      <c r="K710" s="1" t="s">
        <v>113</v>
      </c>
      <c r="L710" s="8">
        <v>0</v>
      </c>
      <c r="M710" s="6"/>
      <c r="N710" s="6"/>
      <c r="O710" s="9">
        <v>0</v>
      </c>
    </row>
    <row r="711" spans="1:15" ht="19.5" customHeight="1">
      <c r="A711" s="1" t="s">
        <v>539</v>
      </c>
      <c r="B711" s="5">
        <v>45922</v>
      </c>
      <c r="C711" s="1" t="s">
        <v>28</v>
      </c>
      <c r="D711" s="1" t="s">
        <v>46</v>
      </c>
      <c r="E711" s="1" t="s">
        <v>230</v>
      </c>
      <c r="F711" s="1" t="s">
        <v>540</v>
      </c>
      <c r="G711" s="1" t="s">
        <v>21</v>
      </c>
      <c r="H711" s="6">
        <v>1</v>
      </c>
      <c r="I711" s="7">
        <v>0</v>
      </c>
      <c r="J711" s="5">
        <v>45915</v>
      </c>
      <c r="K711" s="1" t="s">
        <v>113</v>
      </c>
      <c r="L711" s="8">
        <v>0</v>
      </c>
      <c r="M711" s="6"/>
      <c r="N711" s="6"/>
      <c r="O711" s="9">
        <v>-56</v>
      </c>
    </row>
    <row r="712" spans="1:15" ht="19.5" customHeight="1">
      <c r="A712" s="1" t="s">
        <v>539</v>
      </c>
      <c r="B712" s="5">
        <v>45922</v>
      </c>
      <c r="C712" s="1" t="s">
        <v>17</v>
      </c>
      <c r="D712" s="1" t="s">
        <v>47</v>
      </c>
      <c r="E712" s="1" t="s">
        <v>230</v>
      </c>
      <c r="F712" s="1" t="s">
        <v>540</v>
      </c>
      <c r="G712" s="1" t="s">
        <v>21</v>
      </c>
      <c r="H712" s="6">
        <v>1</v>
      </c>
      <c r="I712" s="7">
        <v>0</v>
      </c>
      <c r="J712" s="5">
        <v>45915</v>
      </c>
      <c r="K712" s="1" t="s">
        <v>113</v>
      </c>
      <c r="L712" s="8">
        <v>0</v>
      </c>
      <c r="M712" s="6"/>
      <c r="N712" s="6"/>
      <c r="O712" s="9">
        <v>-15</v>
      </c>
    </row>
    <row r="713" spans="1:15" ht="19.5" customHeight="1">
      <c r="A713" s="1" t="s">
        <v>447</v>
      </c>
      <c r="B713" s="5">
        <v>45922</v>
      </c>
      <c r="C713" s="1" t="s">
        <v>17</v>
      </c>
      <c r="D713" s="1" t="s">
        <v>18</v>
      </c>
      <c r="E713" s="1" t="s">
        <v>25</v>
      </c>
      <c r="F713" s="1" t="s">
        <v>26</v>
      </c>
      <c r="G713" s="1" t="s">
        <v>21</v>
      </c>
      <c r="H713" s="6">
        <v>1</v>
      </c>
      <c r="I713" s="7">
        <v>0</v>
      </c>
      <c r="J713" s="5">
        <v>45917</v>
      </c>
      <c r="K713" s="1" t="s">
        <v>22</v>
      </c>
      <c r="L713" s="8">
        <v>0</v>
      </c>
      <c r="M713" s="6"/>
      <c r="N713" s="6"/>
      <c r="O713" s="9">
        <v>5.7</v>
      </c>
    </row>
    <row r="714" spans="1:15" ht="19.5" customHeight="1">
      <c r="A714" s="1" t="s">
        <v>541</v>
      </c>
      <c r="B714" s="5">
        <v>45922</v>
      </c>
      <c r="C714" s="1" t="s">
        <v>17</v>
      </c>
      <c r="D714" s="1" t="s">
        <v>18</v>
      </c>
      <c r="E714" s="1" t="s">
        <v>228</v>
      </c>
      <c r="F714" s="1" t="s">
        <v>393</v>
      </c>
      <c r="G714" s="1" t="s">
        <v>21</v>
      </c>
      <c r="H714" s="6">
        <v>1</v>
      </c>
      <c r="I714" s="7">
        <v>0</v>
      </c>
      <c r="J714" s="5">
        <v>45922</v>
      </c>
      <c r="K714" s="1" t="s">
        <v>22</v>
      </c>
      <c r="L714" s="8">
        <v>0</v>
      </c>
      <c r="M714" s="6"/>
      <c r="N714" s="6"/>
      <c r="O714" s="9">
        <v>-15.83</v>
      </c>
    </row>
    <row r="715" spans="1:15" ht="19.5" customHeight="1">
      <c r="A715" s="1" t="s">
        <v>541</v>
      </c>
      <c r="B715" s="5">
        <v>45922</v>
      </c>
      <c r="C715" s="1" t="s">
        <v>17</v>
      </c>
      <c r="D715" s="1" t="s">
        <v>18</v>
      </c>
      <c r="E715" s="1" t="s">
        <v>228</v>
      </c>
      <c r="F715" s="1" t="s">
        <v>393</v>
      </c>
      <c r="G715" s="1" t="s">
        <v>21</v>
      </c>
      <c r="H715" s="6">
        <v>1</v>
      </c>
      <c r="I715" s="7">
        <v>0</v>
      </c>
      <c r="J715" s="5">
        <v>45922</v>
      </c>
      <c r="K715" s="1" t="s">
        <v>22</v>
      </c>
      <c r="L715" s="8">
        <v>0</v>
      </c>
      <c r="M715" s="6"/>
      <c r="N715" s="6"/>
      <c r="O715" s="9">
        <v>15.83</v>
      </c>
    </row>
    <row r="716" spans="1:15" ht="19.5" customHeight="1">
      <c r="A716" s="1" t="s">
        <v>542</v>
      </c>
      <c r="B716" s="5">
        <v>45922</v>
      </c>
      <c r="C716" s="1" t="s">
        <v>28</v>
      </c>
      <c r="D716" s="1" t="s">
        <v>29</v>
      </c>
      <c r="E716" s="1" t="s">
        <v>70</v>
      </c>
      <c r="F716" s="1" t="s">
        <v>71</v>
      </c>
      <c r="G716" s="1" t="s">
        <v>41</v>
      </c>
      <c r="H716" s="6">
        <v>1</v>
      </c>
      <c r="I716" s="7">
        <v>3690</v>
      </c>
      <c r="J716" s="5">
        <v>45921</v>
      </c>
      <c r="K716" s="1" t="s">
        <v>30</v>
      </c>
      <c r="L716" s="8">
        <v>0.18</v>
      </c>
      <c r="M716" s="6"/>
      <c r="N716" s="6"/>
      <c r="O716" s="9">
        <v>-56</v>
      </c>
    </row>
    <row r="717" spans="1:15" ht="19.5" customHeight="1">
      <c r="A717" s="1" t="s">
        <v>542</v>
      </c>
      <c r="B717" s="5">
        <v>45922</v>
      </c>
      <c r="C717" s="1" t="s">
        <v>31</v>
      </c>
      <c r="D717" s="1" t="s">
        <v>32</v>
      </c>
      <c r="E717" s="1" t="s">
        <v>70</v>
      </c>
      <c r="F717" s="1" t="s">
        <v>71</v>
      </c>
      <c r="G717" s="1" t="s">
        <v>41</v>
      </c>
      <c r="H717" s="6">
        <v>1</v>
      </c>
      <c r="I717" s="7">
        <v>3690</v>
      </c>
      <c r="J717" s="5">
        <v>45921</v>
      </c>
      <c r="K717" s="1" t="s">
        <v>30</v>
      </c>
      <c r="L717" s="8">
        <v>0</v>
      </c>
      <c r="M717" s="6"/>
      <c r="N717" s="6"/>
      <c r="O717" s="9">
        <v>2247.39</v>
      </c>
    </row>
    <row r="718" spans="1:15" ht="19.5" customHeight="1">
      <c r="A718" s="1" t="s">
        <v>542</v>
      </c>
      <c r="B718" s="5">
        <v>45922</v>
      </c>
      <c r="C718" s="1" t="s">
        <v>31</v>
      </c>
      <c r="D718" s="1" t="s">
        <v>33</v>
      </c>
      <c r="E718" s="1" t="s">
        <v>70</v>
      </c>
      <c r="F718" s="1" t="s">
        <v>71</v>
      </c>
      <c r="G718" s="1" t="s">
        <v>41</v>
      </c>
      <c r="H718" s="6">
        <v>1</v>
      </c>
      <c r="I718" s="7">
        <v>3690</v>
      </c>
      <c r="J718" s="5">
        <v>45921</v>
      </c>
      <c r="K718" s="1" t="s">
        <v>30</v>
      </c>
      <c r="L718" s="8">
        <v>0</v>
      </c>
      <c r="M718" s="6"/>
      <c r="N718" s="6"/>
      <c r="O718" s="9">
        <v>16.52</v>
      </c>
    </row>
    <row r="719" spans="1:15" ht="19.5" customHeight="1">
      <c r="A719" s="1" t="s">
        <v>542</v>
      </c>
      <c r="B719" s="5">
        <v>45922</v>
      </c>
      <c r="C719" s="1" t="s">
        <v>31</v>
      </c>
      <c r="D719" s="1" t="s">
        <v>34</v>
      </c>
      <c r="E719" s="1" t="s">
        <v>70</v>
      </c>
      <c r="F719" s="1" t="s">
        <v>71</v>
      </c>
      <c r="G719" s="1" t="s">
        <v>41</v>
      </c>
      <c r="H719" s="6">
        <v>1</v>
      </c>
      <c r="I719" s="7">
        <v>3690</v>
      </c>
      <c r="J719" s="5">
        <v>45921</v>
      </c>
      <c r="K719" s="1" t="s">
        <v>30</v>
      </c>
      <c r="L719" s="8">
        <v>0</v>
      </c>
      <c r="M719" s="6"/>
      <c r="N719" s="6"/>
      <c r="O719" s="9">
        <v>1426.09</v>
      </c>
    </row>
    <row r="720" spans="1:15" ht="19.5" customHeight="1">
      <c r="A720" s="1" t="s">
        <v>542</v>
      </c>
      <c r="B720" s="5">
        <v>45922</v>
      </c>
      <c r="C720" s="1" t="s">
        <v>35</v>
      </c>
      <c r="D720" s="1" t="s">
        <v>36</v>
      </c>
      <c r="E720" s="1" t="s">
        <v>70</v>
      </c>
      <c r="F720" s="1" t="s">
        <v>71</v>
      </c>
      <c r="G720" s="1" t="s">
        <v>41</v>
      </c>
      <c r="H720" s="6">
        <v>1</v>
      </c>
      <c r="I720" s="7">
        <v>3690</v>
      </c>
      <c r="J720" s="5">
        <v>45921</v>
      </c>
      <c r="K720" s="1" t="s">
        <v>30</v>
      </c>
      <c r="L720" s="8">
        <v>0.18</v>
      </c>
      <c r="M720" s="6"/>
      <c r="N720" s="6"/>
      <c r="O720" s="9">
        <v>-664.2</v>
      </c>
    </row>
    <row r="721" spans="1:15" ht="19.5" customHeight="1">
      <c r="A721" s="1" t="s">
        <v>542</v>
      </c>
      <c r="B721" s="5">
        <v>45922</v>
      </c>
      <c r="C721" s="1" t="s">
        <v>17</v>
      </c>
      <c r="D721" s="1" t="s">
        <v>37</v>
      </c>
      <c r="E721" s="1" t="s">
        <v>70</v>
      </c>
      <c r="F721" s="1" t="s">
        <v>71</v>
      </c>
      <c r="G721" s="1" t="s">
        <v>41</v>
      </c>
      <c r="H721" s="6">
        <v>1</v>
      </c>
      <c r="I721" s="7">
        <v>3690</v>
      </c>
      <c r="J721" s="5">
        <v>45921</v>
      </c>
      <c r="K721" s="1" t="s">
        <v>30</v>
      </c>
      <c r="L721" s="8">
        <v>0.18</v>
      </c>
      <c r="M721" s="6"/>
      <c r="N721" s="6"/>
      <c r="O721" s="9">
        <v>-12.64</v>
      </c>
    </row>
    <row r="722" spans="1:15" ht="19.5" customHeight="1">
      <c r="A722" s="1" t="s">
        <v>543</v>
      </c>
      <c r="B722" s="5">
        <v>45922</v>
      </c>
      <c r="C722" s="1" t="s">
        <v>261</v>
      </c>
      <c r="D722" s="1" t="s">
        <v>326</v>
      </c>
      <c r="E722" s="1" t="s">
        <v>22</v>
      </c>
      <c r="F722" s="1" t="s">
        <v>22</v>
      </c>
      <c r="G722" s="1" t="s">
        <v>22</v>
      </c>
      <c r="H722" s="6">
        <v>0</v>
      </c>
      <c r="I722" s="7">
        <v>0</v>
      </c>
      <c r="J722" s="5">
        <v>45904</v>
      </c>
      <c r="K722" s="1" t="s">
        <v>22</v>
      </c>
      <c r="L722" s="8">
        <v>0</v>
      </c>
      <c r="M722" s="6"/>
      <c r="N722" s="6"/>
      <c r="O722" s="9">
        <v>-554.6</v>
      </c>
    </row>
    <row r="723" spans="1:15" ht="19.5" customHeight="1">
      <c r="A723" s="1" t="s">
        <v>543</v>
      </c>
      <c r="B723" s="5">
        <v>45922</v>
      </c>
      <c r="C723" s="1" t="s">
        <v>261</v>
      </c>
      <c r="D723" s="1" t="s">
        <v>326</v>
      </c>
      <c r="E723" s="1" t="s">
        <v>22</v>
      </c>
      <c r="F723" s="1" t="s">
        <v>22</v>
      </c>
      <c r="G723" s="1" t="s">
        <v>22</v>
      </c>
      <c r="H723" s="6">
        <v>0</v>
      </c>
      <c r="I723" s="7">
        <v>0</v>
      </c>
      <c r="J723" s="5">
        <v>45904</v>
      </c>
      <c r="K723" s="1" t="s">
        <v>22</v>
      </c>
      <c r="L723" s="8">
        <v>0</v>
      </c>
      <c r="M723" s="6"/>
      <c r="N723" s="6"/>
      <c r="O723" s="9">
        <v>-554.6</v>
      </c>
    </row>
    <row r="724" spans="1:15" ht="19.5" customHeight="1">
      <c r="A724" s="1" t="s">
        <v>543</v>
      </c>
      <c r="B724" s="5">
        <v>45922</v>
      </c>
      <c r="C724" s="1" t="s">
        <v>261</v>
      </c>
      <c r="D724" s="1" t="s">
        <v>326</v>
      </c>
      <c r="E724" s="1" t="s">
        <v>22</v>
      </c>
      <c r="F724" s="1" t="s">
        <v>22</v>
      </c>
      <c r="G724" s="1" t="s">
        <v>22</v>
      </c>
      <c r="H724" s="6">
        <v>0</v>
      </c>
      <c r="I724" s="7">
        <v>0</v>
      </c>
      <c r="J724" s="5">
        <v>45904</v>
      </c>
      <c r="K724" s="1" t="s">
        <v>22</v>
      </c>
      <c r="L724" s="8">
        <v>0</v>
      </c>
      <c r="M724" s="6"/>
      <c r="N724" s="6"/>
      <c r="O724" s="9">
        <v>-554.6</v>
      </c>
    </row>
    <row r="725" spans="1:15" ht="19.5" customHeight="1">
      <c r="A725" s="1" t="s">
        <v>543</v>
      </c>
      <c r="B725" s="5">
        <v>45922</v>
      </c>
      <c r="C725" s="1" t="s">
        <v>261</v>
      </c>
      <c r="D725" s="1" t="s">
        <v>326</v>
      </c>
      <c r="E725" s="1" t="s">
        <v>22</v>
      </c>
      <c r="F725" s="1" t="s">
        <v>22</v>
      </c>
      <c r="G725" s="1" t="s">
        <v>22</v>
      </c>
      <c r="H725" s="6">
        <v>0</v>
      </c>
      <c r="I725" s="7">
        <v>0</v>
      </c>
      <c r="J725" s="5">
        <v>45904</v>
      </c>
      <c r="K725" s="1" t="s">
        <v>22</v>
      </c>
      <c r="L725" s="8">
        <v>0</v>
      </c>
      <c r="M725" s="6"/>
      <c r="N725" s="6"/>
      <c r="O725" s="9">
        <v>-554.6</v>
      </c>
    </row>
    <row r="726" spans="1:15" ht="19.5" customHeight="1">
      <c r="A726" s="1" t="s">
        <v>543</v>
      </c>
      <c r="B726" s="5">
        <v>45922</v>
      </c>
      <c r="C726" s="1" t="s">
        <v>261</v>
      </c>
      <c r="D726" s="1" t="s">
        <v>326</v>
      </c>
      <c r="E726" s="1" t="s">
        <v>22</v>
      </c>
      <c r="F726" s="1" t="s">
        <v>22</v>
      </c>
      <c r="G726" s="1" t="s">
        <v>22</v>
      </c>
      <c r="H726" s="6">
        <v>0</v>
      </c>
      <c r="I726" s="7">
        <v>0</v>
      </c>
      <c r="J726" s="5">
        <v>45904</v>
      </c>
      <c r="K726" s="1" t="s">
        <v>22</v>
      </c>
      <c r="L726" s="8">
        <v>0</v>
      </c>
      <c r="M726" s="6"/>
      <c r="N726" s="6"/>
      <c r="O726" s="9">
        <v>-554.6</v>
      </c>
    </row>
    <row r="727" spans="1:15" ht="19.5" customHeight="1">
      <c r="A727" s="1" t="s">
        <v>543</v>
      </c>
      <c r="B727" s="5">
        <v>45922</v>
      </c>
      <c r="C727" s="1" t="s">
        <v>261</v>
      </c>
      <c r="D727" s="1" t="s">
        <v>326</v>
      </c>
      <c r="E727" s="1" t="s">
        <v>22</v>
      </c>
      <c r="F727" s="1" t="s">
        <v>22</v>
      </c>
      <c r="G727" s="1" t="s">
        <v>22</v>
      </c>
      <c r="H727" s="6">
        <v>0</v>
      </c>
      <c r="I727" s="7">
        <v>0</v>
      </c>
      <c r="J727" s="5">
        <v>45904</v>
      </c>
      <c r="K727" s="1" t="s">
        <v>22</v>
      </c>
      <c r="L727" s="8">
        <v>0</v>
      </c>
      <c r="M727" s="6"/>
      <c r="N727" s="6"/>
      <c r="O727" s="9">
        <v>-531</v>
      </c>
    </row>
    <row r="728" spans="1:15" ht="19.5" customHeight="1">
      <c r="A728" s="1" t="s">
        <v>543</v>
      </c>
      <c r="B728" s="5">
        <v>45922</v>
      </c>
      <c r="C728" s="1" t="s">
        <v>261</v>
      </c>
      <c r="D728" s="1" t="s">
        <v>326</v>
      </c>
      <c r="E728" s="1" t="s">
        <v>22</v>
      </c>
      <c r="F728" s="1" t="s">
        <v>22</v>
      </c>
      <c r="G728" s="1" t="s">
        <v>22</v>
      </c>
      <c r="H728" s="6">
        <v>0</v>
      </c>
      <c r="I728" s="7">
        <v>0</v>
      </c>
      <c r="J728" s="5">
        <v>45904</v>
      </c>
      <c r="K728" s="1" t="s">
        <v>22</v>
      </c>
      <c r="L728" s="8">
        <v>0</v>
      </c>
      <c r="M728" s="6"/>
      <c r="N728" s="6"/>
      <c r="O728" s="9">
        <v>-531</v>
      </c>
    </row>
    <row r="729" spans="1:15" ht="19.5" customHeight="1">
      <c r="A729" s="1" t="s">
        <v>543</v>
      </c>
      <c r="B729" s="5">
        <v>45922</v>
      </c>
      <c r="C729" s="1" t="s">
        <v>261</v>
      </c>
      <c r="D729" s="1" t="s">
        <v>326</v>
      </c>
      <c r="E729" s="1" t="s">
        <v>22</v>
      </c>
      <c r="F729" s="1" t="s">
        <v>22</v>
      </c>
      <c r="G729" s="1" t="s">
        <v>22</v>
      </c>
      <c r="H729" s="6">
        <v>0</v>
      </c>
      <c r="I729" s="7">
        <v>0</v>
      </c>
      <c r="J729" s="5">
        <v>45904</v>
      </c>
      <c r="K729" s="1" t="s">
        <v>22</v>
      </c>
      <c r="L729" s="8">
        <v>0</v>
      </c>
      <c r="M729" s="6"/>
      <c r="N729" s="6"/>
      <c r="O729" s="9">
        <v>-531</v>
      </c>
    </row>
    <row r="730" spans="1:15" ht="19.5" customHeight="1">
      <c r="A730" s="1" t="s">
        <v>543</v>
      </c>
      <c r="B730" s="5">
        <v>45922</v>
      </c>
      <c r="C730" s="1" t="s">
        <v>261</v>
      </c>
      <c r="D730" s="1" t="s">
        <v>326</v>
      </c>
      <c r="E730" s="1" t="s">
        <v>22</v>
      </c>
      <c r="F730" s="1" t="s">
        <v>22</v>
      </c>
      <c r="G730" s="1" t="s">
        <v>22</v>
      </c>
      <c r="H730" s="6">
        <v>0</v>
      </c>
      <c r="I730" s="7">
        <v>0</v>
      </c>
      <c r="J730" s="5">
        <v>45904</v>
      </c>
      <c r="K730" s="1" t="s">
        <v>22</v>
      </c>
      <c r="L730" s="8">
        <v>0</v>
      </c>
      <c r="M730" s="6"/>
      <c r="N730" s="6"/>
      <c r="O730" s="9">
        <v>-578.20000000000005</v>
      </c>
    </row>
    <row r="731" spans="1:15" ht="19.5" customHeight="1">
      <c r="A731" s="1" t="s">
        <v>543</v>
      </c>
      <c r="B731" s="5">
        <v>45922</v>
      </c>
      <c r="C731" s="1" t="s">
        <v>261</v>
      </c>
      <c r="D731" s="1" t="s">
        <v>326</v>
      </c>
      <c r="E731" s="1" t="s">
        <v>22</v>
      </c>
      <c r="F731" s="1" t="s">
        <v>22</v>
      </c>
      <c r="G731" s="1" t="s">
        <v>22</v>
      </c>
      <c r="H731" s="6">
        <v>0</v>
      </c>
      <c r="I731" s="7">
        <v>0</v>
      </c>
      <c r="J731" s="5">
        <v>45904</v>
      </c>
      <c r="K731" s="1" t="s">
        <v>22</v>
      </c>
      <c r="L731" s="8">
        <v>0</v>
      </c>
      <c r="M731" s="6"/>
      <c r="N731" s="6"/>
      <c r="O731" s="9">
        <v>-554.6</v>
      </c>
    </row>
    <row r="732" spans="1:15" ht="19.5" customHeight="1">
      <c r="A732" s="1" t="s">
        <v>543</v>
      </c>
      <c r="B732" s="5">
        <v>45922</v>
      </c>
      <c r="C732" s="1" t="s">
        <v>261</v>
      </c>
      <c r="D732" s="1" t="s">
        <v>326</v>
      </c>
      <c r="E732" s="1" t="s">
        <v>22</v>
      </c>
      <c r="F732" s="1" t="s">
        <v>22</v>
      </c>
      <c r="G732" s="1" t="s">
        <v>22</v>
      </c>
      <c r="H732" s="6">
        <v>0</v>
      </c>
      <c r="I732" s="7">
        <v>0</v>
      </c>
      <c r="J732" s="5">
        <v>45904</v>
      </c>
      <c r="K732" s="1" t="s">
        <v>22</v>
      </c>
      <c r="L732" s="8">
        <v>0</v>
      </c>
      <c r="M732" s="6"/>
      <c r="N732" s="6"/>
      <c r="O732" s="9">
        <v>-531</v>
      </c>
    </row>
    <row r="733" spans="1:15" ht="19.5" customHeight="1">
      <c r="A733" s="1" t="s">
        <v>543</v>
      </c>
      <c r="B733" s="5">
        <v>45922</v>
      </c>
      <c r="C733" s="1" t="s">
        <v>261</v>
      </c>
      <c r="D733" s="1" t="s">
        <v>326</v>
      </c>
      <c r="E733" s="1" t="s">
        <v>22</v>
      </c>
      <c r="F733" s="1" t="s">
        <v>22</v>
      </c>
      <c r="G733" s="1" t="s">
        <v>22</v>
      </c>
      <c r="H733" s="6">
        <v>0</v>
      </c>
      <c r="I733" s="7">
        <v>0</v>
      </c>
      <c r="J733" s="5">
        <v>45904</v>
      </c>
      <c r="K733" s="1" t="s">
        <v>22</v>
      </c>
      <c r="L733" s="8">
        <v>0</v>
      </c>
      <c r="M733" s="6"/>
      <c r="N733" s="6"/>
      <c r="O733" s="9">
        <v>-554.6</v>
      </c>
    </row>
    <row r="734" spans="1:15" ht="19.5" customHeight="1">
      <c r="A734" s="1" t="s">
        <v>543</v>
      </c>
      <c r="B734" s="5">
        <v>45922</v>
      </c>
      <c r="C734" s="1" t="s">
        <v>261</v>
      </c>
      <c r="D734" s="1" t="s">
        <v>326</v>
      </c>
      <c r="E734" s="1" t="s">
        <v>22</v>
      </c>
      <c r="F734" s="1" t="s">
        <v>22</v>
      </c>
      <c r="G734" s="1" t="s">
        <v>22</v>
      </c>
      <c r="H734" s="6">
        <v>0</v>
      </c>
      <c r="I734" s="7">
        <v>0</v>
      </c>
      <c r="J734" s="5">
        <v>45904</v>
      </c>
      <c r="K734" s="1" t="s">
        <v>22</v>
      </c>
      <c r="L734" s="8">
        <v>0</v>
      </c>
      <c r="M734" s="6"/>
      <c r="N734" s="6"/>
      <c r="O734" s="9">
        <v>-578.20000000000005</v>
      </c>
    </row>
    <row r="735" spans="1:15" ht="19.5" customHeight="1">
      <c r="A735" s="1" t="s">
        <v>543</v>
      </c>
      <c r="B735" s="5">
        <v>45922</v>
      </c>
      <c r="C735" s="1" t="s">
        <v>261</v>
      </c>
      <c r="D735" s="1" t="s">
        <v>326</v>
      </c>
      <c r="E735" s="1" t="s">
        <v>22</v>
      </c>
      <c r="F735" s="1" t="s">
        <v>22</v>
      </c>
      <c r="G735" s="1" t="s">
        <v>22</v>
      </c>
      <c r="H735" s="6">
        <v>0</v>
      </c>
      <c r="I735" s="7">
        <v>0</v>
      </c>
      <c r="J735" s="5">
        <v>45904</v>
      </c>
      <c r="K735" s="1" t="s">
        <v>22</v>
      </c>
      <c r="L735" s="8">
        <v>0</v>
      </c>
      <c r="M735" s="6"/>
      <c r="N735" s="6"/>
      <c r="O735" s="9">
        <v>-554.6</v>
      </c>
    </row>
    <row r="736" spans="1:15" ht="19.5" customHeight="1">
      <c r="A736" s="1" t="s">
        <v>543</v>
      </c>
      <c r="B736" s="5">
        <v>45922</v>
      </c>
      <c r="C736" s="1" t="s">
        <v>261</v>
      </c>
      <c r="D736" s="1" t="s">
        <v>326</v>
      </c>
      <c r="E736" s="1" t="s">
        <v>22</v>
      </c>
      <c r="F736" s="1" t="s">
        <v>22</v>
      </c>
      <c r="G736" s="1" t="s">
        <v>22</v>
      </c>
      <c r="H736" s="6">
        <v>0</v>
      </c>
      <c r="I736" s="7">
        <v>0</v>
      </c>
      <c r="J736" s="5">
        <v>45904</v>
      </c>
      <c r="K736" s="1" t="s">
        <v>22</v>
      </c>
      <c r="L736" s="8">
        <v>0</v>
      </c>
      <c r="M736" s="6"/>
      <c r="N736" s="6"/>
      <c r="O736" s="9">
        <v>-554.6</v>
      </c>
    </row>
    <row r="737" spans="1:15" ht="19.5" customHeight="1">
      <c r="A737" s="1" t="s">
        <v>543</v>
      </c>
      <c r="B737" s="5">
        <v>45922</v>
      </c>
      <c r="C737" s="1" t="s">
        <v>261</v>
      </c>
      <c r="D737" s="1" t="s">
        <v>326</v>
      </c>
      <c r="E737" s="1" t="s">
        <v>22</v>
      </c>
      <c r="F737" s="1" t="s">
        <v>22</v>
      </c>
      <c r="G737" s="1" t="s">
        <v>22</v>
      </c>
      <c r="H737" s="6">
        <v>0</v>
      </c>
      <c r="I737" s="7">
        <v>0</v>
      </c>
      <c r="J737" s="5">
        <v>45904</v>
      </c>
      <c r="K737" s="1" t="s">
        <v>22</v>
      </c>
      <c r="L737" s="8">
        <v>0</v>
      </c>
      <c r="M737" s="6"/>
      <c r="N737" s="6"/>
      <c r="O737" s="9">
        <v>-554.6</v>
      </c>
    </row>
    <row r="738" spans="1:15" ht="19.5" customHeight="1">
      <c r="A738" s="1" t="s">
        <v>544</v>
      </c>
      <c r="B738" s="5">
        <v>45922</v>
      </c>
      <c r="C738" s="1" t="s">
        <v>28</v>
      </c>
      <c r="D738" s="1" t="s">
        <v>29</v>
      </c>
      <c r="E738" s="1" t="s">
        <v>54</v>
      </c>
      <c r="F738" s="1" t="s">
        <v>55</v>
      </c>
      <c r="G738" s="1" t="s">
        <v>21</v>
      </c>
      <c r="H738" s="6">
        <v>1</v>
      </c>
      <c r="I738" s="7">
        <v>0</v>
      </c>
      <c r="J738" s="5">
        <v>45911</v>
      </c>
      <c r="K738" s="1" t="s">
        <v>30</v>
      </c>
      <c r="L738" s="8">
        <v>0</v>
      </c>
      <c r="M738" s="6"/>
      <c r="N738" s="6"/>
      <c r="O738" s="9">
        <v>-46</v>
      </c>
    </row>
    <row r="739" spans="1:15" ht="19.5" customHeight="1">
      <c r="A739" s="1" t="s">
        <v>544</v>
      </c>
      <c r="B739" s="5">
        <v>45922</v>
      </c>
      <c r="C739" s="1" t="s">
        <v>17</v>
      </c>
      <c r="D739" s="1" t="s">
        <v>37</v>
      </c>
      <c r="E739" s="1" t="s">
        <v>54</v>
      </c>
      <c r="F739" s="1" t="s">
        <v>55</v>
      </c>
      <c r="G739" s="1" t="s">
        <v>21</v>
      </c>
      <c r="H739" s="6">
        <v>1</v>
      </c>
      <c r="I739" s="7">
        <v>0</v>
      </c>
      <c r="J739" s="5">
        <v>45911</v>
      </c>
      <c r="K739" s="1" t="s">
        <v>30</v>
      </c>
      <c r="L739" s="8">
        <v>0</v>
      </c>
      <c r="M739" s="6"/>
      <c r="N739" s="6"/>
      <c r="O739" s="9">
        <v>-8.65</v>
      </c>
    </row>
    <row r="740" spans="1:15" ht="19.5" customHeight="1">
      <c r="A740" s="1" t="s">
        <v>544</v>
      </c>
      <c r="B740" s="5">
        <v>45922</v>
      </c>
      <c r="C740" s="1" t="s">
        <v>28</v>
      </c>
      <c r="D740" s="1" t="s">
        <v>356</v>
      </c>
      <c r="E740" s="1" t="s">
        <v>54</v>
      </c>
      <c r="F740" s="1" t="s">
        <v>55</v>
      </c>
      <c r="G740" s="1" t="s">
        <v>21</v>
      </c>
      <c r="H740" s="6">
        <v>1</v>
      </c>
      <c r="I740" s="7">
        <v>0</v>
      </c>
      <c r="J740" s="5">
        <v>45911</v>
      </c>
      <c r="K740" s="1" t="s">
        <v>30</v>
      </c>
      <c r="L740" s="8">
        <v>0</v>
      </c>
      <c r="M740" s="6"/>
      <c r="N740" s="6"/>
      <c r="O740" s="9">
        <v>0</v>
      </c>
    </row>
    <row r="741" spans="1:15" ht="19.5" customHeight="1">
      <c r="A741" s="1" t="s">
        <v>544</v>
      </c>
      <c r="B741" s="5">
        <v>45922</v>
      </c>
      <c r="C741" s="1" t="s">
        <v>28</v>
      </c>
      <c r="D741" s="1" t="s">
        <v>46</v>
      </c>
      <c r="E741" s="1" t="s">
        <v>54</v>
      </c>
      <c r="F741" s="1" t="s">
        <v>55</v>
      </c>
      <c r="G741" s="1" t="s">
        <v>21</v>
      </c>
      <c r="H741" s="6">
        <v>1</v>
      </c>
      <c r="I741" s="7">
        <v>0</v>
      </c>
      <c r="J741" s="5">
        <v>45911</v>
      </c>
      <c r="K741" s="1" t="s">
        <v>30</v>
      </c>
      <c r="L741" s="8">
        <v>0</v>
      </c>
      <c r="M741" s="6"/>
      <c r="N741" s="6"/>
      <c r="O741" s="9">
        <v>-46</v>
      </c>
    </row>
    <row r="742" spans="1:15" ht="19.5" customHeight="1">
      <c r="A742" s="1" t="s">
        <v>544</v>
      </c>
      <c r="B742" s="5">
        <v>45922</v>
      </c>
      <c r="C742" s="1" t="s">
        <v>17</v>
      </c>
      <c r="D742" s="1" t="s">
        <v>47</v>
      </c>
      <c r="E742" s="1" t="s">
        <v>54</v>
      </c>
      <c r="F742" s="1" t="s">
        <v>55</v>
      </c>
      <c r="G742" s="1" t="s">
        <v>21</v>
      </c>
      <c r="H742" s="6">
        <v>1</v>
      </c>
      <c r="I742" s="7">
        <v>0</v>
      </c>
      <c r="J742" s="5">
        <v>45911</v>
      </c>
      <c r="K742" s="1" t="s">
        <v>30</v>
      </c>
      <c r="L742" s="8">
        <v>0</v>
      </c>
      <c r="M742" s="6"/>
      <c r="N742" s="6"/>
      <c r="O742" s="9">
        <v>-15</v>
      </c>
    </row>
    <row r="743" spans="1:15" ht="19.5" customHeight="1">
      <c r="A743" s="1" t="s">
        <v>545</v>
      </c>
      <c r="B743" s="5">
        <v>45922</v>
      </c>
      <c r="C743" s="1" t="s">
        <v>28</v>
      </c>
      <c r="D743" s="1" t="s">
        <v>29</v>
      </c>
      <c r="E743" s="1" t="s">
        <v>25</v>
      </c>
      <c r="F743" s="1" t="s">
        <v>26</v>
      </c>
      <c r="G743" s="1" t="s">
        <v>21</v>
      </c>
      <c r="H743" s="6">
        <v>1</v>
      </c>
      <c r="I743" s="7">
        <v>1176</v>
      </c>
      <c r="J743" s="5">
        <v>45921</v>
      </c>
      <c r="K743" s="1" t="s">
        <v>30</v>
      </c>
      <c r="L743" s="8">
        <v>0.2</v>
      </c>
      <c r="M743" s="6"/>
      <c r="N743" s="6"/>
      <c r="O743" s="9">
        <v>-46</v>
      </c>
    </row>
    <row r="744" spans="1:15" ht="19.5" customHeight="1">
      <c r="A744" s="1" t="s">
        <v>545</v>
      </c>
      <c r="B744" s="5">
        <v>45922</v>
      </c>
      <c r="C744" s="1" t="s">
        <v>31</v>
      </c>
      <c r="D744" s="1" t="s">
        <v>32</v>
      </c>
      <c r="E744" s="1" t="s">
        <v>25</v>
      </c>
      <c r="F744" s="1" t="s">
        <v>26</v>
      </c>
      <c r="G744" s="1" t="s">
        <v>21</v>
      </c>
      <c r="H744" s="6">
        <v>1</v>
      </c>
      <c r="I744" s="7">
        <v>1176</v>
      </c>
      <c r="J744" s="5">
        <v>45921</v>
      </c>
      <c r="K744" s="1" t="s">
        <v>30</v>
      </c>
      <c r="L744" s="8">
        <v>0</v>
      </c>
      <c r="M744" s="6"/>
      <c r="N744" s="6"/>
      <c r="O744" s="9">
        <v>633.33000000000004</v>
      </c>
    </row>
    <row r="745" spans="1:15" ht="19.5" customHeight="1">
      <c r="A745" s="1" t="s">
        <v>545</v>
      </c>
      <c r="B745" s="5">
        <v>45922</v>
      </c>
      <c r="C745" s="1" t="s">
        <v>31</v>
      </c>
      <c r="D745" s="1" t="s">
        <v>33</v>
      </c>
      <c r="E745" s="1" t="s">
        <v>25</v>
      </c>
      <c r="F745" s="1" t="s">
        <v>26</v>
      </c>
      <c r="G745" s="1" t="s">
        <v>21</v>
      </c>
      <c r="H745" s="6">
        <v>1</v>
      </c>
      <c r="I745" s="7">
        <v>1176</v>
      </c>
      <c r="J745" s="5">
        <v>45921</v>
      </c>
      <c r="K745" s="1" t="s">
        <v>30</v>
      </c>
      <c r="L745" s="8">
        <v>0</v>
      </c>
      <c r="M745" s="6"/>
      <c r="N745" s="6"/>
      <c r="O745" s="9">
        <v>0</v>
      </c>
    </row>
    <row r="746" spans="1:15" ht="19.5" customHeight="1">
      <c r="A746" s="1" t="s">
        <v>545</v>
      </c>
      <c r="B746" s="5">
        <v>45922</v>
      </c>
      <c r="C746" s="1" t="s">
        <v>31</v>
      </c>
      <c r="D746" s="1" t="s">
        <v>34</v>
      </c>
      <c r="E746" s="1" t="s">
        <v>25</v>
      </c>
      <c r="F746" s="1" t="s">
        <v>26</v>
      </c>
      <c r="G746" s="1" t="s">
        <v>21</v>
      </c>
      <c r="H746" s="6">
        <v>1</v>
      </c>
      <c r="I746" s="7">
        <v>1176</v>
      </c>
      <c r="J746" s="5">
        <v>45921</v>
      </c>
      <c r="K746" s="1" t="s">
        <v>30</v>
      </c>
      <c r="L746" s="8">
        <v>0</v>
      </c>
      <c r="M746" s="6"/>
      <c r="N746" s="6"/>
      <c r="O746" s="9">
        <v>542.66999999999996</v>
      </c>
    </row>
    <row r="747" spans="1:15" ht="19.5" customHeight="1">
      <c r="A747" s="1" t="s">
        <v>545</v>
      </c>
      <c r="B747" s="5">
        <v>45922</v>
      </c>
      <c r="C747" s="1" t="s">
        <v>35</v>
      </c>
      <c r="D747" s="1" t="s">
        <v>36</v>
      </c>
      <c r="E747" s="1" t="s">
        <v>25</v>
      </c>
      <c r="F747" s="1" t="s">
        <v>26</v>
      </c>
      <c r="G747" s="1" t="s">
        <v>21</v>
      </c>
      <c r="H747" s="6">
        <v>1</v>
      </c>
      <c r="I747" s="7">
        <v>1176</v>
      </c>
      <c r="J747" s="5">
        <v>45921</v>
      </c>
      <c r="K747" s="1" t="s">
        <v>30</v>
      </c>
      <c r="L747" s="8">
        <v>0.2</v>
      </c>
      <c r="M747" s="6"/>
      <c r="N747" s="6"/>
      <c r="O747" s="9">
        <v>-235.2</v>
      </c>
    </row>
    <row r="748" spans="1:15" ht="19.5" customHeight="1">
      <c r="A748" s="1" t="s">
        <v>545</v>
      </c>
      <c r="B748" s="5">
        <v>45922</v>
      </c>
      <c r="C748" s="1" t="s">
        <v>17</v>
      </c>
      <c r="D748" s="1" t="s">
        <v>37</v>
      </c>
      <c r="E748" s="1" t="s">
        <v>25</v>
      </c>
      <c r="F748" s="1" t="s">
        <v>26</v>
      </c>
      <c r="G748" s="1" t="s">
        <v>21</v>
      </c>
      <c r="H748" s="6">
        <v>1</v>
      </c>
      <c r="I748" s="7">
        <v>1176</v>
      </c>
      <c r="J748" s="5">
        <v>45921</v>
      </c>
      <c r="K748" s="1" t="s">
        <v>30</v>
      </c>
      <c r="L748" s="8">
        <v>0.2</v>
      </c>
      <c r="M748" s="6"/>
      <c r="N748" s="6"/>
      <c r="O748" s="9">
        <v>-16.43</v>
      </c>
    </row>
    <row r="749" spans="1:15" ht="19.5" customHeight="1">
      <c r="A749" s="1" t="s">
        <v>546</v>
      </c>
      <c r="B749" s="5">
        <v>45922</v>
      </c>
      <c r="C749" s="1" t="s">
        <v>28</v>
      </c>
      <c r="D749" s="1" t="s">
        <v>29</v>
      </c>
      <c r="E749" s="1" t="s">
        <v>92</v>
      </c>
      <c r="F749" s="1" t="s">
        <v>93</v>
      </c>
      <c r="G749" s="1" t="s">
        <v>21</v>
      </c>
      <c r="H749" s="6">
        <v>1</v>
      </c>
      <c r="I749" s="7">
        <v>0</v>
      </c>
      <c r="J749" s="5">
        <v>45917</v>
      </c>
      <c r="K749" s="1" t="s">
        <v>30</v>
      </c>
      <c r="L749" s="8">
        <v>0</v>
      </c>
      <c r="M749" s="6"/>
      <c r="N749" s="6"/>
      <c r="O749" s="9">
        <v>-46</v>
      </c>
    </row>
    <row r="750" spans="1:15" ht="19.5" customHeight="1">
      <c r="A750" s="1" t="s">
        <v>546</v>
      </c>
      <c r="B750" s="5">
        <v>45922</v>
      </c>
      <c r="C750" s="1" t="s">
        <v>17</v>
      </c>
      <c r="D750" s="1" t="s">
        <v>37</v>
      </c>
      <c r="E750" s="1" t="s">
        <v>92</v>
      </c>
      <c r="F750" s="1" t="s">
        <v>93</v>
      </c>
      <c r="G750" s="1" t="s">
        <v>21</v>
      </c>
      <c r="H750" s="6">
        <v>1</v>
      </c>
      <c r="I750" s="7">
        <v>0</v>
      </c>
      <c r="J750" s="5">
        <v>45917</v>
      </c>
      <c r="K750" s="1" t="s">
        <v>30</v>
      </c>
      <c r="L750" s="8">
        <v>0</v>
      </c>
      <c r="M750" s="6"/>
      <c r="N750" s="6"/>
      <c r="O750" s="9">
        <v>-5.91</v>
      </c>
    </row>
    <row r="751" spans="1:15" ht="19.5" customHeight="1">
      <c r="A751" s="1" t="s">
        <v>546</v>
      </c>
      <c r="B751" s="5">
        <v>45922</v>
      </c>
      <c r="C751" s="1" t="s">
        <v>28</v>
      </c>
      <c r="D751" s="1" t="s">
        <v>356</v>
      </c>
      <c r="E751" s="1" t="s">
        <v>92</v>
      </c>
      <c r="F751" s="1" t="s">
        <v>93</v>
      </c>
      <c r="G751" s="1" t="s">
        <v>21</v>
      </c>
      <c r="H751" s="6">
        <v>1</v>
      </c>
      <c r="I751" s="7">
        <v>0</v>
      </c>
      <c r="J751" s="5">
        <v>45917</v>
      </c>
      <c r="K751" s="1" t="s">
        <v>30</v>
      </c>
      <c r="L751" s="8">
        <v>0</v>
      </c>
      <c r="M751" s="6"/>
      <c r="N751" s="6"/>
      <c r="O751" s="9">
        <v>0</v>
      </c>
    </row>
    <row r="752" spans="1:15" ht="19.5" customHeight="1">
      <c r="A752" s="1" t="s">
        <v>546</v>
      </c>
      <c r="B752" s="5">
        <v>45922</v>
      </c>
      <c r="C752" s="1" t="s">
        <v>28</v>
      </c>
      <c r="D752" s="1" t="s">
        <v>46</v>
      </c>
      <c r="E752" s="1" t="s">
        <v>92</v>
      </c>
      <c r="F752" s="1" t="s">
        <v>93</v>
      </c>
      <c r="G752" s="1" t="s">
        <v>21</v>
      </c>
      <c r="H752" s="6">
        <v>1</v>
      </c>
      <c r="I752" s="7">
        <v>0</v>
      </c>
      <c r="J752" s="5">
        <v>45917</v>
      </c>
      <c r="K752" s="1" t="s">
        <v>30</v>
      </c>
      <c r="L752" s="8">
        <v>0</v>
      </c>
      <c r="M752" s="6"/>
      <c r="N752" s="6"/>
      <c r="O752" s="9">
        <v>-46</v>
      </c>
    </row>
    <row r="753" spans="1:15" ht="19.5" customHeight="1">
      <c r="A753" s="1" t="s">
        <v>546</v>
      </c>
      <c r="B753" s="5">
        <v>45922</v>
      </c>
      <c r="C753" s="1" t="s">
        <v>17</v>
      </c>
      <c r="D753" s="1" t="s">
        <v>47</v>
      </c>
      <c r="E753" s="1" t="s">
        <v>92</v>
      </c>
      <c r="F753" s="1" t="s">
        <v>93</v>
      </c>
      <c r="G753" s="1" t="s">
        <v>21</v>
      </c>
      <c r="H753" s="6">
        <v>1</v>
      </c>
      <c r="I753" s="7">
        <v>0</v>
      </c>
      <c r="J753" s="5">
        <v>45917</v>
      </c>
      <c r="K753" s="1" t="s">
        <v>30</v>
      </c>
      <c r="L753" s="8">
        <v>0</v>
      </c>
      <c r="M753" s="6"/>
      <c r="N753" s="6"/>
      <c r="O753" s="9">
        <v>-15</v>
      </c>
    </row>
    <row r="754" spans="1:15" ht="19.5" customHeight="1">
      <c r="A754" s="1" t="s">
        <v>547</v>
      </c>
      <c r="B754" s="5">
        <v>45922</v>
      </c>
      <c r="C754" s="1" t="s">
        <v>28</v>
      </c>
      <c r="D754" s="1" t="s">
        <v>29</v>
      </c>
      <c r="E754" s="1" t="s">
        <v>43</v>
      </c>
      <c r="F754" s="1" t="s">
        <v>44</v>
      </c>
      <c r="G754" s="1" t="s">
        <v>41</v>
      </c>
      <c r="H754" s="6">
        <v>1</v>
      </c>
      <c r="I754" s="7">
        <v>0</v>
      </c>
      <c r="J754" s="5">
        <v>45917</v>
      </c>
      <c r="K754" s="1" t="s">
        <v>30</v>
      </c>
      <c r="L754" s="8">
        <v>0</v>
      </c>
      <c r="M754" s="6"/>
      <c r="N754" s="6"/>
      <c r="O754" s="9">
        <v>-56</v>
      </c>
    </row>
    <row r="755" spans="1:15" ht="19.5" customHeight="1">
      <c r="A755" s="1" t="s">
        <v>547</v>
      </c>
      <c r="B755" s="5">
        <v>45922</v>
      </c>
      <c r="C755" s="1" t="s">
        <v>17</v>
      </c>
      <c r="D755" s="1" t="s">
        <v>37</v>
      </c>
      <c r="E755" s="1" t="s">
        <v>43</v>
      </c>
      <c r="F755" s="1" t="s">
        <v>44</v>
      </c>
      <c r="G755" s="1" t="s">
        <v>41</v>
      </c>
      <c r="H755" s="6">
        <v>1</v>
      </c>
      <c r="I755" s="7">
        <v>0</v>
      </c>
      <c r="J755" s="5">
        <v>45917</v>
      </c>
      <c r="K755" s="1" t="s">
        <v>30</v>
      </c>
      <c r="L755" s="8">
        <v>0</v>
      </c>
      <c r="M755" s="6"/>
      <c r="N755" s="6"/>
      <c r="O755" s="9">
        <v>-12.24</v>
      </c>
    </row>
    <row r="756" spans="1:15" ht="19.5" customHeight="1">
      <c r="A756" s="1" t="s">
        <v>547</v>
      </c>
      <c r="B756" s="5">
        <v>45922</v>
      </c>
      <c r="C756" s="1" t="s">
        <v>28</v>
      </c>
      <c r="D756" s="1" t="s">
        <v>45</v>
      </c>
      <c r="E756" s="1" t="s">
        <v>43</v>
      </c>
      <c r="F756" s="1" t="s">
        <v>44</v>
      </c>
      <c r="G756" s="1" t="s">
        <v>41</v>
      </c>
      <c r="H756" s="6">
        <v>1</v>
      </c>
      <c r="I756" s="7">
        <v>0</v>
      </c>
      <c r="J756" s="5">
        <v>45917</v>
      </c>
      <c r="K756" s="1" t="s">
        <v>30</v>
      </c>
      <c r="L756" s="8">
        <v>0</v>
      </c>
      <c r="M756" s="6"/>
      <c r="N756" s="6"/>
      <c r="O756" s="9">
        <v>0</v>
      </c>
    </row>
    <row r="757" spans="1:15" ht="19.5" customHeight="1">
      <c r="A757" s="1" t="s">
        <v>547</v>
      </c>
      <c r="B757" s="5">
        <v>45922</v>
      </c>
      <c r="C757" s="1" t="s">
        <v>28</v>
      </c>
      <c r="D757" s="1" t="s">
        <v>46</v>
      </c>
      <c r="E757" s="1" t="s">
        <v>43</v>
      </c>
      <c r="F757" s="1" t="s">
        <v>44</v>
      </c>
      <c r="G757" s="1" t="s">
        <v>41</v>
      </c>
      <c r="H757" s="6">
        <v>1</v>
      </c>
      <c r="I757" s="7">
        <v>0</v>
      </c>
      <c r="J757" s="5">
        <v>45917</v>
      </c>
      <c r="K757" s="1" t="s">
        <v>30</v>
      </c>
      <c r="L757" s="8">
        <v>0</v>
      </c>
      <c r="M757" s="6"/>
      <c r="N757" s="6"/>
      <c r="O757" s="9">
        <v>-56</v>
      </c>
    </row>
    <row r="758" spans="1:15" ht="19.5" customHeight="1">
      <c r="A758" s="1" t="s">
        <v>547</v>
      </c>
      <c r="B758" s="5">
        <v>45922</v>
      </c>
      <c r="C758" s="1" t="s">
        <v>17</v>
      </c>
      <c r="D758" s="1" t="s">
        <v>47</v>
      </c>
      <c r="E758" s="1" t="s">
        <v>43</v>
      </c>
      <c r="F758" s="1" t="s">
        <v>44</v>
      </c>
      <c r="G758" s="1" t="s">
        <v>41</v>
      </c>
      <c r="H758" s="6">
        <v>1</v>
      </c>
      <c r="I758" s="7">
        <v>0</v>
      </c>
      <c r="J758" s="5">
        <v>45917</v>
      </c>
      <c r="K758" s="1" t="s">
        <v>30</v>
      </c>
      <c r="L758" s="8">
        <v>0</v>
      </c>
      <c r="M758" s="6"/>
      <c r="N758" s="6"/>
      <c r="O758" s="9">
        <v>-15</v>
      </c>
    </row>
    <row r="759" spans="1:15" ht="19.5" customHeight="1">
      <c r="A759" s="1" t="s">
        <v>548</v>
      </c>
      <c r="B759" s="5">
        <v>45922</v>
      </c>
      <c r="C759" s="1" t="s">
        <v>28</v>
      </c>
      <c r="D759" s="1" t="s">
        <v>29</v>
      </c>
      <c r="E759" s="1" t="s">
        <v>25</v>
      </c>
      <c r="F759" s="1" t="s">
        <v>26</v>
      </c>
      <c r="G759" s="1" t="s">
        <v>21</v>
      </c>
      <c r="H759" s="6">
        <v>1</v>
      </c>
      <c r="I759" s="7">
        <v>1176</v>
      </c>
      <c r="J759" s="5">
        <v>45921</v>
      </c>
      <c r="K759" s="1" t="s">
        <v>30</v>
      </c>
      <c r="L759" s="8">
        <v>0.2</v>
      </c>
      <c r="M759" s="6"/>
      <c r="N759" s="6"/>
      <c r="O759" s="9">
        <v>-46</v>
      </c>
    </row>
    <row r="760" spans="1:15" ht="19.5" customHeight="1">
      <c r="A760" s="1" t="s">
        <v>548</v>
      </c>
      <c r="B760" s="5">
        <v>45922</v>
      </c>
      <c r="C760" s="1" t="s">
        <v>31</v>
      </c>
      <c r="D760" s="1" t="s">
        <v>32</v>
      </c>
      <c r="E760" s="1" t="s">
        <v>25</v>
      </c>
      <c r="F760" s="1" t="s">
        <v>26</v>
      </c>
      <c r="G760" s="1" t="s">
        <v>21</v>
      </c>
      <c r="H760" s="6">
        <v>1</v>
      </c>
      <c r="I760" s="7">
        <v>1176</v>
      </c>
      <c r="J760" s="5">
        <v>45921</v>
      </c>
      <c r="K760" s="1" t="s">
        <v>30</v>
      </c>
      <c r="L760" s="8">
        <v>0</v>
      </c>
      <c r="M760" s="6"/>
      <c r="N760" s="6"/>
      <c r="O760" s="9">
        <v>577.25</v>
      </c>
    </row>
    <row r="761" spans="1:15" ht="19.5" customHeight="1">
      <c r="A761" s="1" t="s">
        <v>548</v>
      </c>
      <c r="B761" s="5">
        <v>45922</v>
      </c>
      <c r="C761" s="1" t="s">
        <v>31</v>
      </c>
      <c r="D761" s="1" t="s">
        <v>33</v>
      </c>
      <c r="E761" s="1" t="s">
        <v>25</v>
      </c>
      <c r="F761" s="1" t="s">
        <v>26</v>
      </c>
      <c r="G761" s="1" t="s">
        <v>21</v>
      </c>
      <c r="H761" s="6">
        <v>1</v>
      </c>
      <c r="I761" s="7">
        <v>1176</v>
      </c>
      <c r="J761" s="5">
        <v>45921</v>
      </c>
      <c r="K761" s="1" t="s">
        <v>30</v>
      </c>
      <c r="L761" s="8">
        <v>0</v>
      </c>
      <c r="M761" s="6"/>
      <c r="N761" s="6"/>
      <c r="O761" s="9">
        <v>4.24</v>
      </c>
    </row>
    <row r="762" spans="1:15" ht="19.5" customHeight="1">
      <c r="A762" s="1" t="s">
        <v>548</v>
      </c>
      <c r="B762" s="5">
        <v>45922</v>
      </c>
      <c r="C762" s="1" t="s">
        <v>31</v>
      </c>
      <c r="D762" s="1" t="s">
        <v>34</v>
      </c>
      <c r="E762" s="1" t="s">
        <v>25</v>
      </c>
      <c r="F762" s="1" t="s">
        <v>26</v>
      </c>
      <c r="G762" s="1" t="s">
        <v>21</v>
      </c>
      <c r="H762" s="6">
        <v>1</v>
      </c>
      <c r="I762" s="7">
        <v>1176</v>
      </c>
      <c r="J762" s="5">
        <v>45921</v>
      </c>
      <c r="K762" s="1" t="s">
        <v>30</v>
      </c>
      <c r="L762" s="8">
        <v>0</v>
      </c>
      <c r="M762" s="6"/>
      <c r="N762" s="6"/>
      <c r="O762" s="9">
        <v>594.51</v>
      </c>
    </row>
    <row r="763" spans="1:15" ht="19.5" customHeight="1">
      <c r="A763" s="1" t="s">
        <v>548</v>
      </c>
      <c r="B763" s="5">
        <v>45922</v>
      </c>
      <c r="C763" s="1" t="s">
        <v>35</v>
      </c>
      <c r="D763" s="1" t="s">
        <v>36</v>
      </c>
      <c r="E763" s="1" t="s">
        <v>25</v>
      </c>
      <c r="F763" s="1" t="s">
        <v>26</v>
      </c>
      <c r="G763" s="1" t="s">
        <v>21</v>
      </c>
      <c r="H763" s="6">
        <v>1</v>
      </c>
      <c r="I763" s="7">
        <v>1176</v>
      </c>
      <c r="J763" s="5">
        <v>45921</v>
      </c>
      <c r="K763" s="1" t="s">
        <v>30</v>
      </c>
      <c r="L763" s="8">
        <v>0.2</v>
      </c>
      <c r="M763" s="6"/>
      <c r="N763" s="6"/>
      <c r="O763" s="9">
        <v>-235.2</v>
      </c>
    </row>
    <row r="764" spans="1:15" ht="19.5" customHeight="1">
      <c r="A764" s="1" t="s">
        <v>548</v>
      </c>
      <c r="B764" s="5">
        <v>45922</v>
      </c>
      <c r="C764" s="1" t="s">
        <v>17</v>
      </c>
      <c r="D764" s="1" t="s">
        <v>37</v>
      </c>
      <c r="E764" s="1" t="s">
        <v>25</v>
      </c>
      <c r="F764" s="1" t="s">
        <v>26</v>
      </c>
      <c r="G764" s="1" t="s">
        <v>21</v>
      </c>
      <c r="H764" s="6">
        <v>1</v>
      </c>
      <c r="I764" s="7">
        <v>1176</v>
      </c>
      <c r="J764" s="5">
        <v>45921</v>
      </c>
      <c r="K764" s="1" t="s">
        <v>30</v>
      </c>
      <c r="L764" s="8">
        <v>0.2</v>
      </c>
      <c r="M764" s="6"/>
      <c r="N764" s="6"/>
      <c r="O764" s="9">
        <v>-4.68</v>
      </c>
    </row>
    <row r="765" spans="1:15" ht="19.5" customHeight="1">
      <c r="A765" s="1" t="s">
        <v>548</v>
      </c>
      <c r="B765" s="5">
        <v>45922</v>
      </c>
      <c r="C765" s="1" t="s">
        <v>17</v>
      </c>
      <c r="D765" s="1" t="s">
        <v>18</v>
      </c>
      <c r="E765" s="1" t="s">
        <v>25</v>
      </c>
      <c r="F765" s="1" t="s">
        <v>26</v>
      </c>
      <c r="G765" s="1" t="s">
        <v>21</v>
      </c>
      <c r="H765" s="6">
        <v>1</v>
      </c>
      <c r="I765" s="7">
        <v>0</v>
      </c>
      <c r="J765" s="5">
        <v>45921</v>
      </c>
      <c r="K765" s="1" t="s">
        <v>22</v>
      </c>
      <c r="L765" s="8">
        <v>0</v>
      </c>
      <c r="M765" s="6"/>
      <c r="N765" s="6"/>
      <c r="O765" s="9">
        <v>-10.97</v>
      </c>
    </row>
    <row r="766" spans="1:15" ht="19.5" customHeight="1">
      <c r="A766" s="1" t="s">
        <v>549</v>
      </c>
      <c r="B766" s="5">
        <v>45922</v>
      </c>
      <c r="C766" s="1" t="s">
        <v>28</v>
      </c>
      <c r="D766" s="1" t="s">
        <v>29</v>
      </c>
      <c r="E766" s="1" t="s">
        <v>51</v>
      </c>
      <c r="F766" s="1" t="s">
        <v>52</v>
      </c>
      <c r="G766" s="1" t="s">
        <v>41</v>
      </c>
      <c r="H766" s="6">
        <v>1</v>
      </c>
      <c r="I766" s="7">
        <v>0</v>
      </c>
      <c r="J766" s="5">
        <v>45918</v>
      </c>
      <c r="K766" s="1" t="s">
        <v>30</v>
      </c>
      <c r="L766" s="8">
        <v>0</v>
      </c>
      <c r="M766" s="6"/>
      <c r="N766" s="6"/>
      <c r="O766" s="9">
        <v>-56</v>
      </c>
    </row>
    <row r="767" spans="1:15" ht="19.5" customHeight="1">
      <c r="A767" s="1" t="s">
        <v>549</v>
      </c>
      <c r="B767" s="5">
        <v>45922</v>
      </c>
      <c r="C767" s="1" t="s">
        <v>17</v>
      </c>
      <c r="D767" s="1" t="s">
        <v>37</v>
      </c>
      <c r="E767" s="1" t="s">
        <v>51</v>
      </c>
      <c r="F767" s="1" t="s">
        <v>52</v>
      </c>
      <c r="G767" s="1" t="s">
        <v>41</v>
      </c>
      <c r="H767" s="6">
        <v>1</v>
      </c>
      <c r="I767" s="7">
        <v>0</v>
      </c>
      <c r="J767" s="5">
        <v>45918</v>
      </c>
      <c r="K767" s="1" t="s">
        <v>30</v>
      </c>
      <c r="L767" s="8">
        <v>0</v>
      </c>
      <c r="M767" s="6"/>
      <c r="N767" s="6"/>
      <c r="O767" s="9">
        <v>-11.97</v>
      </c>
    </row>
    <row r="768" spans="1:15" ht="19.5" customHeight="1">
      <c r="A768" s="1" t="s">
        <v>549</v>
      </c>
      <c r="B768" s="5">
        <v>45922</v>
      </c>
      <c r="C768" s="1" t="s">
        <v>28</v>
      </c>
      <c r="D768" s="1" t="s">
        <v>45</v>
      </c>
      <c r="E768" s="1" t="s">
        <v>51</v>
      </c>
      <c r="F768" s="1" t="s">
        <v>52</v>
      </c>
      <c r="G768" s="1" t="s">
        <v>41</v>
      </c>
      <c r="H768" s="6">
        <v>1</v>
      </c>
      <c r="I768" s="7">
        <v>0</v>
      </c>
      <c r="J768" s="5">
        <v>45918</v>
      </c>
      <c r="K768" s="1" t="s">
        <v>30</v>
      </c>
      <c r="L768" s="8">
        <v>0</v>
      </c>
      <c r="M768" s="6"/>
      <c r="N768" s="6"/>
      <c r="O768" s="9">
        <v>0</v>
      </c>
    </row>
    <row r="769" spans="1:15" ht="19.5" customHeight="1">
      <c r="A769" s="1" t="s">
        <v>549</v>
      </c>
      <c r="B769" s="5">
        <v>45922</v>
      </c>
      <c r="C769" s="1" t="s">
        <v>28</v>
      </c>
      <c r="D769" s="1" t="s">
        <v>46</v>
      </c>
      <c r="E769" s="1" t="s">
        <v>51</v>
      </c>
      <c r="F769" s="1" t="s">
        <v>52</v>
      </c>
      <c r="G769" s="1" t="s">
        <v>41</v>
      </c>
      <c r="H769" s="6">
        <v>1</v>
      </c>
      <c r="I769" s="7">
        <v>0</v>
      </c>
      <c r="J769" s="5">
        <v>45918</v>
      </c>
      <c r="K769" s="1" t="s">
        <v>30</v>
      </c>
      <c r="L769" s="8">
        <v>0</v>
      </c>
      <c r="M769" s="6"/>
      <c r="N769" s="6"/>
      <c r="O769" s="9">
        <v>-56</v>
      </c>
    </row>
    <row r="770" spans="1:15" ht="19.5" customHeight="1">
      <c r="A770" s="1" t="s">
        <v>549</v>
      </c>
      <c r="B770" s="5">
        <v>45922</v>
      </c>
      <c r="C770" s="1" t="s">
        <v>17</v>
      </c>
      <c r="D770" s="1" t="s">
        <v>47</v>
      </c>
      <c r="E770" s="1" t="s">
        <v>51</v>
      </c>
      <c r="F770" s="1" t="s">
        <v>52</v>
      </c>
      <c r="G770" s="1" t="s">
        <v>41</v>
      </c>
      <c r="H770" s="6">
        <v>1</v>
      </c>
      <c r="I770" s="7">
        <v>0</v>
      </c>
      <c r="J770" s="5">
        <v>45918</v>
      </c>
      <c r="K770" s="1" t="s">
        <v>30</v>
      </c>
      <c r="L770" s="8">
        <v>0</v>
      </c>
      <c r="M770" s="6"/>
      <c r="N770" s="6"/>
      <c r="O770" s="9">
        <v>-15</v>
      </c>
    </row>
    <row r="771" spans="1:15" ht="19.5" customHeight="1">
      <c r="A771" s="1" t="s">
        <v>550</v>
      </c>
      <c r="B771" s="5">
        <v>45922</v>
      </c>
      <c r="C771" s="1" t="s">
        <v>28</v>
      </c>
      <c r="D771" s="1" t="s">
        <v>29</v>
      </c>
      <c r="E771" s="1" t="s">
        <v>25</v>
      </c>
      <c r="F771" s="1" t="s">
        <v>26</v>
      </c>
      <c r="G771" s="1" t="s">
        <v>21</v>
      </c>
      <c r="H771" s="6">
        <v>1</v>
      </c>
      <c r="I771" s="7">
        <v>1176</v>
      </c>
      <c r="J771" s="5">
        <v>45920</v>
      </c>
      <c r="K771" s="1" t="s">
        <v>30</v>
      </c>
      <c r="L771" s="8">
        <v>0.2</v>
      </c>
      <c r="M771" s="6"/>
      <c r="N771" s="6"/>
      <c r="O771" s="9">
        <v>-46</v>
      </c>
    </row>
    <row r="772" spans="1:15" ht="19.5" customHeight="1">
      <c r="A772" s="1" t="s">
        <v>550</v>
      </c>
      <c r="B772" s="5">
        <v>45922</v>
      </c>
      <c r="C772" s="1" t="s">
        <v>31</v>
      </c>
      <c r="D772" s="1" t="s">
        <v>32</v>
      </c>
      <c r="E772" s="1" t="s">
        <v>25</v>
      </c>
      <c r="F772" s="1" t="s">
        <v>26</v>
      </c>
      <c r="G772" s="1" t="s">
        <v>21</v>
      </c>
      <c r="H772" s="6">
        <v>1</v>
      </c>
      <c r="I772" s="7">
        <v>1176</v>
      </c>
      <c r="J772" s="5">
        <v>45920</v>
      </c>
      <c r="K772" s="1" t="s">
        <v>30</v>
      </c>
      <c r="L772" s="8">
        <v>0</v>
      </c>
      <c r="M772" s="6"/>
      <c r="N772" s="6"/>
      <c r="O772" s="9">
        <v>660.32</v>
      </c>
    </row>
    <row r="773" spans="1:15" ht="19.5" customHeight="1">
      <c r="A773" s="1" t="s">
        <v>550</v>
      </c>
      <c r="B773" s="5">
        <v>45922</v>
      </c>
      <c r="C773" s="1" t="s">
        <v>31</v>
      </c>
      <c r="D773" s="1" t="s">
        <v>33</v>
      </c>
      <c r="E773" s="1" t="s">
        <v>25</v>
      </c>
      <c r="F773" s="1" t="s">
        <v>26</v>
      </c>
      <c r="G773" s="1" t="s">
        <v>21</v>
      </c>
      <c r="H773" s="6">
        <v>1</v>
      </c>
      <c r="I773" s="7">
        <v>1176</v>
      </c>
      <c r="J773" s="5">
        <v>45920</v>
      </c>
      <c r="K773" s="1" t="s">
        <v>30</v>
      </c>
      <c r="L773" s="8">
        <v>0</v>
      </c>
      <c r="M773" s="6"/>
      <c r="N773" s="6"/>
      <c r="O773" s="9">
        <v>0</v>
      </c>
    </row>
    <row r="774" spans="1:15" ht="19.5" customHeight="1">
      <c r="A774" s="1" t="s">
        <v>550</v>
      </c>
      <c r="B774" s="5">
        <v>45922</v>
      </c>
      <c r="C774" s="1" t="s">
        <v>31</v>
      </c>
      <c r="D774" s="1" t="s">
        <v>34</v>
      </c>
      <c r="E774" s="1" t="s">
        <v>25</v>
      </c>
      <c r="F774" s="1" t="s">
        <v>26</v>
      </c>
      <c r="G774" s="1" t="s">
        <v>21</v>
      </c>
      <c r="H774" s="6">
        <v>1</v>
      </c>
      <c r="I774" s="7">
        <v>1176</v>
      </c>
      <c r="J774" s="5">
        <v>45920</v>
      </c>
      <c r="K774" s="1" t="s">
        <v>30</v>
      </c>
      <c r="L774" s="8">
        <v>0</v>
      </c>
      <c r="M774" s="6"/>
      <c r="N774" s="6"/>
      <c r="O774" s="9">
        <v>515.67999999999995</v>
      </c>
    </row>
    <row r="775" spans="1:15" ht="19.5" customHeight="1">
      <c r="A775" s="1" t="s">
        <v>550</v>
      </c>
      <c r="B775" s="5">
        <v>45922</v>
      </c>
      <c r="C775" s="1" t="s">
        <v>35</v>
      </c>
      <c r="D775" s="1" t="s">
        <v>36</v>
      </c>
      <c r="E775" s="1" t="s">
        <v>25</v>
      </c>
      <c r="F775" s="1" t="s">
        <v>26</v>
      </c>
      <c r="G775" s="1" t="s">
        <v>21</v>
      </c>
      <c r="H775" s="6">
        <v>1</v>
      </c>
      <c r="I775" s="7">
        <v>1176</v>
      </c>
      <c r="J775" s="5">
        <v>45920</v>
      </c>
      <c r="K775" s="1" t="s">
        <v>30</v>
      </c>
      <c r="L775" s="8">
        <v>0.2</v>
      </c>
      <c r="M775" s="6"/>
      <c r="N775" s="6"/>
      <c r="O775" s="9">
        <v>-235.2</v>
      </c>
    </row>
    <row r="776" spans="1:15" ht="19.5" customHeight="1">
      <c r="A776" s="1" t="s">
        <v>550</v>
      </c>
      <c r="B776" s="5">
        <v>45922</v>
      </c>
      <c r="C776" s="1" t="s">
        <v>17</v>
      </c>
      <c r="D776" s="1" t="s">
        <v>37</v>
      </c>
      <c r="E776" s="1" t="s">
        <v>25</v>
      </c>
      <c r="F776" s="1" t="s">
        <v>26</v>
      </c>
      <c r="G776" s="1" t="s">
        <v>21</v>
      </c>
      <c r="H776" s="6">
        <v>1</v>
      </c>
      <c r="I776" s="7">
        <v>1176</v>
      </c>
      <c r="J776" s="5">
        <v>45920</v>
      </c>
      <c r="K776" s="1" t="s">
        <v>30</v>
      </c>
      <c r="L776" s="8">
        <v>0.2</v>
      </c>
      <c r="M776" s="6"/>
      <c r="N776" s="6"/>
      <c r="O776" s="9">
        <v>-6.98</v>
      </c>
    </row>
    <row r="777" spans="1:15" ht="19.5" customHeight="1">
      <c r="A777" s="1" t="s">
        <v>22</v>
      </c>
      <c r="B777" s="5">
        <v>45922</v>
      </c>
      <c r="C777" s="1" t="s">
        <v>77</v>
      </c>
      <c r="D777" s="1" t="s">
        <v>78</v>
      </c>
      <c r="E777" s="1" t="s">
        <v>22</v>
      </c>
      <c r="F777" s="1" t="s">
        <v>22</v>
      </c>
      <c r="G777" s="1" t="s">
        <v>551</v>
      </c>
      <c r="H777" s="6">
        <v>0</v>
      </c>
      <c r="I777" s="7">
        <v>0</v>
      </c>
      <c r="J777" s="5">
        <v>45922</v>
      </c>
      <c r="K777" s="1" t="s">
        <v>22</v>
      </c>
      <c r="L777" s="8">
        <v>0</v>
      </c>
      <c r="M777" s="6"/>
      <c r="N777" s="6"/>
      <c r="O777" s="9">
        <v>-200</v>
      </c>
    </row>
    <row r="778" spans="1:15" ht="19.5" customHeight="1">
      <c r="A778" s="1" t="s">
        <v>552</v>
      </c>
      <c r="B778" s="5">
        <v>45922</v>
      </c>
      <c r="C778" s="1" t="s">
        <v>28</v>
      </c>
      <c r="D778" s="1" t="s">
        <v>29</v>
      </c>
      <c r="E778" s="1" t="s">
        <v>235</v>
      </c>
      <c r="F778" s="1" t="s">
        <v>528</v>
      </c>
      <c r="G778" s="1" t="s">
        <v>41</v>
      </c>
      <c r="H778" s="6">
        <v>1</v>
      </c>
      <c r="I778" s="7">
        <v>3690</v>
      </c>
      <c r="J778" s="5">
        <v>45921</v>
      </c>
      <c r="K778" s="1" t="s">
        <v>30</v>
      </c>
      <c r="L778" s="8">
        <v>0.18</v>
      </c>
      <c r="M778" s="6"/>
      <c r="N778" s="6"/>
      <c r="O778" s="9">
        <v>-56</v>
      </c>
    </row>
    <row r="779" spans="1:15" ht="19.5" customHeight="1">
      <c r="A779" s="1" t="s">
        <v>552</v>
      </c>
      <c r="B779" s="5">
        <v>45922</v>
      </c>
      <c r="C779" s="1" t="s">
        <v>31</v>
      </c>
      <c r="D779" s="1" t="s">
        <v>32</v>
      </c>
      <c r="E779" s="1" t="s">
        <v>235</v>
      </c>
      <c r="F779" s="1" t="s">
        <v>528</v>
      </c>
      <c r="G779" s="1" t="s">
        <v>41</v>
      </c>
      <c r="H779" s="6">
        <v>1</v>
      </c>
      <c r="I779" s="7">
        <v>3690</v>
      </c>
      <c r="J779" s="5">
        <v>45921</v>
      </c>
      <c r="K779" s="1" t="s">
        <v>30</v>
      </c>
      <c r="L779" s="8">
        <v>0</v>
      </c>
      <c r="M779" s="6"/>
      <c r="N779" s="6"/>
      <c r="O779" s="9">
        <v>2245.27</v>
      </c>
    </row>
    <row r="780" spans="1:15" ht="19.5" customHeight="1">
      <c r="A780" s="1" t="s">
        <v>552</v>
      </c>
      <c r="B780" s="5">
        <v>45922</v>
      </c>
      <c r="C780" s="1" t="s">
        <v>31</v>
      </c>
      <c r="D780" s="1" t="s">
        <v>33</v>
      </c>
      <c r="E780" s="1" t="s">
        <v>235</v>
      </c>
      <c r="F780" s="1" t="s">
        <v>528</v>
      </c>
      <c r="G780" s="1" t="s">
        <v>41</v>
      </c>
      <c r="H780" s="6">
        <v>1</v>
      </c>
      <c r="I780" s="7">
        <v>3690</v>
      </c>
      <c r="J780" s="5">
        <v>45921</v>
      </c>
      <c r="K780" s="1" t="s">
        <v>30</v>
      </c>
      <c r="L780" s="8">
        <v>0</v>
      </c>
      <c r="M780" s="6"/>
      <c r="N780" s="6"/>
      <c r="O780" s="9">
        <v>16.5</v>
      </c>
    </row>
    <row r="781" spans="1:15" ht="19.5" customHeight="1">
      <c r="A781" s="1" t="s">
        <v>552</v>
      </c>
      <c r="B781" s="5">
        <v>45922</v>
      </c>
      <c r="C781" s="1" t="s">
        <v>31</v>
      </c>
      <c r="D781" s="1" t="s">
        <v>34</v>
      </c>
      <c r="E781" s="1" t="s">
        <v>235</v>
      </c>
      <c r="F781" s="1" t="s">
        <v>528</v>
      </c>
      <c r="G781" s="1" t="s">
        <v>41</v>
      </c>
      <c r="H781" s="6">
        <v>1</v>
      </c>
      <c r="I781" s="7">
        <v>3690</v>
      </c>
      <c r="J781" s="5">
        <v>45921</v>
      </c>
      <c r="K781" s="1" t="s">
        <v>30</v>
      </c>
      <c r="L781" s="8">
        <v>0</v>
      </c>
      <c r="M781" s="6"/>
      <c r="N781" s="6"/>
      <c r="O781" s="9">
        <v>1428.23</v>
      </c>
    </row>
    <row r="782" spans="1:15" ht="19.5" customHeight="1">
      <c r="A782" s="1" t="s">
        <v>552</v>
      </c>
      <c r="B782" s="5">
        <v>45922</v>
      </c>
      <c r="C782" s="1" t="s">
        <v>35</v>
      </c>
      <c r="D782" s="1" t="s">
        <v>36</v>
      </c>
      <c r="E782" s="1" t="s">
        <v>235</v>
      </c>
      <c r="F782" s="1" t="s">
        <v>528</v>
      </c>
      <c r="G782" s="1" t="s">
        <v>41</v>
      </c>
      <c r="H782" s="6">
        <v>1</v>
      </c>
      <c r="I782" s="7">
        <v>3690</v>
      </c>
      <c r="J782" s="5">
        <v>45921</v>
      </c>
      <c r="K782" s="1" t="s">
        <v>30</v>
      </c>
      <c r="L782" s="8">
        <v>0.18</v>
      </c>
      <c r="M782" s="6"/>
      <c r="N782" s="6"/>
      <c r="O782" s="9">
        <v>-664.2</v>
      </c>
    </row>
    <row r="783" spans="1:15" ht="19.5" customHeight="1">
      <c r="A783" s="1" t="s">
        <v>552</v>
      </c>
      <c r="B783" s="5">
        <v>45922</v>
      </c>
      <c r="C783" s="1" t="s">
        <v>17</v>
      </c>
      <c r="D783" s="1" t="s">
        <v>37</v>
      </c>
      <c r="E783" s="1" t="s">
        <v>235</v>
      </c>
      <c r="F783" s="1" t="s">
        <v>528</v>
      </c>
      <c r="G783" s="1" t="s">
        <v>41</v>
      </c>
      <c r="H783" s="6">
        <v>1</v>
      </c>
      <c r="I783" s="7">
        <v>3690</v>
      </c>
      <c r="J783" s="5">
        <v>45921</v>
      </c>
      <c r="K783" s="1" t="s">
        <v>30</v>
      </c>
      <c r="L783" s="8">
        <v>0.18</v>
      </c>
      <c r="M783" s="6"/>
      <c r="N783" s="6"/>
      <c r="O783" s="9">
        <v>-11.32</v>
      </c>
    </row>
    <row r="784" spans="1:15" ht="19.5" customHeight="1">
      <c r="A784" s="1" t="s">
        <v>521</v>
      </c>
      <c r="B784" s="5">
        <v>45922</v>
      </c>
      <c r="C784" s="1" t="s">
        <v>17</v>
      </c>
      <c r="D784" s="1" t="s">
        <v>18</v>
      </c>
      <c r="E784" s="1" t="s">
        <v>70</v>
      </c>
      <c r="F784" s="1" t="s">
        <v>71</v>
      </c>
      <c r="G784" s="1" t="s">
        <v>41</v>
      </c>
      <c r="H784" s="6">
        <v>1</v>
      </c>
      <c r="I784" s="7">
        <v>0</v>
      </c>
      <c r="J784" s="5">
        <v>45921</v>
      </c>
      <c r="K784" s="1" t="s">
        <v>22</v>
      </c>
      <c r="L784" s="8">
        <v>0</v>
      </c>
      <c r="M784" s="6"/>
      <c r="N784" s="6"/>
      <c r="O784" s="9">
        <v>42.7</v>
      </c>
    </row>
    <row r="785" spans="1:15" ht="19.5" customHeight="1">
      <c r="A785" s="1" t="s">
        <v>454</v>
      </c>
      <c r="B785" s="5">
        <v>45922</v>
      </c>
      <c r="C785" s="1" t="s">
        <v>77</v>
      </c>
      <c r="D785" s="1" t="s">
        <v>82</v>
      </c>
      <c r="E785" s="1" t="s">
        <v>22</v>
      </c>
      <c r="F785" s="1" t="s">
        <v>22</v>
      </c>
      <c r="G785" s="1" t="s">
        <v>22</v>
      </c>
      <c r="H785" s="6">
        <v>0</v>
      </c>
      <c r="I785" s="7">
        <v>0</v>
      </c>
      <c r="J785" s="5">
        <v>45922</v>
      </c>
      <c r="K785" s="1" t="s">
        <v>22</v>
      </c>
      <c r="L785" s="8">
        <v>0</v>
      </c>
      <c r="M785" s="6"/>
      <c r="N785" s="6"/>
      <c r="O785" s="9">
        <v>-477.76</v>
      </c>
    </row>
    <row r="786" spans="1:15" ht="19.5" customHeight="1">
      <c r="A786" s="1" t="s">
        <v>83</v>
      </c>
      <c r="B786" s="5">
        <v>45922</v>
      </c>
      <c r="C786" s="1" t="s">
        <v>77</v>
      </c>
      <c r="D786" s="1" t="s">
        <v>84</v>
      </c>
      <c r="E786" s="1" t="s">
        <v>22</v>
      </c>
      <c r="F786" s="1" t="s">
        <v>22</v>
      </c>
      <c r="G786" s="1" t="s">
        <v>22</v>
      </c>
      <c r="H786" s="6">
        <v>0</v>
      </c>
      <c r="I786" s="7">
        <v>0</v>
      </c>
      <c r="J786" s="5">
        <v>45922</v>
      </c>
      <c r="K786" s="1" t="s">
        <v>22</v>
      </c>
      <c r="L786" s="8">
        <v>0</v>
      </c>
      <c r="M786" s="6"/>
      <c r="N786" s="6"/>
      <c r="O786" s="9">
        <v>-740.76</v>
      </c>
    </row>
    <row r="787" spans="1:15" ht="19.5" customHeight="1">
      <c r="A787" s="1" t="s">
        <v>81</v>
      </c>
      <c r="B787" s="5">
        <v>45922</v>
      </c>
      <c r="C787" s="1" t="s">
        <v>77</v>
      </c>
      <c r="D787" s="1" t="s">
        <v>82</v>
      </c>
      <c r="E787" s="1" t="s">
        <v>22</v>
      </c>
      <c r="F787" s="1" t="s">
        <v>22</v>
      </c>
      <c r="G787" s="1" t="s">
        <v>22</v>
      </c>
      <c r="H787" s="6">
        <v>0</v>
      </c>
      <c r="I787" s="7">
        <v>0</v>
      </c>
      <c r="J787" s="5">
        <v>45922</v>
      </c>
      <c r="K787" s="1" t="s">
        <v>22</v>
      </c>
      <c r="L787" s="8">
        <v>0</v>
      </c>
      <c r="M787" s="6"/>
      <c r="N787" s="6"/>
      <c r="O787" s="9">
        <v>-3607.67</v>
      </c>
    </row>
    <row r="788" spans="1:15" ht="19.5" customHeight="1">
      <c r="A788" s="1" t="s">
        <v>553</v>
      </c>
      <c r="B788" s="5">
        <v>45923</v>
      </c>
      <c r="C788" s="1" t="s">
        <v>28</v>
      </c>
      <c r="D788" s="1" t="s">
        <v>45</v>
      </c>
      <c r="E788" s="1" t="s">
        <v>51</v>
      </c>
      <c r="F788" s="1" t="s">
        <v>52</v>
      </c>
      <c r="G788" s="1" t="s">
        <v>41</v>
      </c>
      <c r="H788" s="6">
        <v>1</v>
      </c>
      <c r="I788" s="7">
        <v>0</v>
      </c>
      <c r="J788" s="5">
        <v>45918</v>
      </c>
      <c r="K788" s="1" t="s">
        <v>30</v>
      </c>
      <c r="L788" s="8">
        <v>0</v>
      </c>
      <c r="M788" s="6"/>
      <c r="N788" s="6"/>
      <c r="O788" s="9">
        <v>0</v>
      </c>
    </row>
    <row r="789" spans="1:15" ht="19.5" customHeight="1">
      <c r="A789" s="1" t="s">
        <v>553</v>
      </c>
      <c r="B789" s="5">
        <v>45923</v>
      </c>
      <c r="C789" s="1" t="s">
        <v>28</v>
      </c>
      <c r="D789" s="1" t="s">
        <v>46</v>
      </c>
      <c r="E789" s="1" t="s">
        <v>51</v>
      </c>
      <c r="F789" s="1" t="s">
        <v>52</v>
      </c>
      <c r="G789" s="1" t="s">
        <v>41</v>
      </c>
      <c r="H789" s="6">
        <v>1</v>
      </c>
      <c r="I789" s="7">
        <v>0</v>
      </c>
      <c r="J789" s="5">
        <v>45918</v>
      </c>
      <c r="K789" s="1" t="s">
        <v>30</v>
      </c>
      <c r="L789" s="8">
        <v>0</v>
      </c>
      <c r="M789" s="6"/>
      <c r="N789" s="6"/>
      <c r="O789" s="9">
        <v>-56</v>
      </c>
    </row>
    <row r="790" spans="1:15" ht="19.5" customHeight="1">
      <c r="A790" s="1" t="s">
        <v>553</v>
      </c>
      <c r="B790" s="5">
        <v>45923</v>
      </c>
      <c r="C790" s="1" t="s">
        <v>17</v>
      </c>
      <c r="D790" s="1" t="s">
        <v>47</v>
      </c>
      <c r="E790" s="1" t="s">
        <v>51</v>
      </c>
      <c r="F790" s="1" t="s">
        <v>52</v>
      </c>
      <c r="G790" s="1" t="s">
        <v>41</v>
      </c>
      <c r="H790" s="6">
        <v>1</v>
      </c>
      <c r="I790" s="7">
        <v>0</v>
      </c>
      <c r="J790" s="5">
        <v>45918</v>
      </c>
      <c r="K790" s="1" t="s">
        <v>30</v>
      </c>
      <c r="L790" s="8">
        <v>0</v>
      </c>
      <c r="M790" s="6"/>
      <c r="N790" s="6"/>
      <c r="O790" s="9">
        <v>-15</v>
      </c>
    </row>
    <row r="791" spans="1:15" ht="19.5" customHeight="1">
      <c r="A791" s="1" t="s">
        <v>553</v>
      </c>
      <c r="B791" s="5">
        <v>45923</v>
      </c>
      <c r="C791" s="1" t="s">
        <v>28</v>
      </c>
      <c r="D791" s="1" t="s">
        <v>29</v>
      </c>
      <c r="E791" s="1" t="s">
        <v>51</v>
      </c>
      <c r="F791" s="1" t="s">
        <v>52</v>
      </c>
      <c r="G791" s="1" t="s">
        <v>41</v>
      </c>
      <c r="H791" s="6">
        <v>1</v>
      </c>
      <c r="I791" s="7">
        <v>0</v>
      </c>
      <c r="J791" s="5">
        <v>45918</v>
      </c>
      <c r="K791" s="1" t="s">
        <v>30</v>
      </c>
      <c r="L791" s="8">
        <v>0</v>
      </c>
      <c r="M791" s="6"/>
      <c r="N791" s="6"/>
      <c r="O791" s="9">
        <v>-56</v>
      </c>
    </row>
    <row r="792" spans="1:15" ht="19.5" customHeight="1">
      <c r="A792" s="1" t="s">
        <v>553</v>
      </c>
      <c r="B792" s="5">
        <v>45923</v>
      </c>
      <c r="C792" s="1" t="s">
        <v>17</v>
      </c>
      <c r="D792" s="1" t="s">
        <v>37</v>
      </c>
      <c r="E792" s="1" t="s">
        <v>51</v>
      </c>
      <c r="F792" s="1" t="s">
        <v>52</v>
      </c>
      <c r="G792" s="1" t="s">
        <v>41</v>
      </c>
      <c r="H792" s="6">
        <v>1</v>
      </c>
      <c r="I792" s="7">
        <v>0</v>
      </c>
      <c r="J792" s="5">
        <v>45918</v>
      </c>
      <c r="K792" s="1" t="s">
        <v>30</v>
      </c>
      <c r="L792" s="8">
        <v>0</v>
      </c>
      <c r="M792" s="6"/>
      <c r="N792" s="6"/>
      <c r="O792" s="9">
        <v>-8.94</v>
      </c>
    </row>
    <row r="793" spans="1:15" ht="19.5" customHeight="1">
      <c r="A793" s="1" t="s">
        <v>554</v>
      </c>
      <c r="B793" s="5">
        <v>45923</v>
      </c>
      <c r="C793" s="1" t="s">
        <v>28</v>
      </c>
      <c r="D793" s="1" t="s">
        <v>29</v>
      </c>
      <c r="E793" s="1" t="s">
        <v>25</v>
      </c>
      <c r="F793" s="1" t="s">
        <v>26</v>
      </c>
      <c r="G793" s="1" t="s">
        <v>21</v>
      </c>
      <c r="H793" s="6">
        <v>1</v>
      </c>
      <c r="I793" s="7">
        <v>0</v>
      </c>
      <c r="J793" s="5">
        <v>45915</v>
      </c>
      <c r="K793" s="1" t="s">
        <v>30</v>
      </c>
      <c r="L793" s="8">
        <v>0</v>
      </c>
      <c r="M793" s="6"/>
      <c r="N793" s="6"/>
      <c r="O793" s="9">
        <v>-46</v>
      </c>
    </row>
    <row r="794" spans="1:15" ht="19.5" customHeight="1">
      <c r="A794" s="1" t="s">
        <v>554</v>
      </c>
      <c r="B794" s="5">
        <v>45923</v>
      </c>
      <c r="C794" s="1" t="s">
        <v>17</v>
      </c>
      <c r="D794" s="1" t="s">
        <v>37</v>
      </c>
      <c r="E794" s="1" t="s">
        <v>25</v>
      </c>
      <c r="F794" s="1" t="s">
        <v>26</v>
      </c>
      <c r="G794" s="1" t="s">
        <v>21</v>
      </c>
      <c r="H794" s="6">
        <v>1</v>
      </c>
      <c r="I794" s="7">
        <v>0</v>
      </c>
      <c r="J794" s="5">
        <v>45915</v>
      </c>
      <c r="K794" s="1" t="s">
        <v>30</v>
      </c>
      <c r="L794" s="8">
        <v>0</v>
      </c>
      <c r="M794" s="6"/>
      <c r="N794" s="6"/>
      <c r="O794" s="9">
        <v>-5.5</v>
      </c>
    </row>
    <row r="795" spans="1:15" ht="19.5" customHeight="1">
      <c r="A795" s="1" t="s">
        <v>554</v>
      </c>
      <c r="B795" s="5">
        <v>45923</v>
      </c>
      <c r="C795" s="1" t="s">
        <v>28</v>
      </c>
      <c r="D795" s="1" t="s">
        <v>356</v>
      </c>
      <c r="E795" s="1" t="s">
        <v>25</v>
      </c>
      <c r="F795" s="1" t="s">
        <v>26</v>
      </c>
      <c r="G795" s="1" t="s">
        <v>21</v>
      </c>
      <c r="H795" s="6">
        <v>1</v>
      </c>
      <c r="I795" s="7">
        <v>0</v>
      </c>
      <c r="J795" s="5">
        <v>45915</v>
      </c>
      <c r="K795" s="1" t="s">
        <v>30</v>
      </c>
      <c r="L795" s="8">
        <v>0</v>
      </c>
      <c r="M795" s="6"/>
      <c r="N795" s="6"/>
      <c r="O795" s="9">
        <v>0</v>
      </c>
    </row>
    <row r="796" spans="1:15" ht="19.5" customHeight="1">
      <c r="A796" s="1" t="s">
        <v>554</v>
      </c>
      <c r="B796" s="5">
        <v>45923</v>
      </c>
      <c r="C796" s="1" t="s">
        <v>28</v>
      </c>
      <c r="D796" s="1" t="s">
        <v>46</v>
      </c>
      <c r="E796" s="1" t="s">
        <v>25</v>
      </c>
      <c r="F796" s="1" t="s">
        <v>26</v>
      </c>
      <c r="G796" s="1" t="s">
        <v>21</v>
      </c>
      <c r="H796" s="6">
        <v>1</v>
      </c>
      <c r="I796" s="7">
        <v>0</v>
      </c>
      <c r="J796" s="5">
        <v>45915</v>
      </c>
      <c r="K796" s="1" t="s">
        <v>30</v>
      </c>
      <c r="L796" s="8">
        <v>0</v>
      </c>
      <c r="M796" s="6"/>
      <c r="N796" s="6"/>
      <c r="O796" s="9">
        <v>-46</v>
      </c>
    </row>
    <row r="797" spans="1:15" ht="19.5" customHeight="1">
      <c r="A797" s="1" t="s">
        <v>554</v>
      </c>
      <c r="B797" s="5">
        <v>45923</v>
      </c>
      <c r="C797" s="1" t="s">
        <v>17</v>
      </c>
      <c r="D797" s="1" t="s">
        <v>47</v>
      </c>
      <c r="E797" s="1" t="s">
        <v>25</v>
      </c>
      <c r="F797" s="1" t="s">
        <v>26</v>
      </c>
      <c r="G797" s="1" t="s">
        <v>21</v>
      </c>
      <c r="H797" s="6">
        <v>1</v>
      </c>
      <c r="I797" s="7">
        <v>0</v>
      </c>
      <c r="J797" s="5">
        <v>45915</v>
      </c>
      <c r="K797" s="1" t="s">
        <v>30</v>
      </c>
      <c r="L797" s="8">
        <v>0</v>
      </c>
      <c r="M797" s="6"/>
      <c r="N797" s="6"/>
      <c r="O797" s="9">
        <v>-15</v>
      </c>
    </row>
    <row r="798" spans="1:15" ht="19.5" customHeight="1">
      <c r="A798" s="1" t="s">
        <v>555</v>
      </c>
      <c r="B798" s="5">
        <v>45923</v>
      </c>
      <c r="C798" s="1" t="s">
        <v>28</v>
      </c>
      <c r="D798" s="1" t="s">
        <v>29</v>
      </c>
      <c r="E798" s="1" t="s">
        <v>25</v>
      </c>
      <c r="F798" s="1" t="s">
        <v>26</v>
      </c>
      <c r="G798" s="1" t="s">
        <v>21</v>
      </c>
      <c r="H798" s="6">
        <v>1</v>
      </c>
      <c r="I798" s="7">
        <v>1176</v>
      </c>
      <c r="J798" s="5">
        <v>45921</v>
      </c>
      <c r="K798" s="1" t="s">
        <v>30</v>
      </c>
      <c r="L798" s="8">
        <v>0.2</v>
      </c>
      <c r="M798" s="6"/>
      <c r="N798" s="6"/>
      <c r="O798" s="9">
        <v>-46</v>
      </c>
    </row>
    <row r="799" spans="1:15" ht="19.5" customHeight="1">
      <c r="A799" s="1" t="s">
        <v>555</v>
      </c>
      <c r="B799" s="5">
        <v>45923</v>
      </c>
      <c r="C799" s="1" t="s">
        <v>31</v>
      </c>
      <c r="D799" s="1" t="s">
        <v>32</v>
      </c>
      <c r="E799" s="1" t="s">
        <v>25</v>
      </c>
      <c r="F799" s="1" t="s">
        <v>26</v>
      </c>
      <c r="G799" s="1" t="s">
        <v>21</v>
      </c>
      <c r="H799" s="6">
        <v>1</v>
      </c>
      <c r="I799" s="7">
        <v>1176</v>
      </c>
      <c r="J799" s="5">
        <v>45921</v>
      </c>
      <c r="K799" s="1" t="s">
        <v>30</v>
      </c>
      <c r="L799" s="8">
        <v>0</v>
      </c>
      <c r="M799" s="6"/>
      <c r="N799" s="6"/>
      <c r="O799" s="9">
        <v>633.33000000000004</v>
      </c>
    </row>
    <row r="800" spans="1:15" ht="19.5" customHeight="1">
      <c r="A800" s="1" t="s">
        <v>555</v>
      </c>
      <c r="B800" s="5">
        <v>45923</v>
      </c>
      <c r="C800" s="1" t="s">
        <v>31</v>
      </c>
      <c r="D800" s="1" t="s">
        <v>33</v>
      </c>
      <c r="E800" s="1" t="s">
        <v>25</v>
      </c>
      <c r="F800" s="1" t="s">
        <v>26</v>
      </c>
      <c r="G800" s="1" t="s">
        <v>21</v>
      </c>
      <c r="H800" s="6">
        <v>1</v>
      </c>
      <c r="I800" s="7">
        <v>1176</v>
      </c>
      <c r="J800" s="5">
        <v>45921</v>
      </c>
      <c r="K800" s="1" t="s">
        <v>30</v>
      </c>
      <c r="L800" s="8">
        <v>0</v>
      </c>
      <c r="M800" s="6"/>
      <c r="N800" s="6"/>
      <c r="O800" s="9">
        <v>0</v>
      </c>
    </row>
    <row r="801" spans="1:15" ht="19.5" customHeight="1">
      <c r="A801" s="1" t="s">
        <v>555</v>
      </c>
      <c r="B801" s="5">
        <v>45923</v>
      </c>
      <c r="C801" s="1" t="s">
        <v>31</v>
      </c>
      <c r="D801" s="1" t="s">
        <v>34</v>
      </c>
      <c r="E801" s="1" t="s">
        <v>25</v>
      </c>
      <c r="F801" s="1" t="s">
        <v>26</v>
      </c>
      <c r="G801" s="1" t="s">
        <v>21</v>
      </c>
      <c r="H801" s="6">
        <v>1</v>
      </c>
      <c r="I801" s="7">
        <v>1176</v>
      </c>
      <c r="J801" s="5">
        <v>45921</v>
      </c>
      <c r="K801" s="1" t="s">
        <v>30</v>
      </c>
      <c r="L801" s="8">
        <v>0</v>
      </c>
      <c r="M801" s="6"/>
      <c r="N801" s="6"/>
      <c r="O801" s="9">
        <v>542.66999999999996</v>
      </c>
    </row>
    <row r="802" spans="1:15" ht="19.5" customHeight="1">
      <c r="A802" s="1" t="s">
        <v>555</v>
      </c>
      <c r="B802" s="5">
        <v>45923</v>
      </c>
      <c r="C802" s="1" t="s">
        <v>35</v>
      </c>
      <c r="D802" s="1" t="s">
        <v>36</v>
      </c>
      <c r="E802" s="1" t="s">
        <v>25</v>
      </c>
      <c r="F802" s="1" t="s">
        <v>26</v>
      </c>
      <c r="G802" s="1" t="s">
        <v>21</v>
      </c>
      <c r="H802" s="6">
        <v>1</v>
      </c>
      <c r="I802" s="7">
        <v>1176</v>
      </c>
      <c r="J802" s="5">
        <v>45921</v>
      </c>
      <c r="K802" s="1" t="s">
        <v>30</v>
      </c>
      <c r="L802" s="8">
        <v>0.2</v>
      </c>
      <c r="M802" s="6"/>
      <c r="N802" s="6"/>
      <c r="O802" s="9">
        <v>-235.2</v>
      </c>
    </row>
    <row r="803" spans="1:15" ht="19.5" customHeight="1">
      <c r="A803" s="1" t="s">
        <v>555</v>
      </c>
      <c r="B803" s="5">
        <v>45923</v>
      </c>
      <c r="C803" s="1" t="s">
        <v>17</v>
      </c>
      <c r="D803" s="1" t="s">
        <v>37</v>
      </c>
      <c r="E803" s="1" t="s">
        <v>25</v>
      </c>
      <c r="F803" s="1" t="s">
        <v>26</v>
      </c>
      <c r="G803" s="1" t="s">
        <v>21</v>
      </c>
      <c r="H803" s="6">
        <v>1</v>
      </c>
      <c r="I803" s="7">
        <v>1176</v>
      </c>
      <c r="J803" s="5">
        <v>45921</v>
      </c>
      <c r="K803" s="1" t="s">
        <v>30</v>
      </c>
      <c r="L803" s="8">
        <v>0.2</v>
      </c>
      <c r="M803" s="6"/>
      <c r="N803" s="6"/>
      <c r="O803" s="9">
        <v>-5.27</v>
      </c>
    </row>
    <row r="804" spans="1:15" ht="19.5" customHeight="1">
      <c r="A804" s="1" t="s">
        <v>556</v>
      </c>
      <c r="B804" s="5">
        <v>45923</v>
      </c>
      <c r="C804" s="1" t="s">
        <v>74</v>
      </c>
      <c r="D804" s="1" t="s">
        <v>75</v>
      </c>
      <c r="E804" s="1" t="s">
        <v>70</v>
      </c>
      <c r="F804" s="1" t="s">
        <v>71</v>
      </c>
      <c r="G804" s="1" t="s">
        <v>41</v>
      </c>
      <c r="H804" s="6">
        <v>1</v>
      </c>
      <c r="I804" s="7">
        <v>0</v>
      </c>
      <c r="J804" s="5">
        <v>45921</v>
      </c>
      <c r="K804" s="1" t="s">
        <v>30</v>
      </c>
      <c r="L804" s="8">
        <v>0</v>
      </c>
      <c r="M804" s="6"/>
      <c r="N804" s="6"/>
      <c r="O804" s="9">
        <v>-5</v>
      </c>
    </row>
    <row r="805" spans="1:15" ht="19.5" customHeight="1">
      <c r="A805" s="1" t="s">
        <v>556</v>
      </c>
      <c r="B805" s="5">
        <v>45923</v>
      </c>
      <c r="C805" s="1" t="s">
        <v>17</v>
      </c>
      <c r="D805" s="1" t="s">
        <v>76</v>
      </c>
      <c r="E805" s="1" t="s">
        <v>70</v>
      </c>
      <c r="F805" s="1" t="s">
        <v>71</v>
      </c>
      <c r="G805" s="1" t="s">
        <v>41</v>
      </c>
      <c r="H805" s="6">
        <v>1</v>
      </c>
      <c r="I805" s="7">
        <v>0</v>
      </c>
      <c r="J805" s="5">
        <v>45921</v>
      </c>
      <c r="K805" s="1" t="s">
        <v>30</v>
      </c>
      <c r="L805" s="8">
        <v>0</v>
      </c>
      <c r="M805" s="6"/>
      <c r="N805" s="6"/>
      <c r="O805" s="9">
        <v>-10</v>
      </c>
    </row>
    <row r="806" spans="1:15" ht="19.5" customHeight="1">
      <c r="A806" s="1" t="s">
        <v>555</v>
      </c>
      <c r="B806" s="5">
        <v>45923</v>
      </c>
      <c r="C806" s="1" t="s">
        <v>17</v>
      </c>
      <c r="D806" s="1" t="s">
        <v>18</v>
      </c>
      <c r="E806" s="1" t="s">
        <v>25</v>
      </c>
      <c r="F806" s="1" t="s">
        <v>26</v>
      </c>
      <c r="G806" s="1" t="s">
        <v>21</v>
      </c>
      <c r="H806" s="6">
        <v>1</v>
      </c>
      <c r="I806" s="7">
        <v>0</v>
      </c>
      <c r="J806" s="5">
        <v>45921</v>
      </c>
      <c r="K806" s="1" t="s">
        <v>22</v>
      </c>
      <c r="L806" s="8">
        <v>0</v>
      </c>
      <c r="M806" s="6"/>
      <c r="N806" s="6"/>
      <c r="O806" s="9">
        <v>-2.6</v>
      </c>
    </row>
    <row r="807" spans="1:15" ht="19.5" customHeight="1">
      <c r="A807" s="1" t="s">
        <v>557</v>
      </c>
      <c r="B807" s="5">
        <v>45923</v>
      </c>
      <c r="C807" s="1" t="s">
        <v>17</v>
      </c>
      <c r="D807" s="1" t="s">
        <v>18</v>
      </c>
      <c r="E807" s="1" t="s">
        <v>70</v>
      </c>
      <c r="F807" s="1" t="s">
        <v>71</v>
      </c>
      <c r="G807" s="1" t="s">
        <v>41</v>
      </c>
      <c r="H807" s="6">
        <v>1</v>
      </c>
      <c r="I807" s="7">
        <v>0</v>
      </c>
      <c r="J807" s="5">
        <v>45923</v>
      </c>
      <c r="K807" s="1" t="s">
        <v>22</v>
      </c>
      <c r="L807" s="8">
        <v>0</v>
      </c>
      <c r="M807" s="6"/>
      <c r="N807" s="6"/>
      <c r="O807" s="9">
        <v>-44.65</v>
      </c>
    </row>
    <row r="808" spans="1:15" ht="19.5" customHeight="1">
      <c r="A808" s="1" t="s">
        <v>558</v>
      </c>
      <c r="B808" s="5">
        <v>45923</v>
      </c>
      <c r="C808" s="1" t="s">
        <v>28</v>
      </c>
      <c r="D808" s="1" t="s">
        <v>29</v>
      </c>
      <c r="E808" s="1" t="s">
        <v>25</v>
      </c>
      <c r="F808" s="1" t="s">
        <v>26</v>
      </c>
      <c r="G808" s="1" t="s">
        <v>21</v>
      </c>
      <c r="H808" s="6">
        <v>1</v>
      </c>
      <c r="I808" s="7">
        <v>0</v>
      </c>
      <c r="J808" s="5">
        <v>45918</v>
      </c>
      <c r="K808" s="1" t="s">
        <v>30</v>
      </c>
      <c r="L808" s="8">
        <v>0</v>
      </c>
      <c r="M808" s="6"/>
      <c r="N808" s="6"/>
      <c r="O808" s="9">
        <v>-46</v>
      </c>
    </row>
    <row r="809" spans="1:15" ht="19.5" customHeight="1">
      <c r="A809" s="1" t="s">
        <v>558</v>
      </c>
      <c r="B809" s="5">
        <v>45923</v>
      </c>
      <c r="C809" s="1" t="s">
        <v>17</v>
      </c>
      <c r="D809" s="1" t="s">
        <v>37</v>
      </c>
      <c r="E809" s="1" t="s">
        <v>25</v>
      </c>
      <c r="F809" s="1" t="s">
        <v>26</v>
      </c>
      <c r="G809" s="1" t="s">
        <v>21</v>
      </c>
      <c r="H809" s="6">
        <v>1</v>
      </c>
      <c r="I809" s="7">
        <v>0</v>
      </c>
      <c r="J809" s="5">
        <v>45918</v>
      </c>
      <c r="K809" s="1" t="s">
        <v>30</v>
      </c>
      <c r="L809" s="8">
        <v>0</v>
      </c>
      <c r="M809" s="6"/>
      <c r="N809" s="6"/>
      <c r="O809" s="9">
        <v>-4.3099999999999996</v>
      </c>
    </row>
    <row r="810" spans="1:15" ht="19.5" customHeight="1">
      <c r="A810" s="1" t="s">
        <v>558</v>
      </c>
      <c r="B810" s="5">
        <v>45923</v>
      </c>
      <c r="C810" s="1" t="s">
        <v>28</v>
      </c>
      <c r="D810" s="1" t="s">
        <v>356</v>
      </c>
      <c r="E810" s="1" t="s">
        <v>25</v>
      </c>
      <c r="F810" s="1" t="s">
        <v>26</v>
      </c>
      <c r="G810" s="1" t="s">
        <v>21</v>
      </c>
      <c r="H810" s="6">
        <v>1</v>
      </c>
      <c r="I810" s="7">
        <v>0</v>
      </c>
      <c r="J810" s="5">
        <v>45918</v>
      </c>
      <c r="K810" s="1" t="s">
        <v>30</v>
      </c>
      <c r="L810" s="8">
        <v>0</v>
      </c>
      <c r="M810" s="6"/>
      <c r="N810" s="6"/>
      <c r="O810" s="9">
        <v>0</v>
      </c>
    </row>
    <row r="811" spans="1:15" ht="19.5" customHeight="1">
      <c r="A811" s="1" t="s">
        <v>558</v>
      </c>
      <c r="B811" s="5">
        <v>45923</v>
      </c>
      <c r="C811" s="1" t="s">
        <v>28</v>
      </c>
      <c r="D811" s="1" t="s">
        <v>46</v>
      </c>
      <c r="E811" s="1" t="s">
        <v>25</v>
      </c>
      <c r="F811" s="1" t="s">
        <v>26</v>
      </c>
      <c r="G811" s="1" t="s">
        <v>21</v>
      </c>
      <c r="H811" s="6">
        <v>1</v>
      </c>
      <c r="I811" s="7">
        <v>0</v>
      </c>
      <c r="J811" s="5">
        <v>45918</v>
      </c>
      <c r="K811" s="1" t="s">
        <v>30</v>
      </c>
      <c r="L811" s="8">
        <v>0</v>
      </c>
      <c r="M811" s="6"/>
      <c r="N811" s="6"/>
      <c r="O811" s="9">
        <v>-46</v>
      </c>
    </row>
    <row r="812" spans="1:15" ht="19.5" customHeight="1">
      <c r="A812" s="1" t="s">
        <v>558</v>
      </c>
      <c r="B812" s="5">
        <v>45923</v>
      </c>
      <c r="C812" s="1" t="s">
        <v>17</v>
      </c>
      <c r="D812" s="1" t="s">
        <v>47</v>
      </c>
      <c r="E812" s="1" t="s">
        <v>25</v>
      </c>
      <c r="F812" s="1" t="s">
        <v>26</v>
      </c>
      <c r="G812" s="1" t="s">
        <v>21</v>
      </c>
      <c r="H812" s="6">
        <v>1</v>
      </c>
      <c r="I812" s="7">
        <v>0</v>
      </c>
      <c r="J812" s="5">
        <v>45918</v>
      </c>
      <c r="K812" s="1" t="s">
        <v>30</v>
      </c>
      <c r="L812" s="8">
        <v>0</v>
      </c>
      <c r="M812" s="6"/>
      <c r="N812" s="6"/>
      <c r="O812" s="9">
        <v>-15</v>
      </c>
    </row>
    <row r="813" spans="1:15" ht="19.5" customHeight="1">
      <c r="A813" s="1" t="s">
        <v>559</v>
      </c>
      <c r="B813" s="5">
        <v>45923</v>
      </c>
      <c r="C813" s="1" t="s">
        <v>28</v>
      </c>
      <c r="D813" s="1" t="s">
        <v>29</v>
      </c>
      <c r="E813" s="1" t="s">
        <v>19</v>
      </c>
      <c r="F813" s="1" t="s">
        <v>20</v>
      </c>
      <c r="G813" s="1" t="s">
        <v>21</v>
      </c>
      <c r="H813" s="6">
        <v>1</v>
      </c>
      <c r="I813" s="7">
        <v>0</v>
      </c>
      <c r="J813" s="5">
        <v>45910</v>
      </c>
      <c r="K813" s="1" t="s">
        <v>30</v>
      </c>
      <c r="L813" s="8">
        <v>0</v>
      </c>
      <c r="M813" s="6"/>
      <c r="N813" s="6"/>
      <c r="O813" s="9">
        <v>-46</v>
      </c>
    </row>
    <row r="814" spans="1:15" ht="19.5" customHeight="1">
      <c r="A814" s="1" t="s">
        <v>559</v>
      </c>
      <c r="B814" s="5">
        <v>45923</v>
      </c>
      <c r="C814" s="1" t="s">
        <v>17</v>
      </c>
      <c r="D814" s="1" t="s">
        <v>37</v>
      </c>
      <c r="E814" s="1" t="s">
        <v>19</v>
      </c>
      <c r="F814" s="1" t="s">
        <v>20</v>
      </c>
      <c r="G814" s="1" t="s">
        <v>21</v>
      </c>
      <c r="H814" s="6">
        <v>1</v>
      </c>
      <c r="I814" s="7">
        <v>0</v>
      </c>
      <c r="J814" s="5">
        <v>45910</v>
      </c>
      <c r="K814" s="1" t="s">
        <v>30</v>
      </c>
      <c r="L814" s="8">
        <v>0</v>
      </c>
      <c r="M814" s="6"/>
      <c r="N814" s="6"/>
      <c r="O814" s="9">
        <v>-5.36</v>
      </c>
    </row>
    <row r="815" spans="1:15" ht="19.5" customHeight="1">
      <c r="A815" s="1" t="s">
        <v>559</v>
      </c>
      <c r="B815" s="5">
        <v>45923</v>
      </c>
      <c r="C815" s="1" t="s">
        <v>28</v>
      </c>
      <c r="D815" s="1" t="s">
        <v>45</v>
      </c>
      <c r="E815" s="1" t="s">
        <v>19</v>
      </c>
      <c r="F815" s="1" t="s">
        <v>20</v>
      </c>
      <c r="G815" s="1" t="s">
        <v>21</v>
      </c>
      <c r="H815" s="6">
        <v>1</v>
      </c>
      <c r="I815" s="7">
        <v>0</v>
      </c>
      <c r="J815" s="5">
        <v>45910</v>
      </c>
      <c r="K815" s="1" t="s">
        <v>30</v>
      </c>
      <c r="L815" s="8">
        <v>0</v>
      </c>
      <c r="M815" s="6"/>
      <c r="N815" s="6"/>
      <c r="O815" s="9">
        <v>0</v>
      </c>
    </row>
    <row r="816" spans="1:15" ht="19.5" customHeight="1">
      <c r="A816" s="1" t="s">
        <v>559</v>
      </c>
      <c r="B816" s="5">
        <v>45923</v>
      </c>
      <c r="C816" s="1" t="s">
        <v>28</v>
      </c>
      <c r="D816" s="1" t="s">
        <v>46</v>
      </c>
      <c r="E816" s="1" t="s">
        <v>19</v>
      </c>
      <c r="F816" s="1" t="s">
        <v>20</v>
      </c>
      <c r="G816" s="1" t="s">
        <v>21</v>
      </c>
      <c r="H816" s="6">
        <v>1</v>
      </c>
      <c r="I816" s="7">
        <v>0</v>
      </c>
      <c r="J816" s="5">
        <v>45910</v>
      </c>
      <c r="K816" s="1" t="s">
        <v>30</v>
      </c>
      <c r="L816" s="8">
        <v>0</v>
      </c>
      <c r="M816" s="6"/>
      <c r="N816" s="6"/>
      <c r="O816" s="9">
        <v>-46</v>
      </c>
    </row>
    <row r="817" spans="1:15" ht="19.5" customHeight="1">
      <c r="A817" s="1" t="s">
        <v>560</v>
      </c>
      <c r="B817" s="5">
        <v>45923</v>
      </c>
      <c r="C817" s="1" t="s">
        <v>17</v>
      </c>
      <c r="D817" s="1" t="s">
        <v>18</v>
      </c>
      <c r="E817" s="1" t="s">
        <v>25</v>
      </c>
      <c r="F817" s="1" t="s">
        <v>26</v>
      </c>
      <c r="G817" s="1" t="s">
        <v>21</v>
      </c>
      <c r="H817" s="6">
        <v>1</v>
      </c>
      <c r="I817" s="7">
        <v>0</v>
      </c>
      <c r="J817" s="5">
        <v>45923</v>
      </c>
      <c r="K817" s="1" t="s">
        <v>22</v>
      </c>
      <c r="L817" s="8">
        <v>0</v>
      </c>
      <c r="M817" s="6"/>
      <c r="N817" s="6"/>
      <c r="O817" s="9">
        <v>-10.71</v>
      </c>
    </row>
    <row r="818" spans="1:15" ht="19.5" customHeight="1">
      <c r="A818" s="1" t="s">
        <v>561</v>
      </c>
      <c r="B818" s="5">
        <v>45923</v>
      </c>
      <c r="C818" s="1" t="s">
        <v>28</v>
      </c>
      <c r="D818" s="1" t="s">
        <v>29</v>
      </c>
      <c r="E818" s="1" t="s">
        <v>54</v>
      </c>
      <c r="F818" s="1" t="s">
        <v>55</v>
      </c>
      <c r="G818" s="1" t="s">
        <v>21</v>
      </c>
      <c r="H818" s="6">
        <v>1</v>
      </c>
      <c r="I818" s="7">
        <v>0</v>
      </c>
      <c r="J818" s="5">
        <v>45910</v>
      </c>
      <c r="K818" s="1" t="s">
        <v>30</v>
      </c>
      <c r="L818" s="8">
        <v>0</v>
      </c>
      <c r="M818" s="6"/>
      <c r="N818" s="6"/>
      <c r="O818" s="9">
        <v>-46</v>
      </c>
    </row>
    <row r="819" spans="1:15" ht="19.5" customHeight="1">
      <c r="A819" s="1" t="s">
        <v>561</v>
      </c>
      <c r="B819" s="5">
        <v>45923</v>
      </c>
      <c r="C819" s="1" t="s">
        <v>17</v>
      </c>
      <c r="D819" s="1" t="s">
        <v>37</v>
      </c>
      <c r="E819" s="1" t="s">
        <v>54</v>
      </c>
      <c r="F819" s="1" t="s">
        <v>55</v>
      </c>
      <c r="G819" s="1" t="s">
        <v>21</v>
      </c>
      <c r="H819" s="6">
        <v>1</v>
      </c>
      <c r="I819" s="7">
        <v>0</v>
      </c>
      <c r="J819" s="5">
        <v>45910</v>
      </c>
      <c r="K819" s="1" t="s">
        <v>30</v>
      </c>
      <c r="L819" s="8">
        <v>0</v>
      </c>
      <c r="M819" s="6"/>
      <c r="N819" s="6"/>
      <c r="O819" s="9">
        <v>-5.0599999999999996</v>
      </c>
    </row>
    <row r="820" spans="1:15" ht="19.5" customHeight="1">
      <c r="A820" s="1" t="s">
        <v>561</v>
      </c>
      <c r="B820" s="5">
        <v>45923</v>
      </c>
      <c r="C820" s="1" t="s">
        <v>28</v>
      </c>
      <c r="D820" s="1" t="s">
        <v>45</v>
      </c>
      <c r="E820" s="1" t="s">
        <v>54</v>
      </c>
      <c r="F820" s="1" t="s">
        <v>55</v>
      </c>
      <c r="G820" s="1" t="s">
        <v>21</v>
      </c>
      <c r="H820" s="6">
        <v>1</v>
      </c>
      <c r="I820" s="7">
        <v>0</v>
      </c>
      <c r="J820" s="5">
        <v>45910</v>
      </c>
      <c r="K820" s="1" t="s">
        <v>30</v>
      </c>
      <c r="L820" s="8">
        <v>0</v>
      </c>
      <c r="M820" s="6"/>
      <c r="N820" s="6"/>
      <c r="O820" s="9">
        <v>0</v>
      </c>
    </row>
    <row r="821" spans="1:15" ht="19.5" customHeight="1">
      <c r="A821" s="1" t="s">
        <v>561</v>
      </c>
      <c r="B821" s="5">
        <v>45923</v>
      </c>
      <c r="C821" s="1" t="s">
        <v>28</v>
      </c>
      <c r="D821" s="1" t="s">
        <v>46</v>
      </c>
      <c r="E821" s="1" t="s">
        <v>54</v>
      </c>
      <c r="F821" s="1" t="s">
        <v>55</v>
      </c>
      <c r="G821" s="1" t="s">
        <v>21</v>
      </c>
      <c r="H821" s="6">
        <v>1</v>
      </c>
      <c r="I821" s="7">
        <v>0</v>
      </c>
      <c r="J821" s="5">
        <v>45910</v>
      </c>
      <c r="K821" s="1" t="s">
        <v>30</v>
      </c>
      <c r="L821" s="8">
        <v>0</v>
      </c>
      <c r="M821" s="6"/>
      <c r="N821" s="6"/>
      <c r="O821" s="9">
        <v>-46</v>
      </c>
    </row>
    <row r="822" spans="1:15" ht="19.5" customHeight="1">
      <c r="A822" s="1" t="s">
        <v>562</v>
      </c>
      <c r="B822" s="5">
        <v>45923</v>
      </c>
      <c r="C822" s="1" t="s">
        <v>17</v>
      </c>
      <c r="D822" s="1" t="s">
        <v>18</v>
      </c>
      <c r="E822" s="1" t="s">
        <v>223</v>
      </c>
      <c r="F822" s="1" t="s">
        <v>395</v>
      </c>
      <c r="G822" s="1" t="s">
        <v>21</v>
      </c>
      <c r="H822" s="6">
        <v>1</v>
      </c>
      <c r="I822" s="7">
        <v>0</v>
      </c>
      <c r="J822" s="5">
        <v>45923</v>
      </c>
      <c r="K822" s="1" t="s">
        <v>22</v>
      </c>
      <c r="L822" s="8">
        <v>0</v>
      </c>
      <c r="M822" s="6"/>
      <c r="N822" s="6"/>
      <c r="O822" s="9">
        <v>-13.66</v>
      </c>
    </row>
    <row r="823" spans="1:15" ht="19.5" customHeight="1">
      <c r="A823" s="1" t="s">
        <v>562</v>
      </c>
      <c r="B823" s="5">
        <v>45923</v>
      </c>
      <c r="C823" s="1" t="s">
        <v>17</v>
      </c>
      <c r="D823" s="1" t="s">
        <v>18</v>
      </c>
      <c r="E823" s="1" t="s">
        <v>54</v>
      </c>
      <c r="F823" s="1" t="s">
        <v>55</v>
      </c>
      <c r="G823" s="1" t="s">
        <v>21</v>
      </c>
      <c r="H823" s="6">
        <v>1</v>
      </c>
      <c r="I823" s="7">
        <v>0</v>
      </c>
      <c r="J823" s="5">
        <v>45923</v>
      </c>
      <c r="K823" s="1" t="s">
        <v>22</v>
      </c>
      <c r="L823" s="8">
        <v>0</v>
      </c>
      <c r="M823" s="6"/>
      <c r="N823" s="6"/>
      <c r="O823" s="9">
        <v>-13.19</v>
      </c>
    </row>
    <row r="824" spans="1:15" ht="19.5" customHeight="1">
      <c r="A824" s="1" t="s">
        <v>563</v>
      </c>
      <c r="B824" s="5">
        <v>45923</v>
      </c>
      <c r="C824" s="1" t="s">
        <v>17</v>
      </c>
      <c r="D824" s="1" t="s">
        <v>18</v>
      </c>
      <c r="E824" s="1" t="s">
        <v>25</v>
      </c>
      <c r="F824" s="1" t="s">
        <v>26</v>
      </c>
      <c r="G824" s="1" t="s">
        <v>21</v>
      </c>
      <c r="H824" s="6">
        <v>1</v>
      </c>
      <c r="I824" s="7">
        <v>0</v>
      </c>
      <c r="J824" s="5">
        <v>45923</v>
      </c>
      <c r="K824" s="1" t="s">
        <v>22</v>
      </c>
      <c r="L824" s="8">
        <v>0</v>
      </c>
      <c r="M824" s="6"/>
      <c r="N824" s="6"/>
      <c r="O824" s="9">
        <v>-11.12</v>
      </c>
    </row>
    <row r="825" spans="1:15" ht="19.5" customHeight="1">
      <c r="A825" s="1" t="s">
        <v>564</v>
      </c>
      <c r="B825" s="5">
        <v>45923</v>
      </c>
      <c r="C825" s="1" t="s">
        <v>28</v>
      </c>
      <c r="D825" s="1" t="s">
        <v>29</v>
      </c>
      <c r="E825" s="1" t="s">
        <v>25</v>
      </c>
      <c r="F825" s="1" t="s">
        <v>26</v>
      </c>
      <c r="G825" s="1" t="s">
        <v>21</v>
      </c>
      <c r="H825" s="6">
        <v>1</v>
      </c>
      <c r="I825" s="7">
        <v>1176</v>
      </c>
      <c r="J825" s="5">
        <v>45920</v>
      </c>
      <c r="K825" s="1" t="s">
        <v>30</v>
      </c>
      <c r="L825" s="8">
        <v>0.2</v>
      </c>
      <c r="M825" s="6"/>
      <c r="N825" s="6"/>
      <c r="O825" s="9">
        <v>-46</v>
      </c>
    </row>
    <row r="826" spans="1:15" ht="19.5" customHeight="1">
      <c r="A826" s="1" t="s">
        <v>564</v>
      </c>
      <c r="B826" s="5">
        <v>45923</v>
      </c>
      <c r="C826" s="1" t="s">
        <v>31</v>
      </c>
      <c r="D826" s="1" t="s">
        <v>32</v>
      </c>
      <c r="E826" s="1" t="s">
        <v>25</v>
      </c>
      <c r="F826" s="1" t="s">
        <v>26</v>
      </c>
      <c r="G826" s="1" t="s">
        <v>21</v>
      </c>
      <c r="H826" s="6">
        <v>1</v>
      </c>
      <c r="I826" s="7">
        <v>1176</v>
      </c>
      <c r="J826" s="5">
        <v>45920</v>
      </c>
      <c r="K826" s="1" t="s">
        <v>30</v>
      </c>
      <c r="L826" s="8">
        <v>0</v>
      </c>
      <c r="M826" s="6"/>
      <c r="N826" s="6"/>
      <c r="O826" s="9">
        <v>602.84</v>
      </c>
    </row>
    <row r="827" spans="1:15" ht="19.5" customHeight="1">
      <c r="A827" s="1" t="s">
        <v>564</v>
      </c>
      <c r="B827" s="5">
        <v>45923</v>
      </c>
      <c r="C827" s="1" t="s">
        <v>31</v>
      </c>
      <c r="D827" s="1" t="s">
        <v>33</v>
      </c>
      <c r="E827" s="1" t="s">
        <v>25</v>
      </c>
      <c r="F827" s="1" t="s">
        <v>26</v>
      </c>
      <c r="G827" s="1" t="s">
        <v>21</v>
      </c>
      <c r="H827" s="6">
        <v>1</v>
      </c>
      <c r="I827" s="7">
        <v>1176</v>
      </c>
      <c r="J827" s="5">
        <v>45920</v>
      </c>
      <c r="K827" s="1" t="s">
        <v>30</v>
      </c>
      <c r="L827" s="8">
        <v>0</v>
      </c>
      <c r="M827" s="6"/>
      <c r="N827" s="6"/>
      <c r="O827" s="9">
        <v>4.43</v>
      </c>
    </row>
    <row r="828" spans="1:15" ht="19.5" customHeight="1">
      <c r="A828" s="1" t="s">
        <v>564</v>
      </c>
      <c r="B828" s="5">
        <v>45923</v>
      </c>
      <c r="C828" s="1" t="s">
        <v>31</v>
      </c>
      <c r="D828" s="1" t="s">
        <v>34</v>
      </c>
      <c r="E828" s="1" t="s">
        <v>25</v>
      </c>
      <c r="F828" s="1" t="s">
        <v>26</v>
      </c>
      <c r="G828" s="1" t="s">
        <v>21</v>
      </c>
      <c r="H828" s="6">
        <v>1</v>
      </c>
      <c r="I828" s="7">
        <v>1176</v>
      </c>
      <c r="J828" s="5">
        <v>45920</v>
      </c>
      <c r="K828" s="1" t="s">
        <v>30</v>
      </c>
      <c r="L828" s="8">
        <v>0</v>
      </c>
      <c r="M828" s="6"/>
      <c r="N828" s="6"/>
      <c r="O828" s="9">
        <v>568.73</v>
      </c>
    </row>
    <row r="829" spans="1:15" ht="19.5" customHeight="1">
      <c r="A829" s="1" t="s">
        <v>564</v>
      </c>
      <c r="B829" s="5">
        <v>45923</v>
      </c>
      <c r="C829" s="1" t="s">
        <v>35</v>
      </c>
      <c r="D829" s="1" t="s">
        <v>36</v>
      </c>
      <c r="E829" s="1" t="s">
        <v>25</v>
      </c>
      <c r="F829" s="1" t="s">
        <v>26</v>
      </c>
      <c r="G829" s="1" t="s">
        <v>21</v>
      </c>
      <c r="H829" s="6">
        <v>1</v>
      </c>
      <c r="I829" s="7">
        <v>1176</v>
      </c>
      <c r="J829" s="5">
        <v>45920</v>
      </c>
      <c r="K829" s="1" t="s">
        <v>30</v>
      </c>
      <c r="L829" s="8">
        <v>0.2</v>
      </c>
      <c r="M829" s="6"/>
      <c r="N829" s="6"/>
      <c r="O829" s="9">
        <v>-235.2</v>
      </c>
    </row>
    <row r="830" spans="1:15" ht="19.5" customHeight="1">
      <c r="A830" s="1" t="s">
        <v>564</v>
      </c>
      <c r="B830" s="5">
        <v>45923</v>
      </c>
      <c r="C830" s="1" t="s">
        <v>17</v>
      </c>
      <c r="D830" s="1" t="s">
        <v>37</v>
      </c>
      <c r="E830" s="1" t="s">
        <v>25</v>
      </c>
      <c r="F830" s="1" t="s">
        <v>26</v>
      </c>
      <c r="G830" s="1" t="s">
        <v>21</v>
      </c>
      <c r="H830" s="6">
        <v>1</v>
      </c>
      <c r="I830" s="7">
        <v>1176</v>
      </c>
      <c r="J830" s="5">
        <v>45920</v>
      </c>
      <c r="K830" s="1" t="s">
        <v>30</v>
      </c>
      <c r="L830" s="8">
        <v>0.2</v>
      </c>
      <c r="M830" s="6"/>
      <c r="N830" s="6"/>
      <c r="O830" s="9">
        <v>-5.65</v>
      </c>
    </row>
    <row r="831" spans="1:15" ht="19.5" customHeight="1">
      <c r="A831" s="1" t="s">
        <v>564</v>
      </c>
      <c r="B831" s="5">
        <v>45923</v>
      </c>
      <c r="C831" s="1" t="s">
        <v>17</v>
      </c>
      <c r="D831" s="1" t="s">
        <v>18</v>
      </c>
      <c r="E831" s="1" t="s">
        <v>25</v>
      </c>
      <c r="F831" s="1" t="s">
        <v>26</v>
      </c>
      <c r="G831" s="1" t="s">
        <v>21</v>
      </c>
      <c r="H831" s="6">
        <v>1</v>
      </c>
      <c r="I831" s="7">
        <v>0</v>
      </c>
      <c r="J831" s="5">
        <v>45920</v>
      </c>
      <c r="K831" s="1" t="s">
        <v>22</v>
      </c>
      <c r="L831" s="8">
        <v>0</v>
      </c>
      <c r="M831" s="6"/>
      <c r="N831" s="6"/>
      <c r="O831" s="9">
        <v>-11.45</v>
      </c>
    </row>
    <row r="832" spans="1:15" ht="19.5" customHeight="1">
      <c r="A832" s="1" t="s">
        <v>565</v>
      </c>
      <c r="B832" s="5">
        <v>45923</v>
      </c>
      <c r="C832" s="1" t="s">
        <v>28</v>
      </c>
      <c r="D832" s="1" t="s">
        <v>29</v>
      </c>
      <c r="E832" s="1" t="s">
        <v>43</v>
      </c>
      <c r="F832" s="1" t="s">
        <v>44</v>
      </c>
      <c r="G832" s="1" t="s">
        <v>41</v>
      </c>
      <c r="H832" s="6">
        <v>1</v>
      </c>
      <c r="I832" s="7">
        <v>0</v>
      </c>
      <c r="J832" s="5">
        <v>45918</v>
      </c>
      <c r="K832" s="1" t="s">
        <v>30</v>
      </c>
      <c r="L832" s="8">
        <v>0</v>
      </c>
      <c r="M832" s="6"/>
      <c r="N832" s="6"/>
      <c r="O832" s="9">
        <v>-56</v>
      </c>
    </row>
    <row r="833" spans="1:15" ht="19.5" customHeight="1">
      <c r="A833" s="1" t="s">
        <v>565</v>
      </c>
      <c r="B833" s="5">
        <v>45923</v>
      </c>
      <c r="C833" s="1" t="s">
        <v>17</v>
      </c>
      <c r="D833" s="1" t="s">
        <v>37</v>
      </c>
      <c r="E833" s="1" t="s">
        <v>43</v>
      </c>
      <c r="F833" s="1" t="s">
        <v>44</v>
      </c>
      <c r="G833" s="1" t="s">
        <v>41</v>
      </c>
      <c r="H833" s="6">
        <v>1</v>
      </c>
      <c r="I833" s="7">
        <v>0</v>
      </c>
      <c r="J833" s="5">
        <v>45918</v>
      </c>
      <c r="K833" s="1" t="s">
        <v>30</v>
      </c>
      <c r="L833" s="8">
        <v>0</v>
      </c>
      <c r="M833" s="6"/>
      <c r="N833" s="6"/>
      <c r="O833" s="9">
        <v>-10.53</v>
      </c>
    </row>
    <row r="834" spans="1:15" ht="19.5" customHeight="1">
      <c r="A834" s="1" t="s">
        <v>565</v>
      </c>
      <c r="B834" s="5">
        <v>45923</v>
      </c>
      <c r="C834" s="1" t="s">
        <v>28</v>
      </c>
      <c r="D834" s="1" t="s">
        <v>45</v>
      </c>
      <c r="E834" s="1" t="s">
        <v>43</v>
      </c>
      <c r="F834" s="1" t="s">
        <v>44</v>
      </c>
      <c r="G834" s="1" t="s">
        <v>41</v>
      </c>
      <c r="H834" s="6">
        <v>1</v>
      </c>
      <c r="I834" s="7">
        <v>0</v>
      </c>
      <c r="J834" s="5">
        <v>45918</v>
      </c>
      <c r="K834" s="1" t="s">
        <v>30</v>
      </c>
      <c r="L834" s="8">
        <v>0</v>
      </c>
      <c r="M834" s="6"/>
      <c r="N834" s="6"/>
      <c r="O834" s="9">
        <v>0</v>
      </c>
    </row>
    <row r="835" spans="1:15" ht="19.5" customHeight="1">
      <c r="A835" s="1" t="s">
        <v>565</v>
      </c>
      <c r="B835" s="5">
        <v>45923</v>
      </c>
      <c r="C835" s="1" t="s">
        <v>28</v>
      </c>
      <c r="D835" s="1" t="s">
        <v>46</v>
      </c>
      <c r="E835" s="1" t="s">
        <v>43</v>
      </c>
      <c r="F835" s="1" t="s">
        <v>44</v>
      </c>
      <c r="G835" s="1" t="s">
        <v>41</v>
      </c>
      <c r="H835" s="6">
        <v>1</v>
      </c>
      <c r="I835" s="7">
        <v>0</v>
      </c>
      <c r="J835" s="5">
        <v>45918</v>
      </c>
      <c r="K835" s="1" t="s">
        <v>30</v>
      </c>
      <c r="L835" s="8">
        <v>0</v>
      </c>
      <c r="M835" s="6"/>
      <c r="N835" s="6"/>
      <c r="O835" s="9">
        <v>-56</v>
      </c>
    </row>
    <row r="836" spans="1:15" ht="19.5" customHeight="1">
      <c r="A836" s="1" t="s">
        <v>565</v>
      </c>
      <c r="B836" s="5">
        <v>45923</v>
      </c>
      <c r="C836" s="1" t="s">
        <v>17</v>
      </c>
      <c r="D836" s="1" t="s">
        <v>47</v>
      </c>
      <c r="E836" s="1" t="s">
        <v>43</v>
      </c>
      <c r="F836" s="1" t="s">
        <v>44</v>
      </c>
      <c r="G836" s="1" t="s">
        <v>41</v>
      </c>
      <c r="H836" s="6">
        <v>1</v>
      </c>
      <c r="I836" s="7">
        <v>0</v>
      </c>
      <c r="J836" s="5">
        <v>45918</v>
      </c>
      <c r="K836" s="1" t="s">
        <v>30</v>
      </c>
      <c r="L836" s="8">
        <v>0</v>
      </c>
      <c r="M836" s="6"/>
      <c r="N836" s="6"/>
      <c r="O836" s="9">
        <v>-15</v>
      </c>
    </row>
    <row r="837" spans="1:15" ht="19.5" customHeight="1">
      <c r="A837" s="1" t="s">
        <v>22</v>
      </c>
      <c r="B837" s="5">
        <v>45923</v>
      </c>
      <c r="C837" s="1" t="s">
        <v>77</v>
      </c>
      <c r="D837" s="1" t="s">
        <v>78</v>
      </c>
      <c r="E837" s="1" t="s">
        <v>22</v>
      </c>
      <c r="F837" s="1" t="s">
        <v>22</v>
      </c>
      <c r="G837" s="1" t="s">
        <v>566</v>
      </c>
      <c r="H837" s="6">
        <v>0</v>
      </c>
      <c r="I837" s="7">
        <v>0</v>
      </c>
      <c r="J837" s="5">
        <v>45923</v>
      </c>
      <c r="K837" s="1" t="s">
        <v>22</v>
      </c>
      <c r="L837" s="8">
        <v>0</v>
      </c>
      <c r="M837" s="6"/>
      <c r="N837" s="6"/>
      <c r="O837" s="9">
        <v>-200</v>
      </c>
    </row>
    <row r="838" spans="1:15" ht="19.5" customHeight="1">
      <c r="A838" s="1" t="s">
        <v>22</v>
      </c>
      <c r="B838" s="5">
        <v>45923</v>
      </c>
      <c r="C838" s="1" t="s">
        <v>77</v>
      </c>
      <c r="D838" s="1" t="s">
        <v>80</v>
      </c>
      <c r="E838" s="1" t="s">
        <v>22</v>
      </c>
      <c r="F838" s="1" t="s">
        <v>22</v>
      </c>
      <c r="G838" s="1" t="s">
        <v>22</v>
      </c>
      <c r="H838" s="6">
        <v>0</v>
      </c>
      <c r="I838" s="7">
        <v>0</v>
      </c>
      <c r="J838" s="5">
        <v>45923</v>
      </c>
      <c r="K838" s="1" t="s">
        <v>22</v>
      </c>
      <c r="L838" s="8">
        <v>0</v>
      </c>
      <c r="M838" s="6"/>
      <c r="N838" s="6"/>
      <c r="O838" s="9">
        <v>-216</v>
      </c>
    </row>
    <row r="839" spans="1:15" ht="19.5" customHeight="1">
      <c r="A839" s="1" t="s">
        <v>454</v>
      </c>
      <c r="B839" s="5">
        <v>45923</v>
      </c>
      <c r="C839" s="1" t="s">
        <v>77</v>
      </c>
      <c r="D839" s="1" t="s">
        <v>82</v>
      </c>
      <c r="E839" s="1" t="s">
        <v>22</v>
      </c>
      <c r="F839" s="1" t="s">
        <v>22</v>
      </c>
      <c r="G839" s="1" t="s">
        <v>22</v>
      </c>
      <c r="H839" s="6">
        <v>0</v>
      </c>
      <c r="I839" s="7">
        <v>0</v>
      </c>
      <c r="J839" s="5">
        <v>45923</v>
      </c>
      <c r="K839" s="1" t="s">
        <v>22</v>
      </c>
      <c r="L839" s="8">
        <v>0</v>
      </c>
      <c r="M839" s="6"/>
      <c r="N839" s="6"/>
      <c r="O839" s="9">
        <v>-1703.5</v>
      </c>
    </row>
    <row r="840" spans="1:15" ht="19.5" customHeight="1">
      <c r="A840" s="1" t="s">
        <v>83</v>
      </c>
      <c r="B840" s="5">
        <v>45923</v>
      </c>
      <c r="C840" s="1" t="s">
        <v>77</v>
      </c>
      <c r="D840" s="1" t="s">
        <v>84</v>
      </c>
      <c r="E840" s="1" t="s">
        <v>22</v>
      </c>
      <c r="F840" s="1" t="s">
        <v>22</v>
      </c>
      <c r="G840" s="1" t="s">
        <v>22</v>
      </c>
      <c r="H840" s="6">
        <v>0</v>
      </c>
      <c r="I840" s="7">
        <v>0</v>
      </c>
      <c r="J840" s="5">
        <v>45923</v>
      </c>
      <c r="K840" s="1" t="s">
        <v>22</v>
      </c>
      <c r="L840" s="8">
        <v>0</v>
      </c>
      <c r="M840" s="6"/>
      <c r="N840" s="6"/>
      <c r="O840" s="9">
        <v>-1795.5</v>
      </c>
    </row>
    <row r="841" spans="1:15" ht="19.5" customHeight="1">
      <c r="A841" s="1" t="s">
        <v>81</v>
      </c>
      <c r="B841" s="5">
        <v>45923</v>
      </c>
      <c r="C841" s="1" t="s">
        <v>77</v>
      </c>
      <c r="D841" s="1" t="s">
        <v>82</v>
      </c>
      <c r="E841" s="1" t="s">
        <v>22</v>
      </c>
      <c r="F841" s="1" t="s">
        <v>22</v>
      </c>
      <c r="G841" s="1" t="s">
        <v>22</v>
      </c>
      <c r="H841" s="6">
        <v>0</v>
      </c>
      <c r="I841" s="7">
        <v>0</v>
      </c>
      <c r="J841" s="5">
        <v>45923</v>
      </c>
      <c r="K841" s="1" t="s">
        <v>22</v>
      </c>
      <c r="L841" s="8">
        <v>0</v>
      </c>
      <c r="M841" s="6"/>
      <c r="N841" s="6"/>
      <c r="O841" s="9">
        <v>-3228.04</v>
      </c>
    </row>
    <row r="842" spans="1:15" ht="19.5" customHeight="1">
      <c r="A842" s="1" t="s">
        <v>468</v>
      </c>
      <c r="B842" s="5">
        <v>45924</v>
      </c>
      <c r="C842" s="1" t="s">
        <v>28</v>
      </c>
      <c r="D842" s="1" t="s">
        <v>60</v>
      </c>
      <c r="E842" s="1" t="s">
        <v>88</v>
      </c>
      <c r="F842" s="1" t="s">
        <v>89</v>
      </c>
      <c r="G842" s="1" t="s">
        <v>21</v>
      </c>
      <c r="H842" s="6">
        <v>1</v>
      </c>
      <c r="I842" s="7">
        <v>0</v>
      </c>
      <c r="J842" s="5">
        <v>45916</v>
      </c>
      <c r="K842" s="1" t="s">
        <v>30</v>
      </c>
      <c r="L842" s="8">
        <v>0</v>
      </c>
      <c r="M842" s="6"/>
      <c r="N842" s="6"/>
      <c r="O842" s="9">
        <v>0</v>
      </c>
    </row>
    <row r="843" spans="1:15" ht="19.5" customHeight="1">
      <c r="A843" s="1" t="s">
        <v>468</v>
      </c>
      <c r="B843" s="5">
        <v>45924</v>
      </c>
      <c r="C843" s="1" t="s">
        <v>28</v>
      </c>
      <c r="D843" s="1" t="s">
        <v>46</v>
      </c>
      <c r="E843" s="1" t="s">
        <v>88</v>
      </c>
      <c r="F843" s="1" t="s">
        <v>89</v>
      </c>
      <c r="G843" s="1" t="s">
        <v>21</v>
      </c>
      <c r="H843" s="6">
        <v>1</v>
      </c>
      <c r="I843" s="7">
        <v>0</v>
      </c>
      <c r="J843" s="5">
        <v>45916</v>
      </c>
      <c r="K843" s="1" t="s">
        <v>30</v>
      </c>
      <c r="L843" s="8">
        <v>0</v>
      </c>
      <c r="M843" s="6"/>
      <c r="N843" s="6"/>
      <c r="O843" s="9">
        <v>-46</v>
      </c>
    </row>
    <row r="844" spans="1:15" ht="19.5" customHeight="1">
      <c r="A844" s="1" t="s">
        <v>468</v>
      </c>
      <c r="B844" s="5">
        <v>45924</v>
      </c>
      <c r="C844" s="1" t="s">
        <v>17</v>
      </c>
      <c r="D844" s="1" t="s">
        <v>47</v>
      </c>
      <c r="E844" s="1" t="s">
        <v>88</v>
      </c>
      <c r="F844" s="1" t="s">
        <v>89</v>
      </c>
      <c r="G844" s="1" t="s">
        <v>21</v>
      </c>
      <c r="H844" s="6">
        <v>1</v>
      </c>
      <c r="I844" s="7">
        <v>0</v>
      </c>
      <c r="J844" s="5">
        <v>45916</v>
      </c>
      <c r="K844" s="1" t="s">
        <v>30</v>
      </c>
      <c r="L844" s="8">
        <v>0</v>
      </c>
      <c r="M844" s="6"/>
      <c r="N844" s="6"/>
      <c r="O844" s="9">
        <v>-15</v>
      </c>
    </row>
    <row r="845" spans="1:15" ht="19.5" customHeight="1">
      <c r="A845" s="1" t="s">
        <v>567</v>
      </c>
      <c r="B845" s="5">
        <v>45924</v>
      </c>
      <c r="C845" s="1" t="s">
        <v>28</v>
      </c>
      <c r="D845" s="1" t="s">
        <v>29</v>
      </c>
      <c r="E845" s="1" t="s">
        <v>226</v>
      </c>
      <c r="F845" s="1" t="s">
        <v>428</v>
      </c>
      <c r="G845" s="1" t="s">
        <v>21</v>
      </c>
      <c r="H845" s="6">
        <v>1</v>
      </c>
      <c r="I845" s="7">
        <v>1380</v>
      </c>
      <c r="J845" s="5">
        <v>45921</v>
      </c>
      <c r="K845" s="1" t="s">
        <v>30</v>
      </c>
      <c r="L845" s="8">
        <v>0.2</v>
      </c>
      <c r="M845" s="6"/>
      <c r="N845" s="6"/>
      <c r="O845" s="9">
        <v>-46</v>
      </c>
    </row>
    <row r="846" spans="1:15" ht="19.5" customHeight="1">
      <c r="A846" s="1" t="s">
        <v>567</v>
      </c>
      <c r="B846" s="5">
        <v>45924</v>
      </c>
      <c r="C846" s="1" t="s">
        <v>31</v>
      </c>
      <c r="D846" s="1" t="s">
        <v>32</v>
      </c>
      <c r="E846" s="1" t="s">
        <v>226</v>
      </c>
      <c r="F846" s="1" t="s">
        <v>428</v>
      </c>
      <c r="G846" s="1" t="s">
        <v>21</v>
      </c>
      <c r="H846" s="6">
        <v>1</v>
      </c>
      <c r="I846" s="7">
        <v>1380</v>
      </c>
      <c r="J846" s="5">
        <v>45921</v>
      </c>
      <c r="K846" s="1" t="s">
        <v>30</v>
      </c>
      <c r="L846" s="8">
        <v>0</v>
      </c>
      <c r="M846" s="6"/>
      <c r="N846" s="6"/>
      <c r="O846" s="9">
        <v>747.4</v>
      </c>
    </row>
    <row r="847" spans="1:15" ht="19.5" customHeight="1">
      <c r="A847" s="1" t="s">
        <v>567</v>
      </c>
      <c r="B847" s="5">
        <v>45924</v>
      </c>
      <c r="C847" s="1" t="s">
        <v>31</v>
      </c>
      <c r="D847" s="1" t="s">
        <v>33</v>
      </c>
      <c r="E847" s="1" t="s">
        <v>226</v>
      </c>
      <c r="F847" s="1" t="s">
        <v>428</v>
      </c>
      <c r="G847" s="1" t="s">
        <v>21</v>
      </c>
      <c r="H847" s="6">
        <v>1</v>
      </c>
      <c r="I847" s="7">
        <v>1380</v>
      </c>
      <c r="J847" s="5">
        <v>45921</v>
      </c>
      <c r="K847" s="1" t="s">
        <v>30</v>
      </c>
      <c r="L847" s="8">
        <v>0</v>
      </c>
      <c r="M847" s="6"/>
      <c r="N847" s="6"/>
      <c r="O847" s="9">
        <v>5.49</v>
      </c>
    </row>
    <row r="848" spans="1:15" ht="19.5" customHeight="1">
      <c r="A848" s="1" t="s">
        <v>567</v>
      </c>
      <c r="B848" s="5">
        <v>45924</v>
      </c>
      <c r="C848" s="1" t="s">
        <v>31</v>
      </c>
      <c r="D848" s="1" t="s">
        <v>34</v>
      </c>
      <c r="E848" s="1" t="s">
        <v>226</v>
      </c>
      <c r="F848" s="1" t="s">
        <v>428</v>
      </c>
      <c r="G848" s="1" t="s">
        <v>21</v>
      </c>
      <c r="H848" s="6">
        <v>1</v>
      </c>
      <c r="I848" s="7">
        <v>1380</v>
      </c>
      <c r="J848" s="5">
        <v>45921</v>
      </c>
      <c r="K848" s="1" t="s">
        <v>30</v>
      </c>
      <c r="L848" s="8">
        <v>0</v>
      </c>
      <c r="M848" s="6"/>
      <c r="N848" s="6"/>
      <c r="O848" s="9">
        <v>627.11</v>
      </c>
    </row>
    <row r="849" spans="1:15" ht="19.5" customHeight="1">
      <c r="A849" s="1" t="s">
        <v>567</v>
      </c>
      <c r="B849" s="5">
        <v>45924</v>
      </c>
      <c r="C849" s="1" t="s">
        <v>35</v>
      </c>
      <c r="D849" s="1" t="s">
        <v>36</v>
      </c>
      <c r="E849" s="1" t="s">
        <v>226</v>
      </c>
      <c r="F849" s="1" t="s">
        <v>428</v>
      </c>
      <c r="G849" s="1" t="s">
        <v>21</v>
      </c>
      <c r="H849" s="6">
        <v>1</v>
      </c>
      <c r="I849" s="7">
        <v>1380</v>
      </c>
      <c r="J849" s="5">
        <v>45921</v>
      </c>
      <c r="K849" s="1" t="s">
        <v>30</v>
      </c>
      <c r="L849" s="8">
        <v>0.2</v>
      </c>
      <c r="M849" s="6"/>
      <c r="N849" s="6"/>
      <c r="O849" s="9">
        <v>-276</v>
      </c>
    </row>
    <row r="850" spans="1:15" ht="19.5" customHeight="1">
      <c r="A850" s="1" t="s">
        <v>567</v>
      </c>
      <c r="B850" s="5">
        <v>45924</v>
      </c>
      <c r="C850" s="1" t="s">
        <v>17</v>
      </c>
      <c r="D850" s="1" t="s">
        <v>37</v>
      </c>
      <c r="E850" s="1" t="s">
        <v>226</v>
      </c>
      <c r="F850" s="1" t="s">
        <v>428</v>
      </c>
      <c r="G850" s="1" t="s">
        <v>21</v>
      </c>
      <c r="H850" s="6">
        <v>1</v>
      </c>
      <c r="I850" s="7">
        <v>1380</v>
      </c>
      <c r="J850" s="5">
        <v>45921</v>
      </c>
      <c r="K850" s="1" t="s">
        <v>30</v>
      </c>
      <c r="L850" s="8">
        <v>0.2</v>
      </c>
      <c r="M850" s="6"/>
      <c r="N850" s="6"/>
      <c r="O850" s="9">
        <v>-4.1100000000000003</v>
      </c>
    </row>
    <row r="851" spans="1:15" ht="19.5" customHeight="1">
      <c r="A851" s="1" t="s">
        <v>567</v>
      </c>
      <c r="B851" s="5">
        <v>45924</v>
      </c>
      <c r="C851" s="1" t="s">
        <v>17</v>
      </c>
      <c r="D851" s="1" t="s">
        <v>18</v>
      </c>
      <c r="E851" s="1" t="s">
        <v>226</v>
      </c>
      <c r="F851" s="1" t="s">
        <v>428</v>
      </c>
      <c r="G851" s="1" t="s">
        <v>21</v>
      </c>
      <c r="H851" s="6">
        <v>1</v>
      </c>
      <c r="I851" s="7">
        <v>0</v>
      </c>
      <c r="J851" s="5">
        <v>45921</v>
      </c>
      <c r="K851" s="1" t="s">
        <v>22</v>
      </c>
      <c r="L851" s="8">
        <v>0</v>
      </c>
      <c r="M851" s="6"/>
      <c r="N851" s="6"/>
      <c r="O851" s="9">
        <v>-14.2</v>
      </c>
    </row>
    <row r="852" spans="1:15" ht="19.5" customHeight="1">
      <c r="A852" s="1" t="s">
        <v>568</v>
      </c>
      <c r="B852" s="5">
        <v>45924</v>
      </c>
      <c r="C852" s="1" t="s">
        <v>74</v>
      </c>
      <c r="D852" s="1" t="s">
        <v>75</v>
      </c>
      <c r="E852" s="1" t="s">
        <v>62</v>
      </c>
      <c r="F852" s="1" t="s">
        <v>63</v>
      </c>
      <c r="G852" s="1" t="s">
        <v>41</v>
      </c>
      <c r="H852" s="6">
        <v>1</v>
      </c>
      <c r="I852" s="7">
        <v>0</v>
      </c>
      <c r="J852" s="5">
        <v>45921</v>
      </c>
      <c r="K852" s="1" t="s">
        <v>30</v>
      </c>
      <c r="L852" s="8">
        <v>0</v>
      </c>
      <c r="M852" s="6"/>
      <c r="N852" s="6"/>
      <c r="O852" s="9">
        <v>-5</v>
      </c>
    </row>
    <row r="853" spans="1:15" ht="19.5" customHeight="1">
      <c r="A853" s="1" t="s">
        <v>568</v>
      </c>
      <c r="B853" s="5">
        <v>45924</v>
      </c>
      <c r="C853" s="1" t="s">
        <v>17</v>
      </c>
      <c r="D853" s="1" t="s">
        <v>76</v>
      </c>
      <c r="E853" s="1" t="s">
        <v>62</v>
      </c>
      <c r="F853" s="1" t="s">
        <v>63</v>
      </c>
      <c r="G853" s="1" t="s">
        <v>41</v>
      </c>
      <c r="H853" s="6">
        <v>1</v>
      </c>
      <c r="I853" s="7">
        <v>0</v>
      </c>
      <c r="J853" s="5">
        <v>45921</v>
      </c>
      <c r="K853" s="1" t="s">
        <v>30</v>
      </c>
      <c r="L853" s="8">
        <v>0</v>
      </c>
      <c r="M853" s="6"/>
      <c r="N853" s="6"/>
      <c r="O853" s="9">
        <v>-10</v>
      </c>
    </row>
    <row r="854" spans="1:15" ht="19.5" customHeight="1">
      <c r="A854" s="1" t="s">
        <v>569</v>
      </c>
      <c r="B854" s="5">
        <v>45924</v>
      </c>
      <c r="C854" s="1" t="s">
        <v>28</v>
      </c>
      <c r="D854" s="1" t="s">
        <v>29</v>
      </c>
      <c r="E854" s="1" t="s">
        <v>54</v>
      </c>
      <c r="F854" s="1" t="s">
        <v>55</v>
      </c>
      <c r="G854" s="1" t="s">
        <v>21</v>
      </c>
      <c r="H854" s="6">
        <v>1</v>
      </c>
      <c r="I854" s="7">
        <v>1344</v>
      </c>
      <c r="J854" s="5">
        <v>45923</v>
      </c>
      <c r="K854" s="1" t="s">
        <v>30</v>
      </c>
      <c r="L854" s="8">
        <v>0.2</v>
      </c>
      <c r="M854" s="6"/>
      <c r="N854" s="6"/>
      <c r="O854" s="9">
        <v>-46</v>
      </c>
    </row>
    <row r="855" spans="1:15" ht="19.5" customHeight="1">
      <c r="A855" s="1" t="s">
        <v>569</v>
      </c>
      <c r="B855" s="5">
        <v>45924</v>
      </c>
      <c r="C855" s="1" t="s">
        <v>31</v>
      </c>
      <c r="D855" s="1" t="s">
        <v>32</v>
      </c>
      <c r="E855" s="1" t="s">
        <v>54</v>
      </c>
      <c r="F855" s="1" t="s">
        <v>55</v>
      </c>
      <c r="G855" s="1" t="s">
        <v>21</v>
      </c>
      <c r="H855" s="6">
        <v>1</v>
      </c>
      <c r="I855" s="7">
        <v>1344</v>
      </c>
      <c r="J855" s="5">
        <v>45923</v>
      </c>
      <c r="K855" s="1" t="s">
        <v>30</v>
      </c>
      <c r="L855" s="8">
        <v>0</v>
      </c>
      <c r="M855" s="6"/>
      <c r="N855" s="6"/>
      <c r="O855" s="9">
        <v>694.29</v>
      </c>
    </row>
    <row r="856" spans="1:15" ht="19.5" customHeight="1">
      <c r="A856" s="1" t="s">
        <v>569</v>
      </c>
      <c r="B856" s="5">
        <v>45924</v>
      </c>
      <c r="C856" s="1" t="s">
        <v>31</v>
      </c>
      <c r="D856" s="1" t="s">
        <v>33</v>
      </c>
      <c r="E856" s="1" t="s">
        <v>54</v>
      </c>
      <c r="F856" s="1" t="s">
        <v>55</v>
      </c>
      <c r="G856" s="1" t="s">
        <v>21</v>
      </c>
      <c r="H856" s="6">
        <v>1</v>
      </c>
      <c r="I856" s="7">
        <v>1344</v>
      </c>
      <c r="J856" s="5">
        <v>45923</v>
      </c>
      <c r="K856" s="1" t="s">
        <v>30</v>
      </c>
      <c r="L856" s="8">
        <v>0</v>
      </c>
      <c r="M856" s="6"/>
      <c r="N856" s="6"/>
      <c r="O856" s="9">
        <v>5.0999999999999996</v>
      </c>
    </row>
    <row r="857" spans="1:15" ht="19.5" customHeight="1">
      <c r="A857" s="1" t="s">
        <v>569</v>
      </c>
      <c r="B857" s="5">
        <v>45924</v>
      </c>
      <c r="C857" s="1" t="s">
        <v>31</v>
      </c>
      <c r="D857" s="1" t="s">
        <v>34</v>
      </c>
      <c r="E857" s="1" t="s">
        <v>54</v>
      </c>
      <c r="F857" s="1" t="s">
        <v>55</v>
      </c>
      <c r="G857" s="1" t="s">
        <v>21</v>
      </c>
      <c r="H857" s="6">
        <v>1</v>
      </c>
      <c r="I857" s="7">
        <v>1344</v>
      </c>
      <c r="J857" s="5">
        <v>45923</v>
      </c>
      <c r="K857" s="1" t="s">
        <v>30</v>
      </c>
      <c r="L857" s="8">
        <v>0</v>
      </c>
      <c r="M857" s="6"/>
      <c r="N857" s="6"/>
      <c r="O857" s="9">
        <v>644.61</v>
      </c>
    </row>
    <row r="858" spans="1:15" ht="19.5" customHeight="1">
      <c r="A858" s="1" t="s">
        <v>569</v>
      </c>
      <c r="B858" s="5">
        <v>45924</v>
      </c>
      <c r="C858" s="1" t="s">
        <v>35</v>
      </c>
      <c r="D858" s="1" t="s">
        <v>36</v>
      </c>
      <c r="E858" s="1" t="s">
        <v>54</v>
      </c>
      <c r="F858" s="1" t="s">
        <v>55</v>
      </c>
      <c r="G858" s="1" t="s">
        <v>21</v>
      </c>
      <c r="H858" s="6">
        <v>1</v>
      </c>
      <c r="I858" s="7">
        <v>1344</v>
      </c>
      <c r="J858" s="5">
        <v>45923</v>
      </c>
      <c r="K858" s="1" t="s">
        <v>30</v>
      </c>
      <c r="L858" s="8">
        <v>0.2</v>
      </c>
      <c r="M858" s="6"/>
      <c r="N858" s="6"/>
      <c r="O858" s="9">
        <v>-268.8</v>
      </c>
    </row>
    <row r="859" spans="1:15" ht="19.5" customHeight="1">
      <c r="A859" s="1" t="s">
        <v>569</v>
      </c>
      <c r="B859" s="5">
        <v>45924</v>
      </c>
      <c r="C859" s="1" t="s">
        <v>17</v>
      </c>
      <c r="D859" s="1" t="s">
        <v>37</v>
      </c>
      <c r="E859" s="1" t="s">
        <v>54</v>
      </c>
      <c r="F859" s="1" t="s">
        <v>55</v>
      </c>
      <c r="G859" s="1" t="s">
        <v>21</v>
      </c>
      <c r="H859" s="6">
        <v>1</v>
      </c>
      <c r="I859" s="7">
        <v>1344</v>
      </c>
      <c r="J859" s="5">
        <v>45923</v>
      </c>
      <c r="K859" s="1" t="s">
        <v>30</v>
      </c>
      <c r="L859" s="8">
        <v>0.2</v>
      </c>
      <c r="M859" s="6"/>
      <c r="N859" s="6"/>
      <c r="O859" s="9">
        <v>-5.0199999999999996</v>
      </c>
    </row>
    <row r="860" spans="1:15" ht="19.5" customHeight="1">
      <c r="A860" s="1" t="s">
        <v>570</v>
      </c>
      <c r="B860" s="5">
        <v>45924</v>
      </c>
      <c r="C860" s="1" t="s">
        <v>28</v>
      </c>
      <c r="D860" s="1" t="s">
        <v>29</v>
      </c>
      <c r="E860" s="1" t="s">
        <v>223</v>
      </c>
      <c r="F860" s="1" t="s">
        <v>395</v>
      </c>
      <c r="G860" s="1" t="s">
        <v>21</v>
      </c>
      <c r="H860" s="6">
        <v>1</v>
      </c>
      <c r="I860" s="7">
        <v>1392</v>
      </c>
      <c r="J860" s="5">
        <v>45923</v>
      </c>
      <c r="K860" s="1" t="s">
        <v>30</v>
      </c>
      <c r="L860" s="8">
        <v>0.2</v>
      </c>
      <c r="M860" s="6"/>
      <c r="N860" s="6"/>
      <c r="O860" s="9">
        <v>-46</v>
      </c>
    </row>
    <row r="861" spans="1:15" ht="19.5" customHeight="1">
      <c r="A861" s="1" t="s">
        <v>570</v>
      </c>
      <c r="B861" s="5">
        <v>45924</v>
      </c>
      <c r="C861" s="1" t="s">
        <v>31</v>
      </c>
      <c r="D861" s="1" t="s">
        <v>32</v>
      </c>
      <c r="E861" s="1" t="s">
        <v>223</v>
      </c>
      <c r="F861" s="1" t="s">
        <v>395</v>
      </c>
      <c r="G861" s="1" t="s">
        <v>21</v>
      </c>
      <c r="H861" s="6">
        <v>1</v>
      </c>
      <c r="I861" s="7">
        <v>1392</v>
      </c>
      <c r="J861" s="5">
        <v>45923</v>
      </c>
      <c r="K861" s="1" t="s">
        <v>30</v>
      </c>
      <c r="L861" s="8">
        <v>0</v>
      </c>
      <c r="M861" s="6"/>
      <c r="N861" s="6"/>
      <c r="O861" s="9">
        <v>719.05</v>
      </c>
    </row>
    <row r="862" spans="1:15" ht="19.5" customHeight="1">
      <c r="A862" s="1" t="s">
        <v>570</v>
      </c>
      <c r="B862" s="5">
        <v>45924</v>
      </c>
      <c r="C862" s="1" t="s">
        <v>31</v>
      </c>
      <c r="D862" s="1" t="s">
        <v>33</v>
      </c>
      <c r="E862" s="1" t="s">
        <v>223</v>
      </c>
      <c r="F862" s="1" t="s">
        <v>395</v>
      </c>
      <c r="G862" s="1" t="s">
        <v>21</v>
      </c>
      <c r="H862" s="6">
        <v>1</v>
      </c>
      <c r="I862" s="7">
        <v>1392</v>
      </c>
      <c r="J862" s="5">
        <v>45923</v>
      </c>
      <c r="K862" s="1" t="s">
        <v>30</v>
      </c>
      <c r="L862" s="8">
        <v>0</v>
      </c>
      <c r="M862" s="6"/>
      <c r="N862" s="6"/>
      <c r="O862" s="9">
        <v>5.29</v>
      </c>
    </row>
    <row r="863" spans="1:15" ht="19.5" customHeight="1">
      <c r="A863" s="1" t="s">
        <v>570</v>
      </c>
      <c r="B863" s="5">
        <v>45924</v>
      </c>
      <c r="C863" s="1" t="s">
        <v>31</v>
      </c>
      <c r="D863" s="1" t="s">
        <v>34</v>
      </c>
      <c r="E863" s="1" t="s">
        <v>223</v>
      </c>
      <c r="F863" s="1" t="s">
        <v>395</v>
      </c>
      <c r="G863" s="1" t="s">
        <v>21</v>
      </c>
      <c r="H863" s="6">
        <v>1</v>
      </c>
      <c r="I863" s="7">
        <v>1392</v>
      </c>
      <c r="J863" s="5">
        <v>45923</v>
      </c>
      <c r="K863" s="1" t="s">
        <v>30</v>
      </c>
      <c r="L863" s="8">
        <v>0</v>
      </c>
      <c r="M863" s="6"/>
      <c r="N863" s="6"/>
      <c r="O863" s="9">
        <v>667.66</v>
      </c>
    </row>
    <row r="864" spans="1:15" ht="19.5" customHeight="1">
      <c r="A864" s="1" t="s">
        <v>570</v>
      </c>
      <c r="B864" s="5">
        <v>45924</v>
      </c>
      <c r="C864" s="1" t="s">
        <v>35</v>
      </c>
      <c r="D864" s="1" t="s">
        <v>36</v>
      </c>
      <c r="E864" s="1" t="s">
        <v>223</v>
      </c>
      <c r="F864" s="1" t="s">
        <v>395</v>
      </c>
      <c r="G864" s="1" t="s">
        <v>21</v>
      </c>
      <c r="H864" s="6">
        <v>1</v>
      </c>
      <c r="I864" s="7">
        <v>1392</v>
      </c>
      <c r="J864" s="5">
        <v>45923</v>
      </c>
      <c r="K864" s="1" t="s">
        <v>30</v>
      </c>
      <c r="L864" s="8">
        <v>0.2</v>
      </c>
      <c r="M864" s="6"/>
      <c r="N864" s="6"/>
      <c r="O864" s="9">
        <v>-278.39999999999998</v>
      </c>
    </row>
    <row r="865" spans="1:15" ht="19.5" customHeight="1">
      <c r="A865" s="1" t="s">
        <v>570</v>
      </c>
      <c r="B865" s="5">
        <v>45924</v>
      </c>
      <c r="C865" s="1" t="s">
        <v>17</v>
      </c>
      <c r="D865" s="1" t="s">
        <v>37</v>
      </c>
      <c r="E865" s="1" t="s">
        <v>223</v>
      </c>
      <c r="F865" s="1" t="s">
        <v>395</v>
      </c>
      <c r="G865" s="1" t="s">
        <v>21</v>
      </c>
      <c r="H865" s="6">
        <v>1</v>
      </c>
      <c r="I865" s="7">
        <v>1392</v>
      </c>
      <c r="J865" s="5">
        <v>45923</v>
      </c>
      <c r="K865" s="1" t="s">
        <v>30</v>
      </c>
      <c r="L865" s="8">
        <v>0.2</v>
      </c>
      <c r="M865" s="6"/>
      <c r="N865" s="6"/>
      <c r="O865" s="9">
        <v>-5.2</v>
      </c>
    </row>
    <row r="866" spans="1:15" ht="19.5" customHeight="1">
      <c r="A866" s="1" t="s">
        <v>552</v>
      </c>
      <c r="B866" s="5">
        <v>45924</v>
      </c>
      <c r="C866" s="1" t="s">
        <v>126</v>
      </c>
      <c r="D866" s="1" t="s">
        <v>127</v>
      </c>
      <c r="E866" s="1" t="s">
        <v>235</v>
      </c>
      <c r="F866" s="1" t="s">
        <v>528</v>
      </c>
      <c r="G866" s="1" t="s">
        <v>41</v>
      </c>
      <c r="H866" s="6">
        <v>1</v>
      </c>
      <c r="I866" s="7">
        <v>-3690</v>
      </c>
      <c r="J866" s="5">
        <v>45921</v>
      </c>
      <c r="K866" s="1" t="s">
        <v>30</v>
      </c>
      <c r="L866" s="8">
        <v>0</v>
      </c>
      <c r="M866" s="6"/>
      <c r="N866" s="6"/>
      <c r="O866" s="9">
        <v>-2245.27</v>
      </c>
    </row>
    <row r="867" spans="1:15" ht="19.5" customHeight="1">
      <c r="A867" s="1" t="s">
        <v>552</v>
      </c>
      <c r="B867" s="5">
        <v>45924</v>
      </c>
      <c r="C867" s="1" t="s">
        <v>126</v>
      </c>
      <c r="D867" s="1" t="s">
        <v>33</v>
      </c>
      <c r="E867" s="1" t="s">
        <v>235</v>
      </c>
      <c r="F867" s="1" t="s">
        <v>528</v>
      </c>
      <c r="G867" s="1" t="s">
        <v>41</v>
      </c>
      <c r="H867" s="6">
        <v>1</v>
      </c>
      <c r="I867" s="7">
        <v>-3690</v>
      </c>
      <c r="J867" s="5">
        <v>45921</v>
      </c>
      <c r="K867" s="1" t="s">
        <v>30</v>
      </c>
      <c r="L867" s="8">
        <v>0</v>
      </c>
      <c r="M867" s="6"/>
      <c r="N867" s="6"/>
      <c r="O867" s="9">
        <v>-16.5</v>
      </c>
    </row>
    <row r="868" spans="1:15" ht="19.5" customHeight="1">
      <c r="A868" s="1" t="s">
        <v>552</v>
      </c>
      <c r="B868" s="5">
        <v>45924</v>
      </c>
      <c r="C868" s="1" t="s">
        <v>126</v>
      </c>
      <c r="D868" s="1" t="s">
        <v>34</v>
      </c>
      <c r="E868" s="1" t="s">
        <v>235</v>
      </c>
      <c r="F868" s="1" t="s">
        <v>528</v>
      </c>
      <c r="G868" s="1" t="s">
        <v>41</v>
      </c>
      <c r="H868" s="6">
        <v>1</v>
      </c>
      <c r="I868" s="7">
        <v>-3690</v>
      </c>
      <c r="J868" s="5">
        <v>45921</v>
      </c>
      <c r="K868" s="1" t="s">
        <v>30</v>
      </c>
      <c r="L868" s="8">
        <v>0</v>
      </c>
      <c r="M868" s="6"/>
      <c r="N868" s="6"/>
      <c r="O868" s="9">
        <v>-1428.23</v>
      </c>
    </row>
    <row r="869" spans="1:15" ht="19.5" customHeight="1">
      <c r="A869" s="1" t="s">
        <v>552</v>
      </c>
      <c r="B869" s="5">
        <v>45924</v>
      </c>
      <c r="C869" s="1" t="s">
        <v>35</v>
      </c>
      <c r="D869" s="1" t="s">
        <v>128</v>
      </c>
      <c r="E869" s="1" t="s">
        <v>235</v>
      </c>
      <c r="F869" s="1" t="s">
        <v>528</v>
      </c>
      <c r="G869" s="1" t="s">
        <v>41</v>
      </c>
      <c r="H869" s="6">
        <v>1</v>
      </c>
      <c r="I869" s="7">
        <v>-3690</v>
      </c>
      <c r="J869" s="5">
        <v>45921</v>
      </c>
      <c r="K869" s="1" t="s">
        <v>30</v>
      </c>
      <c r="L869" s="8">
        <v>0.18</v>
      </c>
      <c r="M869" s="6"/>
      <c r="N869" s="6"/>
      <c r="O869" s="9">
        <v>664.2</v>
      </c>
    </row>
    <row r="870" spans="1:15" ht="19.5" customHeight="1">
      <c r="A870" s="1" t="s">
        <v>556</v>
      </c>
      <c r="B870" s="5">
        <v>45924</v>
      </c>
      <c r="C870" s="1" t="s">
        <v>28</v>
      </c>
      <c r="D870" s="1" t="s">
        <v>29</v>
      </c>
      <c r="E870" s="1" t="s">
        <v>70</v>
      </c>
      <c r="F870" s="1" t="s">
        <v>71</v>
      </c>
      <c r="G870" s="1" t="s">
        <v>41</v>
      </c>
      <c r="H870" s="6">
        <v>1</v>
      </c>
      <c r="I870" s="7">
        <v>0</v>
      </c>
      <c r="J870" s="5">
        <v>45921</v>
      </c>
      <c r="K870" s="1" t="s">
        <v>30</v>
      </c>
      <c r="L870" s="8">
        <v>0</v>
      </c>
      <c r="M870" s="6"/>
      <c r="N870" s="6"/>
      <c r="O870" s="9">
        <v>-56</v>
      </c>
    </row>
    <row r="871" spans="1:15" ht="19.5" customHeight="1">
      <c r="A871" s="1" t="s">
        <v>556</v>
      </c>
      <c r="B871" s="5">
        <v>45924</v>
      </c>
      <c r="C871" s="1" t="s">
        <v>17</v>
      </c>
      <c r="D871" s="1" t="s">
        <v>37</v>
      </c>
      <c r="E871" s="1" t="s">
        <v>70</v>
      </c>
      <c r="F871" s="1" t="s">
        <v>71</v>
      </c>
      <c r="G871" s="1" t="s">
        <v>41</v>
      </c>
      <c r="H871" s="6">
        <v>1</v>
      </c>
      <c r="I871" s="7">
        <v>0</v>
      </c>
      <c r="J871" s="5">
        <v>45921</v>
      </c>
      <c r="K871" s="1" t="s">
        <v>30</v>
      </c>
      <c r="L871" s="8">
        <v>0</v>
      </c>
      <c r="M871" s="6"/>
      <c r="N871" s="6"/>
      <c r="O871" s="9">
        <v>-10.79</v>
      </c>
    </row>
    <row r="872" spans="1:15" ht="19.5" customHeight="1">
      <c r="A872" s="1" t="s">
        <v>556</v>
      </c>
      <c r="B872" s="5">
        <v>45924</v>
      </c>
      <c r="C872" s="1" t="s">
        <v>28</v>
      </c>
      <c r="D872" s="1" t="s">
        <v>45</v>
      </c>
      <c r="E872" s="1" t="s">
        <v>70</v>
      </c>
      <c r="F872" s="1" t="s">
        <v>71</v>
      </c>
      <c r="G872" s="1" t="s">
        <v>41</v>
      </c>
      <c r="H872" s="6">
        <v>1</v>
      </c>
      <c r="I872" s="7">
        <v>0</v>
      </c>
      <c r="J872" s="5">
        <v>45921</v>
      </c>
      <c r="K872" s="1" t="s">
        <v>30</v>
      </c>
      <c r="L872" s="8">
        <v>0</v>
      </c>
      <c r="M872" s="6"/>
      <c r="N872" s="6"/>
      <c r="O872" s="9">
        <v>0</v>
      </c>
    </row>
    <row r="873" spans="1:15" ht="19.5" customHeight="1">
      <c r="A873" s="1" t="s">
        <v>556</v>
      </c>
      <c r="B873" s="5">
        <v>45924</v>
      </c>
      <c r="C873" s="1" t="s">
        <v>28</v>
      </c>
      <c r="D873" s="1" t="s">
        <v>46</v>
      </c>
      <c r="E873" s="1" t="s">
        <v>70</v>
      </c>
      <c r="F873" s="1" t="s">
        <v>71</v>
      </c>
      <c r="G873" s="1" t="s">
        <v>41</v>
      </c>
      <c r="H873" s="6">
        <v>1</v>
      </c>
      <c r="I873" s="7">
        <v>0</v>
      </c>
      <c r="J873" s="5">
        <v>45921</v>
      </c>
      <c r="K873" s="1" t="s">
        <v>30</v>
      </c>
      <c r="L873" s="8">
        <v>0</v>
      </c>
      <c r="M873" s="6"/>
      <c r="N873" s="6"/>
      <c r="O873" s="9">
        <v>-56</v>
      </c>
    </row>
    <row r="874" spans="1:15" ht="19.5" customHeight="1">
      <c r="A874" s="1" t="s">
        <v>556</v>
      </c>
      <c r="B874" s="5">
        <v>45924</v>
      </c>
      <c r="C874" s="1" t="s">
        <v>17</v>
      </c>
      <c r="D874" s="1" t="s">
        <v>47</v>
      </c>
      <c r="E874" s="1" t="s">
        <v>70</v>
      </c>
      <c r="F874" s="1" t="s">
        <v>71</v>
      </c>
      <c r="G874" s="1" t="s">
        <v>41</v>
      </c>
      <c r="H874" s="6">
        <v>1</v>
      </c>
      <c r="I874" s="7">
        <v>0</v>
      </c>
      <c r="J874" s="5">
        <v>45921</v>
      </c>
      <c r="K874" s="1" t="s">
        <v>30</v>
      </c>
      <c r="L874" s="8">
        <v>0</v>
      </c>
      <c r="M874" s="6"/>
      <c r="N874" s="6"/>
      <c r="O874" s="9">
        <v>-15</v>
      </c>
    </row>
    <row r="875" spans="1:15" ht="19.5" customHeight="1">
      <c r="A875" s="1" t="s">
        <v>527</v>
      </c>
      <c r="B875" s="5">
        <v>45924</v>
      </c>
      <c r="C875" s="1" t="s">
        <v>17</v>
      </c>
      <c r="D875" s="1" t="s">
        <v>18</v>
      </c>
      <c r="E875" s="1" t="s">
        <v>235</v>
      </c>
      <c r="F875" s="1" t="s">
        <v>528</v>
      </c>
      <c r="G875" s="1" t="s">
        <v>41</v>
      </c>
      <c r="H875" s="6">
        <v>1</v>
      </c>
      <c r="I875" s="7">
        <v>0</v>
      </c>
      <c r="J875" s="5">
        <v>45921</v>
      </c>
      <c r="K875" s="1" t="s">
        <v>22</v>
      </c>
      <c r="L875" s="8">
        <v>0</v>
      </c>
      <c r="M875" s="6"/>
      <c r="N875" s="6"/>
      <c r="O875" s="9">
        <v>42.66</v>
      </c>
    </row>
    <row r="876" spans="1:15" ht="19.5" customHeight="1">
      <c r="A876" s="1" t="s">
        <v>571</v>
      </c>
      <c r="B876" s="5">
        <v>45924</v>
      </c>
      <c r="C876" s="1" t="s">
        <v>17</v>
      </c>
      <c r="D876" s="1" t="s">
        <v>18</v>
      </c>
      <c r="E876" s="1" t="s">
        <v>222</v>
      </c>
      <c r="F876" s="1" t="s">
        <v>412</v>
      </c>
      <c r="G876" s="1" t="s">
        <v>21</v>
      </c>
      <c r="H876" s="6">
        <v>1</v>
      </c>
      <c r="I876" s="7">
        <v>0</v>
      </c>
      <c r="J876" s="5">
        <v>45924</v>
      </c>
      <c r="K876" s="1" t="s">
        <v>22</v>
      </c>
      <c r="L876" s="8">
        <v>0</v>
      </c>
      <c r="M876" s="6"/>
      <c r="N876" s="6"/>
      <c r="O876" s="9">
        <v>-5.04</v>
      </c>
    </row>
    <row r="877" spans="1:15" ht="19.5" customHeight="1">
      <c r="A877" s="1" t="s">
        <v>572</v>
      </c>
      <c r="B877" s="5">
        <v>45924</v>
      </c>
      <c r="C877" s="1" t="s">
        <v>28</v>
      </c>
      <c r="D877" s="1" t="s">
        <v>29</v>
      </c>
      <c r="E877" s="1" t="s">
        <v>226</v>
      </c>
      <c r="F877" s="1" t="s">
        <v>428</v>
      </c>
      <c r="G877" s="1" t="s">
        <v>21</v>
      </c>
      <c r="H877" s="6">
        <v>1</v>
      </c>
      <c r="I877" s="7">
        <v>1380</v>
      </c>
      <c r="J877" s="5">
        <v>45921</v>
      </c>
      <c r="K877" s="1" t="s">
        <v>30</v>
      </c>
      <c r="L877" s="8">
        <v>0.2</v>
      </c>
      <c r="M877" s="6"/>
      <c r="N877" s="6"/>
      <c r="O877" s="9">
        <v>-46</v>
      </c>
    </row>
    <row r="878" spans="1:15" ht="19.5" customHeight="1">
      <c r="A878" s="1" t="s">
        <v>572</v>
      </c>
      <c r="B878" s="5">
        <v>45924</v>
      </c>
      <c r="C878" s="1" t="s">
        <v>31</v>
      </c>
      <c r="D878" s="1" t="s">
        <v>32</v>
      </c>
      <c r="E878" s="1" t="s">
        <v>226</v>
      </c>
      <c r="F878" s="1" t="s">
        <v>428</v>
      </c>
      <c r="G878" s="1" t="s">
        <v>21</v>
      </c>
      <c r="H878" s="6">
        <v>1</v>
      </c>
      <c r="I878" s="7">
        <v>1380</v>
      </c>
      <c r="J878" s="5">
        <v>45921</v>
      </c>
      <c r="K878" s="1" t="s">
        <v>30</v>
      </c>
      <c r="L878" s="8">
        <v>0</v>
      </c>
      <c r="M878" s="6"/>
      <c r="N878" s="6"/>
      <c r="O878" s="9">
        <v>889.73</v>
      </c>
    </row>
    <row r="879" spans="1:15" ht="19.5" customHeight="1">
      <c r="A879" s="1" t="s">
        <v>572</v>
      </c>
      <c r="B879" s="5">
        <v>45924</v>
      </c>
      <c r="C879" s="1" t="s">
        <v>31</v>
      </c>
      <c r="D879" s="1" t="s">
        <v>33</v>
      </c>
      <c r="E879" s="1" t="s">
        <v>226</v>
      </c>
      <c r="F879" s="1" t="s">
        <v>428</v>
      </c>
      <c r="G879" s="1" t="s">
        <v>21</v>
      </c>
      <c r="H879" s="6">
        <v>1</v>
      </c>
      <c r="I879" s="7">
        <v>1380</v>
      </c>
      <c r="J879" s="5">
        <v>45921</v>
      </c>
      <c r="K879" s="1" t="s">
        <v>30</v>
      </c>
      <c r="L879" s="8">
        <v>0</v>
      </c>
      <c r="M879" s="6"/>
      <c r="N879" s="6"/>
      <c r="O879" s="9">
        <v>0</v>
      </c>
    </row>
    <row r="880" spans="1:15" ht="19.5" customHeight="1">
      <c r="A880" s="1" t="s">
        <v>572</v>
      </c>
      <c r="B880" s="5">
        <v>45924</v>
      </c>
      <c r="C880" s="1" t="s">
        <v>31</v>
      </c>
      <c r="D880" s="1" t="s">
        <v>34</v>
      </c>
      <c r="E880" s="1" t="s">
        <v>226</v>
      </c>
      <c r="F880" s="1" t="s">
        <v>428</v>
      </c>
      <c r="G880" s="1" t="s">
        <v>21</v>
      </c>
      <c r="H880" s="6">
        <v>1</v>
      </c>
      <c r="I880" s="7">
        <v>1380</v>
      </c>
      <c r="J880" s="5">
        <v>45921</v>
      </c>
      <c r="K880" s="1" t="s">
        <v>30</v>
      </c>
      <c r="L880" s="8">
        <v>0</v>
      </c>
      <c r="M880" s="6"/>
      <c r="N880" s="6"/>
      <c r="O880" s="9">
        <v>490.27</v>
      </c>
    </row>
    <row r="881" spans="1:15" ht="19.5" customHeight="1">
      <c r="A881" s="1" t="s">
        <v>572</v>
      </c>
      <c r="B881" s="5">
        <v>45924</v>
      </c>
      <c r="C881" s="1" t="s">
        <v>35</v>
      </c>
      <c r="D881" s="1" t="s">
        <v>36</v>
      </c>
      <c r="E881" s="1" t="s">
        <v>226</v>
      </c>
      <c r="F881" s="1" t="s">
        <v>428</v>
      </c>
      <c r="G881" s="1" t="s">
        <v>21</v>
      </c>
      <c r="H881" s="6">
        <v>1</v>
      </c>
      <c r="I881" s="7">
        <v>1380</v>
      </c>
      <c r="J881" s="5">
        <v>45921</v>
      </c>
      <c r="K881" s="1" t="s">
        <v>30</v>
      </c>
      <c r="L881" s="8">
        <v>0.2</v>
      </c>
      <c r="M881" s="6"/>
      <c r="N881" s="6"/>
      <c r="O881" s="9">
        <v>-276</v>
      </c>
    </row>
    <row r="882" spans="1:15" ht="19.5" customHeight="1">
      <c r="A882" s="1" t="s">
        <v>572</v>
      </c>
      <c r="B882" s="5">
        <v>45924</v>
      </c>
      <c r="C882" s="1" t="s">
        <v>17</v>
      </c>
      <c r="D882" s="1" t="s">
        <v>37</v>
      </c>
      <c r="E882" s="1" t="s">
        <v>226</v>
      </c>
      <c r="F882" s="1" t="s">
        <v>428</v>
      </c>
      <c r="G882" s="1" t="s">
        <v>21</v>
      </c>
      <c r="H882" s="6">
        <v>1</v>
      </c>
      <c r="I882" s="7">
        <v>1380</v>
      </c>
      <c r="J882" s="5">
        <v>45921</v>
      </c>
      <c r="K882" s="1" t="s">
        <v>30</v>
      </c>
      <c r="L882" s="8">
        <v>0.2</v>
      </c>
      <c r="M882" s="6"/>
      <c r="N882" s="6"/>
      <c r="O882" s="9">
        <v>-5.43</v>
      </c>
    </row>
    <row r="883" spans="1:15" ht="19.5" customHeight="1">
      <c r="A883" s="1" t="s">
        <v>463</v>
      </c>
      <c r="B883" s="5">
        <v>45924</v>
      </c>
      <c r="C883" s="1" t="s">
        <v>17</v>
      </c>
      <c r="D883" s="1" t="s">
        <v>18</v>
      </c>
      <c r="E883" s="1" t="s">
        <v>229</v>
      </c>
      <c r="F883" s="1" t="s">
        <v>464</v>
      </c>
      <c r="G883" s="1" t="s">
        <v>21</v>
      </c>
      <c r="H883" s="6">
        <v>1</v>
      </c>
      <c r="I883" s="7">
        <v>0</v>
      </c>
      <c r="J883" s="5">
        <v>45918</v>
      </c>
      <c r="K883" s="1" t="s">
        <v>22</v>
      </c>
      <c r="L883" s="8">
        <v>0</v>
      </c>
      <c r="M883" s="6"/>
      <c r="N883" s="6"/>
      <c r="O883" s="9">
        <v>16.8</v>
      </c>
    </row>
    <row r="884" spans="1:15" ht="19.5" customHeight="1">
      <c r="A884" s="1" t="s">
        <v>22</v>
      </c>
      <c r="B884" s="5">
        <v>45924</v>
      </c>
      <c r="C884" s="1" t="s">
        <v>77</v>
      </c>
      <c r="D884" s="1" t="s">
        <v>78</v>
      </c>
      <c r="E884" s="1" t="s">
        <v>22</v>
      </c>
      <c r="F884" s="1" t="s">
        <v>22</v>
      </c>
      <c r="G884" s="1" t="s">
        <v>573</v>
      </c>
      <c r="H884" s="6">
        <v>0</v>
      </c>
      <c r="I884" s="7">
        <v>0</v>
      </c>
      <c r="J884" s="5">
        <v>45924</v>
      </c>
      <c r="K884" s="1" t="s">
        <v>22</v>
      </c>
      <c r="L884" s="8">
        <v>0</v>
      </c>
      <c r="M884" s="6"/>
      <c r="N884" s="6"/>
      <c r="O884" s="9">
        <v>-200</v>
      </c>
    </row>
    <row r="885" spans="1:15" ht="19.5" customHeight="1">
      <c r="A885" s="1" t="s">
        <v>574</v>
      </c>
      <c r="B885" s="5">
        <v>45924</v>
      </c>
      <c r="C885" s="1" t="s">
        <v>28</v>
      </c>
      <c r="D885" s="1" t="s">
        <v>29</v>
      </c>
      <c r="E885" s="1" t="s">
        <v>228</v>
      </c>
      <c r="F885" s="1" t="s">
        <v>393</v>
      </c>
      <c r="G885" s="1" t="s">
        <v>21</v>
      </c>
      <c r="H885" s="6">
        <v>1</v>
      </c>
      <c r="I885" s="7">
        <v>0</v>
      </c>
      <c r="J885" s="5">
        <v>45916</v>
      </c>
      <c r="K885" s="1" t="s">
        <v>30</v>
      </c>
      <c r="L885" s="8">
        <v>0</v>
      </c>
      <c r="M885" s="6"/>
      <c r="N885" s="6"/>
      <c r="O885" s="9">
        <v>-46</v>
      </c>
    </row>
    <row r="886" spans="1:15" ht="19.5" customHeight="1">
      <c r="A886" s="1" t="s">
        <v>574</v>
      </c>
      <c r="B886" s="5">
        <v>45924</v>
      </c>
      <c r="C886" s="1" t="s">
        <v>17</v>
      </c>
      <c r="D886" s="1" t="s">
        <v>37</v>
      </c>
      <c r="E886" s="1" t="s">
        <v>228</v>
      </c>
      <c r="F886" s="1" t="s">
        <v>393</v>
      </c>
      <c r="G886" s="1" t="s">
        <v>21</v>
      </c>
      <c r="H886" s="6">
        <v>1</v>
      </c>
      <c r="I886" s="7">
        <v>0</v>
      </c>
      <c r="J886" s="5">
        <v>45916</v>
      </c>
      <c r="K886" s="1" t="s">
        <v>30</v>
      </c>
      <c r="L886" s="8">
        <v>0</v>
      </c>
      <c r="M886" s="6"/>
      <c r="N886" s="6"/>
      <c r="O886" s="9">
        <v>-6.54</v>
      </c>
    </row>
    <row r="887" spans="1:15" ht="19.5" customHeight="1">
      <c r="A887" s="1" t="s">
        <v>575</v>
      </c>
      <c r="B887" s="5">
        <v>45924</v>
      </c>
      <c r="C887" s="1" t="s">
        <v>28</v>
      </c>
      <c r="D887" s="1" t="s">
        <v>356</v>
      </c>
      <c r="E887" s="1" t="s">
        <v>25</v>
      </c>
      <c r="F887" s="1" t="s">
        <v>26</v>
      </c>
      <c r="G887" s="1" t="s">
        <v>21</v>
      </c>
      <c r="H887" s="6">
        <v>1</v>
      </c>
      <c r="I887" s="7">
        <v>0</v>
      </c>
      <c r="J887" s="5">
        <v>45916</v>
      </c>
      <c r="K887" s="1" t="s">
        <v>30</v>
      </c>
      <c r="L887" s="8">
        <v>0</v>
      </c>
      <c r="M887" s="6"/>
      <c r="N887" s="6"/>
      <c r="O887" s="9">
        <v>0</v>
      </c>
    </row>
    <row r="888" spans="1:15" ht="19.5" customHeight="1">
      <c r="A888" s="1" t="s">
        <v>575</v>
      </c>
      <c r="B888" s="5">
        <v>45924</v>
      </c>
      <c r="C888" s="1" t="s">
        <v>28</v>
      </c>
      <c r="D888" s="1" t="s">
        <v>46</v>
      </c>
      <c r="E888" s="1" t="s">
        <v>25</v>
      </c>
      <c r="F888" s="1" t="s">
        <v>26</v>
      </c>
      <c r="G888" s="1" t="s">
        <v>21</v>
      </c>
      <c r="H888" s="6">
        <v>1</v>
      </c>
      <c r="I888" s="7">
        <v>0</v>
      </c>
      <c r="J888" s="5">
        <v>45916</v>
      </c>
      <c r="K888" s="1" t="s">
        <v>30</v>
      </c>
      <c r="L888" s="8">
        <v>0</v>
      </c>
      <c r="M888" s="6"/>
      <c r="N888" s="6"/>
      <c r="O888" s="9">
        <v>-46</v>
      </c>
    </row>
    <row r="889" spans="1:15" ht="19.5" customHeight="1">
      <c r="A889" s="1" t="s">
        <v>575</v>
      </c>
      <c r="B889" s="5">
        <v>45924</v>
      </c>
      <c r="C889" s="1" t="s">
        <v>17</v>
      </c>
      <c r="D889" s="1" t="s">
        <v>47</v>
      </c>
      <c r="E889" s="1" t="s">
        <v>25</v>
      </c>
      <c r="F889" s="1" t="s">
        <v>26</v>
      </c>
      <c r="G889" s="1" t="s">
        <v>21</v>
      </c>
      <c r="H889" s="6">
        <v>1</v>
      </c>
      <c r="I889" s="7">
        <v>0</v>
      </c>
      <c r="J889" s="5">
        <v>45916</v>
      </c>
      <c r="K889" s="1" t="s">
        <v>30</v>
      </c>
      <c r="L889" s="8">
        <v>0</v>
      </c>
      <c r="M889" s="6"/>
      <c r="N889" s="6"/>
      <c r="O889" s="9">
        <v>-15</v>
      </c>
    </row>
    <row r="890" spans="1:15" ht="19.5" customHeight="1">
      <c r="A890" s="1" t="s">
        <v>575</v>
      </c>
      <c r="B890" s="5">
        <v>45924</v>
      </c>
      <c r="C890" s="1" t="s">
        <v>28</v>
      </c>
      <c r="D890" s="1" t="s">
        <v>29</v>
      </c>
      <c r="E890" s="1" t="s">
        <v>25</v>
      </c>
      <c r="F890" s="1" t="s">
        <v>26</v>
      </c>
      <c r="G890" s="1" t="s">
        <v>21</v>
      </c>
      <c r="H890" s="6">
        <v>1</v>
      </c>
      <c r="I890" s="7">
        <v>0</v>
      </c>
      <c r="J890" s="5">
        <v>45916</v>
      </c>
      <c r="K890" s="1" t="s">
        <v>30</v>
      </c>
      <c r="L890" s="8">
        <v>0</v>
      </c>
      <c r="M890" s="6"/>
      <c r="N890" s="6"/>
      <c r="O890" s="9">
        <v>-46</v>
      </c>
    </row>
    <row r="891" spans="1:15" ht="19.5" customHeight="1">
      <c r="A891" s="1" t="s">
        <v>575</v>
      </c>
      <c r="B891" s="5">
        <v>45924</v>
      </c>
      <c r="C891" s="1" t="s">
        <v>17</v>
      </c>
      <c r="D891" s="1" t="s">
        <v>37</v>
      </c>
      <c r="E891" s="1" t="s">
        <v>25</v>
      </c>
      <c r="F891" s="1" t="s">
        <v>26</v>
      </c>
      <c r="G891" s="1" t="s">
        <v>21</v>
      </c>
      <c r="H891" s="6">
        <v>1</v>
      </c>
      <c r="I891" s="7">
        <v>0</v>
      </c>
      <c r="J891" s="5">
        <v>45916</v>
      </c>
      <c r="K891" s="1" t="s">
        <v>30</v>
      </c>
      <c r="L891" s="8">
        <v>0</v>
      </c>
      <c r="M891" s="6"/>
      <c r="N891" s="6"/>
      <c r="O891" s="9">
        <v>-5.57</v>
      </c>
    </row>
    <row r="892" spans="1:15" ht="19.5" customHeight="1">
      <c r="A892" s="1" t="s">
        <v>576</v>
      </c>
      <c r="B892" s="5">
        <v>45924</v>
      </c>
      <c r="C892" s="1" t="s">
        <v>28</v>
      </c>
      <c r="D892" s="1" t="s">
        <v>29</v>
      </c>
      <c r="E892" s="1" t="s">
        <v>227</v>
      </c>
      <c r="F892" s="1" t="s">
        <v>402</v>
      </c>
      <c r="G892" s="1" t="s">
        <v>21</v>
      </c>
      <c r="H892" s="6">
        <v>1</v>
      </c>
      <c r="I892" s="7">
        <v>0</v>
      </c>
      <c r="J892" s="5">
        <v>45916</v>
      </c>
      <c r="K892" s="1" t="s">
        <v>30</v>
      </c>
      <c r="L892" s="8">
        <v>0</v>
      </c>
      <c r="M892" s="6"/>
      <c r="N892" s="6"/>
      <c r="O892" s="9">
        <v>-46</v>
      </c>
    </row>
    <row r="893" spans="1:15" ht="19.5" customHeight="1">
      <c r="A893" s="1" t="s">
        <v>576</v>
      </c>
      <c r="B893" s="5">
        <v>45924</v>
      </c>
      <c r="C893" s="1" t="s">
        <v>17</v>
      </c>
      <c r="D893" s="1" t="s">
        <v>37</v>
      </c>
      <c r="E893" s="1" t="s">
        <v>227</v>
      </c>
      <c r="F893" s="1" t="s">
        <v>402</v>
      </c>
      <c r="G893" s="1" t="s">
        <v>21</v>
      </c>
      <c r="H893" s="6">
        <v>1</v>
      </c>
      <c r="I893" s="7">
        <v>0</v>
      </c>
      <c r="J893" s="5">
        <v>45916</v>
      </c>
      <c r="K893" s="1" t="s">
        <v>30</v>
      </c>
      <c r="L893" s="8">
        <v>0</v>
      </c>
      <c r="M893" s="6"/>
      <c r="N893" s="6"/>
      <c r="O893" s="9">
        <v>-6.54</v>
      </c>
    </row>
    <row r="894" spans="1:15" ht="19.5" customHeight="1">
      <c r="A894" s="1" t="s">
        <v>576</v>
      </c>
      <c r="B894" s="5">
        <v>45924</v>
      </c>
      <c r="C894" s="1" t="s">
        <v>28</v>
      </c>
      <c r="D894" s="1" t="s">
        <v>356</v>
      </c>
      <c r="E894" s="1" t="s">
        <v>227</v>
      </c>
      <c r="F894" s="1" t="s">
        <v>402</v>
      </c>
      <c r="G894" s="1" t="s">
        <v>21</v>
      </c>
      <c r="H894" s="6">
        <v>1</v>
      </c>
      <c r="I894" s="7">
        <v>0</v>
      </c>
      <c r="J894" s="5">
        <v>45916</v>
      </c>
      <c r="K894" s="1" t="s">
        <v>30</v>
      </c>
      <c r="L894" s="8">
        <v>0</v>
      </c>
      <c r="M894" s="6"/>
      <c r="N894" s="6"/>
      <c r="O894" s="9">
        <v>0</v>
      </c>
    </row>
    <row r="895" spans="1:15" ht="19.5" customHeight="1">
      <c r="A895" s="1" t="s">
        <v>576</v>
      </c>
      <c r="B895" s="5">
        <v>45924</v>
      </c>
      <c r="C895" s="1" t="s">
        <v>28</v>
      </c>
      <c r="D895" s="1" t="s">
        <v>46</v>
      </c>
      <c r="E895" s="1" t="s">
        <v>227</v>
      </c>
      <c r="F895" s="1" t="s">
        <v>402</v>
      </c>
      <c r="G895" s="1" t="s">
        <v>21</v>
      </c>
      <c r="H895" s="6">
        <v>1</v>
      </c>
      <c r="I895" s="7">
        <v>0</v>
      </c>
      <c r="J895" s="5">
        <v>45916</v>
      </c>
      <c r="K895" s="1" t="s">
        <v>30</v>
      </c>
      <c r="L895" s="8">
        <v>0</v>
      </c>
      <c r="M895" s="6"/>
      <c r="N895" s="6"/>
      <c r="O895" s="9">
        <v>-46</v>
      </c>
    </row>
    <row r="896" spans="1:15" ht="19.5" customHeight="1">
      <c r="A896" s="1" t="s">
        <v>576</v>
      </c>
      <c r="B896" s="5">
        <v>45924</v>
      </c>
      <c r="C896" s="1" t="s">
        <v>17</v>
      </c>
      <c r="D896" s="1" t="s">
        <v>47</v>
      </c>
      <c r="E896" s="1" t="s">
        <v>227</v>
      </c>
      <c r="F896" s="1" t="s">
        <v>402</v>
      </c>
      <c r="G896" s="1" t="s">
        <v>21</v>
      </c>
      <c r="H896" s="6">
        <v>1</v>
      </c>
      <c r="I896" s="7">
        <v>0</v>
      </c>
      <c r="J896" s="5">
        <v>45916</v>
      </c>
      <c r="K896" s="1" t="s">
        <v>30</v>
      </c>
      <c r="L896" s="8">
        <v>0</v>
      </c>
      <c r="M896" s="6"/>
      <c r="N896" s="6"/>
      <c r="O896" s="9">
        <v>-15</v>
      </c>
    </row>
    <row r="897" spans="1:15" ht="19.5" customHeight="1">
      <c r="A897" s="1" t="s">
        <v>574</v>
      </c>
      <c r="B897" s="5">
        <v>45924</v>
      </c>
      <c r="C897" s="1" t="s">
        <v>28</v>
      </c>
      <c r="D897" s="1" t="s">
        <v>356</v>
      </c>
      <c r="E897" s="1" t="s">
        <v>228</v>
      </c>
      <c r="F897" s="1" t="s">
        <v>393</v>
      </c>
      <c r="G897" s="1" t="s">
        <v>21</v>
      </c>
      <c r="H897" s="6">
        <v>1</v>
      </c>
      <c r="I897" s="7">
        <v>0</v>
      </c>
      <c r="J897" s="5">
        <v>45916</v>
      </c>
      <c r="K897" s="1" t="s">
        <v>30</v>
      </c>
      <c r="L897" s="8">
        <v>0</v>
      </c>
      <c r="M897" s="6"/>
      <c r="N897" s="6"/>
      <c r="O897" s="9">
        <v>0</v>
      </c>
    </row>
    <row r="898" spans="1:15" ht="19.5" customHeight="1">
      <c r="A898" s="1" t="s">
        <v>574</v>
      </c>
      <c r="B898" s="5">
        <v>45924</v>
      </c>
      <c r="C898" s="1" t="s">
        <v>28</v>
      </c>
      <c r="D898" s="1" t="s">
        <v>46</v>
      </c>
      <c r="E898" s="1" t="s">
        <v>228</v>
      </c>
      <c r="F898" s="1" t="s">
        <v>393</v>
      </c>
      <c r="G898" s="1" t="s">
        <v>21</v>
      </c>
      <c r="H898" s="6">
        <v>1</v>
      </c>
      <c r="I898" s="7">
        <v>0</v>
      </c>
      <c r="J898" s="5">
        <v>45916</v>
      </c>
      <c r="K898" s="1" t="s">
        <v>30</v>
      </c>
      <c r="L898" s="8">
        <v>0</v>
      </c>
      <c r="M898" s="6"/>
      <c r="N898" s="6"/>
      <c r="O898" s="9">
        <v>-46</v>
      </c>
    </row>
    <row r="899" spans="1:15" ht="19.5" customHeight="1">
      <c r="A899" s="1" t="s">
        <v>574</v>
      </c>
      <c r="B899" s="5">
        <v>45924</v>
      </c>
      <c r="C899" s="1" t="s">
        <v>17</v>
      </c>
      <c r="D899" s="1" t="s">
        <v>47</v>
      </c>
      <c r="E899" s="1" t="s">
        <v>228</v>
      </c>
      <c r="F899" s="1" t="s">
        <v>393</v>
      </c>
      <c r="G899" s="1" t="s">
        <v>21</v>
      </c>
      <c r="H899" s="6">
        <v>1</v>
      </c>
      <c r="I899" s="7">
        <v>0</v>
      </c>
      <c r="J899" s="5">
        <v>45916</v>
      </c>
      <c r="K899" s="1" t="s">
        <v>30</v>
      </c>
      <c r="L899" s="8">
        <v>0</v>
      </c>
      <c r="M899" s="6"/>
      <c r="N899" s="6"/>
      <c r="O899" s="9">
        <v>-15</v>
      </c>
    </row>
    <row r="900" spans="1:15" ht="19.5" customHeight="1">
      <c r="A900" s="1" t="s">
        <v>22</v>
      </c>
      <c r="B900" s="5">
        <v>45924</v>
      </c>
      <c r="C900" s="1" t="s">
        <v>77</v>
      </c>
      <c r="D900" s="1" t="s">
        <v>80</v>
      </c>
      <c r="E900" s="1" t="s">
        <v>22</v>
      </c>
      <c r="F900" s="1" t="s">
        <v>22</v>
      </c>
      <c r="G900" s="1" t="s">
        <v>22</v>
      </c>
      <c r="H900" s="6">
        <v>0</v>
      </c>
      <c r="I900" s="7">
        <v>0</v>
      </c>
      <c r="J900" s="5">
        <v>45924</v>
      </c>
      <c r="K900" s="1" t="s">
        <v>22</v>
      </c>
      <c r="L900" s="8">
        <v>0</v>
      </c>
      <c r="M900" s="6"/>
      <c r="N900" s="6"/>
      <c r="O900" s="9">
        <v>-216</v>
      </c>
    </row>
    <row r="901" spans="1:15" ht="19.5" customHeight="1">
      <c r="A901" s="1" t="s">
        <v>83</v>
      </c>
      <c r="B901" s="5">
        <v>45924</v>
      </c>
      <c r="C901" s="1" t="s">
        <v>77</v>
      </c>
      <c r="D901" s="1" t="s">
        <v>84</v>
      </c>
      <c r="E901" s="1" t="s">
        <v>22</v>
      </c>
      <c r="F901" s="1" t="s">
        <v>22</v>
      </c>
      <c r="G901" s="1" t="s">
        <v>22</v>
      </c>
      <c r="H901" s="6">
        <v>0</v>
      </c>
      <c r="I901" s="7">
        <v>0</v>
      </c>
      <c r="J901" s="5">
        <v>45924</v>
      </c>
      <c r="K901" s="1" t="s">
        <v>22</v>
      </c>
      <c r="L901" s="8">
        <v>0</v>
      </c>
      <c r="M901" s="6"/>
      <c r="N901" s="6"/>
      <c r="O901" s="9">
        <v>-117</v>
      </c>
    </row>
    <row r="902" spans="1:15" ht="19.5" customHeight="1">
      <c r="A902" s="1" t="s">
        <v>577</v>
      </c>
      <c r="B902" s="5">
        <v>45925</v>
      </c>
      <c r="C902" s="1" t="s">
        <v>28</v>
      </c>
      <c r="D902" s="1" t="s">
        <v>29</v>
      </c>
      <c r="E902" s="1" t="s">
        <v>25</v>
      </c>
      <c r="F902" s="1" t="s">
        <v>26</v>
      </c>
      <c r="G902" s="1" t="s">
        <v>21</v>
      </c>
      <c r="H902" s="6">
        <v>1</v>
      </c>
      <c r="I902" s="7">
        <v>0</v>
      </c>
      <c r="J902" s="5">
        <v>45912</v>
      </c>
      <c r="K902" s="1" t="s">
        <v>30</v>
      </c>
      <c r="L902" s="8">
        <v>0</v>
      </c>
      <c r="M902" s="6"/>
      <c r="N902" s="6"/>
      <c r="O902" s="9">
        <v>-46</v>
      </c>
    </row>
    <row r="903" spans="1:15" ht="19.5" customHeight="1">
      <c r="A903" s="1" t="s">
        <v>577</v>
      </c>
      <c r="B903" s="5">
        <v>45925</v>
      </c>
      <c r="C903" s="1" t="s">
        <v>17</v>
      </c>
      <c r="D903" s="1" t="s">
        <v>37</v>
      </c>
      <c r="E903" s="1" t="s">
        <v>25</v>
      </c>
      <c r="F903" s="1" t="s">
        <v>26</v>
      </c>
      <c r="G903" s="1" t="s">
        <v>21</v>
      </c>
      <c r="H903" s="6">
        <v>1</v>
      </c>
      <c r="I903" s="7">
        <v>0</v>
      </c>
      <c r="J903" s="5">
        <v>45912</v>
      </c>
      <c r="K903" s="1" t="s">
        <v>30</v>
      </c>
      <c r="L903" s="8">
        <v>0</v>
      </c>
      <c r="M903" s="6"/>
      <c r="N903" s="6"/>
      <c r="O903" s="9">
        <v>-6.62</v>
      </c>
    </row>
    <row r="904" spans="1:15" ht="19.5" customHeight="1">
      <c r="A904" s="1" t="s">
        <v>577</v>
      </c>
      <c r="B904" s="5">
        <v>45925</v>
      </c>
      <c r="C904" s="1" t="s">
        <v>28</v>
      </c>
      <c r="D904" s="1" t="s">
        <v>45</v>
      </c>
      <c r="E904" s="1" t="s">
        <v>25</v>
      </c>
      <c r="F904" s="1" t="s">
        <v>26</v>
      </c>
      <c r="G904" s="1" t="s">
        <v>21</v>
      </c>
      <c r="H904" s="6">
        <v>1</v>
      </c>
      <c r="I904" s="7">
        <v>0</v>
      </c>
      <c r="J904" s="5">
        <v>45912</v>
      </c>
      <c r="K904" s="1" t="s">
        <v>30</v>
      </c>
      <c r="L904" s="8">
        <v>0</v>
      </c>
      <c r="M904" s="6"/>
      <c r="N904" s="6"/>
      <c r="O904" s="9">
        <v>0</v>
      </c>
    </row>
    <row r="905" spans="1:15" ht="19.5" customHeight="1">
      <c r="A905" s="1" t="s">
        <v>577</v>
      </c>
      <c r="B905" s="5">
        <v>45925</v>
      </c>
      <c r="C905" s="1" t="s">
        <v>28</v>
      </c>
      <c r="D905" s="1" t="s">
        <v>46</v>
      </c>
      <c r="E905" s="1" t="s">
        <v>25</v>
      </c>
      <c r="F905" s="1" t="s">
        <v>26</v>
      </c>
      <c r="G905" s="1" t="s">
        <v>21</v>
      </c>
      <c r="H905" s="6">
        <v>1</v>
      </c>
      <c r="I905" s="7">
        <v>0</v>
      </c>
      <c r="J905" s="5">
        <v>45912</v>
      </c>
      <c r="K905" s="1" t="s">
        <v>30</v>
      </c>
      <c r="L905" s="8">
        <v>0</v>
      </c>
      <c r="M905" s="6"/>
      <c r="N905" s="6"/>
      <c r="O905" s="9">
        <v>-46</v>
      </c>
    </row>
    <row r="906" spans="1:15" ht="19.5" customHeight="1">
      <c r="A906" s="1" t="s">
        <v>578</v>
      </c>
      <c r="B906" s="5">
        <v>45925</v>
      </c>
      <c r="C906" s="1" t="s">
        <v>28</v>
      </c>
      <c r="D906" s="1" t="s">
        <v>45</v>
      </c>
      <c r="E906" s="1" t="s">
        <v>25</v>
      </c>
      <c r="F906" s="1" t="s">
        <v>26</v>
      </c>
      <c r="G906" s="1" t="s">
        <v>21</v>
      </c>
      <c r="H906" s="6">
        <v>1</v>
      </c>
      <c r="I906" s="7">
        <v>0</v>
      </c>
      <c r="J906" s="5">
        <v>45918</v>
      </c>
      <c r="K906" s="1" t="s">
        <v>30</v>
      </c>
      <c r="L906" s="8">
        <v>0</v>
      </c>
      <c r="M906" s="6"/>
      <c r="N906" s="6"/>
      <c r="O906" s="9">
        <v>0</v>
      </c>
    </row>
    <row r="907" spans="1:15" ht="19.5" customHeight="1">
      <c r="A907" s="1" t="s">
        <v>578</v>
      </c>
      <c r="B907" s="5">
        <v>45925</v>
      </c>
      <c r="C907" s="1" t="s">
        <v>28</v>
      </c>
      <c r="D907" s="1" t="s">
        <v>46</v>
      </c>
      <c r="E907" s="1" t="s">
        <v>25</v>
      </c>
      <c r="F907" s="1" t="s">
        <v>26</v>
      </c>
      <c r="G907" s="1" t="s">
        <v>21</v>
      </c>
      <c r="H907" s="6">
        <v>1</v>
      </c>
      <c r="I907" s="7">
        <v>0</v>
      </c>
      <c r="J907" s="5">
        <v>45918</v>
      </c>
      <c r="K907" s="1" t="s">
        <v>30</v>
      </c>
      <c r="L907" s="8">
        <v>0</v>
      </c>
      <c r="M907" s="6"/>
      <c r="N907" s="6"/>
      <c r="O907" s="9">
        <v>-46</v>
      </c>
    </row>
    <row r="908" spans="1:15" ht="19.5" customHeight="1">
      <c r="A908" s="1" t="s">
        <v>578</v>
      </c>
      <c r="B908" s="5">
        <v>45925</v>
      </c>
      <c r="C908" s="1" t="s">
        <v>28</v>
      </c>
      <c r="D908" s="1" t="s">
        <v>29</v>
      </c>
      <c r="E908" s="1" t="s">
        <v>25</v>
      </c>
      <c r="F908" s="1" t="s">
        <v>26</v>
      </c>
      <c r="G908" s="1" t="s">
        <v>21</v>
      </c>
      <c r="H908" s="6">
        <v>1</v>
      </c>
      <c r="I908" s="7">
        <v>0</v>
      </c>
      <c r="J908" s="5">
        <v>45918</v>
      </c>
      <c r="K908" s="1" t="s">
        <v>30</v>
      </c>
      <c r="L908" s="8">
        <v>0</v>
      </c>
      <c r="M908" s="6"/>
      <c r="N908" s="6"/>
      <c r="O908" s="9">
        <v>-46</v>
      </c>
    </row>
    <row r="909" spans="1:15" ht="19.5" customHeight="1">
      <c r="A909" s="1" t="s">
        <v>578</v>
      </c>
      <c r="B909" s="5">
        <v>45925</v>
      </c>
      <c r="C909" s="1" t="s">
        <v>17</v>
      </c>
      <c r="D909" s="1" t="s">
        <v>37</v>
      </c>
      <c r="E909" s="1" t="s">
        <v>25</v>
      </c>
      <c r="F909" s="1" t="s">
        <v>26</v>
      </c>
      <c r="G909" s="1" t="s">
        <v>21</v>
      </c>
      <c r="H909" s="6">
        <v>1</v>
      </c>
      <c r="I909" s="7">
        <v>0</v>
      </c>
      <c r="J909" s="5">
        <v>45918</v>
      </c>
      <c r="K909" s="1" t="s">
        <v>30</v>
      </c>
      <c r="L909" s="8">
        <v>0</v>
      </c>
      <c r="M909" s="6"/>
      <c r="N909" s="6"/>
      <c r="O909" s="9">
        <v>-5.64</v>
      </c>
    </row>
    <row r="910" spans="1:15" ht="19.5" customHeight="1">
      <c r="A910" s="1" t="s">
        <v>481</v>
      </c>
      <c r="B910" s="5">
        <v>45925</v>
      </c>
      <c r="C910" s="1" t="s">
        <v>28</v>
      </c>
      <c r="D910" s="1" t="s">
        <v>60</v>
      </c>
      <c r="E910" s="1" t="s">
        <v>224</v>
      </c>
      <c r="F910" s="1" t="s">
        <v>461</v>
      </c>
      <c r="G910" s="1" t="s">
        <v>21</v>
      </c>
      <c r="H910" s="6">
        <v>1</v>
      </c>
      <c r="I910" s="7">
        <v>0</v>
      </c>
      <c r="J910" s="5">
        <v>45911</v>
      </c>
      <c r="K910" s="1" t="s">
        <v>30</v>
      </c>
      <c r="L910" s="8">
        <v>0</v>
      </c>
      <c r="M910" s="6"/>
      <c r="N910" s="6"/>
      <c r="O910" s="9">
        <v>0</v>
      </c>
    </row>
    <row r="911" spans="1:15" ht="19.5" customHeight="1">
      <c r="A911" s="1" t="s">
        <v>481</v>
      </c>
      <c r="B911" s="5">
        <v>45925</v>
      </c>
      <c r="C911" s="1" t="s">
        <v>28</v>
      </c>
      <c r="D911" s="1" t="s">
        <v>46</v>
      </c>
      <c r="E911" s="1" t="s">
        <v>224</v>
      </c>
      <c r="F911" s="1" t="s">
        <v>461</v>
      </c>
      <c r="G911" s="1" t="s">
        <v>21</v>
      </c>
      <c r="H911" s="6">
        <v>1</v>
      </c>
      <c r="I911" s="7">
        <v>0</v>
      </c>
      <c r="J911" s="5">
        <v>45911</v>
      </c>
      <c r="K911" s="1" t="s">
        <v>30</v>
      </c>
      <c r="L911" s="8">
        <v>0</v>
      </c>
      <c r="M911" s="6"/>
      <c r="N911" s="6"/>
      <c r="O911" s="9">
        <v>-46</v>
      </c>
    </row>
    <row r="912" spans="1:15" ht="19.5" customHeight="1">
      <c r="A912" s="1" t="s">
        <v>481</v>
      </c>
      <c r="B912" s="5">
        <v>45925</v>
      </c>
      <c r="C912" s="1" t="s">
        <v>17</v>
      </c>
      <c r="D912" s="1" t="s">
        <v>47</v>
      </c>
      <c r="E912" s="1" t="s">
        <v>224</v>
      </c>
      <c r="F912" s="1" t="s">
        <v>461</v>
      </c>
      <c r="G912" s="1" t="s">
        <v>21</v>
      </c>
      <c r="H912" s="6">
        <v>1</v>
      </c>
      <c r="I912" s="7">
        <v>0</v>
      </c>
      <c r="J912" s="5">
        <v>45911</v>
      </c>
      <c r="K912" s="1" t="s">
        <v>30</v>
      </c>
      <c r="L912" s="8">
        <v>0</v>
      </c>
      <c r="M912" s="6"/>
      <c r="N912" s="6"/>
      <c r="O912" s="9">
        <v>-15</v>
      </c>
    </row>
    <row r="913" spans="1:15" ht="19.5" customHeight="1">
      <c r="A913" s="1" t="s">
        <v>579</v>
      </c>
      <c r="B913" s="5">
        <v>45925</v>
      </c>
      <c r="C913" s="1" t="s">
        <v>28</v>
      </c>
      <c r="D913" s="1" t="s">
        <v>29</v>
      </c>
      <c r="E913" s="1" t="s">
        <v>39</v>
      </c>
      <c r="F913" s="1" t="s">
        <v>40</v>
      </c>
      <c r="G913" s="1" t="s">
        <v>41</v>
      </c>
      <c r="H913" s="6">
        <v>1</v>
      </c>
      <c r="I913" s="7">
        <v>0</v>
      </c>
      <c r="J913" s="5">
        <v>45919</v>
      </c>
      <c r="K913" s="1" t="s">
        <v>30</v>
      </c>
      <c r="L913" s="8">
        <v>0</v>
      </c>
      <c r="M913" s="6"/>
      <c r="N913" s="6"/>
      <c r="O913" s="9">
        <v>-56</v>
      </c>
    </row>
    <row r="914" spans="1:15" ht="19.5" customHeight="1">
      <c r="A914" s="1" t="s">
        <v>579</v>
      </c>
      <c r="B914" s="5">
        <v>45925</v>
      </c>
      <c r="C914" s="1" t="s">
        <v>17</v>
      </c>
      <c r="D914" s="1" t="s">
        <v>37</v>
      </c>
      <c r="E914" s="1" t="s">
        <v>39</v>
      </c>
      <c r="F914" s="1" t="s">
        <v>40</v>
      </c>
      <c r="G914" s="1" t="s">
        <v>41</v>
      </c>
      <c r="H914" s="6">
        <v>1</v>
      </c>
      <c r="I914" s="7">
        <v>0</v>
      </c>
      <c r="J914" s="5">
        <v>45919</v>
      </c>
      <c r="K914" s="1" t="s">
        <v>30</v>
      </c>
      <c r="L914" s="8">
        <v>0</v>
      </c>
      <c r="M914" s="6"/>
      <c r="N914" s="6"/>
      <c r="O914" s="9">
        <v>-12.04</v>
      </c>
    </row>
    <row r="915" spans="1:15" ht="19.5" customHeight="1">
      <c r="A915" s="1" t="s">
        <v>579</v>
      </c>
      <c r="B915" s="5">
        <v>45925</v>
      </c>
      <c r="C915" s="1" t="s">
        <v>28</v>
      </c>
      <c r="D915" s="1" t="s">
        <v>45</v>
      </c>
      <c r="E915" s="1" t="s">
        <v>39</v>
      </c>
      <c r="F915" s="1" t="s">
        <v>40</v>
      </c>
      <c r="G915" s="1" t="s">
        <v>41</v>
      </c>
      <c r="H915" s="6">
        <v>1</v>
      </c>
      <c r="I915" s="7">
        <v>0</v>
      </c>
      <c r="J915" s="5">
        <v>45919</v>
      </c>
      <c r="K915" s="1" t="s">
        <v>30</v>
      </c>
      <c r="L915" s="8">
        <v>0</v>
      </c>
      <c r="M915" s="6"/>
      <c r="N915" s="6"/>
      <c r="O915" s="9">
        <v>0</v>
      </c>
    </row>
    <row r="916" spans="1:15" ht="19.5" customHeight="1">
      <c r="A916" s="1" t="s">
        <v>579</v>
      </c>
      <c r="B916" s="5">
        <v>45925</v>
      </c>
      <c r="C916" s="1" t="s">
        <v>28</v>
      </c>
      <c r="D916" s="1" t="s">
        <v>46</v>
      </c>
      <c r="E916" s="1" t="s">
        <v>39</v>
      </c>
      <c r="F916" s="1" t="s">
        <v>40</v>
      </c>
      <c r="G916" s="1" t="s">
        <v>41</v>
      </c>
      <c r="H916" s="6">
        <v>1</v>
      </c>
      <c r="I916" s="7">
        <v>0</v>
      </c>
      <c r="J916" s="5">
        <v>45919</v>
      </c>
      <c r="K916" s="1" t="s">
        <v>30</v>
      </c>
      <c r="L916" s="8">
        <v>0</v>
      </c>
      <c r="M916" s="6"/>
      <c r="N916" s="6"/>
      <c r="O916" s="9">
        <v>-56</v>
      </c>
    </row>
    <row r="917" spans="1:15" ht="19.5" customHeight="1">
      <c r="A917" s="1" t="s">
        <v>579</v>
      </c>
      <c r="B917" s="5">
        <v>45925</v>
      </c>
      <c r="C917" s="1" t="s">
        <v>17</v>
      </c>
      <c r="D917" s="1" t="s">
        <v>47</v>
      </c>
      <c r="E917" s="1" t="s">
        <v>39</v>
      </c>
      <c r="F917" s="1" t="s">
        <v>40</v>
      </c>
      <c r="G917" s="1" t="s">
        <v>41</v>
      </c>
      <c r="H917" s="6">
        <v>1</v>
      </c>
      <c r="I917" s="7">
        <v>0</v>
      </c>
      <c r="J917" s="5">
        <v>45919</v>
      </c>
      <c r="K917" s="1" t="s">
        <v>30</v>
      </c>
      <c r="L917" s="8">
        <v>0</v>
      </c>
      <c r="M917" s="6"/>
      <c r="N917" s="6"/>
      <c r="O917" s="9">
        <v>-15</v>
      </c>
    </row>
    <row r="918" spans="1:15" ht="19.5" customHeight="1">
      <c r="A918" s="1" t="s">
        <v>580</v>
      </c>
      <c r="B918" s="5">
        <v>45925</v>
      </c>
      <c r="C918" s="1" t="s">
        <v>28</v>
      </c>
      <c r="D918" s="1" t="s">
        <v>29</v>
      </c>
      <c r="E918" s="1" t="s">
        <v>171</v>
      </c>
      <c r="F918" s="1" t="s">
        <v>172</v>
      </c>
      <c r="G918" s="1" t="s">
        <v>41</v>
      </c>
      <c r="H918" s="6">
        <v>1</v>
      </c>
      <c r="I918" s="7">
        <v>0</v>
      </c>
      <c r="J918" s="5">
        <v>45919</v>
      </c>
      <c r="K918" s="1" t="s">
        <v>30</v>
      </c>
      <c r="L918" s="8">
        <v>0</v>
      </c>
      <c r="M918" s="6"/>
      <c r="N918" s="6"/>
      <c r="O918" s="9">
        <v>-56</v>
      </c>
    </row>
    <row r="919" spans="1:15" ht="19.5" customHeight="1">
      <c r="A919" s="1" t="s">
        <v>580</v>
      </c>
      <c r="B919" s="5">
        <v>45925</v>
      </c>
      <c r="C919" s="1" t="s">
        <v>17</v>
      </c>
      <c r="D919" s="1" t="s">
        <v>37</v>
      </c>
      <c r="E919" s="1" t="s">
        <v>171</v>
      </c>
      <c r="F919" s="1" t="s">
        <v>172</v>
      </c>
      <c r="G919" s="1" t="s">
        <v>41</v>
      </c>
      <c r="H919" s="6">
        <v>1</v>
      </c>
      <c r="I919" s="7">
        <v>0</v>
      </c>
      <c r="J919" s="5">
        <v>45919</v>
      </c>
      <c r="K919" s="1" t="s">
        <v>30</v>
      </c>
      <c r="L919" s="8">
        <v>0</v>
      </c>
      <c r="M919" s="6"/>
      <c r="N919" s="6"/>
      <c r="O919" s="9">
        <v>-12.04</v>
      </c>
    </row>
    <row r="920" spans="1:15" ht="19.5" customHeight="1">
      <c r="A920" s="1" t="s">
        <v>580</v>
      </c>
      <c r="B920" s="5">
        <v>45925</v>
      </c>
      <c r="C920" s="1" t="s">
        <v>28</v>
      </c>
      <c r="D920" s="1" t="s">
        <v>45</v>
      </c>
      <c r="E920" s="1" t="s">
        <v>171</v>
      </c>
      <c r="F920" s="1" t="s">
        <v>172</v>
      </c>
      <c r="G920" s="1" t="s">
        <v>41</v>
      </c>
      <c r="H920" s="6">
        <v>1</v>
      </c>
      <c r="I920" s="7">
        <v>0</v>
      </c>
      <c r="J920" s="5">
        <v>45919</v>
      </c>
      <c r="K920" s="1" t="s">
        <v>30</v>
      </c>
      <c r="L920" s="8">
        <v>0</v>
      </c>
      <c r="M920" s="6"/>
      <c r="N920" s="6"/>
      <c r="O920" s="9">
        <v>0</v>
      </c>
    </row>
    <row r="921" spans="1:15" ht="19.5" customHeight="1">
      <c r="A921" s="1" t="s">
        <v>580</v>
      </c>
      <c r="B921" s="5">
        <v>45925</v>
      </c>
      <c r="C921" s="1" t="s">
        <v>28</v>
      </c>
      <c r="D921" s="1" t="s">
        <v>46</v>
      </c>
      <c r="E921" s="1" t="s">
        <v>171</v>
      </c>
      <c r="F921" s="1" t="s">
        <v>172</v>
      </c>
      <c r="G921" s="1" t="s">
        <v>41</v>
      </c>
      <c r="H921" s="6">
        <v>1</v>
      </c>
      <c r="I921" s="7">
        <v>0</v>
      </c>
      <c r="J921" s="5">
        <v>45919</v>
      </c>
      <c r="K921" s="1" t="s">
        <v>30</v>
      </c>
      <c r="L921" s="8">
        <v>0</v>
      </c>
      <c r="M921" s="6"/>
      <c r="N921" s="6"/>
      <c r="O921" s="9">
        <v>-56</v>
      </c>
    </row>
    <row r="922" spans="1:15" ht="19.5" customHeight="1">
      <c r="A922" s="1" t="s">
        <v>580</v>
      </c>
      <c r="B922" s="5">
        <v>45925</v>
      </c>
      <c r="C922" s="1" t="s">
        <v>17</v>
      </c>
      <c r="D922" s="1" t="s">
        <v>47</v>
      </c>
      <c r="E922" s="1" t="s">
        <v>171</v>
      </c>
      <c r="F922" s="1" t="s">
        <v>172</v>
      </c>
      <c r="G922" s="1" t="s">
        <v>41</v>
      </c>
      <c r="H922" s="6">
        <v>1</v>
      </c>
      <c r="I922" s="7">
        <v>0</v>
      </c>
      <c r="J922" s="5">
        <v>45919</v>
      </c>
      <c r="K922" s="1" t="s">
        <v>30</v>
      </c>
      <c r="L922" s="8">
        <v>0</v>
      </c>
      <c r="M922" s="6"/>
      <c r="N922" s="6"/>
      <c r="O922" s="9">
        <v>-15</v>
      </c>
    </row>
    <row r="923" spans="1:15" ht="19.5" customHeight="1">
      <c r="A923" s="1" t="s">
        <v>543</v>
      </c>
      <c r="B923" s="5">
        <v>45925</v>
      </c>
      <c r="C923" s="1" t="s">
        <v>261</v>
      </c>
      <c r="D923" s="1" t="s">
        <v>581</v>
      </c>
      <c r="E923" s="1" t="s">
        <v>22</v>
      </c>
      <c r="F923" s="1" t="s">
        <v>22</v>
      </c>
      <c r="G923" s="1" t="s">
        <v>22</v>
      </c>
      <c r="H923" s="6">
        <v>0</v>
      </c>
      <c r="I923" s="7">
        <v>0</v>
      </c>
      <c r="J923" s="5">
        <v>45925</v>
      </c>
      <c r="K923" s="1" t="s">
        <v>22</v>
      </c>
      <c r="L923" s="8">
        <v>0</v>
      </c>
      <c r="M923" s="6"/>
      <c r="N923" s="6"/>
      <c r="O923" s="9">
        <v>-2292</v>
      </c>
    </row>
    <row r="924" spans="1:15" ht="19.5" customHeight="1">
      <c r="A924" s="1" t="s">
        <v>582</v>
      </c>
      <c r="B924" s="5">
        <v>45925</v>
      </c>
      <c r="C924" s="1" t="s">
        <v>17</v>
      </c>
      <c r="D924" s="1" t="s">
        <v>18</v>
      </c>
      <c r="E924" s="1" t="s">
        <v>25</v>
      </c>
      <c r="F924" s="1" t="s">
        <v>26</v>
      </c>
      <c r="G924" s="1" t="s">
        <v>21</v>
      </c>
      <c r="H924" s="6">
        <v>1</v>
      </c>
      <c r="I924" s="7">
        <v>0</v>
      </c>
      <c r="J924" s="5">
        <v>45925</v>
      </c>
      <c r="K924" s="1" t="s">
        <v>22</v>
      </c>
      <c r="L924" s="8">
        <v>0</v>
      </c>
      <c r="M924" s="6"/>
      <c r="N924" s="6"/>
      <c r="O924" s="9">
        <v>-14.43</v>
      </c>
    </row>
    <row r="925" spans="1:15" ht="19.5" customHeight="1">
      <c r="A925" s="1" t="s">
        <v>583</v>
      </c>
      <c r="B925" s="5">
        <v>45925</v>
      </c>
      <c r="C925" s="1" t="s">
        <v>28</v>
      </c>
      <c r="D925" s="1" t="s">
        <v>29</v>
      </c>
      <c r="E925" s="1" t="s">
        <v>54</v>
      </c>
      <c r="F925" s="1" t="s">
        <v>55</v>
      </c>
      <c r="G925" s="1" t="s">
        <v>21</v>
      </c>
      <c r="H925" s="6">
        <v>1</v>
      </c>
      <c r="I925" s="7">
        <v>1344</v>
      </c>
      <c r="J925" s="5">
        <v>45923</v>
      </c>
      <c r="K925" s="1" t="s">
        <v>30</v>
      </c>
      <c r="L925" s="8">
        <v>0.2</v>
      </c>
      <c r="M925" s="6"/>
      <c r="N925" s="6"/>
      <c r="O925" s="9">
        <v>-46</v>
      </c>
    </row>
    <row r="926" spans="1:15" ht="19.5" customHeight="1">
      <c r="A926" s="1" t="s">
        <v>583</v>
      </c>
      <c r="B926" s="5">
        <v>45925</v>
      </c>
      <c r="C926" s="1" t="s">
        <v>31</v>
      </c>
      <c r="D926" s="1" t="s">
        <v>32</v>
      </c>
      <c r="E926" s="1" t="s">
        <v>54</v>
      </c>
      <c r="F926" s="1" t="s">
        <v>55</v>
      </c>
      <c r="G926" s="1" t="s">
        <v>21</v>
      </c>
      <c r="H926" s="6">
        <v>1</v>
      </c>
      <c r="I926" s="7">
        <v>1344</v>
      </c>
      <c r="J926" s="5">
        <v>45923</v>
      </c>
      <c r="K926" s="1" t="s">
        <v>30</v>
      </c>
      <c r="L926" s="8">
        <v>0</v>
      </c>
      <c r="M926" s="6"/>
      <c r="N926" s="6"/>
      <c r="O926" s="9">
        <v>693.63</v>
      </c>
    </row>
    <row r="927" spans="1:15" ht="19.5" customHeight="1">
      <c r="A927" s="1" t="s">
        <v>583</v>
      </c>
      <c r="B927" s="5">
        <v>45925</v>
      </c>
      <c r="C927" s="1" t="s">
        <v>31</v>
      </c>
      <c r="D927" s="1" t="s">
        <v>33</v>
      </c>
      <c r="E927" s="1" t="s">
        <v>54</v>
      </c>
      <c r="F927" s="1" t="s">
        <v>55</v>
      </c>
      <c r="G927" s="1" t="s">
        <v>21</v>
      </c>
      <c r="H927" s="6">
        <v>1</v>
      </c>
      <c r="I927" s="7">
        <v>1344</v>
      </c>
      <c r="J927" s="5">
        <v>45923</v>
      </c>
      <c r="K927" s="1" t="s">
        <v>30</v>
      </c>
      <c r="L927" s="8">
        <v>0</v>
      </c>
      <c r="M927" s="6"/>
      <c r="N927" s="6"/>
      <c r="O927" s="9">
        <v>5.0999999999999996</v>
      </c>
    </row>
    <row r="928" spans="1:15" ht="19.5" customHeight="1">
      <c r="A928" s="1" t="s">
        <v>583</v>
      </c>
      <c r="B928" s="5">
        <v>45925</v>
      </c>
      <c r="C928" s="1" t="s">
        <v>31</v>
      </c>
      <c r="D928" s="1" t="s">
        <v>34</v>
      </c>
      <c r="E928" s="1" t="s">
        <v>54</v>
      </c>
      <c r="F928" s="1" t="s">
        <v>55</v>
      </c>
      <c r="G928" s="1" t="s">
        <v>21</v>
      </c>
      <c r="H928" s="6">
        <v>1</v>
      </c>
      <c r="I928" s="7">
        <v>1344</v>
      </c>
      <c r="J928" s="5">
        <v>45923</v>
      </c>
      <c r="K928" s="1" t="s">
        <v>30</v>
      </c>
      <c r="L928" s="8">
        <v>0</v>
      </c>
      <c r="M928" s="6"/>
      <c r="N928" s="6"/>
      <c r="O928" s="9">
        <v>645.27</v>
      </c>
    </row>
    <row r="929" spans="1:15" ht="19.5" customHeight="1">
      <c r="A929" s="1" t="s">
        <v>583</v>
      </c>
      <c r="B929" s="5">
        <v>45925</v>
      </c>
      <c r="C929" s="1" t="s">
        <v>35</v>
      </c>
      <c r="D929" s="1" t="s">
        <v>36</v>
      </c>
      <c r="E929" s="1" t="s">
        <v>54</v>
      </c>
      <c r="F929" s="1" t="s">
        <v>55</v>
      </c>
      <c r="G929" s="1" t="s">
        <v>21</v>
      </c>
      <c r="H929" s="6">
        <v>1</v>
      </c>
      <c r="I929" s="7">
        <v>1344</v>
      </c>
      <c r="J929" s="5">
        <v>45923</v>
      </c>
      <c r="K929" s="1" t="s">
        <v>30</v>
      </c>
      <c r="L929" s="8">
        <v>0.2</v>
      </c>
      <c r="M929" s="6"/>
      <c r="N929" s="6"/>
      <c r="O929" s="9">
        <v>-268.8</v>
      </c>
    </row>
    <row r="930" spans="1:15" ht="19.5" customHeight="1">
      <c r="A930" s="1" t="s">
        <v>583</v>
      </c>
      <c r="B930" s="5">
        <v>45925</v>
      </c>
      <c r="C930" s="1" t="s">
        <v>17</v>
      </c>
      <c r="D930" s="1" t="s">
        <v>37</v>
      </c>
      <c r="E930" s="1" t="s">
        <v>54</v>
      </c>
      <c r="F930" s="1" t="s">
        <v>55</v>
      </c>
      <c r="G930" s="1" t="s">
        <v>21</v>
      </c>
      <c r="H930" s="6">
        <v>1</v>
      </c>
      <c r="I930" s="7">
        <v>1344</v>
      </c>
      <c r="J930" s="5">
        <v>45923</v>
      </c>
      <c r="K930" s="1" t="s">
        <v>30</v>
      </c>
      <c r="L930" s="8">
        <v>0.2</v>
      </c>
      <c r="M930" s="6"/>
      <c r="N930" s="6"/>
      <c r="O930" s="9">
        <v>-14.03</v>
      </c>
    </row>
    <row r="931" spans="1:15" ht="19.5" customHeight="1">
      <c r="A931" s="1" t="s">
        <v>583</v>
      </c>
      <c r="B931" s="5">
        <v>45925</v>
      </c>
      <c r="C931" s="1" t="s">
        <v>17</v>
      </c>
      <c r="D931" s="1" t="s">
        <v>18</v>
      </c>
      <c r="E931" s="1" t="s">
        <v>54</v>
      </c>
      <c r="F931" s="1" t="s">
        <v>55</v>
      </c>
      <c r="G931" s="1" t="s">
        <v>21</v>
      </c>
      <c r="H931" s="6">
        <v>1</v>
      </c>
      <c r="I931" s="7">
        <v>0</v>
      </c>
      <c r="J931" s="5">
        <v>45923</v>
      </c>
      <c r="K931" s="1" t="s">
        <v>22</v>
      </c>
      <c r="L931" s="8">
        <v>0</v>
      </c>
      <c r="M931" s="6"/>
      <c r="N931" s="6"/>
      <c r="O931" s="9">
        <v>-13.18</v>
      </c>
    </row>
    <row r="932" spans="1:15" ht="19.5" customHeight="1">
      <c r="A932" s="1" t="s">
        <v>584</v>
      </c>
      <c r="B932" s="5">
        <v>45925</v>
      </c>
      <c r="C932" s="1" t="s">
        <v>28</v>
      </c>
      <c r="D932" s="1" t="s">
        <v>29</v>
      </c>
      <c r="E932" s="1" t="s">
        <v>25</v>
      </c>
      <c r="F932" s="1" t="s">
        <v>26</v>
      </c>
      <c r="G932" s="1" t="s">
        <v>21</v>
      </c>
      <c r="H932" s="6">
        <v>1</v>
      </c>
      <c r="I932" s="7">
        <v>1176</v>
      </c>
      <c r="J932" s="5">
        <v>45923</v>
      </c>
      <c r="K932" s="1" t="s">
        <v>30</v>
      </c>
      <c r="L932" s="8">
        <v>0.2</v>
      </c>
      <c r="M932" s="6"/>
      <c r="N932" s="6"/>
      <c r="O932" s="9">
        <v>-46</v>
      </c>
    </row>
    <row r="933" spans="1:15" ht="19.5" customHeight="1">
      <c r="A933" s="1" t="s">
        <v>584</v>
      </c>
      <c r="B933" s="5">
        <v>45925</v>
      </c>
      <c r="C933" s="1" t="s">
        <v>31</v>
      </c>
      <c r="D933" s="1" t="s">
        <v>32</v>
      </c>
      <c r="E933" s="1" t="s">
        <v>25</v>
      </c>
      <c r="F933" s="1" t="s">
        <v>26</v>
      </c>
      <c r="G933" s="1" t="s">
        <v>21</v>
      </c>
      <c r="H933" s="6">
        <v>1</v>
      </c>
      <c r="I933" s="7">
        <v>1176</v>
      </c>
      <c r="J933" s="5">
        <v>45923</v>
      </c>
      <c r="K933" s="1" t="s">
        <v>30</v>
      </c>
      <c r="L933" s="8">
        <v>0</v>
      </c>
      <c r="M933" s="6"/>
      <c r="N933" s="6"/>
      <c r="O933" s="9">
        <v>563.80999999999995</v>
      </c>
    </row>
    <row r="934" spans="1:15" ht="19.5" customHeight="1">
      <c r="A934" s="1" t="s">
        <v>584</v>
      </c>
      <c r="B934" s="5">
        <v>45925</v>
      </c>
      <c r="C934" s="1" t="s">
        <v>31</v>
      </c>
      <c r="D934" s="1" t="s">
        <v>33</v>
      </c>
      <c r="E934" s="1" t="s">
        <v>25</v>
      </c>
      <c r="F934" s="1" t="s">
        <v>26</v>
      </c>
      <c r="G934" s="1" t="s">
        <v>21</v>
      </c>
      <c r="H934" s="6">
        <v>1</v>
      </c>
      <c r="I934" s="7">
        <v>1176</v>
      </c>
      <c r="J934" s="5">
        <v>45923</v>
      </c>
      <c r="K934" s="1" t="s">
        <v>30</v>
      </c>
      <c r="L934" s="8">
        <v>0</v>
      </c>
      <c r="M934" s="6"/>
      <c r="N934" s="6"/>
      <c r="O934" s="9">
        <v>4.1399999999999997</v>
      </c>
    </row>
    <row r="935" spans="1:15" ht="19.5" customHeight="1">
      <c r="A935" s="1" t="s">
        <v>584</v>
      </c>
      <c r="B935" s="5">
        <v>45925</v>
      </c>
      <c r="C935" s="1" t="s">
        <v>31</v>
      </c>
      <c r="D935" s="1" t="s">
        <v>34</v>
      </c>
      <c r="E935" s="1" t="s">
        <v>25</v>
      </c>
      <c r="F935" s="1" t="s">
        <v>26</v>
      </c>
      <c r="G935" s="1" t="s">
        <v>21</v>
      </c>
      <c r="H935" s="6">
        <v>1</v>
      </c>
      <c r="I935" s="7">
        <v>1176</v>
      </c>
      <c r="J935" s="5">
        <v>45923</v>
      </c>
      <c r="K935" s="1" t="s">
        <v>30</v>
      </c>
      <c r="L935" s="8">
        <v>0</v>
      </c>
      <c r="M935" s="6"/>
      <c r="N935" s="6"/>
      <c r="O935" s="9">
        <v>608.04999999999995</v>
      </c>
    </row>
    <row r="936" spans="1:15" ht="19.5" customHeight="1">
      <c r="A936" s="1" t="s">
        <v>584</v>
      </c>
      <c r="B936" s="5">
        <v>45925</v>
      </c>
      <c r="C936" s="1" t="s">
        <v>35</v>
      </c>
      <c r="D936" s="1" t="s">
        <v>36</v>
      </c>
      <c r="E936" s="1" t="s">
        <v>25</v>
      </c>
      <c r="F936" s="1" t="s">
        <v>26</v>
      </c>
      <c r="G936" s="1" t="s">
        <v>21</v>
      </c>
      <c r="H936" s="6">
        <v>1</v>
      </c>
      <c r="I936" s="7">
        <v>1176</v>
      </c>
      <c r="J936" s="5">
        <v>45923</v>
      </c>
      <c r="K936" s="1" t="s">
        <v>30</v>
      </c>
      <c r="L936" s="8">
        <v>0.2</v>
      </c>
      <c r="M936" s="6"/>
      <c r="N936" s="6"/>
      <c r="O936" s="9">
        <v>-235.2</v>
      </c>
    </row>
    <row r="937" spans="1:15" ht="19.5" customHeight="1">
      <c r="A937" s="1" t="s">
        <v>585</v>
      </c>
      <c r="B937" s="5">
        <v>45925</v>
      </c>
      <c r="C937" s="1" t="s">
        <v>17</v>
      </c>
      <c r="D937" s="1" t="s">
        <v>18</v>
      </c>
      <c r="E937" s="1" t="s">
        <v>25</v>
      </c>
      <c r="F937" s="1" t="s">
        <v>26</v>
      </c>
      <c r="G937" s="1" t="s">
        <v>21</v>
      </c>
      <c r="H937" s="6">
        <v>1</v>
      </c>
      <c r="I937" s="7">
        <v>0</v>
      </c>
      <c r="J937" s="5">
        <v>45925</v>
      </c>
      <c r="K937" s="1" t="s">
        <v>22</v>
      </c>
      <c r="L937" s="8">
        <v>0</v>
      </c>
      <c r="M937" s="6"/>
      <c r="N937" s="6"/>
      <c r="O937" s="9">
        <v>-14.48</v>
      </c>
    </row>
    <row r="938" spans="1:15" ht="19.5" customHeight="1">
      <c r="A938" s="1" t="s">
        <v>586</v>
      </c>
      <c r="B938" s="5">
        <v>45925</v>
      </c>
      <c r="C938" s="1" t="s">
        <v>28</v>
      </c>
      <c r="D938" s="1" t="s">
        <v>29</v>
      </c>
      <c r="E938" s="1" t="s">
        <v>25</v>
      </c>
      <c r="F938" s="1" t="s">
        <v>26</v>
      </c>
      <c r="G938" s="1" t="s">
        <v>21</v>
      </c>
      <c r="H938" s="6">
        <v>1</v>
      </c>
      <c r="I938" s="7">
        <v>1176</v>
      </c>
      <c r="J938" s="5">
        <v>45923</v>
      </c>
      <c r="K938" s="1" t="s">
        <v>30</v>
      </c>
      <c r="L938" s="8">
        <v>0.2</v>
      </c>
      <c r="M938" s="6"/>
      <c r="N938" s="6"/>
      <c r="O938" s="9">
        <v>-46</v>
      </c>
    </row>
    <row r="939" spans="1:15" ht="19.5" customHeight="1">
      <c r="A939" s="1" t="s">
        <v>586</v>
      </c>
      <c r="B939" s="5">
        <v>45925</v>
      </c>
      <c r="C939" s="1" t="s">
        <v>31</v>
      </c>
      <c r="D939" s="1" t="s">
        <v>32</v>
      </c>
      <c r="E939" s="1" t="s">
        <v>25</v>
      </c>
      <c r="F939" s="1" t="s">
        <v>26</v>
      </c>
      <c r="G939" s="1" t="s">
        <v>21</v>
      </c>
      <c r="H939" s="6">
        <v>1</v>
      </c>
      <c r="I939" s="7">
        <v>1176</v>
      </c>
      <c r="J939" s="5">
        <v>45923</v>
      </c>
      <c r="K939" s="1" t="s">
        <v>30</v>
      </c>
      <c r="L939" s="8">
        <v>0</v>
      </c>
      <c r="M939" s="6"/>
      <c r="N939" s="6"/>
      <c r="O939" s="9">
        <v>588.57000000000005</v>
      </c>
    </row>
    <row r="940" spans="1:15" ht="19.5" customHeight="1">
      <c r="A940" s="1" t="s">
        <v>586</v>
      </c>
      <c r="B940" s="5">
        <v>45925</v>
      </c>
      <c r="C940" s="1" t="s">
        <v>31</v>
      </c>
      <c r="D940" s="1" t="s">
        <v>33</v>
      </c>
      <c r="E940" s="1" t="s">
        <v>25</v>
      </c>
      <c r="F940" s="1" t="s">
        <v>26</v>
      </c>
      <c r="G940" s="1" t="s">
        <v>21</v>
      </c>
      <c r="H940" s="6">
        <v>1</v>
      </c>
      <c r="I940" s="7">
        <v>1176</v>
      </c>
      <c r="J940" s="5">
        <v>45923</v>
      </c>
      <c r="K940" s="1" t="s">
        <v>30</v>
      </c>
      <c r="L940" s="8">
        <v>0</v>
      </c>
      <c r="M940" s="6"/>
      <c r="N940" s="6"/>
      <c r="O940" s="9">
        <v>4.33</v>
      </c>
    </row>
    <row r="941" spans="1:15" ht="19.5" customHeight="1">
      <c r="A941" s="1" t="s">
        <v>586</v>
      </c>
      <c r="B941" s="5">
        <v>45925</v>
      </c>
      <c r="C941" s="1" t="s">
        <v>31</v>
      </c>
      <c r="D941" s="1" t="s">
        <v>34</v>
      </c>
      <c r="E941" s="1" t="s">
        <v>25</v>
      </c>
      <c r="F941" s="1" t="s">
        <v>26</v>
      </c>
      <c r="G941" s="1" t="s">
        <v>21</v>
      </c>
      <c r="H941" s="6">
        <v>1</v>
      </c>
      <c r="I941" s="7">
        <v>1176</v>
      </c>
      <c r="J941" s="5">
        <v>45923</v>
      </c>
      <c r="K941" s="1" t="s">
        <v>30</v>
      </c>
      <c r="L941" s="8">
        <v>0</v>
      </c>
      <c r="M941" s="6"/>
      <c r="N941" s="6"/>
      <c r="O941" s="9">
        <v>583.1</v>
      </c>
    </row>
    <row r="942" spans="1:15" ht="19.5" customHeight="1">
      <c r="A942" s="1" t="s">
        <v>586</v>
      </c>
      <c r="B942" s="5">
        <v>45925</v>
      </c>
      <c r="C942" s="1" t="s">
        <v>35</v>
      </c>
      <c r="D942" s="1" t="s">
        <v>36</v>
      </c>
      <c r="E942" s="1" t="s">
        <v>25</v>
      </c>
      <c r="F942" s="1" t="s">
        <v>26</v>
      </c>
      <c r="G942" s="1" t="s">
        <v>21</v>
      </c>
      <c r="H942" s="6">
        <v>1</v>
      </c>
      <c r="I942" s="7">
        <v>1176</v>
      </c>
      <c r="J942" s="5">
        <v>45923</v>
      </c>
      <c r="K942" s="1" t="s">
        <v>30</v>
      </c>
      <c r="L942" s="8">
        <v>0.2</v>
      </c>
      <c r="M942" s="6"/>
      <c r="N942" s="6"/>
      <c r="O942" s="9">
        <v>-235.2</v>
      </c>
    </row>
    <row r="943" spans="1:15" ht="19.5" customHeight="1">
      <c r="A943" s="1" t="s">
        <v>586</v>
      </c>
      <c r="B943" s="5">
        <v>45925</v>
      </c>
      <c r="C943" s="1" t="s">
        <v>17</v>
      </c>
      <c r="D943" s="1" t="s">
        <v>37</v>
      </c>
      <c r="E943" s="1" t="s">
        <v>25</v>
      </c>
      <c r="F943" s="1" t="s">
        <v>26</v>
      </c>
      <c r="G943" s="1" t="s">
        <v>21</v>
      </c>
      <c r="H943" s="6">
        <v>1</v>
      </c>
      <c r="I943" s="7">
        <v>1176</v>
      </c>
      <c r="J943" s="5">
        <v>45923</v>
      </c>
      <c r="K943" s="1" t="s">
        <v>30</v>
      </c>
      <c r="L943" s="8">
        <v>0.2</v>
      </c>
      <c r="M943" s="6"/>
      <c r="N943" s="6"/>
      <c r="O943" s="9">
        <v>-5.45</v>
      </c>
    </row>
    <row r="944" spans="1:15" ht="19.5" customHeight="1">
      <c r="A944" s="1" t="s">
        <v>587</v>
      </c>
      <c r="B944" s="5">
        <v>45925</v>
      </c>
      <c r="C944" s="1" t="s">
        <v>17</v>
      </c>
      <c r="D944" s="1" t="s">
        <v>18</v>
      </c>
      <c r="E944" s="1" t="s">
        <v>25</v>
      </c>
      <c r="F944" s="1" t="s">
        <v>26</v>
      </c>
      <c r="G944" s="1" t="s">
        <v>21</v>
      </c>
      <c r="H944" s="6">
        <v>1</v>
      </c>
      <c r="I944" s="7">
        <v>0</v>
      </c>
      <c r="J944" s="5">
        <v>45925</v>
      </c>
      <c r="K944" s="1" t="s">
        <v>22</v>
      </c>
      <c r="L944" s="8">
        <v>0</v>
      </c>
      <c r="M944" s="6"/>
      <c r="N944" s="6"/>
      <c r="O944" s="9">
        <v>-14.41</v>
      </c>
    </row>
    <row r="945" spans="1:15" ht="19.5" customHeight="1">
      <c r="A945" s="1" t="s">
        <v>586</v>
      </c>
      <c r="B945" s="5">
        <v>45925</v>
      </c>
      <c r="C945" s="1" t="s">
        <v>17</v>
      </c>
      <c r="D945" s="1" t="s">
        <v>18</v>
      </c>
      <c r="E945" s="1" t="s">
        <v>25</v>
      </c>
      <c r="F945" s="1" t="s">
        <v>26</v>
      </c>
      <c r="G945" s="1" t="s">
        <v>21</v>
      </c>
      <c r="H945" s="6">
        <v>1</v>
      </c>
      <c r="I945" s="7">
        <v>0</v>
      </c>
      <c r="J945" s="5">
        <v>45923</v>
      </c>
      <c r="K945" s="1" t="s">
        <v>22</v>
      </c>
      <c r="L945" s="8">
        <v>0</v>
      </c>
      <c r="M945" s="6"/>
      <c r="N945" s="6"/>
      <c r="O945" s="9">
        <v>-11.18</v>
      </c>
    </row>
    <row r="946" spans="1:15" ht="19.5" customHeight="1">
      <c r="A946" s="1" t="s">
        <v>588</v>
      </c>
      <c r="B946" s="5">
        <v>45925</v>
      </c>
      <c r="C946" s="1" t="s">
        <v>28</v>
      </c>
      <c r="D946" s="1" t="s">
        <v>29</v>
      </c>
      <c r="E946" s="1" t="s">
        <v>25</v>
      </c>
      <c r="F946" s="1" t="s">
        <v>26</v>
      </c>
      <c r="G946" s="1" t="s">
        <v>21</v>
      </c>
      <c r="H946" s="6">
        <v>1</v>
      </c>
      <c r="I946" s="7">
        <v>1176</v>
      </c>
      <c r="J946" s="5">
        <v>45922</v>
      </c>
      <c r="K946" s="1" t="s">
        <v>30</v>
      </c>
      <c r="L946" s="8">
        <v>0.2</v>
      </c>
      <c r="M946" s="6"/>
      <c r="N946" s="6"/>
      <c r="O946" s="9">
        <v>-46</v>
      </c>
    </row>
    <row r="947" spans="1:15" ht="19.5" customHeight="1">
      <c r="A947" s="1" t="s">
        <v>588</v>
      </c>
      <c r="B947" s="5">
        <v>45925</v>
      </c>
      <c r="C947" s="1" t="s">
        <v>31</v>
      </c>
      <c r="D947" s="1" t="s">
        <v>32</v>
      </c>
      <c r="E947" s="1" t="s">
        <v>25</v>
      </c>
      <c r="F947" s="1" t="s">
        <v>26</v>
      </c>
      <c r="G947" s="1" t="s">
        <v>21</v>
      </c>
      <c r="H947" s="6">
        <v>1</v>
      </c>
      <c r="I947" s="7">
        <v>1176</v>
      </c>
      <c r="J947" s="5">
        <v>45922</v>
      </c>
      <c r="K947" s="1" t="s">
        <v>30</v>
      </c>
      <c r="L947" s="8">
        <v>0</v>
      </c>
      <c r="M947" s="6"/>
      <c r="N947" s="6"/>
      <c r="O947" s="9">
        <v>563.80999999999995</v>
      </c>
    </row>
    <row r="948" spans="1:15" ht="19.5" customHeight="1">
      <c r="A948" s="1" t="s">
        <v>588</v>
      </c>
      <c r="B948" s="5">
        <v>45925</v>
      </c>
      <c r="C948" s="1" t="s">
        <v>31</v>
      </c>
      <c r="D948" s="1" t="s">
        <v>33</v>
      </c>
      <c r="E948" s="1" t="s">
        <v>25</v>
      </c>
      <c r="F948" s="1" t="s">
        <v>26</v>
      </c>
      <c r="G948" s="1" t="s">
        <v>21</v>
      </c>
      <c r="H948" s="6">
        <v>1</v>
      </c>
      <c r="I948" s="7">
        <v>1176</v>
      </c>
      <c r="J948" s="5">
        <v>45922</v>
      </c>
      <c r="K948" s="1" t="s">
        <v>30</v>
      </c>
      <c r="L948" s="8">
        <v>0</v>
      </c>
      <c r="M948" s="6"/>
      <c r="N948" s="6"/>
      <c r="O948" s="9">
        <v>4.1399999999999997</v>
      </c>
    </row>
    <row r="949" spans="1:15" ht="19.5" customHeight="1">
      <c r="A949" s="1" t="s">
        <v>588</v>
      </c>
      <c r="B949" s="5">
        <v>45925</v>
      </c>
      <c r="C949" s="1" t="s">
        <v>31</v>
      </c>
      <c r="D949" s="1" t="s">
        <v>34</v>
      </c>
      <c r="E949" s="1" t="s">
        <v>25</v>
      </c>
      <c r="F949" s="1" t="s">
        <v>26</v>
      </c>
      <c r="G949" s="1" t="s">
        <v>21</v>
      </c>
      <c r="H949" s="6">
        <v>1</v>
      </c>
      <c r="I949" s="7">
        <v>1176</v>
      </c>
      <c r="J949" s="5">
        <v>45922</v>
      </c>
      <c r="K949" s="1" t="s">
        <v>30</v>
      </c>
      <c r="L949" s="8">
        <v>0</v>
      </c>
      <c r="M949" s="6"/>
      <c r="N949" s="6"/>
      <c r="O949" s="9">
        <v>608.04999999999995</v>
      </c>
    </row>
    <row r="950" spans="1:15" ht="19.5" customHeight="1">
      <c r="A950" s="1" t="s">
        <v>588</v>
      </c>
      <c r="B950" s="5">
        <v>45925</v>
      </c>
      <c r="C950" s="1" t="s">
        <v>35</v>
      </c>
      <c r="D950" s="1" t="s">
        <v>36</v>
      </c>
      <c r="E950" s="1" t="s">
        <v>25</v>
      </c>
      <c r="F950" s="1" t="s">
        <v>26</v>
      </c>
      <c r="G950" s="1" t="s">
        <v>21</v>
      </c>
      <c r="H950" s="6">
        <v>1</v>
      </c>
      <c r="I950" s="7">
        <v>1176</v>
      </c>
      <c r="J950" s="5">
        <v>45922</v>
      </c>
      <c r="K950" s="1" t="s">
        <v>30</v>
      </c>
      <c r="L950" s="8">
        <v>0.2</v>
      </c>
      <c r="M950" s="6"/>
      <c r="N950" s="6"/>
      <c r="O950" s="9">
        <v>-235.2</v>
      </c>
    </row>
    <row r="951" spans="1:15" ht="19.5" customHeight="1">
      <c r="A951" s="1" t="s">
        <v>588</v>
      </c>
      <c r="B951" s="5">
        <v>45925</v>
      </c>
      <c r="C951" s="1" t="s">
        <v>17</v>
      </c>
      <c r="D951" s="1" t="s">
        <v>37</v>
      </c>
      <c r="E951" s="1" t="s">
        <v>25</v>
      </c>
      <c r="F951" s="1" t="s">
        <v>26</v>
      </c>
      <c r="G951" s="1" t="s">
        <v>21</v>
      </c>
      <c r="H951" s="6">
        <v>1</v>
      </c>
      <c r="I951" s="7">
        <v>1176</v>
      </c>
      <c r="J951" s="5">
        <v>45922</v>
      </c>
      <c r="K951" s="1" t="s">
        <v>30</v>
      </c>
      <c r="L951" s="8">
        <v>0.2</v>
      </c>
      <c r="M951" s="6"/>
      <c r="N951" s="6"/>
      <c r="O951" s="9">
        <v>-11.34</v>
      </c>
    </row>
    <row r="952" spans="1:15" ht="19.5" customHeight="1">
      <c r="A952" s="1" t="s">
        <v>589</v>
      </c>
      <c r="B952" s="5">
        <v>45925</v>
      </c>
      <c r="C952" s="1" t="s">
        <v>28</v>
      </c>
      <c r="D952" s="1" t="s">
        <v>29</v>
      </c>
      <c r="E952" s="1" t="s">
        <v>25</v>
      </c>
      <c r="F952" s="1" t="s">
        <v>26</v>
      </c>
      <c r="G952" s="1" t="s">
        <v>21</v>
      </c>
      <c r="H952" s="6">
        <v>1</v>
      </c>
      <c r="I952" s="7">
        <v>0</v>
      </c>
      <c r="J952" s="5">
        <v>45918</v>
      </c>
      <c r="K952" s="1" t="s">
        <v>30</v>
      </c>
      <c r="L952" s="8">
        <v>0</v>
      </c>
      <c r="M952" s="6"/>
      <c r="N952" s="6"/>
      <c r="O952" s="9">
        <v>-46</v>
      </c>
    </row>
    <row r="953" spans="1:15" ht="19.5" customHeight="1">
      <c r="A953" s="1" t="s">
        <v>589</v>
      </c>
      <c r="B953" s="5">
        <v>45925</v>
      </c>
      <c r="C953" s="1" t="s">
        <v>17</v>
      </c>
      <c r="D953" s="1" t="s">
        <v>37</v>
      </c>
      <c r="E953" s="1" t="s">
        <v>25</v>
      </c>
      <c r="F953" s="1" t="s">
        <v>26</v>
      </c>
      <c r="G953" s="1" t="s">
        <v>21</v>
      </c>
      <c r="H953" s="6">
        <v>1</v>
      </c>
      <c r="I953" s="7">
        <v>0</v>
      </c>
      <c r="J953" s="5">
        <v>45918</v>
      </c>
      <c r="K953" s="1" t="s">
        <v>30</v>
      </c>
      <c r="L953" s="8">
        <v>0</v>
      </c>
      <c r="M953" s="6"/>
      <c r="N953" s="6"/>
      <c r="O953" s="9">
        <v>-5.85</v>
      </c>
    </row>
    <row r="954" spans="1:15" ht="19.5" customHeight="1">
      <c r="A954" s="1" t="s">
        <v>589</v>
      </c>
      <c r="B954" s="5">
        <v>45925</v>
      </c>
      <c r="C954" s="1" t="s">
        <v>28</v>
      </c>
      <c r="D954" s="1" t="s">
        <v>356</v>
      </c>
      <c r="E954" s="1" t="s">
        <v>25</v>
      </c>
      <c r="F954" s="1" t="s">
        <v>26</v>
      </c>
      <c r="G954" s="1" t="s">
        <v>21</v>
      </c>
      <c r="H954" s="6">
        <v>1</v>
      </c>
      <c r="I954" s="7">
        <v>0</v>
      </c>
      <c r="J954" s="5">
        <v>45918</v>
      </c>
      <c r="K954" s="1" t="s">
        <v>30</v>
      </c>
      <c r="L954" s="8">
        <v>0</v>
      </c>
      <c r="M954" s="6"/>
      <c r="N954" s="6"/>
      <c r="O954" s="9">
        <v>0</v>
      </c>
    </row>
    <row r="955" spans="1:15" ht="19.5" customHeight="1">
      <c r="A955" s="1" t="s">
        <v>589</v>
      </c>
      <c r="B955" s="5">
        <v>45925</v>
      </c>
      <c r="C955" s="1" t="s">
        <v>28</v>
      </c>
      <c r="D955" s="1" t="s">
        <v>46</v>
      </c>
      <c r="E955" s="1" t="s">
        <v>25</v>
      </c>
      <c r="F955" s="1" t="s">
        <v>26</v>
      </c>
      <c r="G955" s="1" t="s">
        <v>21</v>
      </c>
      <c r="H955" s="6">
        <v>1</v>
      </c>
      <c r="I955" s="7">
        <v>0</v>
      </c>
      <c r="J955" s="5">
        <v>45918</v>
      </c>
      <c r="K955" s="1" t="s">
        <v>30</v>
      </c>
      <c r="L955" s="8">
        <v>0</v>
      </c>
      <c r="M955" s="6"/>
      <c r="N955" s="6"/>
      <c r="O955" s="9">
        <v>-46</v>
      </c>
    </row>
    <row r="956" spans="1:15" ht="19.5" customHeight="1">
      <c r="A956" s="1" t="s">
        <v>589</v>
      </c>
      <c r="B956" s="5">
        <v>45925</v>
      </c>
      <c r="C956" s="1" t="s">
        <v>17</v>
      </c>
      <c r="D956" s="1" t="s">
        <v>47</v>
      </c>
      <c r="E956" s="1" t="s">
        <v>25</v>
      </c>
      <c r="F956" s="1" t="s">
        <v>26</v>
      </c>
      <c r="G956" s="1" t="s">
        <v>21</v>
      </c>
      <c r="H956" s="6">
        <v>1</v>
      </c>
      <c r="I956" s="7">
        <v>0</v>
      </c>
      <c r="J956" s="5">
        <v>45918</v>
      </c>
      <c r="K956" s="1" t="s">
        <v>30</v>
      </c>
      <c r="L956" s="8">
        <v>0</v>
      </c>
      <c r="M956" s="6"/>
      <c r="N956" s="6"/>
      <c r="O956" s="9">
        <v>-15</v>
      </c>
    </row>
    <row r="957" spans="1:15" ht="19.5" customHeight="1">
      <c r="A957" s="1" t="s">
        <v>568</v>
      </c>
      <c r="B957" s="5">
        <v>45925</v>
      </c>
      <c r="C957" s="1" t="s">
        <v>28</v>
      </c>
      <c r="D957" s="1" t="s">
        <v>29</v>
      </c>
      <c r="E957" s="1" t="s">
        <v>62</v>
      </c>
      <c r="F957" s="1" t="s">
        <v>63</v>
      </c>
      <c r="G957" s="1" t="s">
        <v>41</v>
      </c>
      <c r="H957" s="6">
        <v>1</v>
      </c>
      <c r="I957" s="7">
        <v>0</v>
      </c>
      <c r="J957" s="5">
        <v>45921</v>
      </c>
      <c r="K957" s="1" t="s">
        <v>30</v>
      </c>
      <c r="L957" s="8">
        <v>0</v>
      </c>
      <c r="M957" s="6"/>
      <c r="N957" s="6"/>
      <c r="O957" s="9">
        <v>-56</v>
      </c>
    </row>
    <row r="958" spans="1:15" ht="19.5" customHeight="1">
      <c r="A958" s="1" t="s">
        <v>568</v>
      </c>
      <c r="B958" s="5">
        <v>45925</v>
      </c>
      <c r="C958" s="1" t="s">
        <v>17</v>
      </c>
      <c r="D958" s="1" t="s">
        <v>37</v>
      </c>
      <c r="E958" s="1" t="s">
        <v>62</v>
      </c>
      <c r="F958" s="1" t="s">
        <v>63</v>
      </c>
      <c r="G958" s="1" t="s">
        <v>41</v>
      </c>
      <c r="H958" s="6">
        <v>1</v>
      </c>
      <c r="I958" s="7">
        <v>0</v>
      </c>
      <c r="J958" s="5">
        <v>45921</v>
      </c>
      <c r="K958" s="1" t="s">
        <v>30</v>
      </c>
      <c r="L958" s="8">
        <v>0</v>
      </c>
      <c r="M958" s="6"/>
      <c r="N958" s="6"/>
      <c r="O958" s="9">
        <v>-7.57</v>
      </c>
    </row>
    <row r="959" spans="1:15" ht="19.5" customHeight="1">
      <c r="A959" s="1" t="s">
        <v>568</v>
      </c>
      <c r="B959" s="5">
        <v>45925</v>
      </c>
      <c r="C959" s="1" t="s">
        <v>28</v>
      </c>
      <c r="D959" s="1" t="s">
        <v>45</v>
      </c>
      <c r="E959" s="1" t="s">
        <v>62</v>
      </c>
      <c r="F959" s="1" t="s">
        <v>63</v>
      </c>
      <c r="G959" s="1" t="s">
        <v>41</v>
      </c>
      <c r="H959" s="6">
        <v>1</v>
      </c>
      <c r="I959" s="7">
        <v>0</v>
      </c>
      <c r="J959" s="5">
        <v>45921</v>
      </c>
      <c r="K959" s="1" t="s">
        <v>30</v>
      </c>
      <c r="L959" s="8">
        <v>0</v>
      </c>
      <c r="M959" s="6"/>
      <c r="N959" s="6"/>
      <c r="O959" s="9">
        <v>0</v>
      </c>
    </row>
    <row r="960" spans="1:15" ht="19.5" customHeight="1">
      <c r="A960" s="1" t="s">
        <v>568</v>
      </c>
      <c r="B960" s="5">
        <v>45925</v>
      </c>
      <c r="C960" s="1" t="s">
        <v>28</v>
      </c>
      <c r="D960" s="1" t="s">
        <v>46</v>
      </c>
      <c r="E960" s="1" t="s">
        <v>62</v>
      </c>
      <c r="F960" s="1" t="s">
        <v>63</v>
      </c>
      <c r="G960" s="1" t="s">
        <v>41</v>
      </c>
      <c r="H960" s="6">
        <v>1</v>
      </c>
      <c r="I960" s="7">
        <v>0</v>
      </c>
      <c r="J960" s="5">
        <v>45921</v>
      </c>
      <c r="K960" s="1" t="s">
        <v>30</v>
      </c>
      <c r="L960" s="8">
        <v>0</v>
      </c>
      <c r="M960" s="6"/>
      <c r="N960" s="6"/>
      <c r="O960" s="9">
        <v>-56</v>
      </c>
    </row>
    <row r="961" spans="1:15" ht="19.5" customHeight="1">
      <c r="A961" s="1" t="s">
        <v>568</v>
      </c>
      <c r="B961" s="5">
        <v>45925</v>
      </c>
      <c r="C961" s="1" t="s">
        <v>17</v>
      </c>
      <c r="D961" s="1" t="s">
        <v>47</v>
      </c>
      <c r="E961" s="1" t="s">
        <v>62</v>
      </c>
      <c r="F961" s="1" t="s">
        <v>63</v>
      </c>
      <c r="G961" s="1" t="s">
        <v>41</v>
      </c>
      <c r="H961" s="6">
        <v>1</v>
      </c>
      <c r="I961" s="7">
        <v>0</v>
      </c>
      <c r="J961" s="5">
        <v>45921</v>
      </c>
      <c r="K961" s="1" t="s">
        <v>30</v>
      </c>
      <c r="L961" s="8">
        <v>0</v>
      </c>
      <c r="M961" s="6"/>
      <c r="N961" s="6"/>
      <c r="O961" s="9">
        <v>-15</v>
      </c>
    </row>
    <row r="962" spans="1:15" ht="19.5" customHeight="1">
      <c r="A962" s="1" t="s">
        <v>590</v>
      </c>
      <c r="B962" s="5">
        <v>45925</v>
      </c>
      <c r="C962" s="1" t="s">
        <v>28</v>
      </c>
      <c r="D962" s="1" t="s">
        <v>29</v>
      </c>
      <c r="E962" s="1" t="s">
        <v>66</v>
      </c>
      <c r="F962" s="1" t="s">
        <v>67</v>
      </c>
      <c r="G962" s="1" t="s">
        <v>41</v>
      </c>
      <c r="H962" s="6">
        <v>1</v>
      </c>
      <c r="I962" s="7">
        <v>0</v>
      </c>
      <c r="J962" s="5">
        <v>45921</v>
      </c>
      <c r="K962" s="1" t="s">
        <v>30</v>
      </c>
      <c r="L962" s="8">
        <v>0</v>
      </c>
      <c r="M962" s="6"/>
      <c r="N962" s="6"/>
      <c r="O962" s="9">
        <v>-56</v>
      </c>
    </row>
    <row r="963" spans="1:15" ht="19.5" customHeight="1">
      <c r="A963" s="1" t="s">
        <v>590</v>
      </c>
      <c r="B963" s="5">
        <v>45925</v>
      </c>
      <c r="C963" s="1" t="s">
        <v>17</v>
      </c>
      <c r="D963" s="1" t="s">
        <v>37</v>
      </c>
      <c r="E963" s="1" t="s">
        <v>66</v>
      </c>
      <c r="F963" s="1" t="s">
        <v>67</v>
      </c>
      <c r="G963" s="1" t="s">
        <v>41</v>
      </c>
      <c r="H963" s="6">
        <v>1</v>
      </c>
      <c r="I963" s="7">
        <v>0</v>
      </c>
      <c r="J963" s="5">
        <v>45921</v>
      </c>
      <c r="K963" s="1" t="s">
        <v>30</v>
      </c>
      <c r="L963" s="8">
        <v>0</v>
      </c>
      <c r="M963" s="6"/>
      <c r="N963" s="6"/>
      <c r="O963" s="9">
        <v>-18.75</v>
      </c>
    </row>
    <row r="964" spans="1:15" ht="19.5" customHeight="1">
      <c r="A964" s="1" t="s">
        <v>590</v>
      </c>
      <c r="B964" s="5">
        <v>45925</v>
      </c>
      <c r="C964" s="1" t="s">
        <v>28</v>
      </c>
      <c r="D964" s="1" t="s">
        <v>45</v>
      </c>
      <c r="E964" s="1" t="s">
        <v>66</v>
      </c>
      <c r="F964" s="1" t="s">
        <v>67</v>
      </c>
      <c r="G964" s="1" t="s">
        <v>41</v>
      </c>
      <c r="H964" s="6">
        <v>1</v>
      </c>
      <c r="I964" s="7">
        <v>0</v>
      </c>
      <c r="J964" s="5">
        <v>45921</v>
      </c>
      <c r="K964" s="1" t="s">
        <v>30</v>
      </c>
      <c r="L964" s="8">
        <v>0</v>
      </c>
      <c r="M964" s="6"/>
      <c r="N964" s="6"/>
      <c r="O964" s="9">
        <v>0</v>
      </c>
    </row>
    <row r="965" spans="1:15" ht="19.5" customHeight="1">
      <c r="A965" s="1" t="s">
        <v>590</v>
      </c>
      <c r="B965" s="5">
        <v>45925</v>
      </c>
      <c r="C965" s="1" t="s">
        <v>28</v>
      </c>
      <c r="D965" s="1" t="s">
        <v>46</v>
      </c>
      <c r="E965" s="1" t="s">
        <v>66</v>
      </c>
      <c r="F965" s="1" t="s">
        <v>67</v>
      </c>
      <c r="G965" s="1" t="s">
        <v>41</v>
      </c>
      <c r="H965" s="6">
        <v>1</v>
      </c>
      <c r="I965" s="7">
        <v>0</v>
      </c>
      <c r="J965" s="5">
        <v>45921</v>
      </c>
      <c r="K965" s="1" t="s">
        <v>30</v>
      </c>
      <c r="L965" s="8">
        <v>0</v>
      </c>
      <c r="M965" s="6"/>
      <c r="N965" s="6"/>
      <c r="O965" s="9">
        <v>-56</v>
      </c>
    </row>
    <row r="966" spans="1:15" ht="19.5" customHeight="1">
      <c r="A966" s="1" t="s">
        <v>590</v>
      </c>
      <c r="B966" s="5">
        <v>45925</v>
      </c>
      <c r="C966" s="1" t="s">
        <v>17</v>
      </c>
      <c r="D966" s="1" t="s">
        <v>47</v>
      </c>
      <c r="E966" s="1" t="s">
        <v>66</v>
      </c>
      <c r="F966" s="1" t="s">
        <v>67</v>
      </c>
      <c r="G966" s="1" t="s">
        <v>41</v>
      </c>
      <c r="H966" s="6">
        <v>1</v>
      </c>
      <c r="I966" s="7">
        <v>0</v>
      </c>
      <c r="J966" s="5">
        <v>45921</v>
      </c>
      <c r="K966" s="1" t="s">
        <v>30</v>
      </c>
      <c r="L966" s="8">
        <v>0</v>
      </c>
      <c r="M966" s="6"/>
      <c r="N966" s="6"/>
      <c r="O966" s="9">
        <v>-15</v>
      </c>
    </row>
    <row r="967" spans="1:15" ht="19.5" customHeight="1">
      <c r="A967" s="1" t="s">
        <v>591</v>
      </c>
      <c r="B967" s="5">
        <v>45925</v>
      </c>
      <c r="C967" s="1" t="s">
        <v>17</v>
      </c>
      <c r="D967" s="1" t="s">
        <v>18</v>
      </c>
      <c r="E967" s="1" t="s">
        <v>222</v>
      </c>
      <c r="F967" s="1" t="s">
        <v>412</v>
      </c>
      <c r="G967" s="1" t="s">
        <v>21</v>
      </c>
      <c r="H967" s="6">
        <v>1</v>
      </c>
      <c r="I967" s="7">
        <v>0</v>
      </c>
      <c r="J967" s="5">
        <v>45925</v>
      </c>
      <c r="K967" s="1" t="s">
        <v>22</v>
      </c>
      <c r="L967" s="8">
        <v>0</v>
      </c>
      <c r="M967" s="6"/>
      <c r="N967" s="6"/>
      <c r="O967" s="9">
        <v>-15.19</v>
      </c>
    </row>
    <row r="968" spans="1:15" ht="19.5" customHeight="1">
      <c r="A968" s="1" t="s">
        <v>592</v>
      </c>
      <c r="B968" s="5">
        <v>45925</v>
      </c>
      <c r="C968" s="1" t="s">
        <v>28</v>
      </c>
      <c r="D968" s="1" t="s">
        <v>29</v>
      </c>
      <c r="E968" s="1" t="s">
        <v>25</v>
      </c>
      <c r="F968" s="1" t="s">
        <v>26</v>
      </c>
      <c r="G968" s="1" t="s">
        <v>21</v>
      </c>
      <c r="H968" s="6">
        <v>1</v>
      </c>
      <c r="I968" s="7">
        <v>1176</v>
      </c>
      <c r="J968" s="5">
        <v>45923</v>
      </c>
      <c r="K968" s="1" t="s">
        <v>30</v>
      </c>
      <c r="L968" s="8">
        <v>0.2</v>
      </c>
      <c r="M968" s="6"/>
      <c r="N968" s="6"/>
      <c r="O968" s="9">
        <v>-46</v>
      </c>
    </row>
    <row r="969" spans="1:15" ht="19.5" customHeight="1">
      <c r="A969" s="1" t="s">
        <v>592</v>
      </c>
      <c r="B969" s="5">
        <v>45925</v>
      </c>
      <c r="C969" s="1" t="s">
        <v>31</v>
      </c>
      <c r="D969" s="1" t="s">
        <v>32</v>
      </c>
      <c r="E969" s="1" t="s">
        <v>25</v>
      </c>
      <c r="F969" s="1" t="s">
        <v>26</v>
      </c>
      <c r="G969" s="1" t="s">
        <v>21</v>
      </c>
      <c r="H969" s="6">
        <v>1</v>
      </c>
      <c r="I969" s="7">
        <v>1176</v>
      </c>
      <c r="J969" s="5">
        <v>45923</v>
      </c>
      <c r="K969" s="1" t="s">
        <v>30</v>
      </c>
      <c r="L969" s="8">
        <v>0</v>
      </c>
      <c r="M969" s="6"/>
      <c r="N969" s="6"/>
      <c r="O969" s="9">
        <v>585.23</v>
      </c>
    </row>
    <row r="970" spans="1:15" ht="19.5" customHeight="1">
      <c r="A970" s="1" t="s">
        <v>592</v>
      </c>
      <c r="B970" s="5">
        <v>45925</v>
      </c>
      <c r="C970" s="1" t="s">
        <v>31</v>
      </c>
      <c r="D970" s="1" t="s">
        <v>33</v>
      </c>
      <c r="E970" s="1" t="s">
        <v>25</v>
      </c>
      <c r="F970" s="1" t="s">
        <v>26</v>
      </c>
      <c r="G970" s="1" t="s">
        <v>21</v>
      </c>
      <c r="H970" s="6">
        <v>1</v>
      </c>
      <c r="I970" s="7">
        <v>1176</v>
      </c>
      <c r="J970" s="5">
        <v>45923</v>
      </c>
      <c r="K970" s="1" t="s">
        <v>30</v>
      </c>
      <c r="L970" s="8">
        <v>0</v>
      </c>
      <c r="M970" s="6"/>
      <c r="N970" s="6"/>
      <c r="O970" s="9">
        <v>4.3</v>
      </c>
    </row>
    <row r="971" spans="1:15" ht="19.5" customHeight="1">
      <c r="A971" s="1" t="s">
        <v>592</v>
      </c>
      <c r="B971" s="5">
        <v>45925</v>
      </c>
      <c r="C971" s="1" t="s">
        <v>31</v>
      </c>
      <c r="D971" s="1" t="s">
        <v>34</v>
      </c>
      <c r="E971" s="1" t="s">
        <v>25</v>
      </c>
      <c r="F971" s="1" t="s">
        <v>26</v>
      </c>
      <c r="G971" s="1" t="s">
        <v>21</v>
      </c>
      <c r="H971" s="6">
        <v>1</v>
      </c>
      <c r="I971" s="7">
        <v>1176</v>
      </c>
      <c r="J971" s="5">
        <v>45923</v>
      </c>
      <c r="K971" s="1" t="s">
        <v>30</v>
      </c>
      <c r="L971" s="8">
        <v>0</v>
      </c>
      <c r="M971" s="6"/>
      <c r="N971" s="6"/>
      <c r="O971" s="9">
        <v>586.47</v>
      </c>
    </row>
    <row r="972" spans="1:15" ht="19.5" customHeight="1">
      <c r="A972" s="1" t="s">
        <v>592</v>
      </c>
      <c r="B972" s="5">
        <v>45925</v>
      </c>
      <c r="C972" s="1" t="s">
        <v>35</v>
      </c>
      <c r="D972" s="1" t="s">
        <v>36</v>
      </c>
      <c r="E972" s="1" t="s">
        <v>25</v>
      </c>
      <c r="F972" s="1" t="s">
        <v>26</v>
      </c>
      <c r="G972" s="1" t="s">
        <v>21</v>
      </c>
      <c r="H972" s="6">
        <v>1</v>
      </c>
      <c r="I972" s="7">
        <v>1176</v>
      </c>
      <c r="J972" s="5">
        <v>45923</v>
      </c>
      <c r="K972" s="1" t="s">
        <v>30</v>
      </c>
      <c r="L972" s="8">
        <v>0.2</v>
      </c>
      <c r="M972" s="6"/>
      <c r="N972" s="6"/>
      <c r="O972" s="9">
        <v>-235.2</v>
      </c>
    </row>
    <row r="973" spans="1:15" ht="19.5" customHeight="1">
      <c r="A973" s="1" t="s">
        <v>592</v>
      </c>
      <c r="B973" s="5">
        <v>45925</v>
      </c>
      <c r="C973" s="1" t="s">
        <v>17</v>
      </c>
      <c r="D973" s="1" t="s">
        <v>37</v>
      </c>
      <c r="E973" s="1" t="s">
        <v>25</v>
      </c>
      <c r="F973" s="1" t="s">
        <v>26</v>
      </c>
      <c r="G973" s="1" t="s">
        <v>21</v>
      </c>
      <c r="H973" s="6">
        <v>1</v>
      </c>
      <c r="I973" s="7">
        <v>1176</v>
      </c>
      <c r="J973" s="5">
        <v>45923</v>
      </c>
      <c r="K973" s="1" t="s">
        <v>30</v>
      </c>
      <c r="L973" s="8">
        <v>0.2</v>
      </c>
      <c r="M973" s="6"/>
      <c r="N973" s="6"/>
      <c r="O973" s="9">
        <v>-4.7</v>
      </c>
    </row>
    <row r="974" spans="1:15" ht="19.5" customHeight="1">
      <c r="A974" s="1" t="s">
        <v>514</v>
      </c>
      <c r="B974" s="5">
        <v>45925</v>
      </c>
      <c r="C974" s="1" t="s">
        <v>17</v>
      </c>
      <c r="D974" s="1" t="s">
        <v>18</v>
      </c>
      <c r="E974" s="1" t="s">
        <v>245</v>
      </c>
      <c r="F974" s="1" t="s">
        <v>515</v>
      </c>
      <c r="G974" s="1" t="s">
        <v>41</v>
      </c>
      <c r="H974" s="6">
        <v>1</v>
      </c>
      <c r="I974" s="7">
        <v>0</v>
      </c>
      <c r="J974" s="5">
        <v>45921</v>
      </c>
      <c r="K974" s="1" t="s">
        <v>22</v>
      </c>
      <c r="L974" s="8">
        <v>0</v>
      </c>
      <c r="M974" s="6"/>
      <c r="N974" s="6"/>
      <c r="O974" s="9">
        <v>15.07</v>
      </c>
    </row>
    <row r="975" spans="1:15" ht="19.5" customHeight="1">
      <c r="A975" s="1" t="s">
        <v>593</v>
      </c>
      <c r="B975" s="5">
        <v>45925</v>
      </c>
      <c r="C975" s="1" t="s">
        <v>28</v>
      </c>
      <c r="D975" s="1" t="s">
        <v>29</v>
      </c>
      <c r="E975" s="1" t="s">
        <v>222</v>
      </c>
      <c r="F975" s="1" t="s">
        <v>412</v>
      </c>
      <c r="G975" s="1" t="s">
        <v>21</v>
      </c>
      <c r="H975" s="6">
        <v>1</v>
      </c>
      <c r="I975" s="7">
        <v>1300</v>
      </c>
      <c r="J975" s="5">
        <v>45923</v>
      </c>
      <c r="K975" s="1" t="s">
        <v>30</v>
      </c>
      <c r="L975" s="8">
        <v>0.2</v>
      </c>
      <c r="M975" s="6"/>
      <c r="N975" s="6"/>
      <c r="O975" s="9">
        <v>-46</v>
      </c>
    </row>
    <row r="976" spans="1:15" ht="19.5" customHeight="1">
      <c r="A976" s="1" t="s">
        <v>593</v>
      </c>
      <c r="B976" s="5">
        <v>45925</v>
      </c>
      <c r="C976" s="1" t="s">
        <v>31</v>
      </c>
      <c r="D976" s="1" t="s">
        <v>32</v>
      </c>
      <c r="E976" s="1" t="s">
        <v>222</v>
      </c>
      <c r="F976" s="1" t="s">
        <v>412</v>
      </c>
      <c r="G976" s="1" t="s">
        <v>21</v>
      </c>
      <c r="H976" s="6">
        <v>1</v>
      </c>
      <c r="I976" s="7">
        <v>1300</v>
      </c>
      <c r="J976" s="5">
        <v>45923</v>
      </c>
      <c r="K976" s="1" t="s">
        <v>30</v>
      </c>
      <c r="L976" s="8">
        <v>0</v>
      </c>
      <c r="M976" s="6"/>
      <c r="N976" s="6"/>
      <c r="O976" s="9">
        <v>854.42</v>
      </c>
    </row>
    <row r="977" spans="1:15" ht="19.5" customHeight="1">
      <c r="A977" s="1" t="s">
        <v>593</v>
      </c>
      <c r="B977" s="5">
        <v>45925</v>
      </c>
      <c r="C977" s="1" t="s">
        <v>31</v>
      </c>
      <c r="D977" s="1" t="s">
        <v>33</v>
      </c>
      <c r="E977" s="1" t="s">
        <v>222</v>
      </c>
      <c r="F977" s="1" t="s">
        <v>412</v>
      </c>
      <c r="G977" s="1" t="s">
        <v>21</v>
      </c>
      <c r="H977" s="6">
        <v>1</v>
      </c>
      <c r="I977" s="7">
        <v>1300</v>
      </c>
      <c r="J977" s="5">
        <v>45923</v>
      </c>
      <c r="K977" s="1" t="s">
        <v>30</v>
      </c>
      <c r="L977" s="8">
        <v>0</v>
      </c>
      <c r="M977" s="6"/>
      <c r="N977" s="6"/>
      <c r="O977" s="9">
        <v>0</v>
      </c>
    </row>
    <row r="978" spans="1:15" ht="19.5" customHeight="1">
      <c r="A978" s="1" t="s">
        <v>593</v>
      </c>
      <c r="B978" s="5">
        <v>45925</v>
      </c>
      <c r="C978" s="1" t="s">
        <v>31</v>
      </c>
      <c r="D978" s="1" t="s">
        <v>34</v>
      </c>
      <c r="E978" s="1" t="s">
        <v>222</v>
      </c>
      <c r="F978" s="1" t="s">
        <v>412</v>
      </c>
      <c r="G978" s="1" t="s">
        <v>21</v>
      </c>
      <c r="H978" s="6">
        <v>1</v>
      </c>
      <c r="I978" s="7">
        <v>1300</v>
      </c>
      <c r="J978" s="5">
        <v>45923</v>
      </c>
      <c r="K978" s="1" t="s">
        <v>30</v>
      </c>
      <c r="L978" s="8">
        <v>0</v>
      </c>
      <c r="M978" s="6"/>
      <c r="N978" s="6"/>
      <c r="O978" s="9">
        <v>445.58</v>
      </c>
    </row>
    <row r="979" spans="1:15" ht="19.5" customHeight="1">
      <c r="A979" s="1" t="s">
        <v>593</v>
      </c>
      <c r="B979" s="5">
        <v>45925</v>
      </c>
      <c r="C979" s="1" t="s">
        <v>35</v>
      </c>
      <c r="D979" s="1" t="s">
        <v>36</v>
      </c>
      <c r="E979" s="1" t="s">
        <v>222</v>
      </c>
      <c r="F979" s="1" t="s">
        <v>412</v>
      </c>
      <c r="G979" s="1" t="s">
        <v>21</v>
      </c>
      <c r="H979" s="6">
        <v>1</v>
      </c>
      <c r="I979" s="7">
        <v>1300</v>
      </c>
      <c r="J979" s="5">
        <v>45923</v>
      </c>
      <c r="K979" s="1" t="s">
        <v>30</v>
      </c>
      <c r="L979" s="8">
        <v>0.2</v>
      </c>
      <c r="M979" s="6"/>
      <c r="N979" s="6"/>
      <c r="O979" s="9">
        <v>-260</v>
      </c>
    </row>
    <row r="980" spans="1:15" ht="19.5" customHeight="1">
      <c r="A980" s="1" t="s">
        <v>593</v>
      </c>
      <c r="B980" s="5">
        <v>45925</v>
      </c>
      <c r="C980" s="1" t="s">
        <v>17</v>
      </c>
      <c r="D980" s="1" t="s">
        <v>37</v>
      </c>
      <c r="E980" s="1" t="s">
        <v>222</v>
      </c>
      <c r="F980" s="1" t="s">
        <v>412</v>
      </c>
      <c r="G980" s="1" t="s">
        <v>21</v>
      </c>
      <c r="H980" s="6">
        <v>1</v>
      </c>
      <c r="I980" s="7">
        <v>1300</v>
      </c>
      <c r="J980" s="5">
        <v>45923</v>
      </c>
      <c r="K980" s="1" t="s">
        <v>30</v>
      </c>
      <c r="L980" s="8">
        <v>0.2</v>
      </c>
      <c r="M980" s="6"/>
      <c r="N980" s="6"/>
      <c r="O980" s="9">
        <v>-8.42</v>
      </c>
    </row>
    <row r="981" spans="1:15" ht="19.5" customHeight="1">
      <c r="A981" s="1" t="s">
        <v>594</v>
      </c>
      <c r="B981" s="5">
        <v>45925</v>
      </c>
      <c r="C981" s="1" t="s">
        <v>17</v>
      </c>
      <c r="D981" s="1" t="s">
        <v>18</v>
      </c>
      <c r="E981" s="1" t="s">
        <v>19</v>
      </c>
      <c r="F981" s="1" t="s">
        <v>20</v>
      </c>
      <c r="G981" s="1" t="s">
        <v>21</v>
      </c>
      <c r="H981" s="6">
        <v>1</v>
      </c>
      <c r="I981" s="7">
        <v>0</v>
      </c>
      <c r="J981" s="5">
        <v>45925</v>
      </c>
      <c r="K981" s="1" t="s">
        <v>22</v>
      </c>
      <c r="L981" s="8">
        <v>0</v>
      </c>
      <c r="M981" s="6"/>
      <c r="N981" s="6"/>
      <c r="O981" s="9">
        <v>-16.18</v>
      </c>
    </row>
    <row r="982" spans="1:15" ht="19.5" customHeight="1">
      <c r="A982" s="1" t="s">
        <v>593</v>
      </c>
      <c r="B982" s="5">
        <v>45925</v>
      </c>
      <c r="C982" s="1" t="s">
        <v>17</v>
      </c>
      <c r="D982" s="1" t="s">
        <v>18</v>
      </c>
      <c r="E982" s="1" t="s">
        <v>222</v>
      </c>
      <c r="F982" s="1" t="s">
        <v>412</v>
      </c>
      <c r="G982" s="1" t="s">
        <v>21</v>
      </c>
      <c r="H982" s="6">
        <v>1</v>
      </c>
      <c r="I982" s="7">
        <v>0</v>
      </c>
      <c r="J982" s="5">
        <v>45923</v>
      </c>
      <c r="K982" s="1" t="s">
        <v>22</v>
      </c>
      <c r="L982" s="8">
        <v>0</v>
      </c>
      <c r="M982" s="6"/>
      <c r="N982" s="6"/>
      <c r="O982" s="9">
        <v>-6.66</v>
      </c>
    </row>
    <row r="983" spans="1:15" ht="19.5" customHeight="1">
      <c r="A983" s="1" t="s">
        <v>22</v>
      </c>
      <c r="B983" s="5">
        <v>45925</v>
      </c>
      <c r="C983" s="1" t="s">
        <v>77</v>
      </c>
      <c r="D983" s="1" t="s">
        <v>78</v>
      </c>
      <c r="E983" s="1" t="s">
        <v>22</v>
      </c>
      <c r="F983" s="1" t="s">
        <v>22</v>
      </c>
      <c r="G983" s="1" t="s">
        <v>595</v>
      </c>
      <c r="H983" s="6">
        <v>0</v>
      </c>
      <c r="I983" s="7">
        <v>0</v>
      </c>
      <c r="J983" s="5">
        <v>45925</v>
      </c>
      <c r="K983" s="1" t="s">
        <v>22</v>
      </c>
      <c r="L983" s="8">
        <v>0</v>
      </c>
      <c r="M983" s="6"/>
      <c r="N983" s="6"/>
      <c r="O983" s="9">
        <v>-200</v>
      </c>
    </row>
    <row r="984" spans="1:15" ht="19.5" customHeight="1">
      <c r="A984" s="1" t="s">
        <v>596</v>
      </c>
      <c r="B984" s="5">
        <v>45925</v>
      </c>
      <c r="C984" s="1" t="s">
        <v>17</v>
      </c>
      <c r="D984" s="1" t="s">
        <v>18</v>
      </c>
      <c r="E984" s="1" t="s">
        <v>25</v>
      </c>
      <c r="F984" s="1" t="s">
        <v>26</v>
      </c>
      <c r="G984" s="1" t="s">
        <v>21</v>
      </c>
      <c r="H984" s="6">
        <v>8</v>
      </c>
      <c r="I984" s="7">
        <v>0</v>
      </c>
      <c r="J984" s="5">
        <v>45925</v>
      </c>
      <c r="K984" s="1" t="s">
        <v>22</v>
      </c>
      <c r="L984" s="8">
        <v>0</v>
      </c>
      <c r="M984" s="6"/>
      <c r="N984" s="6"/>
      <c r="O984" s="9">
        <v>-17.52</v>
      </c>
    </row>
    <row r="985" spans="1:15" ht="19.5" customHeight="1">
      <c r="A985" s="1" t="s">
        <v>597</v>
      </c>
      <c r="B985" s="5">
        <v>45925</v>
      </c>
      <c r="C985" s="1" t="s">
        <v>17</v>
      </c>
      <c r="D985" s="1" t="s">
        <v>18</v>
      </c>
      <c r="E985" s="1" t="s">
        <v>66</v>
      </c>
      <c r="F985" s="1" t="s">
        <v>67</v>
      </c>
      <c r="G985" s="1" t="s">
        <v>41</v>
      </c>
      <c r="H985" s="6">
        <v>1</v>
      </c>
      <c r="I985" s="7">
        <v>0</v>
      </c>
      <c r="J985" s="5">
        <v>45925</v>
      </c>
      <c r="K985" s="1" t="s">
        <v>22</v>
      </c>
      <c r="L985" s="8">
        <v>0</v>
      </c>
      <c r="M985" s="6"/>
      <c r="N985" s="6"/>
      <c r="O985" s="9">
        <v>-39.18</v>
      </c>
    </row>
    <row r="986" spans="1:15" ht="19.5" customHeight="1">
      <c r="A986" s="1" t="s">
        <v>454</v>
      </c>
      <c r="B986" s="5">
        <v>45925</v>
      </c>
      <c r="C986" s="1" t="s">
        <v>77</v>
      </c>
      <c r="D986" s="1" t="s">
        <v>82</v>
      </c>
      <c r="E986" s="1" t="s">
        <v>22</v>
      </c>
      <c r="F986" s="1" t="s">
        <v>22</v>
      </c>
      <c r="G986" s="1" t="s">
        <v>22</v>
      </c>
      <c r="H986" s="6">
        <v>0</v>
      </c>
      <c r="I986" s="7">
        <v>0</v>
      </c>
      <c r="J986" s="5">
        <v>45925</v>
      </c>
      <c r="K986" s="1" t="s">
        <v>22</v>
      </c>
      <c r="L986" s="8">
        <v>0</v>
      </c>
      <c r="M986" s="6"/>
      <c r="N986" s="6"/>
      <c r="O986" s="9">
        <v>-1560.73</v>
      </c>
    </row>
    <row r="987" spans="1:15" ht="19.5" customHeight="1">
      <c r="A987" s="1" t="s">
        <v>85</v>
      </c>
      <c r="B987" s="5">
        <v>45925</v>
      </c>
      <c r="C987" s="1" t="s">
        <v>77</v>
      </c>
      <c r="D987" s="1" t="s">
        <v>82</v>
      </c>
      <c r="E987" s="1" t="s">
        <v>22</v>
      </c>
      <c r="F987" s="1" t="s">
        <v>22</v>
      </c>
      <c r="G987" s="1" t="s">
        <v>22</v>
      </c>
      <c r="H987" s="6">
        <v>0</v>
      </c>
      <c r="I987" s="7">
        <v>0</v>
      </c>
      <c r="J987" s="5">
        <v>45925</v>
      </c>
      <c r="K987" s="1" t="s">
        <v>22</v>
      </c>
      <c r="L987" s="8">
        <v>0</v>
      </c>
      <c r="M987" s="6"/>
      <c r="N987" s="6"/>
      <c r="O987" s="9">
        <v>-831.12</v>
      </c>
    </row>
    <row r="988" spans="1:15" ht="19.5" customHeight="1">
      <c r="A988" s="1" t="s">
        <v>81</v>
      </c>
      <c r="B988" s="5">
        <v>45925</v>
      </c>
      <c r="C988" s="1" t="s">
        <v>77</v>
      </c>
      <c r="D988" s="1" t="s">
        <v>82</v>
      </c>
      <c r="E988" s="1" t="s">
        <v>22</v>
      </c>
      <c r="F988" s="1" t="s">
        <v>22</v>
      </c>
      <c r="G988" s="1" t="s">
        <v>22</v>
      </c>
      <c r="H988" s="6">
        <v>0</v>
      </c>
      <c r="I988" s="7">
        <v>0</v>
      </c>
      <c r="J988" s="5">
        <v>45925</v>
      </c>
      <c r="K988" s="1" t="s">
        <v>22</v>
      </c>
      <c r="L988" s="8">
        <v>0</v>
      </c>
      <c r="M988" s="6"/>
      <c r="N988" s="6"/>
      <c r="O988" s="9">
        <v>-2034.97</v>
      </c>
    </row>
    <row r="989" spans="1:15" ht="19.5" customHeight="1">
      <c r="A989" s="1" t="s">
        <v>83</v>
      </c>
      <c r="B989" s="5">
        <v>45925</v>
      </c>
      <c r="C989" s="1" t="s">
        <v>77</v>
      </c>
      <c r="D989" s="1" t="s">
        <v>84</v>
      </c>
      <c r="E989" s="1" t="s">
        <v>22</v>
      </c>
      <c r="F989" s="1" t="s">
        <v>22</v>
      </c>
      <c r="G989" s="1" t="s">
        <v>22</v>
      </c>
      <c r="H989" s="6">
        <v>0</v>
      </c>
      <c r="I989" s="7">
        <v>0</v>
      </c>
      <c r="J989" s="5">
        <v>45925</v>
      </c>
      <c r="K989" s="1" t="s">
        <v>22</v>
      </c>
      <c r="L989" s="8">
        <v>0</v>
      </c>
      <c r="M989" s="6"/>
      <c r="N989" s="6"/>
      <c r="O989" s="9">
        <v>-2659.21</v>
      </c>
    </row>
    <row r="990" spans="1:15" ht="19.5" customHeight="1">
      <c r="A990" s="1" t="s">
        <v>598</v>
      </c>
      <c r="B990" s="5">
        <v>45926</v>
      </c>
      <c r="C990" s="1" t="s">
        <v>28</v>
      </c>
      <c r="D990" s="1" t="s">
        <v>29</v>
      </c>
      <c r="E990" s="1" t="s">
        <v>25</v>
      </c>
      <c r="F990" s="1" t="s">
        <v>26</v>
      </c>
      <c r="G990" s="1" t="s">
        <v>21</v>
      </c>
      <c r="H990" s="6">
        <v>1</v>
      </c>
      <c r="I990" s="7">
        <v>0</v>
      </c>
      <c r="J990" s="5">
        <v>45918</v>
      </c>
      <c r="K990" s="1" t="s">
        <v>30</v>
      </c>
      <c r="L990" s="8">
        <v>0</v>
      </c>
      <c r="M990" s="6"/>
      <c r="N990" s="6"/>
      <c r="O990" s="9">
        <v>-46</v>
      </c>
    </row>
    <row r="991" spans="1:15" ht="19.5" customHeight="1">
      <c r="A991" s="1" t="s">
        <v>598</v>
      </c>
      <c r="B991" s="5">
        <v>45926</v>
      </c>
      <c r="C991" s="1" t="s">
        <v>17</v>
      </c>
      <c r="D991" s="1" t="s">
        <v>37</v>
      </c>
      <c r="E991" s="1" t="s">
        <v>25</v>
      </c>
      <c r="F991" s="1" t="s">
        <v>26</v>
      </c>
      <c r="G991" s="1" t="s">
        <v>21</v>
      </c>
      <c r="H991" s="6">
        <v>1</v>
      </c>
      <c r="I991" s="7">
        <v>0</v>
      </c>
      <c r="J991" s="5">
        <v>45918</v>
      </c>
      <c r="K991" s="1" t="s">
        <v>30</v>
      </c>
      <c r="L991" s="8">
        <v>0</v>
      </c>
      <c r="M991" s="6"/>
      <c r="N991" s="6"/>
      <c r="O991" s="9">
        <v>-3.74</v>
      </c>
    </row>
    <row r="992" spans="1:15" ht="19.5" customHeight="1">
      <c r="A992" s="1" t="s">
        <v>598</v>
      </c>
      <c r="B992" s="5">
        <v>45926</v>
      </c>
      <c r="C992" s="1" t="s">
        <v>28</v>
      </c>
      <c r="D992" s="1" t="s">
        <v>356</v>
      </c>
      <c r="E992" s="1" t="s">
        <v>25</v>
      </c>
      <c r="F992" s="1" t="s">
        <v>26</v>
      </c>
      <c r="G992" s="1" t="s">
        <v>21</v>
      </c>
      <c r="H992" s="6">
        <v>1</v>
      </c>
      <c r="I992" s="7">
        <v>0</v>
      </c>
      <c r="J992" s="5">
        <v>45918</v>
      </c>
      <c r="K992" s="1" t="s">
        <v>30</v>
      </c>
      <c r="L992" s="8">
        <v>0</v>
      </c>
      <c r="M992" s="6"/>
      <c r="N992" s="6"/>
      <c r="O992" s="9">
        <v>0</v>
      </c>
    </row>
    <row r="993" spans="1:15" ht="19.5" customHeight="1">
      <c r="A993" s="1" t="s">
        <v>598</v>
      </c>
      <c r="B993" s="5">
        <v>45926</v>
      </c>
      <c r="C993" s="1" t="s">
        <v>28</v>
      </c>
      <c r="D993" s="1" t="s">
        <v>46</v>
      </c>
      <c r="E993" s="1" t="s">
        <v>25</v>
      </c>
      <c r="F993" s="1" t="s">
        <v>26</v>
      </c>
      <c r="G993" s="1" t="s">
        <v>21</v>
      </c>
      <c r="H993" s="6">
        <v>1</v>
      </c>
      <c r="I993" s="7">
        <v>0</v>
      </c>
      <c r="J993" s="5">
        <v>45918</v>
      </c>
      <c r="K993" s="1" t="s">
        <v>30</v>
      </c>
      <c r="L993" s="8">
        <v>0</v>
      </c>
      <c r="M993" s="6"/>
      <c r="N993" s="6"/>
      <c r="O993" s="9">
        <v>-46</v>
      </c>
    </row>
    <row r="994" spans="1:15" ht="19.5" customHeight="1">
      <c r="A994" s="1" t="s">
        <v>598</v>
      </c>
      <c r="B994" s="5">
        <v>45926</v>
      </c>
      <c r="C994" s="1" t="s">
        <v>17</v>
      </c>
      <c r="D994" s="1" t="s">
        <v>47</v>
      </c>
      <c r="E994" s="1" t="s">
        <v>25</v>
      </c>
      <c r="F994" s="1" t="s">
        <v>26</v>
      </c>
      <c r="G994" s="1" t="s">
        <v>21</v>
      </c>
      <c r="H994" s="6">
        <v>1</v>
      </c>
      <c r="I994" s="7">
        <v>0</v>
      </c>
      <c r="J994" s="5">
        <v>45918</v>
      </c>
      <c r="K994" s="1" t="s">
        <v>30</v>
      </c>
      <c r="L994" s="8">
        <v>0</v>
      </c>
      <c r="M994" s="6"/>
      <c r="N994" s="6"/>
      <c r="O994" s="9">
        <v>-15</v>
      </c>
    </row>
    <row r="995" spans="1:15" ht="19.5" customHeight="1">
      <c r="A995" s="1" t="s">
        <v>599</v>
      </c>
      <c r="B995" s="5">
        <v>45926</v>
      </c>
      <c r="C995" s="1" t="s">
        <v>28</v>
      </c>
      <c r="D995" s="1" t="s">
        <v>29</v>
      </c>
      <c r="E995" s="1" t="s">
        <v>25</v>
      </c>
      <c r="F995" s="1" t="s">
        <v>26</v>
      </c>
      <c r="G995" s="1" t="s">
        <v>21</v>
      </c>
      <c r="H995" s="6">
        <v>1</v>
      </c>
      <c r="I995" s="7">
        <v>0</v>
      </c>
      <c r="J995" s="5">
        <v>45916</v>
      </c>
      <c r="K995" s="1" t="s">
        <v>30</v>
      </c>
      <c r="L995" s="8">
        <v>0</v>
      </c>
      <c r="M995" s="6"/>
      <c r="N995" s="6"/>
      <c r="O995" s="9">
        <v>-46</v>
      </c>
    </row>
    <row r="996" spans="1:15" ht="19.5" customHeight="1">
      <c r="A996" s="1" t="s">
        <v>599</v>
      </c>
      <c r="B996" s="5">
        <v>45926</v>
      </c>
      <c r="C996" s="1" t="s">
        <v>17</v>
      </c>
      <c r="D996" s="1" t="s">
        <v>37</v>
      </c>
      <c r="E996" s="1" t="s">
        <v>25</v>
      </c>
      <c r="F996" s="1" t="s">
        <v>26</v>
      </c>
      <c r="G996" s="1" t="s">
        <v>21</v>
      </c>
      <c r="H996" s="6">
        <v>1</v>
      </c>
      <c r="I996" s="7">
        <v>0</v>
      </c>
      <c r="J996" s="5">
        <v>45916</v>
      </c>
      <c r="K996" s="1" t="s">
        <v>30</v>
      </c>
      <c r="L996" s="8">
        <v>0</v>
      </c>
      <c r="M996" s="6"/>
      <c r="N996" s="6"/>
      <c r="O996" s="9">
        <v>-5.49</v>
      </c>
    </row>
    <row r="997" spans="1:15" ht="19.5" customHeight="1">
      <c r="A997" s="1" t="s">
        <v>599</v>
      </c>
      <c r="B997" s="5">
        <v>45926</v>
      </c>
      <c r="C997" s="1" t="s">
        <v>28</v>
      </c>
      <c r="D997" s="1" t="s">
        <v>356</v>
      </c>
      <c r="E997" s="1" t="s">
        <v>25</v>
      </c>
      <c r="F997" s="1" t="s">
        <v>26</v>
      </c>
      <c r="G997" s="1" t="s">
        <v>21</v>
      </c>
      <c r="H997" s="6">
        <v>1</v>
      </c>
      <c r="I997" s="7">
        <v>0</v>
      </c>
      <c r="J997" s="5">
        <v>45916</v>
      </c>
      <c r="K997" s="1" t="s">
        <v>30</v>
      </c>
      <c r="L997" s="8">
        <v>0</v>
      </c>
      <c r="M997" s="6"/>
      <c r="N997" s="6"/>
      <c r="O997" s="9">
        <v>0</v>
      </c>
    </row>
    <row r="998" spans="1:15" ht="19.5" customHeight="1">
      <c r="A998" s="1" t="s">
        <v>599</v>
      </c>
      <c r="B998" s="5">
        <v>45926</v>
      </c>
      <c r="C998" s="1" t="s">
        <v>28</v>
      </c>
      <c r="D998" s="1" t="s">
        <v>46</v>
      </c>
      <c r="E998" s="1" t="s">
        <v>25</v>
      </c>
      <c r="F998" s="1" t="s">
        <v>26</v>
      </c>
      <c r="G998" s="1" t="s">
        <v>21</v>
      </c>
      <c r="H998" s="6">
        <v>1</v>
      </c>
      <c r="I998" s="7">
        <v>0</v>
      </c>
      <c r="J998" s="5">
        <v>45916</v>
      </c>
      <c r="K998" s="1" t="s">
        <v>30</v>
      </c>
      <c r="L998" s="8">
        <v>0</v>
      </c>
      <c r="M998" s="6"/>
      <c r="N998" s="6"/>
      <c r="O998" s="9">
        <v>-46</v>
      </c>
    </row>
    <row r="999" spans="1:15" ht="19.5" customHeight="1">
      <c r="A999" s="1" t="s">
        <v>599</v>
      </c>
      <c r="B999" s="5">
        <v>45926</v>
      </c>
      <c r="C999" s="1" t="s">
        <v>17</v>
      </c>
      <c r="D999" s="1" t="s">
        <v>47</v>
      </c>
      <c r="E999" s="1" t="s">
        <v>25</v>
      </c>
      <c r="F999" s="1" t="s">
        <v>26</v>
      </c>
      <c r="G999" s="1" t="s">
        <v>21</v>
      </c>
      <c r="H999" s="6">
        <v>1</v>
      </c>
      <c r="I999" s="7">
        <v>0</v>
      </c>
      <c r="J999" s="5">
        <v>45916</v>
      </c>
      <c r="K999" s="1" t="s">
        <v>30</v>
      </c>
      <c r="L999" s="8">
        <v>0</v>
      </c>
      <c r="M999" s="6"/>
      <c r="N999" s="6"/>
      <c r="O999" s="9">
        <v>-15</v>
      </c>
    </row>
    <row r="1000" spans="1:15" ht="19.5" customHeight="1">
      <c r="A1000" s="1" t="s">
        <v>600</v>
      </c>
      <c r="B1000" s="5">
        <v>45926</v>
      </c>
      <c r="C1000" s="1" t="s">
        <v>28</v>
      </c>
      <c r="D1000" s="1" t="s">
        <v>29</v>
      </c>
      <c r="E1000" s="1" t="s">
        <v>224</v>
      </c>
      <c r="F1000" s="1" t="s">
        <v>461</v>
      </c>
      <c r="G1000" s="1" t="s">
        <v>21</v>
      </c>
      <c r="H1000" s="6">
        <v>1</v>
      </c>
      <c r="I1000" s="7">
        <v>0</v>
      </c>
      <c r="J1000" s="5">
        <v>45919</v>
      </c>
      <c r="K1000" s="1" t="s">
        <v>30</v>
      </c>
      <c r="L1000" s="8">
        <v>0</v>
      </c>
      <c r="M1000" s="6"/>
      <c r="N1000" s="6"/>
      <c r="O1000" s="9">
        <v>-46</v>
      </c>
    </row>
    <row r="1001" spans="1:15" ht="19.5" customHeight="1">
      <c r="A1001" s="1" t="s">
        <v>600</v>
      </c>
      <c r="B1001" s="5">
        <v>45926</v>
      </c>
      <c r="C1001" s="1" t="s">
        <v>17</v>
      </c>
      <c r="D1001" s="1" t="s">
        <v>37</v>
      </c>
      <c r="E1001" s="1" t="s">
        <v>224</v>
      </c>
      <c r="F1001" s="1" t="s">
        <v>461</v>
      </c>
      <c r="G1001" s="1" t="s">
        <v>21</v>
      </c>
      <c r="H1001" s="6">
        <v>1</v>
      </c>
      <c r="I1001" s="7">
        <v>0</v>
      </c>
      <c r="J1001" s="5">
        <v>45919</v>
      </c>
      <c r="K1001" s="1" t="s">
        <v>30</v>
      </c>
      <c r="L1001" s="8">
        <v>0</v>
      </c>
      <c r="M1001" s="6"/>
      <c r="N1001" s="6"/>
      <c r="O1001" s="9">
        <v>-10.74</v>
      </c>
    </row>
    <row r="1002" spans="1:15" ht="19.5" customHeight="1">
      <c r="A1002" s="1" t="s">
        <v>600</v>
      </c>
      <c r="B1002" s="5">
        <v>45926</v>
      </c>
      <c r="C1002" s="1" t="s">
        <v>28</v>
      </c>
      <c r="D1002" s="1" t="s">
        <v>45</v>
      </c>
      <c r="E1002" s="1" t="s">
        <v>224</v>
      </c>
      <c r="F1002" s="1" t="s">
        <v>461</v>
      </c>
      <c r="G1002" s="1" t="s">
        <v>21</v>
      </c>
      <c r="H1002" s="6">
        <v>1</v>
      </c>
      <c r="I1002" s="7">
        <v>0</v>
      </c>
      <c r="J1002" s="5">
        <v>45919</v>
      </c>
      <c r="K1002" s="1" t="s">
        <v>30</v>
      </c>
      <c r="L1002" s="8">
        <v>0</v>
      </c>
      <c r="M1002" s="6"/>
      <c r="N1002" s="6"/>
      <c r="O1002" s="9">
        <v>0</v>
      </c>
    </row>
    <row r="1003" spans="1:15" ht="19.5" customHeight="1">
      <c r="A1003" s="1" t="s">
        <v>600</v>
      </c>
      <c r="B1003" s="5">
        <v>45926</v>
      </c>
      <c r="C1003" s="1" t="s">
        <v>28</v>
      </c>
      <c r="D1003" s="1" t="s">
        <v>46</v>
      </c>
      <c r="E1003" s="1" t="s">
        <v>224</v>
      </c>
      <c r="F1003" s="1" t="s">
        <v>461</v>
      </c>
      <c r="G1003" s="1" t="s">
        <v>21</v>
      </c>
      <c r="H1003" s="6">
        <v>1</v>
      </c>
      <c r="I1003" s="7">
        <v>0</v>
      </c>
      <c r="J1003" s="5">
        <v>45919</v>
      </c>
      <c r="K1003" s="1" t="s">
        <v>30</v>
      </c>
      <c r="L1003" s="8">
        <v>0</v>
      </c>
      <c r="M1003" s="6"/>
      <c r="N1003" s="6"/>
      <c r="O1003" s="9">
        <v>-46</v>
      </c>
    </row>
    <row r="1004" spans="1:15" ht="19.5" customHeight="1">
      <c r="A1004" s="1" t="s">
        <v>601</v>
      </c>
      <c r="B1004" s="5">
        <v>45926</v>
      </c>
      <c r="C1004" s="1" t="s">
        <v>17</v>
      </c>
      <c r="D1004" s="1" t="s">
        <v>18</v>
      </c>
      <c r="E1004" s="1" t="s">
        <v>25</v>
      </c>
      <c r="F1004" s="1" t="s">
        <v>26</v>
      </c>
      <c r="G1004" s="1" t="s">
        <v>21</v>
      </c>
      <c r="H1004" s="6">
        <v>1</v>
      </c>
      <c r="I1004" s="7">
        <v>0</v>
      </c>
      <c r="J1004" s="5">
        <v>45926</v>
      </c>
      <c r="K1004" s="1" t="s">
        <v>22</v>
      </c>
      <c r="L1004" s="8">
        <v>0</v>
      </c>
      <c r="M1004" s="6"/>
      <c r="N1004" s="6"/>
      <c r="O1004" s="9">
        <v>-14.06</v>
      </c>
    </row>
    <row r="1005" spans="1:15" ht="19.5" customHeight="1">
      <c r="A1005" s="1" t="s">
        <v>601</v>
      </c>
      <c r="B1005" s="5">
        <v>45926</v>
      </c>
      <c r="C1005" s="1" t="s">
        <v>17</v>
      </c>
      <c r="D1005" s="1" t="s">
        <v>18</v>
      </c>
      <c r="E1005" s="1" t="s">
        <v>92</v>
      </c>
      <c r="F1005" s="1" t="s">
        <v>93</v>
      </c>
      <c r="G1005" s="1" t="s">
        <v>21</v>
      </c>
      <c r="H1005" s="6">
        <v>1</v>
      </c>
      <c r="I1005" s="7">
        <v>0</v>
      </c>
      <c r="J1005" s="5">
        <v>45926</v>
      </c>
      <c r="K1005" s="1" t="s">
        <v>22</v>
      </c>
      <c r="L1005" s="8">
        <v>0</v>
      </c>
      <c r="M1005" s="6"/>
      <c r="N1005" s="6"/>
      <c r="O1005" s="9">
        <v>-15.22</v>
      </c>
    </row>
    <row r="1006" spans="1:15" ht="19.5" customHeight="1">
      <c r="A1006" s="1" t="s">
        <v>602</v>
      </c>
      <c r="B1006" s="5">
        <v>45926</v>
      </c>
      <c r="C1006" s="1" t="s">
        <v>28</v>
      </c>
      <c r="D1006" s="1" t="s">
        <v>29</v>
      </c>
      <c r="E1006" s="1" t="s">
        <v>243</v>
      </c>
      <c r="F1006" s="1" t="s">
        <v>603</v>
      </c>
      <c r="G1006" s="1" t="s">
        <v>41</v>
      </c>
      <c r="H1006" s="6">
        <v>1</v>
      </c>
      <c r="I1006" s="7">
        <v>0</v>
      </c>
      <c r="J1006" s="5">
        <v>45918</v>
      </c>
      <c r="K1006" s="1" t="s">
        <v>30</v>
      </c>
      <c r="L1006" s="8">
        <v>0</v>
      </c>
      <c r="M1006" s="6"/>
      <c r="N1006" s="6"/>
      <c r="O1006" s="9">
        <v>-56</v>
      </c>
    </row>
    <row r="1007" spans="1:15" ht="19.5" customHeight="1">
      <c r="A1007" s="1" t="s">
        <v>602</v>
      </c>
      <c r="B1007" s="5">
        <v>45926</v>
      </c>
      <c r="C1007" s="1" t="s">
        <v>17</v>
      </c>
      <c r="D1007" s="1" t="s">
        <v>37</v>
      </c>
      <c r="E1007" s="1" t="s">
        <v>243</v>
      </c>
      <c r="F1007" s="1" t="s">
        <v>603</v>
      </c>
      <c r="G1007" s="1" t="s">
        <v>41</v>
      </c>
      <c r="H1007" s="6">
        <v>1</v>
      </c>
      <c r="I1007" s="7">
        <v>0</v>
      </c>
      <c r="J1007" s="5">
        <v>45918</v>
      </c>
      <c r="K1007" s="1" t="s">
        <v>30</v>
      </c>
      <c r="L1007" s="8">
        <v>0</v>
      </c>
      <c r="M1007" s="6"/>
      <c r="N1007" s="6"/>
      <c r="O1007" s="9">
        <v>-13.52</v>
      </c>
    </row>
    <row r="1008" spans="1:15" ht="19.5" customHeight="1">
      <c r="A1008" s="1" t="s">
        <v>602</v>
      </c>
      <c r="B1008" s="5">
        <v>45926</v>
      </c>
      <c r="C1008" s="1" t="s">
        <v>28</v>
      </c>
      <c r="D1008" s="1" t="s">
        <v>45</v>
      </c>
      <c r="E1008" s="1" t="s">
        <v>243</v>
      </c>
      <c r="F1008" s="1" t="s">
        <v>603</v>
      </c>
      <c r="G1008" s="1" t="s">
        <v>41</v>
      </c>
      <c r="H1008" s="6">
        <v>1</v>
      </c>
      <c r="I1008" s="7">
        <v>0</v>
      </c>
      <c r="J1008" s="5">
        <v>45918</v>
      </c>
      <c r="K1008" s="1" t="s">
        <v>30</v>
      </c>
      <c r="L1008" s="8">
        <v>0</v>
      </c>
      <c r="M1008" s="6"/>
      <c r="N1008" s="6"/>
      <c r="O1008" s="9">
        <v>0</v>
      </c>
    </row>
    <row r="1009" spans="1:15" ht="19.5" customHeight="1">
      <c r="A1009" s="1" t="s">
        <v>602</v>
      </c>
      <c r="B1009" s="5">
        <v>45926</v>
      </c>
      <c r="C1009" s="1" t="s">
        <v>28</v>
      </c>
      <c r="D1009" s="1" t="s">
        <v>46</v>
      </c>
      <c r="E1009" s="1" t="s">
        <v>243</v>
      </c>
      <c r="F1009" s="1" t="s">
        <v>603</v>
      </c>
      <c r="G1009" s="1" t="s">
        <v>41</v>
      </c>
      <c r="H1009" s="6">
        <v>1</v>
      </c>
      <c r="I1009" s="7">
        <v>0</v>
      </c>
      <c r="J1009" s="5">
        <v>45918</v>
      </c>
      <c r="K1009" s="1" t="s">
        <v>30</v>
      </c>
      <c r="L1009" s="8">
        <v>0</v>
      </c>
      <c r="M1009" s="6"/>
      <c r="N1009" s="6"/>
      <c r="O1009" s="9">
        <v>-56</v>
      </c>
    </row>
    <row r="1010" spans="1:15" ht="19.5" customHeight="1">
      <c r="A1010" s="1" t="s">
        <v>586</v>
      </c>
      <c r="B1010" s="5">
        <v>45926</v>
      </c>
      <c r="C1010" s="1" t="s">
        <v>126</v>
      </c>
      <c r="D1010" s="1" t="s">
        <v>127</v>
      </c>
      <c r="E1010" s="1" t="s">
        <v>25</v>
      </c>
      <c r="F1010" s="1" t="s">
        <v>26</v>
      </c>
      <c r="G1010" s="1" t="s">
        <v>21</v>
      </c>
      <c r="H1010" s="6">
        <v>1</v>
      </c>
      <c r="I1010" s="7">
        <v>-1176</v>
      </c>
      <c r="J1010" s="5">
        <v>45923</v>
      </c>
      <c r="K1010" s="1" t="s">
        <v>30</v>
      </c>
      <c r="L1010" s="8">
        <v>0</v>
      </c>
      <c r="M1010" s="6"/>
      <c r="N1010" s="6"/>
      <c r="O1010" s="9">
        <v>-588.57000000000005</v>
      </c>
    </row>
    <row r="1011" spans="1:15" ht="19.5" customHeight="1">
      <c r="A1011" s="1" t="s">
        <v>586</v>
      </c>
      <c r="B1011" s="5">
        <v>45926</v>
      </c>
      <c r="C1011" s="1" t="s">
        <v>126</v>
      </c>
      <c r="D1011" s="1" t="s">
        <v>33</v>
      </c>
      <c r="E1011" s="1" t="s">
        <v>25</v>
      </c>
      <c r="F1011" s="1" t="s">
        <v>26</v>
      </c>
      <c r="G1011" s="1" t="s">
        <v>21</v>
      </c>
      <c r="H1011" s="6">
        <v>1</v>
      </c>
      <c r="I1011" s="7">
        <v>-1176</v>
      </c>
      <c r="J1011" s="5">
        <v>45923</v>
      </c>
      <c r="K1011" s="1" t="s">
        <v>30</v>
      </c>
      <c r="L1011" s="8">
        <v>0</v>
      </c>
      <c r="M1011" s="6"/>
      <c r="N1011" s="6"/>
      <c r="O1011" s="9">
        <v>-4.33</v>
      </c>
    </row>
    <row r="1012" spans="1:15" ht="19.5" customHeight="1">
      <c r="A1012" s="1" t="s">
        <v>586</v>
      </c>
      <c r="B1012" s="5">
        <v>45926</v>
      </c>
      <c r="C1012" s="1" t="s">
        <v>126</v>
      </c>
      <c r="D1012" s="1" t="s">
        <v>34</v>
      </c>
      <c r="E1012" s="1" t="s">
        <v>25</v>
      </c>
      <c r="F1012" s="1" t="s">
        <v>26</v>
      </c>
      <c r="G1012" s="1" t="s">
        <v>21</v>
      </c>
      <c r="H1012" s="6">
        <v>1</v>
      </c>
      <c r="I1012" s="7">
        <v>-1176</v>
      </c>
      <c r="J1012" s="5">
        <v>45923</v>
      </c>
      <c r="K1012" s="1" t="s">
        <v>30</v>
      </c>
      <c r="L1012" s="8">
        <v>0</v>
      </c>
      <c r="M1012" s="6"/>
      <c r="N1012" s="6"/>
      <c r="O1012" s="9">
        <v>-583.1</v>
      </c>
    </row>
    <row r="1013" spans="1:15" ht="19.5" customHeight="1">
      <c r="A1013" s="1" t="s">
        <v>586</v>
      </c>
      <c r="B1013" s="5">
        <v>45926</v>
      </c>
      <c r="C1013" s="1" t="s">
        <v>35</v>
      </c>
      <c r="D1013" s="1" t="s">
        <v>128</v>
      </c>
      <c r="E1013" s="1" t="s">
        <v>25</v>
      </c>
      <c r="F1013" s="1" t="s">
        <v>26</v>
      </c>
      <c r="G1013" s="1" t="s">
        <v>21</v>
      </c>
      <c r="H1013" s="6">
        <v>1</v>
      </c>
      <c r="I1013" s="7">
        <v>-1176</v>
      </c>
      <c r="J1013" s="5">
        <v>45923</v>
      </c>
      <c r="K1013" s="1" t="s">
        <v>30</v>
      </c>
      <c r="L1013" s="8">
        <v>0.2</v>
      </c>
      <c r="M1013" s="6"/>
      <c r="N1013" s="6"/>
      <c r="O1013" s="9">
        <v>235.2</v>
      </c>
    </row>
    <row r="1014" spans="1:15" ht="19.5" customHeight="1">
      <c r="A1014" s="1" t="s">
        <v>586</v>
      </c>
      <c r="B1014" s="5">
        <v>45926</v>
      </c>
      <c r="C1014" s="1" t="s">
        <v>17</v>
      </c>
      <c r="D1014" s="1" t="s">
        <v>18</v>
      </c>
      <c r="E1014" s="1" t="s">
        <v>25</v>
      </c>
      <c r="F1014" s="1" t="s">
        <v>26</v>
      </c>
      <c r="G1014" s="1" t="s">
        <v>21</v>
      </c>
      <c r="H1014" s="6">
        <v>1</v>
      </c>
      <c r="I1014" s="7">
        <v>0</v>
      </c>
      <c r="J1014" s="5">
        <v>45923</v>
      </c>
      <c r="K1014" s="1" t="s">
        <v>22</v>
      </c>
      <c r="L1014" s="8">
        <v>0</v>
      </c>
      <c r="M1014" s="6"/>
      <c r="N1014" s="6"/>
      <c r="O1014" s="9">
        <v>11.18</v>
      </c>
    </row>
    <row r="1015" spans="1:15" ht="19.5" customHeight="1">
      <c r="A1015" s="1" t="s">
        <v>604</v>
      </c>
      <c r="B1015" s="5">
        <v>45926</v>
      </c>
      <c r="C1015" s="1" t="s">
        <v>28</v>
      </c>
      <c r="D1015" s="1" t="s">
        <v>29</v>
      </c>
      <c r="E1015" s="1" t="s">
        <v>92</v>
      </c>
      <c r="F1015" s="1" t="s">
        <v>93</v>
      </c>
      <c r="G1015" s="1" t="s">
        <v>21</v>
      </c>
      <c r="H1015" s="6">
        <v>1</v>
      </c>
      <c r="I1015" s="7">
        <v>1300</v>
      </c>
      <c r="J1015" s="5">
        <v>45919</v>
      </c>
      <c r="K1015" s="1" t="s">
        <v>30</v>
      </c>
      <c r="L1015" s="8">
        <v>0.2</v>
      </c>
      <c r="M1015" s="6"/>
      <c r="N1015" s="6"/>
      <c r="O1015" s="9">
        <v>-46</v>
      </c>
    </row>
    <row r="1016" spans="1:15" ht="19.5" customHeight="1">
      <c r="A1016" s="1" t="s">
        <v>604</v>
      </c>
      <c r="B1016" s="5">
        <v>45926</v>
      </c>
      <c r="C1016" s="1" t="s">
        <v>31</v>
      </c>
      <c r="D1016" s="1" t="s">
        <v>32</v>
      </c>
      <c r="E1016" s="1" t="s">
        <v>92</v>
      </c>
      <c r="F1016" s="1" t="s">
        <v>93</v>
      </c>
      <c r="G1016" s="1" t="s">
        <v>21</v>
      </c>
      <c r="H1016" s="6">
        <v>1</v>
      </c>
      <c r="I1016" s="7">
        <v>1300</v>
      </c>
      <c r="J1016" s="5">
        <v>45919</v>
      </c>
      <c r="K1016" s="1" t="s">
        <v>30</v>
      </c>
      <c r="L1016" s="8">
        <v>0</v>
      </c>
      <c r="M1016" s="6"/>
      <c r="N1016" s="6"/>
      <c r="O1016" s="9">
        <v>764.76</v>
      </c>
    </row>
    <row r="1017" spans="1:15" ht="19.5" customHeight="1">
      <c r="A1017" s="1" t="s">
        <v>604</v>
      </c>
      <c r="B1017" s="5">
        <v>45926</v>
      </c>
      <c r="C1017" s="1" t="s">
        <v>31</v>
      </c>
      <c r="D1017" s="1" t="s">
        <v>33</v>
      </c>
      <c r="E1017" s="1" t="s">
        <v>92</v>
      </c>
      <c r="F1017" s="1" t="s">
        <v>93</v>
      </c>
      <c r="G1017" s="1" t="s">
        <v>21</v>
      </c>
      <c r="H1017" s="6">
        <v>1</v>
      </c>
      <c r="I1017" s="7">
        <v>1300</v>
      </c>
      <c r="J1017" s="5">
        <v>45919</v>
      </c>
      <c r="K1017" s="1" t="s">
        <v>30</v>
      </c>
      <c r="L1017" s="8">
        <v>0</v>
      </c>
      <c r="M1017" s="6"/>
      <c r="N1017" s="6"/>
      <c r="O1017" s="9">
        <v>0</v>
      </c>
    </row>
    <row r="1018" spans="1:15" ht="19.5" customHeight="1">
      <c r="A1018" s="1" t="s">
        <v>604</v>
      </c>
      <c r="B1018" s="5">
        <v>45926</v>
      </c>
      <c r="C1018" s="1" t="s">
        <v>31</v>
      </c>
      <c r="D1018" s="1" t="s">
        <v>34</v>
      </c>
      <c r="E1018" s="1" t="s">
        <v>92</v>
      </c>
      <c r="F1018" s="1" t="s">
        <v>93</v>
      </c>
      <c r="G1018" s="1" t="s">
        <v>21</v>
      </c>
      <c r="H1018" s="6">
        <v>1</v>
      </c>
      <c r="I1018" s="7">
        <v>1300</v>
      </c>
      <c r="J1018" s="5">
        <v>45919</v>
      </c>
      <c r="K1018" s="1" t="s">
        <v>30</v>
      </c>
      <c r="L1018" s="8">
        <v>0</v>
      </c>
      <c r="M1018" s="6"/>
      <c r="N1018" s="6"/>
      <c r="O1018" s="9">
        <v>535.24</v>
      </c>
    </row>
    <row r="1019" spans="1:15" ht="19.5" customHeight="1">
      <c r="A1019" s="1" t="s">
        <v>604</v>
      </c>
      <c r="B1019" s="5">
        <v>45926</v>
      </c>
      <c r="C1019" s="1" t="s">
        <v>35</v>
      </c>
      <c r="D1019" s="1" t="s">
        <v>36</v>
      </c>
      <c r="E1019" s="1" t="s">
        <v>92</v>
      </c>
      <c r="F1019" s="1" t="s">
        <v>93</v>
      </c>
      <c r="G1019" s="1" t="s">
        <v>21</v>
      </c>
      <c r="H1019" s="6">
        <v>1</v>
      </c>
      <c r="I1019" s="7">
        <v>1300</v>
      </c>
      <c r="J1019" s="5">
        <v>45919</v>
      </c>
      <c r="K1019" s="1" t="s">
        <v>30</v>
      </c>
      <c r="L1019" s="8">
        <v>0.2</v>
      </c>
      <c r="M1019" s="6"/>
      <c r="N1019" s="6"/>
      <c r="O1019" s="9">
        <v>-260</v>
      </c>
    </row>
    <row r="1020" spans="1:15" ht="19.5" customHeight="1">
      <c r="A1020" s="1" t="s">
        <v>604</v>
      </c>
      <c r="B1020" s="5">
        <v>45926</v>
      </c>
      <c r="C1020" s="1" t="s">
        <v>17</v>
      </c>
      <c r="D1020" s="1" t="s">
        <v>37</v>
      </c>
      <c r="E1020" s="1" t="s">
        <v>92</v>
      </c>
      <c r="F1020" s="1" t="s">
        <v>93</v>
      </c>
      <c r="G1020" s="1" t="s">
        <v>21</v>
      </c>
      <c r="H1020" s="6">
        <v>1</v>
      </c>
      <c r="I1020" s="7">
        <v>1300</v>
      </c>
      <c r="J1020" s="5">
        <v>45919</v>
      </c>
      <c r="K1020" s="1" t="s">
        <v>30</v>
      </c>
      <c r="L1020" s="8">
        <v>0.2</v>
      </c>
      <c r="M1020" s="6"/>
      <c r="N1020" s="6"/>
      <c r="O1020" s="9">
        <v>-7.26</v>
      </c>
    </row>
    <row r="1021" spans="1:15" ht="19.5" customHeight="1">
      <c r="A1021" s="1" t="s">
        <v>605</v>
      </c>
      <c r="B1021" s="5">
        <v>45926</v>
      </c>
      <c r="C1021" s="1" t="s">
        <v>17</v>
      </c>
      <c r="D1021" s="1" t="s">
        <v>18</v>
      </c>
      <c r="E1021" s="1" t="s">
        <v>25</v>
      </c>
      <c r="F1021" s="1" t="s">
        <v>26</v>
      </c>
      <c r="G1021" s="1" t="s">
        <v>21</v>
      </c>
      <c r="H1021" s="6">
        <v>1</v>
      </c>
      <c r="I1021" s="7">
        <v>0</v>
      </c>
      <c r="J1021" s="5">
        <v>45926</v>
      </c>
      <c r="K1021" s="1" t="s">
        <v>22</v>
      </c>
      <c r="L1021" s="8">
        <v>0</v>
      </c>
      <c r="M1021" s="6"/>
      <c r="N1021" s="6"/>
      <c r="O1021" s="9">
        <v>-3.32</v>
      </c>
    </row>
    <row r="1022" spans="1:15" ht="19.5" customHeight="1">
      <c r="A1022" s="1" t="s">
        <v>606</v>
      </c>
      <c r="B1022" s="5">
        <v>45926</v>
      </c>
      <c r="C1022" s="1" t="s">
        <v>28</v>
      </c>
      <c r="D1022" s="1" t="s">
        <v>29</v>
      </c>
      <c r="E1022" s="1" t="s">
        <v>54</v>
      </c>
      <c r="F1022" s="1" t="s">
        <v>55</v>
      </c>
      <c r="G1022" s="1" t="s">
        <v>21</v>
      </c>
      <c r="H1022" s="6">
        <v>1</v>
      </c>
      <c r="I1022" s="7">
        <v>1344</v>
      </c>
      <c r="J1022" s="5">
        <v>45922</v>
      </c>
      <c r="K1022" s="1" t="s">
        <v>30</v>
      </c>
      <c r="L1022" s="8">
        <v>0.2</v>
      </c>
      <c r="M1022" s="6"/>
      <c r="N1022" s="6"/>
      <c r="O1022" s="9">
        <v>-46</v>
      </c>
    </row>
    <row r="1023" spans="1:15" ht="19.5" customHeight="1">
      <c r="A1023" s="1" t="s">
        <v>606</v>
      </c>
      <c r="B1023" s="5">
        <v>45926</v>
      </c>
      <c r="C1023" s="1" t="s">
        <v>31</v>
      </c>
      <c r="D1023" s="1" t="s">
        <v>32</v>
      </c>
      <c r="E1023" s="1" t="s">
        <v>54</v>
      </c>
      <c r="F1023" s="1" t="s">
        <v>55</v>
      </c>
      <c r="G1023" s="1" t="s">
        <v>21</v>
      </c>
      <c r="H1023" s="6">
        <v>1</v>
      </c>
      <c r="I1023" s="7">
        <v>1344</v>
      </c>
      <c r="J1023" s="5">
        <v>45922</v>
      </c>
      <c r="K1023" s="1" t="s">
        <v>30</v>
      </c>
      <c r="L1023" s="8">
        <v>0</v>
      </c>
      <c r="M1023" s="6"/>
      <c r="N1023" s="6"/>
      <c r="O1023" s="9">
        <v>607.33000000000004</v>
      </c>
    </row>
    <row r="1024" spans="1:15" ht="19.5" customHeight="1">
      <c r="A1024" s="1" t="s">
        <v>606</v>
      </c>
      <c r="B1024" s="5">
        <v>45926</v>
      </c>
      <c r="C1024" s="1" t="s">
        <v>31</v>
      </c>
      <c r="D1024" s="1" t="s">
        <v>33</v>
      </c>
      <c r="E1024" s="1" t="s">
        <v>54</v>
      </c>
      <c r="F1024" s="1" t="s">
        <v>55</v>
      </c>
      <c r="G1024" s="1" t="s">
        <v>21</v>
      </c>
      <c r="H1024" s="6">
        <v>1</v>
      </c>
      <c r="I1024" s="7">
        <v>1344</v>
      </c>
      <c r="J1024" s="5">
        <v>45922</v>
      </c>
      <c r="K1024" s="1" t="s">
        <v>30</v>
      </c>
      <c r="L1024" s="8">
        <v>0</v>
      </c>
      <c r="M1024" s="6"/>
      <c r="N1024" s="6"/>
      <c r="O1024" s="9">
        <v>4.46</v>
      </c>
    </row>
    <row r="1025" spans="1:15" ht="19.5" customHeight="1">
      <c r="A1025" s="1" t="s">
        <v>606</v>
      </c>
      <c r="B1025" s="5">
        <v>45926</v>
      </c>
      <c r="C1025" s="1" t="s">
        <v>31</v>
      </c>
      <c r="D1025" s="1" t="s">
        <v>34</v>
      </c>
      <c r="E1025" s="1" t="s">
        <v>54</v>
      </c>
      <c r="F1025" s="1" t="s">
        <v>55</v>
      </c>
      <c r="G1025" s="1" t="s">
        <v>21</v>
      </c>
      <c r="H1025" s="6">
        <v>1</v>
      </c>
      <c r="I1025" s="7">
        <v>1344</v>
      </c>
      <c r="J1025" s="5">
        <v>45922</v>
      </c>
      <c r="K1025" s="1" t="s">
        <v>30</v>
      </c>
      <c r="L1025" s="8">
        <v>0</v>
      </c>
      <c r="M1025" s="6"/>
      <c r="N1025" s="6"/>
      <c r="O1025" s="9">
        <v>732.21</v>
      </c>
    </row>
    <row r="1026" spans="1:15" ht="19.5" customHeight="1">
      <c r="A1026" s="1" t="s">
        <v>606</v>
      </c>
      <c r="B1026" s="5">
        <v>45926</v>
      </c>
      <c r="C1026" s="1" t="s">
        <v>35</v>
      </c>
      <c r="D1026" s="1" t="s">
        <v>36</v>
      </c>
      <c r="E1026" s="1" t="s">
        <v>54</v>
      </c>
      <c r="F1026" s="1" t="s">
        <v>55</v>
      </c>
      <c r="G1026" s="1" t="s">
        <v>21</v>
      </c>
      <c r="H1026" s="6">
        <v>1</v>
      </c>
      <c r="I1026" s="7">
        <v>1344</v>
      </c>
      <c r="J1026" s="5">
        <v>45922</v>
      </c>
      <c r="K1026" s="1" t="s">
        <v>30</v>
      </c>
      <c r="L1026" s="8">
        <v>0.2</v>
      </c>
      <c r="M1026" s="6"/>
      <c r="N1026" s="6"/>
      <c r="O1026" s="9">
        <v>-268.8</v>
      </c>
    </row>
    <row r="1027" spans="1:15" ht="19.5" customHeight="1">
      <c r="A1027" s="1" t="s">
        <v>606</v>
      </c>
      <c r="B1027" s="5">
        <v>45926</v>
      </c>
      <c r="C1027" s="1" t="s">
        <v>17</v>
      </c>
      <c r="D1027" s="1" t="s">
        <v>37</v>
      </c>
      <c r="E1027" s="1" t="s">
        <v>54</v>
      </c>
      <c r="F1027" s="1" t="s">
        <v>55</v>
      </c>
      <c r="G1027" s="1" t="s">
        <v>21</v>
      </c>
      <c r="H1027" s="6">
        <v>1</v>
      </c>
      <c r="I1027" s="7">
        <v>1344</v>
      </c>
      <c r="J1027" s="5">
        <v>45922</v>
      </c>
      <c r="K1027" s="1" t="s">
        <v>30</v>
      </c>
      <c r="L1027" s="8">
        <v>0.2</v>
      </c>
      <c r="M1027" s="6"/>
      <c r="N1027" s="6"/>
      <c r="O1027" s="9">
        <v>-7.43</v>
      </c>
    </row>
    <row r="1028" spans="1:15" ht="19.5" customHeight="1">
      <c r="A1028" s="1" t="s">
        <v>606</v>
      </c>
      <c r="B1028" s="5">
        <v>45926</v>
      </c>
      <c r="C1028" s="1" t="s">
        <v>17</v>
      </c>
      <c r="D1028" s="1" t="s">
        <v>18</v>
      </c>
      <c r="E1028" s="1" t="s">
        <v>54</v>
      </c>
      <c r="F1028" s="1" t="s">
        <v>55</v>
      </c>
      <c r="G1028" s="1" t="s">
        <v>21</v>
      </c>
      <c r="H1028" s="6">
        <v>1</v>
      </c>
      <c r="I1028" s="7">
        <v>0</v>
      </c>
      <c r="J1028" s="5">
        <v>45922</v>
      </c>
      <c r="K1028" s="1" t="s">
        <v>22</v>
      </c>
      <c r="L1028" s="8">
        <v>0</v>
      </c>
      <c r="M1028" s="6"/>
      <c r="N1028" s="6"/>
      <c r="O1028" s="9">
        <v>-11.54</v>
      </c>
    </row>
    <row r="1029" spans="1:15" ht="19.5" customHeight="1">
      <c r="A1029" s="1" t="s">
        <v>607</v>
      </c>
      <c r="B1029" s="5">
        <v>45926</v>
      </c>
      <c r="C1029" s="1" t="s">
        <v>28</v>
      </c>
      <c r="D1029" s="1" t="s">
        <v>29</v>
      </c>
      <c r="E1029" s="1" t="s">
        <v>70</v>
      </c>
      <c r="F1029" s="1" t="s">
        <v>71</v>
      </c>
      <c r="G1029" s="1" t="s">
        <v>41</v>
      </c>
      <c r="H1029" s="6">
        <v>1</v>
      </c>
      <c r="I1029" s="7">
        <v>3690</v>
      </c>
      <c r="J1029" s="5">
        <v>45923</v>
      </c>
      <c r="K1029" s="1" t="s">
        <v>30</v>
      </c>
      <c r="L1029" s="8">
        <v>0.18</v>
      </c>
      <c r="M1029" s="6"/>
      <c r="N1029" s="6"/>
      <c r="O1029" s="9">
        <v>-56</v>
      </c>
    </row>
    <row r="1030" spans="1:15" ht="19.5" customHeight="1">
      <c r="A1030" s="1" t="s">
        <v>607</v>
      </c>
      <c r="B1030" s="5">
        <v>45926</v>
      </c>
      <c r="C1030" s="1" t="s">
        <v>31</v>
      </c>
      <c r="D1030" s="1" t="s">
        <v>32</v>
      </c>
      <c r="E1030" s="1" t="s">
        <v>70</v>
      </c>
      <c r="F1030" s="1" t="s">
        <v>71</v>
      </c>
      <c r="G1030" s="1" t="s">
        <v>41</v>
      </c>
      <c r="H1030" s="6">
        <v>1</v>
      </c>
      <c r="I1030" s="7">
        <v>3690</v>
      </c>
      <c r="J1030" s="5">
        <v>45923</v>
      </c>
      <c r="K1030" s="1" t="s">
        <v>30</v>
      </c>
      <c r="L1030" s="8">
        <v>0</v>
      </c>
      <c r="M1030" s="6"/>
      <c r="N1030" s="6"/>
      <c r="O1030" s="9">
        <v>2349.9899999999998</v>
      </c>
    </row>
    <row r="1031" spans="1:15" ht="19.5" customHeight="1">
      <c r="A1031" s="1" t="s">
        <v>607</v>
      </c>
      <c r="B1031" s="5">
        <v>45926</v>
      </c>
      <c r="C1031" s="1" t="s">
        <v>31</v>
      </c>
      <c r="D1031" s="1" t="s">
        <v>33</v>
      </c>
      <c r="E1031" s="1" t="s">
        <v>70</v>
      </c>
      <c r="F1031" s="1" t="s">
        <v>71</v>
      </c>
      <c r="G1031" s="1" t="s">
        <v>41</v>
      </c>
      <c r="H1031" s="6">
        <v>1</v>
      </c>
      <c r="I1031" s="7">
        <v>3690</v>
      </c>
      <c r="J1031" s="5">
        <v>45923</v>
      </c>
      <c r="K1031" s="1" t="s">
        <v>30</v>
      </c>
      <c r="L1031" s="8">
        <v>0</v>
      </c>
      <c r="M1031" s="6"/>
      <c r="N1031" s="6"/>
      <c r="O1031" s="9">
        <v>17.27</v>
      </c>
    </row>
    <row r="1032" spans="1:15" ht="19.5" customHeight="1">
      <c r="A1032" s="1" t="s">
        <v>607</v>
      </c>
      <c r="B1032" s="5">
        <v>45926</v>
      </c>
      <c r="C1032" s="1" t="s">
        <v>31</v>
      </c>
      <c r="D1032" s="1" t="s">
        <v>34</v>
      </c>
      <c r="E1032" s="1" t="s">
        <v>70</v>
      </c>
      <c r="F1032" s="1" t="s">
        <v>71</v>
      </c>
      <c r="G1032" s="1" t="s">
        <v>41</v>
      </c>
      <c r="H1032" s="6">
        <v>1</v>
      </c>
      <c r="I1032" s="7">
        <v>3690</v>
      </c>
      <c r="J1032" s="5">
        <v>45923</v>
      </c>
      <c r="K1032" s="1" t="s">
        <v>30</v>
      </c>
      <c r="L1032" s="8">
        <v>0</v>
      </c>
      <c r="M1032" s="6"/>
      <c r="N1032" s="6"/>
      <c r="O1032" s="9">
        <v>1322.74</v>
      </c>
    </row>
    <row r="1033" spans="1:15" ht="19.5" customHeight="1">
      <c r="A1033" s="1" t="s">
        <v>607</v>
      </c>
      <c r="B1033" s="5">
        <v>45926</v>
      </c>
      <c r="C1033" s="1" t="s">
        <v>35</v>
      </c>
      <c r="D1033" s="1" t="s">
        <v>36</v>
      </c>
      <c r="E1033" s="1" t="s">
        <v>70</v>
      </c>
      <c r="F1033" s="1" t="s">
        <v>71</v>
      </c>
      <c r="G1033" s="1" t="s">
        <v>41</v>
      </c>
      <c r="H1033" s="6">
        <v>1</v>
      </c>
      <c r="I1033" s="7">
        <v>3690</v>
      </c>
      <c r="J1033" s="5">
        <v>45923</v>
      </c>
      <c r="K1033" s="1" t="s">
        <v>30</v>
      </c>
      <c r="L1033" s="8">
        <v>0.18</v>
      </c>
      <c r="M1033" s="6"/>
      <c r="N1033" s="6"/>
      <c r="O1033" s="9">
        <v>-664.2</v>
      </c>
    </row>
    <row r="1034" spans="1:15" ht="19.5" customHeight="1">
      <c r="A1034" s="1" t="s">
        <v>608</v>
      </c>
      <c r="B1034" s="5">
        <v>45926</v>
      </c>
      <c r="C1034" s="1" t="s">
        <v>28</v>
      </c>
      <c r="D1034" s="1" t="s">
        <v>29</v>
      </c>
      <c r="E1034" s="1" t="s">
        <v>25</v>
      </c>
      <c r="F1034" s="1" t="s">
        <v>26</v>
      </c>
      <c r="G1034" s="1" t="s">
        <v>21</v>
      </c>
      <c r="H1034" s="6">
        <v>1</v>
      </c>
      <c r="I1034" s="7">
        <v>1176</v>
      </c>
      <c r="J1034" s="5">
        <v>45924</v>
      </c>
      <c r="K1034" s="1" t="s">
        <v>30</v>
      </c>
      <c r="L1034" s="8">
        <v>0.2</v>
      </c>
      <c r="M1034" s="6"/>
      <c r="N1034" s="6"/>
      <c r="O1034" s="9">
        <v>-46</v>
      </c>
    </row>
    <row r="1035" spans="1:15" ht="19.5" customHeight="1">
      <c r="A1035" s="1" t="s">
        <v>608</v>
      </c>
      <c r="B1035" s="5">
        <v>45926</v>
      </c>
      <c r="C1035" s="1" t="s">
        <v>31</v>
      </c>
      <c r="D1035" s="1" t="s">
        <v>32</v>
      </c>
      <c r="E1035" s="1" t="s">
        <v>25</v>
      </c>
      <c r="F1035" s="1" t="s">
        <v>26</v>
      </c>
      <c r="G1035" s="1" t="s">
        <v>21</v>
      </c>
      <c r="H1035" s="6">
        <v>1</v>
      </c>
      <c r="I1035" s="7">
        <v>1176</v>
      </c>
      <c r="J1035" s="5">
        <v>45924</v>
      </c>
      <c r="K1035" s="1" t="s">
        <v>30</v>
      </c>
      <c r="L1035" s="8">
        <v>0</v>
      </c>
      <c r="M1035" s="6"/>
      <c r="N1035" s="6"/>
      <c r="O1035" s="9">
        <v>571.42999999999995</v>
      </c>
    </row>
    <row r="1036" spans="1:15" ht="19.5" customHeight="1">
      <c r="A1036" s="1" t="s">
        <v>608</v>
      </c>
      <c r="B1036" s="5">
        <v>45926</v>
      </c>
      <c r="C1036" s="1" t="s">
        <v>31</v>
      </c>
      <c r="D1036" s="1" t="s">
        <v>33</v>
      </c>
      <c r="E1036" s="1" t="s">
        <v>25</v>
      </c>
      <c r="F1036" s="1" t="s">
        <v>26</v>
      </c>
      <c r="G1036" s="1" t="s">
        <v>21</v>
      </c>
      <c r="H1036" s="6">
        <v>1</v>
      </c>
      <c r="I1036" s="7">
        <v>1176</v>
      </c>
      <c r="J1036" s="5">
        <v>45924</v>
      </c>
      <c r="K1036" s="1" t="s">
        <v>30</v>
      </c>
      <c r="L1036" s="8">
        <v>0</v>
      </c>
      <c r="M1036" s="6"/>
      <c r="N1036" s="6"/>
      <c r="O1036" s="9">
        <v>4.2</v>
      </c>
    </row>
    <row r="1037" spans="1:15" ht="19.5" customHeight="1">
      <c r="A1037" s="1" t="s">
        <v>608</v>
      </c>
      <c r="B1037" s="5">
        <v>45926</v>
      </c>
      <c r="C1037" s="1" t="s">
        <v>31</v>
      </c>
      <c r="D1037" s="1" t="s">
        <v>34</v>
      </c>
      <c r="E1037" s="1" t="s">
        <v>25</v>
      </c>
      <c r="F1037" s="1" t="s">
        <v>26</v>
      </c>
      <c r="G1037" s="1" t="s">
        <v>21</v>
      </c>
      <c r="H1037" s="6">
        <v>1</v>
      </c>
      <c r="I1037" s="7">
        <v>1176</v>
      </c>
      <c r="J1037" s="5">
        <v>45924</v>
      </c>
      <c r="K1037" s="1" t="s">
        <v>30</v>
      </c>
      <c r="L1037" s="8">
        <v>0</v>
      </c>
      <c r="M1037" s="6"/>
      <c r="N1037" s="6"/>
      <c r="O1037" s="9">
        <v>600.37</v>
      </c>
    </row>
    <row r="1038" spans="1:15" ht="19.5" customHeight="1">
      <c r="A1038" s="1" t="s">
        <v>608</v>
      </c>
      <c r="B1038" s="5">
        <v>45926</v>
      </c>
      <c r="C1038" s="1" t="s">
        <v>35</v>
      </c>
      <c r="D1038" s="1" t="s">
        <v>36</v>
      </c>
      <c r="E1038" s="1" t="s">
        <v>25</v>
      </c>
      <c r="F1038" s="1" t="s">
        <v>26</v>
      </c>
      <c r="G1038" s="1" t="s">
        <v>21</v>
      </c>
      <c r="H1038" s="6">
        <v>1</v>
      </c>
      <c r="I1038" s="7">
        <v>1176</v>
      </c>
      <c r="J1038" s="5">
        <v>45924</v>
      </c>
      <c r="K1038" s="1" t="s">
        <v>30</v>
      </c>
      <c r="L1038" s="8">
        <v>0.2</v>
      </c>
      <c r="M1038" s="6"/>
      <c r="N1038" s="6"/>
      <c r="O1038" s="9">
        <v>-235.2</v>
      </c>
    </row>
    <row r="1039" spans="1:15" ht="19.5" customHeight="1">
      <c r="A1039" s="1" t="s">
        <v>608</v>
      </c>
      <c r="B1039" s="5">
        <v>45926</v>
      </c>
      <c r="C1039" s="1" t="s">
        <v>17</v>
      </c>
      <c r="D1039" s="1" t="s">
        <v>37</v>
      </c>
      <c r="E1039" s="1" t="s">
        <v>25</v>
      </c>
      <c r="F1039" s="1" t="s">
        <v>26</v>
      </c>
      <c r="G1039" s="1" t="s">
        <v>21</v>
      </c>
      <c r="H1039" s="6">
        <v>1</v>
      </c>
      <c r="I1039" s="7">
        <v>1176</v>
      </c>
      <c r="J1039" s="5">
        <v>45924</v>
      </c>
      <c r="K1039" s="1" t="s">
        <v>30</v>
      </c>
      <c r="L1039" s="8">
        <v>0.2</v>
      </c>
      <c r="M1039" s="6"/>
      <c r="N1039" s="6"/>
      <c r="O1039" s="9">
        <v>-5.57</v>
      </c>
    </row>
    <row r="1040" spans="1:15" ht="19.5" customHeight="1">
      <c r="A1040" s="1" t="s">
        <v>608</v>
      </c>
      <c r="B1040" s="5">
        <v>45926</v>
      </c>
      <c r="C1040" s="1" t="s">
        <v>17</v>
      </c>
      <c r="D1040" s="1" t="s">
        <v>18</v>
      </c>
      <c r="E1040" s="1" t="s">
        <v>25</v>
      </c>
      <c r="F1040" s="1" t="s">
        <v>26</v>
      </c>
      <c r="G1040" s="1" t="s">
        <v>21</v>
      </c>
      <c r="H1040" s="6">
        <v>1</v>
      </c>
      <c r="I1040" s="7">
        <v>0</v>
      </c>
      <c r="J1040" s="5">
        <v>45924</v>
      </c>
      <c r="K1040" s="1" t="s">
        <v>22</v>
      </c>
      <c r="L1040" s="8">
        <v>0</v>
      </c>
      <c r="M1040" s="6"/>
      <c r="N1040" s="6"/>
      <c r="O1040" s="9">
        <v>-10.86</v>
      </c>
    </row>
    <row r="1041" spans="1:15" ht="19.5" customHeight="1">
      <c r="A1041" s="1" t="s">
        <v>609</v>
      </c>
      <c r="B1041" s="5">
        <v>45926</v>
      </c>
      <c r="C1041" s="1" t="s">
        <v>28</v>
      </c>
      <c r="D1041" s="1" t="s">
        <v>29</v>
      </c>
      <c r="E1041" s="1" t="s">
        <v>25</v>
      </c>
      <c r="F1041" s="1" t="s">
        <v>26</v>
      </c>
      <c r="G1041" s="1" t="s">
        <v>21</v>
      </c>
      <c r="H1041" s="6">
        <v>1</v>
      </c>
      <c r="I1041" s="7">
        <v>1212</v>
      </c>
      <c r="J1041" s="5">
        <v>45925</v>
      </c>
      <c r="K1041" s="1" t="s">
        <v>30</v>
      </c>
      <c r="L1041" s="8">
        <v>0.26</v>
      </c>
      <c r="M1041" s="6"/>
      <c r="N1041" s="6"/>
      <c r="O1041" s="9">
        <v>-46</v>
      </c>
    </row>
    <row r="1042" spans="1:15" ht="19.5" customHeight="1">
      <c r="A1042" s="1" t="s">
        <v>609</v>
      </c>
      <c r="B1042" s="5">
        <v>45926</v>
      </c>
      <c r="C1042" s="1" t="s">
        <v>31</v>
      </c>
      <c r="D1042" s="1" t="s">
        <v>32</v>
      </c>
      <c r="E1042" s="1" t="s">
        <v>25</v>
      </c>
      <c r="F1042" s="1" t="s">
        <v>26</v>
      </c>
      <c r="G1042" s="1" t="s">
        <v>21</v>
      </c>
      <c r="H1042" s="6">
        <v>1</v>
      </c>
      <c r="I1042" s="7">
        <v>1212</v>
      </c>
      <c r="J1042" s="5">
        <v>45925</v>
      </c>
      <c r="K1042" s="1" t="s">
        <v>30</v>
      </c>
      <c r="L1042" s="8">
        <v>0</v>
      </c>
      <c r="M1042" s="6"/>
      <c r="N1042" s="6"/>
      <c r="O1042" s="9">
        <v>758.52</v>
      </c>
    </row>
    <row r="1043" spans="1:15" ht="19.5" customHeight="1">
      <c r="A1043" s="1" t="s">
        <v>609</v>
      </c>
      <c r="B1043" s="5">
        <v>45926</v>
      </c>
      <c r="C1043" s="1" t="s">
        <v>31</v>
      </c>
      <c r="D1043" s="1" t="s">
        <v>33</v>
      </c>
      <c r="E1043" s="1" t="s">
        <v>25</v>
      </c>
      <c r="F1043" s="1" t="s">
        <v>26</v>
      </c>
      <c r="G1043" s="1" t="s">
        <v>21</v>
      </c>
      <c r="H1043" s="6">
        <v>1</v>
      </c>
      <c r="I1043" s="7">
        <v>1212</v>
      </c>
      <c r="J1043" s="5">
        <v>45925</v>
      </c>
      <c r="K1043" s="1" t="s">
        <v>30</v>
      </c>
      <c r="L1043" s="8">
        <v>0</v>
      </c>
      <c r="M1043" s="6"/>
      <c r="N1043" s="6"/>
      <c r="O1043" s="9">
        <v>5.58</v>
      </c>
    </row>
    <row r="1044" spans="1:15" ht="19.5" customHeight="1">
      <c r="A1044" s="1" t="s">
        <v>609</v>
      </c>
      <c r="B1044" s="5">
        <v>45926</v>
      </c>
      <c r="C1044" s="1" t="s">
        <v>31</v>
      </c>
      <c r="D1044" s="1" t="s">
        <v>34</v>
      </c>
      <c r="E1044" s="1" t="s">
        <v>25</v>
      </c>
      <c r="F1044" s="1" t="s">
        <v>26</v>
      </c>
      <c r="G1044" s="1" t="s">
        <v>21</v>
      </c>
      <c r="H1044" s="6">
        <v>1</v>
      </c>
      <c r="I1044" s="7">
        <v>1212</v>
      </c>
      <c r="J1044" s="5">
        <v>45925</v>
      </c>
      <c r="K1044" s="1" t="s">
        <v>30</v>
      </c>
      <c r="L1044" s="8">
        <v>0</v>
      </c>
      <c r="M1044" s="6"/>
      <c r="N1044" s="6"/>
      <c r="O1044" s="9">
        <v>447.9</v>
      </c>
    </row>
    <row r="1045" spans="1:15" ht="19.5" customHeight="1">
      <c r="A1045" s="1" t="s">
        <v>609</v>
      </c>
      <c r="B1045" s="5">
        <v>45926</v>
      </c>
      <c r="C1045" s="1" t="s">
        <v>35</v>
      </c>
      <c r="D1045" s="1" t="s">
        <v>36</v>
      </c>
      <c r="E1045" s="1" t="s">
        <v>25</v>
      </c>
      <c r="F1045" s="1" t="s">
        <v>26</v>
      </c>
      <c r="G1045" s="1" t="s">
        <v>21</v>
      </c>
      <c r="H1045" s="6">
        <v>1</v>
      </c>
      <c r="I1045" s="7">
        <v>1212</v>
      </c>
      <c r="J1045" s="5">
        <v>45925</v>
      </c>
      <c r="K1045" s="1" t="s">
        <v>30</v>
      </c>
      <c r="L1045" s="8">
        <v>0.26</v>
      </c>
      <c r="M1045" s="6"/>
      <c r="N1045" s="6"/>
      <c r="O1045" s="9">
        <v>-315.12</v>
      </c>
    </row>
    <row r="1046" spans="1:15" ht="19.5" customHeight="1">
      <c r="A1046" s="1" t="s">
        <v>609</v>
      </c>
      <c r="B1046" s="5">
        <v>45926</v>
      </c>
      <c r="C1046" s="1" t="s">
        <v>17</v>
      </c>
      <c r="D1046" s="1" t="s">
        <v>37</v>
      </c>
      <c r="E1046" s="1" t="s">
        <v>25</v>
      </c>
      <c r="F1046" s="1" t="s">
        <v>26</v>
      </c>
      <c r="G1046" s="1" t="s">
        <v>21</v>
      </c>
      <c r="H1046" s="6">
        <v>1</v>
      </c>
      <c r="I1046" s="7">
        <v>1212</v>
      </c>
      <c r="J1046" s="5">
        <v>45925</v>
      </c>
      <c r="K1046" s="1" t="s">
        <v>30</v>
      </c>
      <c r="L1046" s="8">
        <v>0.26</v>
      </c>
      <c r="M1046" s="6"/>
      <c r="N1046" s="6"/>
      <c r="O1046" s="9">
        <v>-8.89</v>
      </c>
    </row>
    <row r="1047" spans="1:15" ht="19.5" customHeight="1">
      <c r="A1047" s="1" t="s">
        <v>22</v>
      </c>
      <c r="B1047" s="5">
        <v>45926</v>
      </c>
      <c r="C1047" s="1" t="s">
        <v>77</v>
      </c>
      <c r="D1047" s="1" t="s">
        <v>78</v>
      </c>
      <c r="E1047" s="1" t="s">
        <v>22</v>
      </c>
      <c r="F1047" s="1" t="s">
        <v>22</v>
      </c>
      <c r="G1047" s="1" t="s">
        <v>610</v>
      </c>
      <c r="H1047" s="6">
        <v>0</v>
      </c>
      <c r="I1047" s="7">
        <v>0</v>
      </c>
      <c r="J1047" s="5">
        <v>45926</v>
      </c>
      <c r="K1047" s="1" t="s">
        <v>22</v>
      </c>
      <c r="L1047" s="8">
        <v>0</v>
      </c>
      <c r="M1047" s="6"/>
      <c r="N1047" s="6"/>
      <c r="O1047" s="9">
        <v>-200</v>
      </c>
    </row>
    <row r="1048" spans="1:15" ht="19.5" customHeight="1">
      <c r="A1048" s="1" t="s">
        <v>611</v>
      </c>
      <c r="B1048" s="5">
        <v>45926</v>
      </c>
      <c r="C1048" s="1" t="s">
        <v>17</v>
      </c>
      <c r="D1048" s="1" t="s">
        <v>18</v>
      </c>
      <c r="E1048" s="1" t="s">
        <v>25</v>
      </c>
      <c r="F1048" s="1" t="s">
        <v>26</v>
      </c>
      <c r="G1048" s="1" t="s">
        <v>21</v>
      </c>
      <c r="H1048" s="6">
        <v>1</v>
      </c>
      <c r="I1048" s="7">
        <v>0</v>
      </c>
      <c r="J1048" s="5">
        <v>45926</v>
      </c>
      <c r="K1048" s="1" t="s">
        <v>22</v>
      </c>
      <c r="L1048" s="8">
        <v>0</v>
      </c>
      <c r="M1048" s="6"/>
      <c r="N1048" s="6"/>
      <c r="O1048" s="9">
        <v>-13.84</v>
      </c>
    </row>
    <row r="1049" spans="1:15" ht="19.5" customHeight="1">
      <c r="A1049" s="1" t="s">
        <v>612</v>
      </c>
      <c r="B1049" s="5">
        <v>45926</v>
      </c>
      <c r="C1049" s="1" t="s">
        <v>28</v>
      </c>
      <c r="D1049" s="1" t="s">
        <v>29</v>
      </c>
      <c r="E1049" s="1" t="s">
        <v>25</v>
      </c>
      <c r="F1049" s="1" t="s">
        <v>26</v>
      </c>
      <c r="G1049" s="1" t="s">
        <v>21</v>
      </c>
      <c r="H1049" s="6">
        <v>1</v>
      </c>
      <c r="I1049" s="7">
        <v>1212</v>
      </c>
      <c r="J1049" s="5">
        <v>45925</v>
      </c>
      <c r="K1049" s="1" t="s">
        <v>30</v>
      </c>
      <c r="L1049" s="8">
        <v>0.26</v>
      </c>
      <c r="M1049" s="6"/>
      <c r="N1049" s="6"/>
      <c r="O1049" s="9">
        <v>-46</v>
      </c>
    </row>
    <row r="1050" spans="1:15" ht="19.5" customHeight="1">
      <c r="A1050" s="1" t="s">
        <v>612</v>
      </c>
      <c r="B1050" s="5">
        <v>45926</v>
      </c>
      <c r="C1050" s="1" t="s">
        <v>31</v>
      </c>
      <c r="D1050" s="1" t="s">
        <v>32</v>
      </c>
      <c r="E1050" s="1" t="s">
        <v>25</v>
      </c>
      <c r="F1050" s="1" t="s">
        <v>26</v>
      </c>
      <c r="G1050" s="1" t="s">
        <v>21</v>
      </c>
      <c r="H1050" s="6">
        <v>1</v>
      </c>
      <c r="I1050" s="7">
        <v>1212</v>
      </c>
      <c r="J1050" s="5">
        <v>45925</v>
      </c>
      <c r="K1050" s="1" t="s">
        <v>30</v>
      </c>
      <c r="L1050" s="8">
        <v>0</v>
      </c>
      <c r="M1050" s="6"/>
      <c r="N1050" s="6"/>
      <c r="O1050" s="9">
        <v>842.61</v>
      </c>
    </row>
    <row r="1051" spans="1:15" ht="19.5" customHeight="1">
      <c r="A1051" s="1" t="s">
        <v>612</v>
      </c>
      <c r="B1051" s="5">
        <v>45926</v>
      </c>
      <c r="C1051" s="1" t="s">
        <v>31</v>
      </c>
      <c r="D1051" s="1" t="s">
        <v>33</v>
      </c>
      <c r="E1051" s="1" t="s">
        <v>25</v>
      </c>
      <c r="F1051" s="1" t="s">
        <v>26</v>
      </c>
      <c r="G1051" s="1" t="s">
        <v>21</v>
      </c>
      <c r="H1051" s="6">
        <v>1</v>
      </c>
      <c r="I1051" s="7">
        <v>1212</v>
      </c>
      <c r="J1051" s="5">
        <v>45925</v>
      </c>
      <c r="K1051" s="1" t="s">
        <v>30</v>
      </c>
      <c r="L1051" s="8">
        <v>0</v>
      </c>
      <c r="M1051" s="6"/>
      <c r="N1051" s="6"/>
      <c r="O1051" s="9">
        <v>0</v>
      </c>
    </row>
    <row r="1052" spans="1:15" ht="19.5" customHeight="1">
      <c r="A1052" s="1" t="s">
        <v>612</v>
      </c>
      <c r="B1052" s="5">
        <v>45926</v>
      </c>
      <c r="C1052" s="1" t="s">
        <v>31</v>
      </c>
      <c r="D1052" s="1" t="s">
        <v>34</v>
      </c>
      <c r="E1052" s="1" t="s">
        <v>25</v>
      </c>
      <c r="F1052" s="1" t="s">
        <v>26</v>
      </c>
      <c r="G1052" s="1" t="s">
        <v>21</v>
      </c>
      <c r="H1052" s="6">
        <v>1</v>
      </c>
      <c r="I1052" s="7">
        <v>1212</v>
      </c>
      <c r="J1052" s="5">
        <v>45925</v>
      </c>
      <c r="K1052" s="1" t="s">
        <v>30</v>
      </c>
      <c r="L1052" s="8">
        <v>0</v>
      </c>
      <c r="M1052" s="6"/>
      <c r="N1052" s="6"/>
      <c r="O1052" s="9">
        <v>369.39</v>
      </c>
    </row>
    <row r="1053" spans="1:15" ht="19.5" customHeight="1">
      <c r="A1053" s="1" t="s">
        <v>612</v>
      </c>
      <c r="B1053" s="5">
        <v>45926</v>
      </c>
      <c r="C1053" s="1" t="s">
        <v>35</v>
      </c>
      <c r="D1053" s="1" t="s">
        <v>36</v>
      </c>
      <c r="E1053" s="1" t="s">
        <v>25</v>
      </c>
      <c r="F1053" s="1" t="s">
        <v>26</v>
      </c>
      <c r="G1053" s="1" t="s">
        <v>21</v>
      </c>
      <c r="H1053" s="6">
        <v>1</v>
      </c>
      <c r="I1053" s="7">
        <v>1212</v>
      </c>
      <c r="J1053" s="5">
        <v>45925</v>
      </c>
      <c r="K1053" s="1" t="s">
        <v>30</v>
      </c>
      <c r="L1053" s="8">
        <v>0.26</v>
      </c>
      <c r="M1053" s="6"/>
      <c r="N1053" s="6"/>
      <c r="O1053" s="9">
        <v>-315.12</v>
      </c>
    </row>
    <row r="1054" spans="1:15" ht="19.5" customHeight="1">
      <c r="A1054" s="1" t="s">
        <v>613</v>
      </c>
      <c r="B1054" s="5">
        <v>45926</v>
      </c>
      <c r="C1054" s="1" t="s">
        <v>28</v>
      </c>
      <c r="D1054" s="1" t="s">
        <v>29</v>
      </c>
      <c r="E1054" s="1" t="s">
        <v>25</v>
      </c>
      <c r="F1054" s="1" t="s">
        <v>26</v>
      </c>
      <c r="G1054" s="1" t="s">
        <v>21</v>
      </c>
      <c r="H1054" s="6">
        <v>1</v>
      </c>
      <c r="I1054" s="7">
        <v>1212</v>
      </c>
      <c r="J1054" s="5">
        <v>45925</v>
      </c>
      <c r="K1054" s="1" t="s">
        <v>30</v>
      </c>
      <c r="L1054" s="8">
        <v>0.26</v>
      </c>
      <c r="M1054" s="6"/>
      <c r="N1054" s="6"/>
      <c r="O1054" s="9">
        <v>-46</v>
      </c>
    </row>
    <row r="1055" spans="1:15" ht="19.5" customHeight="1">
      <c r="A1055" s="1" t="s">
        <v>613</v>
      </c>
      <c r="B1055" s="5">
        <v>45926</v>
      </c>
      <c r="C1055" s="1" t="s">
        <v>31</v>
      </c>
      <c r="D1055" s="1" t="s">
        <v>32</v>
      </c>
      <c r="E1055" s="1" t="s">
        <v>25</v>
      </c>
      <c r="F1055" s="1" t="s">
        <v>26</v>
      </c>
      <c r="G1055" s="1" t="s">
        <v>21</v>
      </c>
      <c r="H1055" s="6">
        <v>1</v>
      </c>
      <c r="I1055" s="7">
        <v>1212</v>
      </c>
      <c r="J1055" s="5">
        <v>45925</v>
      </c>
      <c r="K1055" s="1" t="s">
        <v>30</v>
      </c>
      <c r="L1055" s="8">
        <v>0</v>
      </c>
      <c r="M1055" s="6"/>
      <c r="N1055" s="6"/>
      <c r="O1055" s="9">
        <v>842.61</v>
      </c>
    </row>
    <row r="1056" spans="1:15" ht="19.5" customHeight="1">
      <c r="A1056" s="1" t="s">
        <v>613</v>
      </c>
      <c r="B1056" s="5">
        <v>45926</v>
      </c>
      <c r="C1056" s="1" t="s">
        <v>31</v>
      </c>
      <c r="D1056" s="1" t="s">
        <v>33</v>
      </c>
      <c r="E1056" s="1" t="s">
        <v>25</v>
      </c>
      <c r="F1056" s="1" t="s">
        <v>26</v>
      </c>
      <c r="G1056" s="1" t="s">
        <v>21</v>
      </c>
      <c r="H1056" s="6">
        <v>1</v>
      </c>
      <c r="I1056" s="7">
        <v>1212</v>
      </c>
      <c r="J1056" s="5">
        <v>45925</v>
      </c>
      <c r="K1056" s="1" t="s">
        <v>30</v>
      </c>
      <c r="L1056" s="8">
        <v>0</v>
      </c>
      <c r="M1056" s="6"/>
      <c r="N1056" s="6"/>
      <c r="O1056" s="9">
        <v>0</v>
      </c>
    </row>
    <row r="1057" spans="1:15" ht="19.5" customHeight="1">
      <c r="A1057" s="1" t="s">
        <v>613</v>
      </c>
      <c r="B1057" s="5">
        <v>45926</v>
      </c>
      <c r="C1057" s="1" t="s">
        <v>31</v>
      </c>
      <c r="D1057" s="1" t="s">
        <v>34</v>
      </c>
      <c r="E1057" s="1" t="s">
        <v>25</v>
      </c>
      <c r="F1057" s="1" t="s">
        <v>26</v>
      </c>
      <c r="G1057" s="1" t="s">
        <v>21</v>
      </c>
      <c r="H1057" s="6">
        <v>1</v>
      </c>
      <c r="I1057" s="7">
        <v>1212</v>
      </c>
      <c r="J1057" s="5">
        <v>45925</v>
      </c>
      <c r="K1057" s="1" t="s">
        <v>30</v>
      </c>
      <c r="L1057" s="8">
        <v>0</v>
      </c>
      <c r="M1057" s="6"/>
      <c r="N1057" s="6"/>
      <c r="O1057" s="9">
        <v>369.39</v>
      </c>
    </row>
    <row r="1058" spans="1:15" ht="19.5" customHeight="1">
      <c r="A1058" s="1" t="s">
        <v>613</v>
      </c>
      <c r="B1058" s="5">
        <v>45926</v>
      </c>
      <c r="C1058" s="1" t="s">
        <v>35</v>
      </c>
      <c r="D1058" s="1" t="s">
        <v>36</v>
      </c>
      <c r="E1058" s="1" t="s">
        <v>25</v>
      </c>
      <c r="F1058" s="1" t="s">
        <v>26</v>
      </c>
      <c r="G1058" s="1" t="s">
        <v>21</v>
      </c>
      <c r="H1058" s="6">
        <v>1</v>
      </c>
      <c r="I1058" s="7">
        <v>1212</v>
      </c>
      <c r="J1058" s="5">
        <v>45925</v>
      </c>
      <c r="K1058" s="1" t="s">
        <v>30</v>
      </c>
      <c r="L1058" s="8">
        <v>0.26</v>
      </c>
      <c r="M1058" s="6"/>
      <c r="N1058" s="6"/>
      <c r="O1058" s="9">
        <v>-315.12</v>
      </c>
    </row>
    <row r="1059" spans="1:15" ht="19.5" customHeight="1">
      <c r="A1059" s="1" t="s">
        <v>614</v>
      </c>
      <c r="B1059" s="5">
        <v>45926</v>
      </c>
      <c r="C1059" s="1" t="s">
        <v>28</v>
      </c>
      <c r="D1059" s="1" t="s">
        <v>29</v>
      </c>
      <c r="E1059" s="1" t="s">
        <v>25</v>
      </c>
      <c r="F1059" s="1" t="s">
        <v>26</v>
      </c>
      <c r="G1059" s="1" t="s">
        <v>21</v>
      </c>
      <c r="H1059" s="6">
        <v>1</v>
      </c>
      <c r="I1059" s="7">
        <v>1212</v>
      </c>
      <c r="J1059" s="5">
        <v>45925</v>
      </c>
      <c r="K1059" s="1" t="s">
        <v>30</v>
      </c>
      <c r="L1059" s="8">
        <v>0.26</v>
      </c>
      <c r="M1059" s="6"/>
      <c r="N1059" s="6"/>
      <c r="O1059" s="9">
        <v>-46</v>
      </c>
    </row>
    <row r="1060" spans="1:15" ht="19.5" customHeight="1">
      <c r="A1060" s="1" t="s">
        <v>614</v>
      </c>
      <c r="B1060" s="5">
        <v>45926</v>
      </c>
      <c r="C1060" s="1" t="s">
        <v>31</v>
      </c>
      <c r="D1060" s="1" t="s">
        <v>32</v>
      </c>
      <c r="E1060" s="1" t="s">
        <v>25</v>
      </c>
      <c r="F1060" s="1" t="s">
        <v>26</v>
      </c>
      <c r="G1060" s="1" t="s">
        <v>21</v>
      </c>
      <c r="H1060" s="6">
        <v>1</v>
      </c>
      <c r="I1060" s="7">
        <v>1212</v>
      </c>
      <c r="J1060" s="5">
        <v>45925</v>
      </c>
      <c r="K1060" s="1" t="s">
        <v>30</v>
      </c>
      <c r="L1060" s="8">
        <v>0</v>
      </c>
      <c r="M1060" s="6"/>
      <c r="N1060" s="6"/>
      <c r="O1060" s="9">
        <v>842.61</v>
      </c>
    </row>
    <row r="1061" spans="1:15" ht="19.5" customHeight="1">
      <c r="A1061" s="1" t="s">
        <v>614</v>
      </c>
      <c r="B1061" s="5">
        <v>45926</v>
      </c>
      <c r="C1061" s="1" t="s">
        <v>31</v>
      </c>
      <c r="D1061" s="1" t="s">
        <v>33</v>
      </c>
      <c r="E1061" s="1" t="s">
        <v>25</v>
      </c>
      <c r="F1061" s="1" t="s">
        <v>26</v>
      </c>
      <c r="G1061" s="1" t="s">
        <v>21</v>
      </c>
      <c r="H1061" s="6">
        <v>1</v>
      </c>
      <c r="I1061" s="7">
        <v>1212</v>
      </c>
      <c r="J1061" s="5">
        <v>45925</v>
      </c>
      <c r="K1061" s="1" t="s">
        <v>30</v>
      </c>
      <c r="L1061" s="8">
        <v>0</v>
      </c>
      <c r="M1061" s="6"/>
      <c r="N1061" s="6"/>
      <c r="O1061" s="9">
        <v>0</v>
      </c>
    </row>
    <row r="1062" spans="1:15" ht="19.5" customHeight="1">
      <c r="A1062" s="1" t="s">
        <v>614</v>
      </c>
      <c r="B1062" s="5">
        <v>45926</v>
      </c>
      <c r="C1062" s="1" t="s">
        <v>31</v>
      </c>
      <c r="D1062" s="1" t="s">
        <v>34</v>
      </c>
      <c r="E1062" s="1" t="s">
        <v>25</v>
      </c>
      <c r="F1062" s="1" t="s">
        <v>26</v>
      </c>
      <c r="G1062" s="1" t="s">
        <v>21</v>
      </c>
      <c r="H1062" s="6">
        <v>1</v>
      </c>
      <c r="I1062" s="7">
        <v>1212</v>
      </c>
      <c r="J1062" s="5">
        <v>45925</v>
      </c>
      <c r="K1062" s="1" t="s">
        <v>30</v>
      </c>
      <c r="L1062" s="8">
        <v>0</v>
      </c>
      <c r="M1062" s="6"/>
      <c r="N1062" s="6"/>
      <c r="O1062" s="9">
        <v>369.39</v>
      </c>
    </row>
    <row r="1063" spans="1:15" ht="19.5" customHeight="1">
      <c r="A1063" s="1" t="s">
        <v>614</v>
      </c>
      <c r="B1063" s="5">
        <v>45926</v>
      </c>
      <c r="C1063" s="1" t="s">
        <v>35</v>
      </c>
      <c r="D1063" s="1" t="s">
        <v>36</v>
      </c>
      <c r="E1063" s="1" t="s">
        <v>25</v>
      </c>
      <c r="F1063" s="1" t="s">
        <v>26</v>
      </c>
      <c r="G1063" s="1" t="s">
        <v>21</v>
      </c>
      <c r="H1063" s="6">
        <v>1</v>
      </c>
      <c r="I1063" s="7">
        <v>1212</v>
      </c>
      <c r="J1063" s="5">
        <v>45925</v>
      </c>
      <c r="K1063" s="1" t="s">
        <v>30</v>
      </c>
      <c r="L1063" s="8">
        <v>0.26</v>
      </c>
      <c r="M1063" s="6"/>
      <c r="N1063" s="6"/>
      <c r="O1063" s="9">
        <v>-315.12</v>
      </c>
    </row>
    <row r="1064" spans="1:15" ht="19.5" customHeight="1">
      <c r="A1064" s="1" t="s">
        <v>615</v>
      </c>
      <c r="B1064" s="5">
        <v>45926</v>
      </c>
      <c r="C1064" s="1" t="s">
        <v>28</v>
      </c>
      <c r="D1064" s="1" t="s">
        <v>29</v>
      </c>
      <c r="E1064" s="1" t="s">
        <v>25</v>
      </c>
      <c r="F1064" s="1" t="s">
        <v>26</v>
      </c>
      <c r="G1064" s="1" t="s">
        <v>21</v>
      </c>
      <c r="H1064" s="6">
        <v>1</v>
      </c>
      <c r="I1064" s="7">
        <v>1212</v>
      </c>
      <c r="J1064" s="5">
        <v>45925</v>
      </c>
      <c r="K1064" s="1" t="s">
        <v>30</v>
      </c>
      <c r="L1064" s="8">
        <v>0.26</v>
      </c>
      <c r="M1064" s="6"/>
      <c r="N1064" s="6"/>
      <c r="O1064" s="9">
        <v>-46</v>
      </c>
    </row>
    <row r="1065" spans="1:15" ht="19.5" customHeight="1">
      <c r="A1065" s="1" t="s">
        <v>615</v>
      </c>
      <c r="B1065" s="5">
        <v>45926</v>
      </c>
      <c r="C1065" s="1" t="s">
        <v>31</v>
      </c>
      <c r="D1065" s="1" t="s">
        <v>32</v>
      </c>
      <c r="E1065" s="1" t="s">
        <v>25</v>
      </c>
      <c r="F1065" s="1" t="s">
        <v>26</v>
      </c>
      <c r="G1065" s="1" t="s">
        <v>21</v>
      </c>
      <c r="H1065" s="6">
        <v>1</v>
      </c>
      <c r="I1065" s="7">
        <v>1212</v>
      </c>
      <c r="J1065" s="5">
        <v>45925</v>
      </c>
      <c r="K1065" s="1" t="s">
        <v>30</v>
      </c>
      <c r="L1065" s="8">
        <v>0</v>
      </c>
      <c r="M1065" s="6"/>
      <c r="N1065" s="6"/>
      <c r="O1065" s="9">
        <v>842.61</v>
      </c>
    </row>
    <row r="1066" spans="1:15" ht="19.5" customHeight="1">
      <c r="A1066" s="1" t="s">
        <v>615</v>
      </c>
      <c r="B1066" s="5">
        <v>45926</v>
      </c>
      <c r="C1066" s="1" t="s">
        <v>31</v>
      </c>
      <c r="D1066" s="1" t="s">
        <v>33</v>
      </c>
      <c r="E1066" s="1" t="s">
        <v>25</v>
      </c>
      <c r="F1066" s="1" t="s">
        <v>26</v>
      </c>
      <c r="G1066" s="1" t="s">
        <v>21</v>
      </c>
      <c r="H1066" s="6">
        <v>1</v>
      </c>
      <c r="I1066" s="7">
        <v>1212</v>
      </c>
      <c r="J1066" s="5">
        <v>45925</v>
      </c>
      <c r="K1066" s="1" t="s">
        <v>30</v>
      </c>
      <c r="L1066" s="8">
        <v>0</v>
      </c>
      <c r="M1066" s="6"/>
      <c r="N1066" s="6"/>
      <c r="O1066" s="9">
        <v>0</v>
      </c>
    </row>
    <row r="1067" spans="1:15" ht="19.5" customHeight="1">
      <c r="A1067" s="1" t="s">
        <v>615</v>
      </c>
      <c r="B1067" s="5">
        <v>45926</v>
      </c>
      <c r="C1067" s="1" t="s">
        <v>31</v>
      </c>
      <c r="D1067" s="1" t="s">
        <v>34</v>
      </c>
      <c r="E1067" s="1" t="s">
        <v>25</v>
      </c>
      <c r="F1067" s="1" t="s">
        <v>26</v>
      </c>
      <c r="G1067" s="1" t="s">
        <v>21</v>
      </c>
      <c r="H1067" s="6">
        <v>1</v>
      </c>
      <c r="I1067" s="7">
        <v>1212</v>
      </c>
      <c r="J1067" s="5">
        <v>45925</v>
      </c>
      <c r="K1067" s="1" t="s">
        <v>30</v>
      </c>
      <c r="L1067" s="8">
        <v>0</v>
      </c>
      <c r="M1067" s="6"/>
      <c r="N1067" s="6"/>
      <c r="O1067" s="9">
        <v>369.39</v>
      </c>
    </row>
    <row r="1068" spans="1:15" ht="19.5" customHeight="1">
      <c r="A1068" s="1" t="s">
        <v>615</v>
      </c>
      <c r="B1068" s="5">
        <v>45926</v>
      </c>
      <c r="C1068" s="1" t="s">
        <v>35</v>
      </c>
      <c r="D1068" s="1" t="s">
        <v>36</v>
      </c>
      <c r="E1068" s="1" t="s">
        <v>25</v>
      </c>
      <c r="F1068" s="1" t="s">
        <v>26</v>
      </c>
      <c r="G1068" s="1" t="s">
        <v>21</v>
      </c>
      <c r="H1068" s="6">
        <v>1</v>
      </c>
      <c r="I1068" s="7">
        <v>1212</v>
      </c>
      <c r="J1068" s="5">
        <v>45925</v>
      </c>
      <c r="K1068" s="1" t="s">
        <v>30</v>
      </c>
      <c r="L1068" s="8">
        <v>0.26</v>
      </c>
      <c r="M1068" s="6"/>
      <c r="N1068" s="6"/>
      <c r="O1068" s="9">
        <v>-315.12</v>
      </c>
    </row>
    <row r="1069" spans="1:15" ht="19.5" customHeight="1">
      <c r="A1069" s="1" t="s">
        <v>616</v>
      </c>
      <c r="B1069" s="5">
        <v>45926</v>
      </c>
      <c r="C1069" s="1" t="s">
        <v>28</v>
      </c>
      <c r="D1069" s="1" t="s">
        <v>29</v>
      </c>
      <c r="E1069" s="1" t="s">
        <v>25</v>
      </c>
      <c r="F1069" s="1" t="s">
        <v>26</v>
      </c>
      <c r="G1069" s="1" t="s">
        <v>21</v>
      </c>
      <c r="H1069" s="6">
        <v>1</v>
      </c>
      <c r="I1069" s="7">
        <v>1212</v>
      </c>
      <c r="J1069" s="5">
        <v>45925</v>
      </c>
      <c r="K1069" s="1" t="s">
        <v>30</v>
      </c>
      <c r="L1069" s="8">
        <v>0.26</v>
      </c>
      <c r="M1069" s="6"/>
      <c r="N1069" s="6"/>
      <c r="O1069" s="9">
        <v>-46</v>
      </c>
    </row>
    <row r="1070" spans="1:15" ht="19.5" customHeight="1">
      <c r="A1070" s="1" t="s">
        <v>616</v>
      </c>
      <c r="B1070" s="5">
        <v>45926</v>
      </c>
      <c r="C1070" s="1" t="s">
        <v>31</v>
      </c>
      <c r="D1070" s="1" t="s">
        <v>32</v>
      </c>
      <c r="E1070" s="1" t="s">
        <v>25</v>
      </c>
      <c r="F1070" s="1" t="s">
        <v>26</v>
      </c>
      <c r="G1070" s="1" t="s">
        <v>21</v>
      </c>
      <c r="H1070" s="6">
        <v>1</v>
      </c>
      <c r="I1070" s="7">
        <v>1212</v>
      </c>
      <c r="J1070" s="5">
        <v>45925</v>
      </c>
      <c r="K1070" s="1" t="s">
        <v>30</v>
      </c>
      <c r="L1070" s="8">
        <v>0</v>
      </c>
      <c r="M1070" s="6"/>
      <c r="N1070" s="6"/>
      <c r="O1070" s="9">
        <v>842.61</v>
      </c>
    </row>
    <row r="1071" spans="1:15" ht="19.5" customHeight="1">
      <c r="A1071" s="1" t="s">
        <v>616</v>
      </c>
      <c r="B1071" s="5">
        <v>45926</v>
      </c>
      <c r="C1071" s="1" t="s">
        <v>31</v>
      </c>
      <c r="D1071" s="1" t="s">
        <v>33</v>
      </c>
      <c r="E1071" s="1" t="s">
        <v>25</v>
      </c>
      <c r="F1071" s="1" t="s">
        <v>26</v>
      </c>
      <c r="G1071" s="1" t="s">
        <v>21</v>
      </c>
      <c r="H1071" s="6">
        <v>1</v>
      </c>
      <c r="I1071" s="7">
        <v>1212</v>
      </c>
      <c r="J1071" s="5">
        <v>45925</v>
      </c>
      <c r="K1071" s="1" t="s">
        <v>30</v>
      </c>
      <c r="L1071" s="8">
        <v>0</v>
      </c>
      <c r="M1071" s="6"/>
      <c r="N1071" s="6"/>
      <c r="O1071" s="9">
        <v>0</v>
      </c>
    </row>
    <row r="1072" spans="1:15" ht="19.5" customHeight="1">
      <c r="A1072" s="1" t="s">
        <v>616</v>
      </c>
      <c r="B1072" s="5">
        <v>45926</v>
      </c>
      <c r="C1072" s="1" t="s">
        <v>31</v>
      </c>
      <c r="D1072" s="1" t="s">
        <v>34</v>
      </c>
      <c r="E1072" s="1" t="s">
        <v>25</v>
      </c>
      <c r="F1072" s="1" t="s">
        <v>26</v>
      </c>
      <c r="G1072" s="1" t="s">
        <v>21</v>
      </c>
      <c r="H1072" s="6">
        <v>1</v>
      </c>
      <c r="I1072" s="7">
        <v>1212</v>
      </c>
      <c r="J1072" s="5">
        <v>45925</v>
      </c>
      <c r="K1072" s="1" t="s">
        <v>30</v>
      </c>
      <c r="L1072" s="8">
        <v>0</v>
      </c>
      <c r="M1072" s="6"/>
      <c r="N1072" s="6"/>
      <c r="O1072" s="9">
        <v>369.39</v>
      </c>
    </row>
    <row r="1073" spans="1:15" ht="19.5" customHeight="1">
      <c r="A1073" s="1" t="s">
        <v>616</v>
      </c>
      <c r="B1073" s="5">
        <v>45926</v>
      </c>
      <c r="C1073" s="1" t="s">
        <v>35</v>
      </c>
      <c r="D1073" s="1" t="s">
        <v>36</v>
      </c>
      <c r="E1073" s="1" t="s">
        <v>25</v>
      </c>
      <c r="F1073" s="1" t="s">
        <v>26</v>
      </c>
      <c r="G1073" s="1" t="s">
        <v>21</v>
      </c>
      <c r="H1073" s="6">
        <v>1</v>
      </c>
      <c r="I1073" s="7">
        <v>1212</v>
      </c>
      <c r="J1073" s="5">
        <v>45925</v>
      </c>
      <c r="K1073" s="1" t="s">
        <v>30</v>
      </c>
      <c r="L1073" s="8">
        <v>0.26</v>
      </c>
      <c r="M1073" s="6"/>
      <c r="N1073" s="6"/>
      <c r="O1073" s="9">
        <v>-315.12</v>
      </c>
    </row>
    <row r="1074" spans="1:15" ht="19.5" customHeight="1">
      <c r="A1074" s="1" t="s">
        <v>617</v>
      </c>
      <c r="B1074" s="5">
        <v>45926</v>
      </c>
      <c r="C1074" s="1" t="s">
        <v>28</v>
      </c>
      <c r="D1074" s="1" t="s">
        <v>29</v>
      </c>
      <c r="E1074" s="1" t="s">
        <v>25</v>
      </c>
      <c r="F1074" s="1" t="s">
        <v>26</v>
      </c>
      <c r="G1074" s="1" t="s">
        <v>21</v>
      </c>
      <c r="H1074" s="6">
        <v>1</v>
      </c>
      <c r="I1074" s="7">
        <v>1212</v>
      </c>
      <c r="J1074" s="5">
        <v>45925</v>
      </c>
      <c r="K1074" s="1" t="s">
        <v>30</v>
      </c>
      <c r="L1074" s="8">
        <v>0.26</v>
      </c>
      <c r="M1074" s="6"/>
      <c r="N1074" s="6"/>
      <c r="O1074" s="9">
        <v>-46</v>
      </c>
    </row>
    <row r="1075" spans="1:15" ht="19.5" customHeight="1">
      <c r="A1075" s="1" t="s">
        <v>617</v>
      </c>
      <c r="B1075" s="5">
        <v>45926</v>
      </c>
      <c r="C1075" s="1" t="s">
        <v>31</v>
      </c>
      <c r="D1075" s="1" t="s">
        <v>32</v>
      </c>
      <c r="E1075" s="1" t="s">
        <v>25</v>
      </c>
      <c r="F1075" s="1" t="s">
        <v>26</v>
      </c>
      <c r="G1075" s="1" t="s">
        <v>21</v>
      </c>
      <c r="H1075" s="6">
        <v>1</v>
      </c>
      <c r="I1075" s="7">
        <v>1212</v>
      </c>
      <c r="J1075" s="5">
        <v>45925</v>
      </c>
      <c r="K1075" s="1" t="s">
        <v>30</v>
      </c>
      <c r="L1075" s="8">
        <v>0</v>
      </c>
      <c r="M1075" s="6"/>
      <c r="N1075" s="6"/>
      <c r="O1075" s="9">
        <v>842.61</v>
      </c>
    </row>
    <row r="1076" spans="1:15" ht="19.5" customHeight="1">
      <c r="A1076" s="1" t="s">
        <v>617</v>
      </c>
      <c r="B1076" s="5">
        <v>45926</v>
      </c>
      <c r="C1076" s="1" t="s">
        <v>31</v>
      </c>
      <c r="D1076" s="1" t="s">
        <v>33</v>
      </c>
      <c r="E1076" s="1" t="s">
        <v>25</v>
      </c>
      <c r="F1076" s="1" t="s">
        <v>26</v>
      </c>
      <c r="G1076" s="1" t="s">
        <v>21</v>
      </c>
      <c r="H1076" s="6">
        <v>1</v>
      </c>
      <c r="I1076" s="7">
        <v>1212</v>
      </c>
      <c r="J1076" s="5">
        <v>45925</v>
      </c>
      <c r="K1076" s="1" t="s">
        <v>30</v>
      </c>
      <c r="L1076" s="8">
        <v>0</v>
      </c>
      <c r="M1076" s="6"/>
      <c r="N1076" s="6"/>
      <c r="O1076" s="9">
        <v>0</v>
      </c>
    </row>
    <row r="1077" spans="1:15" ht="19.5" customHeight="1">
      <c r="A1077" s="1" t="s">
        <v>617</v>
      </c>
      <c r="B1077" s="5">
        <v>45926</v>
      </c>
      <c r="C1077" s="1" t="s">
        <v>31</v>
      </c>
      <c r="D1077" s="1" t="s">
        <v>34</v>
      </c>
      <c r="E1077" s="1" t="s">
        <v>25</v>
      </c>
      <c r="F1077" s="1" t="s">
        <v>26</v>
      </c>
      <c r="G1077" s="1" t="s">
        <v>21</v>
      </c>
      <c r="H1077" s="6">
        <v>1</v>
      </c>
      <c r="I1077" s="7">
        <v>1212</v>
      </c>
      <c r="J1077" s="5">
        <v>45925</v>
      </c>
      <c r="K1077" s="1" t="s">
        <v>30</v>
      </c>
      <c r="L1077" s="8">
        <v>0</v>
      </c>
      <c r="M1077" s="6"/>
      <c r="N1077" s="6"/>
      <c r="O1077" s="9">
        <v>369.39</v>
      </c>
    </row>
    <row r="1078" spans="1:15" ht="19.5" customHeight="1">
      <c r="A1078" s="1" t="s">
        <v>617</v>
      </c>
      <c r="B1078" s="5">
        <v>45926</v>
      </c>
      <c r="C1078" s="1" t="s">
        <v>35</v>
      </c>
      <c r="D1078" s="1" t="s">
        <v>36</v>
      </c>
      <c r="E1078" s="1" t="s">
        <v>25</v>
      </c>
      <c r="F1078" s="1" t="s">
        <v>26</v>
      </c>
      <c r="G1078" s="1" t="s">
        <v>21</v>
      </c>
      <c r="H1078" s="6">
        <v>1</v>
      </c>
      <c r="I1078" s="7">
        <v>1212</v>
      </c>
      <c r="J1078" s="5">
        <v>45925</v>
      </c>
      <c r="K1078" s="1" t="s">
        <v>30</v>
      </c>
      <c r="L1078" s="8">
        <v>0.26</v>
      </c>
      <c r="M1078" s="6"/>
      <c r="N1078" s="6"/>
      <c r="O1078" s="9">
        <v>-315.12</v>
      </c>
    </row>
    <row r="1079" spans="1:15" ht="19.5" customHeight="1">
      <c r="A1079" s="1" t="s">
        <v>618</v>
      </c>
      <c r="B1079" s="5">
        <v>45926</v>
      </c>
      <c r="C1079" s="1" t="s">
        <v>17</v>
      </c>
      <c r="D1079" s="1" t="s">
        <v>18</v>
      </c>
      <c r="E1079" s="1" t="s">
        <v>25</v>
      </c>
      <c r="F1079" s="1" t="s">
        <v>26</v>
      </c>
      <c r="G1079" s="1" t="s">
        <v>21</v>
      </c>
      <c r="H1079" s="6">
        <v>1</v>
      </c>
      <c r="I1079" s="7">
        <v>0</v>
      </c>
      <c r="J1079" s="5">
        <v>45926</v>
      </c>
      <c r="K1079" s="1" t="s">
        <v>22</v>
      </c>
      <c r="L1079" s="8">
        <v>0</v>
      </c>
      <c r="M1079" s="6"/>
      <c r="N1079" s="6"/>
      <c r="O1079" s="9">
        <v>-7.02</v>
      </c>
    </row>
    <row r="1080" spans="1:15" ht="19.5" customHeight="1">
      <c r="A1080" s="1" t="s">
        <v>619</v>
      </c>
      <c r="B1080" s="5">
        <v>45926</v>
      </c>
      <c r="C1080" s="1" t="s">
        <v>28</v>
      </c>
      <c r="D1080" s="1" t="s">
        <v>29</v>
      </c>
      <c r="E1080" s="1" t="s">
        <v>25</v>
      </c>
      <c r="F1080" s="1" t="s">
        <v>26</v>
      </c>
      <c r="G1080" s="1" t="s">
        <v>21</v>
      </c>
      <c r="H1080" s="6">
        <v>1</v>
      </c>
      <c r="I1080" s="7">
        <v>1212</v>
      </c>
      <c r="J1080" s="5">
        <v>45925</v>
      </c>
      <c r="K1080" s="1" t="s">
        <v>30</v>
      </c>
      <c r="L1080" s="8">
        <v>0.26</v>
      </c>
      <c r="M1080" s="6"/>
      <c r="N1080" s="6"/>
      <c r="O1080" s="9">
        <v>-46</v>
      </c>
    </row>
    <row r="1081" spans="1:15" ht="19.5" customHeight="1">
      <c r="A1081" s="1" t="s">
        <v>619</v>
      </c>
      <c r="B1081" s="5">
        <v>45926</v>
      </c>
      <c r="C1081" s="1" t="s">
        <v>31</v>
      </c>
      <c r="D1081" s="1" t="s">
        <v>32</v>
      </c>
      <c r="E1081" s="1" t="s">
        <v>25</v>
      </c>
      <c r="F1081" s="1" t="s">
        <v>26</v>
      </c>
      <c r="G1081" s="1" t="s">
        <v>21</v>
      </c>
      <c r="H1081" s="6">
        <v>1</v>
      </c>
      <c r="I1081" s="7">
        <v>1212</v>
      </c>
      <c r="J1081" s="5">
        <v>45925</v>
      </c>
      <c r="K1081" s="1" t="s">
        <v>30</v>
      </c>
      <c r="L1081" s="8">
        <v>0</v>
      </c>
      <c r="M1081" s="6"/>
      <c r="N1081" s="6"/>
      <c r="O1081" s="9">
        <v>842.61</v>
      </c>
    </row>
    <row r="1082" spans="1:15" ht="19.5" customHeight="1">
      <c r="A1082" s="1" t="s">
        <v>619</v>
      </c>
      <c r="B1082" s="5">
        <v>45926</v>
      </c>
      <c r="C1082" s="1" t="s">
        <v>31</v>
      </c>
      <c r="D1082" s="1" t="s">
        <v>33</v>
      </c>
      <c r="E1082" s="1" t="s">
        <v>25</v>
      </c>
      <c r="F1082" s="1" t="s">
        <v>26</v>
      </c>
      <c r="G1082" s="1" t="s">
        <v>21</v>
      </c>
      <c r="H1082" s="6">
        <v>1</v>
      </c>
      <c r="I1082" s="7">
        <v>1212</v>
      </c>
      <c r="J1082" s="5">
        <v>45925</v>
      </c>
      <c r="K1082" s="1" t="s">
        <v>30</v>
      </c>
      <c r="L1082" s="8">
        <v>0</v>
      </c>
      <c r="M1082" s="6"/>
      <c r="N1082" s="6"/>
      <c r="O1082" s="9">
        <v>0</v>
      </c>
    </row>
    <row r="1083" spans="1:15" ht="19.5" customHeight="1">
      <c r="A1083" s="1" t="s">
        <v>619</v>
      </c>
      <c r="B1083" s="5">
        <v>45926</v>
      </c>
      <c r="C1083" s="1" t="s">
        <v>31</v>
      </c>
      <c r="D1083" s="1" t="s">
        <v>34</v>
      </c>
      <c r="E1083" s="1" t="s">
        <v>25</v>
      </c>
      <c r="F1083" s="1" t="s">
        <v>26</v>
      </c>
      <c r="G1083" s="1" t="s">
        <v>21</v>
      </c>
      <c r="H1083" s="6">
        <v>1</v>
      </c>
      <c r="I1083" s="7">
        <v>1212</v>
      </c>
      <c r="J1083" s="5">
        <v>45925</v>
      </c>
      <c r="K1083" s="1" t="s">
        <v>30</v>
      </c>
      <c r="L1083" s="8">
        <v>0</v>
      </c>
      <c r="M1083" s="6"/>
      <c r="N1083" s="6"/>
      <c r="O1083" s="9">
        <v>369.39</v>
      </c>
    </row>
    <row r="1084" spans="1:15" ht="19.5" customHeight="1">
      <c r="A1084" s="1" t="s">
        <v>619</v>
      </c>
      <c r="B1084" s="5">
        <v>45926</v>
      </c>
      <c r="C1084" s="1" t="s">
        <v>35</v>
      </c>
      <c r="D1084" s="1" t="s">
        <v>36</v>
      </c>
      <c r="E1084" s="1" t="s">
        <v>25</v>
      </c>
      <c r="F1084" s="1" t="s">
        <v>26</v>
      </c>
      <c r="G1084" s="1" t="s">
        <v>21</v>
      </c>
      <c r="H1084" s="6">
        <v>1</v>
      </c>
      <c r="I1084" s="7">
        <v>1212</v>
      </c>
      <c r="J1084" s="5">
        <v>45925</v>
      </c>
      <c r="K1084" s="1" t="s">
        <v>30</v>
      </c>
      <c r="L1084" s="8">
        <v>0.26</v>
      </c>
      <c r="M1084" s="6"/>
      <c r="N1084" s="6"/>
      <c r="O1084" s="9">
        <v>-315.12</v>
      </c>
    </row>
    <row r="1085" spans="1:15" ht="19.5" customHeight="1">
      <c r="A1085" s="1" t="s">
        <v>620</v>
      </c>
      <c r="B1085" s="5">
        <v>45926</v>
      </c>
      <c r="C1085" s="1" t="s">
        <v>28</v>
      </c>
      <c r="D1085" s="1" t="s">
        <v>29</v>
      </c>
      <c r="E1085" s="1" t="s">
        <v>171</v>
      </c>
      <c r="F1085" s="1" t="s">
        <v>172</v>
      </c>
      <c r="G1085" s="1" t="s">
        <v>41</v>
      </c>
      <c r="H1085" s="6">
        <v>1</v>
      </c>
      <c r="I1085" s="7">
        <v>0</v>
      </c>
      <c r="J1085" s="5">
        <v>45920</v>
      </c>
      <c r="K1085" s="1" t="s">
        <v>30</v>
      </c>
      <c r="L1085" s="8">
        <v>0</v>
      </c>
      <c r="M1085" s="6"/>
      <c r="N1085" s="6"/>
      <c r="O1085" s="9">
        <v>-56</v>
      </c>
    </row>
    <row r="1086" spans="1:15" ht="19.5" customHeight="1">
      <c r="A1086" s="1" t="s">
        <v>620</v>
      </c>
      <c r="B1086" s="5">
        <v>45926</v>
      </c>
      <c r="C1086" s="1" t="s">
        <v>17</v>
      </c>
      <c r="D1086" s="1" t="s">
        <v>37</v>
      </c>
      <c r="E1086" s="1" t="s">
        <v>171</v>
      </c>
      <c r="F1086" s="1" t="s">
        <v>172</v>
      </c>
      <c r="G1086" s="1" t="s">
        <v>41</v>
      </c>
      <c r="H1086" s="6">
        <v>1</v>
      </c>
      <c r="I1086" s="7">
        <v>0</v>
      </c>
      <c r="J1086" s="5">
        <v>45920</v>
      </c>
      <c r="K1086" s="1" t="s">
        <v>30</v>
      </c>
      <c r="L1086" s="8">
        <v>0</v>
      </c>
      <c r="M1086" s="6"/>
      <c r="N1086" s="6"/>
      <c r="O1086" s="9">
        <v>-10.19</v>
      </c>
    </row>
    <row r="1087" spans="1:15" ht="19.5" customHeight="1">
      <c r="A1087" s="1" t="s">
        <v>620</v>
      </c>
      <c r="B1087" s="5">
        <v>45926</v>
      </c>
      <c r="C1087" s="1" t="s">
        <v>28</v>
      </c>
      <c r="D1087" s="1" t="s">
        <v>45</v>
      </c>
      <c r="E1087" s="1" t="s">
        <v>171</v>
      </c>
      <c r="F1087" s="1" t="s">
        <v>172</v>
      </c>
      <c r="G1087" s="1" t="s">
        <v>41</v>
      </c>
      <c r="H1087" s="6">
        <v>1</v>
      </c>
      <c r="I1087" s="7">
        <v>0</v>
      </c>
      <c r="J1087" s="5">
        <v>45920</v>
      </c>
      <c r="K1087" s="1" t="s">
        <v>30</v>
      </c>
      <c r="L1087" s="8">
        <v>0</v>
      </c>
      <c r="M1087" s="6"/>
      <c r="N1087" s="6"/>
      <c r="O1087" s="9">
        <v>0</v>
      </c>
    </row>
    <row r="1088" spans="1:15" ht="19.5" customHeight="1">
      <c r="A1088" s="1" t="s">
        <v>620</v>
      </c>
      <c r="B1088" s="5">
        <v>45926</v>
      </c>
      <c r="C1088" s="1" t="s">
        <v>28</v>
      </c>
      <c r="D1088" s="1" t="s">
        <v>46</v>
      </c>
      <c r="E1088" s="1" t="s">
        <v>171</v>
      </c>
      <c r="F1088" s="1" t="s">
        <v>172</v>
      </c>
      <c r="G1088" s="1" t="s">
        <v>41</v>
      </c>
      <c r="H1088" s="6">
        <v>1</v>
      </c>
      <c r="I1088" s="7">
        <v>0</v>
      </c>
      <c r="J1088" s="5">
        <v>45920</v>
      </c>
      <c r="K1088" s="1" t="s">
        <v>30</v>
      </c>
      <c r="L1088" s="8">
        <v>0</v>
      </c>
      <c r="M1088" s="6"/>
      <c r="N1088" s="6"/>
      <c r="O1088" s="9">
        <v>-56</v>
      </c>
    </row>
    <row r="1089" spans="1:15" ht="19.5" customHeight="1">
      <c r="A1089" s="1" t="s">
        <v>620</v>
      </c>
      <c r="B1089" s="5">
        <v>45926</v>
      </c>
      <c r="C1089" s="1" t="s">
        <v>17</v>
      </c>
      <c r="D1089" s="1" t="s">
        <v>47</v>
      </c>
      <c r="E1089" s="1" t="s">
        <v>171</v>
      </c>
      <c r="F1089" s="1" t="s">
        <v>172</v>
      </c>
      <c r="G1089" s="1" t="s">
        <v>41</v>
      </c>
      <c r="H1089" s="6">
        <v>1</v>
      </c>
      <c r="I1089" s="7">
        <v>0</v>
      </c>
      <c r="J1089" s="5">
        <v>45920</v>
      </c>
      <c r="K1089" s="1" t="s">
        <v>30</v>
      </c>
      <c r="L1089" s="8">
        <v>0</v>
      </c>
      <c r="M1089" s="6"/>
      <c r="N1089" s="6"/>
      <c r="O1089" s="9">
        <v>-15</v>
      </c>
    </row>
    <row r="1090" spans="1:15" ht="19.5" customHeight="1">
      <c r="A1090" s="1" t="s">
        <v>22</v>
      </c>
      <c r="B1090" s="5">
        <v>45926</v>
      </c>
      <c r="C1090" s="1" t="s">
        <v>77</v>
      </c>
      <c r="D1090" s="1" t="s">
        <v>80</v>
      </c>
      <c r="E1090" s="1" t="s">
        <v>22</v>
      </c>
      <c r="F1090" s="1" t="s">
        <v>22</v>
      </c>
      <c r="G1090" s="1" t="s">
        <v>22</v>
      </c>
      <c r="H1090" s="6">
        <v>0</v>
      </c>
      <c r="I1090" s="7">
        <v>0</v>
      </c>
      <c r="J1090" s="5">
        <v>45926</v>
      </c>
      <c r="K1090" s="1" t="s">
        <v>22</v>
      </c>
      <c r="L1090" s="8">
        <v>0</v>
      </c>
      <c r="M1090" s="6"/>
      <c r="N1090" s="6"/>
      <c r="O1090" s="9">
        <v>-1368</v>
      </c>
    </row>
    <row r="1091" spans="1:15" ht="19.5" customHeight="1">
      <c r="A1091" s="1" t="s">
        <v>81</v>
      </c>
      <c r="B1091" s="5">
        <v>45926</v>
      </c>
      <c r="C1091" s="1" t="s">
        <v>77</v>
      </c>
      <c r="D1091" s="1" t="s">
        <v>82</v>
      </c>
      <c r="E1091" s="1" t="s">
        <v>22</v>
      </c>
      <c r="F1091" s="1" t="s">
        <v>22</v>
      </c>
      <c r="G1091" s="1" t="s">
        <v>22</v>
      </c>
      <c r="H1091" s="6">
        <v>0</v>
      </c>
      <c r="I1091" s="7">
        <v>0</v>
      </c>
      <c r="J1091" s="5">
        <v>45926</v>
      </c>
      <c r="K1091" s="1" t="s">
        <v>22</v>
      </c>
      <c r="L1091" s="8">
        <v>0</v>
      </c>
      <c r="M1091" s="6"/>
      <c r="N1091" s="6"/>
      <c r="O1091" s="9">
        <v>-2333.16</v>
      </c>
    </row>
    <row r="1092" spans="1:15" ht="19.5" customHeight="1">
      <c r="A1092" s="1" t="s">
        <v>454</v>
      </c>
      <c r="B1092" s="5">
        <v>45926</v>
      </c>
      <c r="C1092" s="1" t="s">
        <v>77</v>
      </c>
      <c r="D1092" s="1" t="s">
        <v>82</v>
      </c>
      <c r="E1092" s="1" t="s">
        <v>22</v>
      </c>
      <c r="F1092" s="1" t="s">
        <v>22</v>
      </c>
      <c r="G1092" s="1" t="s">
        <v>22</v>
      </c>
      <c r="H1092" s="6">
        <v>0</v>
      </c>
      <c r="I1092" s="7">
        <v>0</v>
      </c>
      <c r="J1092" s="5">
        <v>45926</v>
      </c>
      <c r="K1092" s="1" t="s">
        <v>22</v>
      </c>
      <c r="L1092" s="8">
        <v>0</v>
      </c>
      <c r="M1092" s="6"/>
      <c r="N1092" s="6"/>
      <c r="O1092" s="9">
        <v>-1573.89</v>
      </c>
    </row>
    <row r="1093" spans="1:15" ht="19.5" customHeight="1">
      <c r="A1093" s="1" t="s">
        <v>83</v>
      </c>
      <c r="B1093" s="5">
        <v>45926</v>
      </c>
      <c r="C1093" s="1" t="s">
        <v>77</v>
      </c>
      <c r="D1093" s="1" t="s">
        <v>84</v>
      </c>
      <c r="E1093" s="1" t="s">
        <v>22</v>
      </c>
      <c r="F1093" s="1" t="s">
        <v>22</v>
      </c>
      <c r="G1093" s="1" t="s">
        <v>22</v>
      </c>
      <c r="H1093" s="6">
        <v>0</v>
      </c>
      <c r="I1093" s="7">
        <v>0</v>
      </c>
      <c r="J1093" s="5">
        <v>45926</v>
      </c>
      <c r="K1093" s="1" t="s">
        <v>22</v>
      </c>
      <c r="L1093" s="8">
        <v>0</v>
      </c>
      <c r="M1093" s="6"/>
      <c r="N1093" s="6"/>
      <c r="O1093" s="9">
        <v>-858.12</v>
      </c>
    </row>
    <row r="1094" spans="1:15" ht="19.5" customHeight="1">
      <c r="A1094" s="1" t="s">
        <v>85</v>
      </c>
      <c r="B1094" s="5">
        <v>45926</v>
      </c>
      <c r="C1094" s="1" t="s">
        <v>77</v>
      </c>
      <c r="D1094" s="1" t="s">
        <v>82</v>
      </c>
      <c r="E1094" s="1" t="s">
        <v>22</v>
      </c>
      <c r="F1094" s="1" t="s">
        <v>22</v>
      </c>
      <c r="G1094" s="1" t="s">
        <v>22</v>
      </c>
      <c r="H1094" s="6">
        <v>0</v>
      </c>
      <c r="I1094" s="7">
        <v>0</v>
      </c>
      <c r="J1094" s="5">
        <v>45926</v>
      </c>
      <c r="K1094" s="1" t="s">
        <v>22</v>
      </c>
      <c r="L1094" s="8">
        <v>0</v>
      </c>
      <c r="M1094" s="6"/>
      <c r="N1094" s="6"/>
      <c r="O1094" s="9">
        <v>-784.29</v>
      </c>
    </row>
    <row r="1095" spans="1:15" ht="19.5" customHeight="1">
      <c r="A1095" s="1" t="s">
        <v>621</v>
      </c>
      <c r="B1095" s="5">
        <v>45927</v>
      </c>
      <c r="C1095" s="1" t="s">
        <v>28</v>
      </c>
      <c r="D1095" s="1" t="s">
        <v>29</v>
      </c>
      <c r="E1095" s="1" t="s">
        <v>226</v>
      </c>
      <c r="F1095" s="1" t="s">
        <v>428</v>
      </c>
      <c r="G1095" s="1" t="s">
        <v>21</v>
      </c>
      <c r="H1095" s="6">
        <v>1</v>
      </c>
      <c r="I1095" s="7">
        <v>0</v>
      </c>
      <c r="J1095" s="5">
        <v>45918</v>
      </c>
      <c r="K1095" s="1" t="s">
        <v>30</v>
      </c>
      <c r="L1095" s="8">
        <v>0</v>
      </c>
      <c r="M1095" s="6"/>
      <c r="N1095" s="6"/>
      <c r="O1095" s="9">
        <v>-46</v>
      </c>
    </row>
    <row r="1096" spans="1:15" ht="19.5" customHeight="1">
      <c r="A1096" s="1" t="s">
        <v>621</v>
      </c>
      <c r="B1096" s="5">
        <v>45927</v>
      </c>
      <c r="C1096" s="1" t="s">
        <v>17</v>
      </c>
      <c r="D1096" s="1" t="s">
        <v>37</v>
      </c>
      <c r="E1096" s="1" t="s">
        <v>226</v>
      </c>
      <c r="F1096" s="1" t="s">
        <v>428</v>
      </c>
      <c r="G1096" s="1" t="s">
        <v>21</v>
      </c>
      <c r="H1096" s="6">
        <v>1</v>
      </c>
      <c r="I1096" s="7">
        <v>0</v>
      </c>
      <c r="J1096" s="5">
        <v>45918</v>
      </c>
      <c r="K1096" s="1" t="s">
        <v>30</v>
      </c>
      <c r="L1096" s="8">
        <v>0</v>
      </c>
      <c r="M1096" s="6"/>
      <c r="N1096" s="6"/>
      <c r="O1096" s="9">
        <v>-4.66</v>
      </c>
    </row>
    <row r="1097" spans="1:15" ht="19.5" customHeight="1">
      <c r="A1097" s="1" t="s">
        <v>621</v>
      </c>
      <c r="B1097" s="5">
        <v>45927</v>
      </c>
      <c r="C1097" s="1" t="s">
        <v>28</v>
      </c>
      <c r="D1097" s="1" t="s">
        <v>45</v>
      </c>
      <c r="E1097" s="1" t="s">
        <v>226</v>
      </c>
      <c r="F1097" s="1" t="s">
        <v>428</v>
      </c>
      <c r="G1097" s="1" t="s">
        <v>21</v>
      </c>
      <c r="H1097" s="6">
        <v>1</v>
      </c>
      <c r="I1097" s="7">
        <v>0</v>
      </c>
      <c r="J1097" s="5">
        <v>45918</v>
      </c>
      <c r="K1097" s="1" t="s">
        <v>30</v>
      </c>
      <c r="L1097" s="8">
        <v>0</v>
      </c>
      <c r="M1097" s="6"/>
      <c r="N1097" s="6"/>
      <c r="O1097" s="9">
        <v>0</v>
      </c>
    </row>
    <row r="1098" spans="1:15" ht="19.5" customHeight="1">
      <c r="A1098" s="1" t="s">
        <v>621</v>
      </c>
      <c r="B1098" s="5">
        <v>45927</v>
      </c>
      <c r="C1098" s="1" t="s">
        <v>28</v>
      </c>
      <c r="D1098" s="1" t="s">
        <v>46</v>
      </c>
      <c r="E1098" s="1" t="s">
        <v>226</v>
      </c>
      <c r="F1098" s="1" t="s">
        <v>428</v>
      </c>
      <c r="G1098" s="1" t="s">
        <v>21</v>
      </c>
      <c r="H1098" s="6">
        <v>1</v>
      </c>
      <c r="I1098" s="7">
        <v>0</v>
      </c>
      <c r="J1098" s="5">
        <v>45918</v>
      </c>
      <c r="K1098" s="1" t="s">
        <v>30</v>
      </c>
      <c r="L1098" s="8">
        <v>0</v>
      </c>
      <c r="M1098" s="6"/>
      <c r="N1098" s="6"/>
      <c r="O1098" s="9">
        <v>-46</v>
      </c>
    </row>
    <row r="1099" spans="1:15" ht="19.5" customHeight="1">
      <c r="A1099" s="1" t="s">
        <v>622</v>
      </c>
      <c r="B1099" s="5">
        <v>45927</v>
      </c>
      <c r="C1099" s="1" t="s">
        <v>17</v>
      </c>
      <c r="D1099" s="1" t="s">
        <v>18</v>
      </c>
      <c r="E1099" s="1" t="s">
        <v>25</v>
      </c>
      <c r="F1099" s="1" t="s">
        <v>26</v>
      </c>
      <c r="G1099" s="1" t="s">
        <v>21</v>
      </c>
      <c r="H1099" s="6">
        <v>1</v>
      </c>
      <c r="I1099" s="7">
        <v>0</v>
      </c>
      <c r="J1099" s="5">
        <v>45927</v>
      </c>
      <c r="K1099" s="1" t="s">
        <v>22</v>
      </c>
      <c r="L1099" s="8">
        <v>0</v>
      </c>
      <c r="M1099" s="6"/>
      <c r="N1099" s="6"/>
      <c r="O1099" s="9">
        <v>-13.7</v>
      </c>
    </row>
    <row r="1100" spans="1:15" ht="19.5" customHeight="1">
      <c r="A1100" s="1" t="s">
        <v>552</v>
      </c>
      <c r="B1100" s="5">
        <v>45927</v>
      </c>
      <c r="C1100" s="1" t="s">
        <v>28</v>
      </c>
      <c r="D1100" s="1" t="s">
        <v>60</v>
      </c>
      <c r="E1100" s="1" t="s">
        <v>235</v>
      </c>
      <c r="F1100" s="1" t="s">
        <v>528</v>
      </c>
      <c r="G1100" s="1" t="s">
        <v>41</v>
      </c>
      <c r="H1100" s="6">
        <v>1</v>
      </c>
      <c r="I1100" s="7">
        <v>0</v>
      </c>
      <c r="J1100" s="5">
        <v>45921</v>
      </c>
      <c r="K1100" s="1" t="s">
        <v>30</v>
      </c>
      <c r="L1100" s="8">
        <v>0</v>
      </c>
      <c r="M1100" s="6"/>
      <c r="N1100" s="6"/>
      <c r="O1100" s="9">
        <v>0</v>
      </c>
    </row>
    <row r="1101" spans="1:15" ht="19.5" customHeight="1">
      <c r="A1101" s="1" t="s">
        <v>552</v>
      </c>
      <c r="B1101" s="5">
        <v>45927</v>
      </c>
      <c r="C1101" s="1" t="s">
        <v>28</v>
      </c>
      <c r="D1101" s="1" t="s">
        <v>46</v>
      </c>
      <c r="E1101" s="1" t="s">
        <v>235</v>
      </c>
      <c r="F1101" s="1" t="s">
        <v>528</v>
      </c>
      <c r="G1101" s="1" t="s">
        <v>41</v>
      </c>
      <c r="H1101" s="6">
        <v>1</v>
      </c>
      <c r="I1101" s="7">
        <v>0</v>
      </c>
      <c r="J1101" s="5">
        <v>45921</v>
      </c>
      <c r="K1101" s="1" t="s">
        <v>30</v>
      </c>
      <c r="L1101" s="8">
        <v>0</v>
      </c>
      <c r="M1101" s="6"/>
      <c r="N1101" s="6"/>
      <c r="O1101" s="9">
        <v>-56</v>
      </c>
    </row>
    <row r="1102" spans="1:15" ht="19.5" customHeight="1">
      <c r="A1102" s="1" t="s">
        <v>552</v>
      </c>
      <c r="B1102" s="5">
        <v>45927</v>
      </c>
      <c r="C1102" s="1" t="s">
        <v>17</v>
      </c>
      <c r="D1102" s="1" t="s">
        <v>47</v>
      </c>
      <c r="E1102" s="1" t="s">
        <v>235</v>
      </c>
      <c r="F1102" s="1" t="s">
        <v>528</v>
      </c>
      <c r="G1102" s="1" t="s">
        <v>41</v>
      </c>
      <c r="H1102" s="6">
        <v>1</v>
      </c>
      <c r="I1102" s="7">
        <v>0</v>
      </c>
      <c r="J1102" s="5">
        <v>45921</v>
      </c>
      <c r="K1102" s="1" t="s">
        <v>30</v>
      </c>
      <c r="L1102" s="8">
        <v>0</v>
      </c>
      <c r="M1102" s="6"/>
      <c r="N1102" s="6"/>
      <c r="O1102" s="9">
        <v>-15</v>
      </c>
    </row>
    <row r="1103" spans="1:15" ht="19.5" customHeight="1">
      <c r="A1103" s="1" t="s">
        <v>623</v>
      </c>
      <c r="B1103" s="5">
        <v>45927</v>
      </c>
      <c r="C1103" s="1" t="s">
        <v>28</v>
      </c>
      <c r="D1103" s="1" t="s">
        <v>29</v>
      </c>
      <c r="E1103" s="1" t="s">
        <v>25</v>
      </c>
      <c r="F1103" s="1" t="s">
        <v>26</v>
      </c>
      <c r="G1103" s="1" t="s">
        <v>21</v>
      </c>
      <c r="H1103" s="6">
        <v>1</v>
      </c>
      <c r="I1103" s="7">
        <v>1212</v>
      </c>
      <c r="J1103" s="5">
        <v>45925</v>
      </c>
      <c r="K1103" s="1" t="s">
        <v>30</v>
      </c>
      <c r="L1103" s="8">
        <v>0.26</v>
      </c>
      <c r="M1103" s="6"/>
      <c r="N1103" s="6"/>
      <c r="O1103" s="9">
        <v>-46</v>
      </c>
    </row>
    <row r="1104" spans="1:15" ht="19.5" customHeight="1">
      <c r="A1104" s="1" t="s">
        <v>623</v>
      </c>
      <c r="B1104" s="5">
        <v>45927</v>
      </c>
      <c r="C1104" s="1" t="s">
        <v>31</v>
      </c>
      <c r="D1104" s="1" t="s">
        <v>32</v>
      </c>
      <c r="E1104" s="1" t="s">
        <v>25</v>
      </c>
      <c r="F1104" s="1" t="s">
        <v>26</v>
      </c>
      <c r="G1104" s="1" t="s">
        <v>21</v>
      </c>
      <c r="H1104" s="6">
        <v>1</v>
      </c>
      <c r="I1104" s="7">
        <v>1212</v>
      </c>
      <c r="J1104" s="5">
        <v>45925</v>
      </c>
      <c r="K1104" s="1" t="s">
        <v>30</v>
      </c>
      <c r="L1104" s="8">
        <v>0</v>
      </c>
      <c r="M1104" s="6"/>
      <c r="N1104" s="6"/>
      <c r="O1104" s="9">
        <v>759.24</v>
      </c>
    </row>
    <row r="1105" spans="1:15" ht="19.5" customHeight="1">
      <c r="A1105" s="1" t="s">
        <v>623</v>
      </c>
      <c r="B1105" s="5">
        <v>45927</v>
      </c>
      <c r="C1105" s="1" t="s">
        <v>31</v>
      </c>
      <c r="D1105" s="1" t="s">
        <v>33</v>
      </c>
      <c r="E1105" s="1" t="s">
        <v>25</v>
      </c>
      <c r="F1105" s="1" t="s">
        <v>26</v>
      </c>
      <c r="G1105" s="1" t="s">
        <v>21</v>
      </c>
      <c r="H1105" s="6">
        <v>1</v>
      </c>
      <c r="I1105" s="7">
        <v>1212</v>
      </c>
      <c r="J1105" s="5">
        <v>45925</v>
      </c>
      <c r="K1105" s="1" t="s">
        <v>30</v>
      </c>
      <c r="L1105" s="8">
        <v>0</v>
      </c>
      <c r="M1105" s="6"/>
      <c r="N1105" s="6"/>
      <c r="O1105" s="9">
        <v>5.58</v>
      </c>
    </row>
    <row r="1106" spans="1:15" ht="19.5" customHeight="1">
      <c r="A1106" s="1" t="s">
        <v>623</v>
      </c>
      <c r="B1106" s="5">
        <v>45927</v>
      </c>
      <c r="C1106" s="1" t="s">
        <v>31</v>
      </c>
      <c r="D1106" s="1" t="s">
        <v>34</v>
      </c>
      <c r="E1106" s="1" t="s">
        <v>25</v>
      </c>
      <c r="F1106" s="1" t="s">
        <v>26</v>
      </c>
      <c r="G1106" s="1" t="s">
        <v>21</v>
      </c>
      <c r="H1106" s="6">
        <v>1</v>
      </c>
      <c r="I1106" s="7">
        <v>1212</v>
      </c>
      <c r="J1106" s="5">
        <v>45925</v>
      </c>
      <c r="K1106" s="1" t="s">
        <v>30</v>
      </c>
      <c r="L1106" s="8">
        <v>0</v>
      </c>
      <c r="M1106" s="6"/>
      <c r="N1106" s="6"/>
      <c r="O1106" s="9">
        <v>447.18</v>
      </c>
    </row>
    <row r="1107" spans="1:15" ht="19.5" customHeight="1">
      <c r="A1107" s="1" t="s">
        <v>623</v>
      </c>
      <c r="B1107" s="5">
        <v>45927</v>
      </c>
      <c r="C1107" s="1" t="s">
        <v>35</v>
      </c>
      <c r="D1107" s="1" t="s">
        <v>36</v>
      </c>
      <c r="E1107" s="1" t="s">
        <v>25</v>
      </c>
      <c r="F1107" s="1" t="s">
        <v>26</v>
      </c>
      <c r="G1107" s="1" t="s">
        <v>21</v>
      </c>
      <c r="H1107" s="6">
        <v>1</v>
      </c>
      <c r="I1107" s="7">
        <v>1212</v>
      </c>
      <c r="J1107" s="5">
        <v>45925</v>
      </c>
      <c r="K1107" s="1" t="s">
        <v>30</v>
      </c>
      <c r="L1107" s="8">
        <v>0.26</v>
      </c>
      <c r="M1107" s="6"/>
      <c r="N1107" s="6"/>
      <c r="O1107" s="9">
        <v>-315.12</v>
      </c>
    </row>
    <row r="1108" spans="1:15" ht="19.5" customHeight="1">
      <c r="A1108" s="1" t="s">
        <v>623</v>
      </c>
      <c r="B1108" s="5">
        <v>45927</v>
      </c>
      <c r="C1108" s="1" t="s">
        <v>17</v>
      </c>
      <c r="D1108" s="1" t="s">
        <v>37</v>
      </c>
      <c r="E1108" s="1" t="s">
        <v>25</v>
      </c>
      <c r="F1108" s="1" t="s">
        <v>26</v>
      </c>
      <c r="G1108" s="1" t="s">
        <v>21</v>
      </c>
      <c r="H1108" s="6">
        <v>1</v>
      </c>
      <c r="I1108" s="7">
        <v>1212</v>
      </c>
      <c r="J1108" s="5">
        <v>45925</v>
      </c>
      <c r="K1108" s="1" t="s">
        <v>30</v>
      </c>
      <c r="L1108" s="8">
        <v>0.26</v>
      </c>
      <c r="M1108" s="6"/>
      <c r="N1108" s="6"/>
      <c r="O1108" s="9">
        <v>-6.51</v>
      </c>
    </row>
    <row r="1109" spans="1:15" ht="19.5" customHeight="1">
      <c r="A1109" s="1" t="s">
        <v>624</v>
      </c>
      <c r="B1109" s="5">
        <v>45927</v>
      </c>
      <c r="C1109" s="1" t="s">
        <v>28</v>
      </c>
      <c r="D1109" s="1" t="s">
        <v>29</v>
      </c>
      <c r="E1109" s="1" t="s">
        <v>70</v>
      </c>
      <c r="F1109" s="1" t="s">
        <v>71</v>
      </c>
      <c r="G1109" s="1" t="s">
        <v>41</v>
      </c>
      <c r="H1109" s="6">
        <v>1</v>
      </c>
      <c r="I1109" s="7">
        <v>3690</v>
      </c>
      <c r="J1109" s="5">
        <v>45923</v>
      </c>
      <c r="K1109" s="1" t="s">
        <v>30</v>
      </c>
      <c r="L1109" s="8">
        <v>0.18</v>
      </c>
      <c r="M1109" s="6"/>
      <c r="N1109" s="6"/>
      <c r="O1109" s="9">
        <v>-56</v>
      </c>
    </row>
    <row r="1110" spans="1:15" ht="19.5" customHeight="1">
      <c r="A1110" s="1" t="s">
        <v>624</v>
      </c>
      <c r="B1110" s="5">
        <v>45927</v>
      </c>
      <c r="C1110" s="1" t="s">
        <v>31</v>
      </c>
      <c r="D1110" s="1" t="s">
        <v>32</v>
      </c>
      <c r="E1110" s="1" t="s">
        <v>70</v>
      </c>
      <c r="F1110" s="1" t="s">
        <v>71</v>
      </c>
      <c r="G1110" s="1" t="s">
        <v>41</v>
      </c>
      <c r="H1110" s="6">
        <v>1</v>
      </c>
      <c r="I1110" s="7">
        <v>3690</v>
      </c>
      <c r="J1110" s="5">
        <v>45923</v>
      </c>
      <c r="K1110" s="1" t="s">
        <v>30</v>
      </c>
      <c r="L1110" s="8">
        <v>0</v>
      </c>
      <c r="M1110" s="6"/>
      <c r="N1110" s="6"/>
      <c r="O1110" s="9">
        <v>2257.85</v>
      </c>
    </row>
    <row r="1111" spans="1:15" ht="19.5" customHeight="1">
      <c r="A1111" s="1" t="s">
        <v>624</v>
      </c>
      <c r="B1111" s="5">
        <v>45927</v>
      </c>
      <c r="C1111" s="1" t="s">
        <v>31</v>
      </c>
      <c r="D1111" s="1" t="s">
        <v>33</v>
      </c>
      <c r="E1111" s="1" t="s">
        <v>70</v>
      </c>
      <c r="F1111" s="1" t="s">
        <v>71</v>
      </c>
      <c r="G1111" s="1" t="s">
        <v>41</v>
      </c>
      <c r="H1111" s="6">
        <v>1</v>
      </c>
      <c r="I1111" s="7">
        <v>3690</v>
      </c>
      <c r="J1111" s="5">
        <v>45923</v>
      </c>
      <c r="K1111" s="1" t="s">
        <v>30</v>
      </c>
      <c r="L1111" s="8">
        <v>0</v>
      </c>
      <c r="M1111" s="6"/>
      <c r="N1111" s="6"/>
      <c r="O1111" s="9">
        <v>16.600000000000001</v>
      </c>
    </row>
    <row r="1112" spans="1:15" ht="19.5" customHeight="1">
      <c r="A1112" s="1" t="s">
        <v>624</v>
      </c>
      <c r="B1112" s="5">
        <v>45927</v>
      </c>
      <c r="C1112" s="1" t="s">
        <v>31</v>
      </c>
      <c r="D1112" s="1" t="s">
        <v>34</v>
      </c>
      <c r="E1112" s="1" t="s">
        <v>70</v>
      </c>
      <c r="F1112" s="1" t="s">
        <v>71</v>
      </c>
      <c r="G1112" s="1" t="s">
        <v>41</v>
      </c>
      <c r="H1112" s="6">
        <v>1</v>
      </c>
      <c r="I1112" s="7">
        <v>3690</v>
      </c>
      <c r="J1112" s="5">
        <v>45923</v>
      </c>
      <c r="K1112" s="1" t="s">
        <v>30</v>
      </c>
      <c r="L1112" s="8">
        <v>0</v>
      </c>
      <c r="M1112" s="6"/>
      <c r="N1112" s="6"/>
      <c r="O1112" s="9">
        <v>1415.55</v>
      </c>
    </row>
    <row r="1113" spans="1:15" ht="19.5" customHeight="1">
      <c r="A1113" s="1" t="s">
        <v>624</v>
      </c>
      <c r="B1113" s="5">
        <v>45927</v>
      </c>
      <c r="C1113" s="1" t="s">
        <v>35</v>
      </c>
      <c r="D1113" s="1" t="s">
        <v>36</v>
      </c>
      <c r="E1113" s="1" t="s">
        <v>70</v>
      </c>
      <c r="F1113" s="1" t="s">
        <v>71</v>
      </c>
      <c r="G1113" s="1" t="s">
        <v>41</v>
      </c>
      <c r="H1113" s="6">
        <v>1</v>
      </c>
      <c r="I1113" s="7">
        <v>3690</v>
      </c>
      <c r="J1113" s="5">
        <v>45923</v>
      </c>
      <c r="K1113" s="1" t="s">
        <v>30</v>
      </c>
      <c r="L1113" s="8">
        <v>0.18</v>
      </c>
      <c r="M1113" s="6"/>
      <c r="N1113" s="6"/>
      <c r="O1113" s="9">
        <v>-664.2</v>
      </c>
    </row>
    <row r="1114" spans="1:15" ht="19.5" customHeight="1">
      <c r="A1114" s="1" t="s">
        <v>624</v>
      </c>
      <c r="B1114" s="5">
        <v>45927</v>
      </c>
      <c r="C1114" s="1" t="s">
        <v>17</v>
      </c>
      <c r="D1114" s="1" t="s">
        <v>37</v>
      </c>
      <c r="E1114" s="1" t="s">
        <v>70</v>
      </c>
      <c r="F1114" s="1" t="s">
        <v>71</v>
      </c>
      <c r="G1114" s="1" t="s">
        <v>41</v>
      </c>
      <c r="H1114" s="6">
        <v>1</v>
      </c>
      <c r="I1114" s="7">
        <v>3690</v>
      </c>
      <c r="J1114" s="5">
        <v>45923</v>
      </c>
      <c r="K1114" s="1" t="s">
        <v>30</v>
      </c>
      <c r="L1114" s="8">
        <v>0.18</v>
      </c>
      <c r="M1114" s="6"/>
      <c r="N1114" s="6"/>
      <c r="O1114" s="9">
        <v>-11.12</v>
      </c>
    </row>
    <row r="1115" spans="1:15" ht="19.5" customHeight="1">
      <c r="A1115" s="1" t="s">
        <v>624</v>
      </c>
      <c r="B1115" s="5">
        <v>45927</v>
      </c>
      <c r="C1115" s="1" t="s">
        <v>17</v>
      </c>
      <c r="D1115" s="1" t="s">
        <v>18</v>
      </c>
      <c r="E1115" s="1" t="s">
        <v>70</v>
      </c>
      <c r="F1115" s="1" t="s">
        <v>71</v>
      </c>
      <c r="G1115" s="1" t="s">
        <v>41</v>
      </c>
      <c r="H1115" s="6">
        <v>1</v>
      </c>
      <c r="I1115" s="7">
        <v>0</v>
      </c>
      <c r="J1115" s="5">
        <v>45923</v>
      </c>
      <c r="K1115" s="1" t="s">
        <v>22</v>
      </c>
      <c r="L1115" s="8">
        <v>0</v>
      </c>
      <c r="M1115" s="6"/>
      <c r="N1115" s="6"/>
      <c r="O1115" s="9">
        <v>-42.9</v>
      </c>
    </row>
    <row r="1116" spans="1:15" ht="19.5" customHeight="1">
      <c r="A1116" s="1" t="s">
        <v>625</v>
      </c>
      <c r="B1116" s="5">
        <v>45927</v>
      </c>
      <c r="C1116" s="1" t="s">
        <v>28</v>
      </c>
      <c r="D1116" s="1" t="s">
        <v>29</v>
      </c>
      <c r="E1116" s="1" t="s">
        <v>54</v>
      </c>
      <c r="F1116" s="1" t="s">
        <v>55</v>
      </c>
      <c r="G1116" s="1" t="s">
        <v>21</v>
      </c>
      <c r="H1116" s="6">
        <v>1</v>
      </c>
      <c r="I1116" s="7">
        <v>0</v>
      </c>
      <c r="J1116" s="5">
        <v>45923</v>
      </c>
      <c r="K1116" s="1" t="s">
        <v>30</v>
      </c>
      <c r="L1116" s="8">
        <v>0</v>
      </c>
      <c r="M1116" s="6"/>
      <c r="N1116" s="6"/>
      <c r="O1116" s="9">
        <v>-46</v>
      </c>
    </row>
    <row r="1117" spans="1:15" ht="19.5" customHeight="1">
      <c r="A1117" s="1" t="s">
        <v>625</v>
      </c>
      <c r="B1117" s="5">
        <v>45927</v>
      </c>
      <c r="C1117" s="1" t="s">
        <v>17</v>
      </c>
      <c r="D1117" s="1" t="s">
        <v>37</v>
      </c>
      <c r="E1117" s="1" t="s">
        <v>54</v>
      </c>
      <c r="F1117" s="1" t="s">
        <v>55</v>
      </c>
      <c r="G1117" s="1" t="s">
        <v>21</v>
      </c>
      <c r="H1117" s="6">
        <v>1</v>
      </c>
      <c r="I1117" s="7">
        <v>0</v>
      </c>
      <c r="J1117" s="5">
        <v>45923</v>
      </c>
      <c r="K1117" s="1" t="s">
        <v>30</v>
      </c>
      <c r="L1117" s="8">
        <v>0</v>
      </c>
      <c r="M1117" s="6"/>
      <c r="N1117" s="6"/>
      <c r="O1117" s="9">
        <v>-5.72</v>
      </c>
    </row>
    <row r="1118" spans="1:15" ht="19.5" customHeight="1">
      <c r="A1118" s="1" t="s">
        <v>626</v>
      </c>
      <c r="B1118" s="5">
        <v>45927</v>
      </c>
      <c r="C1118" s="1" t="s">
        <v>28</v>
      </c>
      <c r="D1118" s="1" t="s">
        <v>29</v>
      </c>
      <c r="E1118" s="1" t="s">
        <v>25</v>
      </c>
      <c r="F1118" s="1" t="s">
        <v>26</v>
      </c>
      <c r="G1118" s="1" t="s">
        <v>21</v>
      </c>
      <c r="H1118" s="6">
        <v>1</v>
      </c>
      <c r="I1118" s="7">
        <v>1176</v>
      </c>
      <c r="J1118" s="5">
        <v>45920</v>
      </c>
      <c r="K1118" s="1" t="s">
        <v>30</v>
      </c>
      <c r="L1118" s="8">
        <v>0.2</v>
      </c>
      <c r="M1118" s="6"/>
      <c r="N1118" s="6"/>
      <c r="O1118" s="9">
        <v>-46</v>
      </c>
    </row>
    <row r="1119" spans="1:15" ht="19.5" customHeight="1">
      <c r="A1119" s="1" t="s">
        <v>626</v>
      </c>
      <c r="B1119" s="5">
        <v>45927</v>
      </c>
      <c r="C1119" s="1" t="s">
        <v>31</v>
      </c>
      <c r="D1119" s="1" t="s">
        <v>32</v>
      </c>
      <c r="E1119" s="1" t="s">
        <v>25</v>
      </c>
      <c r="F1119" s="1" t="s">
        <v>26</v>
      </c>
      <c r="G1119" s="1" t="s">
        <v>21</v>
      </c>
      <c r="H1119" s="6">
        <v>1</v>
      </c>
      <c r="I1119" s="7">
        <v>1176</v>
      </c>
      <c r="J1119" s="5">
        <v>45920</v>
      </c>
      <c r="K1119" s="1" t="s">
        <v>30</v>
      </c>
      <c r="L1119" s="8">
        <v>0</v>
      </c>
      <c r="M1119" s="6"/>
      <c r="N1119" s="6"/>
      <c r="O1119" s="9">
        <v>601.9</v>
      </c>
    </row>
    <row r="1120" spans="1:15" ht="19.5" customHeight="1">
      <c r="A1120" s="1" t="s">
        <v>626</v>
      </c>
      <c r="B1120" s="5">
        <v>45927</v>
      </c>
      <c r="C1120" s="1" t="s">
        <v>31</v>
      </c>
      <c r="D1120" s="1" t="s">
        <v>33</v>
      </c>
      <c r="E1120" s="1" t="s">
        <v>25</v>
      </c>
      <c r="F1120" s="1" t="s">
        <v>26</v>
      </c>
      <c r="G1120" s="1" t="s">
        <v>21</v>
      </c>
      <c r="H1120" s="6">
        <v>1</v>
      </c>
      <c r="I1120" s="7">
        <v>1176</v>
      </c>
      <c r="J1120" s="5">
        <v>45920</v>
      </c>
      <c r="K1120" s="1" t="s">
        <v>30</v>
      </c>
      <c r="L1120" s="8">
        <v>0</v>
      </c>
      <c r="M1120" s="6"/>
      <c r="N1120" s="6"/>
      <c r="O1120" s="9">
        <v>4.42</v>
      </c>
    </row>
    <row r="1121" spans="1:15" ht="19.5" customHeight="1">
      <c r="A1121" s="1" t="s">
        <v>626</v>
      </c>
      <c r="B1121" s="5">
        <v>45927</v>
      </c>
      <c r="C1121" s="1" t="s">
        <v>31</v>
      </c>
      <c r="D1121" s="1" t="s">
        <v>34</v>
      </c>
      <c r="E1121" s="1" t="s">
        <v>25</v>
      </c>
      <c r="F1121" s="1" t="s">
        <v>26</v>
      </c>
      <c r="G1121" s="1" t="s">
        <v>21</v>
      </c>
      <c r="H1121" s="6">
        <v>1</v>
      </c>
      <c r="I1121" s="7">
        <v>1176</v>
      </c>
      <c r="J1121" s="5">
        <v>45920</v>
      </c>
      <c r="K1121" s="1" t="s">
        <v>30</v>
      </c>
      <c r="L1121" s="8">
        <v>0</v>
      </c>
      <c r="M1121" s="6"/>
      <c r="N1121" s="6"/>
      <c r="O1121" s="9">
        <v>569.67999999999995</v>
      </c>
    </row>
    <row r="1122" spans="1:15" ht="19.5" customHeight="1">
      <c r="A1122" s="1" t="s">
        <v>626</v>
      </c>
      <c r="B1122" s="5">
        <v>45927</v>
      </c>
      <c r="C1122" s="1" t="s">
        <v>35</v>
      </c>
      <c r="D1122" s="1" t="s">
        <v>36</v>
      </c>
      <c r="E1122" s="1" t="s">
        <v>25</v>
      </c>
      <c r="F1122" s="1" t="s">
        <v>26</v>
      </c>
      <c r="G1122" s="1" t="s">
        <v>21</v>
      </c>
      <c r="H1122" s="6">
        <v>1</v>
      </c>
      <c r="I1122" s="7">
        <v>1176</v>
      </c>
      <c r="J1122" s="5">
        <v>45920</v>
      </c>
      <c r="K1122" s="1" t="s">
        <v>30</v>
      </c>
      <c r="L1122" s="8">
        <v>0.2</v>
      </c>
      <c r="M1122" s="6"/>
      <c r="N1122" s="6"/>
      <c r="O1122" s="9">
        <v>-235.2</v>
      </c>
    </row>
    <row r="1123" spans="1:15" ht="19.5" customHeight="1">
      <c r="A1123" s="1" t="s">
        <v>625</v>
      </c>
      <c r="B1123" s="5">
        <v>45927</v>
      </c>
      <c r="C1123" s="1" t="s">
        <v>28</v>
      </c>
      <c r="D1123" s="1" t="s">
        <v>356</v>
      </c>
      <c r="E1123" s="1" t="s">
        <v>54</v>
      </c>
      <c r="F1123" s="1" t="s">
        <v>55</v>
      </c>
      <c r="G1123" s="1" t="s">
        <v>21</v>
      </c>
      <c r="H1123" s="6">
        <v>1</v>
      </c>
      <c r="I1123" s="7">
        <v>0</v>
      </c>
      <c r="J1123" s="5">
        <v>45923</v>
      </c>
      <c r="K1123" s="1" t="s">
        <v>30</v>
      </c>
      <c r="L1123" s="8">
        <v>0</v>
      </c>
      <c r="M1123" s="6"/>
      <c r="N1123" s="6"/>
      <c r="O1123" s="9">
        <v>0</v>
      </c>
    </row>
    <row r="1124" spans="1:15" ht="19.5" customHeight="1">
      <c r="A1124" s="1" t="s">
        <v>625</v>
      </c>
      <c r="B1124" s="5">
        <v>45927</v>
      </c>
      <c r="C1124" s="1" t="s">
        <v>28</v>
      </c>
      <c r="D1124" s="1" t="s">
        <v>46</v>
      </c>
      <c r="E1124" s="1" t="s">
        <v>54</v>
      </c>
      <c r="F1124" s="1" t="s">
        <v>55</v>
      </c>
      <c r="G1124" s="1" t="s">
        <v>21</v>
      </c>
      <c r="H1124" s="6">
        <v>1</v>
      </c>
      <c r="I1124" s="7">
        <v>0</v>
      </c>
      <c r="J1124" s="5">
        <v>45923</v>
      </c>
      <c r="K1124" s="1" t="s">
        <v>30</v>
      </c>
      <c r="L1124" s="8">
        <v>0</v>
      </c>
      <c r="M1124" s="6"/>
      <c r="N1124" s="6"/>
      <c r="O1124" s="9">
        <v>-46</v>
      </c>
    </row>
    <row r="1125" spans="1:15" ht="19.5" customHeight="1">
      <c r="A1125" s="1" t="s">
        <v>625</v>
      </c>
      <c r="B1125" s="5">
        <v>45927</v>
      </c>
      <c r="C1125" s="1" t="s">
        <v>17</v>
      </c>
      <c r="D1125" s="1" t="s">
        <v>47</v>
      </c>
      <c r="E1125" s="1" t="s">
        <v>54</v>
      </c>
      <c r="F1125" s="1" t="s">
        <v>55</v>
      </c>
      <c r="G1125" s="1" t="s">
        <v>21</v>
      </c>
      <c r="H1125" s="6">
        <v>1</v>
      </c>
      <c r="I1125" s="7">
        <v>0</v>
      </c>
      <c r="J1125" s="5">
        <v>45923</v>
      </c>
      <c r="K1125" s="1" t="s">
        <v>30</v>
      </c>
      <c r="L1125" s="8">
        <v>0</v>
      </c>
      <c r="M1125" s="6"/>
      <c r="N1125" s="6"/>
      <c r="O1125" s="9">
        <v>-15</v>
      </c>
    </row>
    <row r="1126" spans="1:15" ht="19.5" customHeight="1">
      <c r="A1126" s="1" t="s">
        <v>627</v>
      </c>
      <c r="B1126" s="5">
        <v>45927</v>
      </c>
      <c r="C1126" s="1" t="s">
        <v>28</v>
      </c>
      <c r="D1126" s="1" t="s">
        <v>29</v>
      </c>
      <c r="E1126" s="1" t="s">
        <v>88</v>
      </c>
      <c r="F1126" s="1" t="s">
        <v>89</v>
      </c>
      <c r="G1126" s="1" t="s">
        <v>21</v>
      </c>
      <c r="H1126" s="6">
        <v>1</v>
      </c>
      <c r="I1126" s="7">
        <v>1400</v>
      </c>
      <c r="J1126" s="5">
        <v>45925</v>
      </c>
      <c r="K1126" s="1" t="s">
        <v>30</v>
      </c>
      <c r="L1126" s="8">
        <v>0.26</v>
      </c>
      <c r="M1126" s="6"/>
      <c r="N1126" s="6"/>
      <c r="O1126" s="9">
        <v>-46</v>
      </c>
    </row>
    <row r="1127" spans="1:15" ht="19.5" customHeight="1">
      <c r="A1127" s="1" t="s">
        <v>627</v>
      </c>
      <c r="B1127" s="5">
        <v>45927</v>
      </c>
      <c r="C1127" s="1" t="s">
        <v>31</v>
      </c>
      <c r="D1127" s="1" t="s">
        <v>32</v>
      </c>
      <c r="E1127" s="1" t="s">
        <v>88</v>
      </c>
      <c r="F1127" s="1" t="s">
        <v>89</v>
      </c>
      <c r="G1127" s="1" t="s">
        <v>21</v>
      </c>
      <c r="H1127" s="6">
        <v>1</v>
      </c>
      <c r="I1127" s="7">
        <v>1400</v>
      </c>
      <c r="J1127" s="5">
        <v>45925</v>
      </c>
      <c r="K1127" s="1" t="s">
        <v>30</v>
      </c>
      <c r="L1127" s="8">
        <v>0</v>
      </c>
      <c r="M1127" s="6"/>
      <c r="N1127" s="6"/>
      <c r="O1127" s="9">
        <v>905.8</v>
      </c>
    </row>
    <row r="1128" spans="1:15" ht="19.5" customHeight="1">
      <c r="A1128" s="1" t="s">
        <v>627</v>
      </c>
      <c r="B1128" s="5">
        <v>45927</v>
      </c>
      <c r="C1128" s="1" t="s">
        <v>31</v>
      </c>
      <c r="D1128" s="1" t="s">
        <v>33</v>
      </c>
      <c r="E1128" s="1" t="s">
        <v>88</v>
      </c>
      <c r="F1128" s="1" t="s">
        <v>89</v>
      </c>
      <c r="G1128" s="1" t="s">
        <v>21</v>
      </c>
      <c r="H1128" s="6">
        <v>1</v>
      </c>
      <c r="I1128" s="7">
        <v>1400</v>
      </c>
      <c r="J1128" s="5">
        <v>45925</v>
      </c>
      <c r="K1128" s="1" t="s">
        <v>30</v>
      </c>
      <c r="L1128" s="8">
        <v>0</v>
      </c>
      <c r="M1128" s="6"/>
      <c r="N1128" s="6"/>
      <c r="O1128" s="9">
        <v>6.66</v>
      </c>
    </row>
    <row r="1129" spans="1:15" ht="19.5" customHeight="1">
      <c r="A1129" s="1" t="s">
        <v>627</v>
      </c>
      <c r="B1129" s="5">
        <v>45927</v>
      </c>
      <c r="C1129" s="1" t="s">
        <v>31</v>
      </c>
      <c r="D1129" s="1" t="s">
        <v>34</v>
      </c>
      <c r="E1129" s="1" t="s">
        <v>88</v>
      </c>
      <c r="F1129" s="1" t="s">
        <v>89</v>
      </c>
      <c r="G1129" s="1" t="s">
        <v>21</v>
      </c>
      <c r="H1129" s="6">
        <v>1</v>
      </c>
      <c r="I1129" s="7">
        <v>1400</v>
      </c>
      <c r="J1129" s="5">
        <v>45925</v>
      </c>
      <c r="K1129" s="1" t="s">
        <v>30</v>
      </c>
      <c r="L1129" s="8">
        <v>0</v>
      </c>
      <c r="M1129" s="6"/>
      <c r="N1129" s="6"/>
      <c r="O1129" s="9">
        <v>487.54</v>
      </c>
    </row>
    <row r="1130" spans="1:15" ht="19.5" customHeight="1">
      <c r="A1130" s="1" t="s">
        <v>627</v>
      </c>
      <c r="B1130" s="5">
        <v>45927</v>
      </c>
      <c r="C1130" s="1" t="s">
        <v>35</v>
      </c>
      <c r="D1130" s="1" t="s">
        <v>36</v>
      </c>
      <c r="E1130" s="1" t="s">
        <v>88</v>
      </c>
      <c r="F1130" s="1" t="s">
        <v>89</v>
      </c>
      <c r="G1130" s="1" t="s">
        <v>21</v>
      </c>
      <c r="H1130" s="6">
        <v>1</v>
      </c>
      <c r="I1130" s="7">
        <v>1400</v>
      </c>
      <c r="J1130" s="5">
        <v>45925</v>
      </c>
      <c r="K1130" s="1" t="s">
        <v>30</v>
      </c>
      <c r="L1130" s="8">
        <v>0.26</v>
      </c>
      <c r="M1130" s="6"/>
      <c r="N1130" s="6"/>
      <c r="O1130" s="9">
        <v>-364</v>
      </c>
    </row>
    <row r="1131" spans="1:15" ht="19.5" customHeight="1">
      <c r="A1131" s="1" t="s">
        <v>627</v>
      </c>
      <c r="B1131" s="5">
        <v>45927</v>
      </c>
      <c r="C1131" s="1" t="s">
        <v>17</v>
      </c>
      <c r="D1131" s="1" t="s">
        <v>37</v>
      </c>
      <c r="E1131" s="1" t="s">
        <v>88</v>
      </c>
      <c r="F1131" s="1" t="s">
        <v>89</v>
      </c>
      <c r="G1131" s="1" t="s">
        <v>21</v>
      </c>
      <c r="H1131" s="6">
        <v>1</v>
      </c>
      <c r="I1131" s="7">
        <v>1400</v>
      </c>
      <c r="J1131" s="5">
        <v>45925</v>
      </c>
      <c r="K1131" s="1" t="s">
        <v>30</v>
      </c>
      <c r="L1131" s="8">
        <v>0.26</v>
      </c>
      <c r="M1131" s="6"/>
      <c r="N1131" s="6"/>
      <c r="O1131" s="9">
        <v>-5.88</v>
      </c>
    </row>
    <row r="1132" spans="1:15" ht="19.5" customHeight="1">
      <c r="A1132" s="1" t="s">
        <v>627</v>
      </c>
      <c r="B1132" s="5">
        <v>45927</v>
      </c>
      <c r="C1132" s="1" t="s">
        <v>17</v>
      </c>
      <c r="D1132" s="1" t="s">
        <v>18</v>
      </c>
      <c r="E1132" s="1" t="s">
        <v>88</v>
      </c>
      <c r="F1132" s="1" t="s">
        <v>89</v>
      </c>
      <c r="G1132" s="1" t="s">
        <v>21</v>
      </c>
      <c r="H1132" s="6">
        <v>1</v>
      </c>
      <c r="I1132" s="7">
        <v>0</v>
      </c>
      <c r="J1132" s="5">
        <v>45925</v>
      </c>
      <c r="K1132" s="1" t="s">
        <v>22</v>
      </c>
      <c r="L1132" s="8">
        <v>0</v>
      </c>
      <c r="M1132" s="6"/>
      <c r="N1132" s="6"/>
      <c r="O1132" s="9">
        <v>-17.21</v>
      </c>
    </row>
    <row r="1133" spans="1:15" ht="19.5" customHeight="1">
      <c r="A1133" s="1" t="s">
        <v>628</v>
      </c>
      <c r="B1133" s="5">
        <v>45927</v>
      </c>
      <c r="C1133" s="1" t="s">
        <v>28</v>
      </c>
      <c r="D1133" s="1" t="s">
        <v>29</v>
      </c>
      <c r="E1133" s="1" t="s">
        <v>19</v>
      </c>
      <c r="F1133" s="1" t="s">
        <v>20</v>
      </c>
      <c r="G1133" s="1" t="s">
        <v>21</v>
      </c>
      <c r="H1133" s="6">
        <v>1</v>
      </c>
      <c r="I1133" s="7">
        <v>1380</v>
      </c>
      <c r="J1133" s="5">
        <v>45921</v>
      </c>
      <c r="K1133" s="1" t="s">
        <v>30</v>
      </c>
      <c r="L1133" s="8">
        <v>0.2</v>
      </c>
      <c r="M1133" s="6"/>
      <c r="N1133" s="6"/>
      <c r="O1133" s="9">
        <v>-46</v>
      </c>
    </row>
    <row r="1134" spans="1:15" ht="19.5" customHeight="1">
      <c r="A1134" s="1" t="s">
        <v>628</v>
      </c>
      <c r="B1134" s="5">
        <v>45927</v>
      </c>
      <c r="C1134" s="1" t="s">
        <v>31</v>
      </c>
      <c r="D1134" s="1" t="s">
        <v>32</v>
      </c>
      <c r="E1134" s="1" t="s">
        <v>19</v>
      </c>
      <c r="F1134" s="1" t="s">
        <v>20</v>
      </c>
      <c r="G1134" s="1" t="s">
        <v>21</v>
      </c>
      <c r="H1134" s="6">
        <v>1</v>
      </c>
      <c r="I1134" s="7">
        <v>1380</v>
      </c>
      <c r="J1134" s="5">
        <v>45921</v>
      </c>
      <c r="K1134" s="1" t="s">
        <v>30</v>
      </c>
      <c r="L1134" s="8">
        <v>0</v>
      </c>
      <c r="M1134" s="6"/>
      <c r="N1134" s="6"/>
      <c r="O1134" s="9">
        <v>768.57</v>
      </c>
    </row>
    <row r="1135" spans="1:15" ht="19.5" customHeight="1">
      <c r="A1135" s="1" t="s">
        <v>628</v>
      </c>
      <c r="B1135" s="5">
        <v>45927</v>
      </c>
      <c r="C1135" s="1" t="s">
        <v>31</v>
      </c>
      <c r="D1135" s="1" t="s">
        <v>33</v>
      </c>
      <c r="E1135" s="1" t="s">
        <v>19</v>
      </c>
      <c r="F1135" s="1" t="s">
        <v>20</v>
      </c>
      <c r="G1135" s="1" t="s">
        <v>21</v>
      </c>
      <c r="H1135" s="6">
        <v>1</v>
      </c>
      <c r="I1135" s="7">
        <v>1380</v>
      </c>
      <c r="J1135" s="5">
        <v>45921</v>
      </c>
      <c r="K1135" s="1" t="s">
        <v>30</v>
      </c>
      <c r="L1135" s="8">
        <v>0</v>
      </c>
      <c r="M1135" s="6"/>
      <c r="N1135" s="6"/>
      <c r="O1135" s="9">
        <v>5.65</v>
      </c>
    </row>
    <row r="1136" spans="1:15" ht="19.5" customHeight="1">
      <c r="A1136" s="1" t="s">
        <v>628</v>
      </c>
      <c r="B1136" s="5">
        <v>45927</v>
      </c>
      <c r="C1136" s="1" t="s">
        <v>31</v>
      </c>
      <c r="D1136" s="1" t="s">
        <v>34</v>
      </c>
      <c r="E1136" s="1" t="s">
        <v>19</v>
      </c>
      <c r="F1136" s="1" t="s">
        <v>20</v>
      </c>
      <c r="G1136" s="1" t="s">
        <v>21</v>
      </c>
      <c r="H1136" s="6">
        <v>1</v>
      </c>
      <c r="I1136" s="7">
        <v>1380</v>
      </c>
      <c r="J1136" s="5">
        <v>45921</v>
      </c>
      <c r="K1136" s="1" t="s">
        <v>30</v>
      </c>
      <c r="L1136" s="8">
        <v>0</v>
      </c>
      <c r="M1136" s="6"/>
      <c r="N1136" s="6"/>
      <c r="O1136" s="9">
        <v>605.78</v>
      </c>
    </row>
    <row r="1137" spans="1:15" ht="19.5" customHeight="1">
      <c r="A1137" s="1" t="s">
        <v>628</v>
      </c>
      <c r="B1137" s="5">
        <v>45927</v>
      </c>
      <c r="C1137" s="1" t="s">
        <v>35</v>
      </c>
      <c r="D1137" s="1" t="s">
        <v>36</v>
      </c>
      <c r="E1137" s="1" t="s">
        <v>19</v>
      </c>
      <c r="F1137" s="1" t="s">
        <v>20</v>
      </c>
      <c r="G1137" s="1" t="s">
        <v>21</v>
      </c>
      <c r="H1137" s="6">
        <v>1</v>
      </c>
      <c r="I1137" s="7">
        <v>1380</v>
      </c>
      <c r="J1137" s="5">
        <v>45921</v>
      </c>
      <c r="K1137" s="1" t="s">
        <v>30</v>
      </c>
      <c r="L1137" s="8">
        <v>0.2</v>
      </c>
      <c r="M1137" s="6"/>
      <c r="N1137" s="6"/>
      <c r="O1137" s="9">
        <v>-276</v>
      </c>
    </row>
    <row r="1138" spans="1:15" ht="19.5" customHeight="1">
      <c r="A1138" s="1" t="s">
        <v>628</v>
      </c>
      <c r="B1138" s="5">
        <v>45927</v>
      </c>
      <c r="C1138" s="1" t="s">
        <v>17</v>
      </c>
      <c r="D1138" s="1" t="s">
        <v>37</v>
      </c>
      <c r="E1138" s="1" t="s">
        <v>19</v>
      </c>
      <c r="F1138" s="1" t="s">
        <v>20</v>
      </c>
      <c r="G1138" s="1" t="s">
        <v>21</v>
      </c>
      <c r="H1138" s="6">
        <v>1</v>
      </c>
      <c r="I1138" s="7">
        <v>1380</v>
      </c>
      <c r="J1138" s="5">
        <v>45921</v>
      </c>
      <c r="K1138" s="1" t="s">
        <v>30</v>
      </c>
      <c r="L1138" s="8">
        <v>0.2</v>
      </c>
      <c r="M1138" s="6"/>
      <c r="N1138" s="6"/>
      <c r="O1138" s="9">
        <v>-5.04</v>
      </c>
    </row>
    <row r="1139" spans="1:15" ht="19.5" customHeight="1">
      <c r="A1139" s="1" t="s">
        <v>629</v>
      </c>
      <c r="B1139" s="5">
        <v>45927</v>
      </c>
      <c r="C1139" s="1" t="s">
        <v>28</v>
      </c>
      <c r="D1139" s="1" t="s">
        <v>29</v>
      </c>
      <c r="E1139" s="1" t="s">
        <v>25</v>
      </c>
      <c r="F1139" s="1" t="s">
        <v>26</v>
      </c>
      <c r="G1139" s="1" t="s">
        <v>21</v>
      </c>
      <c r="H1139" s="6">
        <v>1</v>
      </c>
      <c r="I1139" s="7">
        <v>0</v>
      </c>
      <c r="J1139" s="5">
        <v>45917</v>
      </c>
      <c r="K1139" s="1" t="s">
        <v>30</v>
      </c>
      <c r="L1139" s="8">
        <v>0</v>
      </c>
      <c r="M1139" s="6"/>
      <c r="N1139" s="6"/>
      <c r="O1139" s="9">
        <v>-46</v>
      </c>
    </row>
    <row r="1140" spans="1:15" ht="19.5" customHeight="1">
      <c r="A1140" s="1" t="s">
        <v>629</v>
      </c>
      <c r="B1140" s="5">
        <v>45927</v>
      </c>
      <c r="C1140" s="1" t="s">
        <v>17</v>
      </c>
      <c r="D1140" s="1" t="s">
        <v>37</v>
      </c>
      <c r="E1140" s="1" t="s">
        <v>25</v>
      </c>
      <c r="F1140" s="1" t="s">
        <v>26</v>
      </c>
      <c r="G1140" s="1" t="s">
        <v>21</v>
      </c>
      <c r="H1140" s="6">
        <v>1</v>
      </c>
      <c r="I1140" s="7">
        <v>0</v>
      </c>
      <c r="J1140" s="5">
        <v>45917</v>
      </c>
      <c r="K1140" s="1" t="s">
        <v>30</v>
      </c>
      <c r="L1140" s="8">
        <v>0</v>
      </c>
      <c r="M1140" s="6"/>
      <c r="N1140" s="6"/>
      <c r="O1140" s="9">
        <v>-4.41</v>
      </c>
    </row>
    <row r="1141" spans="1:15" ht="19.5" customHeight="1">
      <c r="A1141" s="1" t="s">
        <v>629</v>
      </c>
      <c r="B1141" s="5">
        <v>45927</v>
      </c>
      <c r="C1141" s="1" t="s">
        <v>28</v>
      </c>
      <c r="D1141" s="1" t="s">
        <v>356</v>
      </c>
      <c r="E1141" s="1" t="s">
        <v>25</v>
      </c>
      <c r="F1141" s="1" t="s">
        <v>26</v>
      </c>
      <c r="G1141" s="1" t="s">
        <v>21</v>
      </c>
      <c r="H1141" s="6">
        <v>1</v>
      </c>
      <c r="I1141" s="7">
        <v>0</v>
      </c>
      <c r="J1141" s="5">
        <v>45917</v>
      </c>
      <c r="K1141" s="1" t="s">
        <v>30</v>
      </c>
      <c r="L1141" s="8">
        <v>0</v>
      </c>
      <c r="M1141" s="6"/>
      <c r="N1141" s="6"/>
      <c r="O1141" s="9">
        <v>0</v>
      </c>
    </row>
    <row r="1142" spans="1:15" ht="19.5" customHeight="1">
      <c r="A1142" s="1" t="s">
        <v>629</v>
      </c>
      <c r="B1142" s="5">
        <v>45927</v>
      </c>
      <c r="C1142" s="1" t="s">
        <v>28</v>
      </c>
      <c r="D1142" s="1" t="s">
        <v>46</v>
      </c>
      <c r="E1142" s="1" t="s">
        <v>25</v>
      </c>
      <c r="F1142" s="1" t="s">
        <v>26</v>
      </c>
      <c r="G1142" s="1" t="s">
        <v>21</v>
      </c>
      <c r="H1142" s="6">
        <v>1</v>
      </c>
      <c r="I1142" s="7">
        <v>0</v>
      </c>
      <c r="J1142" s="5">
        <v>45917</v>
      </c>
      <c r="K1142" s="1" t="s">
        <v>30</v>
      </c>
      <c r="L1142" s="8">
        <v>0</v>
      </c>
      <c r="M1142" s="6"/>
      <c r="N1142" s="6"/>
      <c r="O1142" s="9">
        <v>-46</v>
      </c>
    </row>
    <row r="1143" spans="1:15" ht="19.5" customHeight="1">
      <c r="A1143" s="1" t="s">
        <v>629</v>
      </c>
      <c r="B1143" s="5">
        <v>45927</v>
      </c>
      <c r="C1143" s="1" t="s">
        <v>17</v>
      </c>
      <c r="D1143" s="1" t="s">
        <v>47</v>
      </c>
      <c r="E1143" s="1" t="s">
        <v>25</v>
      </c>
      <c r="F1143" s="1" t="s">
        <v>26</v>
      </c>
      <c r="G1143" s="1" t="s">
        <v>21</v>
      </c>
      <c r="H1143" s="6">
        <v>1</v>
      </c>
      <c r="I1143" s="7">
        <v>0</v>
      </c>
      <c r="J1143" s="5">
        <v>45917</v>
      </c>
      <c r="K1143" s="1" t="s">
        <v>30</v>
      </c>
      <c r="L1143" s="8">
        <v>0</v>
      </c>
      <c r="M1143" s="6"/>
      <c r="N1143" s="6"/>
      <c r="O1143" s="9">
        <v>-15</v>
      </c>
    </row>
    <row r="1144" spans="1:15" ht="19.5" customHeight="1">
      <c r="A1144" s="1" t="s">
        <v>630</v>
      </c>
      <c r="B1144" s="5">
        <v>45927</v>
      </c>
      <c r="C1144" s="1" t="s">
        <v>28</v>
      </c>
      <c r="D1144" s="1" t="s">
        <v>29</v>
      </c>
      <c r="E1144" s="1" t="s">
        <v>222</v>
      </c>
      <c r="F1144" s="1" t="s">
        <v>412</v>
      </c>
      <c r="G1144" s="1" t="s">
        <v>21</v>
      </c>
      <c r="H1144" s="6">
        <v>1</v>
      </c>
      <c r="I1144" s="7">
        <v>1235</v>
      </c>
      <c r="J1144" s="5">
        <v>45925</v>
      </c>
      <c r="K1144" s="1" t="s">
        <v>30</v>
      </c>
      <c r="L1144" s="8">
        <v>0.26</v>
      </c>
      <c r="M1144" s="6"/>
      <c r="N1144" s="6"/>
      <c r="O1144" s="9">
        <v>-46</v>
      </c>
    </row>
    <row r="1145" spans="1:15" ht="19.5" customHeight="1">
      <c r="A1145" s="1" t="s">
        <v>630</v>
      </c>
      <c r="B1145" s="5">
        <v>45927</v>
      </c>
      <c r="C1145" s="1" t="s">
        <v>31</v>
      </c>
      <c r="D1145" s="1" t="s">
        <v>32</v>
      </c>
      <c r="E1145" s="1" t="s">
        <v>222</v>
      </c>
      <c r="F1145" s="1" t="s">
        <v>412</v>
      </c>
      <c r="G1145" s="1" t="s">
        <v>21</v>
      </c>
      <c r="H1145" s="6">
        <v>1</v>
      </c>
      <c r="I1145" s="7">
        <v>1235</v>
      </c>
      <c r="J1145" s="5">
        <v>45925</v>
      </c>
      <c r="K1145" s="1" t="s">
        <v>30</v>
      </c>
      <c r="L1145" s="8">
        <v>0</v>
      </c>
      <c r="M1145" s="6"/>
      <c r="N1145" s="6"/>
      <c r="O1145" s="9">
        <v>799.24</v>
      </c>
    </row>
    <row r="1146" spans="1:15" ht="19.5" customHeight="1">
      <c r="A1146" s="1" t="s">
        <v>630</v>
      </c>
      <c r="B1146" s="5">
        <v>45927</v>
      </c>
      <c r="C1146" s="1" t="s">
        <v>31</v>
      </c>
      <c r="D1146" s="1" t="s">
        <v>33</v>
      </c>
      <c r="E1146" s="1" t="s">
        <v>222</v>
      </c>
      <c r="F1146" s="1" t="s">
        <v>412</v>
      </c>
      <c r="G1146" s="1" t="s">
        <v>21</v>
      </c>
      <c r="H1146" s="6">
        <v>1</v>
      </c>
      <c r="I1146" s="7">
        <v>1235</v>
      </c>
      <c r="J1146" s="5">
        <v>45925</v>
      </c>
      <c r="K1146" s="1" t="s">
        <v>30</v>
      </c>
      <c r="L1146" s="8">
        <v>0</v>
      </c>
      <c r="M1146" s="6"/>
      <c r="N1146" s="6"/>
      <c r="O1146" s="9">
        <v>5.87</v>
      </c>
    </row>
    <row r="1147" spans="1:15" ht="19.5" customHeight="1">
      <c r="A1147" s="1" t="s">
        <v>630</v>
      </c>
      <c r="B1147" s="5">
        <v>45927</v>
      </c>
      <c r="C1147" s="1" t="s">
        <v>31</v>
      </c>
      <c r="D1147" s="1" t="s">
        <v>34</v>
      </c>
      <c r="E1147" s="1" t="s">
        <v>222</v>
      </c>
      <c r="F1147" s="1" t="s">
        <v>412</v>
      </c>
      <c r="G1147" s="1" t="s">
        <v>21</v>
      </c>
      <c r="H1147" s="6">
        <v>1</v>
      </c>
      <c r="I1147" s="7">
        <v>1235</v>
      </c>
      <c r="J1147" s="5">
        <v>45925</v>
      </c>
      <c r="K1147" s="1" t="s">
        <v>30</v>
      </c>
      <c r="L1147" s="8">
        <v>0</v>
      </c>
      <c r="M1147" s="6"/>
      <c r="N1147" s="6"/>
      <c r="O1147" s="9">
        <v>429.89</v>
      </c>
    </row>
    <row r="1148" spans="1:15" ht="19.5" customHeight="1">
      <c r="A1148" s="1" t="s">
        <v>630</v>
      </c>
      <c r="B1148" s="5">
        <v>45927</v>
      </c>
      <c r="C1148" s="1" t="s">
        <v>35</v>
      </c>
      <c r="D1148" s="1" t="s">
        <v>36</v>
      </c>
      <c r="E1148" s="1" t="s">
        <v>222</v>
      </c>
      <c r="F1148" s="1" t="s">
        <v>412</v>
      </c>
      <c r="G1148" s="1" t="s">
        <v>21</v>
      </c>
      <c r="H1148" s="6">
        <v>1</v>
      </c>
      <c r="I1148" s="7">
        <v>1235</v>
      </c>
      <c r="J1148" s="5">
        <v>45925</v>
      </c>
      <c r="K1148" s="1" t="s">
        <v>30</v>
      </c>
      <c r="L1148" s="8">
        <v>0.26</v>
      </c>
      <c r="M1148" s="6"/>
      <c r="N1148" s="6"/>
      <c r="O1148" s="9">
        <v>-321.10000000000002</v>
      </c>
    </row>
    <row r="1149" spans="1:15" ht="19.5" customHeight="1">
      <c r="A1149" s="1" t="s">
        <v>630</v>
      </c>
      <c r="B1149" s="5">
        <v>45927</v>
      </c>
      <c r="C1149" s="1" t="s">
        <v>17</v>
      </c>
      <c r="D1149" s="1" t="s">
        <v>37</v>
      </c>
      <c r="E1149" s="1" t="s">
        <v>222</v>
      </c>
      <c r="F1149" s="1" t="s">
        <v>412</v>
      </c>
      <c r="G1149" s="1" t="s">
        <v>21</v>
      </c>
      <c r="H1149" s="6">
        <v>1</v>
      </c>
      <c r="I1149" s="7">
        <v>1235</v>
      </c>
      <c r="J1149" s="5">
        <v>45925</v>
      </c>
      <c r="K1149" s="1" t="s">
        <v>30</v>
      </c>
      <c r="L1149" s="8">
        <v>0.26</v>
      </c>
      <c r="M1149" s="6"/>
      <c r="N1149" s="6"/>
      <c r="O1149" s="9">
        <v>-4.74</v>
      </c>
    </row>
    <row r="1150" spans="1:15" ht="19.5" customHeight="1">
      <c r="A1150" s="1" t="s">
        <v>631</v>
      </c>
      <c r="B1150" s="5">
        <v>45927</v>
      </c>
      <c r="C1150" s="1" t="s">
        <v>28</v>
      </c>
      <c r="D1150" s="1" t="s">
        <v>29</v>
      </c>
      <c r="E1150" s="1" t="s">
        <v>25</v>
      </c>
      <c r="F1150" s="1" t="s">
        <v>26</v>
      </c>
      <c r="G1150" s="1" t="s">
        <v>21</v>
      </c>
      <c r="H1150" s="6">
        <v>1</v>
      </c>
      <c r="I1150" s="7">
        <v>0</v>
      </c>
      <c r="J1150" s="5">
        <v>45921</v>
      </c>
      <c r="K1150" s="1" t="s">
        <v>30</v>
      </c>
      <c r="L1150" s="8">
        <v>0</v>
      </c>
      <c r="M1150" s="6"/>
      <c r="N1150" s="6"/>
      <c r="O1150" s="9">
        <v>-46</v>
      </c>
    </row>
    <row r="1151" spans="1:15" ht="19.5" customHeight="1">
      <c r="A1151" s="1" t="s">
        <v>631</v>
      </c>
      <c r="B1151" s="5">
        <v>45927</v>
      </c>
      <c r="C1151" s="1" t="s">
        <v>17</v>
      </c>
      <c r="D1151" s="1" t="s">
        <v>37</v>
      </c>
      <c r="E1151" s="1" t="s">
        <v>25</v>
      </c>
      <c r="F1151" s="1" t="s">
        <v>26</v>
      </c>
      <c r="G1151" s="1" t="s">
        <v>21</v>
      </c>
      <c r="H1151" s="6">
        <v>1</v>
      </c>
      <c r="I1151" s="7">
        <v>0</v>
      </c>
      <c r="J1151" s="5">
        <v>45921</v>
      </c>
      <c r="K1151" s="1" t="s">
        <v>30</v>
      </c>
      <c r="L1151" s="8">
        <v>0</v>
      </c>
      <c r="M1151" s="6"/>
      <c r="N1151" s="6"/>
      <c r="O1151" s="9">
        <v>-3.5</v>
      </c>
    </row>
    <row r="1152" spans="1:15" ht="19.5" customHeight="1">
      <c r="A1152" s="1" t="s">
        <v>631</v>
      </c>
      <c r="B1152" s="5">
        <v>45927</v>
      </c>
      <c r="C1152" s="1" t="s">
        <v>28</v>
      </c>
      <c r="D1152" s="1" t="s">
        <v>356</v>
      </c>
      <c r="E1152" s="1" t="s">
        <v>25</v>
      </c>
      <c r="F1152" s="1" t="s">
        <v>26</v>
      </c>
      <c r="G1152" s="1" t="s">
        <v>21</v>
      </c>
      <c r="H1152" s="6">
        <v>1</v>
      </c>
      <c r="I1152" s="7">
        <v>0</v>
      </c>
      <c r="J1152" s="5">
        <v>45921</v>
      </c>
      <c r="K1152" s="1" t="s">
        <v>30</v>
      </c>
      <c r="L1152" s="8">
        <v>0</v>
      </c>
      <c r="M1152" s="6"/>
      <c r="N1152" s="6"/>
      <c r="O1152" s="9">
        <v>0</v>
      </c>
    </row>
    <row r="1153" spans="1:15" ht="19.5" customHeight="1">
      <c r="A1153" s="1" t="s">
        <v>631</v>
      </c>
      <c r="B1153" s="5">
        <v>45927</v>
      </c>
      <c r="C1153" s="1" t="s">
        <v>28</v>
      </c>
      <c r="D1153" s="1" t="s">
        <v>46</v>
      </c>
      <c r="E1153" s="1" t="s">
        <v>25</v>
      </c>
      <c r="F1153" s="1" t="s">
        <v>26</v>
      </c>
      <c r="G1153" s="1" t="s">
        <v>21</v>
      </c>
      <c r="H1153" s="6">
        <v>1</v>
      </c>
      <c r="I1153" s="7">
        <v>0</v>
      </c>
      <c r="J1153" s="5">
        <v>45921</v>
      </c>
      <c r="K1153" s="1" t="s">
        <v>30</v>
      </c>
      <c r="L1153" s="8">
        <v>0</v>
      </c>
      <c r="M1153" s="6"/>
      <c r="N1153" s="6"/>
      <c r="O1153" s="9">
        <v>-46</v>
      </c>
    </row>
    <row r="1154" spans="1:15" ht="19.5" customHeight="1">
      <c r="A1154" s="1" t="s">
        <v>631</v>
      </c>
      <c r="B1154" s="5">
        <v>45927</v>
      </c>
      <c r="C1154" s="1" t="s">
        <v>17</v>
      </c>
      <c r="D1154" s="1" t="s">
        <v>47</v>
      </c>
      <c r="E1154" s="1" t="s">
        <v>25</v>
      </c>
      <c r="F1154" s="1" t="s">
        <v>26</v>
      </c>
      <c r="G1154" s="1" t="s">
        <v>21</v>
      </c>
      <c r="H1154" s="6">
        <v>1</v>
      </c>
      <c r="I1154" s="7">
        <v>0</v>
      </c>
      <c r="J1154" s="5">
        <v>45921</v>
      </c>
      <c r="K1154" s="1" t="s">
        <v>30</v>
      </c>
      <c r="L1154" s="8">
        <v>0</v>
      </c>
      <c r="M1154" s="6"/>
      <c r="N1154" s="6"/>
      <c r="O1154" s="9">
        <v>-15</v>
      </c>
    </row>
    <row r="1155" spans="1:15" ht="19.5" customHeight="1">
      <c r="A1155" s="1" t="s">
        <v>632</v>
      </c>
      <c r="B1155" s="5">
        <v>45927</v>
      </c>
      <c r="C1155" s="1" t="s">
        <v>28</v>
      </c>
      <c r="D1155" s="1" t="s">
        <v>29</v>
      </c>
      <c r="E1155" s="1" t="s">
        <v>25</v>
      </c>
      <c r="F1155" s="1" t="s">
        <v>26</v>
      </c>
      <c r="G1155" s="1" t="s">
        <v>21</v>
      </c>
      <c r="H1155" s="6">
        <v>1</v>
      </c>
      <c r="I1155" s="7">
        <v>1212</v>
      </c>
      <c r="J1155" s="5">
        <v>45925</v>
      </c>
      <c r="K1155" s="1" t="s">
        <v>30</v>
      </c>
      <c r="L1155" s="8">
        <v>0.26</v>
      </c>
      <c r="M1155" s="6"/>
      <c r="N1155" s="6"/>
      <c r="O1155" s="9">
        <v>-46</v>
      </c>
    </row>
    <row r="1156" spans="1:15" ht="19.5" customHeight="1">
      <c r="A1156" s="1" t="s">
        <v>632</v>
      </c>
      <c r="B1156" s="5">
        <v>45927</v>
      </c>
      <c r="C1156" s="1" t="s">
        <v>31</v>
      </c>
      <c r="D1156" s="1" t="s">
        <v>32</v>
      </c>
      <c r="E1156" s="1" t="s">
        <v>25</v>
      </c>
      <c r="F1156" s="1" t="s">
        <v>26</v>
      </c>
      <c r="G1156" s="1" t="s">
        <v>21</v>
      </c>
      <c r="H1156" s="6">
        <v>1</v>
      </c>
      <c r="I1156" s="7">
        <v>1212</v>
      </c>
      <c r="J1156" s="5">
        <v>45925</v>
      </c>
      <c r="K1156" s="1" t="s">
        <v>30</v>
      </c>
      <c r="L1156" s="8">
        <v>0</v>
      </c>
      <c r="M1156" s="6"/>
      <c r="N1156" s="6"/>
      <c r="O1156" s="9">
        <v>762.13</v>
      </c>
    </row>
    <row r="1157" spans="1:15" ht="19.5" customHeight="1">
      <c r="A1157" s="1" t="s">
        <v>632</v>
      </c>
      <c r="B1157" s="5">
        <v>45927</v>
      </c>
      <c r="C1157" s="1" t="s">
        <v>31</v>
      </c>
      <c r="D1157" s="1" t="s">
        <v>33</v>
      </c>
      <c r="E1157" s="1" t="s">
        <v>25</v>
      </c>
      <c r="F1157" s="1" t="s">
        <v>26</v>
      </c>
      <c r="G1157" s="1" t="s">
        <v>21</v>
      </c>
      <c r="H1157" s="6">
        <v>1</v>
      </c>
      <c r="I1157" s="7">
        <v>1212</v>
      </c>
      <c r="J1157" s="5">
        <v>45925</v>
      </c>
      <c r="K1157" s="1" t="s">
        <v>30</v>
      </c>
      <c r="L1157" s="8">
        <v>0</v>
      </c>
      <c r="M1157" s="6"/>
      <c r="N1157" s="6"/>
      <c r="O1157" s="9">
        <v>5.6</v>
      </c>
    </row>
    <row r="1158" spans="1:15" ht="19.5" customHeight="1">
      <c r="A1158" s="1" t="s">
        <v>632</v>
      </c>
      <c r="B1158" s="5">
        <v>45927</v>
      </c>
      <c r="C1158" s="1" t="s">
        <v>31</v>
      </c>
      <c r="D1158" s="1" t="s">
        <v>34</v>
      </c>
      <c r="E1158" s="1" t="s">
        <v>25</v>
      </c>
      <c r="F1158" s="1" t="s">
        <v>26</v>
      </c>
      <c r="G1158" s="1" t="s">
        <v>21</v>
      </c>
      <c r="H1158" s="6">
        <v>1</v>
      </c>
      <c r="I1158" s="7">
        <v>1212</v>
      </c>
      <c r="J1158" s="5">
        <v>45925</v>
      </c>
      <c r="K1158" s="1" t="s">
        <v>30</v>
      </c>
      <c r="L1158" s="8">
        <v>0</v>
      </c>
      <c r="M1158" s="6"/>
      <c r="N1158" s="6"/>
      <c r="O1158" s="9">
        <v>444.27</v>
      </c>
    </row>
    <row r="1159" spans="1:15" ht="19.5" customHeight="1">
      <c r="A1159" s="1" t="s">
        <v>632</v>
      </c>
      <c r="B1159" s="5">
        <v>45927</v>
      </c>
      <c r="C1159" s="1" t="s">
        <v>35</v>
      </c>
      <c r="D1159" s="1" t="s">
        <v>36</v>
      </c>
      <c r="E1159" s="1" t="s">
        <v>25</v>
      </c>
      <c r="F1159" s="1" t="s">
        <v>26</v>
      </c>
      <c r="G1159" s="1" t="s">
        <v>21</v>
      </c>
      <c r="H1159" s="6">
        <v>1</v>
      </c>
      <c r="I1159" s="7">
        <v>1212</v>
      </c>
      <c r="J1159" s="5">
        <v>45925</v>
      </c>
      <c r="K1159" s="1" t="s">
        <v>30</v>
      </c>
      <c r="L1159" s="8">
        <v>0.26</v>
      </c>
      <c r="M1159" s="6"/>
      <c r="N1159" s="6"/>
      <c r="O1159" s="9">
        <v>-315.12</v>
      </c>
    </row>
    <row r="1160" spans="1:15" ht="19.5" customHeight="1">
      <c r="A1160" s="1" t="s">
        <v>632</v>
      </c>
      <c r="B1160" s="5">
        <v>45927</v>
      </c>
      <c r="C1160" s="1" t="s">
        <v>17</v>
      </c>
      <c r="D1160" s="1" t="s">
        <v>37</v>
      </c>
      <c r="E1160" s="1" t="s">
        <v>25</v>
      </c>
      <c r="F1160" s="1" t="s">
        <v>26</v>
      </c>
      <c r="G1160" s="1" t="s">
        <v>21</v>
      </c>
      <c r="H1160" s="6">
        <v>1</v>
      </c>
      <c r="I1160" s="7">
        <v>1212</v>
      </c>
      <c r="J1160" s="5">
        <v>45925</v>
      </c>
      <c r="K1160" s="1" t="s">
        <v>30</v>
      </c>
      <c r="L1160" s="8">
        <v>0.26</v>
      </c>
      <c r="M1160" s="6"/>
      <c r="N1160" s="6"/>
      <c r="O1160" s="9">
        <v>-4.45</v>
      </c>
    </row>
    <row r="1161" spans="1:15" ht="19.5" customHeight="1">
      <c r="A1161" s="1" t="s">
        <v>633</v>
      </c>
      <c r="B1161" s="5">
        <v>45927</v>
      </c>
      <c r="C1161" s="1" t="s">
        <v>28</v>
      </c>
      <c r="D1161" s="1" t="s">
        <v>29</v>
      </c>
      <c r="E1161" s="1" t="s">
        <v>25</v>
      </c>
      <c r="F1161" s="1" t="s">
        <v>26</v>
      </c>
      <c r="G1161" s="1" t="s">
        <v>21</v>
      </c>
      <c r="H1161" s="6">
        <v>1</v>
      </c>
      <c r="I1161" s="7">
        <v>1200</v>
      </c>
      <c r="J1161" s="5">
        <v>45926</v>
      </c>
      <c r="K1161" s="1" t="s">
        <v>30</v>
      </c>
      <c r="L1161" s="8">
        <v>0.26</v>
      </c>
      <c r="M1161" s="6"/>
      <c r="N1161" s="6"/>
      <c r="O1161" s="9">
        <v>-46</v>
      </c>
    </row>
    <row r="1162" spans="1:15" ht="19.5" customHeight="1">
      <c r="A1162" s="1" t="s">
        <v>633</v>
      </c>
      <c r="B1162" s="5">
        <v>45927</v>
      </c>
      <c r="C1162" s="1" t="s">
        <v>31</v>
      </c>
      <c r="D1162" s="1" t="s">
        <v>32</v>
      </c>
      <c r="E1162" s="1" t="s">
        <v>25</v>
      </c>
      <c r="F1162" s="1" t="s">
        <v>26</v>
      </c>
      <c r="G1162" s="1" t="s">
        <v>21</v>
      </c>
      <c r="H1162" s="6">
        <v>1</v>
      </c>
      <c r="I1162" s="7">
        <v>1200</v>
      </c>
      <c r="J1162" s="5">
        <v>45926</v>
      </c>
      <c r="K1162" s="1" t="s">
        <v>30</v>
      </c>
      <c r="L1162" s="8">
        <v>0</v>
      </c>
      <c r="M1162" s="6"/>
      <c r="N1162" s="6"/>
      <c r="O1162" s="9">
        <v>808.57</v>
      </c>
    </row>
    <row r="1163" spans="1:15" ht="19.5" customHeight="1">
      <c r="A1163" s="1" t="s">
        <v>633</v>
      </c>
      <c r="B1163" s="5">
        <v>45927</v>
      </c>
      <c r="C1163" s="1" t="s">
        <v>31</v>
      </c>
      <c r="D1163" s="1" t="s">
        <v>33</v>
      </c>
      <c r="E1163" s="1" t="s">
        <v>25</v>
      </c>
      <c r="F1163" s="1" t="s">
        <v>26</v>
      </c>
      <c r="G1163" s="1" t="s">
        <v>21</v>
      </c>
      <c r="H1163" s="6">
        <v>1</v>
      </c>
      <c r="I1163" s="7">
        <v>1200</v>
      </c>
      <c r="J1163" s="5">
        <v>45926</v>
      </c>
      <c r="K1163" s="1" t="s">
        <v>30</v>
      </c>
      <c r="L1163" s="8">
        <v>0</v>
      </c>
      <c r="M1163" s="6"/>
      <c r="N1163" s="6"/>
      <c r="O1163" s="9">
        <v>0</v>
      </c>
    </row>
    <row r="1164" spans="1:15" ht="19.5" customHeight="1">
      <c r="A1164" s="1" t="s">
        <v>633</v>
      </c>
      <c r="B1164" s="5">
        <v>45927</v>
      </c>
      <c r="C1164" s="1" t="s">
        <v>31</v>
      </c>
      <c r="D1164" s="1" t="s">
        <v>34</v>
      </c>
      <c r="E1164" s="1" t="s">
        <v>25</v>
      </c>
      <c r="F1164" s="1" t="s">
        <v>26</v>
      </c>
      <c r="G1164" s="1" t="s">
        <v>21</v>
      </c>
      <c r="H1164" s="6">
        <v>1</v>
      </c>
      <c r="I1164" s="7">
        <v>1200</v>
      </c>
      <c r="J1164" s="5">
        <v>45926</v>
      </c>
      <c r="K1164" s="1" t="s">
        <v>30</v>
      </c>
      <c r="L1164" s="8">
        <v>0</v>
      </c>
      <c r="M1164" s="6"/>
      <c r="N1164" s="6"/>
      <c r="O1164" s="9">
        <v>391.43</v>
      </c>
    </row>
    <row r="1165" spans="1:15" ht="19.5" customHeight="1">
      <c r="A1165" s="1" t="s">
        <v>633</v>
      </c>
      <c r="B1165" s="5">
        <v>45927</v>
      </c>
      <c r="C1165" s="1" t="s">
        <v>35</v>
      </c>
      <c r="D1165" s="1" t="s">
        <v>36</v>
      </c>
      <c r="E1165" s="1" t="s">
        <v>25</v>
      </c>
      <c r="F1165" s="1" t="s">
        <v>26</v>
      </c>
      <c r="G1165" s="1" t="s">
        <v>21</v>
      </c>
      <c r="H1165" s="6">
        <v>1</v>
      </c>
      <c r="I1165" s="7">
        <v>1200</v>
      </c>
      <c r="J1165" s="5">
        <v>45926</v>
      </c>
      <c r="K1165" s="1" t="s">
        <v>30</v>
      </c>
      <c r="L1165" s="8">
        <v>0.26</v>
      </c>
      <c r="M1165" s="6"/>
      <c r="N1165" s="6"/>
      <c r="O1165" s="9">
        <v>-312</v>
      </c>
    </row>
    <row r="1166" spans="1:15" ht="19.5" customHeight="1">
      <c r="A1166" s="1" t="s">
        <v>633</v>
      </c>
      <c r="B1166" s="5">
        <v>45927</v>
      </c>
      <c r="C1166" s="1" t="s">
        <v>17</v>
      </c>
      <c r="D1166" s="1" t="s">
        <v>37</v>
      </c>
      <c r="E1166" s="1" t="s">
        <v>25</v>
      </c>
      <c r="F1166" s="1" t="s">
        <v>26</v>
      </c>
      <c r="G1166" s="1" t="s">
        <v>21</v>
      </c>
      <c r="H1166" s="6">
        <v>1</v>
      </c>
      <c r="I1166" s="7">
        <v>1200</v>
      </c>
      <c r="J1166" s="5">
        <v>45926</v>
      </c>
      <c r="K1166" s="1" t="s">
        <v>30</v>
      </c>
      <c r="L1166" s="8">
        <v>0.26</v>
      </c>
      <c r="M1166" s="6"/>
      <c r="N1166" s="6"/>
      <c r="O1166" s="9">
        <v>-5.55</v>
      </c>
    </row>
    <row r="1167" spans="1:15" ht="19.5" customHeight="1">
      <c r="A1167" s="1" t="s">
        <v>634</v>
      </c>
      <c r="B1167" s="5">
        <v>45927</v>
      </c>
      <c r="C1167" s="1" t="s">
        <v>28</v>
      </c>
      <c r="D1167" s="1" t="s">
        <v>29</v>
      </c>
      <c r="E1167" s="1" t="s">
        <v>66</v>
      </c>
      <c r="F1167" s="1" t="s">
        <v>67</v>
      </c>
      <c r="G1167" s="1" t="s">
        <v>41</v>
      </c>
      <c r="H1167" s="6">
        <v>1</v>
      </c>
      <c r="I1167" s="7">
        <v>3300</v>
      </c>
      <c r="J1167" s="5">
        <v>45925</v>
      </c>
      <c r="K1167" s="1" t="s">
        <v>30</v>
      </c>
      <c r="L1167" s="8">
        <v>0.24</v>
      </c>
      <c r="M1167" s="6"/>
      <c r="N1167" s="6"/>
      <c r="O1167" s="9">
        <v>-56</v>
      </c>
    </row>
    <row r="1168" spans="1:15" ht="19.5" customHeight="1">
      <c r="A1168" s="1" t="s">
        <v>634</v>
      </c>
      <c r="B1168" s="5">
        <v>45927</v>
      </c>
      <c r="C1168" s="1" t="s">
        <v>31</v>
      </c>
      <c r="D1168" s="1" t="s">
        <v>32</v>
      </c>
      <c r="E1168" s="1" t="s">
        <v>66</v>
      </c>
      <c r="F1168" s="1" t="s">
        <v>67</v>
      </c>
      <c r="G1168" s="1" t="s">
        <v>41</v>
      </c>
      <c r="H1168" s="6">
        <v>1</v>
      </c>
      <c r="I1168" s="7">
        <v>3300</v>
      </c>
      <c r="J1168" s="5">
        <v>45925</v>
      </c>
      <c r="K1168" s="1" t="s">
        <v>30</v>
      </c>
      <c r="L1168" s="8">
        <v>0</v>
      </c>
      <c r="M1168" s="6"/>
      <c r="N1168" s="6"/>
      <c r="O1168" s="9">
        <v>2061.85</v>
      </c>
    </row>
    <row r="1169" spans="1:15" ht="19.5" customHeight="1">
      <c r="A1169" s="1" t="s">
        <v>634</v>
      </c>
      <c r="B1169" s="5">
        <v>45927</v>
      </c>
      <c r="C1169" s="1" t="s">
        <v>31</v>
      </c>
      <c r="D1169" s="1" t="s">
        <v>33</v>
      </c>
      <c r="E1169" s="1" t="s">
        <v>66</v>
      </c>
      <c r="F1169" s="1" t="s">
        <v>67</v>
      </c>
      <c r="G1169" s="1" t="s">
        <v>41</v>
      </c>
      <c r="H1169" s="6">
        <v>1</v>
      </c>
      <c r="I1169" s="7">
        <v>3300</v>
      </c>
      <c r="J1169" s="5">
        <v>45925</v>
      </c>
      <c r="K1169" s="1" t="s">
        <v>30</v>
      </c>
      <c r="L1169" s="8">
        <v>0</v>
      </c>
      <c r="M1169" s="6"/>
      <c r="N1169" s="6"/>
      <c r="O1169" s="9">
        <v>15.15</v>
      </c>
    </row>
    <row r="1170" spans="1:15" ht="19.5" customHeight="1">
      <c r="A1170" s="1" t="s">
        <v>634</v>
      </c>
      <c r="B1170" s="5">
        <v>45927</v>
      </c>
      <c r="C1170" s="1" t="s">
        <v>31</v>
      </c>
      <c r="D1170" s="1" t="s">
        <v>34</v>
      </c>
      <c r="E1170" s="1" t="s">
        <v>66</v>
      </c>
      <c r="F1170" s="1" t="s">
        <v>67</v>
      </c>
      <c r="G1170" s="1" t="s">
        <v>41</v>
      </c>
      <c r="H1170" s="6">
        <v>1</v>
      </c>
      <c r="I1170" s="7">
        <v>3300</v>
      </c>
      <c r="J1170" s="5">
        <v>45925</v>
      </c>
      <c r="K1170" s="1" t="s">
        <v>30</v>
      </c>
      <c r="L1170" s="8">
        <v>0</v>
      </c>
      <c r="M1170" s="6"/>
      <c r="N1170" s="6"/>
      <c r="O1170" s="9">
        <v>1223</v>
      </c>
    </row>
    <row r="1171" spans="1:15" ht="19.5" customHeight="1">
      <c r="A1171" s="1" t="s">
        <v>634</v>
      </c>
      <c r="B1171" s="5">
        <v>45927</v>
      </c>
      <c r="C1171" s="1" t="s">
        <v>35</v>
      </c>
      <c r="D1171" s="1" t="s">
        <v>36</v>
      </c>
      <c r="E1171" s="1" t="s">
        <v>66</v>
      </c>
      <c r="F1171" s="1" t="s">
        <v>67</v>
      </c>
      <c r="G1171" s="1" t="s">
        <v>41</v>
      </c>
      <c r="H1171" s="6">
        <v>1</v>
      </c>
      <c r="I1171" s="7">
        <v>3300</v>
      </c>
      <c r="J1171" s="5">
        <v>45925</v>
      </c>
      <c r="K1171" s="1" t="s">
        <v>30</v>
      </c>
      <c r="L1171" s="8">
        <v>0.24</v>
      </c>
      <c r="M1171" s="6"/>
      <c r="N1171" s="6"/>
      <c r="O1171" s="9">
        <v>-792</v>
      </c>
    </row>
    <row r="1172" spans="1:15" ht="19.5" customHeight="1">
      <c r="A1172" s="1" t="s">
        <v>634</v>
      </c>
      <c r="B1172" s="5">
        <v>45927</v>
      </c>
      <c r="C1172" s="1" t="s">
        <v>17</v>
      </c>
      <c r="D1172" s="1" t="s">
        <v>37</v>
      </c>
      <c r="E1172" s="1" t="s">
        <v>66</v>
      </c>
      <c r="F1172" s="1" t="s">
        <v>67</v>
      </c>
      <c r="G1172" s="1" t="s">
        <v>41</v>
      </c>
      <c r="H1172" s="6">
        <v>1</v>
      </c>
      <c r="I1172" s="7">
        <v>3300</v>
      </c>
      <c r="J1172" s="5">
        <v>45925</v>
      </c>
      <c r="K1172" s="1" t="s">
        <v>30</v>
      </c>
      <c r="L1172" s="8">
        <v>0.24</v>
      </c>
      <c r="M1172" s="6"/>
      <c r="N1172" s="6"/>
      <c r="O1172" s="9">
        <v>-11.86</v>
      </c>
    </row>
    <row r="1173" spans="1:15" ht="19.5" customHeight="1">
      <c r="A1173" s="1" t="s">
        <v>22</v>
      </c>
      <c r="B1173" s="5">
        <v>45927</v>
      </c>
      <c r="C1173" s="1" t="s">
        <v>77</v>
      </c>
      <c r="D1173" s="1" t="s">
        <v>78</v>
      </c>
      <c r="E1173" s="1" t="s">
        <v>22</v>
      </c>
      <c r="F1173" s="1" t="s">
        <v>22</v>
      </c>
      <c r="G1173" s="1" t="s">
        <v>635</v>
      </c>
      <c r="H1173" s="6">
        <v>0</v>
      </c>
      <c r="I1173" s="7">
        <v>0</v>
      </c>
      <c r="J1173" s="5">
        <v>45927</v>
      </c>
      <c r="K1173" s="1" t="s">
        <v>22</v>
      </c>
      <c r="L1173" s="8">
        <v>0</v>
      </c>
      <c r="M1173" s="6"/>
      <c r="N1173" s="6"/>
      <c r="O1173" s="9">
        <v>-200</v>
      </c>
    </row>
    <row r="1174" spans="1:15" ht="19.5" customHeight="1">
      <c r="A1174" s="1" t="s">
        <v>636</v>
      </c>
      <c r="B1174" s="5">
        <v>45927</v>
      </c>
      <c r="C1174" s="1" t="s">
        <v>28</v>
      </c>
      <c r="D1174" s="1" t="s">
        <v>29</v>
      </c>
      <c r="E1174" s="1" t="s">
        <v>51</v>
      </c>
      <c r="F1174" s="1" t="s">
        <v>52</v>
      </c>
      <c r="G1174" s="1" t="s">
        <v>41</v>
      </c>
      <c r="H1174" s="6">
        <v>1</v>
      </c>
      <c r="I1174" s="7">
        <v>0</v>
      </c>
      <c r="J1174" s="5">
        <v>45920</v>
      </c>
      <c r="K1174" s="1" t="s">
        <v>30</v>
      </c>
      <c r="L1174" s="8">
        <v>0</v>
      </c>
      <c r="M1174" s="6"/>
      <c r="N1174" s="6"/>
      <c r="O1174" s="9">
        <v>-56</v>
      </c>
    </row>
    <row r="1175" spans="1:15" ht="19.5" customHeight="1">
      <c r="A1175" s="1" t="s">
        <v>636</v>
      </c>
      <c r="B1175" s="5">
        <v>45927</v>
      </c>
      <c r="C1175" s="1" t="s">
        <v>17</v>
      </c>
      <c r="D1175" s="1" t="s">
        <v>37</v>
      </c>
      <c r="E1175" s="1" t="s">
        <v>51</v>
      </c>
      <c r="F1175" s="1" t="s">
        <v>52</v>
      </c>
      <c r="G1175" s="1" t="s">
        <v>41</v>
      </c>
      <c r="H1175" s="6">
        <v>1</v>
      </c>
      <c r="I1175" s="7">
        <v>0</v>
      </c>
      <c r="J1175" s="5">
        <v>45920</v>
      </c>
      <c r="K1175" s="1" t="s">
        <v>30</v>
      </c>
      <c r="L1175" s="8">
        <v>0</v>
      </c>
      <c r="M1175" s="6"/>
      <c r="N1175" s="6"/>
      <c r="O1175" s="9">
        <v>-11.26</v>
      </c>
    </row>
    <row r="1176" spans="1:15" ht="19.5" customHeight="1">
      <c r="A1176" s="1" t="s">
        <v>636</v>
      </c>
      <c r="B1176" s="5">
        <v>45927</v>
      </c>
      <c r="C1176" s="1" t="s">
        <v>28</v>
      </c>
      <c r="D1176" s="1" t="s">
        <v>45</v>
      </c>
      <c r="E1176" s="1" t="s">
        <v>51</v>
      </c>
      <c r="F1176" s="1" t="s">
        <v>52</v>
      </c>
      <c r="G1176" s="1" t="s">
        <v>41</v>
      </c>
      <c r="H1176" s="6">
        <v>1</v>
      </c>
      <c r="I1176" s="7">
        <v>0</v>
      </c>
      <c r="J1176" s="5">
        <v>45920</v>
      </c>
      <c r="K1176" s="1" t="s">
        <v>30</v>
      </c>
      <c r="L1176" s="8">
        <v>0</v>
      </c>
      <c r="M1176" s="6"/>
      <c r="N1176" s="6"/>
      <c r="O1176" s="9">
        <v>0</v>
      </c>
    </row>
    <row r="1177" spans="1:15" ht="19.5" customHeight="1">
      <c r="A1177" s="1" t="s">
        <v>636</v>
      </c>
      <c r="B1177" s="5">
        <v>45927</v>
      </c>
      <c r="C1177" s="1" t="s">
        <v>28</v>
      </c>
      <c r="D1177" s="1" t="s">
        <v>46</v>
      </c>
      <c r="E1177" s="1" t="s">
        <v>51</v>
      </c>
      <c r="F1177" s="1" t="s">
        <v>52</v>
      </c>
      <c r="G1177" s="1" t="s">
        <v>41</v>
      </c>
      <c r="H1177" s="6">
        <v>1</v>
      </c>
      <c r="I1177" s="7">
        <v>0</v>
      </c>
      <c r="J1177" s="5">
        <v>45920</v>
      </c>
      <c r="K1177" s="1" t="s">
        <v>30</v>
      </c>
      <c r="L1177" s="8">
        <v>0</v>
      </c>
      <c r="M1177" s="6"/>
      <c r="N1177" s="6"/>
      <c r="O1177" s="9">
        <v>-56</v>
      </c>
    </row>
    <row r="1178" spans="1:15" ht="19.5" customHeight="1">
      <c r="A1178" s="1" t="s">
        <v>636</v>
      </c>
      <c r="B1178" s="5">
        <v>45927</v>
      </c>
      <c r="C1178" s="1" t="s">
        <v>17</v>
      </c>
      <c r="D1178" s="1" t="s">
        <v>47</v>
      </c>
      <c r="E1178" s="1" t="s">
        <v>51</v>
      </c>
      <c r="F1178" s="1" t="s">
        <v>52</v>
      </c>
      <c r="G1178" s="1" t="s">
        <v>41</v>
      </c>
      <c r="H1178" s="6">
        <v>1</v>
      </c>
      <c r="I1178" s="7">
        <v>0</v>
      </c>
      <c r="J1178" s="5">
        <v>45920</v>
      </c>
      <c r="K1178" s="1" t="s">
        <v>30</v>
      </c>
      <c r="L1178" s="8">
        <v>0</v>
      </c>
      <c r="M1178" s="6"/>
      <c r="N1178" s="6"/>
      <c r="O1178" s="9">
        <v>-15</v>
      </c>
    </row>
    <row r="1179" spans="1:15" ht="19.5" customHeight="1">
      <c r="A1179" s="1" t="s">
        <v>637</v>
      </c>
      <c r="B1179" s="5">
        <v>45927</v>
      </c>
      <c r="C1179" s="1" t="s">
        <v>28</v>
      </c>
      <c r="D1179" s="1" t="s">
        <v>29</v>
      </c>
      <c r="E1179" s="1" t="s">
        <v>25</v>
      </c>
      <c r="F1179" s="1" t="s">
        <v>26</v>
      </c>
      <c r="G1179" s="1" t="s">
        <v>21</v>
      </c>
      <c r="H1179" s="6">
        <v>1</v>
      </c>
      <c r="I1179" s="7">
        <v>0</v>
      </c>
      <c r="J1179" s="5">
        <v>45924</v>
      </c>
      <c r="K1179" s="1" t="s">
        <v>30</v>
      </c>
      <c r="L1179" s="8">
        <v>0</v>
      </c>
      <c r="M1179" s="6"/>
      <c r="N1179" s="6"/>
      <c r="O1179" s="9">
        <v>-46</v>
      </c>
    </row>
    <row r="1180" spans="1:15" ht="19.5" customHeight="1">
      <c r="A1180" s="1" t="s">
        <v>637</v>
      </c>
      <c r="B1180" s="5">
        <v>45927</v>
      </c>
      <c r="C1180" s="1" t="s">
        <v>17</v>
      </c>
      <c r="D1180" s="1" t="s">
        <v>37</v>
      </c>
      <c r="E1180" s="1" t="s">
        <v>25</v>
      </c>
      <c r="F1180" s="1" t="s">
        <v>26</v>
      </c>
      <c r="G1180" s="1" t="s">
        <v>21</v>
      </c>
      <c r="H1180" s="6">
        <v>1</v>
      </c>
      <c r="I1180" s="7">
        <v>0</v>
      </c>
      <c r="J1180" s="5">
        <v>45924</v>
      </c>
      <c r="K1180" s="1" t="s">
        <v>30</v>
      </c>
      <c r="L1180" s="8">
        <v>0</v>
      </c>
      <c r="M1180" s="6"/>
      <c r="N1180" s="6"/>
      <c r="O1180" s="9">
        <v>-4.28</v>
      </c>
    </row>
    <row r="1181" spans="1:15" ht="19.5" customHeight="1">
      <c r="A1181" s="1" t="s">
        <v>637</v>
      </c>
      <c r="B1181" s="5">
        <v>45927</v>
      </c>
      <c r="C1181" s="1" t="s">
        <v>28</v>
      </c>
      <c r="D1181" s="1" t="s">
        <v>356</v>
      </c>
      <c r="E1181" s="1" t="s">
        <v>25</v>
      </c>
      <c r="F1181" s="1" t="s">
        <v>26</v>
      </c>
      <c r="G1181" s="1" t="s">
        <v>21</v>
      </c>
      <c r="H1181" s="6">
        <v>1</v>
      </c>
      <c r="I1181" s="7">
        <v>0</v>
      </c>
      <c r="J1181" s="5">
        <v>45924</v>
      </c>
      <c r="K1181" s="1" t="s">
        <v>30</v>
      </c>
      <c r="L1181" s="8">
        <v>0</v>
      </c>
      <c r="M1181" s="6"/>
      <c r="N1181" s="6"/>
      <c r="O1181" s="9">
        <v>0</v>
      </c>
    </row>
    <row r="1182" spans="1:15" ht="19.5" customHeight="1">
      <c r="A1182" s="1" t="s">
        <v>637</v>
      </c>
      <c r="B1182" s="5">
        <v>45927</v>
      </c>
      <c r="C1182" s="1" t="s">
        <v>28</v>
      </c>
      <c r="D1182" s="1" t="s">
        <v>46</v>
      </c>
      <c r="E1182" s="1" t="s">
        <v>25</v>
      </c>
      <c r="F1182" s="1" t="s">
        <v>26</v>
      </c>
      <c r="G1182" s="1" t="s">
        <v>21</v>
      </c>
      <c r="H1182" s="6">
        <v>1</v>
      </c>
      <c r="I1182" s="7">
        <v>0</v>
      </c>
      <c r="J1182" s="5">
        <v>45924</v>
      </c>
      <c r="K1182" s="1" t="s">
        <v>30</v>
      </c>
      <c r="L1182" s="8">
        <v>0</v>
      </c>
      <c r="M1182" s="6"/>
      <c r="N1182" s="6"/>
      <c r="O1182" s="9">
        <v>-46</v>
      </c>
    </row>
    <row r="1183" spans="1:15" ht="19.5" customHeight="1">
      <c r="A1183" s="1" t="s">
        <v>637</v>
      </c>
      <c r="B1183" s="5">
        <v>45927</v>
      </c>
      <c r="C1183" s="1" t="s">
        <v>17</v>
      </c>
      <c r="D1183" s="1" t="s">
        <v>47</v>
      </c>
      <c r="E1183" s="1" t="s">
        <v>25</v>
      </c>
      <c r="F1183" s="1" t="s">
        <v>26</v>
      </c>
      <c r="G1183" s="1" t="s">
        <v>21</v>
      </c>
      <c r="H1183" s="6">
        <v>1</v>
      </c>
      <c r="I1183" s="7">
        <v>0</v>
      </c>
      <c r="J1183" s="5">
        <v>45924</v>
      </c>
      <c r="K1183" s="1" t="s">
        <v>30</v>
      </c>
      <c r="L1183" s="8">
        <v>0</v>
      </c>
      <c r="M1183" s="6"/>
      <c r="N1183" s="6"/>
      <c r="O1183" s="9">
        <v>-15</v>
      </c>
    </row>
    <row r="1184" spans="1:15" ht="19.5" customHeight="1">
      <c r="A1184" s="1" t="s">
        <v>81</v>
      </c>
      <c r="B1184" s="5">
        <v>45927</v>
      </c>
      <c r="C1184" s="1" t="s">
        <v>77</v>
      </c>
      <c r="D1184" s="1" t="s">
        <v>82</v>
      </c>
      <c r="E1184" s="1" t="s">
        <v>22</v>
      </c>
      <c r="F1184" s="1" t="s">
        <v>22</v>
      </c>
      <c r="G1184" s="1" t="s">
        <v>22</v>
      </c>
      <c r="H1184" s="6">
        <v>0</v>
      </c>
      <c r="I1184" s="7">
        <v>0</v>
      </c>
      <c r="J1184" s="5">
        <v>45927</v>
      </c>
      <c r="K1184" s="1" t="s">
        <v>22</v>
      </c>
      <c r="L1184" s="8">
        <v>0</v>
      </c>
      <c r="M1184" s="6"/>
      <c r="N1184" s="6"/>
      <c r="O1184" s="9">
        <v>-782.77</v>
      </c>
    </row>
    <row r="1185" spans="1:15" ht="19.5" customHeight="1">
      <c r="A1185" s="1" t="s">
        <v>83</v>
      </c>
      <c r="B1185" s="5">
        <v>45927</v>
      </c>
      <c r="C1185" s="1" t="s">
        <v>77</v>
      </c>
      <c r="D1185" s="1" t="s">
        <v>84</v>
      </c>
      <c r="E1185" s="1" t="s">
        <v>22</v>
      </c>
      <c r="F1185" s="1" t="s">
        <v>22</v>
      </c>
      <c r="G1185" s="1" t="s">
        <v>22</v>
      </c>
      <c r="H1185" s="6">
        <v>0</v>
      </c>
      <c r="I1185" s="7">
        <v>0</v>
      </c>
      <c r="J1185" s="5">
        <v>45927</v>
      </c>
      <c r="K1185" s="1" t="s">
        <v>22</v>
      </c>
      <c r="L1185" s="8">
        <v>0</v>
      </c>
      <c r="M1185" s="6"/>
      <c r="N1185" s="6"/>
      <c r="O1185" s="9">
        <v>-956.7</v>
      </c>
    </row>
    <row r="1186" spans="1:15" ht="19.5" customHeight="1">
      <c r="A1186" s="1" t="s">
        <v>454</v>
      </c>
      <c r="B1186" s="5">
        <v>45927</v>
      </c>
      <c r="C1186" s="1" t="s">
        <v>77</v>
      </c>
      <c r="D1186" s="1" t="s">
        <v>82</v>
      </c>
      <c r="E1186" s="1" t="s">
        <v>22</v>
      </c>
      <c r="F1186" s="1" t="s">
        <v>22</v>
      </c>
      <c r="G1186" s="1" t="s">
        <v>22</v>
      </c>
      <c r="H1186" s="6">
        <v>0</v>
      </c>
      <c r="I1186" s="7">
        <v>0</v>
      </c>
      <c r="J1186" s="5">
        <v>45927</v>
      </c>
      <c r="K1186" s="1" t="s">
        <v>22</v>
      </c>
      <c r="L1186" s="8">
        <v>0</v>
      </c>
      <c r="M1186" s="6"/>
      <c r="N1186" s="6"/>
      <c r="O1186" s="9">
        <v>-1593.27</v>
      </c>
    </row>
    <row r="1187" spans="1:15" ht="19.5" customHeight="1">
      <c r="A1187" s="1" t="s">
        <v>638</v>
      </c>
      <c r="B1187" s="5">
        <v>45928</v>
      </c>
      <c r="C1187" s="1" t="s">
        <v>28</v>
      </c>
      <c r="D1187" s="1" t="s">
        <v>29</v>
      </c>
      <c r="E1187" s="1" t="s">
        <v>225</v>
      </c>
      <c r="F1187" s="1" t="s">
        <v>491</v>
      </c>
      <c r="G1187" s="1" t="s">
        <v>21</v>
      </c>
      <c r="H1187" s="6">
        <v>1</v>
      </c>
      <c r="I1187" s="7">
        <v>0</v>
      </c>
      <c r="J1187" s="5">
        <v>45916</v>
      </c>
      <c r="K1187" s="1" t="s">
        <v>30</v>
      </c>
      <c r="L1187" s="8">
        <v>0</v>
      </c>
      <c r="M1187" s="6"/>
      <c r="N1187" s="6"/>
      <c r="O1187" s="9">
        <v>-46</v>
      </c>
    </row>
    <row r="1188" spans="1:15" ht="19.5" customHeight="1">
      <c r="A1188" s="1" t="s">
        <v>638</v>
      </c>
      <c r="B1188" s="5">
        <v>45928</v>
      </c>
      <c r="C1188" s="1" t="s">
        <v>17</v>
      </c>
      <c r="D1188" s="1" t="s">
        <v>37</v>
      </c>
      <c r="E1188" s="1" t="s">
        <v>225</v>
      </c>
      <c r="F1188" s="1" t="s">
        <v>491</v>
      </c>
      <c r="G1188" s="1" t="s">
        <v>21</v>
      </c>
      <c r="H1188" s="6">
        <v>1</v>
      </c>
      <c r="I1188" s="7">
        <v>0</v>
      </c>
      <c r="J1188" s="5">
        <v>45916</v>
      </c>
      <c r="K1188" s="1" t="s">
        <v>30</v>
      </c>
      <c r="L1188" s="8">
        <v>0</v>
      </c>
      <c r="M1188" s="6"/>
      <c r="N1188" s="6"/>
      <c r="O1188" s="9">
        <v>-5.92</v>
      </c>
    </row>
    <row r="1189" spans="1:15" ht="19.5" customHeight="1">
      <c r="A1189" s="1" t="s">
        <v>638</v>
      </c>
      <c r="B1189" s="5">
        <v>45928</v>
      </c>
      <c r="C1189" s="1" t="s">
        <v>28</v>
      </c>
      <c r="D1189" s="1" t="s">
        <v>45</v>
      </c>
      <c r="E1189" s="1" t="s">
        <v>225</v>
      </c>
      <c r="F1189" s="1" t="s">
        <v>491</v>
      </c>
      <c r="G1189" s="1" t="s">
        <v>21</v>
      </c>
      <c r="H1189" s="6">
        <v>1</v>
      </c>
      <c r="I1189" s="7">
        <v>0</v>
      </c>
      <c r="J1189" s="5">
        <v>45916</v>
      </c>
      <c r="K1189" s="1" t="s">
        <v>30</v>
      </c>
      <c r="L1189" s="8">
        <v>0</v>
      </c>
      <c r="M1189" s="6"/>
      <c r="N1189" s="6"/>
      <c r="O1189" s="9">
        <v>0</v>
      </c>
    </row>
    <row r="1190" spans="1:15" ht="19.5" customHeight="1">
      <c r="A1190" s="1" t="s">
        <v>638</v>
      </c>
      <c r="B1190" s="5">
        <v>45928</v>
      </c>
      <c r="C1190" s="1" t="s">
        <v>28</v>
      </c>
      <c r="D1190" s="1" t="s">
        <v>46</v>
      </c>
      <c r="E1190" s="1" t="s">
        <v>225</v>
      </c>
      <c r="F1190" s="1" t="s">
        <v>491</v>
      </c>
      <c r="G1190" s="1" t="s">
        <v>21</v>
      </c>
      <c r="H1190" s="6">
        <v>1</v>
      </c>
      <c r="I1190" s="7">
        <v>0</v>
      </c>
      <c r="J1190" s="5">
        <v>45916</v>
      </c>
      <c r="K1190" s="1" t="s">
        <v>30</v>
      </c>
      <c r="L1190" s="8">
        <v>0</v>
      </c>
      <c r="M1190" s="6"/>
      <c r="N1190" s="6"/>
      <c r="O1190" s="9">
        <v>-46</v>
      </c>
    </row>
    <row r="1191" spans="1:15" ht="19.5" customHeight="1">
      <c r="A1191" s="1" t="s">
        <v>639</v>
      </c>
      <c r="B1191" s="5">
        <v>45928</v>
      </c>
      <c r="C1191" s="1" t="s">
        <v>17</v>
      </c>
      <c r="D1191" s="1" t="s">
        <v>18</v>
      </c>
      <c r="E1191" s="1" t="s">
        <v>25</v>
      </c>
      <c r="F1191" s="1" t="s">
        <v>26</v>
      </c>
      <c r="G1191" s="1" t="s">
        <v>21</v>
      </c>
      <c r="H1191" s="6">
        <v>1</v>
      </c>
      <c r="I1191" s="7">
        <v>0</v>
      </c>
      <c r="J1191" s="5">
        <v>45928</v>
      </c>
      <c r="K1191" s="1" t="s">
        <v>22</v>
      </c>
      <c r="L1191" s="8">
        <v>0</v>
      </c>
      <c r="M1191" s="6"/>
      <c r="N1191" s="6"/>
      <c r="O1191" s="9">
        <v>-13.51</v>
      </c>
    </row>
    <row r="1192" spans="1:15" ht="19.5" customHeight="1">
      <c r="A1192" s="1" t="s">
        <v>640</v>
      </c>
      <c r="B1192" s="5">
        <v>45928</v>
      </c>
      <c r="C1192" s="1" t="s">
        <v>28</v>
      </c>
      <c r="D1192" s="1" t="s">
        <v>45</v>
      </c>
      <c r="E1192" s="1" t="s">
        <v>51</v>
      </c>
      <c r="F1192" s="1" t="s">
        <v>52</v>
      </c>
      <c r="G1192" s="1" t="s">
        <v>41</v>
      </c>
      <c r="H1192" s="6">
        <v>1</v>
      </c>
      <c r="I1192" s="7">
        <v>0</v>
      </c>
      <c r="J1192" s="5">
        <v>45918</v>
      </c>
      <c r="K1192" s="1" t="s">
        <v>30</v>
      </c>
      <c r="L1192" s="8">
        <v>0</v>
      </c>
      <c r="M1192" s="6"/>
      <c r="N1192" s="6"/>
      <c r="O1192" s="9">
        <v>0</v>
      </c>
    </row>
    <row r="1193" spans="1:15" ht="19.5" customHeight="1">
      <c r="A1193" s="1" t="s">
        <v>640</v>
      </c>
      <c r="B1193" s="5">
        <v>45928</v>
      </c>
      <c r="C1193" s="1" t="s">
        <v>28</v>
      </c>
      <c r="D1193" s="1" t="s">
        <v>46</v>
      </c>
      <c r="E1193" s="1" t="s">
        <v>51</v>
      </c>
      <c r="F1193" s="1" t="s">
        <v>52</v>
      </c>
      <c r="G1193" s="1" t="s">
        <v>41</v>
      </c>
      <c r="H1193" s="6">
        <v>1</v>
      </c>
      <c r="I1193" s="7">
        <v>0</v>
      </c>
      <c r="J1193" s="5">
        <v>45918</v>
      </c>
      <c r="K1193" s="1" t="s">
        <v>30</v>
      </c>
      <c r="L1193" s="8">
        <v>0</v>
      </c>
      <c r="M1193" s="6"/>
      <c r="N1193" s="6"/>
      <c r="O1193" s="9">
        <v>-56</v>
      </c>
    </row>
    <row r="1194" spans="1:15" ht="19.5" customHeight="1">
      <c r="A1194" s="1" t="s">
        <v>640</v>
      </c>
      <c r="B1194" s="5">
        <v>45928</v>
      </c>
      <c r="C1194" s="1" t="s">
        <v>28</v>
      </c>
      <c r="D1194" s="1" t="s">
        <v>29</v>
      </c>
      <c r="E1194" s="1" t="s">
        <v>51</v>
      </c>
      <c r="F1194" s="1" t="s">
        <v>52</v>
      </c>
      <c r="G1194" s="1" t="s">
        <v>41</v>
      </c>
      <c r="H1194" s="6">
        <v>1</v>
      </c>
      <c r="I1194" s="7">
        <v>0</v>
      </c>
      <c r="J1194" s="5">
        <v>45918</v>
      </c>
      <c r="K1194" s="1" t="s">
        <v>30</v>
      </c>
      <c r="L1194" s="8">
        <v>0</v>
      </c>
      <c r="M1194" s="6"/>
      <c r="N1194" s="6"/>
      <c r="O1194" s="9">
        <v>-56</v>
      </c>
    </row>
    <row r="1195" spans="1:15" ht="19.5" customHeight="1">
      <c r="A1195" s="1" t="s">
        <v>640</v>
      </c>
      <c r="B1195" s="5">
        <v>45928</v>
      </c>
      <c r="C1195" s="1" t="s">
        <v>17</v>
      </c>
      <c r="D1195" s="1" t="s">
        <v>37</v>
      </c>
      <c r="E1195" s="1" t="s">
        <v>51</v>
      </c>
      <c r="F1195" s="1" t="s">
        <v>52</v>
      </c>
      <c r="G1195" s="1" t="s">
        <v>41</v>
      </c>
      <c r="H1195" s="6">
        <v>1</v>
      </c>
      <c r="I1195" s="7">
        <v>0</v>
      </c>
      <c r="J1195" s="5">
        <v>45918</v>
      </c>
      <c r="K1195" s="1" t="s">
        <v>30</v>
      </c>
      <c r="L1195" s="8">
        <v>0</v>
      </c>
      <c r="M1195" s="6"/>
      <c r="N1195" s="6"/>
      <c r="O1195" s="9">
        <v>-9.23</v>
      </c>
    </row>
    <row r="1196" spans="1:15" ht="19.5" customHeight="1">
      <c r="A1196" s="1" t="s">
        <v>641</v>
      </c>
      <c r="B1196" s="5">
        <v>45928</v>
      </c>
      <c r="C1196" s="1" t="s">
        <v>28</v>
      </c>
      <c r="D1196" s="1" t="s">
        <v>29</v>
      </c>
      <c r="E1196" s="1" t="s">
        <v>19</v>
      </c>
      <c r="F1196" s="1" t="s">
        <v>20</v>
      </c>
      <c r="G1196" s="1" t="s">
        <v>21</v>
      </c>
      <c r="H1196" s="6">
        <v>1</v>
      </c>
      <c r="I1196" s="7">
        <v>1380</v>
      </c>
      <c r="J1196" s="5">
        <v>45925</v>
      </c>
      <c r="K1196" s="1" t="s">
        <v>30</v>
      </c>
      <c r="L1196" s="8">
        <v>0.26</v>
      </c>
      <c r="M1196" s="6"/>
      <c r="N1196" s="6"/>
      <c r="O1196" s="9">
        <v>-46</v>
      </c>
    </row>
    <row r="1197" spans="1:15" ht="19.5" customHeight="1">
      <c r="A1197" s="1" t="s">
        <v>641</v>
      </c>
      <c r="B1197" s="5">
        <v>45928</v>
      </c>
      <c r="C1197" s="1" t="s">
        <v>31</v>
      </c>
      <c r="D1197" s="1" t="s">
        <v>32</v>
      </c>
      <c r="E1197" s="1" t="s">
        <v>19</v>
      </c>
      <c r="F1197" s="1" t="s">
        <v>20</v>
      </c>
      <c r="G1197" s="1" t="s">
        <v>21</v>
      </c>
      <c r="H1197" s="6">
        <v>1</v>
      </c>
      <c r="I1197" s="7">
        <v>1380</v>
      </c>
      <c r="J1197" s="5">
        <v>45925</v>
      </c>
      <c r="K1197" s="1" t="s">
        <v>30</v>
      </c>
      <c r="L1197" s="8">
        <v>0</v>
      </c>
      <c r="M1197" s="6"/>
      <c r="N1197" s="6"/>
      <c r="O1197" s="9">
        <v>851.43</v>
      </c>
    </row>
    <row r="1198" spans="1:15" ht="19.5" customHeight="1">
      <c r="A1198" s="1" t="s">
        <v>641</v>
      </c>
      <c r="B1198" s="5">
        <v>45928</v>
      </c>
      <c r="C1198" s="1" t="s">
        <v>31</v>
      </c>
      <c r="D1198" s="1" t="s">
        <v>33</v>
      </c>
      <c r="E1198" s="1" t="s">
        <v>19</v>
      </c>
      <c r="F1198" s="1" t="s">
        <v>20</v>
      </c>
      <c r="G1198" s="1" t="s">
        <v>21</v>
      </c>
      <c r="H1198" s="6">
        <v>1</v>
      </c>
      <c r="I1198" s="7">
        <v>1380</v>
      </c>
      <c r="J1198" s="5">
        <v>45925</v>
      </c>
      <c r="K1198" s="1" t="s">
        <v>30</v>
      </c>
      <c r="L1198" s="8">
        <v>0</v>
      </c>
      <c r="M1198" s="6"/>
      <c r="N1198" s="6"/>
      <c r="O1198" s="9">
        <v>6.26</v>
      </c>
    </row>
    <row r="1199" spans="1:15" ht="19.5" customHeight="1">
      <c r="A1199" s="1" t="s">
        <v>641</v>
      </c>
      <c r="B1199" s="5">
        <v>45928</v>
      </c>
      <c r="C1199" s="1" t="s">
        <v>31</v>
      </c>
      <c r="D1199" s="1" t="s">
        <v>34</v>
      </c>
      <c r="E1199" s="1" t="s">
        <v>19</v>
      </c>
      <c r="F1199" s="1" t="s">
        <v>20</v>
      </c>
      <c r="G1199" s="1" t="s">
        <v>21</v>
      </c>
      <c r="H1199" s="6">
        <v>1</v>
      </c>
      <c r="I1199" s="7">
        <v>1380</v>
      </c>
      <c r="J1199" s="5">
        <v>45925</v>
      </c>
      <c r="K1199" s="1" t="s">
        <v>30</v>
      </c>
      <c r="L1199" s="8">
        <v>0</v>
      </c>
      <c r="M1199" s="6"/>
      <c r="N1199" s="6"/>
      <c r="O1199" s="9">
        <v>522.30999999999995</v>
      </c>
    </row>
    <row r="1200" spans="1:15" ht="19.5" customHeight="1">
      <c r="A1200" s="1" t="s">
        <v>641</v>
      </c>
      <c r="B1200" s="5">
        <v>45928</v>
      </c>
      <c r="C1200" s="1" t="s">
        <v>35</v>
      </c>
      <c r="D1200" s="1" t="s">
        <v>36</v>
      </c>
      <c r="E1200" s="1" t="s">
        <v>19</v>
      </c>
      <c r="F1200" s="1" t="s">
        <v>20</v>
      </c>
      <c r="G1200" s="1" t="s">
        <v>21</v>
      </c>
      <c r="H1200" s="6">
        <v>1</v>
      </c>
      <c r="I1200" s="7">
        <v>1380</v>
      </c>
      <c r="J1200" s="5">
        <v>45925</v>
      </c>
      <c r="K1200" s="1" t="s">
        <v>30</v>
      </c>
      <c r="L1200" s="8">
        <v>0.26</v>
      </c>
      <c r="M1200" s="6"/>
      <c r="N1200" s="6"/>
      <c r="O1200" s="9">
        <v>-358.8</v>
      </c>
    </row>
    <row r="1201" spans="1:15" ht="19.5" customHeight="1">
      <c r="A1201" s="1" t="s">
        <v>641</v>
      </c>
      <c r="B1201" s="5">
        <v>45928</v>
      </c>
      <c r="C1201" s="1" t="s">
        <v>17</v>
      </c>
      <c r="D1201" s="1" t="s">
        <v>37</v>
      </c>
      <c r="E1201" s="1" t="s">
        <v>19</v>
      </c>
      <c r="F1201" s="1" t="s">
        <v>20</v>
      </c>
      <c r="G1201" s="1" t="s">
        <v>21</v>
      </c>
      <c r="H1201" s="6">
        <v>1</v>
      </c>
      <c r="I1201" s="7">
        <v>1380</v>
      </c>
      <c r="J1201" s="5">
        <v>45925</v>
      </c>
      <c r="K1201" s="1" t="s">
        <v>30</v>
      </c>
      <c r="L1201" s="8">
        <v>0.26</v>
      </c>
      <c r="M1201" s="6"/>
      <c r="N1201" s="6"/>
      <c r="O1201" s="9">
        <v>-5.66</v>
      </c>
    </row>
    <row r="1202" spans="1:15" ht="19.5" customHeight="1">
      <c r="A1202" s="1" t="s">
        <v>642</v>
      </c>
      <c r="B1202" s="5">
        <v>45928</v>
      </c>
      <c r="C1202" s="1" t="s">
        <v>17</v>
      </c>
      <c r="D1202" s="1" t="s">
        <v>18</v>
      </c>
      <c r="E1202" s="1" t="s">
        <v>171</v>
      </c>
      <c r="F1202" s="1" t="s">
        <v>172</v>
      </c>
      <c r="G1202" s="1" t="s">
        <v>41</v>
      </c>
      <c r="H1202" s="6">
        <v>1</v>
      </c>
      <c r="I1202" s="7">
        <v>0</v>
      </c>
      <c r="J1202" s="5">
        <v>45928</v>
      </c>
      <c r="K1202" s="1" t="s">
        <v>22</v>
      </c>
      <c r="L1202" s="8">
        <v>0</v>
      </c>
      <c r="M1202" s="6"/>
      <c r="N1202" s="6"/>
      <c r="O1202" s="9">
        <v>-12.42</v>
      </c>
    </row>
    <row r="1203" spans="1:15" ht="19.5" customHeight="1">
      <c r="A1203" s="1" t="s">
        <v>643</v>
      </c>
      <c r="B1203" s="5">
        <v>45928</v>
      </c>
      <c r="C1203" s="1" t="s">
        <v>17</v>
      </c>
      <c r="D1203" s="1" t="s">
        <v>18</v>
      </c>
      <c r="E1203" s="1" t="s">
        <v>51</v>
      </c>
      <c r="F1203" s="1" t="s">
        <v>52</v>
      </c>
      <c r="G1203" s="1" t="s">
        <v>41</v>
      </c>
      <c r="H1203" s="6">
        <v>1</v>
      </c>
      <c r="I1203" s="7">
        <v>0</v>
      </c>
      <c r="J1203" s="5">
        <v>45928</v>
      </c>
      <c r="K1203" s="1" t="s">
        <v>22</v>
      </c>
      <c r="L1203" s="8">
        <v>0</v>
      </c>
      <c r="M1203" s="6"/>
      <c r="N1203" s="6"/>
      <c r="O1203" s="9">
        <v>-40.58</v>
      </c>
    </row>
    <row r="1204" spans="1:15" ht="19.5" customHeight="1">
      <c r="A1204" s="1" t="s">
        <v>644</v>
      </c>
      <c r="B1204" s="5">
        <v>45928</v>
      </c>
      <c r="C1204" s="1" t="s">
        <v>28</v>
      </c>
      <c r="D1204" s="1" t="s">
        <v>29</v>
      </c>
      <c r="E1204" s="1" t="s">
        <v>92</v>
      </c>
      <c r="F1204" s="1" t="s">
        <v>93</v>
      </c>
      <c r="G1204" s="1" t="s">
        <v>21</v>
      </c>
      <c r="H1204" s="6">
        <v>1</v>
      </c>
      <c r="I1204" s="7">
        <v>1300</v>
      </c>
      <c r="J1204" s="5">
        <v>45926</v>
      </c>
      <c r="K1204" s="1" t="s">
        <v>30</v>
      </c>
      <c r="L1204" s="8">
        <v>0.26</v>
      </c>
      <c r="M1204" s="6"/>
      <c r="N1204" s="6"/>
      <c r="O1204" s="9">
        <v>-46</v>
      </c>
    </row>
    <row r="1205" spans="1:15" ht="19.5" customHeight="1">
      <c r="A1205" s="1" t="s">
        <v>644</v>
      </c>
      <c r="B1205" s="5">
        <v>45928</v>
      </c>
      <c r="C1205" s="1" t="s">
        <v>31</v>
      </c>
      <c r="D1205" s="1" t="s">
        <v>32</v>
      </c>
      <c r="E1205" s="1" t="s">
        <v>92</v>
      </c>
      <c r="F1205" s="1" t="s">
        <v>93</v>
      </c>
      <c r="G1205" s="1" t="s">
        <v>21</v>
      </c>
      <c r="H1205" s="6">
        <v>1</v>
      </c>
      <c r="I1205" s="7">
        <v>1300</v>
      </c>
      <c r="J1205" s="5">
        <v>45926</v>
      </c>
      <c r="K1205" s="1" t="s">
        <v>30</v>
      </c>
      <c r="L1205" s="8">
        <v>0</v>
      </c>
      <c r="M1205" s="6"/>
      <c r="N1205" s="6"/>
      <c r="O1205" s="9">
        <v>801.14</v>
      </c>
    </row>
    <row r="1206" spans="1:15" ht="19.5" customHeight="1">
      <c r="A1206" s="1" t="s">
        <v>644</v>
      </c>
      <c r="B1206" s="5">
        <v>45928</v>
      </c>
      <c r="C1206" s="1" t="s">
        <v>31</v>
      </c>
      <c r="D1206" s="1" t="s">
        <v>33</v>
      </c>
      <c r="E1206" s="1" t="s">
        <v>92</v>
      </c>
      <c r="F1206" s="1" t="s">
        <v>93</v>
      </c>
      <c r="G1206" s="1" t="s">
        <v>21</v>
      </c>
      <c r="H1206" s="6">
        <v>1</v>
      </c>
      <c r="I1206" s="7">
        <v>1300</v>
      </c>
      <c r="J1206" s="5">
        <v>45926</v>
      </c>
      <c r="K1206" s="1" t="s">
        <v>30</v>
      </c>
      <c r="L1206" s="8">
        <v>0</v>
      </c>
      <c r="M1206" s="6"/>
      <c r="N1206" s="6"/>
      <c r="O1206" s="9">
        <v>5.89</v>
      </c>
    </row>
    <row r="1207" spans="1:15" ht="19.5" customHeight="1">
      <c r="A1207" s="1" t="s">
        <v>644</v>
      </c>
      <c r="B1207" s="5">
        <v>45928</v>
      </c>
      <c r="C1207" s="1" t="s">
        <v>31</v>
      </c>
      <c r="D1207" s="1" t="s">
        <v>34</v>
      </c>
      <c r="E1207" s="1" t="s">
        <v>92</v>
      </c>
      <c r="F1207" s="1" t="s">
        <v>93</v>
      </c>
      <c r="G1207" s="1" t="s">
        <v>21</v>
      </c>
      <c r="H1207" s="6">
        <v>1</v>
      </c>
      <c r="I1207" s="7">
        <v>1300</v>
      </c>
      <c r="J1207" s="5">
        <v>45926</v>
      </c>
      <c r="K1207" s="1" t="s">
        <v>30</v>
      </c>
      <c r="L1207" s="8">
        <v>0</v>
      </c>
      <c r="M1207" s="6"/>
      <c r="N1207" s="6"/>
      <c r="O1207" s="9">
        <v>492.97</v>
      </c>
    </row>
    <row r="1208" spans="1:15" ht="19.5" customHeight="1">
      <c r="A1208" s="1" t="s">
        <v>644</v>
      </c>
      <c r="B1208" s="5">
        <v>45928</v>
      </c>
      <c r="C1208" s="1" t="s">
        <v>35</v>
      </c>
      <c r="D1208" s="1" t="s">
        <v>36</v>
      </c>
      <c r="E1208" s="1" t="s">
        <v>92</v>
      </c>
      <c r="F1208" s="1" t="s">
        <v>93</v>
      </c>
      <c r="G1208" s="1" t="s">
        <v>21</v>
      </c>
      <c r="H1208" s="6">
        <v>1</v>
      </c>
      <c r="I1208" s="7">
        <v>1300</v>
      </c>
      <c r="J1208" s="5">
        <v>45926</v>
      </c>
      <c r="K1208" s="1" t="s">
        <v>30</v>
      </c>
      <c r="L1208" s="8">
        <v>0.26</v>
      </c>
      <c r="M1208" s="6"/>
      <c r="N1208" s="6"/>
      <c r="O1208" s="9">
        <v>-338</v>
      </c>
    </row>
    <row r="1209" spans="1:15" ht="19.5" customHeight="1">
      <c r="A1209" s="1" t="s">
        <v>644</v>
      </c>
      <c r="B1209" s="5">
        <v>45928</v>
      </c>
      <c r="C1209" s="1" t="s">
        <v>17</v>
      </c>
      <c r="D1209" s="1" t="s">
        <v>37</v>
      </c>
      <c r="E1209" s="1" t="s">
        <v>92</v>
      </c>
      <c r="F1209" s="1" t="s">
        <v>93</v>
      </c>
      <c r="G1209" s="1" t="s">
        <v>21</v>
      </c>
      <c r="H1209" s="6">
        <v>1</v>
      </c>
      <c r="I1209" s="7">
        <v>1300</v>
      </c>
      <c r="J1209" s="5">
        <v>45926</v>
      </c>
      <c r="K1209" s="1" t="s">
        <v>30</v>
      </c>
      <c r="L1209" s="8">
        <v>0.26</v>
      </c>
      <c r="M1209" s="6"/>
      <c r="N1209" s="6"/>
      <c r="O1209" s="9">
        <v>-4.83</v>
      </c>
    </row>
    <row r="1210" spans="1:15" ht="19.5" customHeight="1">
      <c r="A1210" s="1" t="s">
        <v>645</v>
      </c>
      <c r="B1210" s="5">
        <v>45928</v>
      </c>
      <c r="C1210" s="1" t="s">
        <v>28</v>
      </c>
      <c r="D1210" s="1" t="s">
        <v>29</v>
      </c>
      <c r="E1210" s="1" t="s">
        <v>25</v>
      </c>
      <c r="F1210" s="1" t="s">
        <v>26</v>
      </c>
      <c r="G1210" s="1" t="s">
        <v>21</v>
      </c>
      <c r="H1210" s="6">
        <v>1</v>
      </c>
      <c r="I1210" s="7">
        <v>0</v>
      </c>
      <c r="J1210" s="5">
        <v>45921</v>
      </c>
      <c r="K1210" s="1" t="s">
        <v>30</v>
      </c>
      <c r="L1210" s="8">
        <v>0</v>
      </c>
      <c r="M1210" s="6"/>
      <c r="N1210" s="6"/>
      <c r="O1210" s="9">
        <v>-46</v>
      </c>
    </row>
    <row r="1211" spans="1:15" ht="19.5" customHeight="1">
      <c r="A1211" s="1" t="s">
        <v>645</v>
      </c>
      <c r="B1211" s="5">
        <v>45928</v>
      </c>
      <c r="C1211" s="1" t="s">
        <v>17</v>
      </c>
      <c r="D1211" s="1" t="s">
        <v>37</v>
      </c>
      <c r="E1211" s="1" t="s">
        <v>25</v>
      </c>
      <c r="F1211" s="1" t="s">
        <v>26</v>
      </c>
      <c r="G1211" s="1" t="s">
        <v>21</v>
      </c>
      <c r="H1211" s="6">
        <v>1</v>
      </c>
      <c r="I1211" s="7">
        <v>0</v>
      </c>
      <c r="J1211" s="5">
        <v>45921</v>
      </c>
      <c r="K1211" s="1" t="s">
        <v>30</v>
      </c>
      <c r="L1211" s="8">
        <v>0</v>
      </c>
      <c r="M1211" s="6"/>
      <c r="N1211" s="6"/>
      <c r="O1211" s="9">
        <v>-5.55</v>
      </c>
    </row>
    <row r="1212" spans="1:15" ht="19.5" customHeight="1">
      <c r="A1212" s="1" t="s">
        <v>645</v>
      </c>
      <c r="B1212" s="5">
        <v>45928</v>
      </c>
      <c r="C1212" s="1" t="s">
        <v>28</v>
      </c>
      <c r="D1212" s="1" t="s">
        <v>356</v>
      </c>
      <c r="E1212" s="1" t="s">
        <v>25</v>
      </c>
      <c r="F1212" s="1" t="s">
        <v>26</v>
      </c>
      <c r="G1212" s="1" t="s">
        <v>21</v>
      </c>
      <c r="H1212" s="6">
        <v>1</v>
      </c>
      <c r="I1212" s="7">
        <v>0</v>
      </c>
      <c r="J1212" s="5">
        <v>45921</v>
      </c>
      <c r="K1212" s="1" t="s">
        <v>30</v>
      </c>
      <c r="L1212" s="8">
        <v>0</v>
      </c>
      <c r="M1212" s="6"/>
      <c r="N1212" s="6"/>
      <c r="O1212" s="9">
        <v>0</v>
      </c>
    </row>
    <row r="1213" spans="1:15" ht="19.5" customHeight="1">
      <c r="A1213" s="1" t="s">
        <v>645</v>
      </c>
      <c r="B1213" s="5">
        <v>45928</v>
      </c>
      <c r="C1213" s="1" t="s">
        <v>28</v>
      </c>
      <c r="D1213" s="1" t="s">
        <v>46</v>
      </c>
      <c r="E1213" s="1" t="s">
        <v>25</v>
      </c>
      <c r="F1213" s="1" t="s">
        <v>26</v>
      </c>
      <c r="G1213" s="1" t="s">
        <v>21</v>
      </c>
      <c r="H1213" s="6">
        <v>1</v>
      </c>
      <c r="I1213" s="7">
        <v>0</v>
      </c>
      <c r="J1213" s="5">
        <v>45921</v>
      </c>
      <c r="K1213" s="1" t="s">
        <v>30</v>
      </c>
      <c r="L1213" s="8">
        <v>0</v>
      </c>
      <c r="M1213" s="6"/>
      <c r="N1213" s="6"/>
      <c r="O1213" s="9">
        <v>-46</v>
      </c>
    </row>
    <row r="1214" spans="1:15" ht="19.5" customHeight="1">
      <c r="A1214" s="1" t="s">
        <v>645</v>
      </c>
      <c r="B1214" s="5">
        <v>45928</v>
      </c>
      <c r="C1214" s="1" t="s">
        <v>17</v>
      </c>
      <c r="D1214" s="1" t="s">
        <v>47</v>
      </c>
      <c r="E1214" s="1" t="s">
        <v>25</v>
      </c>
      <c r="F1214" s="1" t="s">
        <v>26</v>
      </c>
      <c r="G1214" s="1" t="s">
        <v>21</v>
      </c>
      <c r="H1214" s="6">
        <v>1</v>
      </c>
      <c r="I1214" s="7">
        <v>0</v>
      </c>
      <c r="J1214" s="5">
        <v>45921</v>
      </c>
      <c r="K1214" s="1" t="s">
        <v>30</v>
      </c>
      <c r="L1214" s="8">
        <v>0</v>
      </c>
      <c r="M1214" s="6"/>
      <c r="N1214" s="6"/>
      <c r="O1214" s="9">
        <v>-15</v>
      </c>
    </row>
    <row r="1215" spans="1:15" ht="19.5" customHeight="1">
      <c r="A1215" s="1" t="s">
        <v>601</v>
      </c>
      <c r="B1215" s="5">
        <v>45928</v>
      </c>
      <c r="C1215" s="1" t="s">
        <v>17</v>
      </c>
      <c r="D1215" s="1" t="s">
        <v>18</v>
      </c>
      <c r="E1215" s="1" t="s">
        <v>25</v>
      </c>
      <c r="F1215" s="1" t="s">
        <v>26</v>
      </c>
      <c r="G1215" s="1" t="s">
        <v>21</v>
      </c>
      <c r="H1215" s="6">
        <v>1</v>
      </c>
      <c r="I1215" s="7">
        <v>0</v>
      </c>
      <c r="J1215" s="5">
        <v>45926</v>
      </c>
      <c r="K1215" s="1" t="s">
        <v>22</v>
      </c>
      <c r="L1215" s="8">
        <v>0</v>
      </c>
      <c r="M1215" s="6"/>
      <c r="N1215" s="6"/>
      <c r="O1215" s="9">
        <v>14.06</v>
      </c>
    </row>
    <row r="1216" spans="1:15" ht="19.5" customHeight="1">
      <c r="A1216" s="1" t="s">
        <v>646</v>
      </c>
      <c r="B1216" s="5">
        <v>45928</v>
      </c>
      <c r="C1216" s="1" t="s">
        <v>17</v>
      </c>
      <c r="D1216" s="1" t="s">
        <v>18</v>
      </c>
      <c r="E1216" s="1" t="s">
        <v>66</v>
      </c>
      <c r="F1216" s="1" t="s">
        <v>67</v>
      </c>
      <c r="G1216" s="1" t="s">
        <v>41</v>
      </c>
      <c r="H1216" s="6">
        <v>1</v>
      </c>
      <c r="I1216" s="7">
        <v>0</v>
      </c>
      <c r="J1216" s="5">
        <v>45928</v>
      </c>
      <c r="K1216" s="1" t="s">
        <v>22</v>
      </c>
      <c r="L1216" s="8">
        <v>0</v>
      </c>
      <c r="M1216" s="6"/>
      <c r="N1216" s="6"/>
      <c r="O1216" s="9">
        <v>-36.270000000000003</v>
      </c>
    </row>
    <row r="1217" spans="1:15" ht="19.5" customHeight="1">
      <c r="A1217" s="1" t="s">
        <v>633</v>
      </c>
      <c r="B1217" s="5">
        <v>45928</v>
      </c>
      <c r="C1217" s="1" t="s">
        <v>126</v>
      </c>
      <c r="D1217" s="1" t="s">
        <v>127</v>
      </c>
      <c r="E1217" s="1" t="s">
        <v>25</v>
      </c>
      <c r="F1217" s="1" t="s">
        <v>26</v>
      </c>
      <c r="G1217" s="1" t="s">
        <v>21</v>
      </c>
      <c r="H1217" s="6">
        <v>1</v>
      </c>
      <c r="I1217" s="7">
        <v>-1200</v>
      </c>
      <c r="J1217" s="5">
        <v>45926</v>
      </c>
      <c r="K1217" s="1" t="s">
        <v>30</v>
      </c>
      <c r="L1217" s="8">
        <v>0</v>
      </c>
      <c r="M1217" s="6"/>
      <c r="N1217" s="6"/>
      <c r="O1217" s="9">
        <v>-808.57</v>
      </c>
    </row>
    <row r="1218" spans="1:15" ht="19.5" customHeight="1">
      <c r="A1218" s="1" t="s">
        <v>633</v>
      </c>
      <c r="B1218" s="5">
        <v>45928</v>
      </c>
      <c r="C1218" s="1" t="s">
        <v>126</v>
      </c>
      <c r="D1218" s="1" t="s">
        <v>33</v>
      </c>
      <c r="E1218" s="1" t="s">
        <v>25</v>
      </c>
      <c r="F1218" s="1" t="s">
        <v>26</v>
      </c>
      <c r="G1218" s="1" t="s">
        <v>21</v>
      </c>
      <c r="H1218" s="6">
        <v>1</v>
      </c>
      <c r="I1218" s="7">
        <v>-1200</v>
      </c>
      <c r="J1218" s="5">
        <v>45926</v>
      </c>
      <c r="K1218" s="1" t="s">
        <v>30</v>
      </c>
      <c r="L1218" s="8">
        <v>0</v>
      </c>
      <c r="M1218" s="6"/>
      <c r="N1218" s="6"/>
      <c r="O1218" s="9">
        <v>0</v>
      </c>
    </row>
    <row r="1219" spans="1:15" ht="19.5" customHeight="1">
      <c r="A1219" s="1" t="s">
        <v>633</v>
      </c>
      <c r="B1219" s="5">
        <v>45928</v>
      </c>
      <c r="C1219" s="1" t="s">
        <v>126</v>
      </c>
      <c r="D1219" s="1" t="s">
        <v>34</v>
      </c>
      <c r="E1219" s="1" t="s">
        <v>25</v>
      </c>
      <c r="F1219" s="1" t="s">
        <v>26</v>
      </c>
      <c r="G1219" s="1" t="s">
        <v>21</v>
      </c>
      <c r="H1219" s="6">
        <v>1</v>
      </c>
      <c r="I1219" s="7">
        <v>-1200</v>
      </c>
      <c r="J1219" s="5">
        <v>45926</v>
      </c>
      <c r="K1219" s="1" t="s">
        <v>30</v>
      </c>
      <c r="L1219" s="8">
        <v>0</v>
      </c>
      <c r="M1219" s="6"/>
      <c r="N1219" s="6"/>
      <c r="O1219" s="9">
        <v>-391.43</v>
      </c>
    </row>
    <row r="1220" spans="1:15" ht="19.5" customHeight="1">
      <c r="A1220" s="1" t="s">
        <v>633</v>
      </c>
      <c r="B1220" s="5">
        <v>45928</v>
      </c>
      <c r="C1220" s="1" t="s">
        <v>35</v>
      </c>
      <c r="D1220" s="1" t="s">
        <v>128</v>
      </c>
      <c r="E1220" s="1" t="s">
        <v>25</v>
      </c>
      <c r="F1220" s="1" t="s">
        <v>26</v>
      </c>
      <c r="G1220" s="1" t="s">
        <v>21</v>
      </c>
      <c r="H1220" s="6">
        <v>1</v>
      </c>
      <c r="I1220" s="7">
        <v>-1200</v>
      </c>
      <c r="J1220" s="5">
        <v>45926</v>
      </c>
      <c r="K1220" s="1" t="s">
        <v>30</v>
      </c>
      <c r="L1220" s="8">
        <v>0.26</v>
      </c>
      <c r="M1220" s="6"/>
      <c r="N1220" s="6"/>
      <c r="O1220" s="9">
        <v>312</v>
      </c>
    </row>
    <row r="1221" spans="1:15" ht="19.5" customHeight="1">
      <c r="A1221" s="1" t="s">
        <v>605</v>
      </c>
      <c r="B1221" s="5">
        <v>45928</v>
      </c>
      <c r="C1221" s="1" t="s">
        <v>17</v>
      </c>
      <c r="D1221" s="1" t="s">
        <v>18</v>
      </c>
      <c r="E1221" s="1" t="s">
        <v>25</v>
      </c>
      <c r="F1221" s="1" t="s">
        <v>26</v>
      </c>
      <c r="G1221" s="1" t="s">
        <v>21</v>
      </c>
      <c r="H1221" s="6">
        <v>1</v>
      </c>
      <c r="I1221" s="7">
        <v>0</v>
      </c>
      <c r="J1221" s="5">
        <v>45926</v>
      </c>
      <c r="K1221" s="1" t="s">
        <v>22</v>
      </c>
      <c r="L1221" s="8">
        <v>0</v>
      </c>
      <c r="M1221" s="6"/>
      <c r="N1221" s="6"/>
      <c r="O1221" s="9">
        <v>3.32</v>
      </c>
    </row>
    <row r="1222" spans="1:15" ht="19.5" customHeight="1">
      <c r="A1222" s="1" t="s">
        <v>647</v>
      </c>
      <c r="B1222" s="5">
        <v>45928</v>
      </c>
      <c r="C1222" s="1" t="s">
        <v>28</v>
      </c>
      <c r="D1222" s="1" t="s">
        <v>29</v>
      </c>
      <c r="E1222" s="1" t="s">
        <v>222</v>
      </c>
      <c r="F1222" s="1" t="s">
        <v>412</v>
      </c>
      <c r="G1222" s="1" t="s">
        <v>21</v>
      </c>
      <c r="H1222" s="6">
        <v>1</v>
      </c>
      <c r="I1222" s="7">
        <v>1300</v>
      </c>
      <c r="J1222" s="5">
        <v>45924</v>
      </c>
      <c r="K1222" s="1" t="s">
        <v>30</v>
      </c>
      <c r="L1222" s="8">
        <v>0.2</v>
      </c>
      <c r="M1222" s="6"/>
      <c r="N1222" s="6"/>
      <c r="O1222" s="9">
        <v>-46</v>
      </c>
    </row>
    <row r="1223" spans="1:15" ht="19.5" customHeight="1">
      <c r="A1223" s="1" t="s">
        <v>647</v>
      </c>
      <c r="B1223" s="5">
        <v>45928</v>
      </c>
      <c r="C1223" s="1" t="s">
        <v>31</v>
      </c>
      <c r="D1223" s="1" t="s">
        <v>32</v>
      </c>
      <c r="E1223" s="1" t="s">
        <v>222</v>
      </c>
      <c r="F1223" s="1" t="s">
        <v>412</v>
      </c>
      <c r="G1223" s="1" t="s">
        <v>21</v>
      </c>
      <c r="H1223" s="6">
        <v>1</v>
      </c>
      <c r="I1223" s="7">
        <v>1300</v>
      </c>
      <c r="J1223" s="5">
        <v>45924</v>
      </c>
      <c r="K1223" s="1" t="s">
        <v>30</v>
      </c>
      <c r="L1223" s="8">
        <v>0</v>
      </c>
      <c r="M1223" s="6"/>
      <c r="N1223" s="6"/>
      <c r="O1223" s="9">
        <v>917.14</v>
      </c>
    </row>
    <row r="1224" spans="1:15" ht="19.5" customHeight="1">
      <c r="A1224" s="1" t="s">
        <v>647</v>
      </c>
      <c r="B1224" s="5">
        <v>45928</v>
      </c>
      <c r="C1224" s="1" t="s">
        <v>31</v>
      </c>
      <c r="D1224" s="1" t="s">
        <v>33</v>
      </c>
      <c r="E1224" s="1" t="s">
        <v>222</v>
      </c>
      <c r="F1224" s="1" t="s">
        <v>412</v>
      </c>
      <c r="G1224" s="1" t="s">
        <v>21</v>
      </c>
      <c r="H1224" s="6">
        <v>1</v>
      </c>
      <c r="I1224" s="7">
        <v>1300</v>
      </c>
      <c r="J1224" s="5">
        <v>45924</v>
      </c>
      <c r="K1224" s="1" t="s">
        <v>30</v>
      </c>
      <c r="L1224" s="8">
        <v>0</v>
      </c>
      <c r="M1224" s="6"/>
      <c r="N1224" s="6"/>
      <c r="O1224" s="9">
        <v>0</v>
      </c>
    </row>
    <row r="1225" spans="1:15" ht="19.5" customHeight="1">
      <c r="A1225" s="1" t="s">
        <v>647</v>
      </c>
      <c r="B1225" s="5">
        <v>45928</v>
      </c>
      <c r="C1225" s="1" t="s">
        <v>31</v>
      </c>
      <c r="D1225" s="1" t="s">
        <v>34</v>
      </c>
      <c r="E1225" s="1" t="s">
        <v>222</v>
      </c>
      <c r="F1225" s="1" t="s">
        <v>412</v>
      </c>
      <c r="G1225" s="1" t="s">
        <v>21</v>
      </c>
      <c r="H1225" s="6">
        <v>1</v>
      </c>
      <c r="I1225" s="7">
        <v>1300</v>
      </c>
      <c r="J1225" s="5">
        <v>45924</v>
      </c>
      <c r="K1225" s="1" t="s">
        <v>30</v>
      </c>
      <c r="L1225" s="8">
        <v>0</v>
      </c>
      <c r="M1225" s="6"/>
      <c r="N1225" s="6"/>
      <c r="O1225" s="9">
        <v>382.86</v>
      </c>
    </row>
    <row r="1226" spans="1:15" ht="19.5" customHeight="1">
      <c r="A1226" s="1" t="s">
        <v>647</v>
      </c>
      <c r="B1226" s="5">
        <v>45928</v>
      </c>
      <c r="C1226" s="1" t="s">
        <v>35</v>
      </c>
      <c r="D1226" s="1" t="s">
        <v>36</v>
      </c>
      <c r="E1226" s="1" t="s">
        <v>222</v>
      </c>
      <c r="F1226" s="1" t="s">
        <v>412</v>
      </c>
      <c r="G1226" s="1" t="s">
        <v>21</v>
      </c>
      <c r="H1226" s="6">
        <v>1</v>
      </c>
      <c r="I1226" s="7">
        <v>1300</v>
      </c>
      <c r="J1226" s="5">
        <v>45924</v>
      </c>
      <c r="K1226" s="1" t="s">
        <v>30</v>
      </c>
      <c r="L1226" s="8">
        <v>0.2</v>
      </c>
      <c r="M1226" s="6"/>
      <c r="N1226" s="6"/>
      <c r="O1226" s="9">
        <v>-260</v>
      </c>
    </row>
    <row r="1227" spans="1:15" ht="19.5" customHeight="1">
      <c r="A1227" s="1" t="s">
        <v>647</v>
      </c>
      <c r="B1227" s="5">
        <v>45928</v>
      </c>
      <c r="C1227" s="1" t="s">
        <v>17</v>
      </c>
      <c r="D1227" s="1" t="s">
        <v>37</v>
      </c>
      <c r="E1227" s="1" t="s">
        <v>222</v>
      </c>
      <c r="F1227" s="1" t="s">
        <v>412</v>
      </c>
      <c r="G1227" s="1" t="s">
        <v>21</v>
      </c>
      <c r="H1227" s="6">
        <v>1</v>
      </c>
      <c r="I1227" s="7">
        <v>1300</v>
      </c>
      <c r="J1227" s="5">
        <v>45924</v>
      </c>
      <c r="K1227" s="1" t="s">
        <v>30</v>
      </c>
      <c r="L1227" s="8">
        <v>0.2</v>
      </c>
      <c r="M1227" s="6"/>
      <c r="N1227" s="6"/>
      <c r="O1227" s="9">
        <v>-5.27</v>
      </c>
    </row>
    <row r="1228" spans="1:15" ht="19.5" customHeight="1">
      <c r="A1228" s="1" t="s">
        <v>586</v>
      </c>
      <c r="B1228" s="5">
        <v>45928</v>
      </c>
      <c r="C1228" s="1" t="s">
        <v>28</v>
      </c>
      <c r="D1228" s="1" t="s">
        <v>60</v>
      </c>
      <c r="E1228" s="1" t="s">
        <v>25</v>
      </c>
      <c r="F1228" s="1" t="s">
        <v>26</v>
      </c>
      <c r="G1228" s="1" t="s">
        <v>21</v>
      </c>
      <c r="H1228" s="6">
        <v>1</v>
      </c>
      <c r="I1228" s="7">
        <v>0</v>
      </c>
      <c r="J1228" s="5">
        <v>45923</v>
      </c>
      <c r="K1228" s="1" t="s">
        <v>30</v>
      </c>
      <c r="L1228" s="8">
        <v>0</v>
      </c>
      <c r="M1228" s="6"/>
      <c r="N1228" s="6"/>
      <c r="O1228" s="9">
        <v>0</v>
      </c>
    </row>
    <row r="1229" spans="1:15" ht="19.5" customHeight="1">
      <c r="A1229" s="1" t="s">
        <v>586</v>
      </c>
      <c r="B1229" s="5">
        <v>45928</v>
      </c>
      <c r="C1229" s="1" t="s">
        <v>28</v>
      </c>
      <c r="D1229" s="1" t="s">
        <v>46</v>
      </c>
      <c r="E1229" s="1" t="s">
        <v>25</v>
      </c>
      <c r="F1229" s="1" t="s">
        <v>26</v>
      </c>
      <c r="G1229" s="1" t="s">
        <v>21</v>
      </c>
      <c r="H1229" s="6">
        <v>1</v>
      </c>
      <c r="I1229" s="7">
        <v>0</v>
      </c>
      <c r="J1229" s="5">
        <v>45923</v>
      </c>
      <c r="K1229" s="1" t="s">
        <v>30</v>
      </c>
      <c r="L1229" s="8">
        <v>0</v>
      </c>
      <c r="M1229" s="6"/>
      <c r="N1229" s="6"/>
      <c r="O1229" s="9">
        <v>-46</v>
      </c>
    </row>
    <row r="1230" spans="1:15" ht="19.5" customHeight="1">
      <c r="A1230" s="1" t="s">
        <v>586</v>
      </c>
      <c r="B1230" s="5">
        <v>45928</v>
      </c>
      <c r="C1230" s="1" t="s">
        <v>17</v>
      </c>
      <c r="D1230" s="1" t="s">
        <v>47</v>
      </c>
      <c r="E1230" s="1" t="s">
        <v>25</v>
      </c>
      <c r="F1230" s="1" t="s">
        <v>26</v>
      </c>
      <c r="G1230" s="1" t="s">
        <v>21</v>
      </c>
      <c r="H1230" s="6">
        <v>1</v>
      </c>
      <c r="I1230" s="7">
        <v>0</v>
      </c>
      <c r="J1230" s="5">
        <v>45923</v>
      </c>
      <c r="K1230" s="1" t="s">
        <v>30</v>
      </c>
      <c r="L1230" s="8">
        <v>0</v>
      </c>
      <c r="M1230" s="6"/>
      <c r="N1230" s="6"/>
      <c r="O1230" s="9">
        <v>-15</v>
      </c>
    </row>
    <row r="1231" spans="1:15" ht="19.5" customHeight="1">
      <c r="A1231" s="1" t="s">
        <v>22</v>
      </c>
      <c r="B1231" s="5">
        <v>45928</v>
      </c>
      <c r="C1231" s="1" t="s">
        <v>77</v>
      </c>
      <c r="D1231" s="1" t="s">
        <v>78</v>
      </c>
      <c r="E1231" s="1" t="s">
        <v>22</v>
      </c>
      <c r="F1231" s="1" t="s">
        <v>22</v>
      </c>
      <c r="G1231" s="1" t="s">
        <v>648</v>
      </c>
      <c r="H1231" s="6">
        <v>0</v>
      </c>
      <c r="I1231" s="7">
        <v>0</v>
      </c>
      <c r="J1231" s="5">
        <v>45928</v>
      </c>
      <c r="K1231" s="1" t="s">
        <v>22</v>
      </c>
      <c r="L1231" s="8">
        <v>0</v>
      </c>
      <c r="M1231" s="6"/>
      <c r="N1231" s="6"/>
      <c r="O1231" s="9">
        <v>-200</v>
      </c>
    </row>
    <row r="1232" spans="1:15" ht="19.5" customHeight="1">
      <c r="A1232" s="1" t="s">
        <v>649</v>
      </c>
      <c r="B1232" s="5">
        <v>45928</v>
      </c>
      <c r="C1232" s="1" t="s">
        <v>17</v>
      </c>
      <c r="D1232" s="1" t="s">
        <v>18</v>
      </c>
      <c r="E1232" s="1" t="s">
        <v>25</v>
      </c>
      <c r="F1232" s="1" t="s">
        <v>26</v>
      </c>
      <c r="G1232" s="1" t="s">
        <v>21</v>
      </c>
      <c r="H1232" s="6">
        <v>1</v>
      </c>
      <c r="I1232" s="7">
        <v>0</v>
      </c>
      <c r="J1232" s="5">
        <v>45928</v>
      </c>
      <c r="K1232" s="1" t="s">
        <v>22</v>
      </c>
      <c r="L1232" s="8">
        <v>0</v>
      </c>
      <c r="M1232" s="6"/>
      <c r="N1232" s="6"/>
      <c r="O1232" s="9">
        <v>-4.12</v>
      </c>
    </row>
    <row r="1233" spans="1:15" ht="19.5" customHeight="1">
      <c r="A1233" s="1" t="s">
        <v>650</v>
      </c>
      <c r="B1233" s="5">
        <v>45928</v>
      </c>
      <c r="C1233" s="1" t="s">
        <v>28</v>
      </c>
      <c r="D1233" s="1" t="s">
        <v>29</v>
      </c>
      <c r="E1233" s="1" t="s">
        <v>227</v>
      </c>
      <c r="F1233" s="1" t="s">
        <v>402</v>
      </c>
      <c r="G1233" s="1" t="s">
        <v>21</v>
      </c>
      <c r="H1233" s="6">
        <v>1</v>
      </c>
      <c r="I1233" s="7">
        <v>0</v>
      </c>
      <c r="J1233" s="5">
        <v>45925</v>
      </c>
      <c r="K1233" s="1" t="s">
        <v>30</v>
      </c>
      <c r="L1233" s="8">
        <v>0</v>
      </c>
      <c r="M1233" s="6"/>
      <c r="N1233" s="6"/>
      <c r="O1233" s="9">
        <v>-46</v>
      </c>
    </row>
    <row r="1234" spans="1:15" ht="19.5" customHeight="1">
      <c r="A1234" s="1" t="s">
        <v>650</v>
      </c>
      <c r="B1234" s="5">
        <v>45928</v>
      </c>
      <c r="C1234" s="1" t="s">
        <v>17</v>
      </c>
      <c r="D1234" s="1" t="s">
        <v>37</v>
      </c>
      <c r="E1234" s="1" t="s">
        <v>227</v>
      </c>
      <c r="F1234" s="1" t="s">
        <v>402</v>
      </c>
      <c r="G1234" s="1" t="s">
        <v>21</v>
      </c>
      <c r="H1234" s="6">
        <v>1</v>
      </c>
      <c r="I1234" s="7">
        <v>0</v>
      </c>
      <c r="J1234" s="5">
        <v>45925</v>
      </c>
      <c r="K1234" s="1" t="s">
        <v>30</v>
      </c>
      <c r="L1234" s="8">
        <v>0</v>
      </c>
      <c r="M1234" s="6"/>
      <c r="N1234" s="6"/>
      <c r="O1234" s="9">
        <v>-6.13</v>
      </c>
    </row>
    <row r="1235" spans="1:15" ht="19.5" customHeight="1">
      <c r="A1235" s="1" t="s">
        <v>81</v>
      </c>
      <c r="B1235" s="5">
        <v>45928</v>
      </c>
      <c r="C1235" s="1" t="s">
        <v>77</v>
      </c>
      <c r="D1235" s="1" t="s">
        <v>82</v>
      </c>
      <c r="E1235" s="1" t="s">
        <v>22</v>
      </c>
      <c r="F1235" s="1" t="s">
        <v>22</v>
      </c>
      <c r="G1235" s="1" t="s">
        <v>22</v>
      </c>
      <c r="H1235" s="6">
        <v>0</v>
      </c>
      <c r="I1235" s="7">
        <v>0</v>
      </c>
      <c r="J1235" s="5">
        <v>45928</v>
      </c>
      <c r="K1235" s="1" t="s">
        <v>22</v>
      </c>
      <c r="L1235" s="8">
        <v>0</v>
      </c>
      <c r="M1235" s="6"/>
      <c r="N1235" s="6"/>
      <c r="O1235" s="9">
        <v>-1918.87</v>
      </c>
    </row>
    <row r="1236" spans="1:15" ht="19.5" customHeight="1">
      <c r="A1236" s="1" t="s">
        <v>83</v>
      </c>
      <c r="B1236" s="5">
        <v>45928</v>
      </c>
      <c r="C1236" s="1" t="s">
        <v>77</v>
      </c>
      <c r="D1236" s="1" t="s">
        <v>84</v>
      </c>
      <c r="E1236" s="1" t="s">
        <v>22</v>
      </c>
      <c r="F1236" s="1" t="s">
        <v>22</v>
      </c>
      <c r="G1236" s="1" t="s">
        <v>22</v>
      </c>
      <c r="H1236" s="6">
        <v>0</v>
      </c>
      <c r="I1236" s="7">
        <v>0</v>
      </c>
      <c r="J1236" s="5">
        <v>45928</v>
      </c>
      <c r="K1236" s="1" t="s">
        <v>22</v>
      </c>
      <c r="L1236" s="8">
        <v>0</v>
      </c>
      <c r="M1236" s="6"/>
      <c r="N1236" s="6"/>
      <c r="O1236" s="9">
        <v>-1151.0999999999999</v>
      </c>
    </row>
    <row r="1237" spans="1:15" ht="19.5" customHeight="1">
      <c r="A1237" s="1" t="s">
        <v>454</v>
      </c>
      <c r="B1237" s="5">
        <v>45928</v>
      </c>
      <c r="C1237" s="1" t="s">
        <v>77</v>
      </c>
      <c r="D1237" s="1" t="s">
        <v>82</v>
      </c>
      <c r="E1237" s="1" t="s">
        <v>22</v>
      </c>
      <c r="F1237" s="1" t="s">
        <v>22</v>
      </c>
      <c r="G1237" s="1" t="s">
        <v>22</v>
      </c>
      <c r="H1237" s="6">
        <v>0</v>
      </c>
      <c r="I1237" s="7">
        <v>0</v>
      </c>
      <c r="J1237" s="5">
        <v>45928</v>
      </c>
      <c r="K1237" s="1" t="s">
        <v>22</v>
      </c>
      <c r="L1237" s="8">
        <v>0</v>
      </c>
      <c r="M1237" s="6"/>
      <c r="N1237" s="6"/>
      <c r="O1237" s="9">
        <v>-1565.61</v>
      </c>
    </row>
    <row r="1238" spans="1:15" ht="19.5" customHeight="1">
      <c r="A1238" s="1" t="s">
        <v>85</v>
      </c>
      <c r="B1238" s="5">
        <v>45928</v>
      </c>
      <c r="C1238" s="1" t="s">
        <v>77</v>
      </c>
      <c r="D1238" s="1" t="s">
        <v>82</v>
      </c>
      <c r="E1238" s="1" t="s">
        <v>22</v>
      </c>
      <c r="F1238" s="1" t="s">
        <v>22</v>
      </c>
      <c r="G1238" s="1" t="s">
        <v>22</v>
      </c>
      <c r="H1238" s="6">
        <v>0</v>
      </c>
      <c r="I1238" s="7">
        <v>0</v>
      </c>
      <c r="J1238" s="5">
        <v>45928</v>
      </c>
      <c r="K1238" s="1" t="s">
        <v>22</v>
      </c>
      <c r="L1238" s="8">
        <v>0</v>
      </c>
      <c r="M1238" s="6"/>
      <c r="N1238" s="6"/>
      <c r="O1238" s="9">
        <v>-828.87</v>
      </c>
    </row>
    <row r="1239" spans="1:15" ht="19.5" customHeight="1">
      <c r="A1239" s="1" t="s">
        <v>650</v>
      </c>
      <c r="B1239" s="5">
        <v>45929</v>
      </c>
      <c r="C1239" s="1" t="s">
        <v>28</v>
      </c>
      <c r="D1239" s="1" t="s">
        <v>356</v>
      </c>
      <c r="E1239" s="1" t="s">
        <v>227</v>
      </c>
      <c r="F1239" s="1" t="s">
        <v>402</v>
      </c>
      <c r="G1239" s="1" t="s">
        <v>21</v>
      </c>
      <c r="H1239" s="6">
        <v>1</v>
      </c>
      <c r="I1239" s="7">
        <v>0</v>
      </c>
      <c r="J1239" s="5">
        <v>45925</v>
      </c>
      <c r="K1239" s="1" t="s">
        <v>30</v>
      </c>
      <c r="L1239" s="8">
        <v>0</v>
      </c>
      <c r="M1239" s="6"/>
      <c r="N1239" s="6"/>
      <c r="O1239" s="9">
        <v>0</v>
      </c>
    </row>
    <row r="1240" spans="1:15" ht="19.5" customHeight="1">
      <c r="A1240" s="1" t="s">
        <v>650</v>
      </c>
      <c r="B1240" s="5">
        <v>45929</v>
      </c>
      <c r="C1240" s="1" t="s">
        <v>28</v>
      </c>
      <c r="D1240" s="1" t="s">
        <v>46</v>
      </c>
      <c r="E1240" s="1" t="s">
        <v>227</v>
      </c>
      <c r="F1240" s="1" t="s">
        <v>402</v>
      </c>
      <c r="G1240" s="1" t="s">
        <v>21</v>
      </c>
      <c r="H1240" s="6">
        <v>1</v>
      </c>
      <c r="I1240" s="7">
        <v>0</v>
      </c>
      <c r="J1240" s="5">
        <v>45925</v>
      </c>
      <c r="K1240" s="1" t="s">
        <v>30</v>
      </c>
      <c r="L1240" s="8">
        <v>0</v>
      </c>
      <c r="M1240" s="6"/>
      <c r="N1240" s="6"/>
      <c r="O1240" s="9">
        <v>-46</v>
      </c>
    </row>
    <row r="1241" spans="1:15" ht="19.5" customHeight="1">
      <c r="A1241" s="1" t="s">
        <v>650</v>
      </c>
      <c r="B1241" s="5">
        <v>45929</v>
      </c>
      <c r="C1241" s="1" t="s">
        <v>17</v>
      </c>
      <c r="D1241" s="1" t="s">
        <v>47</v>
      </c>
      <c r="E1241" s="1" t="s">
        <v>227</v>
      </c>
      <c r="F1241" s="1" t="s">
        <v>402</v>
      </c>
      <c r="G1241" s="1" t="s">
        <v>21</v>
      </c>
      <c r="H1241" s="6">
        <v>1</v>
      </c>
      <c r="I1241" s="7">
        <v>0</v>
      </c>
      <c r="J1241" s="5">
        <v>45925</v>
      </c>
      <c r="K1241" s="1" t="s">
        <v>30</v>
      </c>
      <c r="L1241" s="8">
        <v>0</v>
      </c>
      <c r="M1241" s="6"/>
      <c r="N1241" s="6"/>
      <c r="O1241" s="9">
        <v>-15</v>
      </c>
    </row>
    <row r="1242" spans="1:15" ht="19.5" customHeight="1">
      <c r="A1242" s="1" t="s">
        <v>651</v>
      </c>
      <c r="B1242" s="5">
        <v>45929</v>
      </c>
      <c r="C1242" s="1" t="s">
        <v>28</v>
      </c>
      <c r="D1242" s="1" t="s">
        <v>29</v>
      </c>
      <c r="E1242" s="1" t="s">
        <v>245</v>
      </c>
      <c r="F1242" s="1" t="s">
        <v>515</v>
      </c>
      <c r="G1242" s="1" t="s">
        <v>41</v>
      </c>
      <c r="H1242" s="6">
        <v>1</v>
      </c>
      <c r="I1242" s="7">
        <v>0</v>
      </c>
      <c r="J1242" s="5">
        <v>45921</v>
      </c>
      <c r="K1242" s="1" t="s">
        <v>30</v>
      </c>
      <c r="L1242" s="8">
        <v>0</v>
      </c>
      <c r="M1242" s="6"/>
      <c r="N1242" s="6"/>
      <c r="O1242" s="9">
        <v>-56</v>
      </c>
    </row>
    <row r="1243" spans="1:15" ht="19.5" customHeight="1">
      <c r="A1243" s="1" t="s">
        <v>651</v>
      </c>
      <c r="B1243" s="5">
        <v>45929</v>
      </c>
      <c r="C1243" s="1" t="s">
        <v>17</v>
      </c>
      <c r="D1243" s="1" t="s">
        <v>37</v>
      </c>
      <c r="E1243" s="1" t="s">
        <v>245</v>
      </c>
      <c r="F1243" s="1" t="s">
        <v>515</v>
      </c>
      <c r="G1243" s="1" t="s">
        <v>41</v>
      </c>
      <c r="H1243" s="6">
        <v>1</v>
      </c>
      <c r="I1243" s="7">
        <v>0</v>
      </c>
      <c r="J1243" s="5">
        <v>45921</v>
      </c>
      <c r="K1243" s="1" t="s">
        <v>30</v>
      </c>
      <c r="L1243" s="8">
        <v>0</v>
      </c>
      <c r="M1243" s="6"/>
      <c r="N1243" s="6"/>
      <c r="O1243" s="9">
        <v>-8.4</v>
      </c>
    </row>
    <row r="1244" spans="1:15" ht="19.5" customHeight="1">
      <c r="A1244" s="1" t="s">
        <v>651</v>
      </c>
      <c r="B1244" s="5">
        <v>45929</v>
      </c>
      <c r="C1244" s="1" t="s">
        <v>28</v>
      </c>
      <c r="D1244" s="1" t="s">
        <v>45</v>
      </c>
      <c r="E1244" s="1" t="s">
        <v>245</v>
      </c>
      <c r="F1244" s="1" t="s">
        <v>515</v>
      </c>
      <c r="G1244" s="1" t="s">
        <v>41</v>
      </c>
      <c r="H1244" s="6">
        <v>1</v>
      </c>
      <c r="I1244" s="7">
        <v>0</v>
      </c>
      <c r="J1244" s="5">
        <v>45921</v>
      </c>
      <c r="K1244" s="1" t="s">
        <v>30</v>
      </c>
      <c r="L1244" s="8">
        <v>0</v>
      </c>
      <c r="M1244" s="6"/>
      <c r="N1244" s="6"/>
      <c r="O1244" s="9">
        <v>0</v>
      </c>
    </row>
    <row r="1245" spans="1:15" ht="19.5" customHeight="1">
      <c r="A1245" s="1" t="s">
        <v>651</v>
      </c>
      <c r="B1245" s="5">
        <v>45929</v>
      </c>
      <c r="C1245" s="1" t="s">
        <v>28</v>
      </c>
      <c r="D1245" s="1" t="s">
        <v>46</v>
      </c>
      <c r="E1245" s="1" t="s">
        <v>245</v>
      </c>
      <c r="F1245" s="1" t="s">
        <v>515</v>
      </c>
      <c r="G1245" s="1" t="s">
        <v>41</v>
      </c>
      <c r="H1245" s="6">
        <v>1</v>
      </c>
      <c r="I1245" s="7">
        <v>0</v>
      </c>
      <c r="J1245" s="5">
        <v>45921</v>
      </c>
      <c r="K1245" s="1" t="s">
        <v>30</v>
      </c>
      <c r="L1245" s="8">
        <v>0</v>
      </c>
      <c r="M1245" s="6"/>
      <c r="N1245" s="6"/>
      <c r="O1245" s="9">
        <v>-56</v>
      </c>
    </row>
    <row r="1246" spans="1:15" ht="19.5" customHeight="1">
      <c r="A1246" s="1" t="s">
        <v>651</v>
      </c>
      <c r="B1246" s="5">
        <v>45929</v>
      </c>
      <c r="C1246" s="1" t="s">
        <v>17</v>
      </c>
      <c r="D1246" s="1" t="s">
        <v>47</v>
      </c>
      <c r="E1246" s="1" t="s">
        <v>245</v>
      </c>
      <c r="F1246" s="1" t="s">
        <v>515</v>
      </c>
      <c r="G1246" s="1" t="s">
        <v>41</v>
      </c>
      <c r="H1246" s="6">
        <v>1</v>
      </c>
      <c r="I1246" s="7">
        <v>0</v>
      </c>
      <c r="J1246" s="5">
        <v>45921</v>
      </c>
      <c r="K1246" s="1" t="s">
        <v>30</v>
      </c>
      <c r="L1246" s="8">
        <v>0</v>
      </c>
      <c r="M1246" s="6"/>
      <c r="N1246" s="6"/>
      <c r="O1246" s="9">
        <v>-15</v>
      </c>
    </row>
    <row r="1247" spans="1:15" ht="19.5" customHeight="1">
      <c r="A1247" s="1" t="s">
        <v>652</v>
      </c>
      <c r="B1247" s="5">
        <v>45929</v>
      </c>
      <c r="C1247" s="1" t="s">
        <v>28</v>
      </c>
      <c r="D1247" s="1" t="s">
        <v>29</v>
      </c>
      <c r="E1247" s="1" t="s">
        <v>25</v>
      </c>
      <c r="F1247" s="1" t="s">
        <v>26</v>
      </c>
      <c r="G1247" s="1" t="s">
        <v>21</v>
      </c>
      <c r="H1247" s="6">
        <v>1</v>
      </c>
      <c r="I1247" s="7">
        <v>0</v>
      </c>
      <c r="J1247" s="5">
        <v>45918</v>
      </c>
      <c r="K1247" s="1" t="s">
        <v>30</v>
      </c>
      <c r="L1247" s="8">
        <v>0</v>
      </c>
      <c r="M1247" s="6"/>
      <c r="N1247" s="6"/>
      <c r="O1247" s="9">
        <v>-46</v>
      </c>
    </row>
    <row r="1248" spans="1:15" ht="19.5" customHeight="1">
      <c r="A1248" s="1" t="s">
        <v>652</v>
      </c>
      <c r="B1248" s="5">
        <v>45929</v>
      </c>
      <c r="C1248" s="1" t="s">
        <v>17</v>
      </c>
      <c r="D1248" s="1" t="s">
        <v>37</v>
      </c>
      <c r="E1248" s="1" t="s">
        <v>25</v>
      </c>
      <c r="F1248" s="1" t="s">
        <v>26</v>
      </c>
      <c r="G1248" s="1" t="s">
        <v>21</v>
      </c>
      <c r="H1248" s="6">
        <v>1</v>
      </c>
      <c r="I1248" s="7">
        <v>0</v>
      </c>
      <c r="J1248" s="5">
        <v>45918</v>
      </c>
      <c r="K1248" s="1" t="s">
        <v>30</v>
      </c>
      <c r="L1248" s="8">
        <v>0</v>
      </c>
      <c r="M1248" s="6"/>
      <c r="N1248" s="6"/>
      <c r="O1248" s="9">
        <v>-4.28</v>
      </c>
    </row>
    <row r="1249" spans="1:15" ht="19.5" customHeight="1">
      <c r="A1249" s="1" t="s">
        <v>652</v>
      </c>
      <c r="B1249" s="5">
        <v>45929</v>
      </c>
      <c r="C1249" s="1" t="s">
        <v>28</v>
      </c>
      <c r="D1249" s="1" t="s">
        <v>45</v>
      </c>
      <c r="E1249" s="1" t="s">
        <v>25</v>
      </c>
      <c r="F1249" s="1" t="s">
        <v>26</v>
      </c>
      <c r="G1249" s="1" t="s">
        <v>21</v>
      </c>
      <c r="H1249" s="6">
        <v>1</v>
      </c>
      <c r="I1249" s="7">
        <v>0</v>
      </c>
      <c r="J1249" s="5">
        <v>45918</v>
      </c>
      <c r="K1249" s="1" t="s">
        <v>30</v>
      </c>
      <c r="L1249" s="8">
        <v>0</v>
      </c>
      <c r="M1249" s="6"/>
      <c r="N1249" s="6"/>
      <c r="O1249" s="9">
        <v>0</v>
      </c>
    </row>
    <row r="1250" spans="1:15" ht="19.5" customHeight="1">
      <c r="A1250" s="1" t="s">
        <v>652</v>
      </c>
      <c r="B1250" s="5">
        <v>45929</v>
      </c>
      <c r="C1250" s="1" t="s">
        <v>28</v>
      </c>
      <c r="D1250" s="1" t="s">
        <v>46</v>
      </c>
      <c r="E1250" s="1" t="s">
        <v>25</v>
      </c>
      <c r="F1250" s="1" t="s">
        <v>26</v>
      </c>
      <c r="G1250" s="1" t="s">
        <v>21</v>
      </c>
      <c r="H1250" s="6">
        <v>1</v>
      </c>
      <c r="I1250" s="7">
        <v>0</v>
      </c>
      <c r="J1250" s="5">
        <v>45918</v>
      </c>
      <c r="K1250" s="1" t="s">
        <v>30</v>
      </c>
      <c r="L1250" s="8">
        <v>0</v>
      </c>
      <c r="M1250" s="6"/>
      <c r="N1250" s="6"/>
      <c r="O1250" s="9">
        <v>-46</v>
      </c>
    </row>
    <row r="1251" spans="1:15" ht="19.5" customHeight="1">
      <c r="A1251" s="1" t="s">
        <v>653</v>
      </c>
      <c r="B1251" s="5">
        <v>45929</v>
      </c>
      <c r="C1251" s="1" t="s">
        <v>28</v>
      </c>
      <c r="D1251" s="1" t="s">
        <v>29</v>
      </c>
      <c r="E1251" s="1" t="s">
        <v>66</v>
      </c>
      <c r="F1251" s="1" t="s">
        <v>67</v>
      </c>
      <c r="G1251" s="1" t="s">
        <v>41</v>
      </c>
      <c r="H1251" s="6">
        <v>1</v>
      </c>
      <c r="I1251" s="7">
        <v>0</v>
      </c>
      <c r="J1251" s="5">
        <v>45922</v>
      </c>
      <c r="K1251" s="1" t="s">
        <v>30</v>
      </c>
      <c r="L1251" s="8">
        <v>0</v>
      </c>
      <c r="M1251" s="6"/>
      <c r="N1251" s="6"/>
      <c r="O1251" s="9">
        <v>-56</v>
      </c>
    </row>
    <row r="1252" spans="1:15" ht="19.5" customHeight="1">
      <c r="A1252" s="1" t="s">
        <v>653</v>
      </c>
      <c r="B1252" s="5">
        <v>45929</v>
      </c>
      <c r="C1252" s="1" t="s">
        <v>17</v>
      </c>
      <c r="D1252" s="1" t="s">
        <v>37</v>
      </c>
      <c r="E1252" s="1" t="s">
        <v>66</v>
      </c>
      <c r="F1252" s="1" t="s">
        <v>67</v>
      </c>
      <c r="G1252" s="1" t="s">
        <v>41</v>
      </c>
      <c r="H1252" s="6">
        <v>1</v>
      </c>
      <c r="I1252" s="7">
        <v>0</v>
      </c>
      <c r="J1252" s="5">
        <v>45922</v>
      </c>
      <c r="K1252" s="1" t="s">
        <v>30</v>
      </c>
      <c r="L1252" s="8">
        <v>0</v>
      </c>
      <c r="M1252" s="6"/>
      <c r="N1252" s="6"/>
      <c r="O1252" s="9">
        <v>-18.27</v>
      </c>
    </row>
    <row r="1253" spans="1:15" ht="19.5" customHeight="1">
      <c r="A1253" s="1" t="s">
        <v>653</v>
      </c>
      <c r="B1253" s="5">
        <v>45929</v>
      </c>
      <c r="C1253" s="1" t="s">
        <v>28</v>
      </c>
      <c r="D1253" s="1" t="s">
        <v>45</v>
      </c>
      <c r="E1253" s="1" t="s">
        <v>66</v>
      </c>
      <c r="F1253" s="1" t="s">
        <v>67</v>
      </c>
      <c r="G1253" s="1" t="s">
        <v>41</v>
      </c>
      <c r="H1253" s="6">
        <v>1</v>
      </c>
      <c r="I1253" s="7">
        <v>0</v>
      </c>
      <c r="J1253" s="5">
        <v>45922</v>
      </c>
      <c r="K1253" s="1" t="s">
        <v>30</v>
      </c>
      <c r="L1253" s="8">
        <v>0</v>
      </c>
      <c r="M1253" s="6"/>
      <c r="N1253" s="6"/>
      <c r="O1253" s="9">
        <v>0</v>
      </c>
    </row>
    <row r="1254" spans="1:15" ht="19.5" customHeight="1">
      <c r="A1254" s="1" t="s">
        <v>653</v>
      </c>
      <c r="B1254" s="5">
        <v>45929</v>
      </c>
      <c r="C1254" s="1" t="s">
        <v>28</v>
      </c>
      <c r="D1254" s="1" t="s">
        <v>46</v>
      </c>
      <c r="E1254" s="1" t="s">
        <v>66</v>
      </c>
      <c r="F1254" s="1" t="s">
        <v>67</v>
      </c>
      <c r="G1254" s="1" t="s">
        <v>41</v>
      </c>
      <c r="H1254" s="6">
        <v>1</v>
      </c>
      <c r="I1254" s="7">
        <v>0</v>
      </c>
      <c r="J1254" s="5">
        <v>45922</v>
      </c>
      <c r="K1254" s="1" t="s">
        <v>30</v>
      </c>
      <c r="L1254" s="8">
        <v>0</v>
      </c>
      <c r="M1254" s="6"/>
      <c r="N1254" s="6"/>
      <c r="O1254" s="9">
        <v>-56</v>
      </c>
    </row>
    <row r="1255" spans="1:15" ht="19.5" customHeight="1">
      <c r="A1255" s="1" t="s">
        <v>653</v>
      </c>
      <c r="B1255" s="5">
        <v>45929</v>
      </c>
      <c r="C1255" s="1" t="s">
        <v>17</v>
      </c>
      <c r="D1255" s="1" t="s">
        <v>47</v>
      </c>
      <c r="E1255" s="1" t="s">
        <v>66</v>
      </c>
      <c r="F1255" s="1" t="s">
        <v>67</v>
      </c>
      <c r="G1255" s="1" t="s">
        <v>41</v>
      </c>
      <c r="H1255" s="6">
        <v>1</v>
      </c>
      <c r="I1255" s="7">
        <v>0</v>
      </c>
      <c r="J1255" s="5">
        <v>45922</v>
      </c>
      <c r="K1255" s="1" t="s">
        <v>30</v>
      </c>
      <c r="L1255" s="8">
        <v>0</v>
      </c>
      <c r="M1255" s="6"/>
      <c r="N1255" s="6"/>
      <c r="O1255" s="9">
        <v>-15</v>
      </c>
    </row>
    <row r="1256" spans="1:15" ht="19.5" customHeight="1">
      <c r="A1256" s="1" t="s">
        <v>654</v>
      </c>
      <c r="B1256" s="5">
        <v>45929</v>
      </c>
      <c r="C1256" s="1" t="s">
        <v>28</v>
      </c>
      <c r="D1256" s="1" t="s">
        <v>29</v>
      </c>
      <c r="E1256" s="1" t="s">
        <v>66</v>
      </c>
      <c r="F1256" s="1" t="s">
        <v>67</v>
      </c>
      <c r="G1256" s="1" t="s">
        <v>41</v>
      </c>
      <c r="H1256" s="6">
        <v>1</v>
      </c>
      <c r="I1256" s="7">
        <v>3300</v>
      </c>
      <c r="J1256" s="5">
        <v>45926</v>
      </c>
      <c r="K1256" s="1" t="s">
        <v>30</v>
      </c>
      <c r="L1256" s="8">
        <v>0.24</v>
      </c>
      <c r="M1256" s="6"/>
      <c r="N1256" s="6"/>
      <c r="O1256" s="9">
        <v>-56</v>
      </c>
    </row>
    <row r="1257" spans="1:15" ht="19.5" customHeight="1">
      <c r="A1257" s="1" t="s">
        <v>654</v>
      </c>
      <c r="B1257" s="5">
        <v>45929</v>
      </c>
      <c r="C1257" s="1" t="s">
        <v>31</v>
      </c>
      <c r="D1257" s="1" t="s">
        <v>32</v>
      </c>
      <c r="E1257" s="1" t="s">
        <v>66</v>
      </c>
      <c r="F1257" s="1" t="s">
        <v>67</v>
      </c>
      <c r="G1257" s="1" t="s">
        <v>41</v>
      </c>
      <c r="H1257" s="6">
        <v>1</v>
      </c>
      <c r="I1257" s="7">
        <v>3300</v>
      </c>
      <c r="J1257" s="5">
        <v>45926</v>
      </c>
      <c r="K1257" s="1" t="s">
        <v>30</v>
      </c>
      <c r="L1257" s="8">
        <v>0</v>
      </c>
      <c r="M1257" s="6"/>
      <c r="N1257" s="6"/>
      <c r="O1257" s="9">
        <v>2063.81</v>
      </c>
    </row>
    <row r="1258" spans="1:15" ht="19.5" customHeight="1">
      <c r="A1258" s="1" t="s">
        <v>654</v>
      </c>
      <c r="B1258" s="5">
        <v>45929</v>
      </c>
      <c r="C1258" s="1" t="s">
        <v>31</v>
      </c>
      <c r="D1258" s="1" t="s">
        <v>33</v>
      </c>
      <c r="E1258" s="1" t="s">
        <v>66</v>
      </c>
      <c r="F1258" s="1" t="s">
        <v>67</v>
      </c>
      <c r="G1258" s="1" t="s">
        <v>41</v>
      </c>
      <c r="H1258" s="6">
        <v>1</v>
      </c>
      <c r="I1258" s="7">
        <v>3300</v>
      </c>
      <c r="J1258" s="5">
        <v>45926</v>
      </c>
      <c r="K1258" s="1" t="s">
        <v>30</v>
      </c>
      <c r="L1258" s="8">
        <v>0</v>
      </c>
      <c r="M1258" s="6"/>
      <c r="N1258" s="6"/>
      <c r="O1258" s="9">
        <v>15.17</v>
      </c>
    </row>
    <row r="1259" spans="1:15" ht="19.5" customHeight="1">
      <c r="A1259" s="1" t="s">
        <v>654</v>
      </c>
      <c r="B1259" s="5">
        <v>45929</v>
      </c>
      <c r="C1259" s="1" t="s">
        <v>31</v>
      </c>
      <c r="D1259" s="1" t="s">
        <v>34</v>
      </c>
      <c r="E1259" s="1" t="s">
        <v>66</v>
      </c>
      <c r="F1259" s="1" t="s">
        <v>67</v>
      </c>
      <c r="G1259" s="1" t="s">
        <v>41</v>
      </c>
      <c r="H1259" s="6">
        <v>1</v>
      </c>
      <c r="I1259" s="7">
        <v>3300</v>
      </c>
      <c r="J1259" s="5">
        <v>45926</v>
      </c>
      <c r="K1259" s="1" t="s">
        <v>30</v>
      </c>
      <c r="L1259" s="8">
        <v>0</v>
      </c>
      <c r="M1259" s="6"/>
      <c r="N1259" s="6"/>
      <c r="O1259" s="9">
        <v>1221.02</v>
      </c>
    </row>
    <row r="1260" spans="1:15" ht="19.5" customHeight="1">
      <c r="A1260" s="1" t="s">
        <v>654</v>
      </c>
      <c r="B1260" s="5">
        <v>45929</v>
      </c>
      <c r="C1260" s="1" t="s">
        <v>35</v>
      </c>
      <c r="D1260" s="1" t="s">
        <v>36</v>
      </c>
      <c r="E1260" s="1" t="s">
        <v>66</v>
      </c>
      <c r="F1260" s="1" t="s">
        <v>67</v>
      </c>
      <c r="G1260" s="1" t="s">
        <v>41</v>
      </c>
      <c r="H1260" s="6">
        <v>1</v>
      </c>
      <c r="I1260" s="7">
        <v>3300</v>
      </c>
      <c r="J1260" s="5">
        <v>45926</v>
      </c>
      <c r="K1260" s="1" t="s">
        <v>30</v>
      </c>
      <c r="L1260" s="8">
        <v>0.24</v>
      </c>
      <c r="M1260" s="6"/>
      <c r="N1260" s="6"/>
      <c r="O1260" s="9">
        <v>-792</v>
      </c>
    </row>
    <row r="1261" spans="1:15" ht="19.5" customHeight="1">
      <c r="A1261" s="1" t="s">
        <v>654</v>
      </c>
      <c r="B1261" s="5">
        <v>45929</v>
      </c>
      <c r="C1261" s="1" t="s">
        <v>17</v>
      </c>
      <c r="D1261" s="1" t="s">
        <v>37</v>
      </c>
      <c r="E1261" s="1" t="s">
        <v>66</v>
      </c>
      <c r="F1261" s="1" t="s">
        <v>67</v>
      </c>
      <c r="G1261" s="1" t="s">
        <v>41</v>
      </c>
      <c r="H1261" s="6">
        <v>1</v>
      </c>
      <c r="I1261" s="7">
        <v>3300</v>
      </c>
      <c r="J1261" s="5">
        <v>45926</v>
      </c>
      <c r="K1261" s="1" t="s">
        <v>30</v>
      </c>
      <c r="L1261" s="8">
        <v>0.24</v>
      </c>
      <c r="M1261" s="6"/>
      <c r="N1261" s="6"/>
      <c r="O1261" s="9">
        <v>-17.059999999999999</v>
      </c>
    </row>
    <row r="1262" spans="1:15" ht="19.5" customHeight="1">
      <c r="A1262" s="1" t="s">
        <v>654</v>
      </c>
      <c r="B1262" s="5">
        <v>45929</v>
      </c>
      <c r="C1262" s="1" t="s">
        <v>17</v>
      </c>
      <c r="D1262" s="1" t="s">
        <v>18</v>
      </c>
      <c r="E1262" s="1" t="s">
        <v>66</v>
      </c>
      <c r="F1262" s="1" t="s">
        <v>67</v>
      </c>
      <c r="G1262" s="1" t="s">
        <v>41</v>
      </c>
      <c r="H1262" s="6">
        <v>1</v>
      </c>
      <c r="I1262" s="7">
        <v>0</v>
      </c>
      <c r="J1262" s="5">
        <v>45926</v>
      </c>
      <c r="K1262" s="1" t="s">
        <v>22</v>
      </c>
      <c r="L1262" s="8">
        <v>0</v>
      </c>
      <c r="M1262" s="6"/>
      <c r="N1262" s="6"/>
      <c r="O1262" s="9">
        <v>-39.21</v>
      </c>
    </row>
    <row r="1263" spans="1:15" ht="19.5" customHeight="1">
      <c r="A1263" s="1" t="s">
        <v>655</v>
      </c>
      <c r="B1263" s="5">
        <v>45929</v>
      </c>
      <c r="C1263" s="1" t="s">
        <v>28</v>
      </c>
      <c r="D1263" s="1" t="s">
        <v>29</v>
      </c>
      <c r="E1263" s="1" t="s">
        <v>171</v>
      </c>
      <c r="F1263" s="1" t="s">
        <v>172</v>
      </c>
      <c r="G1263" s="1" t="s">
        <v>41</v>
      </c>
      <c r="H1263" s="6">
        <v>1</v>
      </c>
      <c r="I1263" s="7">
        <v>3400</v>
      </c>
      <c r="J1263" s="5">
        <v>45928</v>
      </c>
      <c r="K1263" s="1" t="s">
        <v>30</v>
      </c>
      <c r="L1263" s="8">
        <v>0.24</v>
      </c>
      <c r="M1263" s="6"/>
      <c r="N1263" s="6"/>
      <c r="O1263" s="9">
        <v>-56</v>
      </c>
    </row>
    <row r="1264" spans="1:15" ht="19.5" customHeight="1">
      <c r="A1264" s="1" t="s">
        <v>655</v>
      </c>
      <c r="B1264" s="5">
        <v>45929</v>
      </c>
      <c r="C1264" s="1" t="s">
        <v>31</v>
      </c>
      <c r="D1264" s="1" t="s">
        <v>32</v>
      </c>
      <c r="E1264" s="1" t="s">
        <v>171</v>
      </c>
      <c r="F1264" s="1" t="s">
        <v>172</v>
      </c>
      <c r="G1264" s="1" t="s">
        <v>41</v>
      </c>
      <c r="H1264" s="6">
        <v>1</v>
      </c>
      <c r="I1264" s="7">
        <v>3400</v>
      </c>
      <c r="J1264" s="5">
        <v>45928</v>
      </c>
      <c r="K1264" s="1" t="s">
        <v>30</v>
      </c>
      <c r="L1264" s="8">
        <v>0</v>
      </c>
      <c r="M1264" s="6"/>
      <c r="N1264" s="6"/>
      <c r="O1264" s="9">
        <v>2258</v>
      </c>
    </row>
    <row r="1265" spans="1:15" ht="19.5" customHeight="1">
      <c r="A1265" s="1" t="s">
        <v>655</v>
      </c>
      <c r="B1265" s="5">
        <v>45929</v>
      </c>
      <c r="C1265" s="1" t="s">
        <v>31</v>
      </c>
      <c r="D1265" s="1" t="s">
        <v>33</v>
      </c>
      <c r="E1265" s="1" t="s">
        <v>171</v>
      </c>
      <c r="F1265" s="1" t="s">
        <v>172</v>
      </c>
      <c r="G1265" s="1" t="s">
        <v>41</v>
      </c>
      <c r="H1265" s="6">
        <v>1</v>
      </c>
      <c r="I1265" s="7">
        <v>3400</v>
      </c>
      <c r="J1265" s="5">
        <v>45928</v>
      </c>
      <c r="K1265" s="1" t="s">
        <v>30</v>
      </c>
      <c r="L1265" s="8">
        <v>0</v>
      </c>
      <c r="M1265" s="6"/>
      <c r="N1265" s="6"/>
      <c r="O1265" s="9">
        <v>0</v>
      </c>
    </row>
    <row r="1266" spans="1:15" ht="19.5" customHeight="1">
      <c r="A1266" s="1" t="s">
        <v>655</v>
      </c>
      <c r="B1266" s="5">
        <v>45929</v>
      </c>
      <c r="C1266" s="1" t="s">
        <v>31</v>
      </c>
      <c r="D1266" s="1" t="s">
        <v>34</v>
      </c>
      <c r="E1266" s="1" t="s">
        <v>171</v>
      </c>
      <c r="F1266" s="1" t="s">
        <v>172</v>
      </c>
      <c r="G1266" s="1" t="s">
        <v>41</v>
      </c>
      <c r="H1266" s="6">
        <v>1</v>
      </c>
      <c r="I1266" s="7">
        <v>3400</v>
      </c>
      <c r="J1266" s="5">
        <v>45928</v>
      </c>
      <c r="K1266" s="1" t="s">
        <v>30</v>
      </c>
      <c r="L1266" s="8">
        <v>0</v>
      </c>
      <c r="M1266" s="6"/>
      <c r="N1266" s="6"/>
      <c r="O1266" s="9">
        <v>1142</v>
      </c>
    </row>
    <row r="1267" spans="1:15" ht="19.5" customHeight="1">
      <c r="A1267" s="1" t="s">
        <v>655</v>
      </c>
      <c r="B1267" s="5">
        <v>45929</v>
      </c>
      <c r="C1267" s="1" t="s">
        <v>35</v>
      </c>
      <c r="D1267" s="1" t="s">
        <v>36</v>
      </c>
      <c r="E1267" s="1" t="s">
        <v>171</v>
      </c>
      <c r="F1267" s="1" t="s">
        <v>172</v>
      </c>
      <c r="G1267" s="1" t="s">
        <v>41</v>
      </c>
      <c r="H1267" s="6">
        <v>1</v>
      </c>
      <c r="I1267" s="7">
        <v>3400</v>
      </c>
      <c r="J1267" s="5">
        <v>45928</v>
      </c>
      <c r="K1267" s="1" t="s">
        <v>30</v>
      </c>
      <c r="L1267" s="8">
        <v>0.24</v>
      </c>
      <c r="M1267" s="6"/>
      <c r="N1267" s="6"/>
      <c r="O1267" s="9">
        <v>-816</v>
      </c>
    </row>
    <row r="1268" spans="1:15" ht="19.5" customHeight="1">
      <c r="A1268" s="1" t="s">
        <v>656</v>
      </c>
      <c r="B1268" s="5">
        <v>45929</v>
      </c>
      <c r="C1268" s="1" t="s">
        <v>28</v>
      </c>
      <c r="D1268" s="1" t="s">
        <v>29</v>
      </c>
      <c r="E1268" s="1" t="s">
        <v>54</v>
      </c>
      <c r="F1268" s="1" t="s">
        <v>55</v>
      </c>
      <c r="G1268" s="1" t="s">
        <v>21</v>
      </c>
      <c r="H1268" s="6">
        <v>1</v>
      </c>
      <c r="I1268" s="7">
        <v>0</v>
      </c>
      <c r="J1268" s="5">
        <v>45924</v>
      </c>
      <c r="K1268" s="1" t="s">
        <v>30</v>
      </c>
      <c r="L1268" s="8">
        <v>0</v>
      </c>
      <c r="M1268" s="6"/>
      <c r="N1268" s="6"/>
      <c r="O1268" s="9">
        <v>-46</v>
      </c>
    </row>
    <row r="1269" spans="1:15" ht="19.5" customHeight="1">
      <c r="A1269" s="1" t="s">
        <v>656</v>
      </c>
      <c r="B1269" s="5">
        <v>45929</v>
      </c>
      <c r="C1269" s="1" t="s">
        <v>17</v>
      </c>
      <c r="D1269" s="1" t="s">
        <v>37</v>
      </c>
      <c r="E1269" s="1" t="s">
        <v>54</v>
      </c>
      <c r="F1269" s="1" t="s">
        <v>55</v>
      </c>
      <c r="G1269" s="1" t="s">
        <v>21</v>
      </c>
      <c r="H1269" s="6">
        <v>1</v>
      </c>
      <c r="I1269" s="7">
        <v>0</v>
      </c>
      <c r="J1269" s="5">
        <v>45924</v>
      </c>
      <c r="K1269" s="1" t="s">
        <v>30</v>
      </c>
      <c r="L1269" s="8">
        <v>0</v>
      </c>
      <c r="M1269" s="6"/>
      <c r="N1269" s="6"/>
      <c r="O1269" s="9">
        <v>-6.67</v>
      </c>
    </row>
    <row r="1270" spans="1:15" ht="19.5" customHeight="1">
      <c r="A1270" s="1" t="s">
        <v>656</v>
      </c>
      <c r="B1270" s="5">
        <v>45929</v>
      </c>
      <c r="C1270" s="1" t="s">
        <v>28</v>
      </c>
      <c r="D1270" s="1" t="s">
        <v>356</v>
      </c>
      <c r="E1270" s="1" t="s">
        <v>54</v>
      </c>
      <c r="F1270" s="1" t="s">
        <v>55</v>
      </c>
      <c r="G1270" s="1" t="s">
        <v>21</v>
      </c>
      <c r="H1270" s="6">
        <v>1</v>
      </c>
      <c r="I1270" s="7">
        <v>0</v>
      </c>
      <c r="J1270" s="5">
        <v>45924</v>
      </c>
      <c r="K1270" s="1" t="s">
        <v>30</v>
      </c>
      <c r="L1270" s="8">
        <v>0</v>
      </c>
      <c r="M1270" s="6"/>
      <c r="N1270" s="6"/>
      <c r="O1270" s="9">
        <v>0</v>
      </c>
    </row>
    <row r="1271" spans="1:15" ht="19.5" customHeight="1">
      <c r="A1271" s="1" t="s">
        <v>656</v>
      </c>
      <c r="B1271" s="5">
        <v>45929</v>
      </c>
      <c r="C1271" s="1" t="s">
        <v>28</v>
      </c>
      <c r="D1271" s="1" t="s">
        <v>46</v>
      </c>
      <c r="E1271" s="1" t="s">
        <v>54</v>
      </c>
      <c r="F1271" s="1" t="s">
        <v>55</v>
      </c>
      <c r="G1271" s="1" t="s">
        <v>21</v>
      </c>
      <c r="H1271" s="6">
        <v>1</v>
      </c>
      <c r="I1271" s="7">
        <v>0</v>
      </c>
      <c r="J1271" s="5">
        <v>45924</v>
      </c>
      <c r="K1271" s="1" t="s">
        <v>30</v>
      </c>
      <c r="L1271" s="8">
        <v>0</v>
      </c>
      <c r="M1271" s="6"/>
      <c r="N1271" s="6"/>
      <c r="O1271" s="9">
        <v>-46</v>
      </c>
    </row>
    <row r="1272" spans="1:15" ht="19.5" customHeight="1">
      <c r="A1272" s="1" t="s">
        <v>656</v>
      </c>
      <c r="B1272" s="5">
        <v>45929</v>
      </c>
      <c r="C1272" s="1" t="s">
        <v>17</v>
      </c>
      <c r="D1272" s="1" t="s">
        <v>47</v>
      </c>
      <c r="E1272" s="1" t="s">
        <v>54</v>
      </c>
      <c r="F1272" s="1" t="s">
        <v>55</v>
      </c>
      <c r="G1272" s="1" t="s">
        <v>21</v>
      </c>
      <c r="H1272" s="6">
        <v>1</v>
      </c>
      <c r="I1272" s="7">
        <v>0</v>
      </c>
      <c r="J1272" s="5">
        <v>45924</v>
      </c>
      <c r="K1272" s="1" t="s">
        <v>30</v>
      </c>
      <c r="L1272" s="8">
        <v>0</v>
      </c>
      <c r="M1272" s="6"/>
      <c r="N1272" s="6"/>
      <c r="O1272" s="9">
        <v>-15</v>
      </c>
    </row>
    <row r="1273" spans="1:15" ht="19.5" customHeight="1">
      <c r="A1273" s="1" t="s">
        <v>657</v>
      </c>
      <c r="B1273" s="5">
        <v>45929</v>
      </c>
      <c r="C1273" s="1" t="s">
        <v>28</v>
      </c>
      <c r="D1273" s="1" t="s">
        <v>29</v>
      </c>
      <c r="E1273" s="1" t="s">
        <v>235</v>
      </c>
      <c r="F1273" s="1" t="s">
        <v>528</v>
      </c>
      <c r="G1273" s="1" t="s">
        <v>41</v>
      </c>
      <c r="H1273" s="6">
        <v>1</v>
      </c>
      <c r="I1273" s="7">
        <v>0</v>
      </c>
      <c r="J1273" s="5">
        <v>45923</v>
      </c>
      <c r="K1273" s="1" t="s">
        <v>30</v>
      </c>
      <c r="L1273" s="8">
        <v>0</v>
      </c>
      <c r="M1273" s="6"/>
      <c r="N1273" s="6"/>
      <c r="O1273" s="9">
        <v>-56</v>
      </c>
    </row>
    <row r="1274" spans="1:15" ht="19.5" customHeight="1">
      <c r="A1274" s="1" t="s">
        <v>657</v>
      </c>
      <c r="B1274" s="5">
        <v>45929</v>
      </c>
      <c r="C1274" s="1" t="s">
        <v>17</v>
      </c>
      <c r="D1274" s="1" t="s">
        <v>37</v>
      </c>
      <c r="E1274" s="1" t="s">
        <v>235</v>
      </c>
      <c r="F1274" s="1" t="s">
        <v>528</v>
      </c>
      <c r="G1274" s="1" t="s">
        <v>41</v>
      </c>
      <c r="H1274" s="6">
        <v>1</v>
      </c>
      <c r="I1274" s="7">
        <v>0</v>
      </c>
      <c r="J1274" s="5">
        <v>45923</v>
      </c>
      <c r="K1274" s="1" t="s">
        <v>30</v>
      </c>
      <c r="L1274" s="8">
        <v>0</v>
      </c>
      <c r="M1274" s="6"/>
      <c r="N1274" s="6"/>
      <c r="O1274" s="9">
        <v>-10.77</v>
      </c>
    </row>
    <row r="1275" spans="1:15" ht="19.5" customHeight="1">
      <c r="A1275" s="1" t="s">
        <v>658</v>
      </c>
      <c r="B1275" s="5">
        <v>45929</v>
      </c>
      <c r="C1275" s="1" t="s">
        <v>28</v>
      </c>
      <c r="D1275" s="1" t="s">
        <v>29</v>
      </c>
      <c r="E1275" s="1" t="s">
        <v>227</v>
      </c>
      <c r="F1275" s="1" t="s">
        <v>402</v>
      </c>
      <c r="G1275" s="1" t="s">
        <v>21</v>
      </c>
      <c r="H1275" s="6">
        <v>1</v>
      </c>
      <c r="I1275" s="7">
        <v>1380</v>
      </c>
      <c r="J1275" s="5">
        <v>45918</v>
      </c>
      <c r="K1275" s="1" t="s">
        <v>30</v>
      </c>
      <c r="L1275" s="8">
        <v>0.2</v>
      </c>
      <c r="M1275" s="6"/>
      <c r="N1275" s="6"/>
      <c r="O1275" s="9">
        <v>-46</v>
      </c>
    </row>
    <row r="1276" spans="1:15" ht="19.5" customHeight="1">
      <c r="A1276" s="1" t="s">
        <v>658</v>
      </c>
      <c r="B1276" s="5">
        <v>45929</v>
      </c>
      <c r="C1276" s="1" t="s">
        <v>31</v>
      </c>
      <c r="D1276" s="1" t="s">
        <v>32</v>
      </c>
      <c r="E1276" s="1" t="s">
        <v>227</v>
      </c>
      <c r="F1276" s="1" t="s">
        <v>402</v>
      </c>
      <c r="G1276" s="1" t="s">
        <v>21</v>
      </c>
      <c r="H1276" s="6">
        <v>1</v>
      </c>
      <c r="I1276" s="7">
        <v>1380</v>
      </c>
      <c r="J1276" s="5">
        <v>45918</v>
      </c>
      <c r="K1276" s="1" t="s">
        <v>30</v>
      </c>
      <c r="L1276" s="8">
        <v>0</v>
      </c>
      <c r="M1276" s="6"/>
      <c r="N1276" s="6"/>
      <c r="O1276" s="9">
        <v>869.65</v>
      </c>
    </row>
    <row r="1277" spans="1:15" ht="19.5" customHeight="1">
      <c r="A1277" s="1" t="s">
        <v>658</v>
      </c>
      <c r="B1277" s="5">
        <v>45929</v>
      </c>
      <c r="C1277" s="1" t="s">
        <v>31</v>
      </c>
      <c r="D1277" s="1" t="s">
        <v>33</v>
      </c>
      <c r="E1277" s="1" t="s">
        <v>227</v>
      </c>
      <c r="F1277" s="1" t="s">
        <v>402</v>
      </c>
      <c r="G1277" s="1" t="s">
        <v>21</v>
      </c>
      <c r="H1277" s="6">
        <v>1</v>
      </c>
      <c r="I1277" s="7">
        <v>1380</v>
      </c>
      <c r="J1277" s="5">
        <v>45918</v>
      </c>
      <c r="K1277" s="1" t="s">
        <v>30</v>
      </c>
      <c r="L1277" s="8">
        <v>0</v>
      </c>
      <c r="M1277" s="6"/>
      <c r="N1277" s="6"/>
      <c r="O1277" s="9">
        <v>6.39</v>
      </c>
    </row>
    <row r="1278" spans="1:15" ht="19.5" customHeight="1">
      <c r="A1278" s="1" t="s">
        <v>658</v>
      </c>
      <c r="B1278" s="5">
        <v>45929</v>
      </c>
      <c r="C1278" s="1" t="s">
        <v>31</v>
      </c>
      <c r="D1278" s="1" t="s">
        <v>34</v>
      </c>
      <c r="E1278" s="1" t="s">
        <v>227</v>
      </c>
      <c r="F1278" s="1" t="s">
        <v>402</v>
      </c>
      <c r="G1278" s="1" t="s">
        <v>21</v>
      </c>
      <c r="H1278" s="6">
        <v>1</v>
      </c>
      <c r="I1278" s="7">
        <v>1380</v>
      </c>
      <c r="J1278" s="5">
        <v>45918</v>
      </c>
      <c r="K1278" s="1" t="s">
        <v>30</v>
      </c>
      <c r="L1278" s="8">
        <v>0</v>
      </c>
      <c r="M1278" s="6"/>
      <c r="N1278" s="6"/>
      <c r="O1278" s="9">
        <v>503.96</v>
      </c>
    </row>
    <row r="1279" spans="1:15" ht="19.5" customHeight="1">
      <c r="A1279" s="1" t="s">
        <v>658</v>
      </c>
      <c r="B1279" s="5">
        <v>45929</v>
      </c>
      <c r="C1279" s="1" t="s">
        <v>35</v>
      </c>
      <c r="D1279" s="1" t="s">
        <v>36</v>
      </c>
      <c r="E1279" s="1" t="s">
        <v>227</v>
      </c>
      <c r="F1279" s="1" t="s">
        <v>402</v>
      </c>
      <c r="G1279" s="1" t="s">
        <v>21</v>
      </c>
      <c r="H1279" s="6">
        <v>1</v>
      </c>
      <c r="I1279" s="7">
        <v>1380</v>
      </c>
      <c r="J1279" s="5">
        <v>45918</v>
      </c>
      <c r="K1279" s="1" t="s">
        <v>30</v>
      </c>
      <c r="L1279" s="8">
        <v>0.2</v>
      </c>
      <c r="M1279" s="6"/>
      <c r="N1279" s="6"/>
      <c r="O1279" s="9">
        <v>-276</v>
      </c>
    </row>
    <row r="1280" spans="1:15" ht="19.5" customHeight="1">
      <c r="A1280" s="1" t="s">
        <v>658</v>
      </c>
      <c r="B1280" s="5">
        <v>45929</v>
      </c>
      <c r="C1280" s="1" t="s">
        <v>17</v>
      </c>
      <c r="D1280" s="1" t="s">
        <v>37</v>
      </c>
      <c r="E1280" s="1" t="s">
        <v>227</v>
      </c>
      <c r="F1280" s="1" t="s">
        <v>402</v>
      </c>
      <c r="G1280" s="1" t="s">
        <v>21</v>
      </c>
      <c r="H1280" s="6">
        <v>1</v>
      </c>
      <c r="I1280" s="7">
        <v>1380</v>
      </c>
      <c r="J1280" s="5">
        <v>45918</v>
      </c>
      <c r="K1280" s="1" t="s">
        <v>30</v>
      </c>
      <c r="L1280" s="8">
        <v>0.2</v>
      </c>
      <c r="M1280" s="6"/>
      <c r="N1280" s="6"/>
      <c r="O1280" s="9">
        <v>-25</v>
      </c>
    </row>
    <row r="1281" spans="1:15" ht="19.5" customHeight="1">
      <c r="A1281" s="1" t="s">
        <v>657</v>
      </c>
      <c r="B1281" s="5">
        <v>45929</v>
      </c>
      <c r="C1281" s="1" t="s">
        <v>28</v>
      </c>
      <c r="D1281" s="1" t="s">
        <v>45</v>
      </c>
      <c r="E1281" s="1" t="s">
        <v>235</v>
      </c>
      <c r="F1281" s="1" t="s">
        <v>528</v>
      </c>
      <c r="G1281" s="1" t="s">
        <v>41</v>
      </c>
      <c r="H1281" s="6">
        <v>1</v>
      </c>
      <c r="I1281" s="7">
        <v>0</v>
      </c>
      <c r="J1281" s="5">
        <v>45923</v>
      </c>
      <c r="K1281" s="1" t="s">
        <v>30</v>
      </c>
      <c r="L1281" s="8">
        <v>0</v>
      </c>
      <c r="M1281" s="6"/>
      <c r="N1281" s="6"/>
      <c r="O1281" s="9">
        <v>0</v>
      </c>
    </row>
    <row r="1282" spans="1:15" ht="19.5" customHeight="1">
      <c r="A1282" s="1" t="s">
        <v>657</v>
      </c>
      <c r="B1282" s="5">
        <v>45929</v>
      </c>
      <c r="C1282" s="1" t="s">
        <v>28</v>
      </c>
      <c r="D1282" s="1" t="s">
        <v>46</v>
      </c>
      <c r="E1282" s="1" t="s">
        <v>235</v>
      </c>
      <c r="F1282" s="1" t="s">
        <v>528</v>
      </c>
      <c r="G1282" s="1" t="s">
        <v>41</v>
      </c>
      <c r="H1282" s="6">
        <v>1</v>
      </c>
      <c r="I1282" s="7">
        <v>0</v>
      </c>
      <c r="J1282" s="5">
        <v>45923</v>
      </c>
      <c r="K1282" s="1" t="s">
        <v>30</v>
      </c>
      <c r="L1282" s="8">
        <v>0</v>
      </c>
      <c r="M1282" s="6"/>
      <c r="N1282" s="6"/>
      <c r="O1282" s="9">
        <v>-56</v>
      </c>
    </row>
    <row r="1283" spans="1:15" ht="19.5" customHeight="1">
      <c r="A1283" s="1" t="s">
        <v>657</v>
      </c>
      <c r="B1283" s="5">
        <v>45929</v>
      </c>
      <c r="C1283" s="1" t="s">
        <v>17</v>
      </c>
      <c r="D1283" s="1" t="s">
        <v>47</v>
      </c>
      <c r="E1283" s="1" t="s">
        <v>235</v>
      </c>
      <c r="F1283" s="1" t="s">
        <v>528</v>
      </c>
      <c r="G1283" s="1" t="s">
        <v>41</v>
      </c>
      <c r="H1283" s="6">
        <v>1</v>
      </c>
      <c r="I1283" s="7">
        <v>0</v>
      </c>
      <c r="J1283" s="5">
        <v>45923</v>
      </c>
      <c r="K1283" s="1" t="s">
        <v>30</v>
      </c>
      <c r="L1283" s="8">
        <v>0</v>
      </c>
      <c r="M1283" s="6"/>
      <c r="N1283" s="6"/>
      <c r="O1283" s="9">
        <v>-15</v>
      </c>
    </row>
    <row r="1284" spans="1:15" ht="19.5" customHeight="1">
      <c r="A1284" s="1" t="s">
        <v>659</v>
      </c>
      <c r="B1284" s="5">
        <v>45929</v>
      </c>
      <c r="C1284" s="1" t="s">
        <v>28</v>
      </c>
      <c r="D1284" s="1" t="s">
        <v>29</v>
      </c>
      <c r="E1284" s="1" t="s">
        <v>25</v>
      </c>
      <c r="F1284" s="1" t="s">
        <v>26</v>
      </c>
      <c r="G1284" s="1" t="s">
        <v>21</v>
      </c>
      <c r="H1284" s="6">
        <v>1</v>
      </c>
      <c r="I1284" s="7">
        <v>0</v>
      </c>
      <c r="J1284" s="5">
        <v>45923</v>
      </c>
      <c r="K1284" s="1" t="s">
        <v>30</v>
      </c>
      <c r="L1284" s="8">
        <v>0</v>
      </c>
      <c r="M1284" s="6"/>
      <c r="N1284" s="6"/>
      <c r="O1284" s="9">
        <v>-46</v>
      </c>
    </row>
    <row r="1285" spans="1:15" ht="19.5" customHeight="1">
      <c r="A1285" s="1" t="s">
        <v>659</v>
      </c>
      <c r="B1285" s="5">
        <v>45929</v>
      </c>
      <c r="C1285" s="1" t="s">
        <v>17</v>
      </c>
      <c r="D1285" s="1" t="s">
        <v>37</v>
      </c>
      <c r="E1285" s="1" t="s">
        <v>25</v>
      </c>
      <c r="F1285" s="1" t="s">
        <v>26</v>
      </c>
      <c r="G1285" s="1" t="s">
        <v>21</v>
      </c>
      <c r="H1285" s="6">
        <v>1</v>
      </c>
      <c r="I1285" s="7">
        <v>0</v>
      </c>
      <c r="J1285" s="5">
        <v>45923</v>
      </c>
      <c r="K1285" s="1" t="s">
        <v>30</v>
      </c>
      <c r="L1285" s="8">
        <v>0</v>
      </c>
      <c r="M1285" s="6"/>
      <c r="N1285" s="6"/>
      <c r="O1285" s="9">
        <v>-10.91</v>
      </c>
    </row>
    <row r="1286" spans="1:15" ht="19.5" customHeight="1">
      <c r="A1286" s="1" t="s">
        <v>659</v>
      </c>
      <c r="B1286" s="5">
        <v>45929</v>
      </c>
      <c r="C1286" s="1" t="s">
        <v>28</v>
      </c>
      <c r="D1286" s="1" t="s">
        <v>356</v>
      </c>
      <c r="E1286" s="1" t="s">
        <v>25</v>
      </c>
      <c r="F1286" s="1" t="s">
        <v>26</v>
      </c>
      <c r="G1286" s="1" t="s">
        <v>21</v>
      </c>
      <c r="H1286" s="6">
        <v>1</v>
      </c>
      <c r="I1286" s="7">
        <v>0</v>
      </c>
      <c r="J1286" s="5">
        <v>45923</v>
      </c>
      <c r="K1286" s="1" t="s">
        <v>30</v>
      </c>
      <c r="L1286" s="8">
        <v>0</v>
      </c>
      <c r="M1286" s="6"/>
      <c r="N1286" s="6"/>
      <c r="O1286" s="9">
        <v>0</v>
      </c>
    </row>
    <row r="1287" spans="1:15" ht="19.5" customHeight="1">
      <c r="A1287" s="1" t="s">
        <v>659</v>
      </c>
      <c r="B1287" s="5">
        <v>45929</v>
      </c>
      <c r="C1287" s="1" t="s">
        <v>28</v>
      </c>
      <c r="D1287" s="1" t="s">
        <v>46</v>
      </c>
      <c r="E1287" s="1" t="s">
        <v>25</v>
      </c>
      <c r="F1287" s="1" t="s">
        <v>26</v>
      </c>
      <c r="G1287" s="1" t="s">
        <v>21</v>
      </c>
      <c r="H1287" s="6">
        <v>1</v>
      </c>
      <c r="I1287" s="7">
        <v>0</v>
      </c>
      <c r="J1287" s="5">
        <v>45923</v>
      </c>
      <c r="K1287" s="1" t="s">
        <v>30</v>
      </c>
      <c r="L1287" s="8">
        <v>0</v>
      </c>
      <c r="M1287" s="6"/>
      <c r="N1287" s="6"/>
      <c r="O1287" s="9">
        <v>-46</v>
      </c>
    </row>
    <row r="1288" spans="1:15" ht="19.5" customHeight="1">
      <c r="A1288" s="1" t="s">
        <v>659</v>
      </c>
      <c r="B1288" s="5">
        <v>45929</v>
      </c>
      <c r="C1288" s="1" t="s">
        <v>17</v>
      </c>
      <c r="D1288" s="1" t="s">
        <v>47</v>
      </c>
      <c r="E1288" s="1" t="s">
        <v>25</v>
      </c>
      <c r="F1288" s="1" t="s">
        <v>26</v>
      </c>
      <c r="G1288" s="1" t="s">
        <v>21</v>
      </c>
      <c r="H1288" s="6">
        <v>1</v>
      </c>
      <c r="I1288" s="7">
        <v>0</v>
      </c>
      <c r="J1288" s="5">
        <v>45923</v>
      </c>
      <c r="K1288" s="1" t="s">
        <v>30</v>
      </c>
      <c r="L1288" s="8">
        <v>0</v>
      </c>
      <c r="M1288" s="6"/>
      <c r="N1288" s="6"/>
      <c r="O1288" s="9">
        <v>-15</v>
      </c>
    </row>
    <row r="1289" spans="1:15" ht="19.5" customHeight="1">
      <c r="A1289" s="1" t="s">
        <v>658</v>
      </c>
      <c r="B1289" s="5">
        <v>45929</v>
      </c>
      <c r="C1289" s="1" t="s">
        <v>17</v>
      </c>
      <c r="D1289" s="1" t="s">
        <v>18</v>
      </c>
      <c r="E1289" s="1" t="s">
        <v>227</v>
      </c>
      <c r="F1289" s="1" t="s">
        <v>402</v>
      </c>
      <c r="G1289" s="1" t="s">
        <v>21</v>
      </c>
      <c r="H1289" s="6">
        <v>1</v>
      </c>
      <c r="I1289" s="7">
        <v>0</v>
      </c>
      <c r="J1289" s="5">
        <v>45918</v>
      </c>
      <c r="K1289" s="1" t="s">
        <v>22</v>
      </c>
      <c r="L1289" s="8">
        <v>0</v>
      </c>
      <c r="M1289" s="6"/>
      <c r="N1289" s="6"/>
      <c r="O1289" s="9">
        <v>-16.52</v>
      </c>
    </row>
    <row r="1290" spans="1:15" ht="19.5" customHeight="1">
      <c r="A1290" s="1" t="s">
        <v>660</v>
      </c>
      <c r="B1290" s="5">
        <v>45929</v>
      </c>
      <c r="C1290" s="1" t="s">
        <v>28</v>
      </c>
      <c r="D1290" s="1" t="s">
        <v>29</v>
      </c>
      <c r="E1290" s="1" t="s">
        <v>25</v>
      </c>
      <c r="F1290" s="1" t="s">
        <v>26</v>
      </c>
      <c r="G1290" s="1" t="s">
        <v>21</v>
      </c>
      <c r="H1290" s="6">
        <v>1</v>
      </c>
      <c r="I1290" s="7">
        <v>0</v>
      </c>
      <c r="J1290" s="5">
        <v>45926</v>
      </c>
      <c r="K1290" s="1" t="s">
        <v>30</v>
      </c>
      <c r="L1290" s="8">
        <v>0</v>
      </c>
      <c r="M1290" s="6"/>
      <c r="N1290" s="6"/>
      <c r="O1290" s="9">
        <v>-46</v>
      </c>
    </row>
    <row r="1291" spans="1:15" ht="19.5" customHeight="1">
      <c r="A1291" s="1" t="s">
        <v>660</v>
      </c>
      <c r="B1291" s="5">
        <v>45929</v>
      </c>
      <c r="C1291" s="1" t="s">
        <v>17</v>
      </c>
      <c r="D1291" s="1" t="s">
        <v>37</v>
      </c>
      <c r="E1291" s="1" t="s">
        <v>25</v>
      </c>
      <c r="F1291" s="1" t="s">
        <v>26</v>
      </c>
      <c r="G1291" s="1" t="s">
        <v>21</v>
      </c>
      <c r="H1291" s="6">
        <v>1</v>
      </c>
      <c r="I1291" s="7">
        <v>0</v>
      </c>
      <c r="J1291" s="5">
        <v>45926</v>
      </c>
      <c r="K1291" s="1" t="s">
        <v>30</v>
      </c>
      <c r="L1291" s="8">
        <v>0</v>
      </c>
      <c r="M1291" s="6"/>
      <c r="N1291" s="6"/>
      <c r="O1291" s="9">
        <v>-4.47</v>
      </c>
    </row>
    <row r="1292" spans="1:15" ht="19.5" customHeight="1">
      <c r="A1292" s="1" t="s">
        <v>660</v>
      </c>
      <c r="B1292" s="5">
        <v>45929</v>
      </c>
      <c r="C1292" s="1" t="s">
        <v>28</v>
      </c>
      <c r="D1292" s="1" t="s">
        <v>45</v>
      </c>
      <c r="E1292" s="1" t="s">
        <v>25</v>
      </c>
      <c r="F1292" s="1" t="s">
        <v>26</v>
      </c>
      <c r="G1292" s="1" t="s">
        <v>21</v>
      </c>
      <c r="H1292" s="6">
        <v>1</v>
      </c>
      <c r="I1292" s="7">
        <v>0</v>
      </c>
      <c r="J1292" s="5">
        <v>45926</v>
      </c>
      <c r="K1292" s="1" t="s">
        <v>30</v>
      </c>
      <c r="L1292" s="8">
        <v>0</v>
      </c>
      <c r="M1292" s="6"/>
      <c r="N1292" s="6"/>
      <c r="O1292" s="9">
        <v>0</v>
      </c>
    </row>
    <row r="1293" spans="1:15" ht="19.5" customHeight="1">
      <c r="A1293" s="1" t="s">
        <v>660</v>
      </c>
      <c r="B1293" s="5">
        <v>45929</v>
      </c>
      <c r="C1293" s="1" t="s">
        <v>28</v>
      </c>
      <c r="D1293" s="1" t="s">
        <v>46</v>
      </c>
      <c r="E1293" s="1" t="s">
        <v>25</v>
      </c>
      <c r="F1293" s="1" t="s">
        <v>26</v>
      </c>
      <c r="G1293" s="1" t="s">
        <v>21</v>
      </c>
      <c r="H1293" s="6">
        <v>1</v>
      </c>
      <c r="I1293" s="7">
        <v>0</v>
      </c>
      <c r="J1293" s="5">
        <v>45926</v>
      </c>
      <c r="K1293" s="1" t="s">
        <v>30</v>
      </c>
      <c r="L1293" s="8">
        <v>0</v>
      </c>
      <c r="M1293" s="6"/>
      <c r="N1293" s="6"/>
      <c r="O1293" s="9">
        <v>-46</v>
      </c>
    </row>
    <row r="1294" spans="1:15" ht="19.5" customHeight="1">
      <c r="A1294" s="1" t="s">
        <v>661</v>
      </c>
      <c r="B1294" s="5">
        <v>45929</v>
      </c>
      <c r="C1294" s="1" t="s">
        <v>28</v>
      </c>
      <c r="D1294" s="1" t="s">
        <v>29</v>
      </c>
      <c r="E1294" s="1" t="s">
        <v>25</v>
      </c>
      <c r="F1294" s="1" t="s">
        <v>26</v>
      </c>
      <c r="G1294" s="1" t="s">
        <v>21</v>
      </c>
      <c r="H1294" s="6">
        <v>1</v>
      </c>
      <c r="I1294" s="7">
        <v>1212</v>
      </c>
      <c r="J1294" s="5">
        <v>45925</v>
      </c>
      <c r="K1294" s="1" t="s">
        <v>30</v>
      </c>
      <c r="L1294" s="8">
        <v>0.26</v>
      </c>
      <c r="M1294" s="6"/>
      <c r="N1294" s="6"/>
      <c r="O1294" s="9">
        <v>-46</v>
      </c>
    </row>
    <row r="1295" spans="1:15" ht="19.5" customHeight="1">
      <c r="A1295" s="1" t="s">
        <v>661</v>
      </c>
      <c r="B1295" s="5">
        <v>45929</v>
      </c>
      <c r="C1295" s="1" t="s">
        <v>31</v>
      </c>
      <c r="D1295" s="1" t="s">
        <v>32</v>
      </c>
      <c r="E1295" s="1" t="s">
        <v>25</v>
      </c>
      <c r="F1295" s="1" t="s">
        <v>26</v>
      </c>
      <c r="G1295" s="1" t="s">
        <v>21</v>
      </c>
      <c r="H1295" s="6">
        <v>1</v>
      </c>
      <c r="I1295" s="7">
        <v>1212</v>
      </c>
      <c r="J1295" s="5">
        <v>45925</v>
      </c>
      <c r="K1295" s="1" t="s">
        <v>30</v>
      </c>
      <c r="L1295" s="8">
        <v>0</v>
      </c>
      <c r="M1295" s="6"/>
      <c r="N1295" s="6"/>
      <c r="O1295" s="9">
        <v>748.57</v>
      </c>
    </row>
    <row r="1296" spans="1:15" ht="19.5" customHeight="1">
      <c r="A1296" s="1" t="s">
        <v>661</v>
      </c>
      <c r="B1296" s="5">
        <v>45929</v>
      </c>
      <c r="C1296" s="1" t="s">
        <v>31</v>
      </c>
      <c r="D1296" s="1" t="s">
        <v>33</v>
      </c>
      <c r="E1296" s="1" t="s">
        <v>25</v>
      </c>
      <c r="F1296" s="1" t="s">
        <v>26</v>
      </c>
      <c r="G1296" s="1" t="s">
        <v>21</v>
      </c>
      <c r="H1296" s="6">
        <v>1</v>
      </c>
      <c r="I1296" s="7">
        <v>1212</v>
      </c>
      <c r="J1296" s="5">
        <v>45925</v>
      </c>
      <c r="K1296" s="1" t="s">
        <v>30</v>
      </c>
      <c r="L1296" s="8">
        <v>0</v>
      </c>
      <c r="M1296" s="6"/>
      <c r="N1296" s="6"/>
      <c r="O1296" s="9">
        <v>5.5</v>
      </c>
    </row>
    <row r="1297" spans="1:15" ht="19.5" customHeight="1">
      <c r="A1297" s="1" t="s">
        <v>661</v>
      </c>
      <c r="B1297" s="5">
        <v>45929</v>
      </c>
      <c r="C1297" s="1" t="s">
        <v>31</v>
      </c>
      <c r="D1297" s="1" t="s">
        <v>34</v>
      </c>
      <c r="E1297" s="1" t="s">
        <v>25</v>
      </c>
      <c r="F1297" s="1" t="s">
        <v>26</v>
      </c>
      <c r="G1297" s="1" t="s">
        <v>21</v>
      </c>
      <c r="H1297" s="6">
        <v>1</v>
      </c>
      <c r="I1297" s="7">
        <v>1212</v>
      </c>
      <c r="J1297" s="5">
        <v>45925</v>
      </c>
      <c r="K1297" s="1" t="s">
        <v>30</v>
      </c>
      <c r="L1297" s="8">
        <v>0</v>
      </c>
      <c r="M1297" s="6"/>
      <c r="N1297" s="6"/>
      <c r="O1297" s="9">
        <v>457.93</v>
      </c>
    </row>
    <row r="1298" spans="1:15" ht="19.5" customHeight="1">
      <c r="A1298" s="1" t="s">
        <v>661</v>
      </c>
      <c r="B1298" s="5">
        <v>45929</v>
      </c>
      <c r="C1298" s="1" t="s">
        <v>35</v>
      </c>
      <c r="D1298" s="1" t="s">
        <v>36</v>
      </c>
      <c r="E1298" s="1" t="s">
        <v>25</v>
      </c>
      <c r="F1298" s="1" t="s">
        <v>26</v>
      </c>
      <c r="G1298" s="1" t="s">
        <v>21</v>
      </c>
      <c r="H1298" s="6">
        <v>1</v>
      </c>
      <c r="I1298" s="7">
        <v>1212</v>
      </c>
      <c r="J1298" s="5">
        <v>45925</v>
      </c>
      <c r="K1298" s="1" t="s">
        <v>30</v>
      </c>
      <c r="L1298" s="8">
        <v>0.26</v>
      </c>
      <c r="M1298" s="6"/>
      <c r="N1298" s="6"/>
      <c r="O1298" s="9">
        <v>-315.12</v>
      </c>
    </row>
    <row r="1299" spans="1:15" ht="19.5" customHeight="1">
      <c r="A1299" s="1" t="s">
        <v>661</v>
      </c>
      <c r="B1299" s="5">
        <v>45929</v>
      </c>
      <c r="C1299" s="1" t="s">
        <v>17</v>
      </c>
      <c r="D1299" s="1" t="s">
        <v>37</v>
      </c>
      <c r="E1299" s="1" t="s">
        <v>25</v>
      </c>
      <c r="F1299" s="1" t="s">
        <v>26</v>
      </c>
      <c r="G1299" s="1" t="s">
        <v>21</v>
      </c>
      <c r="H1299" s="6">
        <v>1</v>
      </c>
      <c r="I1299" s="7">
        <v>1212</v>
      </c>
      <c r="J1299" s="5">
        <v>45925</v>
      </c>
      <c r="K1299" s="1" t="s">
        <v>30</v>
      </c>
      <c r="L1299" s="8">
        <v>0.26</v>
      </c>
      <c r="M1299" s="6"/>
      <c r="N1299" s="6"/>
      <c r="O1299" s="9">
        <v>-8.58</v>
      </c>
    </row>
    <row r="1300" spans="1:15" ht="19.5" customHeight="1">
      <c r="A1300" s="1" t="s">
        <v>661</v>
      </c>
      <c r="B1300" s="5">
        <v>45929</v>
      </c>
      <c r="C1300" s="1" t="s">
        <v>17</v>
      </c>
      <c r="D1300" s="1" t="s">
        <v>18</v>
      </c>
      <c r="E1300" s="1" t="s">
        <v>25</v>
      </c>
      <c r="F1300" s="1" t="s">
        <v>26</v>
      </c>
      <c r="G1300" s="1" t="s">
        <v>21</v>
      </c>
      <c r="H1300" s="6">
        <v>1</v>
      </c>
      <c r="I1300" s="7">
        <v>0</v>
      </c>
      <c r="J1300" s="5">
        <v>45925</v>
      </c>
      <c r="K1300" s="1" t="s">
        <v>22</v>
      </c>
      <c r="L1300" s="8">
        <v>0</v>
      </c>
      <c r="M1300" s="6"/>
      <c r="N1300" s="6"/>
      <c r="O1300" s="9">
        <v>-14.22</v>
      </c>
    </row>
    <row r="1301" spans="1:15" ht="19.5" customHeight="1">
      <c r="A1301" s="1" t="s">
        <v>22</v>
      </c>
      <c r="B1301" s="5">
        <v>45929</v>
      </c>
      <c r="C1301" s="1" t="s">
        <v>77</v>
      </c>
      <c r="D1301" s="1" t="s">
        <v>78</v>
      </c>
      <c r="E1301" s="1" t="s">
        <v>22</v>
      </c>
      <c r="F1301" s="1" t="s">
        <v>22</v>
      </c>
      <c r="G1301" s="1" t="s">
        <v>662</v>
      </c>
      <c r="H1301" s="6">
        <v>0</v>
      </c>
      <c r="I1301" s="7">
        <v>0</v>
      </c>
      <c r="J1301" s="5">
        <v>45929</v>
      </c>
      <c r="K1301" s="1" t="s">
        <v>22</v>
      </c>
      <c r="L1301" s="8">
        <v>0</v>
      </c>
      <c r="M1301" s="6"/>
      <c r="N1301" s="6"/>
      <c r="O1301" s="9">
        <v>-200</v>
      </c>
    </row>
    <row r="1302" spans="1:15" ht="19.5" customHeight="1">
      <c r="A1302" s="1" t="s">
        <v>22</v>
      </c>
      <c r="B1302" s="5">
        <v>45929</v>
      </c>
      <c r="C1302" s="1" t="s">
        <v>77</v>
      </c>
      <c r="D1302" s="1" t="s">
        <v>80</v>
      </c>
      <c r="E1302" s="1" t="s">
        <v>22</v>
      </c>
      <c r="F1302" s="1" t="s">
        <v>22</v>
      </c>
      <c r="G1302" s="1" t="s">
        <v>22</v>
      </c>
      <c r="H1302" s="6">
        <v>0</v>
      </c>
      <c r="I1302" s="7">
        <v>0</v>
      </c>
      <c r="J1302" s="5">
        <v>45929</v>
      </c>
      <c r="K1302" s="1" t="s">
        <v>22</v>
      </c>
      <c r="L1302" s="8">
        <v>0</v>
      </c>
      <c r="M1302" s="6"/>
      <c r="N1302" s="6"/>
      <c r="O1302" s="9">
        <v>-216</v>
      </c>
    </row>
    <row r="1303" spans="1:15" ht="19.5" customHeight="1">
      <c r="A1303" s="1" t="s">
        <v>454</v>
      </c>
      <c r="B1303" s="5">
        <v>45929</v>
      </c>
      <c r="C1303" s="1" t="s">
        <v>77</v>
      </c>
      <c r="D1303" s="1" t="s">
        <v>82</v>
      </c>
      <c r="E1303" s="1" t="s">
        <v>22</v>
      </c>
      <c r="F1303" s="1" t="s">
        <v>22</v>
      </c>
      <c r="G1303" s="1" t="s">
        <v>22</v>
      </c>
      <c r="H1303" s="6">
        <v>0</v>
      </c>
      <c r="I1303" s="7">
        <v>0</v>
      </c>
      <c r="J1303" s="5">
        <v>45929</v>
      </c>
      <c r="K1303" s="1" t="s">
        <v>22</v>
      </c>
      <c r="L1303" s="8">
        <v>0</v>
      </c>
      <c r="M1303" s="6"/>
      <c r="N1303" s="6"/>
      <c r="O1303" s="9">
        <v>-519.14</v>
      </c>
    </row>
    <row r="1304" spans="1:15" ht="19.5" customHeight="1">
      <c r="A1304" s="1" t="s">
        <v>85</v>
      </c>
      <c r="B1304" s="5">
        <v>45929</v>
      </c>
      <c r="C1304" s="1" t="s">
        <v>77</v>
      </c>
      <c r="D1304" s="1" t="s">
        <v>82</v>
      </c>
      <c r="E1304" s="1" t="s">
        <v>22</v>
      </c>
      <c r="F1304" s="1" t="s">
        <v>22</v>
      </c>
      <c r="G1304" s="1" t="s">
        <v>22</v>
      </c>
      <c r="H1304" s="6">
        <v>0</v>
      </c>
      <c r="I1304" s="7">
        <v>0</v>
      </c>
      <c r="J1304" s="5">
        <v>45929</v>
      </c>
      <c r="K1304" s="1" t="s">
        <v>22</v>
      </c>
      <c r="L1304" s="8">
        <v>0</v>
      </c>
      <c r="M1304" s="6"/>
      <c r="N1304" s="6"/>
      <c r="O1304" s="9">
        <v>-496.74</v>
      </c>
    </row>
    <row r="1305" spans="1:15" ht="19.5" customHeight="1">
      <c r="A1305" s="1" t="s">
        <v>83</v>
      </c>
      <c r="B1305" s="5">
        <v>45929</v>
      </c>
      <c r="C1305" s="1" t="s">
        <v>77</v>
      </c>
      <c r="D1305" s="1" t="s">
        <v>84</v>
      </c>
      <c r="E1305" s="1" t="s">
        <v>22</v>
      </c>
      <c r="F1305" s="1" t="s">
        <v>22</v>
      </c>
      <c r="G1305" s="1" t="s">
        <v>22</v>
      </c>
      <c r="H1305" s="6">
        <v>0</v>
      </c>
      <c r="I1305" s="7">
        <v>0</v>
      </c>
      <c r="J1305" s="5">
        <v>45929</v>
      </c>
      <c r="K1305" s="1" t="s">
        <v>22</v>
      </c>
      <c r="L1305" s="8">
        <v>0</v>
      </c>
      <c r="M1305" s="6"/>
      <c r="N1305" s="6"/>
      <c r="O1305" s="9">
        <v>-530.28</v>
      </c>
    </row>
    <row r="1306" spans="1:15" ht="19.5" customHeight="1">
      <c r="A1306" s="1" t="s">
        <v>81</v>
      </c>
      <c r="B1306" s="5">
        <v>45929</v>
      </c>
      <c r="C1306" s="1" t="s">
        <v>77</v>
      </c>
      <c r="D1306" s="1" t="s">
        <v>82</v>
      </c>
      <c r="E1306" s="1" t="s">
        <v>22</v>
      </c>
      <c r="F1306" s="1" t="s">
        <v>22</v>
      </c>
      <c r="G1306" s="1" t="s">
        <v>22</v>
      </c>
      <c r="H1306" s="6">
        <v>0</v>
      </c>
      <c r="I1306" s="7">
        <v>0</v>
      </c>
      <c r="J1306" s="5">
        <v>45929</v>
      </c>
      <c r="K1306" s="1" t="s">
        <v>22</v>
      </c>
      <c r="L1306" s="8">
        <v>0</v>
      </c>
      <c r="M1306" s="6"/>
      <c r="N1306" s="6"/>
      <c r="O1306" s="9">
        <v>-733.97</v>
      </c>
    </row>
    <row r="1307" spans="1:15" ht="19.5" customHeight="1">
      <c r="A1307" s="1" t="s">
        <v>663</v>
      </c>
      <c r="B1307" s="5">
        <v>45930</v>
      </c>
      <c r="C1307" s="1" t="s">
        <v>28</v>
      </c>
      <c r="D1307" s="1" t="s">
        <v>29</v>
      </c>
      <c r="E1307" s="1" t="s">
        <v>25</v>
      </c>
      <c r="F1307" s="1" t="s">
        <v>26</v>
      </c>
      <c r="G1307" s="1" t="s">
        <v>21</v>
      </c>
      <c r="H1307" s="6">
        <v>1</v>
      </c>
      <c r="I1307" s="7">
        <v>0</v>
      </c>
      <c r="J1307" s="5">
        <v>45922</v>
      </c>
      <c r="K1307" s="1" t="s">
        <v>30</v>
      </c>
      <c r="L1307" s="8">
        <v>0</v>
      </c>
      <c r="M1307" s="6"/>
      <c r="N1307" s="6"/>
      <c r="O1307" s="9">
        <v>-46</v>
      </c>
    </row>
    <row r="1308" spans="1:15" ht="19.5" customHeight="1">
      <c r="A1308" s="1" t="s">
        <v>663</v>
      </c>
      <c r="B1308" s="5">
        <v>45930</v>
      </c>
      <c r="C1308" s="1" t="s">
        <v>17</v>
      </c>
      <c r="D1308" s="1" t="s">
        <v>37</v>
      </c>
      <c r="E1308" s="1" t="s">
        <v>25</v>
      </c>
      <c r="F1308" s="1" t="s">
        <v>26</v>
      </c>
      <c r="G1308" s="1" t="s">
        <v>21</v>
      </c>
      <c r="H1308" s="6">
        <v>1</v>
      </c>
      <c r="I1308" s="7">
        <v>0</v>
      </c>
      <c r="J1308" s="5">
        <v>45922</v>
      </c>
      <c r="K1308" s="1" t="s">
        <v>30</v>
      </c>
      <c r="L1308" s="8">
        <v>0</v>
      </c>
      <c r="M1308" s="6"/>
      <c r="N1308" s="6"/>
      <c r="O1308" s="9">
        <v>-5.7</v>
      </c>
    </row>
    <row r="1309" spans="1:15" ht="19.5" customHeight="1">
      <c r="A1309" s="1" t="s">
        <v>663</v>
      </c>
      <c r="B1309" s="5">
        <v>45930</v>
      </c>
      <c r="C1309" s="1" t="s">
        <v>28</v>
      </c>
      <c r="D1309" s="1" t="s">
        <v>356</v>
      </c>
      <c r="E1309" s="1" t="s">
        <v>25</v>
      </c>
      <c r="F1309" s="1" t="s">
        <v>26</v>
      </c>
      <c r="G1309" s="1" t="s">
        <v>21</v>
      </c>
      <c r="H1309" s="6">
        <v>1</v>
      </c>
      <c r="I1309" s="7">
        <v>0</v>
      </c>
      <c r="J1309" s="5">
        <v>45922</v>
      </c>
      <c r="K1309" s="1" t="s">
        <v>30</v>
      </c>
      <c r="L1309" s="8">
        <v>0</v>
      </c>
      <c r="M1309" s="6"/>
      <c r="N1309" s="6"/>
      <c r="O1309" s="9">
        <v>0</v>
      </c>
    </row>
    <row r="1310" spans="1:15" ht="19.5" customHeight="1">
      <c r="A1310" s="1" t="s">
        <v>663</v>
      </c>
      <c r="B1310" s="5">
        <v>45930</v>
      </c>
      <c r="C1310" s="1" t="s">
        <v>28</v>
      </c>
      <c r="D1310" s="1" t="s">
        <v>46</v>
      </c>
      <c r="E1310" s="1" t="s">
        <v>25</v>
      </c>
      <c r="F1310" s="1" t="s">
        <v>26</v>
      </c>
      <c r="G1310" s="1" t="s">
        <v>21</v>
      </c>
      <c r="H1310" s="6">
        <v>1</v>
      </c>
      <c r="I1310" s="7">
        <v>0</v>
      </c>
      <c r="J1310" s="5">
        <v>45922</v>
      </c>
      <c r="K1310" s="1" t="s">
        <v>30</v>
      </c>
      <c r="L1310" s="8">
        <v>0</v>
      </c>
      <c r="M1310" s="6"/>
      <c r="N1310" s="6"/>
      <c r="O1310" s="9">
        <v>-46</v>
      </c>
    </row>
    <row r="1311" spans="1:15" ht="19.5" customHeight="1">
      <c r="A1311" s="1" t="s">
        <v>663</v>
      </c>
      <c r="B1311" s="5">
        <v>45930</v>
      </c>
      <c r="C1311" s="1" t="s">
        <v>17</v>
      </c>
      <c r="D1311" s="1" t="s">
        <v>47</v>
      </c>
      <c r="E1311" s="1" t="s">
        <v>25</v>
      </c>
      <c r="F1311" s="1" t="s">
        <v>26</v>
      </c>
      <c r="G1311" s="1" t="s">
        <v>21</v>
      </c>
      <c r="H1311" s="6">
        <v>1</v>
      </c>
      <c r="I1311" s="7">
        <v>0</v>
      </c>
      <c r="J1311" s="5">
        <v>45922</v>
      </c>
      <c r="K1311" s="1" t="s">
        <v>30</v>
      </c>
      <c r="L1311" s="8">
        <v>0</v>
      </c>
      <c r="M1311" s="6"/>
      <c r="N1311" s="6"/>
      <c r="O1311" s="9">
        <v>-15</v>
      </c>
    </row>
    <row r="1312" spans="1:15" ht="19.5" customHeight="1">
      <c r="A1312" s="1" t="s">
        <v>596</v>
      </c>
      <c r="B1312" s="5">
        <v>45930</v>
      </c>
      <c r="C1312" s="1" t="s">
        <v>17</v>
      </c>
      <c r="D1312" s="1" t="s">
        <v>18</v>
      </c>
      <c r="E1312" s="1" t="s">
        <v>25</v>
      </c>
      <c r="F1312" s="1" t="s">
        <v>26</v>
      </c>
      <c r="G1312" s="1" t="s">
        <v>21</v>
      </c>
      <c r="H1312" s="6">
        <v>1</v>
      </c>
      <c r="I1312" s="7">
        <v>0</v>
      </c>
      <c r="J1312" s="5">
        <v>45925</v>
      </c>
      <c r="K1312" s="1" t="s">
        <v>22</v>
      </c>
      <c r="L1312" s="8">
        <v>0</v>
      </c>
      <c r="M1312" s="6"/>
      <c r="N1312" s="6"/>
      <c r="O1312" s="9">
        <v>2.19</v>
      </c>
    </row>
    <row r="1313" spans="1:15" ht="19.5" customHeight="1">
      <c r="A1313" s="1" t="s">
        <v>664</v>
      </c>
      <c r="B1313" s="5">
        <v>45930</v>
      </c>
      <c r="C1313" s="1" t="s">
        <v>28</v>
      </c>
      <c r="D1313" s="1" t="s">
        <v>29</v>
      </c>
      <c r="E1313" s="1" t="s">
        <v>225</v>
      </c>
      <c r="F1313" s="1" t="s">
        <v>491</v>
      </c>
      <c r="G1313" s="1" t="s">
        <v>21</v>
      </c>
      <c r="H1313" s="6">
        <v>1</v>
      </c>
      <c r="I1313" s="7">
        <v>1380</v>
      </c>
      <c r="J1313" s="5">
        <v>45920</v>
      </c>
      <c r="K1313" s="1" t="s">
        <v>30</v>
      </c>
      <c r="L1313" s="8">
        <v>0.2</v>
      </c>
      <c r="M1313" s="6"/>
      <c r="N1313" s="6"/>
      <c r="O1313" s="9">
        <v>-46</v>
      </c>
    </row>
    <row r="1314" spans="1:15" ht="19.5" customHeight="1">
      <c r="A1314" s="1" t="s">
        <v>664</v>
      </c>
      <c r="B1314" s="5">
        <v>45930</v>
      </c>
      <c r="C1314" s="1" t="s">
        <v>31</v>
      </c>
      <c r="D1314" s="1" t="s">
        <v>32</v>
      </c>
      <c r="E1314" s="1" t="s">
        <v>225</v>
      </c>
      <c r="F1314" s="1" t="s">
        <v>491</v>
      </c>
      <c r="G1314" s="1" t="s">
        <v>21</v>
      </c>
      <c r="H1314" s="6">
        <v>1</v>
      </c>
      <c r="I1314" s="7">
        <v>1380</v>
      </c>
      <c r="J1314" s="5">
        <v>45920</v>
      </c>
      <c r="K1314" s="1" t="s">
        <v>30</v>
      </c>
      <c r="L1314" s="8">
        <v>0</v>
      </c>
      <c r="M1314" s="6"/>
      <c r="N1314" s="6"/>
      <c r="O1314" s="9">
        <v>802.09</v>
      </c>
    </row>
    <row r="1315" spans="1:15" ht="19.5" customHeight="1">
      <c r="A1315" s="1" t="s">
        <v>664</v>
      </c>
      <c r="B1315" s="5">
        <v>45930</v>
      </c>
      <c r="C1315" s="1" t="s">
        <v>31</v>
      </c>
      <c r="D1315" s="1" t="s">
        <v>33</v>
      </c>
      <c r="E1315" s="1" t="s">
        <v>225</v>
      </c>
      <c r="F1315" s="1" t="s">
        <v>491</v>
      </c>
      <c r="G1315" s="1" t="s">
        <v>21</v>
      </c>
      <c r="H1315" s="6">
        <v>1</v>
      </c>
      <c r="I1315" s="7">
        <v>1380</v>
      </c>
      <c r="J1315" s="5">
        <v>45920</v>
      </c>
      <c r="K1315" s="1" t="s">
        <v>30</v>
      </c>
      <c r="L1315" s="8">
        <v>0</v>
      </c>
      <c r="M1315" s="6"/>
      <c r="N1315" s="6"/>
      <c r="O1315" s="9">
        <v>5.9</v>
      </c>
    </row>
    <row r="1316" spans="1:15" ht="19.5" customHeight="1">
      <c r="A1316" s="1" t="s">
        <v>664</v>
      </c>
      <c r="B1316" s="5">
        <v>45930</v>
      </c>
      <c r="C1316" s="1" t="s">
        <v>31</v>
      </c>
      <c r="D1316" s="1" t="s">
        <v>34</v>
      </c>
      <c r="E1316" s="1" t="s">
        <v>225</v>
      </c>
      <c r="F1316" s="1" t="s">
        <v>491</v>
      </c>
      <c r="G1316" s="1" t="s">
        <v>21</v>
      </c>
      <c r="H1316" s="6">
        <v>1</v>
      </c>
      <c r="I1316" s="7">
        <v>1380</v>
      </c>
      <c r="J1316" s="5">
        <v>45920</v>
      </c>
      <c r="K1316" s="1" t="s">
        <v>30</v>
      </c>
      <c r="L1316" s="8">
        <v>0</v>
      </c>
      <c r="M1316" s="6"/>
      <c r="N1316" s="6"/>
      <c r="O1316" s="9">
        <v>572.01</v>
      </c>
    </row>
    <row r="1317" spans="1:15" ht="19.5" customHeight="1">
      <c r="A1317" s="1" t="s">
        <v>664</v>
      </c>
      <c r="B1317" s="5">
        <v>45930</v>
      </c>
      <c r="C1317" s="1" t="s">
        <v>35</v>
      </c>
      <c r="D1317" s="1" t="s">
        <v>36</v>
      </c>
      <c r="E1317" s="1" t="s">
        <v>225</v>
      </c>
      <c r="F1317" s="1" t="s">
        <v>491</v>
      </c>
      <c r="G1317" s="1" t="s">
        <v>21</v>
      </c>
      <c r="H1317" s="6">
        <v>1</v>
      </c>
      <c r="I1317" s="7">
        <v>1380</v>
      </c>
      <c r="J1317" s="5">
        <v>45920</v>
      </c>
      <c r="K1317" s="1" t="s">
        <v>30</v>
      </c>
      <c r="L1317" s="8">
        <v>0.2</v>
      </c>
      <c r="M1317" s="6"/>
      <c r="N1317" s="6"/>
      <c r="O1317" s="9">
        <v>-276</v>
      </c>
    </row>
    <row r="1318" spans="1:15" ht="19.5" customHeight="1">
      <c r="A1318" s="1" t="s">
        <v>664</v>
      </c>
      <c r="B1318" s="5">
        <v>45930</v>
      </c>
      <c r="C1318" s="1" t="s">
        <v>17</v>
      </c>
      <c r="D1318" s="1" t="s">
        <v>37</v>
      </c>
      <c r="E1318" s="1" t="s">
        <v>225</v>
      </c>
      <c r="F1318" s="1" t="s">
        <v>491</v>
      </c>
      <c r="G1318" s="1" t="s">
        <v>21</v>
      </c>
      <c r="H1318" s="6">
        <v>1</v>
      </c>
      <c r="I1318" s="7">
        <v>1380</v>
      </c>
      <c r="J1318" s="5">
        <v>45920</v>
      </c>
      <c r="K1318" s="1" t="s">
        <v>30</v>
      </c>
      <c r="L1318" s="8">
        <v>0.2</v>
      </c>
      <c r="M1318" s="6"/>
      <c r="N1318" s="6"/>
      <c r="O1318" s="9">
        <v>-9.02</v>
      </c>
    </row>
    <row r="1319" spans="1:15" ht="19.5" customHeight="1">
      <c r="A1319" s="1" t="s">
        <v>664</v>
      </c>
      <c r="B1319" s="5">
        <v>45930</v>
      </c>
      <c r="C1319" s="1" t="s">
        <v>17</v>
      </c>
      <c r="D1319" s="1" t="s">
        <v>18</v>
      </c>
      <c r="E1319" s="1" t="s">
        <v>225</v>
      </c>
      <c r="F1319" s="1" t="s">
        <v>491</v>
      </c>
      <c r="G1319" s="1" t="s">
        <v>21</v>
      </c>
      <c r="H1319" s="6">
        <v>1</v>
      </c>
      <c r="I1319" s="7">
        <v>0</v>
      </c>
      <c r="J1319" s="5">
        <v>45920</v>
      </c>
      <c r="K1319" s="1" t="s">
        <v>22</v>
      </c>
      <c r="L1319" s="8">
        <v>0</v>
      </c>
      <c r="M1319" s="6"/>
      <c r="N1319" s="6"/>
      <c r="O1319" s="9">
        <v>-15.24</v>
      </c>
    </row>
    <row r="1320" spans="1:15" ht="19.5" customHeight="1">
      <c r="A1320" s="1" t="s">
        <v>665</v>
      </c>
      <c r="B1320" s="5">
        <v>45930</v>
      </c>
      <c r="C1320" s="1" t="s">
        <v>17</v>
      </c>
      <c r="D1320" s="1" t="s">
        <v>18</v>
      </c>
      <c r="E1320" s="1" t="s">
        <v>92</v>
      </c>
      <c r="F1320" s="1" t="s">
        <v>93</v>
      </c>
      <c r="G1320" s="1" t="s">
        <v>21</v>
      </c>
      <c r="H1320" s="6">
        <v>1</v>
      </c>
      <c r="I1320" s="7">
        <v>0</v>
      </c>
      <c r="J1320" s="5">
        <v>45930</v>
      </c>
      <c r="K1320" s="1" t="s">
        <v>22</v>
      </c>
      <c r="L1320" s="8">
        <v>0</v>
      </c>
      <c r="M1320" s="6"/>
      <c r="N1320" s="6"/>
      <c r="O1320" s="9">
        <v>-3.58</v>
      </c>
    </row>
    <row r="1321" spans="1:15" ht="19.5" customHeight="1">
      <c r="A1321" s="1" t="s">
        <v>666</v>
      </c>
      <c r="B1321" s="5">
        <v>45930</v>
      </c>
      <c r="C1321" s="1" t="s">
        <v>28</v>
      </c>
      <c r="D1321" s="1" t="s">
        <v>29</v>
      </c>
      <c r="E1321" s="1" t="s">
        <v>51</v>
      </c>
      <c r="F1321" s="1" t="s">
        <v>52</v>
      </c>
      <c r="G1321" s="1" t="s">
        <v>41</v>
      </c>
      <c r="H1321" s="6">
        <v>1</v>
      </c>
      <c r="I1321" s="7">
        <v>3690</v>
      </c>
      <c r="J1321" s="5">
        <v>45924</v>
      </c>
      <c r="K1321" s="1" t="s">
        <v>30</v>
      </c>
      <c r="L1321" s="8">
        <v>0.18</v>
      </c>
      <c r="M1321" s="6"/>
      <c r="N1321" s="6"/>
      <c r="O1321" s="9">
        <v>-56</v>
      </c>
    </row>
    <row r="1322" spans="1:15" ht="19.5" customHeight="1">
      <c r="A1322" s="1" t="s">
        <v>666</v>
      </c>
      <c r="B1322" s="5">
        <v>45930</v>
      </c>
      <c r="C1322" s="1" t="s">
        <v>31</v>
      </c>
      <c r="D1322" s="1" t="s">
        <v>32</v>
      </c>
      <c r="E1322" s="1" t="s">
        <v>51</v>
      </c>
      <c r="F1322" s="1" t="s">
        <v>52</v>
      </c>
      <c r="G1322" s="1" t="s">
        <v>41</v>
      </c>
      <c r="H1322" s="6">
        <v>1</v>
      </c>
      <c r="I1322" s="7">
        <v>3690</v>
      </c>
      <c r="J1322" s="5">
        <v>45924</v>
      </c>
      <c r="K1322" s="1" t="s">
        <v>30</v>
      </c>
      <c r="L1322" s="8">
        <v>0</v>
      </c>
      <c r="M1322" s="6"/>
      <c r="N1322" s="6"/>
      <c r="O1322" s="9">
        <v>2300</v>
      </c>
    </row>
    <row r="1323" spans="1:15" ht="19.5" customHeight="1">
      <c r="A1323" s="1" t="s">
        <v>666</v>
      </c>
      <c r="B1323" s="5">
        <v>45930</v>
      </c>
      <c r="C1323" s="1" t="s">
        <v>31</v>
      </c>
      <c r="D1323" s="1" t="s">
        <v>33</v>
      </c>
      <c r="E1323" s="1" t="s">
        <v>51</v>
      </c>
      <c r="F1323" s="1" t="s">
        <v>52</v>
      </c>
      <c r="G1323" s="1" t="s">
        <v>41</v>
      </c>
      <c r="H1323" s="6">
        <v>1</v>
      </c>
      <c r="I1323" s="7">
        <v>3690</v>
      </c>
      <c r="J1323" s="5">
        <v>45924</v>
      </c>
      <c r="K1323" s="1" t="s">
        <v>30</v>
      </c>
      <c r="L1323" s="8">
        <v>0</v>
      </c>
      <c r="M1323" s="6"/>
      <c r="N1323" s="6"/>
      <c r="O1323" s="9">
        <v>16.91</v>
      </c>
    </row>
    <row r="1324" spans="1:15" ht="19.5" customHeight="1">
      <c r="A1324" s="1" t="s">
        <v>666</v>
      </c>
      <c r="B1324" s="5">
        <v>45930</v>
      </c>
      <c r="C1324" s="1" t="s">
        <v>31</v>
      </c>
      <c r="D1324" s="1" t="s">
        <v>34</v>
      </c>
      <c r="E1324" s="1" t="s">
        <v>51</v>
      </c>
      <c r="F1324" s="1" t="s">
        <v>52</v>
      </c>
      <c r="G1324" s="1" t="s">
        <v>41</v>
      </c>
      <c r="H1324" s="6">
        <v>1</v>
      </c>
      <c r="I1324" s="7">
        <v>3690</v>
      </c>
      <c r="J1324" s="5">
        <v>45924</v>
      </c>
      <c r="K1324" s="1" t="s">
        <v>30</v>
      </c>
      <c r="L1324" s="8">
        <v>0</v>
      </c>
      <c r="M1324" s="6"/>
      <c r="N1324" s="6"/>
      <c r="O1324" s="9">
        <v>1373.09</v>
      </c>
    </row>
    <row r="1325" spans="1:15" ht="19.5" customHeight="1">
      <c r="A1325" s="1" t="s">
        <v>666</v>
      </c>
      <c r="B1325" s="5">
        <v>45930</v>
      </c>
      <c r="C1325" s="1" t="s">
        <v>35</v>
      </c>
      <c r="D1325" s="1" t="s">
        <v>36</v>
      </c>
      <c r="E1325" s="1" t="s">
        <v>51</v>
      </c>
      <c r="F1325" s="1" t="s">
        <v>52</v>
      </c>
      <c r="G1325" s="1" t="s">
        <v>41</v>
      </c>
      <c r="H1325" s="6">
        <v>1</v>
      </c>
      <c r="I1325" s="7">
        <v>3690</v>
      </c>
      <c r="J1325" s="5">
        <v>45924</v>
      </c>
      <c r="K1325" s="1" t="s">
        <v>30</v>
      </c>
      <c r="L1325" s="8">
        <v>0.18</v>
      </c>
      <c r="M1325" s="6"/>
      <c r="N1325" s="6"/>
      <c r="O1325" s="9">
        <v>-664.2</v>
      </c>
    </row>
    <row r="1326" spans="1:15" ht="19.5" customHeight="1">
      <c r="A1326" s="1" t="s">
        <v>666</v>
      </c>
      <c r="B1326" s="5">
        <v>45930</v>
      </c>
      <c r="C1326" s="1" t="s">
        <v>17</v>
      </c>
      <c r="D1326" s="1" t="s">
        <v>37</v>
      </c>
      <c r="E1326" s="1" t="s">
        <v>51</v>
      </c>
      <c r="F1326" s="1" t="s">
        <v>52</v>
      </c>
      <c r="G1326" s="1" t="s">
        <v>41</v>
      </c>
      <c r="H1326" s="6">
        <v>1</v>
      </c>
      <c r="I1326" s="7">
        <v>3690</v>
      </c>
      <c r="J1326" s="5">
        <v>45924</v>
      </c>
      <c r="K1326" s="1" t="s">
        <v>30</v>
      </c>
      <c r="L1326" s="8">
        <v>0.18</v>
      </c>
      <c r="M1326" s="6"/>
      <c r="N1326" s="6"/>
      <c r="O1326" s="9">
        <v>-11.61</v>
      </c>
    </row>
    <row r="1327" spans="1:15" ht="19.5" customHeight="1">
      <c r="A1327" s="1" t="s">
        <v>666</v>
      </c>
      <c r="B1327" s="5">
        <v>45930</v>
      </c>
      <c r="C1327" s="1" t="s">
        <v>17</v>
      </c>
      <c r="D1327" s="1" t="s">
        <v>18</v>
      </c>
      <c r="E1327" s="1" t="s">
        <v>51</v>
      </c>
      <c r="F1327" s="1" t="s">
        <v>52</v>
      </c>
      <c r="G1327" s="1" t="s">
        <v>41</v>
      </c>
      <c r="H1327" s="6">
        <v>1</v>
      </c>
      <c r="I1327" s="7">
        <v>0</v>
      </c>
      <c r="J1327" s="5">
        <v>45924</v>
      </c>
      <c r="K1327" s="1" t="s">
        <v>22</v>
      </c>
      <c r="L1327" s="8">
        <v>0</v>
      </c>
      <c r="M1327" s="6"/>
      <c r="N1327" s="6"/>
      <c r="O1327" s="9">
        <v>-43.7</v>
      </c>
    </row>
    <row r="1328" spans="1:15" ht="19.5" customHeight="1">
      <c r="A1328" s="1" t="s">
        <v>667</v>
      </c>
      <c r="B1328" s="5">
        <v>45930</v>
      </c>
      <c r="C1328" s="1" t="s">
        <v>28</v>
      </c>
      <c r="D1328" s="1" t="s">
        <v>29</v>
      </c>
      <c r="E1328" s="1" t="s">
        <v>51</v>
      </c>
      <c r="F1328" s="1" t="s">
        <v>52</v>
      </c>
      <c r="G1328" s="1" t="s">
        <v>41</v>
      </c>
      <c r="H1328" s="6">
        <v>1</v>
      </c>
      <c r="I1328" s="7">
        <v>3690</v>
      </c>
      <c r="J1328" s="5">
        <v>45928</v>
      </c>
      <c r="K1328" s="1" t="s">
        <v>30</v>
      </c>
      <c r="L1328" s="8">
        <v>0.24</v>
      </c>
      <c r="M1328" s="6"/>
      <c r="N1328" s="6"/>
      <c r="O1328" s="9">
        <v>-56</v>
      </c>
    </row>
    <row r="1329" spans="1:15" ht="19.5" customHeight="1">
      <c r="A1329" s="1" t="s">
        <v>667</v>
      </c>
      <c r="B1329" s="5">
        <v>45930</v>
      </c>
      <c r="C1329" s="1" t="s">
        <v>31</v>
      </c>
      <c r="D1329" s="1" t="s">
        <v>32</v>
      </c>
      <c r="E1329" s="1" t="s">
        <v>51</v>
      </c>
      <c r="F1329" s="1" t="s">
        <v>52</v>
      </c>
      <c r="G1329" s="1" t="s">
        <v>41</v>
      </c>
      <c r="H1329" s="6">
        <v>1</v>
      </c>
      <c r="I1329" s="7">
        <v>3690</v>
      </c>
      <c r="J1329" s="5">
        <v>45928</v>
      </c>
      <c r="K1329" s="1" t="s">
        <v>30</v>
      </c>
      <c r="L1329" s="8">
        <v>0</v>
      </c>
      <c r="M1329" s="6"/>
      <c r="N1329" s="6"/>
      <c r="O1329" s="9">
        <v>2135.5500000000002</v>
      </c>
    </row>
    <row r="1330" spans="1:15" ht="19.5" customHeight="1">
      <c r="A1330" s="1" t="s">
        <v>667</v>
      </c>
      <c r="B1330" s="5">
        <v>45930</v>
      </c>
      <c r="C1330" s="1" t="s">
        <v>31</v>
      </c>
      <c r="D1330" s="1" t="s">
        <v>33</v>
      </c>
      <c r="E1330" s="1" t="s">
        <v>51</v>
      </c>
      <c r="F1330" s="1" t="s">
        <v>52</v>
      </c>
      <c r="G1330" s="1" t="s">
        <v>41</v>
      </c>
      <c r="H1330" s="6">
        <v>1</v>
      </c>
      <c r="I1330" s="7">
        <v>3690</v>
      </c>
      <c r="J1330" s="5">
        <v>45928</v>
      </c>
      <c r="K1330" s="1" t="s">
        <v>30</v>
      </c>
      <c r="L1330" s="8">
        <v>0</v>
      </c>
      <c r="M1330" s="6"/>
      <c r="N1330" s="6"/>
      <c r="O1330" s="9">
        <v>15.7</v>
      </c>
    </row>
    <row r="1331" spans="1:15" ht="19.5" customHeight="1">
      <c r="A1331" s="1" t="s">
        <v>667</v>
      </c>
      <c r="B1331" s="5">
        <v>45930</v>
      </c>
      <c r="C1331" s="1" t="s">
        <v>31</v>
      </c>
      <c r="D1331" s="1" t="s">
        <v>34</v>
      </c>
      <c r="E1331" s="1" t="s">
        <v>51</v>
      </c>
      <c r="F1331" s="1" t="s">
        <v>52</v>
      </c>
      <c r="G1331" s="1" t="s">
        <v>41</v>
      </c>
      <c r="H1331" s="6">
        <v>1</v>
      </c>
      <c r="I1331" s="7">
        <v>3690</v>
      </c>
      <c r="J1331" s="5">
        <v>45928</v>
      </c>
      <c r="K1331" s="1" t="s">
        <v>30</v>
      </c>
      <c r="L1331" s="8">
        <v>0</v>
      </c>
      <c r="M1331" s="6"/>
      <c r="N1331" s="6"/>
      <c r="O1331" s="9">
        <v>1538.75</v>
      </c>
    </row>
    <row r="1332" spans="1:15" ht="19.5" customHeight="1">
      <c r="A1332" s="1" t="s">
        <v>667</v>
      </c>
      <c r="B1332" s="5">
        <v>45930</v>
      </c>
      <c r="C1332" s="1" t="s">
        <v>35</v>
      </c>
      <c r="D1332" s="1" t="s">
        <v>36</v>
      </c>
      <c r="E1332" s="1" t="s">
        <v>51</v>
      </c>
      <c r="F1332" s="1" t="s">
        <v>52</v>
      </c>
      <c r="G1332" s="1" t="s">
        <v>41</v>
      </c>
      <c r="H1332" s="6">
        <v>1</v>
      </c>
      <c r="I1332" s="7">
        <v>3690</v>
      </c>
      <c r="J1332" s="5">
        <v>45928</v>
      </c>
      <c r="K1332" s="1" t="s">
        <v>30</v>
      </c>
      <c r="L1332" s="8">
        <v>0.24</v>
      </c>
      <c r="M1332" s="6"/>
      <c r="N1332" s="6"/>
      <c r="O1332" s="9">
        <v>-885.6</v>
      </c>
    </row>
    <row r="1333" spans="1:15" ht="19.5" customHeight="1">
      <c r="A1333" s="1" t="s">
        <v>667</v>
      </c>
      <c r="B1333" s="5">
        <v>45930</v>
      </c>
      <c r="C1333" s="1" t="s">
        <v>17</v>
      </c>
      <c r="D1333" s="1" t="s">
        <v>37</v>
      </c>
      <c r="E1333" s="1" t="s">
        <v>51</v>
      </c>
      <c r="F1333" s="1" t="s">
        <v>52</v>
      </c>
      <c r="G1333" s="1" t="s">
        <v>41</v>
      </c>
      <c r="H1333" s="6">
        <v>1</v>
      </c>
      <c r="I1333" s="7">
        <v>3690</v>
      </c>
      <c r="J1333" s="5">
        <v>45928</v>
      </c>
      <c r="K1333" s="1" t="s">
        <v>30</v>
      </c>
      <c r="L1333" s="8">
        <v>0.24</v>
      </c>
      <c r="M1333" s="6"/>
      <c r="N1333" s="6"/>
      <c r="O1333" s="9">
        <v>-10.37</v>
      </c>
    </row>
    <row r="1334" spans="1:15" ht="19.5" customHeight="1">
      <c r="A1334" s="1" t="s">
        <v>668</v>
      </c>
      <c r="B1334" s="5">
        <v>45930</v>
      </c>
      <c r="C1334" s="1" t="s">
        <v>17</v>
      </c>
      <c r="D1334" s="1" t="s">
        <v>18</v>
      </c>
      <c r="E1334" s="1" t="s">
        <v>92</v>
      </c>
      <c r="F1334" s="1" t="s">
        <v>93</v>
      </c>
      <c r="G1334" s="1" t="s">
        <v>21</v>
      </c>
      <c r="H1334" s="6">
        <v>1</v>
      </c>
      <c r="I1334" s="7">
        <v>0</v>
      </c>
      <c r="J1334" s="5">
        <v>45930</v>
      </c>
      <c r="K1334" s="1" t="s">
        <v>22</v>
      </c>
      <c r="L1334" s="8">
        <v>0</v>
      </c>
      <c r="M1334" s="6"/>
      <c r="N1334" s="6"/>
      <c r="O1334" s="9">
        <v>-14.33</v>
      </c>
    </row>
    <row r="1335" spans="1:15" ht="19.5" customHeight="1">
      <c r="A1335" s="1" t="s">
        <v>669</v>
      </c>
      <c r="B1335" s="5">
        <v>45930</v>
      </c>
      <c r="C1335" s="1" t="s">
        <v>28</v>
      </c>
      <c r="D1335" s="1" t="s">
        <v>29</v>
      </c>
      <c r="E1335" s="1" t="s">
        <v>92</v>
      </c>
      <c r="F1335" s="1" t="s">
        <v>93</v>
      </c>
      <c r="G1335" s="1" t="s">
        <v>21</v>
      </c>
      <c r="H1335" s="6">
        <v>1</v>
      </c>
      <c r="I1335" s="7">
        <v>1300</v>
      </c>
      <c r="J1335" s="5">
        <v>45927</v>
      </c>
      <c r="K1335" s="1" t="s">
        <v>30</v>
      </c>
      <c r="L1335" s="8">
        <v>0.26</v>
      </c>
      <c r="M1335" s="6"/>
      <c r="N1335" s="6"/>
      <c r="O1335" s="9">
        <v>-46</v>
      </c>
    </row>
    <row r="1336" spans="1:15" ht="19.5" customHeight="1">
      <c r="A1336" s="1" t="s">
        <v>669</v>
      </c>
      <c r="B1336" s="5">
        <v>45930</v>
      </c>
      <c r="C1336" s="1" t="s">
        <v>31</v>
      </c>
      <c r="D1336" s="1" t="s">
        <v>32</v>
      </c>
      <c r="E1336" s="1" t="s">
        <v>92</v>
      </c>
      <c r="F1336" s="1" t="s">
        <v>93</v>
      </c>
      <c r="G1336" s="1" t="s">
        <v>21</v>
      </c>
      <c r="H1336" s="6">
        <v>1</v>
      </c>
      <c r="I1336" s="7">
        <v>1300</v>
      </c>
      <c r="J1336" s="5">
        <v>45927</v>
      </c>
      <c r="K1336" s="1" t="s">
        <v>30</v>
      </c>
      <c r="L1336" s="8">
        <v>0</v>
      </c>
      <c r="M1336" s="6"/>
      <c r="N1336" s="6"/>
      <c r="O1336" s="9">
        <v>783.06</v>
      </c>
    </row>
    <row r="1337" spans="1:15" ht="19.5" customHeight="1">
      <c r="A1337" s="1" t="s">
        <v>669</v>
      </c>
      <c r="B1337" s="5">
        <v>45930</v>
      </c>
      <c r="C1337" s="1" t="s">
        <v>31</v>
      </c>
      <c r="D1337" s="1" t="s">
        <v>33</v>
      </c>
      <c r="E1337" s="1" t="s">
        <v>92</v>
      </c>
      <c r="F1337" s="1" t="s">
        <v>93</v>
      </c>
      <c r="G1337" s="1" t="s">
        <v>21</v>
      </c>
      <c r="H1337" s="6">
        <v>1</v>
      </c>
      <c r="I1337" s="7">
        <v>1300</v>
      </c>
      <c r="J1337" s="5">
        <v>45927</v>
      </c>
      <c r="K1337" s="1" t="s">
        <v>30</v>
      </c>
      <c r="L1337" s="8">
        <v>0</v>
      </c>
      <c r="M1337" s="6"/>
      <c r="N1337" s="6"/>
      <c r="O1337" s="9">
        <v>5.76</v>
      </c>
    </row>
    <row r="1338" spans="1:15" ht="19.5" customHeight="1">
      <c r="A1338" s="1" t="s">
        <v>669</v>
      </c>
      <c r="B1338" s="5">
        <v>45930</v>
      </c>
      <c r="C1338" s="1" t="s">
        <v>31</v>
      </c>
      <c r="D1338" s="1" t="s">
        <v>34</v>
      </c>
      <c r="E1338" s="1" t="s">
        <v>92</v>
      </c>
      <c r="F1338" s="1" t="s">
        <v>93</v>
      </c>
      <c r="G1338" s="1" t="s">
        <v>21</v>
      </c>
      <c r="H1338" s="6">
        <v>1</v>
      </c>
      <c r="I1338" s="7">
        <v>1300</v>
      </c>
      <c r="J1338" s="5">
        <v>45927</v>
      </c>
      <c r="K1338" s="1" t="s">
        <v>30</v>
      </c>
      <c r="L1338" s="8">
        <v>0</v>
      </c>
      <c r="M1338" s="6"/>
      <c r="N1338" s="6"/>
      <c r="O1338" s="9">
        <v>511.18</v>
      </c>
    </row>
    <row r="1339" spans="1:15" ht="19.5" customHeight="1">
      <c r="A1339" s="1" t="s">
        <v>669</v>
      </c>
      <c r="B1339" s="5">
        <v>45930</v>
      </c>
      <c r="C1339" s="1" t="s">
        <v>35</v>
      </c>
      <c r="D1339" s="1" t="s">
        <v>36</v>
      </c>
      <c r="E1339" s="1" t="s">
        <v>92</v>
      </c>
      <c r="F1339" s="1" t="s">
        <v>93</v>
      </c>
      <c r="G1339" s="1" t="s">
        <v>21</v>
      </c>
      <c r="H1339" s="6">
        <v>1</v>
      </c>
      <c r="I1339" s="7">
        <v>1300</v>
      </c>
      <c r="J1339" s="5">
        <v>45927</v>
      </c>
      <c r="K1339" s="1" t="s">
        <v>30</v>
      </c>
      <c r="L1339" s="8">
        <v>0.26</v>
      </c>
      <c r="M1339" s="6"/>
      <c r="N1339" s="6"/>
      <c r="O1339" s="9">
        <v>-338</v>
      </c>
    </row>
    <row r="1340" spans="1:15" ht="19.5" customHeight="1">
      <c r="A1340" s="1" t="s">
        <v>669</v>
      </c>
      <c r="B1340" s="5">
        <v>45930</v>
      </c>
      <c r="C1340" s="1" t="s">
        <v>17</v>
      </c>
      <c r="D1340" s="1" t="s">
        <v>37</v>
      </c>
      <c r="E1340" s="1" t="s">
        <v>92</v>
      </c>
      <c r="F1340" s="1" t="s">
        <v>93</v>
      </c>
      <c r="G1340" s="1" t="s">
        <v>21</v>
      </c>
      <c r="H1340" s="6">
        <v>1</v>
      </c>
      <c r="I1340" s="7">
        <v>1300</v>
      </c>
      <c r="J1340" s="5">
        <v>45927</v>
      </c>
      <c r="K1340" s="1" t="s">
        <v>30</v>
      </c>
      <c r="L1340" s="8">
        <v>0.26</v>
      </c>
      <c r="M1340" s="6"/>
      <c r="N1340" s="6"/>
      <c r="O1340" s="9">
        <v>-9.68</v>
      </c>
    </row>
    <row r="1341" spans="1:15" ht="19.5" customHeight="1">
      <c r="A1341" s="1" t="s">
        <v>669</v>
      </c>
      <c r="B1341" s="5">
        <v>45930</v>
      </c>
      <c r="C1341" s="1" t="s">
        <v>17</v>
      </c>
      <c r="D1341" s="1" t="s">
        <v>18</v>
      </c>
      <c r="E1341" s="1" t="s">
        <v>92</v>
      </c>
      <c r="F1341" s="1" t="s">
        <v>93</v>
      </c>
      <c r="G1341" s="1" t="s">
        <v>21</v>
      </c>
      <c r="H1341" s="6">
        <v>1</v>
      </c>
      <c r="I1341" s="7">
        <v>0</v>
      </c>
      <c r="J1341" s="5">
        <v>45927</v>
      </c>
      <c r="K1341" s="1" t="s">
        <v>22</v>
      </c>
      <c r="L1341" s="8">
        <v>0</v>
      </c>
      <c r="M1341" s="6"/>
      <c r="N1341" s="6"/>
      <c r="O1341" s="9">
        <v>-14.88</v>
      </c>
    </row>
    <row r="1342" spans="1:15" ht="19.5" customHeight="1">
      <c r="A1342" s="1" t="s">
        <v>670</v>
      </c>
      <c r="B1342" s="5">
        <v>45930</v>
      </c>
      <c r="C1342" s="1" t="s">
        <v>17</v>
      </c>
      <c r="D1342" s="1" t="s">
        <v>18</v>
      </c>
      <c r="E1342" s="1" t="s">
        <v>51</v>
      </c>
      <c r="F1342" s="1" t="s">
        <v>52</v>
      </c>
      <c r="G1342" s="1" t="s">
        <v>41</v>
      </c>
      <c r="H1342" s="6">
        <v>1</v>
      </c>
      <c r="I1342" s="7">
        <v>0</v>
      </c>
      <c r="J1342" s="5">
        <v>45930</v>
      </c>
      <c r="K1342" s="1" t="s">
        <v>22</v>
      </c>
      <c r="L1342" s="8">
        <v>0</v>
      </c>
      <c r="M1342" s="6"/>
      <c r="N1342" s="6"/>
      <c r="O1342" s="9">
        <v>-40.4</v>
      </c>
    </row>
    <row r="1343" spans="1:15" ht="19.5" customHeight="1">
      <c r="A1343" s="1" t="s">
        <v>671</v>
      </c>
      <c r="B1343" s="5">
        <v>45930</v>
      </c>
      <c r="C1343" s="1" t="s">
        <v>28</v>
      </c>
      <c r="D1343" s="1" t="s">
        <v>29</v>
      </c>
      <c r="E1343" s="1" t="s">
        <v>228</v>
      </c>
      <c r="F1343" s="1" t="s">
        <v>393</v>
      </c>
      <c r="G1343" s="1" t="s">
        <v>21</v>
      </c>
      <c r="H1343" s="6">
        <v>1</v>
      </c>
      <c r="I1343" s="7">
        <v>1380</v>
      </c>
      <c r="J1343" s="5">
        <v>45926</v>
      </c>
      <c r="K1343" s="1" t="s">
        <v>30</v>
      </c>
      <c r="L1343" s="8">
        <v>0.26</v>
      </c>
      <c r="M1343" s="6"/>
      <c r="N1343" s="6"/>
      <c r="O1343" s="9">
        <v>-46</v>
      </c>
    </row>
    <row r="1344" spans="1:15" ht="19.5" customHeight="1">
      <c r="A1344" s="1" t="s">
        <v>671</v>
      </c>
      <c r="B1344" s="5">
        <v>45930</v>
      </c>
      <c r="C1344" s="1" t="s">
        <v>31</v>
      </c>
      <c r="D1344" s="1" t="s">
        <v>32</v>
      </c>
      <c r="E1344" s="1" t="s">
        <v>228</v>
      </c>
      <c r="F1344" s="1" t="s">
        <v>393</v>
      </c>
      <c r="G1344" s="1" t="s">
        <v>21</v>
      </c>
      <c r="H1344" s="6">
        <v>1</v>
      </c>
      <c r="I1344" s="7">
        <v>1380</v>
      </c>
      <c r="J1344" s="5">
        <v>45926</v>
      </c>
      <c r="K1344" s="1" t="s">
        <v>30</v>
      </c>
      <c r="L1344" s="8">
        <v>0</v>
      </c>
      <c r="M1344" s="6"/>
      <c r="N1344" s="6"/>
      <c r="O1344" s="9">
        <v>832.38</v>
      </c>
    </row>
    <row r="1345" spans="1:15" ht="19.5" customHeight="1">
      <c r="A1345" s="1" t="s">
        <v>671</v>
      </c>
      <c r="B1345" s="5">
        <v>45930</v>
      </c>
      <c r="C1345" s="1" t="s">
        <v>31</v>
      </c>
      <c r="D1345" s="1" t="s">
        <v>33</v>
      </c>
      <c r="E1345" s="1" t="s">
        <v>228</v>
      </c>
      <c r="F1345" s="1" t="s">
        <v>393</v>
      </c>
      <c r="G1345" s="1" t="s">
        <v>21</v>
      </c>
      <c r="H1345" s="6">
        <v>1</v>
      </c>
      <c r="I1345" s="7">
        <v>1380</v>
      </c>
      <c r="J1345" s="5">
        <v>45926</v>
      </c>
      <c r="K1345" s="1" t="s">
        <v>30</v>
      </c>
      <c r="L1345" s="8">
        <v>0</v>
      </c>
      <c r="M1345" s="6"/>
      <c r="N1345" s="6"/>
      <c r="O1345" s="9">
        <v>6.12</v>
      </c>
    </row>
    <row r="1346" spans="1:15" ht="19.5" customHeight="1">
      <c r="A1346" s="1" t="s">
        <v>671</v>
      </c>
      <c r="B1346" s="5">
        <v>45930</v>
      </c>
      <c r="C1346" s="1" t="s">
        <v>31</v>
      </c>
      <c r="D1346" s="1" t="s">
        <v>34</v>
      </c>
      <c r="E1346" s="1" t="s">
        <v>228</v>
      </c>
      <c r="F1346" s="1" t="s">
        <v>393</v>
      </c>
      <c r="G1346" s="1" t="s">
        <v>21</v>
      </c>
      <c r="H1346" s="6">
        <v>1</v>
      </c>
      <c r="I1346" s="7">
        <v>1380</v>
      </c>
      <c r="J1346" s="5">
        <v>45926</v>
      </c>
      <c r="K1346" s="1" t="s">
        <v>30</v>
      </c>
      <c r="L1346" s="8">
        <v>0</v>
      </c>
      <c r="M1346" s="6"/>
      <c r="N1346" s="6"/>
      <c r="O1346" s="9">
        <v>541.5</v>
      </c>
    </row>
    <row r="1347" spans="1:15" ht="19.5" customHeight="1">
      <c r="A1347" s="1" t="s">
        <v>671</v>
      </c>
      <c r="B1347" s="5">
        <v>45930</v>
      </c>
      <c r="C1347" s="1" t="s">
        <v>35</v>
      </c>
      <c r="D1347" s="1" t="s">
        <v>36</v>
      </c>
      <c r="E1347" s="1" t="s">
        <v>228</v>
      </c>
      <c r="F1347" s="1" t="s">
        <v>393</v>
      </c>
      <c r="G1347" s="1" t="s">
        <v>21</v>
      </c>
      <c r="H1347" s="6">
        <v>1</v>
      </c>
      <c r="I1347" s="7">
        <v>1380</v>
      </c>
      <c r="J1347" s="5">
        <v>45926</v>
      </c>
      <c r="K1347" s="1" t="s">
        <v>30</v>
      </c>
      <c r="L1347" s="8">
        <v>0.26</v>
      </c>
      <c r="M1347" s="6"/>
      <c r="N1347" s="6"/>
      <c r="O1347" s="9">
        <v>-358.8</v>
      </c>
    </row>
    <row r="1348" spans="1:15" ht="19.5" customHeight="1">
      <c r="A1348" s="1" t="s">
        <v>671</v>
      </c>
      <c r="B1348" s="5">
        <v>45930</v>
      </c>
      <c r="C1348" s="1" t="s">
        <v>17</v>
      </c>
      <c r="D1348" s="1" t="s">
        <v>37</v>
      </c>
      <c r="E1348" s="1" t="s">
        <v>228</v>
      </c>
      <c r="F1348" s="1" t="s">
        <v>393</v>
      </c>
      <c r="G1348" s="1" t="s">
        <v>21</v>
      </c>
      <c r="H1348" s="6">
        <v>1</v>
      </c>
      <c r="I1348" s="7">
        <v>1380</v>
      </c>
      <c r="J1348" s="5">
        <v>45926</v>
      </c>
      <c r="K1348" s="1" t="s">
        <v>30</v>
      </c>
      <c r="L1348" s="8">
        <v>0.26</v>
      </c>
      <c r="M1348" s="6"/>
      <c r="N1348" s="6"/>
      <c r="O1348" s="9">
        <v>-10.039999999999999</v>
      </c>
    </row>
    <row r="1349" spans="1:15" ht="19.5" customHeight="1">
      <c r="A1349" s="1" t="s">
        <v>671</v>
      </c>
      <c r="B1349" s="5">
        <v>45930</v>
      </c>
      <c r="C1349" s="1" t="s">
        <v>17</v>
      </c>
      <c r="D1349" s="1" t="s">
        <v>18</v>
      </c>
      <c r="E1349" s="1" t="s">
        <v>228</v>
      </c>
      <c r="F1349" s="1" t="s">
        <v>393</v>
      </c>
      <c r="G1349" s="1" t="s">
        <v>21</v>
      </c>
      <c r="H1349" s="6">
        <v>1</v>
      </c>
      <c r="I1349" s="7">
        <v>0</v>
      </c>
      <c r="J1349" s="5">
        <v>45926</v>
      </c>
      <c r="K1349" s="1" t="s">
        <v>22</v>
      </c>
      <c r="L1349" s="8">
        <v>0</v>
      </c>
      <c r="M1349" s="6"/>
      <c r="N1349" s="6"/>
      <c r="O1349" s="9">
        <v>-15.82</v>
      </c>
    </row>
    <row r="1350" spans="1:15" ht="19.5" customHeight="1">
      <c r="A1350" s="1" t="s">
        <v>672</v>
      </c>
      <c r="B1350" s="5">
        <v>45930</v>
      </c>
      <c r="C1350" s="1" t="s">
        <v>28</v>
      </c>
      <c r="D1350" s="1" t="s">
        <v>29</v>
      </c>
      <c r="E1350" s="1" t="s">
        <v>25</v>
      </c>
      <c r="F1350" s="1" t="s">
        <v>26</v>
      </c>
      <c r="G1350" s="1" t="s">
        <v>21</v>
      </c>
      <c r="H1350" s="6">
        <v>1</v>
      </c>
      <c r="I1350" s="7">
        <v>0</v>
      </c>
      <c r="J1350" s="5">
        <v>45925</v>
      </c>
      <c r="K1350" s="1" t="s">
        <v>30</v>
      </c>
      <c r="L1350" s="8">
        <v>0</v>
      </c>
      <c r="M1350" s="6"/>
      <c r="N1350" s="6"/>
      <c r="O1350" s="9">
        <v>-46</v>
      </c>
    </row>
    <row r="1351" spans="1:15" ht="19.5" customHeight="1">
      <c r="A1351" s="1" t="s">
        <v>672</v>
      </c>
      <c r="B1351" s="5">
        <v>45930</v>
      </c>
      <c r="C1351" s="1" t="s">
        <v>17</v>
      </c>
      <c r="D1351" s="1" t="s">
        <v>37</v>
      </c>
      <c r="E1351" s="1" t="s">
        <v>25</v>
      </c>
      <c r="F1351" s="1" t="s">
        <v>26</v>
      </c>
      <c r="G1351" s="1" t="s">
        <v>21</v>
      </c>
      <c r="H1351" s="6">
        <v>1</v>
      </c>
      <c r="I1351" s="7">
        <v>0</v>
      </c>
      <c r="J1351" s="5">
        <v>45925</v>
      </c>
      <c r="K1351" s="1" t="s">
        <v>30</v>
      </c>
      <c r="L1351" s="8">
        <v>0</v>
      </c>
      <c r="M1351" s="6"/>
      <c r="N1351" s="6"/>
      <c r="O1351" s="9">
        <v>-5.1100000000000003</v>
      </c>
    </row>
    <row r="1352" spans="1:15" ht="19.5" customHeight="1">
      <c r="A1352" s="1" t="s">
        <v>672</v>
      </c>
      <c r="B1352" s="5">
        <v>45930</v>
      </c>
      <c r="C1352" s="1" t="s">
        <v>28</v>
      </c>
      <c r="D1352" s="1" t="s">
        <v>356</v>
      </c>
      <c r="E1352" s="1" t="s">
        <v>25</v>
      </c>
      <c r="F1352" s="1" t="s">
        <v>26</v>
      </c>
      <c r="G1352" s="1" t="s">
        <v>21</v>
      </c>
      <c r="H1352" s="6">
        <v>1</v>
      </c>
      <c r="I1352" s="7">
        <v>0</v>
      </c>
      <c r="J1352" s="5">
        <v>45925</v>
      </c>
      <c r="K1352" s="1" t="s">
        <v>30</v>
      </c>
      <c r="L1352" s="8">
        <v>0</v>
      </c>
      <c r="M1352" s="6"/>
      <c r="N1352" s="6"/>
      <c r="O1352" s="9">
        <v>0</v>
      </c>
    </row>
    <row r="1353" spans="1:15" ht="19.5" customHeight="1">
      <c r="A1353" s="1" t="s">
        <v>672</v>
      </c>
      <c r="B1353" s="5">
        <v>45930</v>
      </c>
      <c r="C1353" s="1" t="s">
        <v>28</v>
      </c>
      <c r="D1353" s="1" t="s">
        <v>46</v>
      </c>
      <c r="E1353" s="1" t="s">
        <v>25</v>
      </c>
      <c r="F1353" s="1" t="s">
        <v>26</v>
      </c>
      <c r="G1353" s="1" t="s">
        <v>21</v>
      </c>
      <c r="H1353" s="6">
        <v>1</v>
      </c>
      <c r="I1353" s="7">
        <v>0</v>
      </c>
      <c r="J1353" s="5">
        <v>45925</v>
      </c>
      <c r="K1353" s="1" t="s">
        <v>30</v>
      </c>
      <c r="L1353" s="8">
        <v>0</v>
      </c>
      <c r="M1353" s="6"/>
      <c r="N1353" s="6"/>
      <c r="O1353" s="9">
        <v>-46</v>
      </c>
    </row>
    <row r="1354" spans="1:15" ht="19.5" customHeight="1">
      <c r="A1354" s="1" t="s">
        <v>672</v>
      </c>
      <c r="B1354" s="5">
        <v>45930</v>
      </c>
      <c r="C1354" s="1" t="s">
        <v>17</v>
      </c>
      <c r="D1354" s="1" t="s">
        <v>47</v>
      </c>
      <c r="E1354" s="1" t="s">
        <v>25</v>
      </c>
      <c r="F1354" s="1" t="s">
        <v>26</v>
      </c>
      <c r="G1354" s="1" t="s">
        <v>21</v>
      </c>
      <c r="H1354" s="6">
        <v>1</v>
      </c>
      <c r="I1354" s="7">
        <v>0</v>
      </c>
      <c r="J1354" s="5">
        <v>45925</v>
      </c>
      <c r="K1354" s="1" t="s">
        <v>30</v>
      </c>
      <c r="L1354" s="8">
        <v>0</v>
      </c>
      <c r="M1354" s="6"/>
      <c r="N1354" s="6"/>
      <c r="O1354" s="9">
        <v>-15</v>
      </c>
    </row>
    <row r="1355" spans="1:15" ht="19.5" customHeight="1">
      <c r="A1355" s="1" t="s">
        <v>22</v>
      </c>
      <c r="B1355" s="5">
        <v>45930</v>
      </c>
      <c r="C1355" s="1" t="s">
        <v>77</v>
      </c>
      <c r="D1355" s="1" t="s">
        <v>78</v>
      </c>
      <c r="E1355" s="1" t="s">
        <v>22</v>
      </c>
      <c r="F1355" s="1" t="s">
        <v>22</v>
      </c>
      <c r="G1355" s="1" t="s">
        <v>673</v>
      </c>
      <c r="H1355" s="6">
        <v>0</v>
      </c>
      <c r="I1355" s="7">
        <v>0</v>
      </c>
      <c r="J1355" s="5">
        <v>45930</v>
      </c>
      <c r="K1355" s="1" t="s">
        <v>22</v>
      </c>
      <c r="L1355" s="8">
        <v>0</v>
      </c>
      <c r="M1355" s="6"/>
      <c r="N1355" s="6"/>
      <c r="O1355" s="9">
        <v>-200</v>
      </c>
    </row>
    <row r="1356" spans="1:15" ht="19.5" customHeight="1">
      <c r="A1356" s="1" t="s">
        <v>22</v>
      </c>
      <c r="B1356" s="5">
        <v>45930</v>
      </c>
      <c r="C1356" s="1" t="s">
        <v>77</v>
      </c>
      <c r="D1356" s="1" t="s">
        <v>80</v>
      </c>
      <c r="E1356" s="1" t="s">
        <v>22</v>
      </c>
      <c r="F1356" s="1" t="s">
        <v>22</v>
      </c>
      <c r="G1356" s="1" t="s">
        <v>22</v>
      </c>
      <c r="H1356" s="6">
        <v>0</v>
      </c>
      <c r="I1356" s="7">
        <v>0</v>
      </c>
      <c r="J1356" s="5">
        <v>45930</v>
      </c>
      <c r="K1356" s="1" t="s">
        <v>22</v>
      </c>
      <c r="L1356" s="8">
        <v>0</v>
      </c>
      <c r="M1356" s="6"/>
      <c r="N1356" s="6"/>
      <c r="O1356" s="9">
        <v>-216</v>
      </c>
    </row>
    <row r="1357" spans="1:15" ht="19.5" customHeight="1">
      <c r="A1357" s="1" t="s">
        <v>454</v>
      </c>
      <c r="B1357" s="5">
        <v>45930</v>
      </c>
      <c r="C1357" s="1" t="s">
        <v>77</v>
      </c>
      <c r="D1357" s="1" t="s">
        <v>82</v>
      </c>
      <c r="E1357" s="1" t="s">
        <v>22</v>
      </c>
      <c r="F1357" s="1" t="s">
        <v>22</v>
      </c>
      <c r="G1357" s="1" t="s">
        <v>22</v>
      </c>
      <c r="H1357" s="6">
        <v>0</v>
      </c>
      <c r="I1357" s="7">
        <v>0</v>
      </c>
      <c r="J1357" s="5">
        <v>45930</v>
      </c>
      <c r="K1357" s="1" t="s">
        <v>22</v>
      </c>
      <c r="L1357" s="8">
        <v>0</v>
      </c>
      <c r="M1357" s="6"/>
      <c r="N1357" s="6"/>
      <c r="O1357" s="9">
        <v>-1683.59</v>
      </c>
    </row>
    <row r="1358" spans="1:15" ht="19.5" customHeight="1">
      <c r="A1358" s="1" t="s">
        <v>85</v>
      </c>
      <c r="B1358" s="5">
        <v>45930</v>
      </c>
      <c r="C1358" s="1" t="s">
        <v>77</v>
      </c>
      <c r="D1358" s="1" t="s">
        <v>82</v>
      </c>
      <c r="E1358" s="1" t="s">
        <v>22</v>
      </c>
      <c r="F1358" s="1" t="s">
        <v>22</v>
      </c>
      <c r="G1358" s="1" t="s">
        <v>22</v>
      </c>
      <c r="H1358" s="6">
        <v>0</v>
      </c>
      <c r="I1358" s="7">
        <v>0</v>
      </c>
      <c r="J1358" s="5">
        <v>45930</v>
      </c>
      <c r="K1358" s="1" t="s">
        <v>22</v>
      </c>
      <c r="L1358" s="8">
        <v>0</v>
      </c>
      <c r="M1358" s="6"/>
      <c r="N1358" s="6"/>
      <c r="O1358" s="9">
        <v>-940.6</v>
      </c>
    </row>
    <row r="1359" spans="1:15" ht="19.5" customHeight="1">
      <c r="A1359" s="1" t="s">
        <v>83</v>
      </c>
      <c r="B1359" s="5">
        <v>45930</v>
      </c>
      <c r="C1359" s="1" t="s">
        <v>77</v>
      </c>
      <c r="D1359" s="1" t="s">
        <v>84</v>
      </c>
      <c r="E1359" s="1" t="s">
        <v>22</v>
      </c>
      <c r="F1359" s="1" t="s">
        <v>22</v>
      </c>
      <c r="G1359" s="1" t="s">
        <v>22</v>
      </c>
      <c r="H1359" s="6">
        <v>0</v>
      </c>
      <c r="I1359" s="7">
        <v>0</v>
      </c>
      <c r="J1359" s="5">
        <v>45930</v>
      </c>
      <c r="K1359" s="1" t="s">
        <v>22</v>
      </c>
      <c r="L1359" s="8">
        <v>0</v>
      </c>
      <c r="M1359" s="6"/>
      <c r="N1359" s="6"/>
      <c r="O1359" s="9">
        <v>-1139.4000000000001</v>
      </c>
    </row>
    <row r="1360" spans="1:15" ht="19.5" customHeight="1">
      <c r="A1360" s="1" t="s">
        <v>81</v>
      </c>
      <c r="B1360" s="5">
        <v>45930</v>
      </c>
      <c r="C1360" s="1" t="s">
        <v>77</v>
      </c>
      <c r="D1360" s="1" t="s">
        <v>82</v>
      </c>
      <c r="E1360" s="1" t="s">
        <v>22</v>
      </c>
      <c r="F1360" s="1" t="s">
        <v>22</v>
      </c>
      <c r="G1360" s="1" t="s">
        <v>22</v>
      </c>
      <c r="H1360" s="6">
        <v>0</v>
      </c>
      <c r="I1360" s="7">
        <v>0</v>
      </c>
      <c r="J1360" s="5">
        <v>45930</v>
      </c>
      <c r="K1360" s="1" t="s">
        <v>22</v>
      </c>
      <c r="L1360" s="8">
        <v>0</v>
      </c>
      <c r="M1360" s="6"/>
      <c r="N1360" s="6"/>
      <c r="O1360" s="9">
        <v>-836.69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2B63-281D-4A98-A044-60F93532D149}">
  <dimension ref="A1:O98"/>
  <sheetViews>
    <sheetView zoomScale="80" zoomScaleNormal="80" workbookViewId="0">
      <selection activeCell="E9" sqref="E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4" width="20.7265625" customWidth="1"/>
    <col min="15" max="15" width="20.7265625" style="2" customWidth="1"/>
  </cols>
  <sheetData>
    <row r="1" spans="1:15" ht="19.5" customHeight="1">
      <c r="A1" s="1" t="s">
        <v>324</v>
      </c>
    </row>
    <row r="2" spans="1:15" ht="78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</row>
    <row r="3" spans="1:15" ht="19.5" customHeight="1">
      <c r="A3" s="1" t="s">
        <v>325</v>
      </c>
      <c r="B3" s="5">
        <v>45886</v>
      </c>
      <c r="C3" s="1" t="s">
        <v>261</v>
      </c>
      <c r="D3" s="1" t="s">
        <v>326</v>
      </c>
      <c r="E3" s="1" t="s">
        <v>22</v>
      </c>
      <c r="F3" s="1" t="s">
        <v>22</v>
      </c>
      <c r="G3" s="1" t="s">
        <v>22</v>
      </c>
      <c r="H3" s="6">
        <v>0</v>
      </c>
      <c r="I3" s="7">
        <v>0</v>
      </c>
      <c r="J3" s="5">
        <v>45881</v>
      </c>
      <c r="K3" s="1" t="s">
        <v>22</v>
      </c>
      <c r="L3" s="8">
        <v>0</v>
      </c>
      <c r="M3" s="6"/>
      <c r="N3" s="6"/>
      <c r="O3" s="9">
        <v>-456.75</v>
      </c>
    </row>
    <row r="4" spans="1:15" ht="19.5" customHeight="1">
      <c r="A4" s="1" t="s">
        <v>325</v>
      </c>
      <c r="B4" s="5">
        <v>45886</v>
      </c>
      <c r="C4" s="1" t="s">
        <v>261</v>
      </c>
      <c r="D4" s="1" t="s">
        <v>326</v>
      </c>
      <c r="E4" s="1" t="s">
        <v>22</v>
      </c>
      <c r="F4" s="1" t="s">
        <v>22</v>
      </c>
      <c r="G4" s="1" t="s">
        <v>22</v>
      </c>
      <c r="H4" s="6">
        <v>0</v>
      </c>
      <c r="I4" s="7">
        <v>0</v>
      </c>
      <c r="J4" s="5">
        <v>45881</v>
      </c>
      <c r="K4" s="1" t="s">
        <v>22</v>
      </c>
      <c r="L4" s="8">
        <v>0</v>
      </c>
      <c r="M4" s="6"/>
      <c r="N4" s="6"/>
      <c r="O4" s="9">
        <v>-456.75</v>
      </c>
    </row>
    <row r="5" spans="1:15" ht="19.5" customHeight="1">
      <c r="A5" s="1" t="s">
        <v>325</v>
      </c>
      <c r="B5" s="5">
        <v>45886</v>
      </c>
      <c r="C5" s="1" t="s">
        <v>261</v>
      </c>
      <c r="D5" s="1" t="s">
        <v>326</v>
      </c>
      <c r="E5" s="1" t="s">
        <v>22</v>
      </c>
      <c r="F5" s="1" t="s">
        <v>22</v>
      </c>
      <c r="G5" s="1" t="s">
        <v>22</v>
      </c>
      <c r="H5" s="6">
        <v>0</v>
      </c>
      <c r="I5" s="7">
        <v>0</v>
      </c>
      <c r="J5" s="5">
        <v>45881</v>
      </c>
      <c r="K5" s="1" t="s">
        <v>22</v>
      </c>
      <c r="L5" s="8">
        <v>0</v>
      </c>
      <c r="M5" s="6"/>
      <c r="N5" s="6"/>
      <c r="O5" s="9">
        <v>-456.75</v>
      </c>
    </row>
    <row r="6" spans="1:15" ht="19.5" customHeight="1">
      <c r="A6" s="1" t="s">
        <v>325</v>
      </c>
      <c r="B6" s="5">
        <v>45886</v>
      </c>
      <c r="C6" s="1" t="s">
        <v>261</v>
      </c>
      <c r="D6" s="1" t="s">
        <v>326</v>
      </c>
      <c r="E6" s="1" t="s">
        <v>22</v>
      </c>
      <c r="F6" s="1" t="s">
        <v>22</v>
      </c>
      <c r="G6" s="1" t="s">
        <v>22</v>
      </c>
      <c r="H6" s="6">
        <v>0</v>
      </c>
      <c r="I6" s="7">
        <v>0</v>
      </c>
      <c r="J6" s="5">
        <v>45881</v>
      </c>
      <c r="K6" s="1" t="s">
        <v>22</v>
      </c>
      <c r="L6" s="8">
        <v>0</v>
      </c>
      <c r="M6" s="6"/>
      <c r="N6" s="6"/>
      <c r="O6" s="9">
        <v>-456.75</v>
      </c>
    </row>
    <row r="7" spans="1:15" ht="19.5" customHeight="1">
      <c r="A7" s="1" t="s">
        <v>327</v>
      </c>
      <c r="B7" s="5">
        <v>45887</v>
      </c>
      <c r="C7" s="1" t="s">
        <v>261</v>
      </c>
      <c r="D7" s="1" t="s">
        <v>326</v>
      </c>
      <c r="E7" s="1" t="s">
        <v>22</v>
      </c>
      <c r="F7" s="1" t="s">
        <v>22</v>
      </c>
      <c r="G7" s="1" t="s">
        <v>22</v>
      </c>
      <c r="H7" s="6">
        <v>0</v>
      </c>
      <c r="I7" s="7">
        <v>0</v>
      </c>
      <c r="J7" s="5">
        <v>45881</v>
      </c>
      <c r="K7" s="1" t="s">
        <v>22</v>
      </c>
      <c r="L7" s="8">
        <v>0</v>
      </c>
      <c r="M7" s="6"/>
      <c r="N7" s="6"/>
      <c r="O7" s="9">
        <v>-885.8</v>
      </c>
    </row>
    <row r="8" spans="1:15" ht="19.5" customHeight="1">
      <c r="A8" s="1" t="s">
        <v>327</v>
      </c>
      <c r="B8" s="5">
        <v>45887</v>
      </c>
      <c r="C8" s="1" t="s">
        <v>261</v>
      </c>
      <c r="D8" s="1" t="s">
        <v>326</v>
      </c>
      <c r="E8" s="1" t="s">
        <v>22</v>
      </c>
      <c r="F8" s="1" t="s">
        <v>22</v>
      </c>
      <c r="G8" s="1" t="s">
        <v>22</v>
      </c>
      <c r="H8" s="6">
        <v>0</v>
      </c>
      <c r="I8" s="7">
        <v>0</v>
      </c>
      <c r="J8" s="5">
        <v>45881</v>
      </c>
      <c r="K8" s="1" t="s">
        <v>22</v>
      </c>
      <c r="L8" s="8">
        <v>0</v>
      </c>
      <c r="M8" s="6"/>
      <c r="N8" s="6"/>
      <c r="O8" s="9">
        <v>-896.1</v>
      </c>
    </row>
    <row r="9" spans="1:15" ht="19.5" customHeight="1">
      <c r="A9" s="1" t="s">
        <v>327</v>
      </c>
      <c r="B9" s="5">
        <v>45887</v>
      </c>
      <c r="C9" s="1" t="s">
        <v>261</v>
      </c>
      <c r="D9" s="1" t="s">
        <v>326</v>
      </c>
      <c r="E9" s="1" t="s">
        <v>22</v>
      </c>
      <c r="F9" s="1" t="s">
        <v>22</v>
      </c>
      <c r="G9" s="1" t="s">
        <v>22</v>
      </c>
      <c r="H9" s="6">
        <v>0</v>
      </c>
      <c r="I9" s="7">
        <v>0</v>
      </c>
      <c r="J9" s="5">
        <v>45881</v>
      </c>
      <c r="K9" s="1" t="s">
        <v>22</v>
      </c>
      <c r="L9" s="8">
        <v>0</v>
      </c>
      <c r="M9" s="6"/>
      <c r="N9" s="6"/>
      <c r="O9" s="9">
        <v>-896.1</v>
      </c>
    </row>
    <row r="10" spans="1:15" ht="19.5" customHeight="1">
      <c r="A10" s="1" t="s">
        <v>327</v>
      </c>
      <c r="B10" s="5">
        <v>45887</v>
      </c>
      <c r="C10" s="1" t="s">
        <v>261</v>
      </c>
      <c r="D10" s="1" t="s">
        <v>326</v>
      </c>
      <c r="E10" s="1" t="s">
        <v>22</v>
      </c>
      <c r="F10" s="1" t="s">
        <v>22</v>
      </c>
      <c r="G10" s="1" t="s">
        <v>22</v>
      </c>
      <c r="H10" s="6">
        <v>0</v>
      </c>
      <c r="I10" s="7">
        <v>0</v>
      </c>
      <c r="J10" s="5">
        <v>45881</v>
      </c>
      <c r="K10" s="1" t="s">
        <v>22</v>
      </c>
      <c r="L10" s="8">
        <v>0</v>
      </c>
      <c r="M10" s="6"/>
      <c r="N10" s="6"/>
      <c r="O10" s="9">
        <v>-896.1</v>
      </c>
    </row>
    <row r="11" spans="1:15" ht="19.5" customHeight="1">
      <c r="A11" s="1" t="s">
        <v>328</v>
      </c>
      <c r="B11" s="5">
        <v>45887</v>
      </c>
      <c r="C11" s="1" t="s">
        <v>261</v>
      </c>
      <c r="D11" s="1" t="s">
        <v>326</v>
      </c>
      <c r="E11" s="1" t="s">
        <v>22</v>
      </c>
      <c r="F11" s="1" t="s">
        <v>22</v>
      </c>
      <c r="G11" s="1" t="s">
        <v>22</v>
      </c>
      <c r="H11" s="6">
        <v>0</v>
      </c>
      <c r="I11" s="7">
        <v>0</v>
      </c>
      <c r="J11" s="5">
        <v>45881</v>
      </c>
      <c r="K11" s="1" t="s">
        <v>22</v>
      </c>
      <c r="L11" s="8">
        <v>0</v>
      </c>
      <c r="M11" s="6"/>
      <c r="N11" s="6"/>
      <c r="O11" s="9">
        <v>-387.15</v>
      </c>
    </row>
    <row r="12" spans="1:15" ht="19.5" customHeight="1">
      <c r="A12" s="1" t="s">
        <v>328</v>
      </c>
      <c r="B12" s="5">
        <v>45887</v>
      </c>
      <c r="C12" s="1" t="s">
        <v>261</v>
      </c>
      <c r="D12" s="1" t="s">
        <v>326</v>
      </c>
      <c r="E12" s="1" t="s">
        <v>22</v>
      </c>
      <c r="F12" s="1" t="s">
        <v>22</v>
      </c>
      <c r="G12" s="1" t="s">
        <v>22</v>
      </c>
      <c r="H12" s="6">
        <v>0</v>
      </c>
      <c r="I12" s="7">
        <v>0</v>
      </c>
      <c r="J12" s="5">
        <v>45881</v>
      </c>
      <c r="K12" s="1" t="s">
        <v>22</v>
      </c>
      <c r="L12" s="8">
        <v>0</v>
      </c>
      <c r="M12" s="6"/>
      <c r="N12" s="6"/>
      <c r="O12" s="9">
        <v>-387.15</v>
      </c>
    </row>
    <row r="13" spans="1:15" ht="19.5" customHeight="1">
      <c r="A13" s="1" t="s">
        <v>328</v>
      </c>
      <c r="B13" s="5">
        <v>45887</v>
      </c>
      <c r="C13" s="1" t="s">
        <v>261</v>
      </c>
      <c r="D13" s="1" t="s">
        <v>326</v>
      </c>
      <c r="E13" s="1" t="s">
        <v>22</v>
      </c>
      <c r="F13" s="1" t="s">
        <v>22</v>
      </c>
      <c r="G13" s="1" t="s">
        <v>22</v>
      </c>
      <c r="H13" s="6">
        <v>0</v>
      </c>
      <c r="I13" s="7">
        <v>0</v>
      </c>
      <c r="J13" s="5">
        <v>45881</v>
      </c>
      <c r="K13" s="1" t="s">
        <v>22</v>
      </c>
      <c r="L13" s="8">
        <v>0</v>
      </c>
      <c r="M13" s="6"/>
      <c r="N13" s="6"/>
      <c r="O13" s="9">
        <v>-387.15</v>
      </c>
    </row>
    <row r="14" spans="1:15" ht="19.5" customHeight="1">
      <c r="A14" s="1" t="s">
        <v>328</v>
      </c>
      <c r="B14" s="5">
        <v>45887</v>
      </c>
      <c r="C14" s="1" t="s">
        <v>261</v>
      </c>
      <c r="D14" s="1" t="s">
        <v>326</v>
      </c>
      <c r="E14" s="1" t="s">
        <v>22</v>
      </c>
      <c r="F14" s="1" t="s">
        <v>22</v>
      </c>
      <c r="G14" s="1" t="s">
        <v>22</v>
      </c>
      <c r="H14" s="6">
        <v>0</v>
      </c>
      <c r="I14" s="7">
        <v>0</v>
      </c>
      <c r="J14" s="5">
        <v>45881</v>
      </c>
      <c r="K14" s="1" t="s">
        <v>22</v>
      </c>
      <c r="L14" s="8">
        <v>0</v>
      </c>
      <c r="M14" s="6"/>
      <c r="N14" s="6"/>
      <c r="O14" s="9">
        <v>-382.7</v>
      </c>
    </row>
    <row r="15" spans="1:15" ht="19.5" customHeight="1">
      <c r="A15" s="1" t="s">
        <v>328</v>
      </c>
      <c r="B15" s="5">
        <v>45887</v>
      </c>
      <c r="C15" s="1" t="s">
        <v>261</v>
      </c>
      <c r="D15" s="1" t="s">
        <v>329</v>
      </c>
      <c r="E15" s="1" t="s">
        <v>22</v>
      </c>
      <c r="F15" s="1" t="s">
        <v>22</v>
      </c>
      <c r="G15" s="1" t="s">
        <v>22</v>
      </c>
      <c r="H15" s="6">
        <v>0</v>
      </c>
      <c r="I15" s="7">
        <v>0</v>
      </c>
      <c r="J15" s="5">
        <v>45887</v>
      </c>
      <c r="K15" s="1" t="s">
        <v>22</v>
      </c>
      <c r="L15" s="8">
        <v>0</v>
      </c>
      <c r="M15" s="6"/>
      <c r="N15" s="6"/>
      <c r="O15" s="9">
        <v>-5</v>
      </c>
    </row>
    <row r="16" spans="1:15" ht="19.5" customHeight="1">
      <c r="A16" s="1" t="s">
        <v>327</v>
      </c>
      <c r="B16" s="5">
        <v>45887</v>
      </c>
      <c r="C16" s="1" t="s">
        <v>261</v>
      </c>
      <c r="D16" s="1" t="s">
        <v>329</v>
      </c>
      <c r="E16" s="1" t="s">
        <v>22</v>
      </c>
      <c r="F16" s="1" t="s">
        <v>22</v>
      </c>
      <c r="G16" s="1" t="s">
        <v>22</v>
      </c>
      <c r="H16" s="6">
        <v>0</v>
      </c>
      <c r="I16" s="7">
        <v>0</v>
      </c>
      <c r="J16" s="5">
        <v>45887</v>
      </c>
      <c r="K16" s="1" t="s">
        <v>22</v>
      </c>
      <c r="L16" s="8">
        <v>0</v>
      </c>
      <c r="M16" s="6"/>
      <c r="N16" s="6"/>
      <c r="O16" s="9">
        <v>-5</v>
      </c>
    </row>
    <row r="17" spans="1:15" ht="19.5" customHeight="1">
      <c r="A17" s="1" t="s">
        <v>22</v>
      </c>
      <c r="B17" s="5">
        <v>45887</v>
      </c>
      <c r="C17" s="1" t="s">
        <v>77</v>
      </c>
      <c r="D17" s="1" t="s">
        <v>330</v>
      </c>
      <c r="E17" s="1" t="s">
        <v>22</v>
      </c>
      <c r="F17" s="1" t="s">
        <v>22</v>
      </c>
      <c r="G17" s="1" t="s">
        <v>331</v>
      </c>
      <c r="H17" s="6">
        <v>0</v>
      </c>
      <c r="I17" s="7">
        <v>0</v>
      </c>
      <c r="J17" s="5">
        <v>45887</v>
      </c>
      <c r="K17" s="1" t="s">
        <v>22</v>
      </c>
      <c r="L17" s="8">
        <v>0</v>
      </c>
      <c r="M17" s="6"/>
      <c r="N17" s="6"/>
      <c r="O17" s="9">
        <v>-738.95</v>
      </c>
    </row>
    <row r="18" spans="1:15" ht="19.5" customHeight="1">
      <c r="A18" s="1" t="s">
        <v>22</v>
      </c>
      <c r="B18" s="5">
        <v>45888</v>
      </c>
      <c r="C18" s="1" t="s">
        <v>77</v>
      </c>
      <c r="D18" s="1" t="s">
        <v>330</v>
      </c>
      <c r="E18" s="1" t="s">
        <v>22</v>
      </c>
      <c r="F18" s="1" t="s">
        <v>22</v>
      </c>
      <c r="G18" s="1" t="s">
        <v>332</v>
      </c>
      <c r="H18" s="6">
        <v>0</v>
      </c>
      <c r="I18" s="7">
        <v>0</v>
      </c>
      <c r="J18" s="5">
        <v>45888</v>
      </c>
      <c r="K18" s="1" t="s">
        <v>22</v>
      </c>
      <c r="L18" s="8">
        <v>0</v>
      </c>
      <c r="M18" s="6"/>
      <c r="N18" s="6"/>
      <c r="O18" s="9">
        <v>-2830.34</v>
      </c>
    </row>
    <row r="19" spans="1:15" ht="19.5" customHeight="1">
      <c r="A19" s="1" t="s">
        <v>333</v>
      </c>
      <c r="B19" s="5">
        <v>45889</v>
      </c>
      <c r="C19" s="1" t="s">
        <v>261</v>
      </c>
      <c r="D19" s="1" t="s">
        <v>326</v>
      </c>
      <c r="E19" s="1" t="s">
        <v>22</v>
      </c>
      <c r="F19" s="1" t="s">
        <v>22</v>
      </c>
      <c r="G19" s="1" t="s">
        <v>22</v>
      </c>
      <c r="H19" s="6">
        <v>0</v>
      </c>
      <c r="I19" s="7">
        <v>0</v>
      </c>
      <c r="J19" s="5">
        <v>45881</v>
      </c>
      <c r="K19" s="1" t="s">
        <v>22</v>
      </c>
      <c r="L19" s="8">
        <v>0</v>
      </c>
      <c r="M19" s="6"/>
      <c r="N19" s="6"/>
      <c r="O19" s="9">
        <v>-1026.5999999999999</v>
      </c>
    </row>
    <row r="20" spans="1:15" ht="19.5" customHeight="1">
      <c r="A20" s="1" t="s">
        <v>333</v>
      </c>
      <c r="B20" s="5">
        <v>45889</v>
      </c>
      <c r="C20" s="1" t="s">
        <v>261</v>
      </c>
      <c r="D20" s="1" t="s">
        <v>326</v>
      </c>
      <c r="E20" s="1" t="s">
        <v>22</v>
      </c>
      <c r="F20" s="1" t="s">
        <v>22</v>
      </c>
      <c r="G20" s="1" t="s">
        <v>22</v>
      </c>
      <c r="H20" s="6">
        <v>0</v>
      </c>
      <c r="I20" s="7">
        <v>0</v>
      </c>
      <c r="J20" s="5">
        <v>45881</v>
      </c>
      <c r="K20" s="1" t="s">
        <v>22</v>
      </c>
      <c r="L20" s="8">
        <v>0</v>
      </c>
      <c r="M20" s="6"/>
      <c r="N20" s="6"/>
      <c r="O20" s="9">
        <v>-1026.5999999999999</v>
      </c>
    </row>
    <row r="21" spans="1:15" ht="19.5" customHeight="1">
      <c r="A21" s="1" t="s">
        <v>333</v>
      </c>
      <c r="B21" s="5">
        <v>45889</v>
      </c>
      <c r="C21" s="1" t="s">
        <v>261</v>
      </c>
      <c r="D21" s="1" t="s">
        <v>326</v>
      </c>
      <c r="E21" s="1" t="s">
        <v>22</v>
      </c>
      <c r="F21" s="1" t="s">
        <v>22</v>
      </c>
      <c r="G21" s="1" t="s">
        <v>22</v>
      </c>
      <c r="H21" s="6">
        <v>0</v>
      </c>
      <c r="I21" s="7">
        <v>0</v>
      </c>
      <c r="J21" s="5">
        <v>45881</v>
      </c>
      <c r="K21" s="1" t="s">
        <v>22</v>
      </c>
      <c r="L21" s="8">
        <v>0</v>
      </c>
      <c r="M21" s="6"/>
      <c r="N21" s="6"/>
      <c r="O21" s="9">
        <v>-1026.5999999999999</v>
      </c>
    </row>
    <row r="22" spans="1:15" ht="19.5" customHeight="1">
      <c r="A22" s="1" t="s">
        <v>333</v>
      </c>
      <c r="B22" s="5">
        <v>45889</v>
      </c>
      <c r="C22" s="1" t="s">
        <v>261</v>
      </c>
      <c r="D22" s="1" t="s">
        <v>326</v>
      </c>
      <c r="E22" s="1" t="s">
        <v>22</v>
      </c>
      <c r="F22" s="1" t="s">
        <v>22</v>
      </c>
      <c r="G22" s="1" t="s">
        <v>22</v>
      </c>
      <c r="H22" s="6">
        <v>0</v>
      </c>
      <c r="I22" s="7">
        <v>0</v>
      </c>
      <c r="J22" s="5">
        <v>45881</v>
      </c>
      <c r="K22" s="1" t="s">
        <v>22</v>
      </c>
      <c r="L22" s="8">
        <v>0</v>
      </c>
      <c r="M22" s="6"/>
      <c r="N22" s="6"/>
      <c r="O22" s="9">
        <v>-1026.5999999999999</v>
      </c>
    </row>
    <row r="23" spans="1:15" ht="19.5" customHeight="1">
      <c r="A23" s="1" t="s">
        <v>334</v>
      </c>
      <c r="B23" s="5">
        <v>45889</v>
      </c>
      <c r="C23" s="1" t="s">
        <v>17</v>
      </c>
      <c r="D23" s="1" t="s">
        <v>18</v>
      </c>
      <c r="E23" s="1" t="s">
        <v>54</v>
      </c>
      <c r="F23" s="1" t="s">
        <v>55</v>
      </c>
      <c r="G23" s="1" t="s">
        <v>21</v>
      </c>
      <c r="H23" s="6">
        <v>1</v>
      </c>
      <c r="I23" s="7">
        <v>0</v>
      </c>
      <c r="J23" s="5">
        <v>45889</v>
      </c>
      <c r="K23" s="1" t="s">
        <v>22</v>
      </c>
      <c r="L23" s="8">
        <v>0</v>
      </c>
      <c r="M23" s="6"/>
      <c r="N23" s="6"/>
      <c r="O23" s="9">
        <v>-24.21</v>
      </c>
    </row>
    <row r="24" spans="1:15" ht="19.5" customHeight="1">
      <c r="A24" s="1" t="s">
        <v>335</v>
      </c>
      <c r="B24" s="5">
        <v>45889</v>
      </c>
      <c r="C24" s="1" t="s">
        <v>261</v>
      </c>
      <c r="D24" s="1" t="s">
        <v>326</v>
      </c>
      <c r="E24" s="1" t="s">
        <v>22</v>
      </c>
      <c r="F24" s="1" t="s">
        <v>22</v>
      </c>
      <c r="G24" s="1" t="s">
        <v>22</v>
      </c>
      <c r="H24" s="6">
        <v>0</v>
      </c>
      <c r="I24" s="7">
        <v>0</v>
      </c>
      <c r="J24" s="5">
        <v>45881</v>
      </c>
      <c r="K24" s="1" t="s">
        <v>22</v>
      </c>
      <c r="L24" s="8">
        <v>0</v>
      </c>
      <c r="M24" s="6"/>
      <c r="N24" s="6"/>
      <c r="O24" s="9">
        <v>-1091.8499999999999</v>
      </c>
    </row>
    <row r="25" spans="1:15" ht="19.5" customHeight="1">
      <c r="A25" s="1" t="s">
        <v>335</v>
      </c>
      <c r="B25" s="5">
        <v>45889</v>
      </c>
      <c r="C25" s="1" t="s">
        <v>261</v>
      </c>
      <c r="D25" s="1" t="s">
        <v>326</v>
      </c>
      <c r="E25" s="1" t="s">
        <v>22</v>
      </c>
      <c r="F25" s="1" t="s">
        <v>22</v>
      </c>
      <c r="G25" s="1" t="s">
        <v>22</v>
      </c>
      <c r="H25" s="6">
        <v>0</v>
      </c>
      <c r="I25" s="7">
        <v>0</v>
      </c>
      <c r="J25" s="5">
        <v>45881</v>
      </c>
      <c r="K25" s="1" t="s">
        <v>22</v>
      </c>
      <c r="L25" s="8">
        <v>0</v>
      </c>
      <c r="M25" s="6"/>
      <c r="N25" s="6"/>
      <c r="O25" s="9">
        <v>-1079.3</v>
      </c>
    </row>
    <row r="26" spans="1:15" ht="19.5" customHeight="1">
      <c r="A26" s="1" t="s">
        <v>335</v>
      </c>
      <c r="B26" s="5">
        <v>45889</v>
      </c>
      <c r="C26" s="1" t="s">
        <v>261</v>
      </c>
      <c r="D26" s="1" t="s">
        <v>326</v>
      </c>
      <c r="E26" s="1" t="s">
        <v>22</v>
      </c>
      <c r="F26" s="1" t="s">
        <v>22</v>
      </c>
      <c r="G26" s="1" t="s">
        <v>22</v>
      </c>
      <c r="H26" s="6">
        <v>0</v>
      </c>
      <c r="I26" s="7">
        <v>0</v>
      </c>
      <c r="J26" s="5">
        <v>45881</v>
      </c>
      <c r="K26" s="1" t="s">
        <v>22</v>
      </c>
      <c r="L26" s="8">
        <v>0</v>
      </c>
      <c r="M26" s="6"/>
      <c r="N26" s="6"/>
      <c r="O26" s="9">
        <v>-1091.8499999999999</v>
      </c>
    </row>
    <row r="27" spans="1:15" ht="19.5" customHeight="1">
      <c r="A27" s="1" t="s">
        <v>335</v>
      </c>
      <c r="B27" s="5">
        <v>45889</v>
      </c>
      <c r="C27" s="1" t="s">
        <v>261</v>
      </c>
      <c r="D27" s="1" t="s">
        <v>326</v>
      </c>
      <c r="E27" s="1" t="s">
        <v>22</v>
      </c>
      <c r="F27" s="1" t="s">
        <v>22</v>
      </c>
      <c r="G27" s="1" t="s">
        <v>22</v>
      </c>
      <c r="H27" s="6">
        <v>0</v>
      </c>
      <c r="I27" s="7">
        <v>0</v>
      </c>
      <c r="J27" s="5">
        <v>45881</v>
      </c>
      <c r="K27" s="1" t="s">
        <v>22</v>
      </c>
      <c r="L27" s="8">
        <v>0</v>
      </c>
      <c r="M27" s="6"/>
      <c r="N27" s="6"/>
      <c r="O27" s="9">
        <v>-1091.8499999999999</v>
      </c>
    </row>
    <row r="28" spans="1:15" ht="19.5" customHeight="1">
      <c r="A28" s="1" t="s">
        <v>83</v>
      </c>
      <c r="B28" s="5">
        <v>45889</v>
      </c>
      <c r="C28" s="1" t="s">
        <v>77</v>
      </c>
      <c r="D28" s="1" t="s">
        <v>84</v>
      </c>
      <c r="E28" s="1" t="s">
        <v>22</v>
      </c>
      <c r="F28" s="1" t="s">
        <v>22</v>
      </c>
      <c r="G28" s="1" t="s">
        <v>22</v>
      </c>
      <c r="H28" s="6">
        <v>0</v>
      </c>
      <c r="I28" s="7">
        <v>0</v>
      </c>
      <c r="J28" s="5">
        <v>45889</v>
      </c>
      <c r="K28" s="1" t="s">
        <v>22</v>
      </c>
      <c r="L28" s="8">
        <v>0</v>
      </c>
      <c r="M28" s="6"/>
      <c r="N28" s="6"/>
      <c r="O28" s="9">
        <v>-153</v>
      </c>
    </row>
    <row r="29" spans="1:15" ht="19.5" customHeight="1">
      <c r="A29" s="1" t="s">
        <v>22</v>
      </c>
      <c r="B29" s="5">
        <v>45889</v>
      </c>
      <c r="C29" s="1" t="s">
        <v>77</v>
      </c>
      <c r="D29" s="1" t="s">
        <v>330</v>
      </c>
      <c r="E29" s="1" t="s">
        <v>22</v>
      </c>
      <c r="F29" s="1" t="s">
        <v>22</v>
      </c>
      <c r="G29" s="1" t="s">
        <v>336</v>
      </c>
      <c r="H29" s="6">
        <v>0</v>
      </c>
      <c r="I29" s="7">
        <v>0</v>
      </c>
      <c r="J29" s="5">
        <v>45889</v>
      </c>
      <c r="K29" s="1" t="s">
        <v>22</v>
      </c>
      <c r="L29" s="8">
        <v>0</v>
      </c>
      <c r="M29" s="6"/>
      <c r="N29" s="6"/>
      <c r="O29" s="9">
        <v>-2243.0100000000002</v>
      </c>
    </row>
    <row r="30" spans="1:15" ht="19.5" customHeight="1">
      <c r="A30" s="1" t="s">
        <v>335</v>
      </c>
      <c r="B30" s="5">
        <v>45890</v>
      </c>
      <c r="C30" s="1" t="s">
        <v>261</v>
      </c>
      <c r="D30" s="1" t="s">
        <v>329</v>
      </c>
      <c r="E30" s="1" t="s">
        <v>22</v>
      </c>
      <c r="F30" s="1" t="s">
        <v>22</v>
      </c>
      <c r="G30" s="1" t="s">
        <v>22</v>
      </c>
      <c r="H30" s="6">
        <v>0</v>
      </c>
      <c r="I30" s="7">
        <v>0</v>
      </c>
      <c r="J30" s="5">
        <v>45890</v>
      </c>
      <c r="K30" s="1" t="s">
        <v>22</v>
      </c>
      <c r="L30" s="8">
        <v>0</v>
      </c>
      <c r="M30" s="6"/>
      <c r="N30" s="6"/>
      <c r="O30" s="9">
        <v>-10</v>
      </c>
    </row>
    <row r="31" spans="1:15" ht="19.5" customHeight="1">
      <c r="A31" s="1" t="s">
        <v>22</v>
      </c>
      <c r="B31" s="5">
        <v>45890</v>
      </c>
      <c r="C31" s="1" t="s">
        <v>77</v>
      </c>
      <c r="D31" s="1" t="s">
        <v>330</v>
      </c>
      <c r="E31" s="1" t="s">
        <v>22</v>
      </c>
      <c r="F31" s="1" t="s">
        <v>22</v>
      </c>
      <c r="G31" s="1" t="s">
        <v>337</v>
      </c>
      <c r="H31" s="6">
        <v>0</v>
      </c>
      <c r="I31" s="7">
        <v>0</v>
      </c>
      <c r="J31" s="5">
        <v>45890</v>
      </c>
      <c r="K31" s="1" t="s">
        <v>22</v>
      </c>
      <c r="L31" s="8">
        <v>0</v>
      </c>
      <c r="M31" s="6"/>
      <c r="N31" s="6"/>
      <c r="O31" s="9">
        <v>-2277.7399999999998</v>
      </c>
    </row>
    <row r="32" spans="1:15" ht="19.5" customHeight="1">
      <c r="A32" s="1" t="s">
        <v>22</v>
      </c>
      <c r="B32" s="5">
        <v>45891</v>
      </c>
      <c r="C32" s="1" t="s">
        <v>77</v>
      </c>
      <c r="D32" s="1" t="s">
        <v>330</v>
      </c>
      <c r="E32" s="1" t="s">
        <v>22</v>
      </c>
      <c r="F32" s="1" t="s">
        <v>22</v>
      </c>
      <c r="G32" s="1" t="s">
        <v>338</v>
      </c>
      <c r="H32" s="6">
        <v>0</v>
      </c>
      <c r="I32" s="7">
        <v>0</v>
      </c>
      <c r="J32" s="5">
        <v>45891</v>
      </c>
      <c r="K32" s="1" t="s">
        <v>22</v>
      </c>
      <c r="L32" s="8">
        <v>0</v>
      </c>
      <c r="M32" s="6"/>
      <c r="N32" s="6"/>
      <c r="O32" s="9">
        <v>-1191.8399999999999</v>
      </c>
    </row>
    <row r="33" spans="1:15" ht="19.5" customHeight="1">
      <c r="A33" s="1" t="s">
        <v>339</v>
      </c>
      <c r="B33" s="5">
        <v>45892</v>
      </c>
      <c r="C33" s="1" t="s">
        <v>17</v>
      </c>
      <c r="D33" s="1" t="s">
        <v>18</v>
      </c>
      <c r="E33" s="1" t="s">
        <v>25</v>
      </c>
      <c r="F33" s="1" t="s">
        <v>26</v>
      </c>
      <c r="G33" s="1" t="s">
        <v>21</v>
      </c>
      <c r="H33" s="6">
        <v>1</v>
      </c>
      <c r="I33" s="7">
        <v>0</v>
      </c>
      <c r="J33" s="5">
        <v>45892</v>
      </c>
      <c r="K33" s="1" t="s">
        <v>22</v>
      </c>
      <c r="L33" s="8">
        <v>0</v>
      </c>
      <c r="M33" s="6"/>
      <c r="N33" s="6"/>
      <c r="O33" s="9">
        <v>-26.77</v>
      </c>
    </row>
    <row r="34" spans="1:15" ht="19.5" customHeight="1">
      <c r="A34" s="1" t="s">
        <v>22</v>
      </c>
      <c r="B34" s="5">
        <v>45892</v>
      </c>
      <c r="C34" s="1" t="s">
        <v>77</v>
      </c>
      <c r="D34" s="1" t="s">
        <v>330</v>
      </c>
      <c r="E34" s="1" t="s">
        <v>22</v>
      </c>
      <c r="F34" s="1" t="s">
        <v>22</v>
      </c>
      <c r="G34" s="1" t="s">
        <v>340</v>
      </c>
      <c r="H34" s="6">
        <v>0</v>
      </c>
      <c r="I34" s="7">
        <v>0</v>
      </c>
      <c r="J34" s="5">
        <v>45892</v>
      </c>
      <c r="K34" s="1" t="s">
        <v>22</v>
      </c>
      <c r="L34" s="8">
        <v>0</v>
      </c>
      <c r="M34" s="6"/>
      <c r="N34" s="6"/>
      <c r="O34" s="9">
        <v>-1779.13</v>
      </c>
    </row>
    <row r="35" spans="1:15" ht="19.5" customHeight="1">
      <c r="A35" s="1" t="s">
        <v>341</v>
      </c>
      <c r="B35" s="5">
        <v>45893</v>
      </c>
      <c r="C35" s="1" t="s">
        <v>17</v>
      </c>
      <c r="D35" s="1" t="s">
        <v>18</v>
      </c>
      <c r="E35" s="1" t="s">
        <v>25</v>
      </c>
      <c r="F35" s="1" t="s">
        <v>26</v>
      </c>
      <c r="G35" s="1" t="s">
        <v>21</v>
      </c>
      <c r="H35" s="6">
        <v>1</v>
      </c>
      <c r="I35" s="7">
        <v>0</v>
      </c>
      <c r="J35" s="5">
        <v>45893</v>
      </c>
      <c r="K35" s="1" t="s">
        <v>22</v>
      </c>
      <c r="L35" s="8">
        <v>0</v>
      </c>
      <c r="M35" s="6"/>
      <c r="N35" s="6"/>
      <c r="O35" s="9">
        <v>-3.16</v>
      </c>
    </row>
    <row r="36" spans="1:15" ht="19.5" customHeight="1">
      <c r="A36" s="1" t="s">
        <v>342</v>
      </c>
      <c r="B36" s="5">
        <v>45893</v>
      </c>
      <c r="C36" s="1" t="s">
        <v>17</v>
      </c>
      <c r="D36" s="1" t="s">
        <v>18</v>
      </c>
      <c r="E36" s="1" t="s">
        <v>25</v>
      </c>
      <c r="F36" s="1" t="s">
        <v>26</v>
      </c>
      <c r="G36" s="1" t="s">
        <v>21</v>
      </c>
      <c r="H36" s="6">
        <v>1</v>
      </c>
      <c r="I36" s="7">
        <v>0</v>
      </c>
      <c r="J36" s="5">
        <v>45893</v>
      </c>
      <c r="K36" s="1" t="s">
        <v>22</v>
      </c>
      <c r="L36" s="8">
        <v>0</v>
      </c>
      <c r="M36" s="6"/>
      <c r="N36" s="6"/>
      <c r="O36" s="9">
        <v>-23.99</v>
      </c>
    </row>
    <row r="37" spans="1:15" ht="19.5" customHeight="1">
      <c r="A37" s="1" t="s">
        <v>343</v>
      </c>
      <c r="B37" s="5">
        <v>45893</v>
      </c>
      <c r="C37" s="1" t="s">
        <v>28</v>
      </c>
      <c r="D37" s="1" t="s">
        <v>29</v>
      </c>
      <c r="E37" s="1" t="s">
        <v>25</v>
      </c>
      <c r="F37" s="1" t="s">
        <v>26</v>
      </c>
      <c r="G37" s="1" t="s">
        <v>21</v>
      </c>
      <c r="H37" s="6">
        <v>1</v>
      </c>
      <c r="I37" s="7">
        <v>1750</v>
      </c>
      <c r="J37" s="5">
        <v>45890</v>
      </c>
      <c r="K37" s="1" t="s">
        <v>30</v>
      </c>
      <c r="L37" s="8">
        <v>0.2</v>
      </c>
      <c r="M37" s="6"/>
      <c r="N37" s="6"/>
      <c r="O37" s="9">
        <v>-46</v>
      </c>
    </row>
    <row r="38" spans="1:15" ht="19.5" customHeight="1">
      <c r="A38" s="1" t="s">
        <v>343</v>
      </c>
      <c r="B38" s="5">
        <v>45893</v>
      </c>
      <c r="C38" s="1" t="s">
        <v>31</v>
      </c>
      <c r="D38" s="1" t="s">
        <v>32</v>
      </c>
      <c r="E38" s="1" t="s">
        <v>25</v>
      </c>
      <c r="F38" s="1" t="s">
        <v>26</v>
      </c>
      <c r="G38" s="1" t="s">
        <v>21</v>
      </c>
      <c r="H38" s="6">
        <v>1</v>
      </c>
      <c r="I38" s="7">
        <v>1750</v>
      </c>
      <c r="J38" s="5">
        <v>45890</v>
      </c>
      <c r="K38" s="1" t="s">
        <v>30</v>
      </c>
      <c r="L38" s="8">
        <v>0</v>
      </c>
      <c r="M38" s="6"/>
      <c r="N38" s="6"/>
      <c r="O38" s="9">
        <v>1321.33</v>
      </c>
    </row>
    <row r="39" spans="1:15" ht="19.5" customHeight="1">
      <c r="A39" s="1" t="s">
        <v>343</v>
      </c>
      <c r="B39" s="5">
        <v>45893</v>
      </c>
      <c r="C39" s="1" t="s">
        <v>31</v>
      </c>
      <c r="D39" s="1" t="s">
        <v>33</v>
      </c>
      <c r="E39" s="1" t="s">
        <v>25</v>
      </c>
      <c r="F39" s="1" t="s">
        <v>26</v>
      </c>
      <c r="G39" s="1" t="s">
        <v>21</v>
      </c>
      <c r="H39" s="6">
        <v>1</v>
      </c>
      <c r="I39" s="7">
        <v>1750</v>
      </c>
      <c r="J39" s="5">
        <v>45890</v>
      </c>
      <c r="K39" s="1" t="s">
        <v>30</v>
      </c>
      <c r="L39" s="8">
        <v>0</v>
      </c>
      <c r="M39" s="6"/>
      <c r="N39" s="6"/>
      <c r="O39" s="9">
        <v>9.7100000000000009</v>
      </c>
    </row>
    <row r="40" spans="1:15" ht="19.5" customHeight="1">
      <c r="A40" s="1" t="s">
        <v>343</v>
      </c>
      <c r="B40" s="5">
        <v>45893</v>
      </c>
      <c r="C40" s="1" t="s">
        <v>31</v>
      </c>
      <c r="D40" s="1" t="s">
        <v>34</v>
      </c>
      <c r="E40" s="1" t="s">
        <v>25</v>
      </c>
      <c r="F40" s="1" t="s">
        <v>26</v>
      </c>
      <c r="G40" s="1" t="s">
        <v>21</v>
      </c>
      <c r="H40" s="6">
        <v>1</v>
      </c>
      <c r="I40" s="7">
        <v>1750</v>
      </c>
      <c r="J40" s="5">
        <v>45890</v>
      </c>
      <c r="K40" s="1" t="s">
        <v>30</v>
      </c>
      <c r="L40" s="8">
        <v>0</v>
      </c>
      <c r="M40" s="6"/>
      <c r="N40" s="6"/>
      <c r="O40" s="9">
        <v>418.96</v>
      </c>
    </row>
    <row r="41" spans="1:15" ht="19.5" customHeight="1">
      <c r="A41" s="1" t="s">
        <v>343</v>
      </c>
      <c r="B41" s="5">
        <v>45893</v>
      </c>
      <c r="C41" s="1" t="s">
        <v>35</v>
      </c>
      <c r="D41" s="1" t="s">
        <v>36</v>
      </c>
      <c r="E41" s="1" t="s">
        <v>25</v>
      </c>
      <c r="F41" s="1" t="s">
        <v>26</v>
      </c>
      <c r="G41" s="1" t="s">
        <v>21</v>
      </c>
      <c r="H41" s="6">
        <v>1</v>
      </c>
      <c r="I41" s="7">
        <v>1750</v>
      </c>
      <c r="J41" s="5">
        <v>45890</v>
      </c>
      <c r="K41" s="1" t="s">
        <v>30</v>
      </c>
      <c r="L41" s="8">
        <v>0.2</v>
      </c>
      <c r="M41" s="6"/>
      <c r="N41" s="6"/>
      <c r="O41" s="9">
        <v>-350</v>
      </c>
    </row>
    <row r="42" spans="1:15" ht="19.5" customHeight="1">
      <c r="A42" s="1" t="s">
        <v>343</v>
      </c>
      <c r="B42" s="5">
        <v>45893</v>
      </c>
      <c r="C42" s="1" t="s">
        <v>17</v>
      </c>
      <c r="D42" s="1" t="s">
        <v>37</v>
      </c>
      <c r="E42" s="1" t="s">
        <v>25</v>
      </c>
      <c r="F42" s="1" t="s">
        <v>26</v>
      </c>
      <c r="G42" s="1" t="s">
        <v>21</v>
      </c>
      <c r="H42" s="6">
        <v>1</v>
      </c>
      <c r="I42" s="7">
        <v>1750</v>
      </c>
      <c r="J42" s="5">
        <v>45890</v>
      </c>
      <c r="K42" s="1" t="s">
        <v>30</v>
      </c>
      <c r="L42" s="8">
        <v>0.2</v>
      </c>
      <c r="M42" s="6"/>
      <c r="N42" s="6"/>
      <c r="O42" s="9">
        <v>-7.63</v>
      </c>
    </row>
    <row r="43" spans="1:15" ht="19.5" customHeight="1">
      <c r="A43" s="1" t="s">
        <v>344</v>
      </c>
      <c r="B43" s="5">
        <v>45893</v>
      </c>
      <c r="C43" s="1" t="s">
        <v>17</v>
      </c>
      <c r="D43" s="1" t="s">
        <v>18</v>
      </c>
      <c r="E43" s="1" t="s">
        <v>25</v>
      </c>
      <c r="F43" s="1" t="s">
        <v>26</v>
      </c>
      <c r="G43" s="1" t="s">
        <v>21</v>
      </c>
      <c r="H43" s="6">
        <v>1</v>
      </c>
      <c r="I43" s="7">
        <v>0</v>
      </c>
      <c r="J43" s="5">
        <v>45890</v>
      </c>
      <c r="K43" s="1" t="s">
        <v>22</v>
      </c>
      <c r="L43" s="8">
        <v>0</v>
      </c>
      <c r="M43" s="6"/>
      <c r="N43" s="6"/>
      <c r="O43" s="9">
        <v>-25.11</v>
      </c>
    </row>
    <row r="44" spans="1:15" ht="19.5" customHeight="1">
      <c r="A44" s="1" t="s">
        <v>83</v>
      </c>
      <c r="B44" s="5">
        <v>45893</v>
      </c>
      <c r="C44" s="1" t="s">
        <v>77</v>
      </c>
      <c r="D44" s="1" t="s">
        <v>84</v>
      </c>
      <c r="E44" s="1" t="s">
        <v>22</v>
      </c>
      <c r="F44" s="1" t="s">
        <v>22</v>
      </c>
      <c r="G44" s="1" t="s">
        <v>22</v>
      </c>
      <c r="H44" s="6">
        <v>0</v>
      </c>
      <c r="I44" s="7">
        <v>0</v>
      </c>
      <c r="J44" s="5">
        <v>45893</v>
      </c>
      <c r="K44" s="1" t="s">
        <v>22</v>
      </c>
      <c r="L44" s="8">
        <v>0</v>
      </c>
      <c r="M44" s="6"/>
      <c r="N44" s="6"/>
      <c r="O44" s="9">
        <v>-307.17</v>
      </c>
    </row>
    <row r="45" spans="1:15" ht="19.5" customHeight="1">
      <c r="A45" s="1" t="s">
        <v>22</v>
      </c>
      <c r="B45" s="5">
        <v>45893</v>
      </c>
      <c r="C45" s="1" t="s">
        <v>77</v>
      </c>
      <c r="D45" s="1" t="s">
        <v>330</v>
      </c>
      <c r="E45" s="1" t="s">
        <v>22</v>
      </c>
      <c r="F45" s="1" t="s">
        <v>22</v>
      </c>
      <c r="G45" s="1" t="s">
        <v>345</v>
      </c>
      <c r="H45" s="6">
        <v>0</v>
      </c>
      <c r="I45" s="7">
        <v>0</v>
      </c>
      <c r="J45" s="5">
        <v>45893</v>
      </c>
      <c r="K45" s="1" t="s">
        <v>22</v>
      </c>
      <c r="L45" s="8">
        <v>0</v>
      </c>
      <c r="M45" s="6"/>
      <c r="N45" s="6"/>
      <c r="O45" s="9">
        <v>-685.41</v>
      </c>
    </row>
    <row r="46" spans="1:15" ht="19.5" customHeight="1">
      <c r="A46" s="1" t="s">
        <v>346</v>
      </c>
      <c r="B46" s="5">
        <v>45894</v>
      </c>
      <c r="C46" s="1" t="s">
        <v>28</v>
      </c>
      <c r="D46" s="1" t="s">
        <v>29</v>
      </c>
      <c r="E46" s="1" t="s">
        <v>92</v>
      </c>
      <c r="F46" s="1" t="s">
        <v>93</v>
      </c>
      <c r="G46" s="1" t="s">
        <v>21</v>
      </c>
      <c r="H46" s="6">
        <v>1</v>
      </c>
      <c r="I46" s="7">
        <v>1700</v>
      </c>
      <c r="J46" s="5">
        <v>45891</v>
      </c>
      <c r="K46" s="1" t="s">
        <v>30</v>
      </c>
      <c r="L46" s="8">
        <v>0.2</v>
      </c>
      <c r="M46" s="6"/>
      <c r="N46" s="6"/>
      <c r="O46" s="9">
        <v>-46</v>
      </c>
    </row>
    <row r="47" spans="1:15" ht="19.5" customHeight="1">
      <c r="A47" s="1" t="s">
        <v>346</v>
      </c>
      <c r="B47" s="5">
        <v>45894</v>
      </c>
      <c r="C47" s="1" t="s">
        <v>31</v>
      </c>
      <c r="D47" s="1" t="s">
        <v>32</v>
      </c>
      <c r="E47" s="1" t="s">
        <v>92</v>
      </c>
      <c r="F47" s="1" t="s">
        <v>93</v>
      </c>
      <c r="G47" s="1" t="s">
        <v>21</v>
      </c>
      <c r="H47" s="6">
        <v>1</v>
      </c>
      <c r="I47" s="7">
        <v>1700</v>
      </c>
      <c r="J47" s="5">
        <v>45891</v>
      </c>
      <c r="K47" s="1" t="s">
        <v>30</v>
      </c>
      <c r="L47" s="8">
        <v>0</v>
      </c>
      <c r="M47" s="6"/>
      <c r="N47" s="6"/>
      <c r="O47" s="9">
        <v>1219.79</v>
      </c>
    </row>
    <row r="48" spans="1:15" ht="19.5" customHeight="1">
      <c r="A48" s="1" t="s">
        <v>346</v>
      </c>
      <c r="B48" s="5">
        <v>45894</v>
      </c>
      <c r="C48" s="1" t="s">
        <v>31</v>
      </c>
      <c r="D48" s="1" t="s">
        <v>33</v>
      </c>
      <c r="E48" s="1" t="s">
        <v>92</v>
      </c>
      <c r="F48" s="1" t="s">
        <v>93</v>
      </c>
      <c r="G48" s="1" t="s">
        <v>21</v>
      </c>
      <c r="H48" s="6">
        <v>1</v>
      </c>
      <c r="I48" s="7">
        <v>1700</v>
      </c>
      <c r="J48" s="5">
        <v>45891</v>
      </c>
      <c r="K48" s="1" t="s">
        <v>30</v>
      </c>
      <c r="L48" s="8">
        <v>0</v>
      </c>
      <c r="M48" s="6"/>
      <c r="N48" s="6"/>
      <c r="O48" s="9">
        <v>8.9700000000000006</v>
      </c>
    </row>
    <row r="49" spans="1:15" ht="19.5" customHeight="1">
      <c r="A49" s="1" t="s">
        <v>346</v>
      </c>
      <c r="B49" s="5">
        <v>45894</v>
      </c>
      <c r="C49" s="1" t="s">
        <v>31</v>
      </c>
      <c r="D49" s="1" t="s">
        <v>34</v>
      </c>
      <c r="E49" s="1" t="s">
        <v>92</v>
      </c>
      <c r="F49" s="1" t="s">
        <v>93</v>
      </c>
      <c r="G49" s="1" t="s">
        <v>21</v>
      </c>
      <c r="H49" s="6">
        <v>1</v>
      </c>
      <c r="I49" s="7">
        <v>1700</v>
      </c>
      <c r="J49" s="5">
        <v>45891</v>
      </c>
      <c r="K49" s="1" t="s">
        <v>30</v>
      </c>
      <c r="L49" s="8">
        <v>0</v>
      </c>
      <c r="M49" s="6"/>
      <c r="N49" s="6"/>
      <c r="O49" s="9">
        <v>471.24</v>
      </c>
    </row>
    <row r="50" spans="1:15" ht="19.5" customHeight="1">
      <c r="A50" s="1" t="s">
        <v>346</v>
      </c>
      <c r="B50" s="5">
        <v>45894</v>
      </c>
      <c r="C50" s="1" t="s">
        <v>35</v>
      </c>
      <c r="D50" s="1" t="s">
        <v>36</v>
      </c>
      <c r="E50" s="1" t="s">
        <v>92</v>
      </c>
      <c r="F50" s="1" t="s">
        <v>93</v>
      </c>
      <c r="G50" s="1" t="s">
        <v>21</v>
      </c>
      <c r="H50" s="6">
        <v>1</v>
      </c>
      <c r="I50" s="7">
        <v>1700</v>
      </c>
      <c r="J50" s="5">
        <v>45891</v>
      </c>
      <c r="K50" s="1" t="s">
        <v>30</v>
      </c>
      <c r="L50" s="8">
        <v>0.2</v>
      </c>
      <c r="M50" s="6"/>
      <c r="N50" s="6"/>
      <c r="O50" s="9">
        <v>-340</v>
      </c>
    </row>
    <row r="51" spans="1:15" ht="19.5" customHeight="1">
      <c r="A51" s="1" t="s">
        <v>346</v>
      </c>
      <c r="B51" s="5">
        <v>45894</v>
      </c>
      <c r="C51" s="1" t="s">
        <v>17</v>
      </c>
      <c r="D51" s="1" t="s">
        <v>37</v>
      </c>
      <c r="E51" s="1" t="s">
        <v>92</v>
      </c>
      <c r="F51" s="1" t="s">
        <v>93</v>
      </c>
      <c r="G51" s="1" t="s">
        <v>21</v>
      </c>
      <c r="H51" s="6">
        <v>1</v>
      </c>
      <c r="I51" s="7">
        <v>1700</v>
      </c>
      <c r="J51" s="5">
        <v>45891</v>
      </c>
      <c r="K51" s="1" t="s">
        <v>30</v>
      </c>
      <c r="L51" s="8">
        <v>0.2</v>
      </c>
      <c r="M51" s="6"/>
      <c r="N51" s="6"/>
      <c r="O51" s="9">
        <v>-13.65</v>
      </c>
    </row>
    <row r="52" spans="1:15" ht="19.5" customHeight="1">
      <c r="A52" s="1" t="s">
        <v>347</v>
      </c>
      <c r="B52" s="5">
        <v>45894</v>
      </c>
      <c r="C52" s="1" t="s">
        <v>17</v>
      </c>
      <c r="D52" s="1" t="s">
        <v>18</v>
      </c>
      <c r="E52" s="1" t="s">
        <v>92</v>
      </c>
      <c r="F52" s="1" t="s">
        <v>93</v>
      </c>
      <c r="G52" s="1" t="s">
        <v>21</v>
      </c>
      <c r="H52" s="6">
        <v>1</v>
      </c>
      <c r="I52" s="7">
        <v>0</v>
      </c>
      <c r="J52" s="5">
        <v>45891</v>
      </c>
      <c r="K52" s="1" t="s">
        <v>22</v>
      </c>
      <c r="L52" s="8">
        <v>0</v>
      </c>
      <c r="M52" s="6"/>
      <c r="N52" s="6"/>
      <c r="O52" s="9">
        <v>-23.18</v>
      </c>
    </row>
    <row r="53" spans="1:15" ht="19.5" customHeight="1">
      <c r="A53" s="1" t="s">
        <v>83</v>
      </c>
      <c r="B53" s="5">
        <v>45894</v>
      </c>
      <c r="C53" s="1" t="s">
        <v>77</v>
      </c>
      <c r="D53" s="1" t="s">
        <v>84</v>
      </c>
      <c r="E53" s="1" t="s">
        <v>22</v>
      </c>
      <c r="F53" s="1" t="s">
        <v>22</v>
      </c>
      <c r="G53" s="1" t="s">
        <v>22</v>
      </c>
      <c r="H53" s="6">
        <v>0</v>
      </c>
      <c r="I53" s="7">
        <v>0</v>
      </c>
      <c r="J53" s="5">
        <v>45894</v>
      </c>
      <c r="K53" s="1" t="s">
        <v>22</v>
      </c>
      <c r="L53" s="8">
        <v>0</v>
      </c>
      <c r="M53" s="6"/>
      <c r="N53" s="6"/>
      <c r="O53" s="9">
        <v>-153</v>
      </c>
    </row>
    <row r="54" spans="1:15" ht="19.5" customHeight="1">
      <c r="A54" s="1" t="s">
        <v>22</v>
      </c>
      <c r="B54" s="5">
        <v>45894</v>
      </c>
      <c r="C54" s="1" t="s">
        <v>77</v>
      </c>
      <c r="D54" s="1" t="s">
        <v>330</v>
      </c>
      <c r="E54" s="1" t="s">
        <v>22</v>
      </c>
      <c r="F54" s="1" t="s">
        <v>22</v>
      </c>
      <c r="G54" s="1" t="s">
        <v>348</v>
      </c>
      <c r="H54" s="6">
        <v>0</v>
      </c>
      <c r="I54" s="7">
        <v>0</v>
      </c>
      <c r="J54" s="5">
        <v>45894</v>
      </c>
      <c r="K54" s="1" t="s">
        <v>22</v>
      </c>
      <c r="L54" s="8">
        <v>0</v>
      </c>
      <c r="M54" s="6"/>
      <c r="N54" s="6"/>
      <c r="O54" s="9">
        <v>-794.24</v>
      </c>
    </row>
    <row r="55" spans="1:15" ht="19.5" customHeight="1">
      <c r="A55" s="1" t="s">
        <v>349</v>
      </c>
      <c r="B55" s="5">
        <v>45895</v>
      </c>
      <c r="C55" s="1" t="s">
        <v>28</v>
      </c>
      <c r="D55" s="1" t="s">
        <v>29</v>
      </c>
      <c r="E55" s="1" t="s">
        <v>54</v>
      </c>
      <c r="F55" s="1" t="s">
        <v>55</v>
      </c>
      <c r="G55" s="1" t="s">
        <v>21</v>
      </c>
      <c r="H55" s="6">
        <v>1</v>
      </c>
      <c r="I55" s="7">
        <v>1700</v>
      </c>
      <c r="J55" s="5">
        <v>45889</v>
      </c>
      <c r="K55" s="1" t="s">
        <v>30</v>
      </c>
      <c r="L55" s="8">
        <v>0.2</v>
      </c>
      <c r="M55" s="6"/>
      <c r="N55" s="6"/>
      <c r="O55" s="9">
        <v>-46</v>
      </c>
    </row>
    <row r="56" spans="1:15" ht="19.5" customHeight="1">
      <c r="A56" s="1" t="s">
        <v>349</v>
      </c>
      <c r="B56" s="5">
        <v>45895</v>
      </c>
      <c r="C56" s="1" t="s">
        <v>31</v>
      </c>
      <c r="D56" s="1" t="s">
        <v>32</v>
      </c>
      <c r="E56" s="1" t="s">
        <v>54</v>
      </c>
      <c r="F56" s="1" t="s">
        <v>55</v>
      </c>
      <c r="G56" s="1" t="s">
        <v>21</v>
      </c>
      <c r="H56" s="6">
        <v>1</v>
      </c>
      <c r="I56" s="7">
        <v>1700</v>
      </c>
      <c r="J56" s="5">
        <v>45889</v>
      </c>
      <c r="K56" s="1" t="s">
        <v>30</v>
      </c>
      <c r="L56" s="8">
        <v>0</v>
      </c>
      <c r="M56" s="6"/>
      <c r="N56" s="6"/>
      <c r="O56" s="9">
        <v>1274.02</v>
      </c>
    </row>
    <row r="57" spans="1:15" ht="19.5" customHeight="1">
      <c r="A57" s="1" t="s">
        <v>349</v>
      </c>
      <c r="B57" s="5">
        <v>45895</v>
      </c>
      <c r="C57" s="1" t="s">
        <v>31</v>
      </c>
      <c r="D57" s="1" t="s">
        <v>33</v>
      </c>
      <c r="E57" s="1" t="s">
        <v>54</v>
      </c>
      <c r="F57" s="1" t="s">
        <v>55</v>
      </c>
      <c r="G57" s="1" t="s">
        <v>21</v>
      </c>
      <c r="H57" s="6">
        <v>1</v>
      </c>
      <c r="I57" s="7">
        <v>1700</v>
      </c>
      <c r="J57" s="5">
        <v>45889</v>
      </c>
      <c r="K57" s="1" t="s">
        <v>30</v>
      </c>
      <c r="L57" s="8">
        <v>0</v>
      </c>
      <c r="M57" s="6"/>
      <c r="N57" s="6"/>
      <c r="O57" s="9">
        <v>9.36</v>
      </c>
    </row>
    <row r="58" spans="1:15" ht="19.5" customHeight="1">
      <c r="A58" s="1" t="s">
        <v>349</v>
      </c>
      <c r="B58" s="5">
        <v>45895</v>
      </c>
      <c r="C58" s="1" t="s">
        <v>31</v>
      </c>
      <c r="D58" s="1" t="s">
        <v>34</v>
      </c>
      <c r="E58" s="1" t="s">
        <v>54</v>
      </c>
      <c r="F58" s="1" t="s">
        <v>55</v>
      </c>
      <c r="G58" s="1" t="s">
        <v>21</v>
      </c>
      <c r="H58" s="6">
        <v>1</v>
      </c>
      <c r="I58" s="7">
        <v>1700</v>
      </c>
      <c r="J58" s="5">
        <v>45889</v>
      </c>
      <c r="K58" s="1" t="s">
        <v>30</v>
      </c>
      <c r="L58" s="8">
        <v>0</v>
      </c>
      <c r="M58" s="6"/>
      <c r="N58" s="6"/>
      <c r="O58" s="9">
        <v>416.62</v>
      </c>
    </row>
    <row r="59" spans="1:15" ht="19.5" customHeight="1">
      <c r="A59" s="1" t="s">
        <v>349</v>
      </c>
      <c r="B59" s="5">
        <v>45895</v>
      </c>
      <c r="C59" s="1" t="s">
        <v>35</v>
      </c>
      <c r="D59" s="1" t="s">
        <v>36</v>
      </c>
      <c r="E59" s="1" t="s">
        <v>54</v>
      </c>
      <c r="F59" s="1" t="s">
        <v>55</v>
      </c>
      <c r="G59" s="1" t="s">
        <v>21</v>
      </c>
      <c r="H59" s="6">
        <v>1</v>
      </c>
      <c r="I59" s="7">
        <v>1700</v>
      </c>
      <c r="J59" s="5">
        <v>45889</v>
      </c>
      <c r="K59" s="1" t="s">
        <v>30</v>
      </c>
      <c r="L59" s="8">
        <v>0.2</v>
      </c>
      <c r="M59" s="6"/>
      <c r="N59" s="6"/>
      <c r="O59" s="9">
        <v>-340</v>
      </c>
    </row>
    <row r="60" spans="1:15" ht="19.5" customHeight="1">
      <c r="A60" s="1" t="s">
        <v>349</v>
      </c>
      <c r="B60" s="5">
        <v>45895</v>
      </c>
      <c r="C60" s="1" t="s">
        <v>17</v>
      </c>
      <c r="D60" s="1" t="s">
        <v>37</v>
      </c>
      <c r="E60" s="1" t="s">
        <v>54</v>
      </c>
      <c r="F60" s="1" t="s">
        <v>55</v>
      </c>
      <c r="G60" s="1" t="s">
        <v>21</v>
      </c>
      <c r="H60" s="6">
        <v>1</v>
      </c>
      <c r="I60" s="7">
        <v>1700</v>
      </c>
      <c r="J60" s="5">
        <v>45889</v>
      </c>
      <c r="K60" s="1" t="s">
        <v>30</v>
      </c>
      <c r="L60" s="8">
        <v>0.2</v>
      </c>
      <c r="M60" s="6"/>
      <c r="N60" s="6"/>
      <c r="O60" s="9">
        <v>-6.29</v>
      </c>
    </row>
    <row r="61" spans="1:15" ht="19.5" customHeight="1">
      <c r="A61" s="1" t="s">
        <v>22</v>
      </c>
      <c r="B61" s="5">
        <v>45895</v>
      </c>
      <c r="C61" s="1" t="s">
        <v>77</v>
      </c>
      <c r="D61" s="1" t="s">
        <v>330</v>
      </c>
      <c r="E61" s="1" t="s">
        <v>22</v>
      </c>
      <c r="F61" s="1" t="s">
        <v>22</v>
      </c>
      <c r="G61" s="1" t="s">
        <v>350</v>
      </c>
      <c r="H61" s="6">
        <v>0</v>
      </c>
      <c r="I61" s="7">
        <v>0</v>
      </c>
      <c r="J61" s="5">
        <v>45895</v>
      </c>
      <c r="K61" s="1" t="s">
        <v>22</v>
      </c>
      <c r="L61" s="8">
        <v>0</v>
      </c>
      <c r="M61" s="6"/>
      <c r="N61" s="6"/>
      <c r="O61" s="9">
        <v>-475.13</v>
      </c>
    </row>
    <row r="62" spans="1:15" ht="19.5" customHeight="1">
      <c r="A62" s="1" t="s">
        <v>22</v>
      </c>
      <c r="B62" s="5">
        <v>45896</v>
      </c>
      <c r="C62" s="1" t="s">
        <v>77</v>
      </c>
      <c r="D62" s="1" t="s">
        <v>330</v>
      </c>
      <c r="E62" s="1" t="s">
        <v>22</v>
      </c>
      <c r="F62" s="1" t="s">
        <v>22</v>
      </c>
      <c r="G62" s="1" t="s">
        <v>351</v>
      </c>
      <c r="H62" s="6">
        <v>0</v>
      </c>
      <c r="I62" s="7">
        <v>0</v>
      </c>
      <c r="J62" s="5">
        <v>45896</v>
      </c>
      <c r="K62" s="1" t="s">
        <v>22</v>
      </c>
      <c r="L62" s="8">
        <v>0</v>
      </c>
      <c r="M62" s="6"/>
      <c r="N62" s="6"/>
      <c r="O62" s="9">
        <v>-332.41</v>
      </c>
    </row>
    <row r="63" spans="1:15" ht="19.5" customHeight="1">
      <c r="A63" s="1" t="s">
        <v>352</v>
      </c>
      <c r="B63" s="5">
        <v>45897</v>
      </c>
      <c r="C63" s="1" t="s">
        <v>17</v>
      </c>
      <c r="D63" s="1" t="s">
        <v>18</v>
      </c>
      <c r="E63" s="1" t="s">
        <v>25</v>
      </c>
      <c r="F63" s="1" t="s">
        <v>26</v>
      </c>
      <c r="G63" s="1" t="s">
        <v>21</v>
      </c>
      <c r="H63" s="6">
        <v>1</v>
      </c>
      <c r="I63" s="7">
        <v>0</v>
      </c>
      <c r="J63" s="5">
        <v>45897</v>
      </c>
      <c r="K63" s="1" t="s">
        <v>22</v>
      </c>
      <c r="L63" s="8">
        <v>0</v>
      </c>
      <c r="M63" s="6"/>
      <c r="N63" s="6"/>
      <c r="O63" s="9">
        <v>-2.75</v>
      </c>
    </row>
    <row r="64" spans="1:15" ht="19.5" customHeight="1">
      <c r="A64" s="1" t="s">
        <v>353</v>
      </c>
      <c r="B64" s="5">
        <v>45897</v>
      </c>
      <c r="C64" s="1" t="s">
        <v>28</v>
      </c>
      <c r="D64" s="1" t="s">
        <v>29</v>
      </c>
      <c r="E64" s="1" t="s">
        <v>25</v>
      </c>
      <c r="F64" s="1" t="s">
        <v>26</v>
      </c>
      <c r="G64" s="1" t="s">
        <v>21</v>
      </c>
      <c r="H64" s="6">
        <v>1</v>
      </c>
      <c r="I64" s="7">
        <v>1663</v>
      </c>
      <c r="J64" s="5">
        <v>45893</v>
      </c>
      <c r="K64" s="1" t="s">
        <v>30</v>
      </c>
      <c r="L64" s="8">
        <v>0.2</v>
      </c>
      <c r="M64" s="6"/>
      <c r="N64" s="6"/>
      <c r="O64" s="9">
        <v>-46</v>
      </c>
    </row>
    <row r="65" spans="1:15" ht="19.5" customHeight="1">
      <c r="A65" s="1" t="s">
        <v>353</v>
      </c>
      <c r="B65" s="5">
        <v>45897</v>
      </c>
      <c r="C65" s="1" t="s">
        <v>31</v>
      </c>
      <c r="D65" s="1" t="s">
        <v>32</v>
      </c>
      <c r="E65" s="1" t="s">
        <v>25</v>
      </c>
      <c r="F65" s="1" t="s">
        <v>26</v>
      </c>
      <c r="G65" s="1" t="s">
        <v>21</v>
      </c>
      <c r="H65" s="6">
        <v>1</v>
      </c>
      <c r="I65" s="7">
        <v>1663</v>
      </c>
      <c r="J65" s="5">
        <v>45893</v>
      </c>
      <c r="K65" s="1" t="s">
        <v>30</v>
      </c>
      <c r="L65" s="8">
        <v>0</v>
      </c>
      <c r="M65" s="6"/>
      <c r="N65" s="6"/>
      <c r="O65" s="9">
        <v>1262.8599999999999</v>
      </c>
    </row>
    <row r="66" spans="1:15" ht="19.5" customHeight="1">
      <c r="A66" s="1" t="s">
        <v>353</v>
      </c>
      <c r="B66" s="5">
        <v>45897</v>
      </c>
      <c r="C66" s="1" t="s">
        <v>31</v>
      </c>
      <c r="D66" s="1" t="s">
        <v>33</v>
      </c>
      <c r="E66" s="1" t="s">
        <v>25</v>
      </c>
      <c r="F66" s="1" t="s">
        <v>26</v>
      </c>
      <c r="G66" s="1" t="s">
        <v>21</v>
      </c>
      <c r="H66" s="6">
        <v>1</v>
      </c>
      <c r="I66" s="7">
        <v>1663</v>
      </c>
      <c r="J66" s="5">
        <v>45893</v>
      </c>
      <c r="K66" s="1" t="s">
        <v>30</v>
      </c>
      <c r="L66" s="8">
        <v>0</v>
      </c>
      <c r="M66" s="6"/>
      <c r="N66" s="6"/>
      <c r="O66" s="9">
        <v>9.2799999999999994</v>
      </c>
    </row>
    <row r="67" spans="1:15" ht="19.5" customHeight="1">
      <c r="A67" s="1" t="s">
        <v>353</v>
      </c>
      <c r="B67" s="5">
        <v>45897</v>
      </c>
      <c r="C67" s="1" t="s">
        <v>31</v>
      </c>
      <c r="D67" s="1" t="s">
        <v>34</v>
      </c>
      <c r="E67" s="1" t="s">
        <v>25</v>
      </c>
      <c r="F67" s="1" t="s">
        <v>26</v>
      </c>
      <c r="G67" s="1" t="s">
        <v>21</v>
      </c>
      <c r="H67" s="6">
        <v>1</v>
      </c>
      <c r="I67" s="7">
        <v>1663</v>
      </c>
      <c r="J67" s="5">
        <v>45893</v>
      </c>
      <c r="K67" s="1" t="s">
        <v>30</v>
      </c>
      <c r="L67" s="8">
        <v>0</v>
      </c>
      <c r="M67" s="6"/>
      <c r="N67" s="6"/>
      <c r="O67" s="9">
        <v>390.86</v>
      </c>
    </row>
    <row r="68" spans="1:15" ht="19.5" customHeight="1">
      <c r="A68" s="1" t="s">
        <v>353</v>
      </c>
      <c r="B68" s="5">
        <v>45897</v>
      </c>
      <c r="C68" s="1" t="s">
        <v>35</v>
      </c>
      <c r="D68" s="1" t="s">
        <v>36</v>
      </c>
      <c r="E68" s="1" t="s">
        <v>25</v>
      </c>
      <c r="F68" s="1" t="s">
        <v>26</v>
      </c>
      <c r="G68" s="1" t="s">
        <v>21</v>
      </c>
      <c r="H68" s="6">
        <v>1</v>
      </c>
      <c r="I68" s="7">
        <v>1663</v>
      </c>
      <c r="J68" s="5">
        <v>45893</v>
      </c>
      <c r="K68" s="1" t="s">
        <v>30</v>
      </c>
      <c r="L68" s="8">
        <v>0.2</v>
      </c>
      <c r="M68" s="6"/>
      <c r="N68" s="6"/>
      <c r="O68" s="9">
        <v>-332.6</v>
      </c>
    </row>
    <row r="69" spans="1:15" ht="19.5" customHeight="1">
      <c r="A69" s="1" t="s">
        <v>353</v>
      </c>
      <c r="B69" s="5">
        <v>45897</v>
      </c>
      <c r="C69" s="1" t="s">
        <v>17</v>
      </c>
      <c r="D69" s="1" t="s">
        <v>37</v>
      </c>
      <c r="E69" s="1" t="s">
        <v>25</v>
      </c>
      <c r="F69" s="1" t="s">
        <v>26</v>
      </c>
      <c r="G69" s="1" t="s">
        <v>21</v>
      </c>
      <c r="H69" s="6">
        <v>1</v>
      </c>
      <c r="I69" s="7">
        <v>1663</v>
      </c>
      <c r="J69" s="5">
        <v>45893</v>
      </c>
      <c r="K69" s="1" t="s">
        <v>30</v>
      </c>
      <c r="L69" s="8">
        <v>0.2</v>
      </c>
      <c r="M69" s="6"/>
      <c r="N69" s="6"/>
      <c r="O69" s="9">
        <v>-8.74</v>
      </c>
    </row>
    <row r="70" spans="1:15" ht="19.5" customHeight="1">
      <c r="A70" s="1" t="s">
        <v>22</v>
      </c>
      <c r="B70" s="5">
        <v>45897</v>
      </c>
      <c r="C70" s="1" t="s">
        <v>77</v>
      </c>
      <c r="D70" s="1" t="s">
        <v>330</v>
      </c>
      <c r="E70" s="1" t="s">
        <v>22</v>
      </c>
      <c r="F70" s="1" t="s">
        <v>22</v>
      </c>
      <c r="G70" s="1" t="s">
        <v>354</v>
      </c>
      <c r="H70" s="6">
        <v>0</v>
      </c>
      <c r="I70" s="7">
        <v>0</v>
      </c>
      <c r="J70" s="5">
        <v>45897</v>
      </c>
      <c r="K70" s="1" t="s">
        <v>22</v>
      </c>
      <c r="L70" s="8">
        <v>0</v>
      </c>
      <c r="M70" s="6"/>
      <c r="N70" s="6"/>
      <c r="O70" s="9">
        <v>-284.31</v>
      </c>
    </row>
    <row r="71" spans="1:15" ht="19.5" customHeight="1">
      <c r="A71" s="1" t="s">
        <v>355</v>
      </c>
      <c r="B71" s="5">
        <v>45898</v>
      </c>
      <c r="C71" s="1" t="s">
        <v>28</v>
      </c>
      <c r="D71" s="1" t="s">
        <v>29</v>
      </c>
      <c r="E71" s="1" t="s">
        <v>25</v>
      </c>
      <c r="F71" s="1" t="s">
        <v>26</v>
      </c>
      <c r="G71" s="1" t="s">
        <v>21</v>
      </c>
      <c r="H71" s="6">
        <v>1</v>
      </c>
      <c r="I71" s="7">
        <v>0</v>
      </c>
      <c r="J71" s="5">
        <v>45892</v>
      </c>
      <c r="K71" s="1" t="s">
        <v>30</v>
      </c>
      <c r="L71" s="8">
        <v>0</v>
      </c>
      <c r="M71" s="6"/>
      <c r="N71" s="6"/>
      <c r="O71" s="9">
        <v>-46</v>
      </c>
    </row>
    <row r="72" spans="1:15" ht="19.5" customHeight="1">
      <c r="A72" s="1" t="s">
        <v>355</v>
      </c>
      <c r="B72" s="5">
        <v>45898</v>
      </c>
      <c r="C72" s="1" t="s">
        <v>17</v>
      </c>
      <c r="D72" s="1" t="s">
        <v>37</v>
      </c>
      <c r="E72" s="1" t="s">
        <v>25</v>
      </c>
      <c r="F72" s="1" t="s">
        <v>26</v>
      </c>
      <c r="G72" s="1" t="s">
        <v>21</v>
      </c>
      <c r="H72" s="6">
        <v>1</v>
      </c>
      <c r="I72" s="7">
        <v>0</v>
      </c>
      <c r="J72" s="5">
        <v>45892</v>
      </c>
      <c r="K72" s="1" t="s">
        <v>30</v>
      </c>
      <c r="L72" s="8">
        <v>0</v>
      </c>
      <c r="M72" s="6"/>
      <c r="N72" s="6"/>
      <c r="O72" s="9">
        <v>-9.58</v>
      </c>
    </row>
    <row r="73" spans="1:15" ht="19.5" customHeight="1">
      <c r="A73" s="1" t="s">
        <v>355</v>
      </c>
      <c r="B73" s="5">
        <v>45898</v>
      </c>
      <c r="C73" s="1" t="s">
        <v>28</v>
      </c>
      <c r="D73" s="1" t="s">
        <v>356</v>
      </c>
      <c r="E73" s="1" t="s">
        <v>25</v>
      </c>
      <c r="F73" s="1" t="s">
        <v>26</v>
      </c>
      <c r="G73" s="1" t="s">
        <v>21</v>
      </c>
      <c r="H73" s="6">
        <v>1</v>
      </c>
      <c r="I73" s="7">
        <v>0</v>
      </c>
      <c r="J73" s="5">
        <v>45892</v>
      </c>
      <c r="K73" s="1" t="s">
        <v>30</v>
      </c>
      <c r="L73" s="8">
        <v>0</v>
      </c>
      <c r="M73" s="6"/>
      <c r="N73" s="6"/>
      <c r="O73" s="9">
        <v>0</v>
      </c>
    </row>
    <row r="74" spans="1:15" ht="19.5" customHeight="1">
      <c r="A74" s="1" t="s">
        <v>355</v>
      </c>
      <c r="B74" s="5">
        <v>45898</v>
      </c>
      <c r="C74" s="1" t="s">
        <v>28</v>
      </c>
      <c r="D74" s="1" t="s">
        <v>46</v>
      </c>
      <c r="E74" s="1" t="s">
        <v>25</v>
      </c>
      <c r="F74" s="1" t="s">
        <v>26</v>
      </c>
      <c r="G74" s="1" t="s">
        <v>21</v>
      </c>
      <c r="H74" s="6">
        <v>1</v>
      </c>
      <c r="I74" s="7">
        <v>0</v>
      </c>
      <c r="J74" s="5">
        <v>45892</v>
      </c>
      <c r="K74" s="1" t="s">
        <v>30</v>
      </c>
      <c r="L74" s="8">
        <v>0</v>
      </c>
      <c r="M74" s="6"/>
      <c r="N74" s="6"/>
      <c r="O74" s="9">
        <v>-46</v>
      </c>
    </row>
    <row r="75" spans="1:15" ht="19.5" customHeight="1">
      <c r="A75" s="1" t="s">
        <v>355</v>
      </c>
      <c r="B75" s="5">
        <v>45898</v>
      </c>
      <c r="C75" s="1" t="s">
        <v>17</v>
      </c>
      <c r="D75" s="1" t="s">
        <v>47</v>
      </c>
      <c r="E75" s="1" t="s">
        <v>25</v>
      </c>
      <c r="F75" s="1" t="s">
        <v>26</v>
      </c>
      <c r="G75" s="1" t="s">
        <v>21</v>
      </c>
      <c r="H75" s="6">
        <v>1</v>
      </c>
      <c r="I75" s="7">
        <v>0</v>
      </c>
      <c r="J75" s="5">
        <v>45892</v>
      </c>
      <c r="K75" s="1" t="s">
        <v>30</v>
      </c>
      <c r="L75" s="8">
        <v>0</v>
      </c>
      <c r="M75" s="6"/>
      <c r="N75" s="6"/>
      <c r="O75" s="9">
        <v>-15</v>
      </c>
    </row>
    <row r="76" spans="1:15" ht="19.5" customHeight="1">
      <c r="A76" s="1" t="s">
        <v>357</v>
      </c>
      <c r="B76" s="5">
        <v>45898</v>
      </c>
      <c r="C76" s="1" t="s">
        <v>28</v>
      </c>
      <c r="D76" s="1" t="s">
        <v>29</v>
      </c>
      <c r="E76" s="1" t="s">
        <v>92</v>
      </c>
      <c r="F76" s="1" t="s">
        <v>93</v>
      </c>
      <c r="G76" s="1" t="s">
        <v>21</v>
      </c>
      <c r="H76" s="6">
        <v>1</v>
      </c>
      <c r="I76" s="7">
        <v>1700</v>
      </c>
      <c r="J76" s="5">
        <v>45888</v>
      </c>
      <c r="K76" s="1" t="s">
        <v>30</v>
      </c>
      <c r="L76" s="8">
        <v>0.2</v>
      </c>
      <c r="M76" s="6"/>
      <c r="N76" s="6"/>
      <c r="O76" s="9">
        <v>-46</v>
      </c>
    </row>
    <row r="77" spans="1:15" ht="19.5" customHeight="1">
      <c r="A77" s="1" t="s">
        <v>357</v>
      </c>
      <c r="B77" s="5">
        <v>45898</v>
      </c>
      <c r="C77" s="1" t="s">
        <v>31</v>
      </c>
      <c r="D77" s="1" t="s">
        <v>32</v>
      </c>
      <c r="E77" s="1" t="s">
        <v>92</v>
      </c>
      <c r="F77" s="1" t="s">
        <v>93</v>
      </c>
      <c r="G77" s="1" t="s">
        <v>21</v>
      </c>
      <c r="H77" s="6">
        <v>1</v>
      </c>
      <c r="I77" s="7">
        <v>1700</v>
      </c>
      <c r="J77" s="5">
        <v>45888</v>
      </c>
      <c r="K77" s="1" t="s">
        <v>30</v>
      </c>
      <c r="L77" s="8">
        <v>0</v>
      </c>
      <c r="M77" s="6"/>
      <c r="N77" s="6"/>
      <c r="O77" s="9">
        <v>1267.3</v>
      </c>
    </row>
    <row r="78" spans="1:15" ht="19.5" customHeight="1">
      <c r="A78" s="1" t="s">
        <v>357</v>
      </c>
      <c r="B78" s="5">
        <v>45898</v>
      </c>
      <c r="C78" s="1" t="s">
        <v>31</v>
      </c>
      <c r="D78" s="1" t="s">
        <v>33</v>
      </c>
      <c r="E78" s="1" t="s">
        <v>92</v>
      </c>
      <c r="F78" s="1" t="s">
        <v>93</v>
      </c>
      <c r="G78" s="1" t="s">
        <v>21</v>
      </c>
      <c r="H78" s="6">
        <v>1</v>
      </c>
      <c r="I78" s="7">
        <v>1700</v>
      </c>
      <c r="J78" s="5">
        <v>45888</v>
      </c>
      <c r="K78" s="1" t="s">
        <v>30</v>
      </c>
      <c r="L78" s="8">
        <v>0</v>
      </c>
      <c r="M78" s="6"/>
      <c r="N78" s="6"/>
      <c r="O78" s="9">
        <v>9.31</v>
      </c>
    </row>
    <row r="79" spans="1:15" ht="19.5" customHeight="1">
      <c r="A79" s="1" t="s">
        <v>357</v>
      </c>
      <c r="B79" s="5">
        <v>45898</v>
      </c>
      <c r="C79" s="1" t="s">
        <v>31</v>
      </c>
      <c r="D79" s="1" t="s">
        <v>34</v>
      </c>
      <c r="E79" s="1" t="s">
        <v>92</v>
      </c>
      <c r="F79" s="1" t="s">
        <v>93</v>
      </c>
      <c r="G79" s="1" t="s">
        <v>21</v>
      </c>
      <c r="H79" s="6">
        <v>1</v>
      </c>
      <c r="I79" s="7">
        <v>1700</v>
      </c>
      <c r="J79" s="5">
        <v>45888</v>
      </c>
      <c r="K79" s="1" t="s">
        <v>30</v>
      </c>
      <c r="L79" s="8">
        <v>0</v>
      </c>
      <c r="M79" s="6"/>
      <c r="N79" s="6"/>
      <c r="O79" s="9">
        <v>423.39</v>
      </c>
    </row>
    <row r="80" spans="1:15" ht="19.5" customHeight="1">
      <c r="A80" s="1" t="s">
        <v>357</v>
      </c>
      <c r="B80" s="5">
        <v>45898</v>
      </c>
      <c r="C80" s="1" t="s">
        <v>35</v>
      </c>
      <c r="D80" s="1" t="s">
        <v>36</v>
      </c>
      <c r="E80" s="1" t="s">
        <v>92</v>
      </c>
      <c r="F80" s="1" t="s">
        <v>93</v>
      </c>
      <c r="G80" s="1" t="s">
        <v>21</v>
      </c>
      <c r="H80" s="6">
        <v>1</v>
      </c>
      <c r="I80" s="7">
        <v>1700</v>
      </c>
      <c r="J80" s="5">
        <v>45888</v>
      </c>
      <c r="K80" s="1" t="s">
        <v>30</v>
      </c>
      <c r="L80" s="8">
        <v>0.2</v>
      </c>
      <c r="M80" s="6"/>
      <c r="N80" s="6"/>
      <c r="O80" s="9">
        <v>-340</v>
      </c>
    </row>
    <row r="81" spans="1:15" ht="19.5" customHeight="1">
      <c r="A81" s="1" t="s">
        <v>357</v>
      </c>
      <c r="B81" s="5">
        <v>45898</v>
      </c>
      <c r="C81" s="1" t="s">
        <v>17</v>
      </c>
      <c r="D81" s="1" t="s">
        <v>37</v>
      </c>
      <c r="E81" s="1" t="s">
        <v>92</v>
      </c>
      <c r="F81" s="1" t="s">
        <v>93</v>
      </c>
      <c r="G81" s="1" t="s">
        <v>21</v>
      </c>
      <c r="H81" s="6">
        <v>1</v>
      </c>
      <c r="I81" s="7">
        <v>1700</v>
      </c>
      <c r="J81" s="5">
        <v>45888</v>
      </c>
      <c r="K81" s="1" t="s">
        <v>30</v>
      </c>
      <c r="L81" s="8">
        <v>0.2</v>
      </c>
      <c r="M81" s="6"/>
      <c r="N81" s="6"/>
      <c r="O81" s="9">
        <v>-7.11</v>
      </c>
    </row>
    <row r="82" spans="1:15" ht="19.5" customHeight="1">
      <c r="A82" s="1" t="s">
        <v>357</v>
      </c>
      <c r="B82" s="5">
        <v>45898</v>
      </c>
      <c r="C82" s="1" t="s">
        <v>17</v>
      </c>
      <c r="D82" s="1" t="s">
        <v>18</v>
      </c>
      <c r="E82" s="1" t="s">
        <v>92</v>
      </c>
      <c r="F82" s="1" t="s">
        <v>93</v>
      </c>
      <c r="G82" s="1" t="s">
        <v>21</v>
      </c>
      <c r="H82" s="6">
        <v>1</v>
      </c>
      <c r="I82" s="7">
        <v>0</v>
      </c>
      <c r="J82" s="5">
        <v>45888</v>
      </c>
      <c r="K82" s="1" t="s">
        <v>22</v>
      </c>
      <c r="L82" s="8">
        <v>0</v>
      </c>
      <c r="M82" s="6"/>
      <c r="N82" s="6"/>
      <c r="O82" s="9">
        <v>-24.08</v>
      </c>
    </row>
    <row r="83" spans="1:15" ht="19.5" customHeight="1">
      <c r="A83" s="1" t="s">
        <v>83</v>
      </c>
      <c r="B83" s="5">
        <v>45898</v>
      </c>
      <c r="C83" s="1" t="s">
        <v>77</v>
      </c>
      <c r="D83" s="1" t="s">
        <v>84</v>
      </c>
      <c r="E83" s="1" t="s">
        <v>22</v>
      </c>
      <c r="F83" s="1" t="s">
        <v>22</v>
      </c>
      <c r="G83" s="1" t="s">
        <v>22</v>
      </c>
      <c r="H83" s="6">
        <v>0</v>
      </c>
      <c r="I83" s="7">
        <v>0</v>
      </c>
      <c r="J83" s="5">
        <v>45898</v>
      </c>
      <c r="K83" s="1" t="s">
        <v>22</v>
      </c>
      <c r="L83" s="8">
        <v>0</v>
      </c>
      <c r="M83" s="6"/>
      <c r="N83" s="6"/>
      <c r="O83" s="9">
        <v>-153</v>
      </c>
    </row>
    <row r="84" spans="1:15" ht="19.5" customHeight="1">
      <c r="A84" s="1" t="s">
        <v>22</v>
      </c>
      <c r="B84" s="5">
        <v>45898</v>
      </c>
      <c r="C84" s="1" t="s">
        <v>77</v>
      </c>
      <c r="D84" s="1" t="s">
        <v>330</v>
      </c>
      <c r="E84" s="1" t="s">
        <v>22</v>
      </c>
      <c r="F84" s="1" t="s">
        <v>22</v>
      </c>
      <c r="G84" s="1" t="s">
        <v>358</v>
      </c>
      <c r="H84" s="6">
        <v>0</v>
      </c>
      <c r="I84" s="7">
        <v>0</v>
      </c>
      <c r="J84" s="5">
        <v>45898</v>
      </c>
      <c r="K84" s="1" t="s">
        <v>22</v>
      </c>
      <c r="L84" s="8">
        <v>0</v>
      </c>
      <c r="M84" s="6"/>
      <c r="N84" s="6"/>
      <c r="O84" s="9">
        <v>-193.85</v>
      </c>
    </row>
    <row r="85" spans="1:15" ht="19.5" customHeight="1">
      <c r="A85" s="1" t="s">
        <v>359</v>
      </c>
      <c r="B85" s="5">
        <v>45899</v>
      </c>
      <c r="C85" s="1" t="s">
        <v>28</v>
      </c>
      <c r="D85" s="1" t="s">
        <v>29</v>
      </c>
      <c r="E85" s="1" t="s">
        <v>92</v>
      </c>
      <c r="F85" s="1" t="s">
        <v>93</v>
      </c>
      <c r="G85" s="1" t="s">
        <v>21</v>
      </c>
      <c r="H85" s="6">
        <v>1</v>
      </c>
      <c r="I85" s="7">
        <v>0</v>
      </c>
      <c r="J85" s="5">
        <v>45890</v>
      </c>
      <c r="K85" s="1" t="s">
        <v>30</v>
      </c>
      <c r="L85" s="8">
        <v>0</v>
      </c>
      <c r="M85" s="6"/>
      <c r="N85" s="6"/>
      <c r="O85" s="9">
        <v>-46</v>
      </c>
    </row>
    <row r="86" spans="1:15" ht="19.5" customHeight="1">
      <c r="A86" s="1" t="s">
        <v>359</v>
      </c>
      <c r="B86" s="5">
        <v>45899</v>
      </c>
      <c r="C86" s="1" t="s">
        <v>17</v>
      </c>
      <c r="D86" s="1" t="s">
        <v>37</v>
      </c>
      <c r="E86" s="1" t="s">
        <v>92</v>
      </c>
      <c r="F86" s="1" t="s">
        <v>93</v>
      </c>
      <c r="G86" s="1" t="s">
        <v>21</v>
      </c>
      <c r="H86" s="6">
        <v>1</v>
      </c>
      <c r="I86" s="7">
        <v>0</v>
      </c>
      <c r="J86" s="5">
        <v>45890</v>
      </c>
      <c r="K86" s="1" t="s">
        <v>30</v>
      </c>
      <c r="L86" s="8">
        <v>0</v>
      </c>
      <c r="M86" s="6"/>
      <c r="N86" s="6"/>
      <c r="O86" s="9">
        <v>-9.27</v>
      </c>
    </row>
    <row r="87" spans="1:15" ht="19.5" customHeight="1">
      <c r="A87" s="1" t="s">
        <v>359</v>
      </c>
      <c r="B87" s="5">
        <v>45899</v>
      </c>
      <c r="C87" s="1" t="s">
        <v>28</v>
      </c>
      <c r="D87" s="1" t="s">
        <v>356</v>
      </c>
      <c r="E87" s="1" t="s">
        <v>92</v>
      </c>
      <c r="F87" s="1" t="s">
        <v>93</v>
      </c>
      <c r="G87" s="1" t="s">
        <v>21</v>
      </c>
      <c r="H87" s="6">
        <v>1</v>
      </c>
      <c r="I87" s="7">
        <v>0</v>
      </c>
      <c r="J87" s="5">
        <v>45890</v>
      </c>
      <c r="K87" s="1" t="s">
        <v>30</v>
      </c>
      <c r="L87" s="8">
        <v>0</v>
      </c>
      <c r="M87" s="6"/>
      <c r="N87" s="6"/>
      <c r="O87" s="9">
        <v>0</v>
      </c>
    </row>
    <row r="88" spans="1:15" ht="19.5" customHeight="1">
      <c r="A88" s="1" t="s">
        <v>359</v>
      </c>
      <c r="B88" s="5">
        <v>45899</v>
      </c>
      <c r="C88" s="1" t="s">
        <v>28</v>
      </c>
      <c r="D88" s="1" t="s">
        <v>46</v>
      </c>
      <c r="E88" s="1" t="s">
        <v>92</v>
      </c>
      <c r="F88" s="1" t="s">
        <v>93</v>
      </c>
      <c r="G88" s="1" t="s">
        <v>21</v>
      </c>
      <c r="H88" s="6">
        <v>1</v>
      </c>
      <c r="I88" s="7">
        <v>0</v>
      </c>
      <c r="J88" s="5">
        <v>45890</v>
      </c>
      <c r="K88" s="1" t="s">
        <v>30</v>
      </c>
      <c r="L88" s="8">
        <v>0</v>
      </c>
      <c r="M88" s="6"/>
      <c r="N88" s="6"/>
      <c r="O88" s="9">
        <v>-46</v>
      </c>
    </row>
    <row r="89" spans="1:15" ht="19.5" customHeight="1">
      <c r="A89" s="1" t="s">
        <v>359</v>
      </c>
      <c r="B89" s="5">
        <v>45899</v>
      </c>
      <c r="C89" s="1" t="s">
        <v>17</v>
      </c>
      <c r="D89" s="1" t="s">
        <v>47</v>
      </c>
      <c r="E89" s="1" t="s">
        <v>92</v>
      </c>
      <c r="F89" s="1" t="s">
        <v>93</v>
      </c>
      <c r="G89" s="1" t="s">
        <v>21</v>
      </c>
      <c r="H89" s="6">
        <v>1</v>
      </c>
      <c r="I89" s="7">
        <v>0</v>
      </c>
      <c r="J89" s="5">
        <v>45890</v>
      </c>
      <c r="K89" s="1" t="s">
        <v>30</v>
      </c>
      <c r="L89" s="8">
        <v>0</v>
      </c>
      <c r="M89" s="6"/>
      <c r="N89" s="6"/>
      <c r="O89" s="9">
        <v>-15</v>
      </c>
    </row>
    <row r="90" spans="1:15" ht="19.5" customHeight="1">
      <c r="A90" s="1" t="s">
        <v>360</v>
      </c>
      <c r="B90" s="5">
        <v>45899</v>
      </c>
      <c r="C90" s="1" t="s">
        <v>28</v>
      </c>
      <c r="D90" s="1" t="s">
        <v>356</v>
      </c>
      <c r="E90" s="1" t="s">
        <v>25</v>
      </c>
      <c r="F90" s="1" t="s">
        <v>26</v>
      </c>
      <c r="G90" s="1" t="s">
        <v>21</v>
      </c>
      <c r="H90" s="6">
        <v>1</v>
      </c>
      <c r="I90" s="7">
        <v>0</v>
      </c>
      <c r="J90" s="5">
        <v>45889</v>
      </c>
      <c r="K90" s="1" t="s">
        <v>30</v>
      </c>
      <c r="L90" s="8">
        <v>0</v>
      </c>
      <c r="M90" s="6"/>
      <c r="N90" s="6"/>
      <c r="O90" s="9">
        <v>0</v>
      </c>
    </row>
    <row r="91" spans="1:15" ht="19.5" customHeight="1">
      <c r="A91" s="1" t="s">
        <v>360</v>
      </c>
      <c r="B91" s="5">
        <v>45899</v>
      </c>
      <c r="C91" s="1" t="s">
        <v>28</v>
      </c>
      <c r="D91" s="1" t="s">
        <v>46</v>
      </c>
      <c r="E91" s="1" t="s">
        <v>25</v>
      </c>
      <c r="F91" s="1" t="s">
        <v>26</v>
      </c>
      <c r="G91" s="1" t="s">
        <v>21</v>
      </c>
      <c r="H91" s="6">
        <v>1</v>
      </c>
      <c r="I91" s="7">
        <v>0</v>
      </c>
      <c r="J91" s="5">
        <v>45889</v>
      </c>
      <c r="K91" s="1" t="s">
        <v>30</v>
      </c>
      <c r="L91" s="8">
        <v>0</v>
      </c>
      <c r="M91" s="6"/>
      <c r="N91" s="6"/>
      <c r="O91" s="9">
        <v>-46</v>
      </c>
    </row>
    <row r="92" spans="1:15" ht="19.5" customHeight="1">
      <c r="A92" s="1" t="s">
        <v>360</v>
      </c>
      <c r="B92" s="5">
        <v>45899</v>
      </c>
      <c r="C92" s="1" t="s">
        <v>17</v>
      </c>
      <c r="D92" s="1" t="s">
        <v>47</v>
      </c>
      <c r="E92" s="1" t="s">
        <v>25</v>
      </c>
      <c r="F92" s="1" t="s">
        <v>26</v>
      </c>
      <c r="G92" s="1" t="s">
        <v>21</v>
      </c>
      <c r="H92" s="6">
        <v>1</v>
      </c>
      <c r="I92" s="7">
        <v>0</v>
      </c>
      <c r="J92" s="5">
        <v>45889</v>
      </c>
      <c r="K92" s="1" t="s">
        <v>30</v>
      </c>
      <c r="L92" s="8">
        <v>0</v>
      </c>
      <c r="M92" s="6"/>
      <c r="N92" s="6"/>
      <c r="O92" s="9">
        <v>-15</v>
      </c>
    </row>
    <row r="93" spans="1:15" ht="19.5" customHeight="1">
      <c r="A93" s="1" t="s">
        <v>360</v>
      </c>
      <c r="B93" s="5">
        <v>45899</v>
      </c>
      <c r="C93" s="1" t="s">
        <v>28</v>
      </c>
      <c r="D93" s="1" t="s">
        <v>29</v>
      </c>
      <c r="E93" s="1" t="s">
        <v>25</v>
      </c>
      <c r="F93" s="1" t="s">
        <v>26</v>
      </c>
      <c r="G93" s="1" t="s">
        <v>21</v>
      </c>
      <c r="H93" s="6">
        <v>1</v>
      </c>
      <c r="I93" s="7">
        <v>0</v>
      </c>
      <c r="J93" s="5">
        <v>45889</v>
      </c>
      <c r="K93" s="1" t="s">
        <v>30</v>
      </c>
      <c r="L93" s="8">
        <v>0</v>
      </c>
      <c r="M93" s="6"/>
      <c r="N93" s="6"/>
      <c r="O93" s="9">
        <v>-46</v>
      </c>
    </row>
    <row r="94" spans="1:15" ht="19.5" customHeight="1">
      <c r="A94" s="1" t="s">
        <v>360</v>
      </c>
      <c r="B94" s="5">
        <v>45899</v>
      </c>
      <c r="C94" s="1" t="s">
        <v>17</v>
      </c>
      <c r="D94" s="1" t="s">
        <v>37</v>
      </c>
      <c r="E94" s="1" t="s">
        <v>25</v>
      </c>
      <c r="F94" s="1" t="s">
        <v>26</v>
      </c>
      <c r="G94" s="1" t="s">
        <v>21</v>
      </c>
      <c r="H94" s="6">
        <v>1</v>
      </c>
      <c r="I94" s="7">
        <v>0</v>
      </c>
      <c r="J94" s="5">
        <v>45889</v>
      </c>
      <c r="K94" s="1" t="s">
        <v>30</v>
      </c>
      <c r="L94" s="8">
        <v>0</v>
      </c>
      <c r="M94" s="6"/>
      <c r="N94" s="6"/>
      <c r="O94" s="9">
        <v>-8.3699999999999992</v>
      </c>
    </row>
    <row r="95" spans="1:15" ht="19.5" customHeight="1">
      <c r="A95" s="1" t="s">
        <v>22</v>
      </c>
      <c r="B95" s="5">
        <v>45899</v>
      </c>
      <c r="C95" s="1" t="s">
        <v>77</v>
      </c>
      <c r="D95" s="1" t="s">
        <v>330</v>
      </c>
      <c r="E95" s="1" t="s">
        <v>22</v>
      </c>
      <c r="F95" s="1" t="s">
        <v>22</v>
      </c>
      <c r="G95" s="1" t="s">
        <v>361</v>
      </c>
      <c r="H95" s="6">
        <v>0</v>
      </c>
      <c r="I95" s="7">
        <v>0</v>
      </c>
      <c r="J95" s="5">
        <v>45899</v>
      </c>
      <c r="K95" s="1" t="s">
        <v>22</v>
      </c>
      <c r="L95" s="8">
        <v>0</v>
      </c>
      <c r="M95" s="6"/>
      <c r="N95" s="6"/>
      <c r="O95" s="9">
        <v>-294.47000000000003</v>
      </c>
    </row>
    <row r="96" spans="1:15" ht="19.5" customHeight="1">
      <c r="A96" s="1" t="s">
        <v>362</v>
      </c>
      <c r="B96" s="5">
        <v>45900</v>
      </c>
      <c r="C96" s="1" t="s">
        <v>17</v>
      </c>
      <c r="D96" s="1" t="s">
        <v>18</v>
      </c>
      <c r="E96" s="1" t="s">
        <v>25</v>
      </c>
      <c r="F96" s="1" t="s">
        <v>26</v>
      </c>
      <c r="G96" s="1" t="s">
        <v>21</v>
      </c>
      <c r="H96" s="6">
        <v>1</v>
      </c>
      <c r="I96" s="7">
        <v>0</v>
      </c>
      <c r="J96" s="5">
        <v>45900</v>
      </c>
      <c r="K96" s="1" t="s">
        <v>22</v>
      </c>
      <c r="L96" s="8">
        <v>0</v>
      </c>
      <c r="M96" s="6"/>
      <c r="N96" s="6"/>
      <c r="O96" s="9">
        <v>-15.84</v>
      </c>
    </row>
    <row r="97" spans="1:15" ht="19.5" customHeight="1">
      <c r="A97" s="1" t="s">
        <v>22</v>
      </c>
      <c r="B97" s="5">
        <v>45900</v>
      </c>
      <c r="C97" s="1" t="s">
        <v>77</v>
      </c>
      <c r="D97" s="1" t="s">
        <v>330</v>
      </c>
      <c r="E97" s="1" t="s">
        <v>22</v>
      </c>
      <c r="F97" s="1" t="s">
        <v>22</v>
      </c>
      <c r="G97" s="1" t="s">
        <v>363</v>
      </c>
      <c r="H97" s="6">
        <v>0</v>
      </c>
      <c r="I97" s="7">
        <v>0</v>
      </c>
      <c r="J97" s="5">
        <v>45900</v>
      </c>
      <c r="K97" s="1" t="s">
        <v>22</v>
      </c>
      <c r="L97" s="8">
        <v>0</v>
      </c>
      <c r="M97" s="6"/>
      <c r="N97" s="6"/>
      <c r="O97" s="9">
        <v>-651.22</v>
      </c>
    </row>
    <row r="98" spans="1:15" ht="19.5" customHeight="1">
      <c r="A98" s="1" t="s">
        <v>83</v>
      </c>
      <c r="B98" s="5">
        <v>45900</v>
      </c>
      <c r="C98" s="1" t="s">
        <v>77</v>
      </c>
      <c r="D98" s="1" t="s">
        <v>84</v>
      </c>
      <c r="E98" s="1" t="s">
        <v>22</v>
      </c>
      <c r="F98" s="1" t="s">
        <v>22</v>
      </c>
      <c r="G98" s="1" t="s">
        <v>22</v>
      </c>
      <c r="H98" s="6">
        <v>0</v>
      </c>
      <c r="I98" s="7">
        <v>0</v>
      </c>
      <c r="J98" s="5">
        <v>45900</v>
      </c>
      <c r="K98" s="1" t="s">
        <v>22</v>
      </c>
      <c r="L98" s="8">
        <v>0</v>
      </c>
      <c r="M98" s="6"/>
      <c r="N98" s="6"/>
      <c r="O98" s="9">
        <v>-130.5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9AB7-448D-4B13-8F5A-91CE80E50F38}">
  <sheetPr>
    <tabColor rgb="FF00B0F0"/>
  </sheetPr>
  <dimension ref="A1:AZ64"/>
  <sheetViews>
    <sheetView tabSelected="1" zoomScale="70" zoomScaleNormal="70" workbookViewId="0">
      <pane xSplit="2" ySplit="2" topLeftCell="P45" activePane="bottomRight" state="frozen"/>
      <selection pane="topRight" activeCell="C1" sqref="C1"/>
      <selection pane="bottomLeft" activeCell="A3" sqref="A3"/>
      <selection pane="bottomRight" activeCell="AA56" sqref="AA56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1995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761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1994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1996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4" si="0">C3*H3</f>
        <v>0</v>
      </c>
      <c r="J3" s="45"/>
      <c r="K3" s="48">
        <f>АВГУСТ!K3+СЕНТЯБРЬ!K3+ОКТЯБРЬ!K3+НОЯБРЬ!K3+ДЕКАБРЬ!K3</f>
        <v>458</v>
      </c>
      <c r="L3" s="48" t="e">
        <f>'Юнит 01-07.12'!L3+'Юнит 08-14.12'!L3+'Юнит 15-21.12'!L3+'Юнит 22-31.12'!L3+#REF!</f>
        <v>#REF!</v>
      </c>
      <c r="M3" s="48" t="e">
        <f>'Юнит 01-07.12'!M3+'Юнит 08-14.12'!M3+'Юнит 15-21.12'!M3+'Юнит 22-31.12'!M3+#REF!</f>
        <v>#REF!</v>
      </c>
      <c r="N3" s="48"/>
      <c r="O3" s="48"/>
      <c r="P3" s="48">
        <f>АВГУСТ!P3+СЕНТЯБРЬ!P3+ОКТЯБРЬ!P3+НОЯБРЬ!P3+ДЕКАБРЬ!P3</f>
        <v>259</v>
      </c>
      <c r="Q3" s="48">
        <f>АВГУСТ!Q3+СЕНТЯБРЬ!Q3+ОКТЯБРЬ!Q3+НОЯБРЬ!Q3+ДЕКАБРЬ!Q3</f>
        <v>8</v>
      </c>
      <c r="R3" s="48">
        <f>P3+Q3</f>
        <v>267</v>
      </c>
      <c r="S3" s="48">
        <f>АВГУСТ!S3+СЕНТЯБРЬ!S3+ОКТЯБРЬ!S3+НОЯБРЬ!S3+ДЕКАБРЬ!S3</f>
        <v>349979</v>
      </c>
      <c r="T3" s="48">
        <f>АВГУСТ!T3+СЕНТЯБРЬ!T3+ОКТЯБРЬ!T3+НОЯБРЬ!T3+ДЕКАБРЬ!T3</f>
        <v>-10392</v>
      </c>
      <c r="U3" s="48">
        <f>S3+T3</f>
        <v>339587</v>
      </c>
      <c r="V3" s="48">
        <f>U3/$U$26</f>
        <v>0.46101391647400453</v>
      </c>
      <c r="W3" s="48">
        <f>АВГУСТ!W3+СЕНТЯБРЬ!W3+ОКТЯБРЬ!W3+НОЯБРЬ!W3+ДЕКАБРЬ!W3</f>
        <v>37031.819999999992</v>
      </c>
      <c r="X3" s="48">
        <f>АВГУСТ!X3+СЕНТЯБРЬ!X3+ОКТЯБРЬ!X3+НОЯБРЬ!X3+ДЕКАБРЬ!X3</f>
        <v>120098.43000000004</v>
      </c>
      <c r="Y3" s="431">
        <f>X3/U3</f>
        <v>0.35366026968052378</v>
      </c>
      <c r="Z3" s="48">
        <f>АВГУСТ!Z3+СЕНТЯБРЬ!Z3+ОКТЯБРЬ!Z3+НОЯБРЬ!Z3+ДЕКАБРЬ!Z3</f>
        <v>33022.160000000003</v>
      </c>
      <c r="AA3" s="48">
        <f>АВГУСТ!AA3+СЕНТЯБРЬ!AA3+ОКТЯБРЬ!AA3+НОЯБРЬ!AA3+ДЕКАБРЬ!AA3</f>
        <v>115116.25805800001</v>
      </c>
      <c r="AB3" s="51"/>
      <c r="AC3" s="51"/>
      <c r="AD3" s="48">
        <f>АВГУСТ!AD3+СЕНТЯБРЬ!AD3+ОКТЯБРЬ!AD3+НОЯБРЬ!AD3+ДЕКАБРЬ!AD3</f>
        <v>3395.87</v>
      </c>
      <c r="AE3" s="56">
        <f>U3-W3-X3-Z3-AA3-AB3-AC3-AD3</f>
        <v>30922.461941999933</v>
      </c>
      <c r="AF3" s="55"/>
      <c r="AG3" s="57">
        <f t="shared" ref="AG3:AG24" si="1">IF(R3=0,0,U3/R3)</f>
        <v>1271.8614232209738</v>
      </c>
      <c r="AH3" s="58">
        <f t="shared" ref="AH3:AH24" si="2">H3</f>
        <v>142.97999999999999</v>
      </c>
      <c r="AI3" s="58">
        <f t="shared" ref="AI3:AI24" si="3">IF(R3=0,0,X3/R3)</f>
        <v>449.80685393258443</v>
      </c>
      <c r="AJ3" s="58">
        <f t="shared" ref="AJ3:AJ24" si="4">IF(P3=0,Z3/1,Z3/P3)</f>
        <v>127.49868725868727</v>
      </c>
      <c r="AK3" s="58">
        <f t="shared" ref="AK3:AK24" si="5">IF(P3=0,0,AA3/P3)</f>
        <v>444.46431682625484</v>
      </c>
      <c r="AL3" s="58">
        <f>_xlfn.IFS(R3=0,AE3,R3&lt;0,AE3/-R3,R3&gt;0,AE3/R3)</f>
        <v>115.81446420224694</v>
      </c>
      <c r="AM3" s="59">
        <f t="shared" ref="AM3:AM24" si="6">IF(AG3=0,0,AL3/AG3)</f>
        <v>9.1059027412709936E-2</v>
      </c>
      <c r="AN3" s="60">
        <f t="shared" ref="AN3:AN24" si="7">IF(AH3=0,0,AL3/AH3)</f>
        <v>0.81000464542066686</v>
      </c>
      <c r="AP3" s="62">
        <f t="shared" ref="AP3:AP24" si="8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8">
        <f>АВГУСТ!K4+СЕНТЯБРЬ!K4+ОКТЯБРЬ!K4+НОЯБРЬ!K4+ДЕКАБРЬ!K4</f>
        <v>36</v>
      </c>
      <c r="L4" s="48" t="e">
        <f>'Юнит 01-07.12'!L4+'Юнит 08-14.12'!L4+'Юнит 15-21.12'!L4+'Юнит 22-31.12'!L4+#REF!</f>
        <v>#REF!</v>
      </c>
      <c r="M4" s="48" t="e">
        <f>'Юнит 01-07.12'!M4+'Юнит 08-14.12'!M4+'Юнит 15-21.12'!M4+'Юнит 22-31.12'!M4+#REF!</f>
        <v>#REF!</v>
      </c>
      <c r="N4" s="48"/>
      <c r="O4" s="48"/>
      <c r="P4" s="48">
        <f>АВГУСТ!P4+СЕНТЯБРЬ!P4+ОКТЯБРЬ!P4+НОЯБРЬ!P4+ДЕКАБРЬ!P4</f>
        <v>18</v>
      </c>
      <c r="Q4" s="48">
        <f>АВГУСТ!Q4+СЕНТЯБРЬ!Q4+ОКТЯБРЬ!Q4+НОЯБРЬ!Q4+ДЕКАБРЬ!Q4</f>
        <v>1</v>
      </c>
      <c r="R4" s="48">
        <f t="shared" ref="R4:R24" si="9">P4+Q4</f>
        <v>19</v>
      </c>
      <c r="S4" s="48">
        <f>АВГУСТ!S4+СЕНТЯБРЬ!S4+ОКТЯБРЬ!S4+НОЯБРЬ!S4+ДЕКАБРЬ!S4</f>
        <v>23092</v>
      </c>
      <c r="T4" s="48">
        <f>АВГУСТ!T4+СЕНТЯБРЬ!T4+ОКТЯБРЬ!T4+НОЯБРЬ!T4+ДЕКАБРЬ!T4</f>
        <v>-1400</v>
      </c>
      <c r="U4" s="48">
        <f t="shared" ref="U4:U24" si="10">S4+T4</f>
        <v>21692</v>
      </c>
      <c r="V4" s="48">
        <f t="shared" ref="V4:V24" si="11">U4/$U$26</f>
        <v>2.944845908752133E-2</v>
      </c>
      <c r="W4" s="48">
        <f>АВГУСТ!W4+СЕНТЯБРЬ!W4+ОКТЯБРЬ!W4+НОЯБРЬ!W4+ДЕКАБРЬ!W4</f>
        <v>2338.71</v>
      </c>
      <c r="X4" s="48">
        <f>АВГУСТ!X4+СЕНТЯБРЬ!X4+ОКТЯБРЬ!X4+НОЯБРЬ!X4+ДЕКАБРЬ!X4</f>
        <v>6340.24</v>
      </c>
      <c r="Y4" s="431">
        <f t="shared" ref="Y4:Y16" si="12">X4/U4</f>
        <v>0.2922847132583441</v>
      </c>
      <c r="Z4" s="48">
        <f>АВГУСТ!Z4+СЕНТЯБРЬ!Z4+ОКТЯБРЬ!Z4+НОЯБРЬ!Z4+ДЕКАБРЬ!Z4</f>
        <v>2559.8199999999997</v>
      </c>
      <c r="AA4" s="48">
        <f>АВГУСТ!AA4+СЕНТЯБРЬ!AA4+ОКТЯБРЬ!AA4+НОЯБРЬ!AA4+ДЕКАБРЬ!AA4</f>
        <v>6353.5692879999997</v>
      </c>
      <c r="AB4" s="51"/>
      <c r="AC4" s="51"/>
      <c r="AD4" s="48">
        <f>АВГУСТ!AD4+СЕНТЯБРЬ!AD4+ОКТЯБРЬ!AD4+НОЯБРЬ!AD4+ДЕКАБРЬ!AD4</f>
        <v>216.92000000000002</v>
      </c>
      <c r="AE4" s="56">
        <f t="shared" ref="AE4:AE24" si="13">U4-W4-X4-Z4-AA4-AB4-AC4-AD4</f>
        <v>3882.7407120000016</v>
      </c>
      <c r="AF4" s="55"/>
      <c r="AG4" s="57">
        <f t="shared" si="1"/>
        <v>1141.6842105263158</v>
      </c>
      <c r="AH4" s="58">
        <f t="shared" si="2"/>
        <v>123.09</v>
      </c>
      <c r="AI4" s="58">
        <f t="shared" si="3"/>
        <v>333.69684210526316</v>
      </c>
      <c r="AJ4" s="58">
        <f t="shared" si="4"/>
        <v>142.21222222222221</v>
      </c>
      <c r="AK4" s="58">
        <f t="shared" si="5"/>
        <v>352.97607155555556</v>
      </c>
      <c r="AL4" s="58">
        <f t="array" ref="AL4">_xlfn.IFS(R4=0,AE4,R4&lt;0,AE4/-R4,R4&gt;0,AE4/R4)</f>
        <v>204.35477431578957</v>
      </c>
      <c r="AM4" s="59">
        <f t="shared" si="6"/>
        <v>0.17899413203024164</v>
      </c>
      <c r="AN4" s="60">
        <f t="shared" si="7"/>
        <v>1.6602061444129463</v>
      </c>
      <c r="AP4" s="62">
        <f t="shared" si="8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8">
        <f>АВГУСТ!K5+СЕНТЯБРЬ!K5+ОКТЯБРЬ!K5+НОЯБРЬ!K5+ДЕКАБРЬ!K5</f>
        <v>17</v>
      </c>
      <c r="L5" s="48" t="e">
        <f>'Юнит 01-07.12'!L5+'Юнит 08-14.12'!L5+'Юнит 15-21.12'!L5+'Юнит 22-31.12'!L5+#REF!</f>
        <v>#REF!</v>
      </c>
      <c r="M5" s="48" t="e">
        <f>'Юнит 01-07.12'!M5+'Юнит 08-14.12'!M5+'Юнит 15-21.12'!M5+'Юнит 22-31.12'!M5+#REF!</f>
        <v>#REF!</v>
      </c>
      <c r="N5" s="48"/>
      <c r="O5" s="48"/>
      <c r="P5" s="48">
        <f>АВГУСТ!P5+СЕНТЯБРЬ!P5+ОКТЯБРЬ!P5+НОЯБРЬ!P5+ДЕКАБРЬ!P5</f>
        <v>13</v>
      </c>
      <c r="Q5" s="48">
        <f>АВГУСТ!Q5+СЕНТЯБРЬ!Q5+ОКТЯБРЬ!Q5+НОЯБРЬ!Q5+ДЕКАБРЬ!Q5</f>
        <v>1</v>
      </c>
      <c r="R5" s="48">
        <f t="shared" si="9"/>
        <v>14</v>
      </c>
      <c r="S5" s="48">
        <f>АВГУСТ!S5+СЕНТЯБРЬ!S5+ОКТЯБРЬ!S5+НОЯБРЬ!S5+ДЕКАБРЬ!S5</f>
        <v>15282</v>
      </c>
      <c r="T5" s="48">
        <f>АВГУСТ!T5+СЕНТЯБРЬ!T5+ОКТЯБРЬ!T5+НОЯБРЬ!T5+ДЕКАБРЬ!T5</f>
        <v>-1183</v>
      </c>
      <c r="U5" s="48">
        <f t="shared" si="10"/>
        <v>14099</v>
      </c>
      <c r="V5" s="48">
        <f t="shared" si="11"/>
        <v>1.9140412349020988E-2</v>
      </c>
      <c r="W5" s="48">
        <f>АВГУСТ!W5+СЕНТЯБРЬ!W5+ОКТЯБРЬ!W5+НОЯБРЬ!W5+ДЕКАБРЬ!W5</f>
        <v>1477.0800000000002</v>
      </c>
      <c r="X5" s="48">
        <f>АВГУСТ!X5+СЕНТЯБРЬ!X5+ОКТЯБРЬ!X5+НОЯБРЬ!X5+ДЕКАБРЬ!X5</f>
        <v>4389.92</v>
      </c>
      <c r="Y5" s="431">
        <f t="shared" si="12"/>
        <v>0.31136392651961131</v>
      </c>
      <c r="Z5" s="48">
        <f>АВГУСТ!Z5+СЕНТЯБРЬ!Z5+ОКТЯБРЬ!Z5+НОЯБРЬ!Z5+ДЕКАБРЬ!Z5</f>
        <v>1032.9000000000001</v>
      </c>
      <c r="AA5" s="48">
        <f>АВГУСТ!AA5+СЕНТЯБРЬ!AA5+ОКТЯБРЬ!AA5+НОЯБРЬ!AA5+ДЕКАБРЬ!AA5</f>
        <v>6541.0140620000002</v>
      </c>
      <c r="AB5" s="64"/>
      <c r="AC5" s="51"/>
      <c r="AD5" s="48">
        <f>АВГУСТ!AD5+СЕНТЯБРЬ!AD5+ОКТЯБРЬ!AD5+НОЯБРЬ!AD5+ДЕКАБРЬ!AD5</f>
        <v>140.99</v>
      </c>
      <c r="AE5" s="56">
        <f t="shared" si="13"/>
        <v>517.09593800000016</v>
      </c>
      <c r="AF5" s="55"/>
      <c r="AG5" s="57">
        <f t="shared" si="1"/>
        <v>1007.0714285714286</v>
      </c>
      <c r="AH5" s="58">
        <f t="shared" si="2"/>
        <v>123.09</v>
      </c>
      <c r="AI5" s="58">
        <f t="shared" si="3"/>
        <v>313.56571428571431</v>
      </c>
      <c r="AJ5" s="58">
        <f t="shared" si="4"/>
        <v>79.453846153846158</v>
      </c>
      <c r="AK5" s="58">
        <f t="shared" si="5"/>
        <v>503.15492784615384</v>
      </c>
      <c r="AL5" s="58">
        <f t="array" ref="AL5">_xlfn.IFS(R5=0,AE5,R5&lt;0,AE5/-R5,R5&gt;0,AE5/R5)</f>
        <v>36.935424142857151</v>
      </c>
      <c r="AM5" s="59">
        <f t="shared" si="6"/>
        <v>3.6676071919994335E-2</v>
      </c>
      <c r="AN5" s="60">
        <f t="shared" si="7"/>
        <v>0.30006843888908236</v>
      </c>
      <c r="AP5" s="62">
        <f t="shared" si="8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8">
        <f>АВГУСТ!K6+СЕНТЯБРЬ!K6+ОКТЯБРЬ!K6+НОЯБРЬ!K6+ДЕКАБРЬ!K6</f>
        <v>214</v>
      </c>
      <c r="L6" s="48" t="e">
        <f>'Юнит 01-07.12'!L6+'Юнит 08-14.12'!L6+'Юнит 15-21.12'!L6+'Юнит 22-31.12'!L6+#REF!</f>
        <v>#REF!</v>
      </c>
      <c r="M6" s="48" t="e">
        <f>'Юнит 01-07.12'!M6+'Юнит 08-14.12'!M6+'Юнит 15-21.12'!M6+'Юнит 22-31.12'!M6+#REF!</f>
        <v>#REF!</v>
      </c>
      <c r="N6" s="48"/>
      <c r="O6" s="48"/>
      <c r="P6" s="48">
        <f>АВГУСТ!P6+СЕНТЯБРЬ!P6+ОКТЯБРЬ!P6+НОЯБРЬ!P6+ДЕКАБРЬ!P6</f>
        <v>127</v>
      </c>
      <c r="Q6" s="48">
        <f>АВГУСТ!Q6+СЕНТЯБРЬ!Q6+ОКТЯБРЬ!Q6+НОЯБРЬ!Q6+ДЕКАБРЬ!Q6</f>
        <v>7</v>
      </c>
      <c r="R6" s="48">
        <f t="shared" si="9"/>
        <v>134</v>
      </c>
      <c r="S6" s="48">
        <f>АВГУСТ!S6+СЕНТЯБРЬ!S6+ОКТЯБРЬ!S6+НОЯБРЬ!S6+ДЕКАБРЬ!S6</f>
        <v>188358</v>
      </c>
      <c r="T6" s="48">
        <f>АВГУСТ!T6+СЕНТЯБРЬ!T6+ОКТЯБРЬ!T6+НОЯБРЬ!T6+ДЕКАБРЬ!T6</f>
        <v>-10304</v>
      </c>
      <c r="U6" s="48">
        <f t="shared" si="10"/>
        <v>178054</v>
      </c>
      <c r="V6" s="48">
        <f t="shared" si="11"/>
        <v>0.24172118450901361</v>
      </c>
      <c r="W6" s="48">
        <f>АВГУСТ!W6+СЕНТЯБРЬ!W6+ОКТЯБРЬ!W6+НОЯБРЬ!W6+ДЕКАБРЬ!W6</f>
        <v>14770.800000000001</v>
      </c>
      <c r="X6" s="48">
        <f>АВГУСТ!X6+СЕНТЯБРЬ!X6+ОКТЯБРЬ!X6+НОЯБРЬ!X6+ДЕКАБРЬ!X6</f>
        <v>75128.079999999987</v>
      </c>
      <c r="Y6" s="431">
        <f t="shared" si="12"/>
        <v>0.42193986094106273</v>
      </c>
      <c r="Z6" s="48">
        <f>АВГУСТ!Z6+СЕНТЯБРЬ!Z6+ОКТЯБРЬ!Z6+НОЯБРЬ!Z6+ДЕКАБРЬ!Z6</f>
        <v>18697.870000000003</v>
      </c>
      <c r="AA6" s="48">
        <f>АВГУСТ!AA6+СЕНТЯБРЬ!AA6+ОКТЯБРЬ!AA6+НОЯБРЬ!AA6+ДЕКАБРЬ!AA6</f>
        <v>63588.417726999993</v>
      </c>
      <c r="AB6" s="64"/>
      <c r="AC6" s="51"/>
      <c r="AD6" s="48">
        <f>АВГУСТ!AD6+СЕНТЯБРЬ!AD6+ОКТЯБРЬ!AD6+НОЯБРЬ!AD6+ДЕКАБРЬ!AD6</f>
        <v>1780.5400000000002</v>
      </c>
      <c r="AE6" s="56">
        <f t="shared" si="13"/>
        <v>4088.2922730000364</v>
      </c>
      <c r="AF6" s="55"/>
      <c r="AG6" s="57">
        <f t="shared" si="1"/>
        <v>1328.7611940298507</v>
      </c>
      <c r="AH6" s="58">
        <f t="shared" si="2"/>
        <v>123.09</v>
      </c>
      <c r="AI6" s="58">
        <f t="shared" si="3"/>
        <v>560.65731343283574</v>
      </c>
      <c r="AJ6" s="58">
        <f t="shared" si="4"/>
        <v>147.22732283464569</v>
      </c>
      <c r="AK6" s="58">
        <f t="shared" si="5"/>
        <v>500.69620257480307</v>
      </c>
      <c r="AL6" s="58">
        <f t="array" ref="AL6">_xlfn.IFS(R6=0,AE6,R6&lt;0,AE6/-R6,R6&gt;0,AE6/R6)</f>
        <v>30.509643828358481</v>
      </c>
      <c r="AM6" s="59">
        <f t="shared" si="6"/>
        <v>2.2960968430925655E-2</v>
      </c>
      <c r="AN6" s="60">
        <f t="shared" si="7"/>
        <v>0.24786452050010951</v>
      </c>
      <c r="AP6" s="62">
        <f t="shared" si="8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8">
        <f>АВГУСТ!K7+СЕНТЯБРЬ!K7+ОКТЯБРЬ!K7+НОЯБРЬ!K7+ДЕКАБРЬ!K7</f>
        <v>34</v>
      </c>
      <c r="L7" s="48" t="e">
        <f>'Юнит 01-07.12'!L7+'Юнит 08-14.12'!L7+'Юнит 15-21.12'!L7+'Юнит 22-31.12'!L7+#REF!</f>
        <v>#REF!</v>
      </c>
      <c r="M7" s="48" t="e">
        <f>'Юнит 01-07.12'!M7+'Юнит 08-14.12'!M7+'Юнит 15-21.12'!M7+'Юнит 22-31.12'!M7+#REF!</f>
        <v>#REF!</v>
      </c>
      <c r="N7" s="48"/>
      <c r="O7" s="48"/>
      <c r="P7" s="48">
        <f>АВГУСТ!P7+СЕНТЯБРЬ!P7+ОКТЯБРЬ!P7+НОЯБРЬ!P7+ДЕКАБРЬ!P7</f>
        <v>20</v>
      </c>
      <c r="Q7" s="48">
        <f>АВГУСТ!Q7+СЕНТЯБРЬ!Q7+ОКТЯБРЬ!Q7+НОЯБРЬ!Q7+ДЕКАБРЬ!Q7</f>
        <v>0</v>
      </c>
      <c r="R7" s="48">
        <f t="shared" si="9"/>
        <v>20</v>
      </c>
      <c r="S7" s="48">
        <f>АВГУСТ!S7+СЕНТЯБРЬ!S7+ОКТЯБРЬ!S7+НОЯБРЬ!S7+ДЕКАБРЬ!S7</f>
        <v>28476</v>
      </c>
      <c r="T7" s="48">
        <f>АВГУСТ!T7+СЕНТЯБРЬ!T7+ОКТЯБРЬ!T7+НОЯБРЬ!T7+ДЕКАБРЬ!T7</f>
        <v>0</v>
      </c>
      <c r="U7" s="48">
        <f t="shared" si="10"/>
        <v>28476</v>
      </c>
      <c r="V7" s="48">
        <f t="shared" si="11"/>
        <v>3.8658229807129699E-2</v>
      </c>
      <c r="W7" s="48">
        <f>АВГУСТ!W7+СЕНТЯБРЬ!W7+ОКТЯБРЬ!W7+НОЯБРЬ!W7+ДЕКАБРЬ!W7</f>
        <v>2344.7999999999997</v>
      </c>
      <c r="X7" s="48">
        <f>АВГУСТ!X7+СЕНТЯБРЬ!X7+ОКТЯБРЬ!X7+НОЯБРЬ!X7+ДЕКАБРЬ!X7</f>
        <v>8779.36</v>
      </c>
      <c r="Y7" s="431">
        <f t="shared" si="12"/>
        <v>0.30830734653743508</v>
      </c>
      <c r="Z7" s="48">
        <f>АВГУСТ!Z7+СЕНТЯБРЬ!Z7+ОКТЯБРЬ!Z7+НОЯБРЬ!Z7+ДЕКАБРЬ!Z7</f>
        <v>2564.67</v>
      </c>
      <c r="AA7" s="48">
        <f>АВГУСТ!AA7+СЕНТЯБРЬ!AA7+ОКТЯБРЬ!AA7+НОЯБРЬ!AA7+ДЕКАБРЬ!AA7</f>
        <v>2708.4830389999997</v>
      </c>
      <c r="AB7" s="64"/>
      <c r="AC7" s="51"/>
      <c r="AD7" s="48">
        <f>АВГУСТ!AD7+СЕНТЯБРЬ!AD7+ОКТЯБРЬ!AD7+НОЯБРЬ!AD7+ДЕКАБРЬ!AD7</f>
        <v>284.76</v>
      </c>
      <c r="AE7" s="56">
        <f t="shared" si="13"/>
        <v>11793.926960999999</v>
      </c>
      <c r="AF7" s="55"/>
      <c r="AG7" s="57">
        <f t="shared" si="1"/>
        <v>1423.8</v>
      </c>
      <c r="AH7" s="58">
        <f t="shared" si="2"/>
        <v>117.24</v>
      </c>
      <c r="AI7" s="58">
        <f t="shared" si="3"/>
        <v>438.96800000000002</v>
      </c>
      <c r="AJ7" s="58">
        <f t="shared" si="4"/>
        <v>128.23349999999999</v>
      </c>
      <c r="AK7" s="58">
        <f t="shared" si="5"/>
        <v>135.42415194999998</v>
      </c>
      <c r="AL7" s="58">
        <f t="array" ref="AL7">_xlfn.IFS(R7=0,AE7,R7&lt;0,AE7/-R7,R7&gt;0,AE7/R7)</f>
        <v>589.69634804999998</v>
      </c>
      <c r="AM7" s="59">
        <f t="shared" si="6"/>
        <v>0.41417077402022756</v>
      </c>
      <c r="AN7" s="60">
        <f t="shared" si="7"/>
        <v>5.0298221430399179</v>
      </c>
      <c r="AP7" s="62">
        <f t="shared" si="8"/>
        <v>0</v>
      </c>
    </row>
    <row r="8" spans="1:42">
      <c r="A8" s="39">
        <v>3064334128</v>
      </c>
      <c r="B8" s="40" t="s">
        <v>1054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8">
        <f>НОЯБРЬ!K8+ДЕКАБРЬ!K8</f>
        <v>10</v>
      </c>
      <c r="L8" s="48" t="e">
        <f>'Юнит 01-07.12'!L8+'Юнит 08-14.12'!L8+'Юнит 15-21.12'!L8+'Юнит 22-31.12'!L8+#REF!</f>
        <v>#REF!</v>
      </c>
      <c r="M8" s="48" t="e">
        <f>'Юнит 01-07.12'!M8+'Юнит 08-14.12'!M8+'Юнит 15-21.12'!M8+'Юнит 22-31.12'!M8+#REF!</f>
        <v>#REF!</v>
      </c>
      <c r="N8" s="48"/>
      <c r="O8" s="48"/>
      <c r="P8" s="48">
        <f>НОЯБРЬ!P8+ДЕКАБРЬ!P8</f>
        <v>5</v>
      </c>
      <c r="Q8" s="48">
        <f>НОЯБРЬ!Q8+ДЕКАБРЬ!Q8</f>
        <v>1</v>
      </c>
      <c r="R8" s="48">
        <f t="shared" si="9"/>
        <v>6</v>
      </c>
      <c r="S8" s="48">
        <f>НОЯБРЬ!S8+ДЕКАБРЬ!S8</f>
        <v>8497</v>
      </c>
      <c r="T8" s="48">
        <f>НОЯБРЬ!T8+ДЕКАБРЬ!T8</f>
        <v>-1800</v>
      </c>
      <c r="U8" s="48">
        <f t="shared" si="10"/>
        <v>6697</v>
      </c>
      <c r="V8" s="48">
        <f t="shared" si="11"/>
        <v>9.0916619264765977E-3</v>
      </c>
      <c r="W8" s="48">
        <f>НОЯБРЬ!W8+ДЕКАБРЬ!W8</f>
        <v>492</v>
      </c>
      <c r="X8" s="48">
        <f>НОЯБРЬ!X8+ДЕКАБРЬ!X8</f>
        <v>2879.71</v>
      </c>
      <c r="Y8" s="431">
        <f t="shared" si="12"/>
        <v>0.43</v>
      </c>
      <c r="Z8" s="48">
        <f>НОЯБРЬ!Z8+ДЕКАБРЬ!Z8</f>
        <v>1136.1199999999999</v>
      </c>
      <c r="AA8" s="48">
        <f>НОЯБРЬ!AA8+ДЕКАБРЬ!AA8</f>
        <v>4893.1242920000004</v>
      </c>
      <c r="AB8" s="64"/>
      <c r="AC8" s="51"/>
      <c r="AD8" s="48">
        <f>НОЯБРЬ!AD8+ДЕКАБРЬ!AD8</f>
        <v>66.97</v>
      </c>
      <c r="AE8" s="56">
        <f t="shared" si="13"/>
        <v>-2770.9242920000002</v>
      </c>
      <c r="AF8" s="55"/>
      <c r="AG8" s="57">
        <f t="shared" si="1"/>
        <v>1116.1666666666667</v>
      </c>
      <c r="AH8" s="58">
        <f t="shared" si="2"/>
        <v>123</v>
      </c>
      <c r="AI8" s="58">
        <f t="shared" si="3"/>
        <v>479.95166666666665</v>
      </c>
      <c r="AJ8" s="58">
        <f t="shared" si="4"/>
        <v>227.22399999999999</v>
      </c>
      <c r="AK8" s="58">
        <f t="shared" si="5"/>
        <v>978.62485840000011</v>
      </c>
      <c r="AL8" s="58">
        <f t="array" ref="AL8">_xlfn.IFS(R8=0,AE8,R8&lt;0,AE8/-R8,R8&gt;0,AE8/R8)</f>
        <v>-461.82071533333334</v>
      </c>
      <c r="AM8" s="59">
        <f t="shared" si="6"/>
        <v>-0.41375605375541286</v>
      </c>
      <c r="AN8" s="60">
        <f t="shared" si="7"/>
        <v>-3.7546399620596205</v>
      </c>
      <c r="AP8" s="62">
        <f t="shared" si="8"/>
        <v>0</v>
      </c>
    </row>
    <row r="9" spans="1:42">
      <c r="A9" s="39">
        <v>3064334311</v>
      </c>
      <c r="B9" s="40" t="s">
        <v>1055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8">
        <f>НОЯБРЬ!K9+ДЕКАБРЬ!K9</f>
        <v>16</v>
      </c>
      <c r="L9" s="48" t="e">
        <f>'Юнит 01-07.12'!L9+'Юнит 08-14.12'!L9+'Юнит 15-21.12'!L9+'Юнит 22-31.12'!L9+#REF!</f>
        <v>#REF!</v>
      </c>
      <c r="M9" s="48" t="e">
        <f>'Юнит 01-07.12'!M9+'Юнит 08-14.12'!M9+'Юнит 15-21.12'!M9+'Юнит 22-31.12'!M9+#REF!</f>
        <v>#REF!</v>
      </c>
      <c r="N9" s="48"/>
      <c r="O9" s="48"/>
      <c r="P9" s="48">
        <f>НОЯБРЬ!P9+ДЕКАБРЬ!P9</f>
        <v>8</v>
      </c>
      <c r="Q9" s="48">
        <f>НОЯБРЬ!Q9+ДЕКАБРЬ!Q9</f>
        <v>0</v>
      </c>
      <c r="R9" s="48">
        <f t="shared" si="9"/>
        <v>8</v>
      </c>
      <c r="S9" s="48">
        <f>НОЯБРЬ!S9+ДЕКАБРЬ!S9</f>
        <v>16515</v>
      </c>
      <c r="T9" s="48">
        <f>НОЯБРЬ!T9+ДЕКАБРЬ!T9</f>
        <v>0</v>
      </c>
      <c r="U9" s="48">
        <f t="shared" si="10"/>
        <v>16515</v>
      </c>
      <c r="V9" s="48">
        <f t="shared" si="11"/>
        <v>2.2420307110013589E-2</v>
      </c>
      <c r="W9" s="48">
        <f>НОЯБРЬ!W9+ДЕКАБРЬ!W9</f>
        <v>984</v>
      </c>
      <c r="X9" s="48">
        <f>НОЯБРЬ!X9+ДЕКАБРЬ!X9</f>
        <v>7101.45</v>
      </c>
      <c r="Y9" s="431">
        <f t="shared" si="12"/>
        <v>0.43</v>
      </c>
      <c r="Z9" s="48">
        <f>НОЯБРЬ!Z9+ДЕКАБРЬ!Z9</f>
        <v>1639.47</v>
      </c>
      <c r="AA9" s="48">
        <f>НОЯБРЬ!AA9+ДЕКАБРЬ!AA9</f>
        <v>12907.782244999999</v>
      </c>
      <c r="AB9" s="64"/>
      <c r="AC9" s="51"/>
      <c r="AD9" s="48">
        <f>НОЯБРЬ!AD9+ДЕКАБРЬ!AD9</f>
        <v>165.15</v>
      </c>
      <c r="AE9" s="56">
        <f t="shared" si="13"/>
        <v>-6282.8522449999991</v>
      </c>
      <c r="AF9" s="55"/>
      <c r="AG9" s="57">
        <f t="shared" si="1"/>
        <v>2064.375</v>
      </c>
      <c r="AH9" s="58">
        <f t="shared" si="2"/>
        <v>123</v>
      </c>
      <c r="AI9" s="58">
        <f t="shared" si="3"/>
        <v>887.68124999999998</v>
      </c>
      <c r="AJ9" s="58">
        <f t="shared" si="4"/>
        <v>204.93375</v>
      </c>
      <c r="AK9" s="58">
        <f t="shared" si="5"/>
        <v>1613.4727806249998</v>
      </c>
      <c r="AL9" s="58">
        <f t="array" ref="AL9">_xlfn.IFS(R9=0,AE9,R9&lt;0,AE9/-R9,R9&gt;0,AE9/R9)</f>
        <v>-785.35653062499989</v>
      </c>
      <c r="AM9" s="59">
        <f t="shared" si="6"/>
        <v>-0.38043307568876772</v>
      </c>
      <c r="AN9" s="60">
        <f t="shared" si="7"/>
        <v>-6.3850124441056906</v>
      </c>
      <c r="AP9" s="62">
        <f t="shared" si="8"/>
        <v>0</v>
      </c>
    </row>
    <row r="10" spans="1:42">
      <c r="A10" s="39">
        <v>2638291563</v>
      </c>
      <c r="B10" s="40" t="s">
        <v>88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8">
        <f>АВГУСТ!K8+СЕНТЯБРЬ!K8+ОКТЯБРЬ!K8+НОЯБРЬ!K10+ДЕКАБРЬ!K10</f>
        <v>22</v>
      </c>
      <c r="L10" s="48" t="e">
        <f>'Юнит 01-07.12'!L10+'Юнит 08-14.12'!L10+'Юнит 15-21.12'!L10+'Юнит 22-31.12'!L10+#REF!</f>
        <v>#REF!</v>
      </c>
      <c r="M10" s="48" t="e">
        <f>'Юнит 01-07.12'!M10+'Юнит 08-14.12'!M10+'Юнит 15-21.12'!M10+'Юнит 22-31.12'!M10+#REF!</f>
        <v>#REF!</v>
      </c>
      <c r="N10" s="48"/>
      <c r="O10" s="48"/>
      <c r="P10" s="48">
        <f>АВГУСТ!P8+СЕНТЯБРЬ!P8+ОКТЯБРЬ!P8+НОЯБРЬ!P10+ДЕКАБРЬ!P10</f>
        <v>13</v>
      </c>
      <c r="Q10" s="48">
        <f>АВГУСТ!Q8+СЕНТЯБРЬ!Q8+ОКТЯБРЬ!Q8+НОЯБРЬ!Q10+ДЕКАБРЬ!Q10</f>
        <v>2</v>
      </c>
      <c r="R10" s="48">
        <f t="shared" si="9"/>
        <v>15</v>
      </c>
      <c r="S10" s="48">
        <f>АВГУСТ!S8+СЕНТЯБРЬ!S8+ОКТЯБРЬ!S8+НОЯБРЬ!S10+ДЕКАБРЬ!S10</f>
        <v>17480</v>
      </c>
      <c r="T10" s="48">
        <f>АВГУСТ!T8+СЕНТЯБРЬ!T8+ОКТЯБРЬ!T8+НОЯБРЬ!T10+ДЕКАБРЬ!T10</f>
        <v>-2756</v>
      </c>
      <c r="U10" s="48">
        <f t="shared" si="10"/>
        <v>14724</v>
      </c>
      <c r="V10" s="48">
        <f t="shared" si="11"/>
        <v>1.9988895058300944E-2</v>
      </c>
      <c r="W10" s="48">
        <f>АВГУСТ!W8+СЕНТЯБРЬ!W8+ОКТЯБРЬ!W8+НОЯБРЬ!W10+ДЕКАБРЬ!W10</f>
        <v>2208.5699999999997</v>
      </c>
      <c r="X10" s="48">
        <f>АВГУСТ!X8+СЕНТЯБРЬ!X8+ОКТЯБРЬ!X8+НОЯБРЬ!X10+ДЕКАБРЬ!X10</f>
        <v>5384.8000000000011</v>
      </c>
      <c r="Y10" s="431">
        <f t="shared" si="12"/>
        <v>0.36571583808747632</v>
      </c>
      <c r="Z10" s="48">
        <f>АВГУСТ!Z8+СЕНТЯБРЬ!Z8+ОКТЯБРЬ!Z8+НОЯБРЬ!Z10+ДЕКАБРЬ!Z10</f>
        <v>1730.84</v>
      </c>
      <c r="AA10" s="48">
        <f>АВГУСТ!AA8+СЕНТЯБРЬ!AA8+ОКТЯБРЬ!AA8+НОЯБРЬ!AA10+ДЕКАБРЬ!AA10</f>
        <v>4230.8737389999997</v>
      </c>
      <c r="AB10" s="64"/>
      <c r="AC10" s="51"/>
      <c r="AD10" s="48">
        <f>АВГУСТ!AD8+СЕНТЯБРЬ!AD8+ОКТЯБРЬ!AD8+НОЯБРЬ!AD10+ДЕКАБРЬ!AD10</f>
        <v>147.24</v>
      </c>
      <c r="AE10" s="56">
        <f t="shared" si="13"/>
        <v>1021.6762609999994</v>
      </c>
      <c r="AF10" s="55"/>
      <c r="AG10" s="57">
        <f t="shared" si="1"/>
        <v>981.6</v>
      </c>
      <c r="AH10" s="58">
        <f t="shared" si="2"/>
        <v>169.89</v>
      </c>
      <c r="AI10" s="58">
        <f t="shared" si="3"/>
        <v>358.98666666666674</v>
      </c>
      <c r="AJ10" s="58">
        <f t="shared" si="4"/>
        <v>133.14153846153846</v>
      </c>
      <c r="AK10" s="58">
        <f t="shared" si="5"/>
        <v>325.45182607692306</v>
      </c>
      <c r="AL10" s="58">
        <f t="array" ref="AL10">_xlfn.IFS(R10=0,AE10,R10&lt;0,AE10/-R10,R10&gt;0,AE10/R10)</f>
        <v>68.111750733333295</v>
      </c>
      <c r="AM10" s="59">
        <f t="shared" si="6"/>
        <v>6.9388499117087707E-2</v>
      </c>
      <c r="AN10" s="60">
        <f t="shared" si="7"/>
        <v>0.40091677399101361</v>
      </c>
      <c r="AP10" s="62">
        <f t="shared" si="8"/>
        <v>0</v>
      </c>
    </row>
    <row r="11" spans="1:42">
      <c r="A11" s="39">
        <v>2730130733</v>
      </c>
      <c r="B11" s="40" t="s">
        <v>224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8">
        <f>АВГУСТ!K9+СЕНТЯБРЬ!K9+ОКТЯБРЬ!K9+НОЯБРЬ!K11+ДЕКАБРЬ!K11</f>
        <v>12</v>
      </c>
      <c r="L11" s="48" t="e">
        <f>'Юнит 01-07.12'!L11+'Юнит 08-14.12'!L11+'Юнит 15-21.12'!L11+'Юнит 22-31.12'!L11+#REF!</f>
        <v>#REF!</v>
      </c>
      <c r="M11" s="48" t="e">
        <f>'Юнит 01-07.12'!M11+'Юнит 08-14.12'!M11+'Юнит 15-21.12'!M11+'Юнит 22-31.12'!M11+#REF!</f>
        <v>#REF!</v>
      </c>
      <c r="N11" s="48"/>
      <c r="O11" s="48"/>
      <c r="P11" s="48">
        <f>АВГУСТ!P9+СЕНТЯБРЬ!P9+ОКТЯБРЬ!P9+НОЯБРЬ!P11+ДЕКАБРЬ!P11</f>
        <v>5</v>
      </c>
      <c r="Q11" s="48">
        <f>АВГУСТ!Q9+СЕНТЯБРЬ!Q9+ОКТЯБРЬ!Q9+НОЯБРЬ!Q11+ДЕКАБРЬ!Q11</f>
        <v>1</v>
      </c>
      <c r="R11" s="48">
        <f t="shared" si="9"/>
        <v>6</v>
      </c>
      <c r="S11" s="48">
        <f>АВГУСТ!S9+СЕНТЯБРЬ!S9+ОКТЯБРЬ!S9+НОЯБРЬ!S11+ДЕКАБРЬ!S11</f>
        <v>7538</v>
      </c>
      <c r="T11" s="48">
        <f>АВГУСТ!T9+СЕНТЯБРЬ!T9+ОКТЯБРЬ!T9+НОЯБРЬ!T11+ДЕКАБРЬ!T11</f>
        <v>-1500</v>
      </c>
      <c r="U11" s="48">
        <f t="shared" si="10"/>
        <v>6038</v>
      </c>
      <c r="V11" s="48">
        <f t="shared" si="11"/>
        <v>8.1970217578118103E-3</v>
      </c>
      <c r="W11" s="48">
        <f>АВГУСТ!W9+СЕНТЯБРЬ!W9+ОКТЯБРЬ!W9+НОЯБРЬ!W11+ДЕКАБРЬ!W11</f>
        <v>1019.3399999999999</v>
      </c>
      <c r="X11" s="48">
        <f>АВГУСТ!X9+СЕНТЯБРЬ!X9+ОКТЯБРЬ!X9+НОЯБРЬ!X11+ДЕКАБРЬ!X11</f>
        <v>2278.94</v>
      </c>
      <c r="Y11" s="431">
        <f t="shared" si="12"/>
        <v>0.3774329248095396</v>
      </c>
      <c r="Z11" s="48">
        <f>АВГУСТ!Z9+СЕНТЯБРЬ!Z9+ОКТЯБРЬ!Z9+НОЯБРЬ!Z11+ДЕКАБРЬ!Z11</f>
        <v>946.11999999999989</v>
      </c>
      <c r="AA11" s="48">
        <f>АВГУСТ!AA9+СЕНТЯБРЬ!AA9+ОКТЯБРЬ!AA9+НОЯБРЬ!AA11+ДЕКАБРЬ!AA11</f>
        <v>0</v>
      </c>
      <c r="AB11" s="64"/>
      <c r="AC11" s="51"/>
      <c r="AD11" s="48">
        <f>АВГУСТ!AD9+СЕНТЯБРЬ!AD9+ОКТЯБРЬ!AD9+НОЯБРЬ!AD11+ДЕКАБРЬ!AD11</f>
        <v>60.38</v>
      </c>
      <c r="AE11" s="56">
        <f t="shared" si="13"/>
        <v>1733.2199999999998</v>
      </c>
      <c r="AF11" s="55"/>
      <c r="AG11" s="57">
        <f t="shared" si="1"/>
        <v>1006.3333333333334</v>
      </c>
      <c r="AH11" s="58">
        <f t="shared" si="2"/>
        <v>169.89</v>
      </c>
      <c r="AI11" s="58">
        <f t="shared" si="3"/>
        <v>379.82333333333332</v>
      </c>
      <c r="AJ11" s="58">
        <f t="shared" si="4"/>
        <v>189.22399999999999</v>
      </c>
      <c r="AK11" s="58">
        <f t="shared" si="5"/>
        <v>0</v>
      </c>
      <c r="AL11" s="58">
        <f t="array" ref="AL11">_xlfn.IFS(R11=0,AE11,R11&lt;0,AE11/-R11,R11&gt;0,AE11/R11)</f>
        <v>288.86999999999995</v>
      </c>
      <c r="AM11" s="59">
        <f t="shared" si="6"/>
        <v>0.28705200397482605</v>
      </c>
      <c r="AN11" s="60">
        <f t="shared" si="7"/>
        <v>1.7003355112131378</v>
      </c>
      <c r="AP11" s="62">
        <f t="shared" si="8"/>
        <v>0</v>
      </c>
    </row>
    <row r="12" spans="1:42">
      <c r="A12" s="39">
        <v>2730131249</v>
      </c>
      <c r="B12" s="40" t="s">
        <v>225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8">
        <f>АВГУСТ!K10+СЕНТЯБРЬ!K10+ОКТЯБРЬ!K10+НОЯБРЬ!K12+ДЕКАБРЬ!K12</f>
        <v>8</v>
      </c>
      <c r="L12" s="48" t="e">
        <f>'Юнит 01-07.12'!L12+'Юнит 08-14.12'!L12+'Юнит 15-21.12'!L12+'Юнит 22-31.12'!L12+#REF!</f>
        <v>#REF!</v>
      </c>
      <c r="M12" s="48" t="e">
        <f>'Юнит 01-07.12'!M12+'Юнит 08-14.12'!M12+'Юнит 15-21.12'!M12+'Юнит 22-31.12'!M12+#REF!</f>
        <v>#REF!</v>
      </c>
      <c r="N12" s="48"/>
      <c r="O12" s="48"/>
      <c r="P12" s="48">
        <f>АВГУСТ!P10+СЕНТЯБРЬ!P10+ОКТЯБРЬ!P10+НОЯБРЬ!P12+ДЕКАБРЬ!P12</f>
        <v>5</v>
      </c>
      <c r="Q12" s="48">
        <f>АВГУСТ!Q10+СЕНТЯБРЬ!Q10+ОКТЯБРЬ!Q10+НОЯБРЬ!Q12+ДЕКАБРЬ!Q12</f>
        <v>0</v>
      </c>
      <c r="R12" s="48">
        <f t="shared" si="9"/>
        <v>5</v>
      </c>
      <c r="S12" s="48">
        <f>АВГУСТ!S10+СЕНТЯБРЬ!S10+ОКТЯБРЬ!S10+НОЯБРЬ!S12+ДЕКАБРЬ!S12</f>
        <v>6464</v>
      </c>
      <c r="T12" s="48">
        <f>АВГУСТ!T10+СЕНТЯБРЬ!T10+ОКТЯБРЬ!T10+НОЯБРЬ!T12+ДЕКАБРЬ!T12</f>
        <v>0</v>
      </c>
      <c r="U12" s="48">
        <f t="shared" si="10"/>
        <v>6464</v>
      </c>
      <c r="V12" s="48">
        <f t="shared" si="11"/>
        <v>8.775347572457029E-3</v>
      </c>
      <c r="W12" s="48">
        <f>АВГУСТ!W10+СЕНТЯБРЬ!W10+ОКТЯБРЬ!W10+НОЯБРЬ!W12+ДЕКАБРЬ!W12</f>
        <v>849.44999999999993</v>
      </c>
      <c r="X12" s="48">
        <f>АВГУСТ!X10+СЕНТЯБРЬ!X10+ОКТЯБРЬ!X10+НОЯБРЬ!X12+ДЕКАБРЬ!X12</f>
        <v>1889.72</v>
      </c>
      <c r="Y12" s="431">
        <f t="shared" si="12"/>
        <v>0.29234529702970297</v>
      </c>
      <c r="Z12" s="48">
        <f>АВГУСТ!Z10+СЕНТЯБРЬ!Z10+ОКТЯБРЬ!Z10+НОЯБРЬ!Z12+ДЕКАБРЬ!Z12</f>
        <v>510.8</v>
      </c>
      <c r="AA12" s="48">
        <f>АВГУСТ!AA10+СЕНТЯБРЬ!AA10+ОКТЯБРЬ!AA10+НОЯБРЬ!AA12+ДЕКАБРЬ!AA12</f>
        <v>0</v>
      </c>
      <c r="AB12" s="64"/>
      <c r="AC12" s="51"/>
      <c r="AD12" s="48">
        <f>АВГУСТ!AD10+СЕНТЯБРЬ!AD10+ОКТЯБРЬ!AD10+НОЯБРЬ!AD12+ДЕКАБРЬ!AD12</f>
        <v>64.64</v>
      </c>
      <c r="AE12" s="56">
        <f t="shared" si="13"/>
        <v>3149.39</v>
      </c>
      <c r="AF12" s="55"/>
      <c r="AG12" s="57">
        <f t="shared" si="1"/>
        <v>1292.8</v>
      </c>
      <c r="AH12" s="58">
        <f t="shared" si="2"/>
        <v>169.89</v>
      </c>
      <c r="AI12" s="58">
        <f t="shared" si="3"/>
        <v>377.94400000000002</v>
      </c>
      <c r="AJ12" s="58">
        <f t="shared" si="4"/>
        <v>102.16</v>
      </c>
      <c r="AK12" s="58">
        <f t="shared" si="5"/>
        <v>0</v>
      </c>
      <c r="AL12" s="58">
        <f t="array" ref="AL12">_xlfn.IFS(R12=0,AE12,R12&lt;0,AE12/-R12,R12&gt;0,AE12/R12)</f>
        <v>629.87799999999993</v>
      </c>
      <c r="AM12" s="59">
        <f t="shared" si="6"/>
        <v>0.48721998762376234</v>
      </c>
      <c r="AN12" s="60">
        <f t="shared" si="7"/>
        <v>3.7075637176996881</v>
      </c>
      <c r="AP12" s="62">
        <f t="shared" si="8"/>
        <v>0</v>
      </c>
    </row>
    <row r="13" spans="1:42">
      <c r="A13" s="39">
        <v>2730130553</v>
      </c>
      <c r="B13" s="40" t="s">
        <v>226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8">
        <f>АВГУСТ!K11+СЕНТЯБРЬ!K11+ОКТЯБРЬ!K11+НОЯБРЬ!K13+ДЕКАБРЬ!K13</f>
        <v>24</v>
      </c>
      <c r="L13" s="48" t="e">
        <f>'Юнит 01-07.12'!L13+'Юнит 08-14.12'!L13+'Юнит 15-21.12'!L13+'Юнит 22-31.12'!L13+#REF!</f>
        <v>#REF!</v>
      </c>
      <c r="M13" s="48" t="e">
        <f>'Юнит 01-07.12'!M13+'Юнит 08-14.12'!M13+'Юнит 15-21.12'!M13+'Юнит 22-31.12'!M13+#REF!</f>
        <v>#REF!</v>
      </c>
      <c r="N13" s="48"/>
      <c r="O13" s="48"/>
      <c r="P13" s="48">
        <f>АВГУСТ!P11+СЕНТЯБРЬ!P11+ОКТЯБРЬ!P11+НОЯБРЬ!P13+ДЕКАБРЬ!P13</f>
        <v>17</v>
      </c>
      <c r="Q13" s="48">
        <f>АВГУСТ!Q11+СЕНТЯБРЬ!Q11+ОКТЯБРЬ!Q11+НОЯБРЬ!Q13+ДЕКАБРЬ!Q13</f>
        <v>1</v>
      </c>
      <c r="R13" s="48">
        <f t="shared" si="9"/>
        <v>18</v>
      </c>
      <c r="S13" s="48">
        <f>АВГУСТ!S11+СЕНТЯБРЬ!S11+ОКТЯБРЬ!S11+НОЯБРЬ!S13+ДЕКАБРЬ!S13</f>
        <v>26195</v>
      </c>
      <c r="T13" s="48">
        <f>АВГУСТ!T11+СЕНТЯБРЬ!T11+ОКТЯБРЬ!T11+НОЯБРЬ!T13+ДЕКАБРЬ!T13</f>
        <v>-1800</v>
      </c>
      <c r="U13" s="48">
        <f t="shared" si="10"/>
        <v>24395</v>
      </c>
      <c r="V13" s="48">
        <f t="shared" si="11"/>
        <v>3.311797710861529E-2</v>
      </c>
      <c r="W13" s="48">
        <f>АВГУСТ!W11+СЕНТЯБРЬ!W11+ОКТЯБРЬ!W11+НОЯБРЬ!W13+ДЕКАБРЬ!W13</f>
        <v>2718.24</v>
      </c>
      <c r="X13" s="48">
        <f>АВГУСТ!X11+СЕНТЯБРЬ!X11+ОКТЯБРЬ!X11+НОЯБРЬ!X13+ДЕКАБРЬ!X13</f>
        <v>9021.23</v>
      </c>
      <c r="Y13" s="431">
        <f t="shared" si="12"/>
        <v>0.36979831932773105</v>
      </c>
      <c r="Z13" s="48">
        <f>АВГУСТ!Z11+СЕНТЯБРЬ!Z11+ОКТЯБРЬ!Z11+НОЯБРЬ!Z13+ДЕКАБРЬ!Z13</f>
        <v>1857.25</v>
      </c>
      <c r="AA13" s="48">
        <f>АВГУСТ!AA11+СЕНТЯБРЬ!AA11+ОКТЯБРЬ!AA11+НОЯБРЬ!AA13+ДЕКАБРЬ!AA13</f>
        <v>2958.3553339999999</v>
      </c>
      <c r="AB13" s="64"/>
      <c r="AC13" s="51"/>
      <c r="AD13" s="48">
        <f>АВГУСТ!AD11+СЕНТЯБРЬ!AD11+ОКТЯБРЬ!AD11+НОЯБРЬ!AD13+ДЕКАБРЬ!AD13</f>
        <v>243.95000000000002</v>
      </c>
      <c r="AE13" s="56">
        <f t="shared" si="13"/>
        <v>7595.9746660000028</v>
      </c>
      <c r="AF13" s="55"/>
      <c r="AG13" s="57">
        <f t="shared" si="1"/>
        <v>1355.2777777777778</v>
      </c>
      <c r="AH13" s="58">
        <f t="shared" si="2"/>
        <v>169.89</v>
      </c>
      <c r="AI13" s="58">
        <f t="shared" si="3"/>
        <v>501.17944444444441</v>
      </c>
      <c r="AJ13" s="58">
        <f t="shared" si="4"/>
        <v>109.25</v>
      </c>
      <c r="AK13" s="58">
        <f t="shared" si="5"/>
        <v>174.02090199999998</v>
      </c>
      <c r="AL13" s="58">
        <f t="array" ref="AL13">_xlfn.IFS(R13=0,AE13,R13&lt;0,AE13/-R13,R13&gt;0,AE13/R13)</f>
        <v>421.99859255555572</v>
      </c>
      <c r="AM13" s="59">
        <f t="shared" si="6"/>
        <v>0.31137424332855101</v>
      </c>
      <c r="AN13" s="60">
        <f t="shared" si="7"/>
        <v>2.4839519251018642</v>
      </c>
      <c r="AP13" s="62">
        <f t="shared" si="8"/>
        <v>0</v>
      </c>
    </row>
    <row r="14" spans="1:42" ht="13.75" customHeight="1">
      <c r="A14" s="39">
        <v>2730129638</v>
      </c>
      <c r="B14" s="40" t="s">
        <v>227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8">
        <f>АВГУСТ!K12+СЕНТЯБРЬ!K12+ОКТЯБРЬ!K12+НОЯБРЬ!K14+ДЕКАБРЬ!K14</f>
        <v>20</v>
      </c>
      <c r="L14" s="48" t="e">
        <f>'Юнит 01-07.12'!L14+'Юнит 08-14.12'!L14+'Юнит 15-21.12'!L14+'Юнит 22-31.12'!L14+#REF!</f>
        <v>#REF!</v>
      </c>
      <c r="M14" s="48" t="e">
        <f>'Юнит 01-07.12'!M14+'Юнит 08-14.12'!M14+'Юнит 15-21.12'!M14+'Юнит 22-31.12'!M14+#REF!</f>
        <v>#REF!</v>
      </c>
      <c r="N14" s="48"/>
      <c r="O14" s="48"/>
      <c r="P14" s="48">
        <f>АВГУСТ!P12+СЕНТЯБРЬ!P12+ОКТЯБРЬ!P12+НОЯБРЬ!P14+ДЕКАБРЬ!P14</f>
        <v>12</v>
      </c>
      <c r="Q14" s="48">
        <f>АВГУСТ!Q12+СЕНТЯБРЬ!Q12+ОКТЯБРЬ!Q12+НОЯБРЬ!Q14+ДЕКАБРЬ!Q14</f>
        <v>0</v>
      </c>
      <c r="R14" s="48">
        <f t="shared" si="9"/>
        <v>12</v>
      </c>
      <c r="S14" s="48">
        <f>АВГУСТ!S12+СЕНТЯБРЬ!S12+ОКТЯБРЬ!S12+НОЯБРЬ!S14+ДЕКАБРЬ!S14</f>
        <v>18827</v>
      </c>
      <c r="T14" s="48">
        <f>АВГУСТ!T12+СЕНТЯБРЬ!T12+ОКТЯБРЬ!T12+НОЯБРЬ!T14+ДЕКАБРЬ!T14</f>
        <v>0</v>
      </c>
      <c r="U14" s="48">
        <f t="shared" si="10"/>
        <v>18827</v>
      </c>
      <c r="V14" s="48">
        <f t="shared" si="11"/>
        <v>2.5559014348182005E-2</v>
      </c>
      <c r="W14" s="48">
        <f>АВГУСТ!W12+СЕНТЯБРЬ!W12+ОКТЯБРЬ!W12+НОЯБРЬ!W14+ДЕКАБРЬ!W14</f>
        <v>2038.6799999999998</v>
      </c>
      <c r="X14" s="48">
        <f>АВГУСТ!X12+СЕНТЯБРЬ!X12+ОКТЯБРЬ!X12+НОЯБРЬ!X14+ДЕКАБРЬ!X14</f>
        <v>6523.21</v>
      </c>
      <c r="Y14" s="431">
        <f t="shared" si="12"/>
        <v>0.34648164869602166</v>
      </c>
      <c r="Z14" s="48">
        <f>АВГУСТ!Z12+СЕНТЯБРЬ!Z12+ОКТЯБРЬ!Z12+НОЯБРЬ!Z14+ДЕКАБРЬ!Z14</f>
        <v>1418.98</v>
      </c>
      <c r="AA14" s="48">
        <f>АВГУСТ!AA12+СЕНТЯБРЬ!AA12+ОКТЯБРЬ!AA12+НОЯБРЬ!AA14+ДЕКАБРЬ!AA14</f>
        <v>23198.430458999999</v>
      </c>
      <c r="AB14" s="64"/>
      <c r="AC14" s="51"/>
      <c r="AD14" s="48">
        <f>АВГУСТ!AD12+СЕНТЯБРЬ!AD12+ОКТЯБРЬ!AD12+НОЯБРЬ!AD14+ДЕКАБРЬ!AD14</f>
        <v>188.27</v>
      </c>
      <c r="AE14" s="56">
        <f t="shared" si="13"/>
        <v>-14540.570458999999</v>
      </c>
      <c r="AF14" s="55"/>
      <c r="AG14" s="57">
        <f t="shared" si="1"/>
        <v>1568.9166666666667</v>
      </c>
      <c r="AH14" s="58">
        <f t="shared" si="2"/>
        <v>169.89</v>
      </c>
      <c r="AI14" s="58">
        <f t="shared" si="3"/>
        <v>543.6008333333333</v>
      </c>
      <c r="AJ14" s="58">
        <f t="shared" si="4"/>
        <v>118.24833333333333</v>
      </c>
      <c r="AK14" s="58">
        <f t="shared" si="5"/>
        <v>1933.2025382499999</v>
      </c>
      <c r="AL14" s="58">
        <f t="array" ref="AL14">_xlfn.IFS(R14=0,AE14,R14&lt;0,AE14/-R14,R14&gt;0,AE14/R14)</f>
        <v>-1211.7142049166666</v>
      </c>
      <c r="AM14" s="59">
        <f t="shared" si="6"/>
        <v>-0.77232540813724959</v>
      </c>
      <c r="AN14" s="60">
        <f t="shared" si="7"/>
        <v>-7.1323456643514431</v>
      </c>
      <c r="AP14" s="62">
        <f t="shared" si="8"/>
        <v>0</v>
      </c>
    </row>
    <row r="15" spans="1:42" ht="13.75" customHeight="1">
      <c r="A15" s="39">
        <v>2730130141</v>
      </c>
      <c r="B15" s="40" t="s">
        <v>228</v>
      </c>
      <c r="C15" s="41"/>
      <c r="D15" s="42"/>
      <c r="E15" s="42"/>
      <c r="F15" s="42"/>
      <c r="G15" s="43"/>
      <c r="H15" s="44">
        <v>169.89</v>
      </c>
      <c r="I15" s="63">
        <f t="shared" si="0"/>
        <v>0</v>
      </c>
      <c r="J15" s="45"/>
      <c r="K15" s="48">
        <f>АВГУСТ!K13+СЕНТЯБРЬ!K13+ОКТЯБРЬ!K13+НОЯБРЬ!K15+ДЕКАБРЬ!K15</f>
        <v>33</v>
      </c>
      <c r="L15" s="48" t="e">
        <f>'Юнит 01-07.12'!L15+'Юнит 08-14.12'!L15+'Юнит 15-21.12'!L15+'Юнит 22-31.12'!L15+#REF!</f>
        <v>#REF!</v>
      </c>
      <c r="M15" s="48" t="e">
        <f>'Юнит 01-07.12'!M15+'Юнит 08-14.12'!M15+'Юнит 15-21.12'!M15+'Юнит 22-31.12'!M15+#REF!</f>
        <v>#REF!</v>
      </c>
      <c r="N15" s="48"/>
      <c r="O15" s="48"/>
      <c r="P15" s="48">
        <f>АВГУСТ!P13+СЕНТЯБРЬ!P13+ОКТЯБРЬ!P13+НОЯБРЬ!P15+ДЕКАБРЬ!P15</f>
        <v>15</v>
      </c>
      <c r="Q15" s="48">
        <f>АВГУСТ!Q13+СЕНТЯБРЬ!Q13+ОКТЯБРЬ!Q13+НОЯБРЬ!Q15+ДЕКАБРЬ!Q15</f>
        <v>0</v>
      </c>
      <c r="R15" s="48">
        <f t="shared" si="9"/>
        <v>15</v>
      </c>
      <c r="S15" s="48">
        <f>АВГУСТ!S13+СЕНТЯБРЬ!S13+ОКТЯБРЬ!S13+НОЯБРЬ!S15+ДЕКАБРЬ!S15</f>
        <v>21420</v>
      </c>
      <c r="T15" s="48">
        <f>АВГУСТ!T13+СЕНТЯБРЬ!T13+ОКТЯБРЬ!T13+НОЯБРЬ!T15+ДЕКАБРЬ!T15</f>
        <v>0</v>
      </c>
      <c r="U15" s="48">
        <f t="shared" si="10"/>
        <v>21420</v>
      </c>
      <c r="V15" s="48">
        <f t="shared" si="11"/>
        <v>2.9079199412442695E-2</v>
      </c>
      <c r="W15" s="48">
        <f>АВГУСТ!W13+СЕНТЯБРЬ!W13+ОКТЯБРЬ!W13+НОЯБРЬ!W15+ДЕКАБРЬ!W15</f>
        <v>2548.3499999999995</v>
      </c>
      <c r="X15" s="48">
        <f>АВГУСТ!X13+СЕНТЯБРЬ!X13+ОКТЯБРЬ!X13+НОЯБРЬ!X15+ДЕКАБРЬ!X15</f>
        <v>7878.6</v>
      </c>
      <c r="Y15" s="431">
        <f t="shared" si="12"/>
        <v>0.36781512605042016</v>
      </c>
      <c r="Z15" s="48">
        <f>АВГУСТ!Z13+СЕНТЯБРЬ!Z13+ОКТЯБРЬ!Z13+НОЯБРЬ!Z15+ДЕКАБРЬ!Z15</f>
        <v>2539.4399999999996</v>
      </c>
      <c r="AA15" s="48">
        <f>АВГУСТ!AA13+СЕНТЯБРЬ!AA13+ОКТЯБРЬ!AA13+НОЯБРЬ!AA15+ДЕКАБРЬ!AA15</f>
        <v>14107.015624000001</v>
      </c>
      <c r="AB15" s="64"/>
      <c r="AC15" s="51"/>
      <c r="AD15" s="48">
        <f>АВГУСТ!AD13+СЕНТЯБРЬ!AD13+ОКТЯБРЬ!AD13+НОЯБРЬ!AD15+ДЕКАБРЬ!AD15</f>
        <v>214.2</v>
      </c>
      <c r="AE15" s="56">
        <f t="shared" si="13"/>
        <v>-5867.6056240000007</v>
      </c>
      <c r="AF15" s="55"/>
      <c r="AG15" s="57">
        <f t="shared" si="1"/>
        <v>1428</v>
      </c>
      <c r="AH15" s="58">
        <f t="shared" si="2"/>
        <v>169.89</v>
      </c>
      <c r="AI15" s="58">
        <f t="shared" si="3"/>
        <v>525.24</v>
      </c>
      <c r="AJ15" s="58">
        <f t="shared" si="4"/>
        <v>169.29599999999996</v>
      </c>
      <c r="AK15" s="58">
        <f t="shared" si="5"/>
        <v>940.46770826666682</v>
      </c>
      <c r="AL15" s="58">
        <f t="array" ref="AL15">_xlfn.IFS(R15=0,AE15,R15&lt;0,AE15/-R15,R15&gt;0,AE15/R15)</f>
        <v>-391.17370826666672</v>
      </c>
      <c r="AM15" s="59">
        <f t="shared" si="6"/>
        <v>-0.27393116825396829</v>
      </c>
      <c r="AN15" s="60">
        <f t="shared" si="7"/>
        <v>-2.3025116738281639</v>
      </c>
      <c r="AP15" s="62">
        <f t="shared" si="8"/>
        <v>0</v>
      </c>
    </row>
    <row r="16" spans="1:42" ht="13.75" customHeight="1">
      <c r="A16" s="39">
        <v>2730129805</v>
      </c>
      <c r="B16" s="40" t="s">
        <v>19</v>
      </c>
      <c r="C16" s="41"/>
      <c r="D16" s="42"/>
      <c r="E16" s="42"/>
      <c r="F16" s="42"/>
      <c r="G16" s="43"/>
      <c r="H16" s="44">
        <v>169.89</v>
      </c>
      <c r="I16" s="63">
        <f t="shared" si="0"/>
        <v>0</v>
      </c>
      <c r="J16" s="45"/>
      <c r="K16" s="48">
        <f>АВГУСТ!K14+СЕНТЯБРЬ!K14+ОКТЯБРЬ!K14+НОЯБРЬ!K16+ДЕКАБРЬ!K16</f>
        <v>28</v>
      </c>
      <c r="L16" s="48" t="e">
        <f>'Юнит 01-07.12'!L16+'Юнит 08-14.12'!L16+'Юнит 15-21.12'!L16+'Юнит 22-31.12'!L16+#REF!</f>
        <v>#REF!</v>
      </c>
      <c r="M16" s="48" t="e">
        <f>'Юнит 01-07.12'!M16+'Юнит 08-14.12'!M16+'Юнит 15-21.12'!M16+'Юнит 22-31.12'!M16+#REF!</f>
        <v>#REF!</v>
      </c>
      <c r="N16" s="48"/>
      <c r="O16" s="48"/>
      <c r="P16" s="48">
        <f>АВГУСТ!P14+СЕНТЯБРЬ!P14+ОКТЯБРЬ!P14+НОЯБРЬ!P16+ДЕКАБРЬ!P16</f>
        <v>15</v>
      </c>
      <c r="Q16" s="48">
        <f>АВГУСТ!Q14+СЕНТЯБРЬ!Q14+ОКТЯБРЬ!Q14+НОЯБРЬ!Q16+ДЕКАБРЬ!Q16</f>
        <v>1</v>
      </c>
      <c r="R16" s="48">
        <f t="shared" si="9"/>
        <v>16</v>
      </c>
      <c r="S16" s="48">
        <f>АВГУСТ!S14+СЕНТЯБРЬ!S14+ОКТЯБРЬ!S14+НОЯБРЬ!S16+ДЕКАБРЬ!S16</f>
        <v>20624</v>
      </c>
      <c r="T16" s="48">
        <f>АВГУСТ!T14+СЕНТЯБРЬ!T14+ОКТЯБРЬ!T14+НОЯБРЬ!T16+ДЕКАБРЬ!T16</f>
        <v>-1298</v>
      </c>
      <c r="U16" s="48">
        <f t="shared" si="10"/>
        <v>19326</v>
      </c>
      <c r="V16" s="48">
        <f t="shared" si="11"/>
        <v>2.6236442943271123E-2</v>
      </c>
      <c r="W16" s="48">
        <f>АВГУСТ!W14+СЕНТЯБРЬ!W14+ОКТЯБРЬ!W14+НОЯБРЬ!W16+ДЕКАБРЬ!W16</f>
        <v>2378.4599999999996</v>
      </c>
      <c r="X16" s="48">
        <f>АВГУСТ!X14+СЕНТЯБРЬ!X14+ОКТЯБРЬ!X14+НОЯБРЬ!X16+ДЕКАБРЬ!X16</f>
        <v>5300.3900000000012</v>
      </c>
      <c r="Y16" s="431">
        <f t="shared" si="12"/>
        <v>0.27426213391286358</v>
      </c>
      <c r="Z16" s="48">
        <f>АВГУСТ!Z14+СЕНТЯБРЬ!Z14+ОКТЯБРЬ!Z14+НОЯБРЬ!Z16+ДЕКАБРЬ!Z16</f>
        <v>2078.4700000000003</v>
      </c>
      <c r="AA16" s="48">
        <f>АВГУСТ!AA14+СЕНТЯБРЬ!AA14+ОКТЯБРЬ!AA14+НОЯБРЬ!AA16+ДЕКАБРЬ!AA16</f>
        <v>17743.627288</v>
      </c>
      <c r="AB16" s="64"/>
      <c r="AC16" s="51"/>
      <c r="AD16" s="48">
        <f>АВГУСТ!AD14+СЕНТЯБРЬ!AD14+ОКТЯБРЬ!AD14+НОЯБРЬ!AD16+ДЕКАБРЬ!AD16</f>
        <v>193.26</v>
      </c>
      <c r="AE16" s="56">
        <f t="shared" si="13"/>
        <v>-8368.2072879999996</v>
      </c>
      <c r="AF16" s="55"/>
      <c r="AG16" s="57">
        <f t="shared" si="1"/>
        <v>1207.875</v>
      </c>
      <c r="AH16" s="58">
        <f t="shared" si="2"/>
        <v>169.89</v>
      </c>
      <c r="AI16" s="58">
        <f t="shared" si="3"/>
        <v>331.27437500000008</v>
      </c>
      <c r="AJ16" s="58">
        <f t="shared" si="4"/>
        <v>138.56466666666668</v>
      </c>
      <c r="AK16" s="58">
        <f t="shared" si="5"/>
        <v>1182.9084858666668</v>
      </c>
      <c r="AL16" s="58">
        <f t="array" ref="AL16">_xlfn.IFS(R16=0,AE16,R16&lt;0,AE16/-R16,R16&gt;0,AE16/R16)</f>
        <v>-523.01295549999998</v>
      </c>
      <c r="AM16" s="59">
        <f t="shared" si="6"/>
        <v>-0.43300255034668322</v>
      </c>
      <c r="AN16" s="60">
        <f t="shared" si="7"/>
        <v>-3.0785387927482488</v>
      </c>
      <c r="AP16" s="62">
        <f t="shared" si="8"/>
        <v>0</v>
      </c>
    </row>
    <row r="17" spans="1:52" ht="13.75" customHeight="1">
      <c r="A17" s="39">
        <v>2807226201</v>
      </c>
      <c r="B17" s="40" t="s">
        <v>229</v>
      </c>
      <c r="C17" s="41"/>
      <c r="D17" s="42"/>
      <c r="E17" s="42"/>
      <c r="F17" s="42"/>
      <c r="G17" s="43"/>
      <c r="H17" s="44">
        <v>1002.82</v>
      </c>
      <c r="I17" s="63">
        <f t="shared" si="0"/>
        <v>0</v>
      </c>
      <c r="J17" s="45"/>
      <c r="K17" s="48">
        <f>АВГУСТ!K15+СЕНТЯБРЬ!K15+ОКТЯБРЬ!K15+НОЯБРЬ!K17+ДЕКАБРЬ!K17</f>
        <v>2</v>
      </c>
      <c r="L17" s="48" t="e">
        <f>'Юнит 01-07.12'!L17+'Юнит 08-14.12'!L17+'Юнит 15-21.12'!L17+'Юнит 22-31.12'!L17+#REF!</f>
        <v>#REF!</v>
      </c>
      <c r="M17" s="48" t="e">
        <f>'Юнит 01-07.12'!M17+'Юнит 08-14.12'!M17+'Юнит 15-21.12'!M17+'Юнит 22-31.12'!M17+#REF!</f>
        <v>#REF!</v>
      </c>
      <c r="N17" s="48"/>
      <c r="O17" s="48"/>
      <c r="P17" s="48">
        <f>АВГУСТ!P15+СЕНТЯБРЬ!P15+ОКТЯБРЬ!P15+НОЯБРЬ!P17+ДЕКАБРЬ!P17</f>
        <v>1</v>
      </c>
      <c r="Q17" s="48">
        <f>АВГУСТ!Q15+СЕНТЯБРЬ!Q15+ОКТЯБРЬ!Q15+НОЯБРЬ!Q17+ДЕКАБРЬ!Q17</f>
        <v>0</v>
      </c>
      <c r="R17" s="48">
        <f t="shared" si="9"/>
        <v>1</v>
      </c>
      <c r="S17" s="48">
        <f>АВГУСТ!S15+СЕНТЯБРЬ!S15+ОКТЯБРЬ!S15+НОЯБРЬ!S17+ДЕКАБРЬ!S17</f>
        <v>3250</v>
      </c>
      <c r="T17" s="48">
        <f>АВГУСТ!T15+СЕНТЯБРЬ!T15+ОКТЯБРЬ!T15+НОЯБРЬ!T17+ДЕКАБРЬ!T17</f>
        <v>0</v>
      </c>
      <c r="U17" s="48">
        <f t="shared" si="10"/>
        <v>3250</v>
      </c>
      <c r="V17" s="48">
        <f t="shared" si="11"/>
        <v>4.4121100882557772E-3</v>
      </c>
      <c r="W17" s="48">
        <f>АВГУСТ!W15+СЕНТЯБРЬ!W15+ОКТЯБРЬ!W15+НОЯБРЬ!W17+ДЕКАБРЬ!W17</f>
        <v>1002.82</v>
      </c>
      <c r="X17" s="48">
        <f>АВГУСТ!X15+СЕНТЯБРЬ!X15+ОКТЯБРЬ!X15+НОЯБРЬ!X17+ДЕКАБРЬ!X17</f>
        <v>1105</v>
      </c>
      <c r="Y17" s="431">
        <f>X17/U17</f>
        <v>0.34</v>
      </c>
      <c r="Z17" s="48">
        <f>АВГУСТ!Z15+СЕНТЯБРЬ!Z15+ОКТЯБРЬ!Z15+НОЯБРЬ!Z17+ДЕКАБРЬ!Z17</f>
        <v>496</v>
      </c>
      <c r="AA17" s="48">
        <f>АВГУСТ!AA15+СЕНТЯБРЬ!AA15+ОКТЯБРЬ!AA15+НОЯБРЬ!AA17+ДЕКАБРЬ!AA17</f>
        <v>13170.887016999999</v>
      </c>
      <c r="AB17" s="64"/>
      <c r="AC17" s="51"/>
      <c r="AD17" s="48">
        <f>АВГУСТ!AD15+СЕНТЯБРЬ!AD15+ОКТЯБРЬ!AD15+НОЯБРЬ!AD17+ДЕКАБРЬ!AD17</f>
        <v>32.5</v>
      </c>
      <c r="AE17" s="56">
        <f t="shared" si="13"/>
        <v>-12557.207016999999</v>
      </c>
      <c r="AF17" s="55"/>
      <c r="AG17" s="57">
        <f t="shared" si="1"/>
        <v>3250</v>
      </c>
      <c r="AH17" s="58">
        <f t="shared" si="2"/>
        <v>1002.82</v>
      </c>
      <c r="AI17" s="58">
        <f t="shared" si="3"/>
        <v>1105</v>
      </c>
      <c r="AJ17" s="58">
        <f t="shared" si="4"/>
        <v>496</v>
      </c>
      <c r="AK17" s="58">
        <f t="shared" si="5"/>
        <v>13170.887016999999</v>
      </c>
      <c r="AL17" s="58">
        <f t="array" ref="AL17">_xlfn.IFS(R17=0,AE17,R17&lt;0,AE17/-R17,R17&gt;0,AE17/R17)</f>
        <v>-12557.207016999999</v>
      </c>
      <c r="AM17" s="59">
        <f t="shared" si="6"/>
        <v>-3.8637560052307687</v>
      </c>
      <c r="AN17" s="60">
        <f t="shared" si="7"/>
        <v>-12.521895272332022</v>
      </c>
      <c r="AP17" s="62">
        <f t="shared" si="8"/>
        <v>0</v>
      </c>
    </row>
    <row r="18" spans="1:52" ht="13.75" customHeight="1">
      <c r="A18" s="39">
        <v>2807226228</v>
      </c>
      <c r="B18" s="40" t="s">
        <v>230</v>
      </c>
      <c r="C18" s="41"/>
      <c r="D18" s="42"/>
      <c r="E18" s="42"/>
      <c r="F18" s="42"/>
      <c r="G18" s="43"/>
      <c r="H18" s="44">
        <v>909.22</v>
      </c>
      <c r="I18" s="63">
        <f t="shared" si="0"/>
        <v>0</v>
      </c>
      <c r="J18" s="45"/>
      <c r="K18" s="48">
        <f>АВГУСТ!K16+СЕНТЯБРЬ!K16+ОКТЯБРЬ!K16+НОЯБРЬ!K18+ДЕКАБРЬ!K18</f>
        <v>0</v>
      </c>
      <c r="L18" s="48" t="e">
        <f>'Юнит 01-07.12'!L18+'Юнит 08-14.12'!L18+'Юнит 15-21.12'!L18+'Юнит 22-31.12'!L18+#REF!</f>
        <v>#REF!</v>
      </c>
      <c r="M18" s="48" t="e">
        <f>'Юнит 01-07.12'!M18+'Юнит 08-14.12'!M18+'Юнит 15-21.12'!M18+'Юнит 22-31.12'!M18+#REF!</f>
        <v>#REF!</v>
      </c>
      <c r="N18" s="48"/>
      <c r="O18" s="48"/>
      <c r="P18" s="48">
        <f>АВГУСТ!P16+СЕНТЯБРЬ!P16+ОКТЯБРЬ!P16+НОЯБРЬ!P18+ДЕКАБРЬ!P18</f>
        <v>0</v>
      </c>
      <c r="Q18" s="48">
        <f>АВГУСТ!Q16+СЕНТЯБРЬ!Q16+ОКТЯБРЬ!Q16+НОЯБРЬ!Q18+ДЕКАБРЬ!Q18</f>
        <v>0</v>
      </c>
      <c r="R18" s="48">
        <f t="shared" si="9"/>
        <v>0</v>
      </c>
      <c r="S18" s="48">
        <f>АВГУСТ!S16+СЕНТЯБРЬ!S16+ОКТЯБРЬ!S16+НОЯБРЬ!S18+ДЕКАБРЬ!S18</f>
        <v>0</v>
      </c>
      <c r="T18" s="48">
        <f>АВГУСТ!T16+СЕНТЯБРЬ!T16+ОКТЯБРЬ!T16+НОЯБРЬ!T18+ДЕКАБРЬ!T18</f>
        <v>0</v>
      </c>
      <c r="U18" s="48">
        <f t="shared" si="10"/>
        <v>0</v>
      </c>
      <c r="V18" s="48">
        <f t="shared" si="11"/>
        <v>0</v>
      </c>
      <c r="W18" s="48">
        <f>АВГУСТ!W16+СЕНТЯБРЬ!W16+ОКТЯБРЬ!W16+НОЯБРЬ!W18+ДЕКАБРЬ!W18</f>
        <v>0</v>
      </c>
      <c r="X18" s="48">
        <f>АВГУСТ!X16+СЕНТЯБРЬ!X16+ОКТЯБРЬ!X16+НОЯБРЬ!X18+ДЕКАБРЬ!X18</f>
        <v>0</v>
      </c>
      <c r="Y18" s="431" t="e">
        <f t="shared" ref="Y18:Y24" si="14">X18/U18</f>
        <v>#DIV/0!</v>
      </c>
      <c r="Z18" s="48">
        <f>АВГУСТ!Z16+СЕНТЯБРЬ!Z16+ОКТЯБРЬ!Z16+НОЯБРЬ!Z18+ДЕКАБРЬ!Z18</f>
        <v>164</v>
      </c>
      <c r="AA18" s="48">
        <f>АВГУСТ!AA16+СЕНТЯБРЬ!AA16+ОКТЯБРЬ!AA16+НОЯБРЬ!AA18+ДЕКАБРЬ!AA18</f>
        <v>635.89006600000005</v>
      </c>
      <c r="AB18" s="64"/>
      <c r="AC18" s="51"/>
      <c r="AD18" s="48">
        <f>АВГУСТ!AD16+СЕНТЯБРЬ!AD16+ОКТЯБРЬ!AD16+НОЯБРЬ!AD18+ДЕКАБРЬ!AD18</f>
        <v>0</v>
      </c>
      <c r="AE18" s="56">
        <f t="shared" si="13"/>
        <v>-799.89006600000005</v>
      </c>
      <c r="AF18" s="55"/>
      <c r="AG18" s="57">
        <f t="shared" si="1"/>
        <v>0</v>
      </c>
      <c r="AH18" s="58">
        <f t="shared" si="2"/>
        <v>909.22</v>
      </c>
      <c r="AI18" s="58">
        <f t="shared" si="3"/>
        <v>0</v>
      </c>
      <c r="AJ18" s="58">
        <f t="shared" si="4"/>
        <v>164</v>
      </c>
      <c r="AK18" s="58">
        <f t="shared" si="5"/>
        <v>0</v>
      </c>
      <c r="AL18" s="58">
        <f t="array" ref="AL18">_xlfn.IFS(R18=0,AE18,R18&lt;0,AE18/-R18,R18&gt;0,AE18/R18)</f>
        <v>-799.89006600000005</v>
      </c>
      <c r="AM18" s="59">
        <f t="shared" si="6"/>
        <v>0</v>
      </c>
      <c r="AN18" s="60">
        <f t="shared" si="7"/>
        <v>-0.87975414751105341</v>
      </c>
      <c r="AP18" s="62">
        <f t="shared" si="8"/>
        <v>0</v>
      </c>
    </row>
    <row r="19" spans="1:52" ht="13.75" customHeight="1">
      <c r="A19" s="39">
        <v>2807226016</v>
      </c>
      <c r="B19" s="40" t="s">
        <v>231</v>
      </c>
      <c r="C19" s="41"/>
      <c r="D19" s="42"/>
      <c r="E19" s="42"/>
      <c r="F19" s="42"/>
      <c r="G19" s="43"/>
      <c r="H19" s="44">
        <v>909.22</v>
      </c>
      <c r="I19" s="63">
        <f t="shared" si="0"/>
        <v>0</v>
      </c>
      <c r="J19" s="45"/>
      <c r="K19" s="48">
        <f>АВГУСТ!K17+СЕНТЯБРЬ!K17+ОКТЯБРЬ!K17+НОЯБРЬ!K19+ДЕКАБРЬ!K19</f>
        <v>1</v>
      </c>
      <c r="L19" s="48" t="e">
        <f>'Юнит 01-07.12'!L19+'Юнит 08-14.12'!L19+'Юнит 15-21.12'!L19+'Юнит 22-31.12'!L19+#REF!</f>
        <v>#REF!</v>
      </c>
      <c r="M19" s="48" t="e">
        <f>'Юнит 01-07.12'!M19+'Юнит 08-14.12'!M19+'Юнит 15-21.12'!M19+'Юнит 22-31.12'!M19+#REF!</f>
        <v>#REF!</v>
      </c>
      <c r="N19" s="48"/>
      <c r="O19" s="48"/>
      <c r="P19" s="48">
        <f>АВГУСТ!P17+СЕНТЯБРЬ!P17+ОКТЯБРЬ!P17+НОЯБРЬ!P19+ДЕКАБРЬ!P19</f>
        <v>1</v>
      </c>
      <c r="Q19" s="48">
        <f>АВГУСТ!Q17+СЕНТЯБРЬ!Q17+ОКТЯБРЬ!Q17+НОЯБРЬ!Q19+ДЕКАБРЬ!Q19</f>
        <v>0</v>
      </c>
      <c r="R19" s="48">
        <f t="shared" si="9"/>
        <v>1</v>
      </c>
      <c r="S19" s="48">
        <f>АВГУСТ!S17+СЕНТЯБРЬ!S17+ОКТЯБРЬ!S17+НОЯБРЬ!S19+ДЕКАБРЬ!S19</f>
        <v>3395</v>
      </c>
      <c r="T19" s="48">
        <f>АВГУСТ!T17+СЕНТЯБРЬ!T17+ОКТЯБРЬ!T17+НОЯБРЬ!T19+ДЕКАБРЬ!T19</f>
        <v>0</v>
      </c>
      <c r="U19" s="48">
        <f t="shared" si="10"/>
        <v>3395</v>
      </c>
      <c r="V19" s="48">
        <f t="shared" si="11"/>
        <v>4.6089580768087276E-3</v>
      </c>
      <c r="W19" s="48">
        <f>АВГУСТ!W17+СЕНТЯБРЬ!W17+ОКТЯБРЬ!W17+НОЯБРЬ!W19+ДЕКАБРЬ!W19</f>
        <v>909.22</v>
      </c>
      <c r="X19" s="48">
        <f>АВГУСТ!X17+СЕНТЯБРЬ!X17+ОКТЯБРЬ!X17+НОЯБРЬ!X19+ДЕКАБРЬ!X19</f>
        <v>1154.3</v>
      </c>
      <c r="Y19" s="431">
        <f t="shared" si="14"/>
        <v>0.33999999999999997</v>
      </c>
      <c r="Z19" s="48">
        <f>АВГУСТ!Z17+СЕНТЯБРЬ!Z17+ОКТЯБРЬ!Z17+НОЯБРЬ!Z19+ДЕКАБРЬ!Z19</f>
        <v>374</v>
      </c>
      <c r="AA19" s="48">
        <f>АВГУСТ!AA17+СЕНТЯБРЬ!AA17+ОКТЯБРЬ!AA17+НОЯБРЬ!AA19+ДЕКАБРЬ!AA19</f>
        <v>5865.4968359999993</v>
      </c>
      <c r="AB19" s="64"/>
      <c r="AC19" s="51"/>
      <c r="AD19" s="48">
        <f>АВГУСТ!AD17+СЕНТЯБРЬ!AD17+ОКТЯБРЬ!AD17+НОЯБРЬ!AD19+ДЕКАБРЬ!AD19</f>
        <v>33.950000000000003</v>
      </c>
      <c r="AE19" s="56">
        <f t="shared" si="13"/>
        <v>-4941.9668359999996</v>
      </c>
      <c r="AF19" s="55"/>
      <c r="AG19" s="57">
        <f t="shared" si="1"/>
        <v>3395</v>
      </c>
      <c r="AH19" s="58">
        <f t="shared" si="2"/>
        <v>909.22</v>
      </c>
      <c r="AI19" s="58">
        <f t="shared" si="3"/>
        <v>1154.3</v>
      </c>
      <c r="AJ19" s="58">
        <f t="shared" si="4"/>
        <v>374</v>
      </c>
      <c r="AK19" s="58">
        <f t="shared" si="5"/>
        <v>5865.4968359999993</v>
      </c>
      <c r="AL19" s="58">
        <f t="array" ref="AL19">_xlfn.IFS(R19=0,AE19,R19&lt;0,AE19/-R19,R19&gt;0,AE19/R19)</f>
        <v>-4941.9668359999996</v>
      </c>
      <c r="AM19" s="59">
        <f t="shared" si="6"/>
        <v>-1.4556603346097201</v>
      </c>
      <c r="AN19" s="60">
        <f t="shared" si="7"/>
        <v>-5.4353916939794544</v>
      </c>
      <c r="AP19" s="62">
        <f t="shared" si="8"/>
        <v>0</v>
      </c>
    </row>
    <row r="20" spans="1:52" ht="13.75" customHeight="1">
      <c r="A20" s="39">
        <v>2807226072</v>
      </c>
      <c r="B20" s="40" t="s">
        <v>111</v>
      </c>
      <c r="C20" s="41"/>
      <c r="D20" s="42"/>
      <c r="E20" s="42"/>
      <c r="F20" s="42"/>
      <c r="G20" s="43"/>
      <c r="H20" s="44">
        <v>932.62</v>
      </c>
      <c r="I20" s="63">
        <f t="shared" si="0"/>
        <v>0</v>
      </c>
      <c r="J20" s="45"/>
      <c r="K20" s="48">
        <f>АВГУСТ!K18+СЕНТЯБРЬ!K18+ОКТЯБРЬ!K18+НОЯБРЬ!K20+ДЕКАБРЬ!K20</f>
        <v>3</v>
      </c>
      <c r="L20" s="48" t="e">
        <f>'Юнит 01-07.12'!L20+'Юнит 08-14.12'!L20+'Юнит 15-21.12'!L20+'Юнит 22-31.12'!L20+#REF!</f>
        <v>#REF!</v>
      </c>
      <c r="M20" s="48" t="e">
        <f>'Юнит 01-07.12'!M20+'Юнит 08-14.12'!M20+'Юнит 15-21.12'!M20+'Юнит 22-31.12'!M20+#REF!</f>
        <v>#REF!</v>
      </c>
      <c r="N20" s="48"/>
      <c r="O20" s="48"/>
      <c r="P20" s="48">
        <f>АВГУСТ!P18+СЕНТЯБРЬ!P18+ОКТЯБРЬ!P18+НОЯБРЬ!P20+ДЕКАБРЬ!P20</f>
        <v>2</v>
      </c>
      <c r="Q20" s="48">
        <f>АВГУСТ!Q18+СЕНТЯБРЬ!Q18+ОКТЯБРЬ!Q18+НОЯБРЬ!Q20+ДЕКАБРЬ!Q20</f>
        <v>1</v>
      </c>
      <c r="R20" s="48">
        <f t="shared" si="9"/>
        <v>3</v>
      </c>
      <c r="S20" s="48">
        <f>АВГУСТ!S18+СЕНТЯБРЬ!S18+ОКТЯБРЬ!S18+НОЯБРЬ!S20+ДЕКАБРЬ!S20</f>
        <v>6705</v>
      </c>
      <c r="T20" s="48">
        <f>АВГУСТ!T18+СЕНТЯБРЬ!T18+ОКТЯБРЬ!T18+НОЯБРЬ!T20+ДЕКАБРЬ!T20</f>
        <v>-3205</v>
      </c>
      <c r="U20" s="48">
        <f t="shared" si="10"/>
        <v>3500</v>
      </c>
      <c r="V20" s="48">
        <f t="shared" si="11"/>
        <v>4.7515031719677601E-3</v>
      </c>
      <c r="W20" s="48">
        <f>АВГУСТ!W18+СЕНТЯБРЬ!W18+ОКТЯБРЬ!W18+НОЯБРЬ!W20+ДЕКАБРЬ!W20</f>
        <v>2797.86</v>
      </c>
      <c r="X20" s="48">
        <f>АВГУСТ!X18+СЕНТЯБРЬ!X18+ОКТЯБРЬ!X18+НОЯБРЬ!X20+ДЕКАБРЬ!X20</f>
        <v>1172.5</v>
      </c>
      <c r="Y20" s="431">
        <f t="shared" si="14"/>
        <v>0.33500000000000002</v>
      </c>
      <c r="Z20" s="48">
        <f>АВГУСТ!Z18+СЕНТЯБРЬ!Z18+ОКТЯБРЬ!Z18+НОЯБРЬ!Z20+ДЕКАБРЬ!Z20</f>
        <v>497.88</v>
      </c>
      <c r="AA20" s="48">
        <f>АВГУСТ!AA18+СЕНТЯБРЬ!AA18+ОКТЯБРЬ!AA18+НОЯБРЬ!AA20+ДЕКАБРЬ!AA20</f>
        <v>7023.2788410000003</v>
      </c>
      <c r="AB20" s="64"/>
      <c r="AC20" s="51"/>
      <c r="AD20" s="48">
        <f>АВГУСТ!AD18+СЕНТЯБРЬ!AD18+ОКТЯБРЬ!AD18+НОЯБРЬ!AD20+ДЕКАБРЬ!AD20</f>
        <v>35</v>
      </c>
      <c r="AE20" s="56">
        <f t="shared" si="13"/>
        <v>-8026.5188410000001</v>
      </c>
      <c r="AF20" s="55"/>
      <c r="AG20" s="57">
        <f t="shared" si="1"/>
        <v>1166.6666666666667</v>
      </c>
      <c r="AH20" s="58">
        <f t="shared" si="2"/>
        <v>932.62</v>
      </c>
      <c r="AI20" s="58">
        <f t="shared" si="3"/>
        <v>390.83333333333331</v>
      </c>
      <c r="AJ20" s="58">
        <f t="shared" si="4"/>
        <v>248.94</v>
      </c>
      <c r="AK20" s="58">
        <f t="shared" si="5"/>
        <v>3511.6394205000001</v>
      </c>
      <c r="AL20" s="58">
        <f t="array" ref="AL20">_xlfn.IFS(R20=0,AE20,R20&lt;0,AE20/-R20,R20&gt;0,AE20/R20)</f>
        <v>-2675.5062803333335</v>
      </c>
      <c r="AM20" s="59">
        <f t="shared" si="6"/>
        <v>-2.2932910974285714</v>
      </c>
      <c r="AN20" s="60">
        <f t="shared" si="7"/>
        <v>-2.8688064595798219</v>
      </c>
      <c r="AP20" s="62">
        <f t="shared" si="8"/>
        <v>0</v>
      </c>
    </row>
    <row r="21" spans="1:52" ht="13.75" customHeight="1">
      <c r="A21" s="39">
        <v>2807226223</v>
      </c>
      <c r="B21" s="40" t="s">
        <v>232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8">
        <f>АВГУСТ!K19+СЕНТЯБРЬ!K19+ОКТЯБРЬ!K19+НОЯБРЬ!K21+ДЕКАБРЬ!K21</f>
        <v>0</v>
      </c>
      <c r="L21" s="48" t="e">
        <f>'Юнит 01-07.12'!L21+'Юнит 08-14.12'!L21+'Юнит 15-21.12'!L21+'Юнит 22-31.12'!L21+#REF!</f>
        <v>#REF!</v>
      </c>
      <c r="M21" s="48" t="e">
        <f>'Юнит 01-07.12'!M21+'Юнит 08-14.12'!M21+'Юнит 15-21.12'!M21+'Юнит 22-31.12'!M21+#REF!</f>
        <v>#REF!</v>
      </c>
      <c r="N21" s="48"/>
      <c r="O21" s="48"/>
      <c r="P21" s="48">
        <f>АВГУСТ!P19+СЕНТЯБРЬ!P19+ОКТЯБРЬ!P19+НОЯБРЬ!P21+ДЕКАБРЬ!P21</f>
        <v>1</v>
      </c>
      <c r="Q21" s="48">
        <f>АВГУСТ!Q19+СЕНТЯБРЬ!Q19+ОКТЯБРЬ!Q19+НОЯБРЬ!Q21+ДЕКАБРЬ!Q21</f>
        <v>0</v>
      </c>
      <c r="R21" s="48">
        <f t="shared" si="9"/>
        <v>1</v>
      </c>
      <c r="S21" s="48">
        <f>АВГУСТ!S19+СЕНТЯБРЬ!S19+ОКТЯБРЬ!S19+НОЯБРЬ!S21+ДЕКАБРЬ!S21</f>
        <v>3000</v>
      </c>
      <c r="T21" s="48">
        <f>АВГУСТ!T19+СЕНТЯБРЬ!T19+ОКТЯБРЬ!T19+НОЯБРЬ!T21+ДЕКАБРЬ!T21</f>
        <v>0</v>
      </c>
      <c r="U21" s="48">
        <f t="shared" si="10"/>
        <v>3000</v>
      </c>
      <c r="V21" s="48">
        <f t="shared" si="11"/>
        <v>4.072717004543795E-3</v>
      </c>
      <c r="W21" s="48">
        <f>АВГУСТ!W19+СЕНТЯБРЬ!W19+ОКТЯБРЬ!W19+НОЯБРЬ!W21+ДЕКАБРЬ!W21</f>
        <v>1014.52</v>
      </c>
      <c r="X21" s="48">
        <f>АВГУСТ!X19+СЕНТЯБРЬ!X19+ОКТЯБРЬ!X19+НОЯБРЬ!X21+ДЕКАБРЬ!X21</f>
        <v>1140</v>
      </c>
      <c r="Y21" s="431">
        <f t="shared" si="14"/>
        <v>0.38</v>
      </c>
      <c r="Z21" s="48">
        <f>АВГУСТ!Z19+СЕНТЯБРЬ!Z19+ОКТЯБРЬ!Z19+НОЯБРЬ!Z21+ДЕКАБРЬ!Z21</f>
        <v>108</v>
      </c>
      <c r="AA21" s="48">
        <f>АВГУСТ!AA19+СЕНТЯБРЬ!AA19+ОКТЯБРЬ!AA19+НОЯБРЬ!AA21+ДЕКАБРЬ!AA21</f>
        <v>2271.948981</v>
      </c>
      <c r="AB21" s="64"/>
      <c r="AC21" s="51"/>
      <c r="AD21" s="48">
        <f>АВГУСТ!AD19+СЕНТЯБРЬ!AD19+ОКТЯБРЬ!AD19+НОЯБРЬ!AD21+ДЕКАБРЬ!AD21</f>
        <v>30</v>
      </c>
      <c r="AE21" s="56">
        <f t="shared" si="13"/>
        <v>-1564.468981</v>
      </c>
      <c r="AF21" s="55"/>
      <c r="AG21" s="57">
        <f t="shared" si="1"/>
        <v>3000</v>
      </c>
      <c r="AH21" s="58">
        <f t="shared" si="2"/>
        <v>1014.52</v>
      </c>
      <c r="AI21" s="58">
        <f t="shared" si="3"/>
        <v>1140</v>
      </c>
      <c r="AJ21" s="58">
        <f t="shared" si="4"/>
        <v>108</v>
      </c>
      <c r="AK21" s="58">
        <f t="shared" si="5"/>
        <v>2271.948981</v>
      </c>
      <c r="AL21" s="58">
        <f t="array" ref="AL21">_xlfn.IFS(R21=0,AE21,R21&lt;0,AE21/-R21,R21&gt;0,AE21/R21)</f>
        <v>-1564.468981</v>
      </c>
      <c r="AM21" s="59">
        <f t="shared" si="6"/>
        <v>-0.52148966033333333</v>
      </c>
      <c r="AN21" s="60">
        <f t="shared" si="7"/>
        <v>-1.5420780083192052</v>
      </c>
      <c r="AP21" s="62">
        <f t="shared" si="8"/>
        <v>0</v>
      </c>
    </row>
    <row r="22" spans="1:52" ht="13.75" customHeight="1">
      <c r="A22" s="39">
        <v>2807226341</v>
      </c>
      <c r="B22" s="40" t="s">
        <v>136</v>
      </c>
      <c r="C22" s="41"/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8">
        <f>АВГУСТ!K20+СЕНТЯБРЬ!K20+ОКТЯБРЬ!K20+НОЯБРЬ!K22+ДЕКАБРЬ!K22</f>
        <v>1</v>
      </c>
      <c r="L22" s="48" t="e">
        <f>'Юнит 01-07.12'!L22+'Юнит 08-14.12'!L22+'Юнит 15-21.12'!L22+'Юнит 22-31.12'!L22+#REF!</f>
        <v>#REF!</v>
      </c>
      <c r="M22" s="48" t="e">
        <f>'Юнит 01-07.12'!M22+'Юнит 08-14.12'!M22+'Юнит 15-21.12'!M22+'Юнит 22-31.12'!M22+#REF!</f>
        <v>#REF!</v>
      </c>
      <c r="N22" s="48"/>
      <c r="O22" s="48"/>
      <c r="P22" s="48">
        <f>АВГУСТ!P20+СЕНТЯБРЬ!P20+ОКТЯБРЬ!P20+НОЯБРЬ!P22+ДЕКАБРЬ!P22</f>
        <v>2</v>
      </c>
      <c r="Q22" s="48">
        <f>АВГУСТ!Q20+СЕНТЯБРЬ!Q20+ОКТЯБРЬ!Q20+НОЯБРЬ!Q22+ДЕКАБРЬ!Q22</f>
        <v>0</v>
      </c>
      <c r="R22" s="48">
        <f t="shared" si="9"/>
        <v>2</v>
      </c>
      <c r="S22" s="48">
        <f>АВГУСТ!S20+СЕНТЯБРЬ!S20+ОКТЯБРЬ!S20+НОЯБРЬ!S22+ДЕКАБРЬ!S22</f>
        <v>7150</v>
      </c>
      <c r="T22" s="48">
        <f>АВГУСТ!T20+СЕНТЯБРЬ!T20+ОКТЯБРЬ!T20+НОЯБРЬ!T22+ДЕКАБРЬ!T22</f>
        <v>0</v>
      </c>
      <c r="U22" s="48">
        <f t="shared" si="10"/>
        <v>7150</v>
      </c>
      <c r="V22" s="48">
        <f t="shared" si="11"/>
        <v>9.7066421941627099E-3</v>
      </c>
      <c r="W22" s="48">
        <f>АВГУСТ!W20+СЕНТЯБРЬ!W20+ОКТЯБРЬ!W20+НОЯБРЬ!W22+ДЕКАБРЬ!W22</f>
        <v>2029.04</v>
      </c>
      <c r="X22" s="48">
        <f>АВГУСТ!X20+СЕНТЯБРЬ!X20+ОКТЯБРЬ!X20+НОЯБРЬ!X22+ДЕКАБРЬ!X22</f>
        <v>2449.25</v>
      </c>
      <c r="Y22" s="431">
        <f t="shared" si="14"/>
        <v>0.34255244755244757</v>
      </c>
      <c r="Z22" s="48">
        <f>АВГУСТ!Z20+СЕНТЯБРЬ!Z20+ОКТЯБРЬ!Z20+НОЯБРЬ!Z22+ДЕКАБРЬ!Z22</f>
        <v>328</v>
      </c>
      <c r="AA22" s="48">
        <f>АВГУСТ!AA20+СЕНТЯБРЬ!AA20+ОКТЯБРЬ!AA20+НОЯБРЬ!AA22+ДЕКАБРЬ!AA22</f>
        <v>2178.1706220000001</v>
      </c>
      <c r="AB22" s="64"/>
      <c r="AC22" s="51"/>
      <c r="AD22" s="48">
        <f>АВГУСТ!AD20+СЕНТЯБРЬ!AD20+ОКТЯБРЬ!AD20+НОЯБРЬ!AD22+ДЕКАБРЬ!AD22</f>
        <v>71.5</v>
      </c>
      <c r="AE22" s="56">
        <f t="shared" si="13"/>
        <v>94.039377999999942</v>
      </c>
      <c r="AF22" s="55"/>
      <c r="AG22" s="57">
        <f t="shared" si="1"/>
        <v>3575</v>
      </c>
      <c r="AH22" s="58">
        <f t="shared" si="2"/>
        <v>1014.52</v>
      </c>
      <c r="AI22" s="58">
        <f t="shared" si="3"/>
        <v>1224.625</v>
      </c>
      <c r="AJ22" s="58">
        <f t="shared" si="4"/>
        <v>164</v>
      </c>
      <c r="AK22" s="58">
        <f t="shared" si="5"/>
        <v>1089.085311</v>
      </c>
      <c r="AL22" s="58">
        <f t="array" ref="AL22">_xlfn.IFS(R22=0,AE22,R22&lt;0,AE22/-R22,R22&gt;0,AE22/R22)</f>
        <v>47.019688999999971</v>
      </c>
      <c r="AM22" s="59">
        <f t="shared" si="6"/>
        <v>1.3152360559440551E-2</v>
      </c>
      <c r="AN22" s="60">
        <f t="shared" si="7"/>
        <v>4.6346734416275646E-2</v>
      </c>
      <c r="AP22" s="62">
        <f t="shared" si="8"/>
        <v>0</v>
      </c>
    </row>
    <row r="23" spans="1:52" ht="13.75" customHeight="1">
      <c r="A23" s="39">
        <v>2807226351</v>
      </c>
      <c r="B23" s="40" t="s">
        <v>233</v>
      </c>
      <c r="C23" s="41"/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8">
        <f>АВГУСТ!K21+СЕНТЯБРЬ!K21+ОКТЯБРЬ!K21+НОЯБРЬ!K23+ДЕКАБРЬ!K23</f>
        <v>0</v>
      </c>
      <c r="L23" s="48" t="e">
        <f>'Юнит 01-07.12'!L23+'Юнит 08-14.12'!L23+'Юнит 15-21.12'!L23+'Юнит 22-31.12'!L23+#REF!</f>
        <v>#REF!</v>
      </c>
      <c r="M23" s="48" t="e">
        <f>'Юнит 01-07.12'!M23+'Юнит 08-14.12'!M23+'Юнит 15-21.12'!M23+'Юнит 22-31.12'!M23+#REF!</f>
        <v>#REF!</v>
      </c>
      <c r="N23" s="48"/>
      <c r="O23" s="48"/>
      <c r="P23" s="48">
        <f>АВГУСТ!P21+СЕНТЯБРЬ!P21+ОКТЯБРЬ!P21+НОЯБРЬ!P23+ДЕКАБРЬ!P23</f>
        <v>0</v>
      </c>
      <c r="Q23" s="48">
        <f>АВГУСТ!Q21+СЕНТЯБРЬ!Q21+ОКТЯБРЬ!Q21+НОЯБРЬ!Q23+ДЕКАБРЬ!Q23</f>
        <v>0</v>
      </c>
      <c r="R23" s="48">
        <f t="shared" si="9"/>
        <v>0</v>
      </c>
      <c r="S23" s="48">
        <f>АВГУСТ!S21+СЕНТЯБРЬ!S21+ОКТЯБРЬ!S21+НОЯБРЬ!S23+ДЕКАБРЬ!S23</f>
        <v>0</v>
      </c>
      <c r="T23" s="48">
        <f>АВГУСТ!T21+СЕНТЯБРЬ!T21+ОКТЯБРЬ!T21+НОЯБРЬ!T23+ДЕКАБРЬ!T23</f>
        <v>0</v>
      </c>
      <c r="U23" s="48">
        <f t="shared" si="10"/>
        <v>0</v>
      </c>
      <c r="V23" s="48">
        <f t="shared" si="11"/>
        <v>0</v>
      </c>
      <c r="W23" s="48">
        <f>АВГУСТ!W21+СЕНТЯБРЬ!W21+ОКТЯБРЬ!W21+НОЯБРЬ!W23+ДЕКАБРЬ!W23</f>
        <v>0</v>
      </c>
      <c r="X23" s="48">
        <f>АВГУСТ!X21+СЕНТЯБРЬ!X21+ОКТЯБРЬ!X21+НОЯБРЬ!X23+ДЕКАБРЬ!X23</f>
        <v>0</v>
      </c>
      <c r="Y23" s="431" t="e">
        <f t="shared" si="14"/>
        <v>#DIV/0!</v>
      </c>
      <c r="Z23" s="48">
        <f>АВГУСТ!Z21+СЕНТЯБРЬ!Z21+ОКТЯБРЬ!Z21+НОЯБРЬ!Z23+ДЕКАБРЬ!Z23</f>
        <v>0</v>
      </c>
      <c r="AA23" s="48">
        <f>АВГУСТ!AA21+СЕНТЯБРЬ!AA21+ОКТЯБРЬ!AA21+НОЯБРЬ!AA23+ДЕКАБРЬ!AA23</f>
        <v>798.215642</v>
      </c>
      <c r="AB23" s="64"/>
      <c r="AC23" s="51"/>
      <c r="AD23" s="48">
        <f>АВГУСТ!AD21+СЕНТЯБРЬ!AD21+ОКТЯБРЬ!AD21+НОЯБРЬ!AD23+ДЕКАБРЬ!AD23</f>
        <v>0</v>
      </c>
      <c r="AE23" s="56">
        <f t="shared" si="13"/>
        <v>-798.215642</v>
      </c>
      <c r="AF23" s="55"/>
      <c r="AG23" s="57">
        <f t="shared" si="1"/>
        <v>0</v>
      </c>
      <c r="AH23" s="58">
        <f t="shared" si="2"/>
        <v>1014.52</v>
      </c>
      <c r="AI23" s="58">
        <f t="shared" si="3"/>
        <v>0</v>
      </c>
      <c r="AJ23" s="58">
        <f t="shared" si="4"/>
        <v>0</v>
      </c>
      <c r="AK23" s="58">
        <f t="shared" si="5"/>
        <v>0</v>
      </c>
      <c r="AL23" s="58">
        <f t="array" ref="AL23">_xlfn.IFS(R23=0,AE23,R23&lt;0,AE23/-R23,R23&gt;0,AE23/R23)</f>
        <v>-798.215642</v>
      </c>
      <c r="AM23" s="59">
        <f t="shared" si="6"/>
        <v>0</v>
      </c>
      <c r="AN23" s="60">
        <f t="shared" si="7"/>
        <v>-0.7867914304301542</v>
      </c>
      <c r="AP23" s="62">
        <f t="shared" si="8"/>
        <v>0</v>
      </c>
    </row>
    <row r="24" spans="1:52" ht="13.75" customHeight="1">
      <c r="A24" s="39">
        <v>2807226146</v>
      </c>
      <c r="B24" s="40" t="s">
        <v>234</v>
      </c>
      <c r="C24" s="41"/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8">
        <f>АВГУСТ!K22+СЕНТЯБРЬ!K22+ОКТЯБРЬ!K22+НОЯБРЬ!K24+ДЕКАБРЬ!K24</f>
        <v>0</v>
      </c>
      <c r="L24" s="48" t="e">
        <f>'Юнит 01-07.12'!L24+'Юнит 08-14.12'!L24+'Юнит 15-21.12'!L24+'Юнит 22-31.12'!L24+#REF!</f>
        <v>#REF!</v>
      </c>
      <c r="M24" s="48" t="e">
        <f>'Юнит 01-07.12'!M24+'Юнит 08-14.12'!M24+'Юнит 15-21.12'!M24+'Юнит 22-31.12'!M24+#REF!</f>
        <v>#REF!</v>
      </c>
      <c r="N24" s="48"/>
      <c r="O24" s="48"/>
      <c r="P24" s="48">
        <f>АВГУСТ!P22+СЕНТЯБРЬ!P22+ОКТЯБРЬ!P22+НОЯБРЬ!P24+ДЕКАБРЬ!P24</f>
        <v>0</v>
      </c>
      <c r="Q24" s="48">
        <f>АВГУСТ!Q22+СЕНТЯБРЬ!Q22+ОКТЯБРЬ!Q22+НОЯБРЬ!Q24+ДЕКАБРЬ!Q24</f>
        <v>0</v>
      </c>
      <c r="R24" s="48">
        <f t="shared" si="9"/>
        <v>0</v>
      </c>
      <c r="S24" s="48">
        <f>АВГУСТ!S22+СЕНТЯБРЬ!S22+ОКТЯБРЬ!S22+НОЯБРЬ!S24+ДЕКАБРЬ!S24</f>
        <v>0</v>
      </c>
      <c r="T24" s="48">
        <f>АВГУСТ!T22+СЕНТЯБРЬ!T22+ОКТЯБРЬ!T22+НОЯБРЬ!T24+ДЕКАБРЬ!T24</f>
        <v>0</v>
      </c>
      <c r="U24" s="48">
        <f t="shared" si="10"/>
        <v>0</v>
      </c>
      <c r="V24" s="48">
        <f t="shared" si="11"/>
        <v>0</v>
      </c>
      <c r="W24" s="48">
        <f>АВГУСТ!W22+СЕНТЯБРЬ!W22+ОКТЯБРЬ!W22+НОЯБРЬ!W24+ДЕКАБРЬ!W24</f>
        <v>0</v>
      </c>
      <c r="X24" s="48">
        <f>АВГУСТ!X22+СЕНТЯБРЬ!X22+ОКТЯБРЬ!X22+НОЯБРЬ!X24+ДЕКАБРЬ!X24</f>
        <v>0</v>
      </c>
      <c r="Y24" s="431" t="e">
        <f t="shared" si="14"/>
        <v>#DIV/0!</v>
      </c>
      <c r="Z24" s="48">
        <f>АВГУСТ!Z22+СЕНТЯБРЬ!Z22+ОКТЯБРЬ!Z22+НОЯБРЬ!Z24+ДЕКАБРЬ!Z24</f>
        <v>0</v>
      </c>
      <c r="AA24" s="48">
        <f>АВГУСТ!AA22+СЕНТЯБРЬ!AA22+ОКТЯБРЬ!AA22+НОЯБРЬ!AA24+ДЕКАБРЬ!AA24</f>
        <v>435.98337600000002</v>
      </c>
      <c r="AB24" s="64"/>
      <c r="AC24" s="51"/>
      <c r="AD24" s="48">
        <f>АВГУСТ!AD22+СЕНТЯБРЬ!AD22+ОКТЯБРЬ!AD22+НОЯБРЬ!AD24+ДЕКАБРЬ!AD24</f>
        <v>0</v>
      </c>
      <c r="AE24" s="56">
        <f t="shared" si="13"/>
        <v>-435.98337600000002</v>
      </c>
      <c r="AF24" s="55"/>
      <c r="AG24" s="57">
        <f t="shared" si="1"/>
        <v>0</v>
      </c>
      <c r="AH24" s="58">
        <f t="shared" si="2"/>
        <v>991.12</v>
      </c>
      <c r="AI24" s="58">
        <f t="shared" si="3"/>
        <v>0</v>
      </c>
      <c r="AJ24" s="58">
        <f t="shared" si="4"/>
        <v>0</v>
      </c>
      <c r="AK24" s="58">
        <f t="shared" si="5"/>
        <v>0</v>
      </c>
      <c r="AL24" s="58">
        <f t="array" ref="AL24">_xlfn.IFS(R24=0,AE24,R24&lt;0,AE24/-R24,R24&gt;0,AE24/R24)</f>
        <v>-435.98337600000002</v>
      </c>
      <c r="AM24" s="59">
        <f t="shared" si="6"/>
        <v>0</v>
      </c>
      <c r="AN24" s="60">
        <f t="shared" si="7"/>
        <v>-0.43988959560900803</v>
      </c>
      <c r="AP24" s="62">
        <f t="shared" si="8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1"/>
      <c r="Q25" s="41"/>
      <c r="R25" s="49"/>
      <c r="S25" s="41"/>
      <c r="T25" s="41"/>
      <c r="U25" s="49"/>
      <c r="V25" s="52"/>
      <c r="W25" s="41"/>
      <c r="X25" s="41"/>
      <c r="Y25" s="54"/>
      <c r="Z25" s="41"/>
      <c r="AA25" s="41"/>
      <c r="AB25" s="64"/>
      <c r="AC25" s="51"/>
      <c r="AD25" s="41"/>
      <c r="AE25" s="56"/>
      <c r="AF25" s="55"/>
      <c r="AG25" s="248">
        <f t="shared" ref="AG25:AN25" si="15">AVERAGEIF(AG3:AG24,"&lt;&gt;0",AG3:AG24)</f>
        <v>1714.799440392615</v>
      </c>
      <c r="AH25" s="247">
        <f t="shared" si="15"/>
        <v>447.87636363636369</v>
      </c>
      <c r="AI25" s="247">
        <f t="shared" si="15"/>
        <v>605.11234876495666</v>
      </c>
      <c r="AJ25" s="247">
        <f t="shared" si="15"/>
        <v>178.58039334654697</v>
      </c>
      <c r="AK25" s="247">
        <f t="shared" si="15"/>
        <v>2058.4660197492958</v>
      </c>
      <c r="AL25" s="247">
        <f t="shared" si="15"/>
        <v>-1123.3239830066755</v>
      </c>
      <c r="AM25" s="249">
        <f t="shared" si="15"/>
        <v>-0.44713669922982685</v>
      </c>
      <c r="AN25" s="249">
        <f t="shared" si="15"/>
        <v>-1.39729884500769</v>
      </c>
      <c r="AO25" s="240"/>
      <c r="AP25" s="241"/>
    </row>
    <row r="26" spans="1:52">
      <c r="A26" s="216" t="s">
        <v>305</v>
      </c>
      <c r="B26" s="209"/>
      <c r="C26" s="217">
        <f>SUM(C3:C24)</f>
        <v>0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0</v>
      </c>
      <c r="J26" s="212"/>
      <c r="K26" s="217">
        <f>SUM(K3:K24)</f>
        <v>939</v>
      </c>
      <c r="L26" s="212"/>
      <c r="M26" s="212"/>
      <c r="N26" s="213"/>
      <c r="O26" s="214"/>
      <c r="P26" s="217">
        <f>SUM(P3:P24)</f>
        <v>539</v>
      </c>
      <c r="Q26" s="217">
        <f>SUM(Q3:Q24)</f>
        <v>24</v>
      </c>
      <c r="R26" s="217">
        <f t="shared" ref="R26:AE26" si="16">SUM(R3:R24)</f>
        <v>563</v>
      </c>
      <c r="S26" s="217">
        <f>SUM(S3:S24)</f>
        <v>772247</v>
      </c>
      <c r="T26" s="217">
        <f>SUM(T3:T24)</f>
        <v>-35638</v>
      </c>
      <c r="U26" s="217">
        <f t="shared" si="16"/>
        <v>736609</v>
      </c>
      <c r="V26" s="256">
        <f t="shared" si="16"/>
        <v>1</v>
      </c>
      <c r="W26" s="217">
        <f>SUM(W3:W24)</f>
        <v>80953.760000000009</v>
      </c>
      <c r="X26" s="217">
        <f>SUM(X3:X24)</f>
        <v>270015.13</v>
      </c>
      <c r="Y26" s="215">
        <f>IF(U26=0,0,X26/U26)</f>
        <v>0.36656507047836778</v>
      </c>
      <c r="Z26" s="217">
        <f>SUM(Z3:Z24)</f>
        <v>73702.790000000023</v>
      </c>
      <c r="AA26" s="217">
        <f>SUM(AA3:AA24)</f>
        <v>306726.82253600005</v>
      </c>
      <c r="AB26" s="217">
        <f t="shared" si="16"/>
        <v>0</v>
      </c>
      <c r="AC26" s="217">
        <f t="shared" si="16"/>
        <v>0</v>
      </c>
      <c r="AD26" s="217">
        <f>SUM(AD3:AD24)</f>
        <v>7366.09</v>
      </c>
      <c r="AE26" s="239">
        <f t="shared" si="16"/>
        <v>-2155.5925360000306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0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1"/>
      <c r="Q27" s="41"/>
      <c r="R27" s="49"/>
      <c r="S27" s="41"/>
      <c r="T27" s="41"/>
      <c r="U27" s="49"/>
      <c r="V27" s="52"/>
      <c r="W27" s="41"/>
      <c r="X27" s="41"/>
      <c r="Y27" s="54"/>
      <c r="Z27" s="41"/>
      <c r="AA27" s="41"/>
      <c r="AB27" s="64"/>
      <c r="AC27" s="51"/>
      <c r="AD27" s="41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/>
      <c r="D28" s="42"/>
      <c r="E28" s="42"/>
      <c r="F28" s="42"/>
      <c r="G28" s="43"/>
      <c r="H28" s="65">
        <v>672</v>
      </c>
      <c r="I28" s="63">
        <f t="shared" ref="I28:I46" si="17">C28*H28</f>
        <v>0</v>
      </c>
      <c r="J28" s="45"/>
      <c r="K28" s="48">
        <f>АВГУСТ!K26+СЕНТЯБРЬ!K26+ОКТЯБРЬ!K26+НОЯБРЬ!K28+ДЕКАБРЬ!K28</f>
        <v>6</v>
      </c>
      <c r="L28" s="48" t="e">
        <f>'Юнит 01-07.12'!L28+'Юнит 08-14.12'!L28+'Юнит 15-21.12'!L28+'Юнит 22-31.12'!L28+#REF!</f>
        <v>#REF!</v>
      </c>
      <c r="M28" s="48" t="e">
        <f>'Юнит 01-07.12'!M28+'Юнит 08-14.12'!M28+'Юнит 15-21.12'!M28+'Юнит 22-31.12'!M28+#REF!</f>
        <v>#REF!</v>
      </c>
      <c r="N28" s="48"/>
      <c r="O28" s="48"/>
      <c r="P28" s="48">
        <f>АВГУСТ!P26+СЕНТЯБРЬ!P26+ОКТЯБРЬ!P26+НОЯБРЬ!P28+ДЕКАБРЬ!P28</f>
        <v>5</v>
      </c>
      <c r="Q28" s="48">
        <f>АВГУСТ!Q26+СЕНТЯБРЬ!Q26+ОКТЯБРЬ!Q26+НОЯБРЬ!Q28+ДЕКАБРЬ!Q28</f>
        <v>2</v>
      </c>
      <c r="R28" s="48">
        <f t="shared" ref="R28:R47" si="18">P28+Q28</f>
        <v>7</v>
      </c>
      <c r="S28" s="48">
        <f>АВГУСТ!S26+СЕНТЯБРЬ!S26+ОКТЯБРЬ!S26+НОЯБРЬ!S28+ДЕКАБРЬ!S28</f>
        <v>22570</v>
      </c>
      <c r="T28" s="48">
        <f>АВГУСТ!T26+СЕНТЯБРЬ!T26+ОКТЯБРЬ!T26+НОЯБРЬ!T28+ДЕКАБРЬ!T28</f>
        <v>-11500</v>
      </c>
      <c r="U28" s="48">
        <f t="shared" ref="U28:U47" si="19">S28+T28</f>
        <v>11070</v>
      </c>
      <c r="V28" s="431">
        <f>U28/$U$49</f>
        <v>3.7108798841481404E-2</v>
      </c>
      <c r="W28" s="48">
        <f>АВГУСТ!W26+СЕНТЯБРЬ!W26+ОКТЯБРЬ!W26+НОЯБРЬ!W28+ДЕКАБРЬ!W28</f>
        <v>3360</v>
      </c>
      <c r="X28" s="48">
        <f>АВГУСТ!X26+СЕНТЯБРЬ!X26+ОКТЯБРЬ!X26+НОЯБРЬ!X28+ДЕКАБРЬ!X28</f>
        <v>2656.7999999999997</v>
      </c>
      <c r="Y28" s="431">
        <f t="shared" ref="Y28:Y47" si="20">X28/U28</f>
        <v>0.23999999999999996</v>
      </c>
      <c r="Z28" s="48">
        <f>АВГУСТ!Z26+СЕНТЯБРЬ!Z26+ОКТЯБРЬ!Z26+НОЯБРЬ!Z28+ДЕКАБРЬ!Z28</f>
        <v>744.03</v>
      </c>
      <c r="AA28" s="48">
        <f>АВГУСТ!AA26+СЕНТЯБРЬ!AA26+ОКТЯБРЬ!AA26+НОЯБРЬ!AA28+ДЕКАБРЬ!AA28</f>
        <v>8935.5832620000001</v>
      </c>
      <c r="AB28" s="64"/>
      <c r="AC28" s="51"/>
      <c r="AD28" s="48">
        <f>АВГУСТ!AD26+СЕНТЯБРЬ!AD26+ОКТЯБРЬ!AD26+НОЯБРЬ!AD28+ДЕКАБРЬ!AD28</f>
        <v>110.7</v>
      </c>
      <c r="AE28" s="56">
        <f t="shared" ref="AE28:AE47" si="21">U28-W28-X28-Z28-AA28-AB28-AC28-AD28</f>
        <v>-4737.1132619999989</v>
      </c>
      <c r="AF28" s="55"/>
      <c r="AG28" s="57">
        <f t="shared" ref="AG28:AG47" si="22">IF(R28=0,0,U28/R28)</f>
        <v>1581.4285714285713</v>
      </c>
      <c r="AH28" s="58">
        <f t="shared" ref="AH28:AH47" si="23">H28</f>
        <v>672</v>
      </c>
      <c r="AI28" s="58">
        <f t="shared" ref="AI28:AI47" si="24">IF(R28=0,0,X28/R28)</f>
        <v>379.54285714285709</v>
      </c>
      <c r="AJ28" s="58">
        <f t="shared" ref="AJ28:AJ47" si="25">IF(P28=0,Z28/1,Z28/P28)</f>
        <v>148.80599999999998</v>
      </c>
      <c r="AK28" s="58">
        <f t="shared" ref="AK28:AK47" si="26">IF(P28=0,0,AA28/P28)</f>
        <v>1787.1166524</v>
      </c>
      <c r="AL28" s="58">
        <f t="array" ref="AL28">_xlfn.IFS(R28=0,AE28,R28&lt;0,AE28/-R28,R28&gt;0,AE28/R28)</f>
        <v>-676.73046599999986</v>
      </c>
      <c r="AM28" s="59">
        <f t="shared" ref="AM28:AM47" si="27">IF(AG28=0,0,AL28/AG28)</f>
        <v>-0.42792351056910566</v>
      </c>
      <c r="AN28" s="60">
        <f t="shared" ref="AN28:AN47" si="28">IF(AH28=0,0,AL28/AH28)</f>
        <v>-1.0070393839285712</v>
      </c>
      <c r="AP28" s="62">
        <f t="shared" ref="AP28:AP47" si="29">AL28*C28</f>
        <v>0</v>
      </c>
    </row>
    <row r="29" spans="1:52">
      <c r="A29" s="39">
        <v>2774708622</v>
      </c>
      <c r="B29" s="40" t="s">
        <v>43</v>
      </c>
      <c r="C29" s="41"/>
      <c r="D29" s="42"/>
      <c r="E29" s="42"/>
      <c r="F29" s="42"/>
      <c r="G29" s="43"/>
      <c r="H29" s="65">
        <v>627</v>
      </c>
      <c r="I29" s="63">
        <f t="shared" si="17"/>
        <v>0</v>
      </c>
      <c r="J29" s="45"/>
      <c r="K29" s="48">
        <f>АВГУСТ!K27+СЕНТЯБРЬ!K27+ОКТЯБРЬ!K27+НОЯБРЬ!K29+ДЕКАБРЬ!K29</f>
        <v>16</v>
      </c>
      <c r="L29" s="48" t="e">
        <f>'Юнит 01-07.12'!L29+'Юнит 08-14.12'!L29+'Юнит 15-21.12'!L29+'Юнит 22-31.12'!L29+#REF!</f>
        <v>#REF!</v>
      </c>
      <c r="M29" s="48" t="e">
        <f>'Юнит 01-07.12'!M29+'Юнит 08-14.12'!M29+'Юнит 15-21.12'!M29+'Юнит 22-31.12'!M29+#REF!</f>
        <v>#REF!</v>
      </c>
      <c r="N29" s="48"/>
      <c r="O29" s="48"/>
      <c r="P29" s="48">
        <f>АВГУСТ!P27+СЕНТЯБРЬ!P27+ОКТЯБРЬ!P27+НОЯБРЬ!P29+ДЕКАБРЬ!P29</f>
        <v>6</v>
      </c>
      <c r="Q29" s="48">
        <f>АВГУСТ!Q27+СЕНТЯБРЬ!Q27+ОКТЯБРЬ!Q27+НОЯБРЬ!Q29+ДЕКАБРЬ!Q29</f>
        <v>4</v>
      </c>
      <c r="R29" s="48">
        <f t="shared" si="18"/>
        <v>10</v>
      </c>
      <c r="S29" s="48">
        <f>АВГУСТ!S27+СЕНТЯБРЬ!S27+ОКТЯБРЬ!S27+НОЯБРЬ!S29+ДЕКАБРЬ!S29</f>
        <v>28590</v>
      </c>
      <c r="T29" s="48">
        <f>АВГУСТ!T27+СЕНТЯБРЬ!T27+ОКТЯБРЬ!T27+НОЯБРЬ!T29+ДЕКАБРЬ!T29</f>
        <v>-19690</v>
      </c>
      <c r="U29" s="48">
        <f t="shared" si="19"/>
        <v>8900</v>
      </c>
      <c r="V29" s="431">
        <f t="shared" ref="V29:V47" si="30">U29/$U$49</f>
        <v>2.9834535653946205E-2</v>
      </c>
      <c r="W29" s="48">
        <f>АВГУСТ!W27+СЕНТЯБРЬ!W27+ОКТЯБРЬ!W27+НОЯБРЬ!W29+ДЕКАБРЬ!W29</f>
        <v>3762</v>
      </c>
      <c r="X29" s="48">
        <f>АВГУСТ!X27+СЕНТЯБРЬ!X27+ОКТЯБРЬ!X27+НОЯБРЬ!X29+ДЕКАБРЬ!X29</f>
        <v>3102</v>
      </c>
      <c r="Y29" s="431">
        <f t="shared" si="20"/>
        <v>0.34853932584269665</v>
      </c>
      <c r="Z29" s="48">
        <f>АВГУСТ!Z27+СЕНТЯБРЬ!Z27+ОКТЯБРЬ!Z27+НОЯБРЬ!Z29+ДЕКАБРЬ!Z29</f>
        <v>2005.6</v>
      </c>
      <c r="AA29" s="48">
        <f>АВГУСТ!AA27+СЕНТЯБРЬ!AA27+ОКТЯБРЬ!AA27+НОЯБРЬ!AA29+ДЕКАБРЬ!AA29</f>
        <v>12475.889639000001</v>
      </c>
      <c r="AB29" s="64"/>
      <c r="AC29" s="51"/>
      <c r="AD29" s="48">
        <f>АВГУСТ!AD27+СЕНТЯБРЬ!AD27+ОКТЯБРЬ!AD27+НОЯБРЬ!AD29+ДЕКАБРЬ!AD29</f>
        <v>89</v>
      </c>
      <c r="AE29" s="56">
        <f t="shared" si="21"/>
        <v>-12534.489639000001</v>
      </c>
      <c r="AF29" s="55"/>
      <c r="AG29" s="57">
        <f t="shared" si="22"/>
        <v>890</v>
      </c>
      <c r="AH29" s="58">
        <f t="shared" si="23"/>
        <v>627</v>
      </c>
      <c r="AI29" s="58">
        <f t="shared" si="24"/>
        <v>310.2</v>
      </c>
      <c r="AJ29" s="58">
        <f t="shared" si="25"/>
        <v>334.26666666666665</v>
      </c>
      <c r="AK29" s="58">
        <f t="shared" si="26"/>
        <v>2079.3149398333335</v>
      </c>
      <c r="AL29" s="58">
        <f t="array" ref="AL29">_xlfn.IFS(R29=0,AE29,R29&lt;0,AE29/-R29,R29&gt;0,AE29/R29)</f>
        <v>-1253.4489639000001</v>
      </c>
      <c r="AM29" s="59">
        <f t="shared" si="27"/>
        <v>-1.4083696223595505</v>
      </c>
      <c r="AN29" s="60">
        <f t="shared" si="28"/>
        <v>-1.9991211545454546</v>
      </c>
      <c r="AP29" s="62">
        <f t="shared" si="29"/>
        <v>0</v>
      </c>
    </row>
    <row r="30" spans="1:52">
      <c r="A30" s="39">
        <v>2774709606</v>
      </c>
      <c r="B30" s="40" t="s">
        <v>235</v>
      </c>
      <c r="C30" s="41"/>
      <c r="D30" s="42"/>
      <c r="E30" s="42"/>
      <c r="F30" s="42"/>
      <c r="G30" s="43"/>
      <c r="H30" s="65">
        <v>627</v>
      </c>
      <c r="I30" s="63">
        <f t="shared" si="17"/>
        <v>0</v>
      </c>
      <c r="J30" s="45"/>
      <c r="K30" s="48">
        <f>АВГУСТ!K28+СЕНТЯБРЬ!K28+ОКТЯБРЬ!K28+НОЯБРЬ!K30+ДЕКАБРЬ!K30</f>
        <v>10</v>
      </c>
      <c r="L30" s="48" t="e">
        <f>'Юнит 01-07.12'!L30+'Юнит 08-14.12'!L30+'Юнит 15-21.12'!L30+'Юнит 22-31.12'!L30+#REF!</f>
        <v>#REF!</v>
      </c>
      <c r="M30" s="48" t="e">
        <f>'Юнит 01-07.12'!M30+'Юнит 08-14.12'!M30+'Юнит 15-21.12'!M30+'Юнит 22-31.12'!M30+#REF!</f>
        <v>#REF!</v>
      </c>
      <c r="N30" s="48"/>
      <c r="O30" s="48"/>
      <c r="P30" s="48">
        <f>АВГУСТ!P28+СЕНТЯБРЬ!P28+ОКТЯБРЬ!P28+НОЯБРЬ!P30+ДЕКАБРЬ!P30</f>
        <v>5</v>
      </c>
      <c r="Q30" s="48">
        <f>АВГУСТ!Q28+СЕНТЯБРЬ!Q28+ОКТЯБРЬ!Q28+НОЯБРЬ!Q30+ДЕКАБРЬ!Q30</f>
        <v>2</v>
      </c>
      <c r="R30" s="48">
        <f t="shared" si="18"/>
        <v>7</v>
      </c>
      <c r="S30" s="48">
        <f>АВГУСТ!S28+СЕНТЯБРЬ!S28+ОКТЯБРЬ!S28+НОЯБРЬ!S30+ДЕКАБРЬ!S30</f>
        <v>25190</v>
      </c>
      <c r="T30" s="48">
        <f>АВГУСТ!T28+СЕНТЯБРЬ!T28+ОКТЯБРЬ!T28+НОЯБРЬ!T30+ДЕКАБРЬ!T30</f>
        <v>-9690</v>
      </c>
      <c r="U30" s="48">
        <f t="shared" si="19"/>
        <v>15500</v>
      </c>
      <c r="V30" s="431">
        <f t="shared" si="30"/>
        <v>5.1959022768108556E-2</v>
      </c>
      <c r="W30" s="48">
        <f>АВГУСТ!W28+СЕНТЯБРЬ!W28+ОКТЯБРЬ!W28+НОЯБРЬ!W30+ДЕКАБРЬ!W30</f>
        <v>3135</v>
      </c>
      <c r="X30" s="48">
        <f>АВГУСТ!X28+СЕНТЯБРЬ!X28+ОКТЯБРЬ!X28+НОЯБРЬ!X30+ДЕКАБРЬ!X30</f>
        <v>5690</v>
      </c>
      <c r="Y30" s="431">
        <f t="shared" si="20"/>
        <v>0.36709677419354841</v>
      </c>
      <c r="Z30" s="48">
        <f>АВГУСТ!Z28+СЕНТЯБРЬ!Z28+ОКТЯБРЬ!Z28+НОЯБРЬ!Z30+ДЕКАБРЬ!Z30</f>
        <v>1266.92</v>
      </c>
      <c r="AA30" s="48">
        <f>АВГУСТ!AA28+СЕНТЯБРЬ!AA28+ОКТЯБРЬ!AA28+НОЯБРЬ!AA30+ДЕКАБРЬ!AA30</f>
        <v>6499.8547330000001</v>
      </c>
      <c r="AB30" s="64"/>
      <c r="AC30" s="51"/>
      <c r="AD30" s="48">
        <f>АВГУСТ!AD28+СЕНТЯБРЬ!AD28+ОКТЯБРЬ!AD28+НОЯБРЬ!AD30+ДЕКАБРЬ!AD30</f>
        <v>155</v>
      </c>
      <c r="AE30" s="56">
        <f t="shared" si="21"/>
        <v>-1246.7747330000002</v>
      </c>
      <c r="AF30" s="55"/>
      <c r="AG30" s="57">
        <f t="shared" si="22"/>
        <v>2214.2857142857142</v>
      </c>
      <c r="AH30" s="58">
        <f t="shared" si="23"/>
        <v>627</v>
      </c>
      <c r="AI30" s="58">
        <f t="shared" si="24"/>
        <v>812.85714285714289</v>
      </c>
      <c r="AJ30" s="58">
        <f t="shared" si="25"/>
        <v>253.38400000000001</v>
      </c>
      <c r="AK30" s="58">
        <f t="shared" si="26"/>
        <v>1299.9709465999999</v>
      </c>
      <c r="AL30" s="58">
        <f t="array" ref="AL30">_xlfn.IFS(R30=0,AE30,R30&lt;0,AE30/-R30,R30&gt;0,AE30/R30)</f>
        <v>-178.11067614285716</v>
      </c>
      <c r="AM30" s="59">
        <f t="shared" si="27"/>
        <v>-8.0437079548387108E-2</v>
      </c>
      <c r="AN30" s="60">
        <f t="shared" si="28"/>
        <v>-0.28406806402369561</v>
      </c>
      <c r="AP30" s="62">
        <f t="shared" si="29"/>
        <v>0</v>
      </c>
    </row>
    <row r="31" spans="1:52">
      <c r="A31" s="39">
        <v>2774720465</v>
      </c>
      <c r="B31" s="40" t="s">
        <v>171</v>
      </c>
      <c r="C31" s="41"/>
      <c r="D31" s="42"/>
      <c r="E31" s="42"/>
      <c r="F31" s="42"/>
      <c r="G31" s="43"/>
      <c r="H31" s="65">
        <v>567</v>
      </c>
      <c r="I31" s="63">
        <f t="shared" si="17"/>
        <v>0</v>
      </c>
      <c r="J31" s="45"/>
      <c r="K31" s="48">
        <f>АВГУСТ!K29+СЕНТЯБРЬ!K29+ОКТЯБРЬ!K29+НОЯБРЬ!K31+ДЕКАБРЬ!K31</f>
        <v>8</v>
      </c>
      <c r="L31" s="48" t="e">
        <f>'Юнит 01-07.12'!L31+'Юнит 08-14.12'!L31+'Юнит 15-21.12'!L31+'Юнит 22-31.12'!L31+#REF!</f>
        <v>#REF!</v>
      </c>
      <c r="M31" s="48" t="e">
        <f>'Юнит 01-07.12'!M31+'Юнит 08-14.12'!M31+'Юнит 15-21.12'!M31+'Юнит 22-31.12'!M31+#REF!</f>
        <v>#REF!</v>
      </c>
      <c r="N31" s="48"/>
      <c r="O31" s="48"/>
      <c r="P31" s="48">
        <f>АВГУСТ!P29+СЕНТЯБРЬ!P29+ОКТЯБРЬ!P29+НОЯБРЬ!P31+ДЕКАБРЬ!P31</f>
        <v>1</v>
      </c>
      <c r="Q31" s="48">
        <f>АВГУСТ!Q29+СЕНТЯБРЬ!Q29+ОКТЯБРЬ!Q29+НОЯБРЬ!Q31+ДЕКАБРЬ!Q31</f>
        <v>0</v>
      </c>
      <c r="R31" s="48">
        <f t="shared" si="18"/>
        <v>1</v>
      </c>
      <c r="S31" s="48">
        <f>АВГУСТ!S29+СЕНТЯБРЬ!S29+ОКТЯБРЬ!S29+НОЯБРЬ!S31+ДЕКАБРЬ!S31</f>
        <v>3400</v>
      </c>
      <c r="T31" s="48">
        <f>АВГУСТ!T29+СЕНТЯБРЬ!T29+ОКТЯБРЬ!T29+НОЯБРЬ!T31+ДЕКАБРЬ!T31</f>
        <v>0</v>
      </c>
      <c r="U31" s="48">
        <f t="shared" si="19"/>
        <v>3400</v>
      </c>
      <c r="V31" s="431">
        <f t="shared" si="30"/>
        <v>1.1397463058810909E-2</v>
      </c>
      <c r="W31" s="48">
        <f>АВГУСТ!W29+СЕНТЯБРЬ!W29+ОКТЯБРЬ!W29+НОЯБРЬ!W31+ДЕКАБРЬ!W31</f>
        <v>567</v>
      </c>
      <c r="X31" s="48">
        <f>АВГУСТ!X29+СЕНТЯБРЬ!X29+ОКТЯБРЬ!X29+НОЯБРЬ!X31+ДЕКАБРЬ!X31</f>
        <v>816</v>
      </c>
      <c r="Y31" s="431">
        <f t="shared" si="20"/>
        <v>0.24</v>
      </c>
      <c r="Z31" s="48">
        <f>АВГУСТ!Z29+СЕНТЯБРЬ!Z29+ОКТЯБРЬ!Z29+НОЯБРЬ!Z31+ДЕКАБРЬ!Z31</f>
        <v>841.88</v>
      </c>
      <c r="AA31" s="48">
        <f>АВГУСТ!AA29+СЕНТЯБРЬ!AA29+ОКТЯБРЬ!AA29+НОЯБРЬ!AA31+ДЕКАБРЬ!AA31</f>
        <v>3605.3661149999998</v>
      </c>
      <c r="AB31" s="64"/>
      <c r="AC31" s="51"/>
      <c r="AD31" s="48">
        <f>АВГУСТ!AD29+СЕНТЯБРЬ!AD29+ОКТЯБРЬ!AD29+НОЯБРЬ!AD31+ДЕКАБРЬ!AD31</f>
        <v>34</v>
      </c>
      <c r="AE31" s="56">
        <f t="shared" si="21"/>
        <v>-2464.2461149999999</v>
      </c>
      <c r="AF31" s="55"/>
      <c r="AG31" s="57">
        <f t="shared" si="22"/>
        <v>3400</v>
      </c>
      <c r="AH31" s="58">
        <f t="shared" si="23"/>
        <v>567</v>
      </c>
      <c r="AI31" s="58">
        <f t="shared" si="24"/>
        <v>816</v>
      </c>
      <c r="AJ31" s="58">
        <f t="shared" si="25"/>
        <v>841.88</v>
      </c>
      <c r="AK31" s="58">
        <f t="shared" si="26"/>
        <v>3605.3661149999998</v>
      </c>
      <c r="AL31" s="58">
        <f t="array" ref="AL31">_xlfn.IFS(R31=0,AE31,R31&lt;0,AE31/-R31,R31&gt;0,AE31/R31)</f>
        <v>-2464.2461149999999</v>
      </c>
      <c r="AM31" s="59">
        <f t="shared" si="27"/>
        <v>-0.72477826911764709</v>
      </c>
      <c r="AN31" s="60">
        <f t="shared" si="28"/>
        <v>-4.3461130776014105</v>
      </c>
      <c r="AP31" s="62">
        <f t="shared" si="29"/>
        <v>0</v>
      </c>
    </row>
    <row r="32" spans="1:52">
      <c r="A32" s="39">
        <v>2774718470</v>
      </c>
      <c r="B32" s="40" t="s">
        <v>39</v>
      </c>
      <c r="C32" s="41"/>
      <c r="D32" s="42"/>
      <c r="E32" s="42"/>
      <c r="F32" s="42"/>
      <c r="G32" s="43"/>
      <c r="H32" s="65">
        <v>567</v>
      </c>
      <c r="I32" s="63">
        <f t="shared" si="17"/>
        <v>0</v>
      </c>
      <c r="J32" s="45"/>
      <c r="K32" s="48">
        <f>АВГУСТ!K30+СЕНТЯБРЬ!K30+ОКТЯБРЬ!K30+НОЯБРЬ!K32+ДЕКАБРЬ!K32</f>
        <v>3</v>
      </c>
      <c r="L32" s="48" t="e">
        <f>'Юнит 01-07.12'!L32+'Юнит 08-14.12'!L32+'Юнит 15-21.12'!L32+'Юнит 22-31.12'!L32+#REF!</f>
        <v>#REF!</v>
      </c>
      <c r="M32" s="48" t="e">
        <f>'Юнит 01-07.12'!M32+'Юнит 08-14.12'!M32+'Юнит 15-21.12'!M32+'Юнит 22-31.12'!M32+#REF!</f>
        <v>#REF!</v>
      </c>
      <c r="N32" s="48"/>
      <c r="O32" s="48"/>
      <c r="P32" s="48">
        <f>АВГУСТ!P30+СЕНТЯБРЬ!P30+ОКТЯБРЬ!P30+НОЯБРЬ!P32+ДЕКАБРЬ!P32</f>
        <v>0</v>
      </c>
      <c r="Q32" s="48">
        <f>АВГУСТ!Q30+СЕНТЯБРЬ!Q30+ОКТЯБРЬ!Q30+НОЯБРЬ!Q32+ДЕКАБРЬ!Q32</f>
        <v>0</v>
      </c>
      <c r="R32" s="48">
        <f t="shared" si="18"/>
        <v>0</v>
      </c>
      <c r="S32" s="48">
        <f>АВГУСТ!S30+СЕНТЯБРЬ!S30+ОКТЯБРЬ!S30+НОЯБРЬ!S32+ДЕКАБРЬ!S32</f>
        <v>0</v>
      </c>
      <c r="T32" s="48">
        <f>АВГУСТ!T30+СЕНТЯБРЬ!T30+ОКТЯБРЬ!T30+НОЯБРЬ!T32+ДЕКАБРЬ!T32</f>
        <v>0</v>
      </c>
      <c r="U32" s="48">
        <f t="shared" si="19"/>
        <v>0</v>
      </c>
      <c r="V32" s="431">
        <f t="shared" si="30"/>
        <v>0</v>
      </c>
      <c r="W32" s="48">
        <f>АВГУСТ!W30+СЕНТЯБРЬ!W30+ОКТЯБРЬ!W30+НОЯБРЬ!W32+ДЕКАБРЬ!W32</f>
        <v>0</v>
      </c>
      <c r="X32" s="48">
        <f>АВГУСТ!X30+СЕНТЯБРЬ!X30+ОКТЯБРЬ!X30+НОЯБРЬ!X32+ДЕКАБРЬ!X32</f>
        <v>0</v>
      </c>
      <c r="Y32" s="431" t="e">
        <f t="shared" si="20"/>
        <v>#DIV/0!</v>
      </c>
      <c r="Z32" s="48">
        <f>АВГУСТ!Z30+СЕНТЯБРЬ!Z30+ОКТЯБРЬ!Z30+НОЯБРЬ!Z32+ДЕКАБРЬ!Z32</f>
        <v>336</v>
      </c>
      <c r="AA32" s="48">
        <f>АВГУСТ!AA30+СЕНТЯБРЬ!AA30+ОКТЯБРЬ!AA30+НОЯБРЬ!AA32+ДЕКАБРЬ!AA32</f>
        <v>0</v>
      </c>
      <c r="AB32" s="64"/>
      <c r="AC32" s="51"/>
      <c r="AD32" s="48">
        <f>АВГУСТ!AD30+СЕНТЯБРЬ!AD30+ОКТЯБРЬ!AD30+НОЯБРЬ!AD32+ДЕКАБРЬ!AD32</f>
        <v>0</v>
      </c>
      <c r="AE32" s="56">
        <f t="shared" si="21"/>
        <v>-336</v>
      </c>
      <c r="AF32" s="55"/>
      <c r="AG32" s="57">
        <f t="shared" si="22"/>
        <v>0</v>
      </c>
      <c r="AH32" s="58">
        <f t="shared" si="23"/>
        <v>567</v>
      </c>
      <c r="AI32" s="58">
        <f t="shared" si="24"/>
        <v>0</v>
      </c>
      <c r="AJ32" s="58">
        <f t="shared" si="25"/>
        <v>336</v>
      </c>
      <c r="AK32" s="58">
        <f t="shared" si="26"/>
        <v>0</v>
      </c>
      <c r="AL32" s="58">
        <f t="array" ref="AL32">_xlfn.IFS(R32=0,AE32,R32&lt;0,AE32/-R32,R32&gt;0,AE32/R32)</f>
        <v>-336</v>
      </c>
      <c r="AM32" s="59">
        <f t="shared" si="27"/>
        <v>0</v>
      </c>
      <c r="AN32" s="60">
        <f t="shared" si="28"/>
        <v>-0.59259259259259256</v>
      </c>
      <c r="AP32" s="62">
        <f t="shared" si="29"/>
        <v>0</v>
      </c>
    </row>
    <row r="33" spans="1:42">
      <c r="A33" s="39">
        <v>2774719022</v>
      </c>
      <c r="B33" s="40" t="s">
        <v>236</v>
      </c>
      <c r="C33" s="41"/>
      <c r="D33" s="42"/>
      <c r="E33" s="42"/>
      <c r="F33" s="42"/>
      <c r="G33" s="43"/>
      <c r="H33" s="65">
        <v>657</v>
      </c>
      <c r="I33" s="63">
        <f t="shared" si="17"/>
        <v>0</v>
      </c>
      <c r="J33" s="45"/>
      <c r="K33" s="48">
        <f>АВГУСТ!K31+СЕНТЯБРЬ!K31+ОКТЯБРЬ!K31+НОЯБРЬ!K33+ДЕКАБРЬ!K33</f>
        <v>7</v>
      </c>
      <c r="L33" s="48" t="e">
        <f>'Юнит 01-07.12'!L33+'Юнит 08-14.12'!L33+'Юнит 15-21.12'!L33+'Юнит 22-31.12'!L33+#REF!</f>
        <v>#REF!</v>
      </c>
      <c r="M33" s="48" t="e">
        <f>'Юнит 01-07.12'!M33+'Юнит 08-14.12'!M33+'Юнит 15-21.12'!M33+'Юнит 22-31.12'!M33+#REF!</f>
        <v>#REF!</v>
      </c>
      <c r="N33" s="48"/>
      <c r="O33" s="48"/>
      <c r="P33" s="48">
        <f>АВГУСТ!P31+СЕНТЯБРЬ!P31+ОКТЯБРЬ!P31+НОЯБРЬ!P33+ДЕКАБРЬ!P33</f>
        <v>5</v>
      </c>
      <c r="Q33" s="48">
        <f>АВГУСТ!Q31+СЕНТЯБРЬ!Q31+ОКТЯБРЬ!Q31+НОЯБРЬ!Q33+ДЕКАБРЬ!Q33</f>
        <v>1</v>
      </c>
      <c r="R33" s="48">
        <f t="shared" si="18"/>
        <v>6</v>
      </c>
      <c r="S33" s="48">
        <f>АВГУСТ!S31+СЕНТЯБРЬ!S31+ОКТЯБРЬ!S31+НОЯБРЬ!S33+ДЕКАБРЬ!S33</f>
        <v>15824</v>
      </c>
      <c r="T33" s="48">
        <f>АВГУСТ!T31+СЕНТЯБРЬ!T31+ОКТЯБРЬ!T31+НОЯБРЬ!T33+ДЕКАБРЬ!T33</f>
        <v>-3080</v>
      </c>
      <c r="U33" s="48">
        <f t="shared" si="19"/>
        <v>12744</v>
      </c>
      <c r="V33" s="431">
        <f t="shared" si="30"/>
        <v>4.2720373300437126E-2</v>
      </c>
      <c r="W33" s="48">
        <f>АВГУСТ!W31+СЕНТЯБРЬ!W31+ОКТЯБРЬ!W31+НОЯБРЬ!W33+ДЕКАБРЬ!W33</f>
        <v>2628</v>
      </c>
      <c r="X33" s="48">
        <f>АВГУСТ!X31+СЕНТЯБРЬ!X31+ОКТЯБРЬ!X31+НОЯБРЬ!X33+ДЕКАБРЬ!X33</f>
        <v>5479.92</v>
      </c>
      <c r="Y33" s="431">
        <f t="shared" si="20"/>
        <v>0.43</v>
      </c>
      <c r="Z33" s="48">
        <f>АВГУСТ!Z31+СЕНТЯБРЬ!Z31+ОКТЯБРЬ!Z31+НОЯБРЬ!Z33+ДЕКАБРЬ!Z33</f>
        <v>877.41000000000008</v>
      </c>
      <c r="AA33" s="48">
        <f>АВГУСТ!AA31+СЕНТЯБРЬ!AA31+ОКТЯБРЬ!AA31+НОЯБРЬ!AA33+ДЕКАБРЬ!AA33</f>
        <v>0</v>
      </c>
      <c r="AB33" s="64"/>
      <c r="AC33" s="51"/>
      <c r="AD33" s="48">
        <f>АВГУСТ!AD31+СЕНТЯБРЬ!AD31+ОКТЯБРЬ!AD31+НОЯБРЬ!AD33+ДЕКАБРЬ!AD33</f>
        <v>127.44</v>
      </c>
      <c r="AE33" s="56">
        <f t="shared" si="21"/>
        <v>3631.23</v>
      </c>
      <c r="AF33" s="55"/>
      <c r="AG33" s="57">
        <f t="shared" si="22"/>
        <v>2124</v>
      </c>
      <c r="AH33" s="58">
        <f t="shared" si="23"/>
        <v>657</v>
      </c>
      <c r="AI33" s="58">
        <f t="shared" si="24"/>
        <v>913.32</v>
      </c>
      <c r="AJ33" s="58">
        <f t="shared" si="25"/>
        <v>175.48200000000003</v>
      </c>
      <c r="AK33" s="58">
        <f t="shared" si="26"/>
        <v>0</v>
      </c>
      <c r="AL33" s="58">
        <f t="array" ref="AL33">_xlfn.IFS(R33=0,AE33,R33&lt;0,AE33/-R33,R33&gt;0,AE33/R33)</f>
        <v>605.20500000000004</v>
      </c>
      <c r="AM33" s="59">
        <f t="shared" si="27"/>
        <v>0.28493644067796614</v>
      </c>
      <c r="AN33" s="60">
        <f t="shared" si="28"/>
        <v>0.92116438356164387</v>
      </c>
      <c r="AP33" s="62">
        <f t="shared" si="29"/>
        <v>0</v>
      </c>
    </row>
    <row r="34" spans="1:42">
      <c r="A34" s="39">
        <v>2774719501</v>
      </c>
      <c r="B34" s="40" t="s">
        <v>237</v>
      </c>
      <c r="C34" s="41"/>
      <c r="D34" s="42"/>
      <c r="E34" s="42"/>
      <c r="F34" s="42"/>
      <c r="G34" s="43"/>
      <c r="H34" s="65">
        <v>597</v>
      </c>
      <c r="I34" s="63">
        <f t="shared" si="17"/>
        <v>0</v>
      </c>
      <c r="J34" s="45"/>
      <c r="K34" s="48">
        <f>АВГУСТ!K32+СЕНТЯБРЬ!K32+ОКТЯБРЬ!K32+НОЯБРЬ!K34+ДЕКАБРЬ!K34</f>
        <v>4</v>
      </c>
      <c r="L34" s="48" t="e">
        <f>'Юнит 01-07.12'!L34+'Юнит 08-14.12'!L34+'Юнит 15-21.12'!L34+'Юнит 22-31.12'!L34+#REF!</f>
        <v>#REF!</v>
      </c>
      <c r="M34" s="48" t="e">
        <f>'Юнит 01-07.12'!M34+'Юнит 08-14.12'!M34+'Юнит 15-21.12'!M34+'Юнит 22-31.12'!M34+#REF!</f>
        <v>#REF!</v>
      </c>
      <c r="N34" s="48"/>
      <c r="O34" s="48"/>
      <c r="P34" s="48">
        <f>АВГУСТ!P32+СЕНТЯБРЬ!P32+ОКТЯБРЬ!P32+НОЯБРЬ!P34+ДЕКАБРЬ!P34</f>
        <v>1</v>
      </c>
      <c r="Q34" s="48">
        <f>АВГУСТ!Q32+СЕНТЯБРЬ!Q32+ОКТЯБРЬ!Q32+НОЯБРЬ!Q34+ДЕКАБРЬ!Q34</f>
        <v>0</v>
      </c>
      <c r="R34" s="48">
        <f t="shared" si="18"/>
        <v>1</v>
      </c>
      <c r="S34" s="48">
        <f>АВГУСТ!S32+СЕНТЯБРЬ!S32+ОКТЯБРЬ!S32+НОЯБРЬ!S34+ДЕКАБРЬ!S34</f>
        <v>4548</v>
      </c>
      <c r="T34" s="48">
        <f>АВГУСТ!T32+СЕНТЯБРЬ!T32+ОКТЯБРЬ!T32+НОЯБРЬ!T34+ДЕКАБРЬ!T34</f>
        <v>0</v>
      </c>
      <c r="U34" s="48">
        <f t="shared" si="19"/>
        <v>4548</v>
      </c>
      <c r="V34" s="431">
        <f t="shared" si="30"/>
        <v>1.524578293866824E-2</v>
      </c>
      <c r="W34" s="48">
        <f>АВГУСТ!W32+СЕНТЯБРЬ!W32+ОКТЯБРЬ!W32+НОЯБРЬ!W34+ДЕКАБРЬ!W34</f>
        <v>597</v>
      </c>
      <c r="X34" s="48">
        <f>АВГУСТ!X32+СЕНТЯБРЬ!X32+ОКТЯБРЬ!X32+НОЯБРЬ!X34+ДЕКАБРЬ!X34</f>
        <v>1955.64</v>
      </c>
      <c r="Y34" s="431">
        <f t="shared" si="20"/>
        <v>0.43000000000000005</v>
      </c>
      <c r="Z34" s="48">
        <f>АВГУСТ!Z32+СЕНТЯБРЬ!Z32+ОКТЯБРЬ!Z32+НОЯБРЬ!Z34+ДЕКАБРЬ!Z34</f>
        <v>450.03999999999996</v>
      </c>
      <c r="AA34" s="48">
        <f>АВГУСТ!AA32+СЕНТЯБРЬ!AA32+ОКТЯБРЬ!AA32+НОЯБРЬ!AA34+ДЕКАБРЬ!AA34</f>
        <v>0</v>
      </c>
      <c r="AB34" s="64"/>
      <c r="AC34" s="51"/>
      <c r="AD34" s="48">
        <f>АВГУСТ!AD32+СЕНТЯБРЬ!AD32+ОКТЯБРЬ!AD32+НОЯБРЬ!AD34+ДЕКАБРЬ!AD34</f>
        <v>45.480000000000004</v>
      </c>
      <c r="AE34" s="56">
        <f t="shared" si="21"/>
        <v>1499.84</v>
      </c>
      <c r="AF34" s="55"/>
      <c r="AG34" s="57">
        <f t="shared" si="22"/>
        <v>4548</v>
      </c>
      <c r="AH34" s="58">
        <f t="shared" si="23"/>
        <v>597</v>
      </c>
      <c r="AI34" s="58">
        <f t="shared" si="24"/>
        <v>1955.64</v>
      </c>
      <c r="AJ34" s="58">
        <f t="shared" si="25"/>
        <v>450.03999999999996</v>
      </c>
      <c r="AK34" s="58">
        <f t="shared" si="26"/>
        <v>0</v>
      </c>
      <c r="AL34" s="58">
        <f t="array" ref="AL34">_xlfn.IFS(R34=0,AE34,R34&lt;0,AE34/-R34,R34&gt;0,AE34/R34)</f>
        <v>1499.84</v>
      </c>
      <c r="AM34" s="59">
        <f t="shared" si="27"/>
        <v>0.3297801231310466</v>
      </c>
      <c r="AN34" s="60">
        <f t="shared" si="28"/>
        <v>2.5122948073701843</v>
      </c>
      <c r="AP34" s="62">
        <f t="shared" si="29"/>
        <v>0</v>
      </c>
    </row>
    <row r="35" spans="1:42">
      <c r="A35" s="39">
        <v>2774714412</v>
      </c>
      <c r="B35" s="40" t="s">
        <v>142</v>
      </c>
      <c r="C35" s="41"/>
      <c r="D35" s="42"/>
      <c r="E35" s="42"/>
      <c r="F35" s="42"/>
      <c r="G35" s="43"/>
      <c r="H35" s="65">
        <v>552</v>
      </c>
      <c r="I35" s="63">
        <f t="shared" si="17"/>
        <v>0</v>
      </c>
      <c r="J35" s="45"/>
      <c r="K35" s="48">
        <f>АВГУСТ!K33+СЕНТЯБРЬ!K33+ОКТЯБРЬ!K33+НОЯБРЬ!K35+ДЕКАБРЬ!K35</f>
        <v>1</v>
      </c>
      <c r="L35" s="48" t="e">
        <f>'Юнит 01-07.12'!L35+'Юнит 08-14.12'!L35+'Юнит 15-21.12'!L35+'Юнит 22-31.12'!L35+#REF!</f>
        <v>#REF!</v>
      </c>
      <c r="M35" s="48" t="e">
        <f>'Юнит 01-07.12'!M35+'Юнит 08-14.12'!M35+'Юнит 15-21.12'!M35+'Юнит 22-31.12'!M35+#REF!</f>
        <v>#REF!</v>
      </c>
      <c r="N35" s="48"/>
      <c r="O35" s="48"/>
      <c r="P35" s="48">
        <f>АВГУСТ!P33+СЕНТЯБРЬ!P33+ОКТЯБРЬ!P33+НОЯБРЬ!P35+ДЕКАБРЬ!P35</f>
        <v>2</v>
      </c>
      <c r="Q35" s="48">
        <f>АВГУСТ!Q33+СЕНТЯБРЬ!Q33+ОКТЯБРЬ!Q33+НОЯБРЬ!Q35+ДЕКАБРЬ!Q35</f>
        <v>0</v>
      </c>
      <c r="R35" s="48">
        <f t="shared" si="18"/>
        <v>2</v>
      </c>
      <c r="S35" s="48">
        <f>АВГУСТ!S33+СЕНТЯБРЬ!S33+ОКТЯБРЬ!S33+НОЯБРЬ!S35+ДЕКАБРЬ!S35</f>
        <v>8300</v>
      </c>
      <c r="T35" s="48">
        <f>АВГУСТ!T33+СЕНТЯБРЬ!T33+ОКТЯБРЬ!T33+НОЯБРЬ!T35+ДЕКАБРЬ!T35</f>
        <v>0</v>
      </c>
      <c r="U35" s="48">
        <f t="shared" si="19"/>
        <v>8300</v>
      </c>
      <c r="V35" s="431">
        <f t="shared" si="30"/>
        <v>2.7823218643567807E-2</v>
      </c>
      <c r="W35" s="48">
        <f>АВГУСТ!W33+СЕНТЯБРЬ!W33+ОКТЯБРЬ!W33+НОЯБРЬ!W35+ДЕКАБРЬ!W35</f>
        <v>1104</v>
      </c>
      <c r="X35" s="48">
        <f>АВГУСТ!X33+СЕНТЯБРЬ!X33+ОКТЯБРЬ!X33+НОЯБРЬ!X35+ДЕКАБРЬ!X35</f>
        <v>2492</v>
      </c>
      <c r="Y35" s="431">
        <f t="shared" si="20"/>
        <v>0.30024096385542171</v>
      </c>
      <c r="Z35" s="48">
        <f>АВГУСТ!Z33+СЕНТЯБРЬ!Z33+ОКТЯБРЬ!Z33+НОЯБРЬ!Z35+ДЕКАБРЬ!Z35</f>
        <v>224</v>
      </c>
      <c r="AA35" s="48">
        <f>АВГУСТ!AA33+СЕНТЯБРЬ!AA33+ОКТЯБРЬ!AA33+НОЯБРЬ!AA35+ДЕКАБРЬ!AA35</f>
        <v>0</v>
      </c>
      <c r="AB35" s="64"/>
      <c r="AC35" s="51"/>
      <c r="AD35" s="48">
        <f>АВГУСТ!AD33+СЕНТЯБРЬ!AD33+ОКТЯБРЬ!AD33+НОЯБРЬ!AD35+ДЕКАБРЬ!AD35</f>
        <v>83</v>
      </c>
      <c r="AE35" s="56">
        <f t="shared" si="21"/>
        <v>4397</v>
      </c>
      <c r="AF35" s="55"/>
      <c r="AG35" s="57">
        <f t="shared" si="22"/>
        <v>4150</v>
      </c>
      <c r="AH35" s="58">
        <f t="shared" si="23"/>
        <v>552</v>
      </c>
      <c r="AI35" s="58">
        <f t="shared" si="24"/>
        <v>1246</v>
      </c>
      <c r="AJ35" s="58">
        <f t="shared" si="25"/>
        <v>112</v>
      </c>
      <c r="AK35" s="58">
        <f t="shared" si="26"/>
        <v>0</v>
      </c>
      <c r="AL35" s="58">
        <f t="array" ref="AL35">_xlfn.IFS(R35=0,AE35,R35&lt;0,AE35/-R35,R35&gt;0,AE35/R35)</f>
        <v>2198.5</v>
      </c>
      <c r="AM35" s="59">
        <f t="shared" si="27"/>
        <v>0.52975903614457831</v>
      </c>
      <c r="AN35" s="60">
        <f t="shared" si="28"/>
        <v>3.9827898550724639</v>
      </c>
      <c r="AP35" s="62">
        <f t="shared" si="29"/>
        <v>0</v>
      </c>
    </row>
    <row r="36" spans="1:42">
      <c r="A36" s="39">
        <v>2774710430</v>
      </c>
      <c r="B36" s="40" t="s">
        <v>238</v>
      </c>
      <c r="C36" s="41"/>
      <c r="D36" s="42"/>
      <c r="E36" s="42"/>
      <c r="F36" s="42"/>
      <c r="G36" s="43"/>
      <c r="H36" s="65">
        <v>552</v>
      </c>
      <c r="I36" s="63">
        <f t="shared" si="17"/>
        <v>0</v>
      </c>
      <c r="J36" s="45"/>
      <c r="K36" s="48">
        <f>АВГУСТ!K34+СЕНТЯБРЬ!K34+ОКТЯБРЬ!K34+НОЯБРЬ!K36+ДЕКАБРЬ!K36</f>
        <v>1</v>
      </c>
      <c r="L36" s="48" t="e">
        <f>'Юнит 01-07.12'!L36+'Юнит 08-14.12'!L36+'Юнит 15-21.12'!L36+'Юнит 22-31.12'!L36+#REF!</f>
        <v>#REF!</v>
      </c>
      <c r="M36" s="48" t="e">
        <f>'Юнит 01-07.12'!M36+'Юнит 08-14.12'!M36+'Юнит 15-21.12'!M36+'Юнит 22-31.12'!M36+#REF!</f>
        <v>#REF!</v>
      </c>
      <c r="N36" s="48"/>
      <c r="O36" s="48"/>
      <c r="P36" s="48">
        <f>АВГУСТ!P34+СЕНТЯБРЬ!P34+ОКТЯБРЬ!P34+НОЯБРЬ!P36+ДЕКАБРЬ!P36</f>
        <v>1</v>
      </c>
      <c r="Q36" s="48">
        <f>АВГУСТ!Q34+СЕНТЯБРЬ!Q34+ОКТЯБРЬ!Q34+НОЯБРЬ!Q36+ДЕКАБРЬ!Q36</f>
        <v>0</v>
      </c>
      <c r="R36" s="48">
        <f t="shared" si="18"/>
        <v>1</v>
      </c>
      <c r="S36" s="48">
        <f>АВГУСТ!S34+СЕНТЯБРЬ!S34+ОКТЯБРЬ!S34+НОЯБРЬ!S36+ДЕКАБРЬ!S36</f>
        <v>4548</v>
      </c>
      <c r="T36" s="48">
        <f>АВГУСТ!T34+СЕНТЯБРЬ!T34+ОКТЯБРЬ!T34+НОЯБРЬ!T36+ДЕКАБРЬ!T36</f>
        <v>0</v>
      </c>
      <c r="U36" s="48">
        <f t="shared" si="19"/>
        <v>4548</v>
      </c>
      <c r="V36" s="431">
        <f t="shared" si="30"/>
        <v>1.524578293866824E-2</v>
      </c>
      <c r="W36" s="48">
        <f>АВГУСТ!W34+СЕНТЯБРЬ!W34+ОКТЯБРЬ!W34+НОЯБРЬ!W36+ДЕКАБРЬ!W36</f>
        <v>552</v>
      </c>
      <c r="X36" s="48">
        <f>АВГУСТ!X34+СЕНТЯБРЬ!X34+ОКТЯБРЬ!X34+НОЯБРЬ!X36+ДЕКАБРЬ!X36</f>
        <v>1546.32</v>
      </c>
      <c r="Y36" s="431">
        <f t="shared" si="20"/>
        <v>0.33999999999999997</v>
      </c>
      <c r="Z36" s="48">
        <f>АВГУСТ!Z34+СЕНТЯБРЬ!Z34+ОКТЯБРЬ!Z34+НОЯБРЬ!Z36+ДЕКАБРЬ!Z36</f>
        <v>168</v>
      </c>
      <c r="AA36" s="48">
        <f>АВГУСТ!AA34+СЕНТЯБРЬ!AA34+ОКТЯБРЬ!AA34+НОЯБРЬ!AA36+ДЕКАБРЬ!AA36</f>
        <v>1709.0556700000002</v>
      </c>
      <c r="AB36" s="64"/>
      <c r="AC36" s="51"/>
      <c r="AD36" s="48">
        <f>АВГУСТ!AD34+СЕНТЯБРЬ!AD34+ОКТЯБРЬ!AD34+НОЯБРЬ!AD36+ДЕКАБРЬ!AD36</f>
        <v>45.480000000000004</v>
      </c>
      <c r="AE36" s="56">
        <f t="shared" si="21"/>
        <v>527.14433000000008</v>
      </c>
      <c r="AF36" s="55"/>
      <c r="AG36" s="57">
        <f t="shared" si="22"/>
        <v>4548</v>
      </c>
      <c r="AH36" s="58">
        <f t="shared" si="23"/>
        <v>552</v>
      </c>
      <c r="AI36" s="58">
        <f t="shared" si="24"/>
        <v>1546.32</v>
      </c>
      <c r="AJ36" s="58">
        <f t="shared" si="25"/>
        <v>168</v>
      </c>
      <c r="AK36" s="58">
        <f t="shared" si="26"/>
        <v>1709.0556700000002</v>
      </c>
      <c r="AL36" s="58">
        <f t="array" ref="AL36">_xlfn.IFS(R36=0,AE36,R36&lt;0,AE36/-R36,R36&gt;0,AE36/R36)</f>
        <v>527.14433000000008</v>
      </c>
      <c r="AM36" s="59">
        <f t="shared" si="27"/>
        <v>0.11590684476693054</v>
      </c>
      <c r="AN36" s="60">
        <f t="shared" si="28"/>
        <v>0.95497161231884076</v>
      </c>
      <c r="AP36" s="62">
        <f t="shared" si="29"/>
        <v>0</v>
      </c>
    </row>
    <row r="37" spans="1:42">
      <c r="A37" s="39">
        <v>2774712116</v>
      </c>
      <c r="B37" s="40" t="s">
        <v>62</v>
      </c>
      <c r="C37" s="41"/>
      <c r="D37" s="42"/>
      <c r="E37" s="42"/>
      <c r="F37" s="42"/>
      <c r="G37" s="43"/>
      <c r="H37" s="65">
        <v>687</v>
      </c>
      <c r="I37" s="63">
        <f t="shared" si="17"/>
        <v>0</v>
      </c>
      <c r="J37" s="45"/>
      <c r="K37" s="48">
        <f>АВГУСТ!K35+СЕНТЯБРЬ!K35+ОКТЯБРЬ!K35+НОЯБРЬ!K37+ДЕКАБРЬ!K37</f>
        <v>17</v>
      </c>
      <c r="L37" s="48" t="e">
        <f>'Юнит 01-07.12'!L37+'Юнит 08-14.12'!L37+'Юнит 15-21.12'!L37+'Юнит 22-31.12'!L37+#REF!</f>
        <v>#REF!</v>
      </c>
      <c r="M37" s="48" t="e">
        <f>'Юнит 01-07.12'!M37+'Юнит 08-14.12'!M37+'Юнит 15-21.12'!M37+'Юнит 22-31.12'!M37+#REF!</f>
        <v>#REF!</v>
      </c>
      <c r="N37" s="48"/>
      <c r="O37" s="48"/>
      <c r="P37" s="48">
        <f>АВГУСТ!P35+СЕНТЯБРЬ!P35+ОКТЯБРЬ!P35+НОЯБРЬ!P37+ДЕКАБРЬ!P37</f>
        <v>5</v>
      </c>
      <c r="Q37" s="48">
        <f>АВГУСТ!Q35+СЕНТЯБРЬ!Q35+ОКТЯБРЬ!Q35+НОЯБРЬ!Q37+ДЕКАБРЬ!Q37</f>
        <v>1</v>
      </c>
      <c r="R37" s="48">
        <f t="shared" si="18"/>
        <v>6</v>
      </c>
      <c r="S37" s="48">
        <f>АВГУСТ!S35+СЕНТЯБРЬ!S35+ОКТЯБРЬ!S35+НОЯБРЬ!S37+ДЕКАБРЬ!S37</f>
        <v>20260</v>
      </c>
      <c r="T37" s="48">
        <f>АВГУСТ!T35+СЕНТЯБРЬ!T35+ОКТЯБРЬ!T35+НОЯБРЬ!T37+ДЕКАБРЬ!T37</f>
        <v>-5500</v>
      </c>
      <c r="U37" s="48">
        <f t="shared" si="19"/>
        <v>14760</v>
      </c>
      <c r="V37" s="431">
        <f t="shared" si="30"/>
        <v>4.9478398455308534E-2</v>
      </c>
      <c r="W37" s="48">
        <f>АВГУСТ!W35+СЕНТЯБРЬ!W35+ОКТЯБРЬ!W35+НОЯБРЬ!W37+ДЕКАБРЬ!W37</f>
        <v>2748</v>
      </c>
      <c r="X37" s="48">
        <f>АВГУСТ!X35+СЕНТЯБРЬ!X35+ОКТЯБРЬ!X35+НОЯБРЬ!X37+ДЕКАБРЬ!X37</f>
        <v>3542.4</v>
      </c>
      <c r="Y37" s="431">
        <f t="shared" si="20"/>
        <v>0.24000000000000002</v>
      </c>
      <c r="Z37" s="48">
        <f>АВГУСТ!Z35+СЕНТЯБРЬ!Z35+ОКТЯБРЬ!Z35+НОЯБРЬ!Z37+ДЕКАБРЬ!Z37</f>
        <v>1680</v>
      </c>
      <c r="AA37" s="48">
        <f>АВГУСТ!AA35+СЕНТЯБРЬ!AA35+ОКТЯБРЬ!AA35+НОЯБРЬ!AA37+ДЕКАБРЬ!AA37</f>
        <v>10693.462484</v>
      </c>
      <c r="AB37" s="64"/>
      <c r="AC37" s="51"/>
      <c r="AD37" s="48">
        <f>АВГУСТ!AD35+СЕНТЯБРЬ!AD35+ОКТЯБРЬ!AD35+НОЯБРЬ!AD37+ДЕКАБРЬ!AD37</f>
        <v>147.6</v>
      </c>
      <c r="AE37" s="56">
        <f t="shared" si="21"/>
        <v>-4051.4624839999992</v>
      </c>
      <c r="AF37" s="55"/>
      <c r="AG37" s="57">
        <f t="shared" si="22"/>
        <v>2460</v>
      </c>
      <c r="AH37" s="58">
        <f t="shared" si="23"/>
        <v>687</v>
      </c>
      <c r="AI37" s="58">
        <f t="shared" si="24"/>
        <v>590.4</v>
      </c>
      <c r="AJ37" s="58">
        <f t="shared" si="25"/>
        <v>336</v>
      </c>
      <c r="AK37" s="58">
        <f t="shared" si="26"/>
        <v>2138.6924967999998</v>
      </c>
      <c r="AL37" s="58">
        <f t="array" ref="AL37">_xlfn.IFS(R37=0,AE37,R37&lt;0,AE37/-R37,R37&gt;0,AE37/R37)</f>
        <v>-675.2437473333332</v>
      </c>
      <c r="AM37" s="59">
        <f t="shared" si="27"/>
        <v>-0.27448932818428179</v>
      </c>
      <c r="AN37" s="60">
        <f t="shared" si="28"/>
        <v>-0.98288755070354183</v>
      </c>
      <c r="AP37" s="62">
        <f t="shared" si="29"/>
        <v>0</v>
      </c>
    </row>
    <row r="38" spans="1:42">
      <c r="A38" s="39">
        <v>2774719012</v>
      </c>
      <c r="B38" s="40" t="s">
        <v>239</v>
      </c>
      <c r="C38" s="41"/>
      <c r="D38" s="42"/>
      <c r="E38" s="42"/>
      <c r="F38" s="42"/>
      <c r="G38" s="43"/>
      <c r="H38" s="65">
        <v>687</v>
      </c>
      <c r="I38" s="63">
        <f t="shared" si="17"/>
        <v>0</v>
      </c>
      <c r="J38" s="45"/>
      <c r="K38" s="48">
        <f>АВГУСТ!K36+СЕНТЯБРЬ!K36+ОКТЯБРЬ!K36+НОЯБРЬ!K38+ДЕКАБРЬ!K38</f>
        <v>15</v>
      </c>
      <c r="L38" s="48" t="e">
        <f>'Юнит 01-07.12'!L38+'Юнит 08-14.12'!L38+'Юнит 15-21.12'!L38+'Юнит 22-31.12'!L38+#REF!</f>
        <v>#REF!</v>
      </c>
      <c r="M38" s="48" t="e">
        <f>'Юнит 01-07.12'!M38+'Юнит 08-14.12'!M38+'Юнит 15-21.12'!M38+'Юнит 22-31.12'!M38+#REF!</f>
        <v>#REF!</v>
      </c>
      <c r="N38" s="48"/>
      <c r="O38" s="48"/>
      <c r="P38" s="48">
        <f>АВГУСТ!P36+СЕНТЯБРЬ!P36+ОКТЯБРЬ!P36+НОЯБРЬ!P38+ДЕКАБРЬ!P38</f>
        <v>13</v>
      </c>
      <c r="Q38" s="48">
        <f>АВГУСТ!Q36+СЕНТЯБРЬ!Q36+ОКТЯБРЬ!Q36+НОЯБРЬ!Q38+ДЕКАБРЬ!Q38</f>
        <v>1</v>
      </c>
      <c r="R38" s="48">
        <f t="shared" si="18"/>
        <v>14</v>
      </c>
      <c r="S38" s="48">
        <f>АВГУСТ!S36+СЕНТЯБРЬ!S36+ОКТЯБРЬ!S36+НОЯБРЬ!S38+ДЕКАБРЬ!S38</f>
        <v>56550</v>
      </c>
      <c r="T38" s="48">
        <f>АВГУСТ!T36+СЕНТЯБРЬ!T36+ОКТЯБРЬ!T36+НОЯБРЬ!T38+ДЕКАБРЬ!T38</f>
        <v>-4548</v>
      </c>
      <c r="U38" s="48">
        <f t="shared" si="19"/>
        <v>52002</v>
      </c>
      <c r="V38" s="431">
        <f t="shared" si="30"/>
        <v>0.17432084528949557</v>
      </c>
      <c r="W38" s="48">
        <f>АВГУСТ!W36+СЕНТЯБРЬ!W36+ОКТЯБРЬ!W36+НОЯБРЬ!W38+ДЕКАБРЬ!W38</f>
        <v>9618</v>
      </c>
      <c r="X38" s="48">
        <f>АВГУСТ!X36+СЕНТЯБРЬ!X36+ОКТЯБРЬ!X36+НОЯБРЬ!X38+ДЕКАБРЬ!X38</f>
        <v>17483.280000000002</v>
      </c>
      <c r="Y38" s="431">
        <f t="shared" si="20"/>
        <v>0.33620399215414798</v>
      </c>
      <c r="Z38" s="48">
        <f>АВГУСТ!Z36+СЕНТЯБРЬ!Z36+ОКТЯБРЬ!Z36+НОЯБРЬ!Z38+ДЕКАБРЬ!Z38</f>
        <v>1793.88</v>
      </c>
      <c r="AA38" s="48">
        <f>АВГУСТ!AA36+СЕНТЯБРЬ!AA36+ОКТЯБРЬ!AA36+НОЯБРЬ!AA38+ДЕКАБРЬ!AA38</f>
        <v>20973.835772999999</v>
      </c>
      <c r="AB38" s="64"/>
      <c r="AC38" s="51"/>
      <c r="AD38" s="48">
        <f>АВГУСТ!AD36+СЕНТЯБРЬ!AD36+ОКТЯБРЬ!AD36+НОЯБРЬ!AD38+ДЕКАБРЬ!AD38</f>
        <v>520.02</v>
      </c>
      <c r="AE38" s="56">
        <f t="shared" si="21"/>
        <v>1612.9842269999976</v>
      </c>
      <c r="AF38" s="55"/>
      <c r="AG38" s="57">
        <f t="shared" si="22"/>
        <v>3714.4285714285716</v>
      </c>
      <c r="AH38" s="58">
        <f t="shared" si="23"/>
        <v>687</v>
      </c>
      <c r="AI38" s="58">
        <f t="shared" si="24"/>
        <v>1248.8057142857144</v>
      </c>
      <c r="AJ38" s="58">
        <f t="shared" si="25"/>
        <v>137.99076923076925</v>
      </c>
      <c r="AK38" s="58">
        <f t="shared" si="26"/>
        <v>1613.3719825384615</v>
      </c>
      <c r="AL38" s="58">
        <f t="array" ref="AL38">_xlfn.IFS(R38=0,AE38,R38&lt;0,AE38/-R38,R38&gt;0,AE38/R38)</f>
        <v>115.21315907142841</v>
      </c>
      <c r="AM38" s="59">
        <f t="shared" si="27"/>
        <v>3.1017734452521012E-2</v>
      </c>
      <c r="AN38" s="60">
        <f t="shared" si="28"/>
        <v>0.16770474391765416</v>
      </c>
      <c r="AP38" s="62">
        <f t="shared" si="29"/>
        <v>0</v>
      </c>
    </row>
    <row r="39" spans="1:42">
      <c r="A39" s="39">
        <v>2774719433</v>
      </c>
      <c r="B39" s="40" t="s">
        <v>240</v>
      </c>
      <c r="C39" s="41"/>
      <c r="D39" s="42"/>
      <c r="E39" s="42"/>
      <c r="F39" s="42"/>
      <c r="G39" s="43"/>
      <c r="H39" s="65">
        <v>597</v>
      </c>
      <c r="I39" s="63">
        <f t="shared" si="17"/>
        <v>0</v>
      </c>
      <c r="J39" s="45"/>
      <c r="K39" s="48">
        <f>АВГУСТ!K37+СЕНТЯБРЬ!K37+ОКТЯБРЬ!K37+НОЯБРЬ!K39+ДЕКАБРЬ!K39</f>
        <v>9</v>
      </c>
      <c r="L39" s="48" t="e">
        <f>'Юнит 01-07.12'!L39+'Юнит 08-14.12'!L39+'Юнит 15-21.12'!L39+'Юнит 22-31.12'!L39+#REF!</f>
        <v>#REF!</v>
      </c>
      <c r="M39" s="48" t="e">
        <f>'Юнит 01-07.12'!M39+'Юнит 08-14.12'!M39+'Юнит 15-21.12'!M39+'Юнит 22-31.12'!M39+#REF!</f>
        <v>#REF!</v>
      </c>
      <c r="N39" s="48"/>
      <c r="O39" s="48"/>
      <c r="P39" s="48">
        <f>АВГУСТ!P37+СЕНТЯБРЬ!P37+ОКТЯБРЬ!P37+НОЯБРЬ!P39+ДЕКАБРЬ!P39</f>
        <v>4</v>
      </c>
      <c r="Q39" s="48">
        <f>АВГУСТ!Q37+СЕНТЯБРЬ!Q37+ОКТЯБРЬ!Q37+НОЯБРЬ!Q39+ДЕКАБРЬ!Q39</f>
        <v>1</v>
      </c>
      <c r="R39" s="48">
        <f t="shared" si="18"/>
        <v>5</v>
      </c>
      <c r="S39" s="48">
        <f>АВГУСТ!S37+СЕНТЯБРЬ!S37+ОКТЯБРЬ!S37+НОЯБРЬ!S39+ДЕКАБРЬ!S39</f>
        <v>20100</v>
      </c>
      <c r="T39" s="48">
        <f>АВГУСТ!T37+СЕНТЯБРЬ!T37+ОКТЯБРЬ!T37+НОЯБРЬ!T39+ДЕКАБРЬ!T39</f>
        <v>-5500</v>
      </c>
      <c r="U39" s="48">
        <f t="shared" si="19"/>
        <v>14600</v>
      </c>
      <c r="V39" s="431">
        <f t="shared" si="30"/>
        <v>4.8942047252540963E-2</v>
      </c>
      <c r="W39" s="48">
        <f>АВГУСТ!W37+СЕНТЯБРЬ!W37+ОКТЯБРЬ!W37+НОЯБРЬ!W39+ДЕКАБРЬ!W39</f>
        <v>1791</v>
      </c>
      <c r="X39" s="48">
        <f>АВГУСТ!X37+СЕНТЯБРЬ!X37+ОКТЯБРЬ!X37+НОЯБРЬ!X39+ДЕКАБРЬ!X39</f>
        <v>5594</v>
      </c>
      <c r="Y39" s="431">
        <f t="shared" si="20"/>
        <v>0.38315068493150684</v>
      </c>
      <c r="Z39" s="48">
        <f>АВГУСТ!Z37+СЕНТЯБРЬ!Z37+ОКТЯБРЬ!Z37+НОЯБРЬ!Z39+ДЕКАБРЬ!Z39</f>
        <v>1257.06</v>
      </c>
      <c r="AA39" s="48">
        <f>АВГУСТ!AA37+СЕНТЯБРЬ!AA37+ОКТЯБРЬ!AA37+НОЯБРЬ!AA39+ДЕКАБРЬ!AA39</f>
        <v>6761.8646669999998</v>
      </c>
      <c r="AB39" s="64"/>
      <c r="AC39" s="51"/>
      <c r="AD39" s="48">
        <f>АВГУСТ!AD37+СЕНТЯБРЬ!AD37+ОКТЯБРЬ!AD37+НОЯБРЬ!AD39+ДЕКАБРЬ!AD39</f>
        <v>146</v>
      </c>
      <c r="AE39" s="56">
        <f t="shared" si="21"/>
        <v>-949.92466699999932</v>
      </c>
      <c r="AF39" s="55"/>
      <c r="AG39" s="57">
        <f t="shared" si="22"/>
        <v>2920</v>
      </c>
      <c r="AH39" s="58">
        <f t="shared" si="23"/>
        <v>597</v>
      </c>
      <c r="AI39" s="58">
        <f t="shared" si="24"/>
        <v>1118.8</v>
      </c>
      <c r="AJ39" s="58">
        <f t="shared" si="25"/>
        <v>314.26499999999999</v>
      </c>
      <c r="AK39" s="58">
        <f t="shared" si="26"/>
        <v>1690.46616675</v>
      </c>
      <c r="AL39" s="58">
        <f t="array" ref="AL39">_xlfn.IFS(R39=0,AE39,R39&lt;0,AE39/-R39,R39&gt;0,AE39/R39)</f>
        <v>-189.98493339999987</v>
      </c>
      <c r="AM39" s="59">
        <f t="shared" si="27"/>
        <v>-6.5063333356164335E-2</v>
      </c>
      <c r="AN39" s="60">
        <f t="shared" si="28"/>
        <v>-0.31823271926298136</v>
      </c>
      <c r="AP39" s="62">
        <f t="shared" si="29"/>
        <v>0</v>
      </c>
    </row>
    <row r="40" spans="1:42">
      <c r="A40" s="39">
        <v>2774719029</v>
      </c>
      <c r="B40" s="40" t="s">
        <v>241</v>
      </c>
      <c r="C40" s="41"/>
      <c r="D40" s="42"/>
      <c r="E40" s="42"/>
      <c r="F40" s="42"/>
      <c r="G40" s="43"/>
      <c r="H40" s="65">
        <v>597</v>
      </c>
      <c r="I40" s="63">
        <f t="shared" si="17"/>
        <v>0</v>
      </c>
      <c r="J40" s="45"/>
      <c r="K40" s="48">
        <f>АВГУСТ!K38+СЕНТЯБРЬ!K38+ОКТЯБРЬ!K38+НОЯБРЬ!K40+ДЕКАБРЬ!K40</f>
        <v>4</v>
      </c>
      <c r="L40" s="48" t="e">
        <f>'Юнит 01-07.12'!L40+'Юнит 08-14.12'!L40+'Юнит 15-21.12'!L40+'Юнит 22-31.12'!L40+#REF!</f>
        <v>#REF!</v>
      </c>
      <c r="M40" s="48" t="e">
        <f>'Юнит 01-07.12'!M40+'Юнит 08-14.12'!M40+'Юнит 15-21.12'!M40+'Юнит 22-31.12'!M40+#REF!</f>
        <v>#REF!</v>
      </c>
      <c r="N40" s="48"/>
      <c r="O40" s="48"/>
      <c r="P40" s="48">
        <f>АВГУСТ!P38+СЕНТЯБРЬ!P38+ОКТЯБРЬ!P38+НОЯБРЬ!P40+ДЕКАБРЬ!P40</f>
        <v>0</v>
      </c>
      <c r="Q40" s="48">
        <f>АВГУСТ!Q38+СЕНТЯБРЬ!Q38+ОКТЯБРЬ!Q38+НОЯБРЬ!Q40+ДЕКАБРЬ!Q40</f>
        <v>0</v>
      </c>
      <c r="R40" s="48">
        <f t="shared" si="18"/>
        <v>0</v>
      </c>
      <c r="S40" s="48">
        <f>АВГУСТ!S38+СЕНТЯБРЬ!S38+ОКТЯБРЬ!S38+НОЯБРЬ!S40+ДЕКАБРЬ!S40</f>
        <v>0</v>
      </c>
      <c r="T40" s="48">
        <f>АВГУСТ!T38+СЕНТЯБРЬ!T38+ОКТЯБРЬ!T38+НОЯБРЬ!T40+ДЕКАБРЬ!T40</f>
        <v>0</v>
      </c>
      <c r="U40" s="48">
        <f t="shared" si="19"/>
        <v>0</v>
      </c>
      <c r="V40" s="431">
        <f t="shared" si="30"/>
        <v>0</v>
      </c>
      <c r="W40" s="48">
        <f>АВГУСТ!W38+СЕНТЯБРЬ!W38+ОКТЯБРЬ!W38+НОЯБРЬ!W40+ДЕКАБРЬ!W40</f>
        <v>0</v>
      </c>
      <c r="X40" s="48">
        <f>АВГУСТ!X38+СЕНТЯБРЬ!X38+ОКТЯБРЬ!X38+НОЯБРЬ!X40+ДЕКАБРЬ!X40</f>
        <v>0</v>
      </c>
      <c r="Y40" s="431" t="e">
        <f t="shared" si="20"/>
        <v>#DIV/0!</v>
      </c>
      <c r="Z40" s="48">
        <f>АВГУСТ!Z38+СЕНТЯБРЬ!Z38+ОКТЯБРЬ!Z38+НОЯБРЬ!Z40+ДЕКАБРЬ!Z40</f>
        <v>448</v>
      </c>
      <c r="AA40" s="48">
        <f>АВГУСТ!AA38+СЕНТЯБРЬ!AA38+ОКТЯБРЬ!AA38+НОЯБРЬ!AA40+ДЕКАБРЬ!AA40</f>
        <v>0</v>
      </c>
      <c r="AB40" s="64"/>
      <c r="AC40" s="51"/>
      <c r="AD40" s="48">
        <f>АВГУСТ!AD38+СЕНТЯБРЬ!AD38+ОКТЯБРЬ!AD38+НОЯБРЬ!AD40+ДЕКАБРЬ!AD40</f>
        <v>0</v>
      </c>
      <c r="AE40" s="56">
        <f t="shared" si="21"/>
        <v>-448</v>
      </c>
      <c r="AF40" s="55"/>
      <c r="AG40" s="57">
        <f t="shared" si="22"/>
        <v>0</v>
      </c>
      <c r="AH40" s="58">
        <f t="shared" si="23"/>
        <v>597</v>
      </c>
      <c r="AI40" s="58">
        <f t="shared" si="24"/>
        <v>0</v>
      </c>
      <c r="AJ40" s="58">
        <f t="shared" si="25"/>
        <v>448</v>
      </c>
      <c r="AK40" s="58">
        <f t="shared" si="26"/>
        <v>0</v>
      </c>
      <c r="AL40" s="58">
        <f t="array" ref="AL40">_xlfn.IFS(R40=0,AE40,R40&lt;0,AE40/-R40,R40&gt;0,AE40/R40)</f>
        <v>-448</v>
      </c>
      <c r="AM40" s="59">
        <f t="shared" si="27"/>
        <v>0</v>
      </c>
      <c r="AN40" s="60">
        <f t="shared" si="28"/>
        <v>-0.75041876046901168</v>
      </c>
      <c r="AP40" s="62">
        <f t="shared" si="29"/>
        <v>0</v>
      </c>
    </row>
    <row r="41" spans="1:42">
      <c r="A41" s="39">
        <v>2774719553</v>
      </c>
      <c r="B41" s="40" t="s">
        <v>242</v>
      </c>
      <c r="C41" s="41"/>
      <c r="D41" s="42"/>
      <c r="E41" s="42"/>
      <c r="F41" s="42"/>
      <c r="G41" s="43"/>
      <c r="H41" s="65">
        <v>597</v>
      </c>
      <c r="I41" s="63">
        <f t="shared" si="17"/>
        <v>0</v>
      </c>
      <c r="J41" s="45"/>
      <c r="K41" s="48">
        <f>АВГУСТ!K39+СЕНТЯБРЬ!K39+ОКТЯБРЬ!K39+НОЯБРЬ!K41+ДЕКАБРЬ!K41</f>
        <v>3</v>
      </c>
      <c r="L41" s="48" t="e">
        <f>'Юнит 01-07.12'!L41+'Юнит 08-14.12'!L41+'Юнит 15-21.12'!L41+'Юнит 22-31.12'!L41+#REF!</f>
        <v>#REF!</v>
      </c>
      <c r="M41" s="48" t="e">
        <f>'Юнит 01-07.12'!M41+'Юнит 08-14.12'!M41+'Юнит 15-21.12'!M41+'Юнит 22-31.12'!M41+#REF!</f>
        <v>#REF!</v>
      </c>
      <c r="N41" s="48"/>
      <c r="O41" s="48"/>
      <c r="P41" s="48">
        <f>АВГУСТ!P39+СЕНТЯБРЬ!P39+ОКТЯБРЬ!P39+НОЯБРЬ!P41+ДЕКАБРЬ!P41</f>
        <v>2</v>
      </c>
      <c r="Q41" s="48">
        <f>АВГУСТ!Q39+СЕНТЯБРЬ!Q39+ОКТЯБРЬ!Q39+НОЯБРЬ!Q41+ДЕКАБРЬ!Q41</f>
        <v>1</v>
      </c>
      <c r="R41" s="48">
        <f t="shared" si="18"/>
        <v>3</v>
      </c>
      <c r="S41" s="48">
        <f>АВГУСТ!S39+СЕНТЯБРЬ!S39+ОКТЯБРЬ!S39+НОЯБРЬ!S41+ДЕКАБРЬ!S41</f>
        <v>6869</v>
      </c>
      <c r="T41" s="48">
        <f>АВГУСТ!T39+СЕНТЯБРЬ!T39+ОКТЯБРЬ!T39+НОЯБРЬ!T41+ДЕКАБРЬ!T41</f>
        <v>-4549</v>
      </c>
      <c r="U41" s="48">
        <f t="shared" si="19"/>
        <v>2320</v>
      </c>
      <c r="V41" s="431">
        <f t="shared" si="30"/>
        <v>7.7770924401297974E-3</v>
      </c>
      <c r="W41" s="48">
        <f>АВГУСТ!W39+СЕНТЯБРЬ!W39+ОКТЯБРЬ!W39+НОЯБРЬ!W41+ДЕКАБРЬ!W41</f>
        <v>597</v>
      </c>
      <c r="X41" s="48">
        <f>АВГУСТ!X39+СЕНТЯБРЬ!X39+ОКТЯБРЬ!X39+НОЯБРЬ!X41+ДЕКАБРЬ!X41</f>
        <v>997.6</v>
      </c>
      <c r="Y41" s="431">
        <f t="shared" si="20"/>
        <v>0.43</v>
      </c>
      <c r="Z41" s="48">
        <f>АВГУСТ!Z39+СЕНТЯБРЬ!Z39+ОКТЯБРЬ!Z39+НОЯБРЬ!Z41+ДЕКАБРЬ!Z41</f>
        <v>378.03999999999996</v>
      </c>
      <c r="AA41" s="48">
        <f>АВГУСТ!AA39+СЕНТЯБРЬ!AA39+ОКТЯБРЬ!AA39+НОЯБРЬ!AA41+ДЕКАБРЬ!AA41</f>
        <v>0</v>
      </c>
      <c r="AB41" s="64"/>
      <c r="AC41" s="51"/>
      <c r="AD41" s="48">
        <f>АВГУСТ!AD39+СЕНТЯБРЬ!AD39+ОКТЯБРЬ!AD39+НОЯБРЬ!AD41+ДЕКАБРЬ!AD41</f>
        <v>23.2</v>
      </c>
      <c r="AE41" s="56">
        <f t="shared" si="21"/>
        <v>324.16000000000003</v>
      </c>
      <c r="AF41" s="55"/>
      <c r="AG41" s="57">
        <f t="shared" si="22"/>
        <v>773.33333333333337</v>
      </c>
      <c r="AH41" s="58">
        <f t="shared" si="23"/>
        <v>597</v>
      </c>
      <c r="AI41" s="58">
        <f t="shared" si="24"/>
        <v>332.53333333333336</v>
      </c>
      <c r="AJ41" s="58">
        <f t="shared" si="25"/>
        <v>189.01999999999998</v>
      </c>
      <c r="AK41" s="58">
        <f t="shared" si="26"/>
        <v>0</v>
      </c>
      <c r="AL41" s="58">
        <f t="array" ref="AL41">_xlfn.IFS(R41=0,AE41,R41&lt;0,AE41/-R41,R41&gt;0,AE41/R41)</f>
        <v>108.05333333333334</v>
      </c>
      <c r="AM41" s="59">
        <f t="shared" si="27"/>
        <v>0.1397241379310345</v>
      </c>
      <c r="AN41" s="60">
        <f t="shared" si="28"/>
        <v>0.18099385817978783</v>
      </c>
      <c r="AP41" s="62">
        <f t="shared" si="29"/>
        <v>0</v>
      </c>
    </row>
    <row r="42" spans="1:42">
      <c r="A42" s="39">
        <v>2774710913</v>
      </c>
      <c r="B42" s="40" t="s">
        <v>243</v>
      </c>
      <c r="C42" s="41"/>
      <c r="D42" s="42"/>
      <c r="E42" s="42"/>
      <c r="F42" s="42"/>
      <c r="G42" s="43"/>
      <c r="H42" s="65">
        <v>642</v>
      </c>
      <c r="I42" s="63">
        <f t="shared" si="17"/>
        <v>0</v>
      </c>
      <c r="J42" s="45"/>
      <c r="K42" s="48">
        <f>АВГУСТ!K40+СЕНТЯБРЬ!K40+ОКТЯБРЬ!K40+НОЯБРЬ!K42+ДЕКАБРЬ!K42</f>
        <v>5</v>
      </c>
      <c r="L42" s="48" t="e">
        <f>'Юнит 01-07.12'!L42+'Юнит 08-14.12'!L42+'Юнит 15-21.12'!L42+'Юнит 22-31.12'!L42+#REF!</f>
        <v>#REF!</v>
      </c>
      <c r="M42" s="48" t="e">
        <f>'Юнит 01-07.12'!M42+'Юнит 08-14.12'!M42+'Юнит 15-21.12'!M42+'Юнит 22-31.12'!M42+#REF!</f>
        <v>#REF!</v>
      </c>
      <c r="N42" s="48"/>
      <c r="O42" s="48"/>
      <c r="P42" s="48">
        <f>АВГУСТ!P40+СЕНТЯБРЬ!P40+ОКТЯБРЬ!P40+НОЯБРЬ!P42+ДЕКАБРЬ!P42</f>
        <v>0</v>
      </c>
      <c r="Q42" s="48">
        <f>АВГУСТ!Q40+СЕНТЯБРЬ!Q40+ОКТЯБРЬ!Q40+НОЯБРЬ!Q42+ДЕКАБРЬ!Q42</f>
        <v>0</v>
      </c>
      <c r="R42" s="48">
        <f t="shared" si="18"/>
        <v>0</v>
      </c>
      <c r="S42" s="48">
        <f>АВГУСТ!S40+СЕНТЯБРЬ!S40+ОКТЯБРЬ!S40+НОЯБРЬ!S42+ДЕКАБРЬ!S42</f>
        <v>0</v>
      </c>
      <c r="T42" s="48">
        <f>АВГУСТ!T40+СЕНТЯБРЬ!T40+ОКТЯБРЬ!T40+НОЯБРЬ!T42+ДЕКАБРЬ!T42</f>
        <v>0</v>
      </c>
      <c r="U42" s="48">
        <f t="shared" si="19"/>
        <v>0</v>
      </c>
      <c r="V42" s="431">
        <f t="shared" si="30"/>
        <v>0</v>
      </c>
      <c r="W42" s="48">
        <f>АВГУСТ!W40+СЕНТЯБРЬ!W40+ОКТЯБРЬ!W40+НОЯБРЬ!W42+ДЕКАБРЬ!W42</f>
        <v>0</v>
      </c>
      <c r="X42" s="48">
        <f>АВГУСТ!X40+СЕНТЯБРЬ!X40+ОКТЯБРЬ!X40+НОЯБРЬ!X42+ДЕКАБРЬ!X42</f>
        <v>0</v>
      </c>
      <c r="Y42" s="431" t="e">
        <f t="shared" si="20"/>
        <v>#DIV/0!</v>
      </c>
      <c r="Z42" s="48">
        <f>АВГУСТ!Z40+СЕНТЯБРЬ!Z40+ОКТЯБРЬ!Z40+НОЯБРЬ!Z42+ДЕКАБРЬ!Z42</f>
        <v>448</v>
      </c>
      <c r="AA42" s="48">
        <f>АВГУСТ!AA40+СЕНТЯБРЬ!AA40+ОКТЯБРЬ!AA40+НОЯБРЬ!AA42+ДЕКАБРЬ!AA42</f>
        <v>3993.3456660000002</v>
      </c>
      <c r="AB42" s="64"/>
      <c r="AC42" s="51"/>
      <c r="AD42" s="48">
        <f>АВГУСТ!AD40+СЕНТЯБРЬ!AD40+ОКТЯБРЬ!AD40+НОЯБРЬ!AD42+ДЕКАБРЬ!AD42</f>
        <v>0</v>
      </c>
      <c r="AE42" s="56">
        <f t="shared" si="21"/>
        <v>-4441.3456660000002</v>
      </c>
      <c r="AF42" s="55"/>
      <c r="AG42" s="57">
        <f t="shared" si="22"/>
        <v>0</v>
      </c>
      <c r="AH42" s="58">
        <f t="shared" si="23"/>
        <v>642</v>
      </c>
      <c r="AI42" s="58">
        <f t="shared" si="24"/>
        <v>0</v>
      </c>
      <c r="AJ42" s="58">
        <f t="shared" si="25"/>
        <v>448</v>
      </c>
      <c r="AK42" s="58">
        <f t="shared" si="26"/>
        <v>0</v>
      </c>
      <c r="AL42" s="58">
        <f t="array" ref="AL42">_xlfn.IFS(R42=0,AE42,R42&lt;0,AE42/-R42,R42&gt;0,AE42/R42)</f>
        <v>-4441.3456660000002</v>
      </c>
      <c r="AM42" s="59">
        <f t="shared" si="27"/>
        <v>0</v>
      </c>
      <c r="AN42" s="60">
        <f t="shared" si="28"/>
        <v>-6.9179839034267916</v>
      </c>
      <c r="AP42" s="62">
        <f t="shared" si="29"/>
        <v>0</v>
      </c>
    </row>
    <row r="43" spans="1:42">
      <c r="A43" s="39">
        <v>2774721668</v>
      </c>
      <c r="B43" s="40" t="s">
        <v>771</v>
      </c>
      <c r="C43" s="41"/>
      <c r="D43" s="42"/>
      <c r="E43" s="42"/>
      <c r="F43" s="42"/>
      <c r="G43" s="43"/>
      <c r="H43" s="65">
        <v>642</v>
      </c>
      <c r="I43" s="63">
        <f t="shared" si="17"/>
        <v>0</v>
      </c>
      <c r="J43" s="45"/>
      <c r="K43" s="48">
        <f>АВГУСТ!K41+СЕНТЯБРЬ!K41+ОКТЯБРЬ!K41+НОЯБРЬ!K43+ДЕКАБРЬ!K43</f>
        <v>2</v>
      </c>
      <c r="L43" s="48" t="e">
        <f>'Юнит 01-07.12'!L43+'Юнит 08-14.12'!L43+'Юнит 15-21.12'!L43+'Юнит 22-31.12'!L43+#REF!</f>
        <v>#REF!</v>
      </c>
      <c r="M43" s="48" t="e">
        <f>'Юнит 01-07.12'!M43+'Юнит 08-14.12'!M43+'Юнит 15-21.12'!M43+'Юнит 22-31.12'!M43+#REF!</f>
        <v>#REF!</v>
      </c>
      <c r="N43" s="48"/>
      <c r="O43" s="48"/>
      <c r="P43" s="48">
        <f>АВГУСТ!P41+СЕНТЯБРЬ!P41+ОКТЯБРЬ!P41+НОЯБРЬ!P43+ДЕКАБРЬ!P43</f>
        <v>0</v>
      </c>
      <c r="Q43" s="48">
        <f>АВГУСТ!Q41+СЕНТЯБРЬ!Q41+ОКТЯБРЬ!Q41+НОЯБРЬ!Q43+ДЕКАБРЬ!Q43</f>
        <v>0</v>
      </c>
      <c r="R43" s="48">
        <f t="shared" si="18"/>
        <v>0</v>
      </c>
      <c r="S43" s="48">
        <f>АВГУСТ!S41+СЕНТЯБРЬ!S41+ОКТЯБРЬ!S41+НОЯБРЬ!S43+ДЕКАБРЬ!S43</f>
        <v>0</v>
      </c>
      <c r="T43" s="48">
        <f>АВГУСТ!T41+СЕНТЯБРЬ!T41+ОКТЯБРЬ!T41+НОЯБРЬ!T43+ДЕКАБРЬ!T43</f>
        <v>0</v>
      </c>
      <c r="U43" s="48">
        <f t="shared" si="19"/>
        <v>0</v>
      </c>
      <c r="V43" s="431">
        <f t="shared" si="30"/>
        <v>0</v>
      </c>
      <c r="W43" s="48">
        <f>АВГУСТ!W41+СЕНТЯБРЬ!W41+ОКТЯБРЬ!W41+НОЯБРЬ!W43+ДЕКАБРЬ!W43</f>
        <v>0</v>
      </c>
      <c r="X43" s="48">
        <f>АВГУСТ!X41+СЕНТЯБРЬ!X41+ОКТЯБРЬ!X41+НОЯБРЬ!X43+ДЕКАБРЬ!X43</f>
        <v>0</v>
      </c>
      <c r="Y43" s="431" t="e">
        <f t="shared" si="20"/>
        <v>#DIV/0!</v>
      </c>
      <c r="Z43" s="48">
        <f>АВГУСТ!Z41+СЕНТЯБРЬ!Z41+ОКТЯБРЬ!Z41+НОЯБРЬ!Z43+ДЕКАБРЬ!Z43</f>
        <v>224</v>
      </c>
      <c r="AA43" s="48">
        <f>АВГУСТ!AA41+СЕНТЯБРЬ!AA41+ОКТЯБРЬ!AA41+НОЯБРЬ!AA43+ДЕКАБРЬ!AA43</f>
        <v>0</v>
      </c>
      <c r="AB43" s="64"/>
      <c r="AC43" s="51"/>
      <c r="AD43" s="48">
        <f>АВГУСТ!AD41+СЕНТЯБРЬ!AD41+ОКТЯБРЬ!AD41+НОЯБРЬ!AD43+ДЕКАБРЬ!AD43</f>
        <v>0</v>
      </c>
      <c r="AE43" s="56">
        <f t="shared" si="21"/>
        <v>-224</v>
      </c>
      <c r="AF43" s="55"/>
      <c r="AG43" s="57">
        <f t="shared" si="22"/>
        <v>0</v>
      </c>
      <c r="AH43" s="58">
        <f t="shared" si="23"/>
        <v>642</v>
      </c>
      <c r="AI43" s="58">
        <f t="shared" si="24"/>
        <v>0</v>
      </c>
      <c r="AJ43" s="58">
        <f t="shared" si="25"/>
        <v>224</v>
      </c>
      <c r="AK43" s="58">
        <f t="shared" si="26"/>
        <v>0</v>
      </c>
      <c r="AL43" s="58">
        <f t="array" ref="AL43">_xlfn.IFS(R43=0,AE43,R43&lt;0,AE43/-R43,R43&gt;0,AE43/R43)</f>
        <v>-224</v>
      </c>
      <c r="AM43" s="59">
        <f t="shared" si="27"/>
        <v>0</v>
      </c>
      <c r="AN43" s="60">
        <f t="shared" si="28"/>
        <v>-0.34890965732087226</v>
      </c>
      <c r="AP43" s="62">
        <f t="shared" si="29"/>
        <v>0</v>
      </c>
    </row>
    <row r="44" spans="1:42">
      <c r="A44" s="39">
        <v>2774722656</v>
      </c>
      <c r="B44" s="40" t="s">
        <v>51</v>
      </c>
      <c r="C44" s="41"/>
      <c r="D44" s="42"/>
      <c r="E44" s="42"/>
      <c r="F44" s="42"/>
      <c r="G44" s="43"/>
      <c r="H44" s="65">
        <v>687</v>
      </c>
      <c r="I44" s="63">
        <f t="shared" si="17"/>
        <v>0</v>
      </c>
      <c r="J44" s="45"/>
      <c r="K44" s="48">
        <f>АВГУСТ!K42+СЕНТЯБРЬ!K42+ОКТЯБРЬ!K42+НОЯБРЬ!K44+ДЕКАБРЬ!K44</f>
        <v>40</v>
      </c>
      <c r="L44" s="48" t="e">
        <f>'Юнит 01-07.12'!L44+'Юнит 08-14.12'!L44+'Юнит 15-21.12'!L44+'Юнит 22-31.12'!L44+#REF!</f>
        <v>#REF!</v>
      </c>
      <c r="M44" s="48" t="e">
        <f>'Юнит 01-07.12'!M44+'Юнит 08-14.12'!M44+'Юнит 15-21.12'!M44+'Юнит 22-31.12'!M44+#REF!</f>
        <v>#REF!</v>
      </c>
      <c r="N44" s="48"/>
      <c r="O44" s="48"/>
      <c r="P44" s="48">
        <f>АВГУСТ!P42+СЕНТЯБРЬ!P42+ОКТЯБРЬ!P42+НОЯБРЬ!P44+ДЕКАБРЬ!P44</f>
        <v>13</v>
      </c>
      <c r="Q44" s="48">
        <f>АВГУСТ!Q42+СЕНТЯБРЬ!Q42+ОКТЯБРЬ!Q42+НОЯБРЬ!Q44+ДЕКАБРЬ!Q44</f>
        <v>2</v>
      </c>
      <c r="R44" s="48">
        <f t="shared" si="18"/>
        <v>15</v>
      </c>
      <c r="S44" s="48">
        <f>АВГУСТ!S42+СЕНТЯБРЬ!S42+ОКТЯБРЬ!S42+НОЯБРЬ!S44+ДЕКАБРЬ!S44</f>
        <v>45690</v>
      </c>
      <c r="T44" s="48">
        <f>АВГУСТ!T42+СЕНТЯБРЬ!T42+ОКТЯБРЬ!T42+НОЯБРЬ!T44+ДЕКАБРЬ!T44</f>
        <v>-6300</v>
      </c>
      <c r="U44" s="48">
        <f t="shared" si="19"/>
        <v>39390</v>
      </c>
      <c r="V44" s="431">
        <f t="shared" si="30"/>
        <v>0.1320429617313417</v>
      </c>
      <c r="W44" s="48">
        <f>АВГУСТ!W42+СЕНТЯБРЬ!W42+ОКТЯБРЬ!W42+НОЯБРЬ!W44+ДЕКАБРЬ!W44</f>
        <v>10305</v>
      </c>
      <c r="X44" s="48">
        <f>АВГУСТ!X42+СЕНТЯБРЬ!X42+ОКТЯБРЬ!X42+НОЯБРЬ!X44+ДЕКАБРЬ!X44</f>
        <v>10777.2</v>
      </c>
      <c r="Y44" s="431">
        <f t="shared" si="20"/>
        <v>0.27360243716679361</v>
      </c>
      <c r="Z44" s="48">
        <f>АВГУСТ!Z42+СЕНТЯБРЬ!Z42+ОКТЯБРЬ!Z42+НОЯБРЬ!Z44+ДЕКАБРЬ!Z44</f>
        <v>3640</v>
      </c>
      <c r="AA44" s="48">
        <f>АВГУСТ!AA42+СЕНТЯБРЬ!AA42+ОКТЯБРЬ!AA42+НОЯБРЬ!AA44+ДЕКАБРЬ!AA44</f>
        <v>10885.391029999999</v>
      </c>
      <c r="AB44" s="64"/>
      <c r="AC44" s="51"/>
      <c r="AD44" s="48">
        <f>АВГУСТ!AD42+СЕНТЯБРЬ!AD42+ОКТЯБРЬ!AD42+НОЯБРЬ!AD44+ДЕКАБРЬ!AD44</f>
        <v>393.90000000000003</v>
      </c>
      <c r="AE44" s="56">
        <f t="shared" si="21"/>
        <v>3388.5089700000003</v>
      </c>
      <c r="AF44" s="55"/>
      <c r="AG44" s="57">
        <f t="shared" si="22"/>
        <v>2626</v>
      </c>
      <c r="AH44" s="58">
        <f t="shared" si="23"/>
        <v>687</v>
      </c>
      <c r="AI44" s="58">
        <f t="shared" si="24"/>
        <v>718.48</v>
      </c>
      <c r="AJ44" s="58">
        <f t="shared" si="25"/>
        <v>280</v>
      </c>
      <c r="AK44" s="58">
        <f t="shared" si="26"/>
        <v>837.33777153846142</v>
      </c>
      <c r="AL44" s="58">
        <f t="array" ref="AL44">_xlfn.IFS(R44=0,AE44,R44&lt;0,AE44/-R44,R44&gt;0,AE44/R44)</f>
        <v>225.90059800000003</v>
      </c>
      <c r="AM44" s="59">
        <f t="shared" si="27"/>
        <v>8.602459939070832E-2</v>
      </c>
      <c r="AN44" s="60">
        <f t="shared" si="28"/>
        <v>0.32882183114992725</v>
      </c>
      <c r="AP44" s="62">
        <f t="shared" si="29"/>
        <v>0</v>
      </c>
    </row>
    <row r="45" spans="1:42">
      <c r="A45" s="39">
        <v>2774721190</v>
      </c>
      <c r="B45" s="40" t="s">
        <v>70</v>
      </c>
      <c r="C45" s="41"/>
      <c r="D45" s="42"/>
      <c r="E45" s="42"/>
      <c r="F45" s="42"/>
      <c r="G45" s="43"/>
      <c r="H45" s="65">
        <v>687</v>
      </c>
      <c r="I45" s="63">
        <f t="shared" si="17"/>
        <v>0</v>
      </c>
      <c r="J45" s="45"/>
      <c r="K45" s="48">
        <f>АВГУСТ!K43+СЕНТЯБРЬ!K43+ОКТЯБРЬ!K43+НОЯБРЬ!K45+ДЕКАБРЬ!K45</f>
        <v>40</v>
      </c>
      <c r="L45" s="48" t="e">
        <f>'Юнит 01-07.12'!L45+'Юнит 08-14.12'!L45+'Юнит 15-21.12'!L45+'Юнит 22-31.12'!L45+#REF!</f>
        <v>#REF!</v>
      </c>
      <c r="M45" s="48" t="e">
        <f>'Юнит 01-07.12'!M45+'Юнит 08-14.12'!M45+'Юнит 15-21.12'!M45+'Юнит 22-31.12'!M45+#REF!</f>
        <v>#REF!</v>
      </c>
      <c r="N45" s="48"/>
      <c r="O45" s="48"/>
      <c r="P45" s="48">
        <f>АВГУСТ!P43+СЕНТЯБРЬ!P43+ОКТЯБРЬ!P43+НОЯБРЬ!P45+ДЕКАБРЬ!P45</f>
        <v>15</v>
      </c>
      <c r="Q45" s="48">
        <f>АВГУСТ!Q43+СЕНТЯБРЬ!Q43+ОКТЯБРЬ!Q43+НОЯБРЬ!Q45+ДЕКАБРЬ!Q45</f>
        <v>1</v>
      </c>
      <c r="R45" s="48">
        <f t="shared" si="18"/>
        <v>16</v>
      </c>
      <c r="S45" s="48">
        <f>АВГУСТ!S43+СЕНТЯБРЬ!S43+ОКТЯБРЬ!S43+НОЯБРЬ!S45+ДЕКАБРЬ!S45</f>
        <v>61430</v>
      </c>
      <c r="T45" s="48">
        <f>АВГУСТ!T43+СЕНТЯБРЬ!T43+ОКТЯБРЬ!T43+НОЯБРЬ!T45+ДЕКАБРЬ!T45</f>
        <v>-5500</v>
      </c>
      <c r="U45" s="48">
        <f t="shared" si="19"/>
        <v>55930</v>
      </c>
      <c r="V45" s="431">
        <f t="shared" si="30"/>
        <v>0.18748826731743945</v>
      </c>
      <c r="W45" s="48">
        <f>АВГУСТ!W43+СЕНТЯБРЬ!W43+ОКТЯБРЬ!W43+НОЯБРЬ!W45+ДЕКАБРЬ!W45</f>
        <v>9618</v>
      </c>
      <c r="X45" s="48">
        <f>АВГУСТ!X43+СЕНТЯБРЬ!X43+ОКТЯБРЬ!X43+НОЯБРЬ!X45+ДЕКАБРЬ!X45</f>
        <v>15534</v>
      </c>
      <c r="Y45" s="431">
        <f t="shared" si="20"/>
        <v>0.27774003218308602</v>
      </c>
      <c r="Z45" s="48">
        <f>АВГУСТ!Z43+СЕНТЯБРЬ!Z43+ОКТЯБРЬ!Z43+НОЯБРЬ!Z45+ДЕКАБРЬ!Z45</f>
        <v>3625.7200000000003</v>
      </c>
      <c r="AA45" s="48">
        <f>АВГУСТ!AA43+СЕНТЯБРЬ!AA43+ОКТЯБРЬ!AA43+НОЯБРЬ!AA45+ДЕКАБРЬ!AA45</f>
        <v>19658.295717000001</v>
      </c>
      <c r="AB45" s="64"/>
      <c r="AC45" s="51"/>
      <c r="AD45" s="48">
        <f>АВГУСТ!AD43+СЕНТЯБРЬ!AD43+ОКТЯБРЬ!AD43+НОЯБРЬ!AD45+ДЕКАБРЬ!AD45</f>
        <v>559.29999999999995</v>
      </c>
      <c r="AE45" s="56">
        <f t="shared" si="21"/>
        <v>6934.6842829999978</v>
      </c>
      <c r="AF45" s="55"/>
      <c r="AG45" s="57">
        <f t="shared" si="22"/>
        <v>3495.625</v>
      </c>
      <c r="AH45" s="58">
        <f t="shared" si="23"/>
        <v>687</v>
      </c>
      <c r="AI45" s="58">
        <f t="shared" si="24"/>
        <v>970.875</v>
      </c>
      <c r="AJ45" s="58">
        <f t="shared" si="25"/>
        <v>241.71466666666669</v>
      </c>
      <c r="AK45" s="58">
        <f t="shared" si="26"/>
        <v>1310.5530478000001</v>
      </c>
      <c r="AL45" s="58">
        <f t="array" ref="AL45">_xlfn.IFS(R45=0,AE45,R45&lt;0,AE45/-R45,R45&gt;0,AE45/R45)</f>
        <v>433.41776768749986</v>
      </c>
      <c r="AM45" s="59">
        <f t="shared" si="27"/>
        <v>0.1239886337028428</v>
      </c>
      <c r="AN45" s="60">
        <f t="shared" si="28"/>
        <v>0.63088466912299834</v>
      </c>
      <c r="AP45" s="62">
        <f t="shared" si="29"/>
        <v>0</v>
      </c>
    </row>
    <row r="46" spans="1:42">
      <c r="A46" s="39">
        <v>2774718796</v>
      </c>
      <c r="B46" s="40" t="s">
        <v>66</v>
      </c>
      <c r="C46" s="41"/>
      <c r="D46" s="42"/>
      <c r="E46" s="42"/>
      <c r="F46" s="42"/>
      <c r="G46" s="43"/>
      <c r="H46" s="65">
        <v>552</v>
      </c>
      <c r="I46" s="63">
        <f t="shared" si="17"/>
        <v>0</v>
      </c>
      <c r="J46" s="45"/>
      <c r="K46" s="48">
        <f>АВГУСТ!K44+СЕНТЯБРЬ!K44+ОКТЯБРЬ!K44+НОЯБРЬ!K46+ДЕКАБРЬ!K46</f>
        <v>27</v>
      </c>
      <c r="L46" s="48" t="e">
        <f>'Юнит 01-07.12'!L46+'Юнит 08-14.12'!L46+'Юнит 15-21.12'!L46+'Юнит 22-31.12'!L46+#REF!</f>
        <v>#REF!</v>
      </c>
      <c r="M46" s="48" t="e">
        <f>'Юнит 01-07.12'!M46+'Юнит 08-14.12'!M46+'Юнит 15-21.12'!M46+'Юнит 22-31.12'!M46+#REF!</f>
        <v>#REF!</v>
      </c>
      <c r="N46" s="48"/>
      <c r="O46" s="48"/>
      <c r="P46" s="48">
        <f>АВГУСТ!P44+СЕНТЯБРЬ!P44+ОКТЯБРЬ!P44+НОЯБРЬ!P46+ДЕКАБРЬ!P46</f>
        <v>14</v>
      </c>
      <c r="Q46" s="48">
        <f>АВГУСТ!Q44+СЕНТЯБРЬ!Q44+ОКТЯБРЬ!Q44+НОЯБРЬ!Q46+ДЕКАБРЬ!Q46</f>
        <v>1</v>
      </c>
      <c r="R46" s="48">
        <f t="shared" si="18"/>
        <v>15</v>
      </c>
      <c r="S46" s="48">
        <f>АВГУСТ!S44+СЕНТЯБРЬ!S44+ОКТЯБРЬ!S44+НОЯБРЬ!S46+ДЕКАБРЬ!S46</f>
        <v>52640</v>
      </c>
      <c r="T46" s="48">
        <f>АВГУСТ!T44+СЕНТЯБРЬ!T44+ОКТЯБРЬ!T44+НОЯБРЬ!T46+ДЕКАБРЬ!T46</f>
        <v>-2340</v>
      </c>
      <c r="U46" s="48">
        <f t="shared" si="19"/>
        <v>50300</v>
      </c>
      <c r="V46" s="431">
        <f t="shared" si="30"/>
        <v>0.16861540937005551</v>
      </c>
      <c r="W46" s="48">
        <f>АВГУСТ!W44+СЕНТЯБРЬ!W44+ОКТЯБРЬ!W44+НОЯБРЬ!W46+ДЕКАБРЬ!W46</f>
        <v>8280</v>
      </c>
      <c r="X46" s="48">
        <f>АВГУСТ!X44+СЕНТЯБРЬ!X44+ОКТЯБРЬ!X44+НОЯБРЬ!X46+ДЕКАБРЬ!X46</f>
        <v>13072</v>
      </c>
      <c r="Y46" s="431">
        <f t="shared" si="20"/>
        <v>0.25988071570576543</v>
      </c>
      <c r="Z46" s="48">
        <f>АВГУСТ!Z44+СЕНТЯБРЬ!Z44+ОКТЯБРЬ!Z44+НОЯБРЬ!Z46+ДЕКАБРЬ!Z46</f>
        <v>2184</v>
      </c>
      <c r="AA46" s="48">
        <f>АВГУСТ!AA44+СЕНТЯБРЬ!AA44+ОКТЯБРЬ!AA44+НОЯБРЬ!AA46+ДЕКАБРЬ!AA46</f>
        <v>19202.189246000002</v>
      </c>
      <c r="AB46" s="64"/>
      <c r="AC46" s="51"/>
      <c r="AD46" s="48">
        <f>АВГУСТ!AD44+СЕНТЯБРЬ!AD44+ОКТЯБРЬ!AD44+НОЯБРЬ!AD46+ДЕКАБРЬ!AD46</f>
        <v>503</v>
      </c>
      <c r="AE46" s="56">
        <f t="shared" si="21"/>
        <v>7058.8107539999983</v>
      </c>
      <c r="AF46" s="55"/>
      <c r="AG46" s="57">
        <f t="shared" si="22"/>
        <v>3353.3333333333335</v>
      </c>
      <c r="AH46" s="58">
        <f t="shared" si="23"/>
        <v>552</v>
      </c>
      <c r="AI46" s="58">
        <f t="shared" si="24"/>
        <v>871.4666666666667</v>
      </c>
      <c r="AJ46" s="58">
        <f t="shared" si="25"/>
        <v>156</v>
      </c>
      <c r="AK46" s="58">
        <f t="shared" si="26"/>
        <v>1371.5849461428572</v>
      </c>
      <c r="AL46" s="58">
        <f t="array" ref="AL46">_xlfn.IFS(R46=0,AE46,R46&lt;0,AE46/-R46,R46&gt;0,AE46/R46)</f>
        <v>470.5873835999999</v>
      </c>
      <c r="AM46" s="59">
        <f t="shared" si="27"/>
        <v>0.14033420982107353</v>
      </c>
      <c r="AN46" s="60">
        <f t="shared" si="28"/>
        <v>0.85251337608695632</v>
      </c>
      <c r="AP46" s="62">
        <f t="shared" si="29"/>
        <v>0</v>
      </c>
    </row>
    <row r="47" spans="1:42">
      <c r="A47" s="39">
        <v>2774719500</v>
      </c>
      <c r="B47" s="40" t="s">
        <v>245</v>
      </c>
      <c r="C47" s="41"/>
      <c r="D47" s="42"/>
      <c r="E47" s="42"/>
      <c r="F47" s="42"/>
      <c r="G47" s="43"/>
      <c r="H47" s="65">
        <v>552</v>
      </c>
      <c r="I47" s="63">
        <f>C47*H47</f>
        <v>0</v>
      </c>
      <c r="J47" s="45"/>
      <c r="K47" s="48">
        <f>АВГУСТ!K45+СЕНТЯБРЬ!K45+ОКТЯБРЬ!K45+НОЯБРЬ!K47+ДЕКАБРЬ!K47</f>
        <v>2</v>
      </c>
      <c r="L47" s="48" t="e">
        <f>'Юнит 01-07.12'!L47+'Юнит 08-14.12'!L47+'Юнит 15-21.12'!L47+'Юнит 22-31.12'!L47+#REF!</f>
        <v>#REF!</v>
      </c>
      <c r="M47" s="48" t="e">
        <f>'Юнит 01-07.12'!M47+'Юнит 08-14.12'!M47+'Юнит 15-21.12'!M47+'Юнит 22-31.12'!M47+#REF!</f>
        <v>#REF!</v>
      </c>
      <c r="N47" s="48"/>
      <c r="O47" s="48"/>
      <c r="P47" s="48">
        <f>АВГУСТ!P45+СЕНТЯБРЬ!P45+ОКТЯБРЬ!P45+НОЯБРЬ!P47+ДЕКАБРЬ!P47</f>
        <v>1</v>
      </c>
      <c r="Q47" s="48">
        <f>АВГУСТ!Q45+СЕНТЯБРЬ!Q45+ОКТЯБРЬ!Q45+НОЯБРЬ!Q47+ДЕКАБРЬ!Q47</f>
        <v>1</v>
      </c>
      <c r="R47" s="48">
        <f t="shared" si="18"/>
        <v>2</v>
      </c>
      <c r="S47" s="48">
        <f>АВГУСТ!S45+СЕНТЯБРЬ!S45+ОКТЯБРЬ!S45+НОЯБРЬ!S47+ДЕКАБРЬ!S47</f>
        <v>5000</v>
      </c>
      <c r="T47" s="48">
        <f>АВГУСТ!T45+СЕНТЯБРЬ!T45+ОКТЯБРЬ!T45+НОЯБРЬ!T47+ДЕКАБРЬ!T47</f>
        <v>-5000</v>
      </c>
      <c r="U47" s="48">
        <f t="shared" si="19"/>
        <v>0</v>
      </c>
      <c r="V47" s="431">
        <f t="shared" si="30"/>
        <v>0</v>
      </c>
      <c r="W47" s="48">
        <f>АВГУСТ!W45+СЕНТЯБРЬ!W45+ОКТЯБРЬ!W45+НОЯБРЬ!W47+ДЕКАБРЬ!W47</f>
        <v>1104</v>
      </c>
      <c r="X47" s="48">
        <f>АВГУСТ!X45+СЕНТЯБРЬ!X45+ОКТЯБРЬ!X45+НОЯБРЬ!X47+ДЕКАБРЬ!X47</f>
        <v>0</v>
      </c>
      <c r="Y47" s="431" t="e">
        <f t="shared" si="20"/>
        <v>#DIV/0!</v>
      </c>
      <c r="Z47" s="48">
        <f>АВГУСТ!Z45+СЕНТЯБРЬ!Z45+ОКТЯБРЬ!Z45+НОЯБРЬ!Z47+ДЕКАБРЬ!Z47</f>
        <v>224</v>
      </c>
      <c r="AA47" s="48">
        <f>АВГУСТ!AA45+СЕНТЯБРЬ!AA45+ОКТЯБРЬ!AA45+НОЯБРЬ!AA47+ДЕКАБРЬ!AA47</f>
        <v>1369.8935040000001</v>
      </c>
      <c r="AB47" s="64"/>
      <c r="AC47" s="51"/>
      <c r="AD47" s="48">
        <f>АВГУСТ!AD45+СЕНТЯБРЬ!AD45+ОКТЯБРЬ!AD45+НОЯБРЬ!AD47+ДЕКАБРЬ!AD47</f>
        <v>0</v>
      </c>
      <c r="AE47" s="56">
        <f t="shared" si="21"/>
        <v>-2697.8935040000001</v>
      </c>
      <c r="AF47" s="55"/>
      <c r="AG47" s="57">
        <f t="shared" si="22"/>
        <v>0</v>
      </c>
      <c r="AH47" s="58">
        <f t="shared" si="23"/>
        <v>552</v>
      </c>
      <c r="AI47" s="58">
        <f t="shared" si="24"/>
        <v>0</v>
      </c>
      <c r="AJ47" s="58">
        <f t="shared" si="25"/>
        <v>224</v>
      </c>
      <c r="AK47" s="58">
        <f t="shared" si="26"/>
        <v>1369.8935040000001</v>
      </c>
      <c r="AL47" s="58">
        <f t="array" ref="AL47">_xlfn.IFS(R47=0,AE47,R47&lt;0,AE47/-R47,R47&gt;0,AE47/R47)</f>
        <v>-1348.9467520000001</v>
      </c>
      <c r="AM47" s="59">
        <f t="shared" si="27"/>
        <v>0</v>
      </c>
      <c r="AN47" s="60">
        <f t="shared" si="28"/>
        <v>-2.443744115942029</v>
      </c>
      <c r="AP47" s="62">
        <f t="shared" si="29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1"/>
      <c r="Q48" s="41"/>
      <c r="R48" s="49"/>
      <c r="S48" s="41"/>
      <c r="T48" s="41"/>
      <c r="U48" s="49"/>
      <c r="V48" s="52"/>
      <c r="W48" s="41"/>
      <c r="X48" s="41"/>
      <c r="Y48" s="54"/>
      <c r="Z48" s="41"/>
      <c r="AA48" s="41"/>
      <c r="AB48" s="64"/>
      <c r="AC48" s="51"/>
      <c r="AD48" s="41"/>
      <c r="AE48" s="56"/>
      <c r="AF48" s="55"/>
      <c r="AG48" s="258">
        <f t="shared" ref="AG48:AN48" si="31">AVERAGEIF(AG28:AG47,"&lt;&gt;0",AG28:AG47)</f>
        <v>2853.2289682539686</v>
      </c>
      <c r="AH48" s="259">
        <f t="shared" si="31"/>
        <v>617.25</v>
      </c>
      <c r="AI48" s="259">
        <f t="shared" si="31"/>
        <v>922.08271428571425</v>
      </c>
      <c r="AJ48" s="259">
        <f t="shared" si="31"/>
        <v>290.9424551282051</v>
      </c>
      <c r="AK48" s="259">
        <f t="shared" si="31"/>
        <v>1734.3936866169263</v>
      </c>
      <c r="AL48" s="259">
        <f t="shared" si="31"/>
        <v>-302.60978740419642</v>
      </c>
      <c r="AM48" s="260">
        <f t="shared" si="31"/>
        <v>-7.9972625541095618E-2</v>
      </c>
      <c r="AN48" s="260">
        <f t="shared" si="31"/>
        <v>-0.47294859215182478</v>
      </c>
      <c r="AO48" s="240"/>
      <c r="AP48" s="241"/>
    </row>
    <row r="49" spans="1:42">
      <c r="A49" s="218" t="s">
        <v>306</v>
      </c>
      <c r="B49" s="219"/>
      <c r="C49" s="220">
        <f>SUM(C28:C47)</f>
        <v>0</v>
      </c>
      <c r="D49" s="221"/>
      <c r="E49" s="221"/>
      <c r="F49" s="221"/>
      <c r="G49" s="221"/>
      <c r="H49" s="222"/>
      <c r="I49" s="220">
        <f>SUM(I28:I47)</f>
        <v>0</v>
      </c>
      <c r="J49" s="223"/>
      <c r="K49" s="220">
        <f>SUM(K28:K47)</f>
        <v>220</v>
      </c>
      <c r="L49" s="223"/>
      <c r="M49" s="223"/>
      <c r="N49" s="224"/>
      <c r="O49" s="225"/>
      <c r="P49" s="220">
        <f>SUM(P28:P47)</f>
        <v>93</v>
      </c>
      <c r="Q49" s="220">
        <f>SUM(Q28:Q47)</f>
        <v>18</v>
      </c>
      <c r="R49" s="250">
        <f t="shared" ref="R49:U49" si="32">SUM(R28:R47)</f>
        <v>111</v>
      </c>
      <c r="S49" s="220">
        <f>SUM(S28:S47)</f>
        <v>381509</v>
      </c>
      <c r="T49" s="220">
        <f>SUM(T28:T47)</f>
        <v>-83197</v>
      </c>
      <c r="U49" s="250">
        <f t="shared" si="32"/>
        <v>298312</v>
      </c>
      <c r="V49" s="253">
        <f>SUM(V28:V47)</f>
        <v>0.99999999999999989</v>
      </c>
      <c r="W49" s="220">
        <f>SUM(W28:W47)</f>
        <v>59766</v>
      </c>
      <c r="X49" s="220">
        <f>SUM(X28:X47)</f>
        <v>90739.16</v>
      </c>
      <c r="Y49" s="226">
        <f>IF(U49=0,0,X49/U49)</f>
        <v>0.30417536002574486</v>
      </c>
      <c r="Z49" s="220">
        <f t="shared" ref="Z49:AE49" si="33">SUM(Z28:Z47)</f>
        <v>22816.58</v>
      </c>
      <c r="AA49" s="220">
        <f t="shared" si="33"/>
        <v>126764.02750600001</v>
      </c>
      <c r="AB49" s="220">
        <f t="shared" si="33"/>
        <v>0</v>
      </c>
      <c r="AC49" s="220">
        <f t="shared" si="33"/>
        <v>0</v>
      </c>
      <c r="AD49" s="220">
        <f t="shared" si="33"/>
        <v>2983.12</v>
      </c>
      <c r="AE49" s="220">
        <f t="shared" si="33"/>
        <v>-4756.8875060000064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0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70"/>
      <c r="AB50" s="51"/>
      <c r="AC50" s="51"/>
      <c r="AD50" s="70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0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0</v>
      </c>
      <c r="J51" s="229">
        <f>J26+J49</f>
        <v>0</v>
      </c>
      <c r="K51" s="229">
        <f>K26+K49</f>
        <v>1159</v>
      </c>
      <c r="L51" s="230"/>
      <c r="M51" s="230"/>
      <c r="N51" s="230"/>
      <c r="O51" s="230"/>
      <c r="P51" s="229">
        <f>P26+P49</f>
        <v>632</v>
      </c>
      <c r="Q51" s="229">
        <f>Q26+Q49</f>
        <v>42</v>
      </c>
      <c r="R51" s="252">
        <f>R26-R49</f>
        <v>452</v>
      </c>
      <c r="S51" s="229">
        <f>S26+S49</f>
        <v>1153756</v>
      </c>
      <c r="T51" s="229">
        <f>T26+T49</f>
        <v>-118835</v>
      </c>
      <c r="U51" s="252">
        <f t="shared" ref="U51" si="34">U26+U49</f>
        <v>1034921</v>
      </c>
      <c r="V51" s="255">
        <f>V26+V49</f>
        <v>2</v>
      </c>
      <c r="W51" s="229">
        <f>W26+W49</f>
        <v>140719.76</v>
      </c>
      <c r="X51" s="229">
        <f>X26+X49</f>
        <v>360754.29000000004</v>
      </c>
      <c r="Y51" s="232">
        <f>X51/U51</f>
        <v>0.34858147626727065</v>
      </c>
      <c r="Z51" s="229">
        <f>Z26+Z49</f>
        <v>96519.370000000024</v>
      </c>
      <c r="AA51" s="445">
        <f>АВГУСТ!AA49+СЕНТЯБРЬ!AA49+ОКТЯБРЬ!AA49+НОЯБРЬ!AA51+ДЕКАБРЬ!AA51</f>
        <v>445587.7</v>
      </c>
      <c r="AB51" s="74"/>
      <c r="AC51" s="74">
        <f>SUM(AC3:AC47)</f>
        <v>0</v>
      </c>
      <c r="AD51" s="229">
        <f>AD26+AD49</f>
        <v>10349.209999999999</v>
      </c>
      <c r="AE51" s="233">
        <f>AE26+AE49</f>
        <v>-6912.4800420000374</v>
      </c>
      <c r="AF51" s="76"/>
      <c r="AG51" s="234"/>
      <c r="AH51" s="235"/>
      <c r="AI51" s="235"/>
      <c r="AJ51" s="235"/>
      <c r="AK51" s="235">
        <f>AA52/P51</f>
        <v>685.90324373734188</v>
      </c>
      <c r="AL51" s="235"/>
      <c r="AM51" s="235"/>
      <c r="AN51" s="236"/>
      <c r="AP51" s="233">
        <f>SUM(AP3:AP47)</f>
        <v>0</v>
      </c>
    </row>
    <row r="52" spans="1:42" s="78" customFormat="1" ht="14" customHeigh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433490.85004200006</v>
      </c>
      <c r="AB52" s="87"/>
      <c r="AC52" s="88"/>
    </row>
    <row r="53" spans="1:42" s="95" customFormat="1">
      <c r="B53" s="432"/>
      <c r="C53" s="433"/>
      <c r="K53" s="434">
        <f>'Динамика финансы'!F35</f>
        <v>1159</v>
      </c>
      <c r="L53" s="434"/>
      <c r="M53" s="434"/>
      <c r="P53" s="435">
        <f>'Динамика финансы'!G35</f>
        <v>632</v>
      </c>
      <c r="Q53" s="434">
        <f>'Динамика финансы'!H35</f>
        <v>42</v>
      </c>
      <c r="S53" s="95">
        <f>'Динамика финансы'!I35</f>
        <v>1153756</v>
      </c>
      <c r="T53" s="95">
        <f>'Динамика финансы'!J35</f>
        <v>-118835</v>
      </c>
      <c r="U53" s="95">
        <f>'Динамика финансы'!K35</f>
        <v>1034921</v>
      </c>
      <c r="W53" s="95">
        <f>'Динамика финансы'!L35</f>
        <v>140719.76</v>
      </c>
      <c r="X53" s="435">
        <f>'Динамика финансы'!N35</f>
        <v>360754.29000000004</v>
      </c>
      <c r="Y53" s="434"/>
      <c r="Z53" s="434">
        <f>'Динамика финансы'!M35</f>
        <v>96519.370000000024</v>
      </c>
      <c r="AA53" s="436">
        <f>'Динамика финансы'!R35</f>
        <v>445587.7</v>
      </c>
      <c r="AB53" s="437"/>
      <c r="AC53" s="438"/>
      <c r="AD53" s="95">
        <f>'Динамика финансы'!X35</f>
        <v>10349.210000000001</v>
      </c>
      <c r="AE53" s="95">
        <f>'Динамика финансы'!Y35+'Динамика финансы'!S35+'Динамика финансы'!T35+'Динамика финансы'!U35-'Динамика финансы'!V35-'Динамика финансы'!W35+(AA53-AA52)</f>
        <v>-6912.480042000112</v>
      </c>
    </row>
    <row r="54" spans="1:42" s="439" customFormat="1">
      <c r="B54" s="440"/>
      <c r="C54" s="441"/>
      <c r="J54" s="442"/>
      <c r="K54" s="443">
        <f>K51-K53</f>
        <v>0</v>
      </c>
      <c r="L54" s="443"/>
      <c r="M54" s="443"/>
      <c r="P54" s="443">
        <f>P51-P53</f>
        <v>0</v>
      </c>
      <c r="Q54" s="443">
        <f>Q51-Q53</f>
        <v>0</v>
      </c>
      <c r="S54" s="443">
        <f>S51-S53</f>
        <v>0</v>
      </c>
      <c r="T54" s="443">
        <f>T51-T53</f>
        <v>0</v>
      </c>
      <c r="U54" s="443">
        <f>U51-U53</f>
        <v>0</v>
      </c>
      <c r="V54" s="443"/>
      <c r="W54" s="443">
        <f t="shared" ref="W54:X54" si="35">W51-W53</f>
        <v>0</v>
      </c>
      <c r="X54" s="443">
        <f t="shared" si="35"/>
        <v>0</v>
      </c>
      <c r="Y54" s="443"/>
      <c r="Z54" s="443">
        <f t="shared" ref="Z54:AA54" si="36">Z51-Z53</f>
        <v>0</v>
      </c>
      <c r="AA54" s="443">
        <f t="shared" si="36"/>
        <v>0</v>
      </c>
      <c r="AB54" s="443">
        <f t="shared" ref="AB54" si="37">AB51-AB53</f>
        <v>0</v>
      </c>
      <c r="AC54" s="443">
        <f t="shared" ref="AC54" si="38">AC51-AC53</f>
        <v>0</v>
      </c>
      <c r="AD54" s="443">
        <f t="shared" ref="AD54:AE54" si="39">AD51-AD53</f>
        <v>0</v>
      </c>
      <c r="AE54" s="443">
        <f t="shared" si="39"/>
        <v>7.4578565545380116E-11</v>
      </c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 t="e">
        <f>I58/I51</f>
        <v>#DIV/0!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0</v>
      </c>
      <c r="J59" s="109" t="e">
        <f>I59/I51</f>
        <v>#DIV/0!</v>
      </c>
      <c r="K59" s="105">
        <f>AP51-K58-K60</f>
        <v>0</v>
      </c>
      <c r="L59" s="106" t="e">
        <f>K59/I59</f>
        <v>#DIV/0!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 t="e">
        <f>I60/I51</f>
        <v>#DIV/0!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285" priority="33" operator="greaterThan">
      <formula>120</formula>
    </cfRule>
  </conditionalFormatting>
  <conditionalFormatting sqref="N50">
    <cfRule type="cellIs" dxfId="284" priority="32" operator="between">
      <formula>0.000001</formula>
      <formula>25</formula>
    </cfRule>
  </conditionalFormatting>
  <conditionalFormatting sqref="V1 V52:V53 V57:V1048576 V55">
    <cfRule type="cellIs" dxfId="283" priority="34" operator="greaterThan">
      <formula>0.23</formula>
    </cfRule>
  </conditionalFormatting>
  <conditionalFormatting sqref="AM5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{54067E8B-7E16-4FE3-842E-CBC8FE4F08E5}</x14:id>
        </ext>
      </extLst>
    </cfRule>
  </conditionalFormatting>
  <conditionalFormatting sqref="AP3:AP7 AP27:AP47 AP50 AP10:AP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{B59D69C9-4EA1-483D-A5EA-F6B7D4162642}</x14:id>
        </ext>
      </extLst>
    </cfRule>
  </conditionalFormatting>
  <conditionalFormatting sqref="AE3:AE7 AE27:AE48 AE50 AE10:AE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{D37E9106-8660-4D6E-B70F-E8470D8EB4DA}</x14:id>
        </ext>
      </extLst>
    </cfRule>
  </conditionalFormatting>
  <conditionalFormatting sqref="AL3:AL7 AL27:AL47 AL50 AL10:AL2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{BD17421D-95C5-4990-AE58-8711ABF61ECB}</x14:id>
        </ext>
      </extLst>
    </cfRule>
  </conditionalFormatting>
  <conditionalFormatting sqref="AM3:AN7 AM27:AN47 AM50:AN50 AM10:AN2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{E5596015-1E47-4C1E-8427-609874706FE6}</x14:id>
        </ext>
      </extLst>
    </cfRule>
  </conditionalFormatting>
  <conditionalFormatting sqref="AP3:AP7 AP27:AP47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{CE1E32F6-AA63-404D-A8C5-8E48E876B3CE}</x14:id>
        </ext>
      </extLst>
    </cfRule>
  </conditionalFormatting>
  <conditionalFormatting sqref="AE3:AE7 AE27:AE48 AE10:AE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{C2A76B6E-E14D-41EA-9143-B94BFDDC986E}</x14:id>
        </ext>
      </extLst>
    </cfRule>
  </conditionalFormatting>
  <conditionalFormatting sqref="U27:V27 U48:V48 U25:V25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{CE9238C9-247E-411E-B518-549DC49018E8}</x14:id>
        </ext>
      </extLst>
    </cfRule>
  </conditionalFormatting>
  <conditionalFormatting sqref="V27 V48 V2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{4E9292E3-40F5-4BAB-AE62-2E771827626B}</x14:id>
        </ext>
      </extLst>
    </cfRule>
  </conditionalFormatting>
  <conditionalFormatting sqref="AP2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{A0F356EF-54C0-473C-9D4E-3749CE33C9B2}</x14:id>
        </ext>
      </extLst>
    </cfRule>
  </conditionalFormatting>
  <conditionalFormatting sqref="AP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{B0E66F39-DEA2-4F37-AE1B-2726F67676C6}</x14:id>
        </ext>
      </extLst>
    </cfRule>
  </conditionalFormatting>
  <conditionalFormatting sqref="R50">
    <cfRule type="cellIs" dxfId="282" priority="26" operator="greaterThan">
      <formula>120</formula>
    </cfRule>
  </conditionalFormatting>
  <conditionalFormatting sqref="U50">
    <cfRule type="cellIs" dxfId="281" priority="23" operator="greaterThan">
      <formula>120</formula>
    </cfRule>
  </conditionalFormatting>
  <conditionalFormatting sqref="V50">
    <cfRule type="cellIs" dxfId="280" priority="22" operator="greaterThan">
      <formula>120</formula>
    </cfRule>
  </conditionalFormatting>
  <conditionalFormatting sqref="AP48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{7BAD4D82-4E94-4E91-A0F5-0DF82749752A}</x14:id>
        </ext>
      </extLst>
    </cfRule>
  </conditionalFormatting>
  <conditionalFormatting sqref="AP4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{C7E1B03D-B70A-4DA4-A75F-6B336CD5FFD4}</x14:id>
        </ext>
      </extLst>
    </cfRule>
  </conditionalFormatting>
  <conditionalFormatting sqref="J8:J9">
    <cfRule type="cellIs" dxfId="279" priority="10" operator="greaterThan">
      <formula>120</formula>
    </cfRule>
  </conditionalFormatting>
  <conditionalFormatting sqref="AP8:AP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{8E5A3279-C1BE-46D3-9284-75406AD512A4}</x14:id>
        </ext>
      </extLst>
    </cfRule>
  </conditionalFormatting>
  <conditionalFormatting sqref="AE8:AE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{F7A9BFA3-878F-4AC9-B18F-5BBB5500EA21}</x14:id>
        </ext>
      </extLst>
    </cfRule>
  </conditionalFormatting>
  <conditionalFormatting sqref="AL8:AL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{C683AF9D-4239-4138-8DDB-1C314547405A}</x14:id>
        </ext>
      </extLst>
    </cfRule>
  </conditionalFormatting>
  <conditionalFormatting sqref="AM8:AN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{6A111584-EE89-4E93-B2F0-6227F3E42E05}</x14:id>
        </ext>
      </extLst>
    </cfRule>
  </conditionalFormatting>
  <conditionalFormatting sqref="AP8:AP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{FEA67DBD-8692-4866-8AC7-583A2A8DE4FC}</x14:id>
        </ext>
      </extLst>
    </cfRule>
  </conditionalFormatting>
  <conditionalFormatting sqref="AE8:A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{DEC44DAD-1BB9-474E-B6A6-676410B7019B}</x14:id>
        </ext>
      </extLst>
    </cfRule>
  </conditionalFormatting>
  <conditionalFormatting sqref="P50">
    <cfRule type="cellIs" dxfId="278" priority="9" operator="greaterThan">
      <formula>120</formula>
    </cfRule>
  </conditionalFormatting>
  <conditionalFormatting sqref="Q50">
    <cfRule type="cellIs" dxfId="277" priority="8" operator="greaterThan">
      <formula>120</formula>
    </cfRule>
  </conditionalFormatting>
  <conditionalFormatting sqref="S50">
    <cfRule type="cellIs" dxfId="276" priority="7" operator="greaterThan">
      <formula>120</formula>
    </cfRule>
  </conditionalFormatting>
  <conditionalFormatting sqref="T50">
    <cfRule type="cellIs" dxfId="275" priority="6" operator="greaterThan">
      <formula>120</formula>
    </cfRule>
  </conditionalFormatting>
  <conditionalFormatting sqref="W50">
    <cfRule type="cellIs" dxfId="274" priority="5" operator="greaterThan">
      <formula>120</formula>
    </cfRule>
  </conditionalFormatting>
  <conditionalFormatting sqref="X50">
    <cfRule type="cellIs" dxfId="273" priority="4" operator="greaterThan">
      <formula>120</formula>
    </cfRule>
  </conditionalFormatting>
  <conditionalFormatting sqref="Z50">
    <cfRule type="cellIs" dxfId="272" priority="3" operator="greaterThan">
      <formula>120</formula>
    </cfRule>
  </conditionalFormatting>
  <conditionalFormatting sqref="AA50">
    <cfRule type="cellIs" dxfId="271" priority="2" operator="greaterThan">
      <formula>120</formula>
    </cfRule>
  </conditionalFormatting>
  <conditionalFormatting sqref="AD50">
    <cfRule type="cellIs" dxfId="270" priority="1" operator="greaterThan">
      <formula>120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067E8B-7E16-4FE3-842E-CBC8FE4F08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B59D69C9-4EA1-483D-A5EA-F6B7D41626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37E9106-8660-4D6E-B70F-E8470D8EB4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BD17421D-95C5-4990-AE58-8711ABF61E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E5596015-1E47-4C1E-8427-60987470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CE1E32F6-AA63-404D-A8C5-8E48E876B3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C2A76B6E-E14D-41EA-9143-B94BFDDC9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CE9238C9-247E-411E-B518-549DC4901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4E9292E3-40F5-4BAB-AE62-2E77182762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A0F356EF-54C0-473C-9D4E-3749CE33C9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0E66F39-DEA2-4F37-AE1B-2726F67676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BAD4D82-4E94-4E91-A0F5-0DF8274975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7E1B03D-B70A-4DA4-A75F-6B336CD5FF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E5A3279-C1BE-46D3-9284-75406AD512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7A9BFA3-878F-4AC9-B18F-5BBB5500EA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683AF9D-4239-4138-8DDB-1C3145474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A111584-EE89-4E93-B2F0-6227F3E42E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EA67DBD-8692-4866-8AC7-583A2A8DE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EC44DAD-1BB9-474E-B6A6-676410B70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BCC1-0D1E-4B12-B613-134F06E0BA02}">
  <dimension ref="A1:AZ64"/>
  <sheetViews>
    <sheetView zoomScale="70" zoomScaleNormal="70" workbookViewId="0">
      <pane xSplit="2" ySplit="2" topLeftCell="N38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1335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1339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1340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1996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4" si="0">C3*H3</f>
        <v>0</v>
      </c>
      <c r="J3" s="45"/>
      <c r="K3" s="48">
        <f>'Юнит 01-07.12'!K3+'Юнит 08-14.12'!K3+'Юнит 15-21.12'!K3+'Юнит 22-31.12'!K3</f>
        <v>204</v>
      </c>
      <c r="L3" s="48" t="e">
        <f>'Юнит 01-07.12'!L3+'Юнит 08-14.12'!L3+'Юнит 15-21.12'!L3+'Юнит 22-31.12'!L3+#REF!</f>
        <v>#REF!</v>
      </c>
      <c r="M3" s="48" t="e">
        <f>'Юнит 01-07.12'!M3+'Юнит 08-14.12'!M3+'Юнит 15-21.12'!M3+'Юнит 22-31.12'!M3+#REF!</f>
        <v>#REF!</v>
      </c>
      <c r="N3" s="48">
        <f>K3/31</f>
        <v>6.580645161290323</v>
      </c>
      <c r="O3" s="48">
        <f>R3/31</f>
        <v>3.6129032258064515</v>
      </c>
      <c r="P3" s="48">
        <f>'Юнит 01-07.12'!P3+'Юнит 08-14.12'!P3+'Юнит 15-21.12'!P3+'Юнит 22-31.12'!P3</f>
        <v>116</v>
      </c>
      <c r="Q3" s="48">
        <f>'Юнит 01-07.12'!Q3+'Юнит 08-14.12'!Q3+'Юнит 15-21.12'!Q3+'Юнит 22-31.12'!Q3</f>
        <v>4</v>
      </c>
      <c r="R3" s="48">
        <f>P3-Q3</f>
        <v>112</v>
      </c>
      <c r="S3" s="48">
        <f>'Юнит 01-07.12'!S3+'Юнит 08-14.12'!S3+'Юнит 15-21.12'!S3+'Юнит 22-31.12'!S3</f>
        <v>171696</v>
      </c>
      <c r="T3" s="48">
        <f>'Юнит 01-07.12'!T3+'Юнит 08-14.12'!T3+'Юнит 15-21.12'!T3+'Юнит 22-31.12'!T3</f>
        <v>-5616</v>
      </c>
      <c r="U3" s="48">
        <f>S3+T3</f>
        <v>166080</v>
      </c>
      <c r="V3" s="48">
        <f>U3/$U$26</f>
        <v>0.49720382722406503</v>
      </c>
      <c r="W3" s="48">
        <f>'Юнит 01-07.12'!W3+'Юнит 08-14.12'!W3+'Юнит 15-21.12'!W3+'Юнит 22-31.12'!W3</f>
        <v>16013.759999999998</v>
      </c>
      <c r="X3" s="48">
        <f>'Юнит 01-07.12'!X3+'Юнит 08-14.12'!X3+'Юнит 15-21.12'!X3+'Юнит 22-31.12'!X3</f>
        <v>71414.400000000023</v>
      </c>
      <c r="Y3" s="431">
        <f>X3/U3</f>
        <v>0.43000000000000016</v>
      </c>
      <c r="Z3" s="48">
        <f>'Юнит 01-07.12'!Z3+'Юнит 08-14.12'!Z3+'Юнит 15-21.12'!Z3+'Юнит 22-31.12'!Z3</f>
        <v>17612.120000000003</v>
      </c>
      <c r="AA3" s="48">
        <f>'Юнит 01-07.12'!AA3+'Юнит 08-14.12'!AA3+'Юнит 15-21.12'!AA3+'Юнит 22-31.12'!AA3</f>
        <v>46340.164986000003</v>
      </c>
      <c r="AB3" s="51"/>
      <c r="AC3" s="51"/>
      <c r="AD3" s="55">
        <f>U3*1%</f>
        <v>1660.8</v>
      </c>
      <c r="AE3" s="56">
        <f t="shared" ref="AE3:AE24" si="1">U3-W3-X3-Z3-AA3-AB3-AC3-AD3</f>
        <v>13038.755013999962</v>
      </c>
      <c r="AF3" s="55"/>
      <c r="AG3" s="57">
        <f t="shared" ref="AG3:AG24" si="2">IF(R3=0,0,U3/R3)</f>
        <v>1482.8571428571429</v>
      </c>
      <c r="AH3" s="58">
        <f t="shared" ref="AH3:AH24" si="3">H3</f>
        <v>142.97999999999999</v>
      </c>
      <c r="AI3" s="58">
        <f t="shared" ref="AI3:AI24" si="4">IF(R3=0,0,X3/R3)</f>
        <v>637.6285714285716</v>
      </c>
      <c r="AJ3" s="58">
        <f t="shared" ref="AJ3:AJ24" si="5">IF(P3=0,Z3/1,Z3/P3)</f>
        <v>151.8286206896552</v>
      </c>
      <c r="AK3" s="58">
        <f t="shared" ref="AK3:AK24" si="6">IF(P3=0,0,AA3/P3)</f>
        <v>399.48418091379313</v>
      </c>
      <c r="AL3" s="58">
        <f>_xlfn.IFS(R3=0,AE3,R3&lt;0,AE3/-R3,R3&gt;0,AE3/R3)</f>
        <v>116.41745548214251</v>
      </c>
      <c r="AM3" s="59">
        <f t="shared" ref="AM3:AM24" si="7">IF(AG3=0,0,AL3/AG3)</f>
        <v>7.8508881346338877E-2</v>
      </c>
      <c r="AN3" s="60">
        <f t="shared" ref="AN3:AN24" si="8">IF(AH3=0,0,AL3/AH3)</f>
        <v>0.8142219574915549</v>
      </c>
      <c r="AP3" s="62">
        <f t="shared" ref="AP3:AP24" si="9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8">
        <f>'Юнит 01-07.12'!K4+'Юнит 08-14.12'!K4+'Юнит 15-21.12'!K4+'Юнит 22-31.12'!K4</f>
        <v>9</v>
      </c>
      <c r="L4" s="48" t="e">
        <f>'Юнит 01-07.12'!L4+'Юнит 08-14.12'!L4+'Юнит 15-21.12'!L4+'Юнит 22-31.12'!L4+#REF!</f>
        <v>#REF!</v>
      </c>
      <c r="M4" s="48" t="e">
        <f>'Юнит 01-07.12'!M4+'Юнит 08-14.12'!M4+'Юнит 15-21.12'!M4+'Юнит 22-31.12'!M4+#REF!</f>
        <v>#REF!</v>
      </c>
      <c r="N4" s="48">
        <f t="shared" ref="N4:N24" si="10">K4/31</f>
        <v>0.29032258064516131</v>
      </c>
      <c r="O4" s="48">
        <f t="shared" ref="O4:O24" si="11">R4/31</f>
        <v>0.19354838709677419</v>
      </c>
      <c r="P4" s="48">
        <f>'Юнит 01-07.12'!P4+'Юнит 08-14.12'!P4+'Юнит 15-21.12'!P4+'Юнит 22-31.12'!P4</f>
        <v>6</v>
      </c>
      <c r="Q4" s="48">
        <f>'Юнит 01-07.12'!Q4+'Юнит 08-14.12'!Q4+'Юнит 15-21.12'!Q4+'Юнит 22-31.12'!Q4</f>
        <v>0</v>
      </c>
      <c r="R4" s="48">
        <f t="shared" ref="R4:R24" si="12">P4-Q4</f>
        <v>6</v>
      </c>
      <c r="S4" s="48">
        <f>'Юнит 01-07.12'!S4+'Юнит 08-14.12'!S4+'Юнит 15-21.12'!S4+'Юнит 22-31.12'!S4</f>
        <v>6696</v>
      </c>
      <c r="T4" s="48">
        <f>'Юнит 01-07.12'!T4+'Юнит 08-14.12'!T4+'Юнит 15-21.12'!T4+'Юнит 22-31.12'!T4</f>
        <v>0</v>
      </c>
      <c r="U4" s="48">
        <f t="shared" ref="U4:U24" si="13">S4+T4</f>
        <v>6696</v>
      </c>
      <c r="V4" s="48">
        <f t="shared" ref="V4:V24" si="14">U4/$U$26</f>
        <v>2.0046223669871986E-2</v>
      </c>
      <c r="W4" s="48">
        <f>'Юнит 01-07.12'!W4+'Юнит 08-14.12'!W4+'Юнит 15-21.12'!W4+'Юнит 22-31.12'!W4</f>
        <v>738.54</v>
      </c>
      <c r="X4" s="48">
        <f>'Юнит 01-07.12'!X4+'Юнит 08-14.12'!X4+'Юнит 15-21.12'!X4+'Юнит 22-31.12'!X4</f>
        <v>2879.2799999999997</v>
      </c>
      <c r="Y4" s="431">
        <f t="shared" ref="Y4:Y24" si="15">X4/U4</f>
        <v>0.42999999999999994</v>
      </c>
      <c r="Z4" s="48">
        <f>'Юнит 01-07.12'!Z4+'Юнит 08-14.12'!Z4+'Юнит 15-21.12'!Z4+'Юнит 22-31.12'!Z4</f>
        <v>857.81999999999994</v>
      </c>
      <c r="AA4" s="48">
        <f>'Юнит 01-07.12'!AA4+'Юнит 08-14.12'!AA4+'Юнит 15-21.12'!AA4+'Юнит 22-31.12'!AA4</f>
        <v>0</v>
      </c>
      <c r="AB4" s="51"/>
      <c r="AC4" s="51"/>
      <c r="AD4" s="55">
        <f>U4*1%</f>
        <v>66.960000000000008</v>
      </c>
      <c r="AE4" s="56">
        <f t="shared" si="1"/>
        <v>2153.4000000000005</v>
      </c>
      <c r="AF4" s="55"/>
      <c r="AG4" s="57">
        <f t="shared" si="2"/>
        <v>1116</v>
      </c>
      <c r="AH4" s="58">
        <f t="shared" si="3"/>
        <v>123.09</v>
      </c>
      <c r="AI4" s="58">
        <f t="shared" si="4"/>
        <v>479.87999999999994</v>
      </c>
      <c r="AJ4" s="58">
        <f t="shared" si="5"/>
        <v>142.97</v>
      </c>
      <c r="AK4" s="58">
        <f t="shared" si="6"/>
        <v>0</v>
      </c>
      <c r="AL4" s="58">
        <f t="array" ref="AL4">_xlfn.IFS(R4=0,AE4,R4&lt;0,AE4/-R4,R4&gt;0,AE4/R4)</f>
        <v>358.90000000000009</v>
      </c>
      <c r="AM4" s="59">
        <f t="shared" si="7"/>
        <v>0.32159498207885312</v>
      </c>
      <c r="AN4" s="60">
        <f t="shared" si="8"/>
        <v>2.91575270127549</v>
      </c>
      <c r="AP4" s="62">
        <f t="shared" si="9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8">
        <f>'Юнит 01-07.12'!K5+'Юнит 08-14.12'!K5+'Юнит 15-21.12'!K5+'Юнит 22-31.12'!K5</f>
        <v>8</v>
      </c>
      <c r="L5" s="48" t="e">
        <f>'Юнит 01-07.12'!L5+'Юнит 08-14.12'!L5+'Юнит 15-21.12'!L5+'Юнит 22-31.12'!L5+#REF!</f>
        <v>#REF!</v>
      </c>
      <c r="M5" s="48" t="e">
        <f>'Юнит 01-07.12'!M5+'Юнит 08-14.12'!M5+'Юнит 15-21.12'!M5+'Юнит 22-31.12'!M5+#REF!</f>
        <v>#REF!</v>
      </c>
      <c r="N5" s="48">
        <f t="shared" si="10"/>
        <v>0.25806451612903225</v>
      </c>
      <c r="O5" s="48">
        <f t="shared" si="11"/>
        <v>0.16129032258064516</v>
      </c>
      <c r="P5" s="48">
        <f>'Юнит 01-07.12'!P5+'Юнит 08-14.12'!P5+'Юнит 15-21.12'!P5+'Юнит 22-31.12'!P5</f>
        <v>5</v>
      </c>
      <c r="Q5" s="48">
        <f>'Юнит 01-07.12'!Q5+'Юнит 08-14.12'!Q5+'Юнит 15-21.12'!Q5+'Юнит 22-31.12'!Q5</f>
        <v>0</v>
      </c>
      <c r="R5" s="48">
        <f t="shared" si="12"/>
        <v>5</v>
      </c>
      <c r="S5" s="48">
        <f>'Юнит 01-07.12'!S5+'Юнит 08-14.12'!S5+'Юнит 15-21.12'!S5+'Юнит 22-31.12'!S5</f>
        <v>5450</v>
      </c>
      <c r="T5" s="48">
        <f>'Юнит 01-07.12'!T5+'Юнит 08-14.12'!T5+'Юнит 15-21.12'!T5+'Юнит 22-31.12'!T5</f>
        <v>0</v>
      </c>
      <c r="U5" s="48">
        <f t="shared" si="13"/>
        <v>5450</v>
      </c>
      <c r="V5" s="48">
        <f t="shared" si="14"/>
        <v>1.6315997461290671E-2</v>
      </c>
      <c r="W5" s="48">
        <f>'Юнит 01-07.12'!W5+'Юнит 08-14.12'!W5+'Юнит 15-21.12'!W5+'Юнит 22-31.12'!W5</f>
        <v>615.45000000000005</v>
      </c>
      <c r="X5" s="48">
        <f>'Юнит 01-07.12'!X5+'Юнит 08-14.12'!X5+'Юнит 15-21.12'!X5+'Юнит 22-31.12'!X5</f>
        <v>2343.5</v>
      </c>
      <c r="Y5" s="431">
        <f t="shared" si="15"/>
        <v>0.43</v>
      </c>
      <c r="Z5" s="48">
        <f>'Юнит 01-07.12'!Z5+'Юнит 08-14.12'!Z5+'Юнит 15-21.12'!Z5+'Юнит 22-31.12'!Z5</f>
        <v>509.81</v>
      </c>
      <c r="AA5" s="48">
        <f>'Юнит 01-07.12'!AA5+'Юнит 08-14.12'!AA5+'Юнит 15-21.12'!AA5+'Юнит 22-31.12'!AA5</f>
        <v>513.82000000000005</v>
      </c>
      <c r="AB5" s="64"/>
      <c r="AC5" s="51"/>
      <c r="AD5" s="55">
        <f>U5*1%</f>
        <v>54.5</v>
      </c>
      <c r="AE5" s="56">
        <f t="shared" si="1"/>
        <v>1412.92</v>
      </c>
      <c r="AF5" s="55"/>
      <c r="AG5" s="57">
        <f t="shared" si="2"/>
        <v>1090</v>
      </c>
      <c r="AH5" s="58">
        <f t="shared" si="3"/>
        <v>123.09</v>
      </c>
      <c r="AI5" s="58">
        <f t="shared" si="4"/>
        <v>468.7</v>
      </c>
      <c r="AJ5" s="58">
        <f t="shared" si="5"/>
        <v>101.962</v>
      </c>
      <c r="AK5" s="58">
        <f t="shared" si="6"/>
        <v>102.76400000000001</v>
      </c>
      <c r="AL5" s="58">
        <f t="array" ref="AL5">_xlfn.IFS(R5=0,AE5,R5&lt;0,AE5/-R5,R5&gt;0,AE5/R5)</f>
        <v>282.584</v>
      </c>
      <c r="AM5" s="59">
        <f t="shared" si="7"/>
        <v>0.259251376146789</v>
      </c>
      <c r="AN5" s="60">
        <f t="shared" si="8"/>
        <v>2.2957510764481275</v>
      </c>
      <c r="AP5" s="62">
        <f t="shared" si="9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8">
        <f>'Юнит 01-07.12'!K6+'Юнит 08-14.12'!K6+'Юнит 15-21.12'!K6+'Юнит 22-31.12'!K6</f>
        <v>106</v>
      </c>
      <c r="L6" s="48" t="e">
        <f>'Юнит 01-07.12'!L6+'Юнит 08-14.12'!L6+'Юнит 15-21.12'!L6+'Юнит 22-31.12'!L6+#REF!</f>
        <v>#REF!</v>
      </c>
      <c r="M6" s="48" t="e">
        <f>'Юнит 01-07.12'!M6+'Юнит 08-14.12'!M6+'Юнит 15-21.12'!M6+'Юнит 22-31.12'!M6+#REF!</f>
        <v>#REF!</v>
      </c>
      <c r="N6" s="48">
        <f t="shared" si="10"/>
        <v>3.4193548387096775</v>
      </c>
      <c r="O6" s="48">
        <f t="shared" si="11"/>
        <v>2.129032258064516</v>
      </c>
      <c r="P6" s="48">
        <f>'Юнит 01-07.12'!P6+'Юнит 08-14.12'!P6+'Юнит 15-21.12'!P6+'Юнит 22-31.12'!P6</f>
        <v>71</v>
      </c>
      <c r="Q6" s="48">
        <f>'Юнит 01-07.12'!Q6+'Юнит 08-14.12'!Q6+'Юнит 15-21.12'!Q6+'Юнит 22-31.12'!Q6</f>
        <v>5</v>
      </c>
      <c r="R6" s="48">
        <f t="shared" si="12"/>
        <v>66</v>
      </c>
      <c r="S6" s="48">
        <f>'Юнит 01-07.12'!S6+'Юнит 08-14.12'!S6+'Юнит 15-21.12'!S6+'Юнит 22-31.12'!S6</f>
        <v>102932.00000000001</v>
      </c>
      <c r="T6" s="48">
        <f>'Юнит 01-07.12'!T6+'Юнит 08-14.12'!T6+'Юнит 15-21.12'!T6+'Юнит 22-31.12'!T6</f>
        <v>-7253</v>
      </c>
      <c r="U6" s="48">
        <f t="shared" si="13"/>
        <v>95679.000000000015</v>
      </c>
      <c r="V6" s="48">
        <f t="shared" si="14"/>
        <v>0.28644005891721658</v>
      </c>
      <c r="W6" s="48">
        <f>'Юнит 01-07.12'!W6+'Юнит 08-14.12'!W6+'Юнит 15-21.12'!W6+'Юнит 22-31.12'!W6</f>
        <v>8123.9400000000005</v>
      </c>
      <c r="X6" s="48">
        <f>'Юнит 01-07.12'!X6+'Юнит 08-14.12'!X6+'Юнит 15-21.12'!X6+'Юнит 22-31.12'!X6</f>
        <v>41141.969999999987</v>
      </c>
      <c r="Y6" s="431">
        <f t="shared" si="15"/>
        <v>0.42999999999999977</v>
      </c>
      <c r="Z6" s="48">
        <f>'Юнит 01-07.12'!Z6+'Юнит 08-14.12'!Z6+'Юнит 15-21.12'!Z6+'Юнит 22-31.12'!Z6</f>
        <v>10485.15</v>
      </c>
      <c r="AA6" s="48">
        <f>'Юнит 01-07.12'!AA6+'Юнит 08-14.12'!AA6+'Юнит 15-21.12'!AA6+'Юнит 22-31.12'!AA6</f>
        <v>29222.091262999998</v>
      </c>
      <c r="AB6" s="64"/>
      <c r="AC6" s="51"/>
      <c r="AD6" s="55">
        <f>U6*1%</f>
        <v>956.79000000000019</v>
      </c>
      <c r="AE6" s="56">
        <f t="shared" si="1"/>
        <v>5749.0587370000258</v>
      </c>
      <c r="AF6" s="55"/>
      <c r="AG6" s="57">
        <f t="shared" si="2"/>
        <v>1449.6818181818185</v>
      </c>
      <c r="AH6" s="58">
        <f t="shared" si="3"/>
        <v>123.09</v>
      </c>
      <c r="AI6" s="58">
        <f t="shared" si="4"/>
        <v>623.3631818181816</v>
      </c>
      <c r="AJ6" s="58">
        <f t="shared" si="5"/>
        <v>147.67816901408449</v>
      </c>
      <c r="AK6" s="58">
        <f t="shared" si="6"/>
        <v>411.57875018309858</v>
      </c>
      <c r="AL6" s="58">
        <f t="array" ref="AL6">_xlfn.IFS(R6=0,AE6,R6&lt;0,AE6/-R6,R6&gt;0,AE6/R6)</f>
        <v>87.10695056060645</v>
      </c>
      <c r="AM6" s="59">
        <f t="shared" si="7"/>
        <v>6.0086944230186609E-2</v>
      </c>
      <c r="AN6" s="60">
        <f t="shared" si="8"/>
        <v>0.70766878349668083</v>
      </c>
      <c r="AP6" s="62">
        <f t="shared" si="9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8">
        <f>'Юнит 01-07.12'!K7+'Юнит 08-14.12'!K7+'Юнит 15-21.12'!K7+'Юнит 22-31.12'!K7</f>
        <v>4</v>
      </c>
      <c r="L7" s="48" t="e">
        <f>'Юнит 01-07.12'!L7+'Юнит 08-14.12'!L7+'Юнит 15-21.12'!L7+'Юнит 22-31.12'!L7+#REF!</f>
        <v>#REF!</v>
      </c>
      <c r="M7" s="48" t="e">
        <f>'Юнит 01-07.12'!M7+'Юнит 08-14.12'!M7+'Юнит 15-21.12'!M7+'Юнит 22-31.12'!M7+#REF!</f>
        <v>#REF!</v>
      </c>
      <c r="N7" s="48">
        <f t="shared" si="10"/>
        <v>0.12903225806451613</v>
      </c>
      <c r="O7" s="48">
        <f t="shared" si="11"/>
        <v>0.19354838709677419</v>
      </c>
      <c r="P7" s="48">
        <f>'Юнит 01-07.12'!P7+'Юнит 08-14.12'!P7+'Юнит 15-21.12'!P7+'Юнит 22-31.12'!P7</f>
        <v>6</v>
      </c>
      <c r="Q7" s="48">
        <f>'Юнит 01-07.12'!Q7+'Юнит 08-14.12'!Q7+'Юнит 15-21.12'!Q7+'Юнит 22-31.12'!Q7</f>
        <v>0</v>
      </c>
      <c r="R7" s="48">
        <f t="shared" si="12"/>
        <v>6</v>
      </c>
      <c r="S7" s="48">
        <f>'Юнит 01-07.12'!S7+'Юнит 08-14.12'!S7+'Юнит 15-21.12'!S7+'Юнит 22-31.12'!S7</f>
        <v>9344</v>
      </c>
      <c r="T7" s="48">
        <f>'Юнит 01-07.12'!T7+'Юнит 08-14.12'!T7+'Юнит 15-21.12'!T7+'Юнит 22-31.12'!T7</f>
        <v>0</v>
      </c>
      <c r="U7" s="48">
        <f t="shared" si="13"/>
        <v>9344</v>
      </c>
      <c r="V7" s="48">
        <f t="shared" si="14"/>
        <v>2.7973702803357803E-2</v>
      </c>
      <c r="W7" s="48">
        <f>'Юнит 01-07.12'!W7+'Юнит 08-14.12'!W7+'Юнит 15-21.12'!W7+'Юнит 22-31.12'!W7</f>
        <v>703.43999999999994</v>
      </c>
      <c r="X7" s="48">
        <f>'Юнит 01-07.12'!X7+'Юнит 08-14.12'!X7+'Юнит 15-21.12'!X7+'Юнит 22-31.12'!X7</f>
        <v>4017.92</v>
      </c>
      <c r="Y7" s="431">
        <f t="shared" si="15"/>
        <v>0.43</v>
      </c>
      <c r="Z7" s="48">
        <f>'Юнит 01-07.12'!Z7+'Юнит 08-14.12'!Z7+'Юнит 15-21.12'!Z7+'Юнит 22-31.12'!Z7</f>
        <v>738.3</v>
      </c>
      <c r="AA7" s="48">
        <f>'Юнит 01-07.12'!AA7+'Юнит 08-14.12'!AA7+'Юнит 15-21.12'!AA7+'Юнит 22-31.12'!AA7</f>
        <v>0</v>
      </c>
      <c r="AB7" s="64"/>
      <c r="AC7" s="51"/>
      <c r="AD7" s="55">
        <f>U7*1%</f>
        <v>93.44</v>
      </c>
      <c r="AE7" s="56">
        <f t="shared" si="1"/>
        <v>3790.8999999999992</v>
      </c>
      <c r="AF7" s="55"/>
      <c r="AG7" s="57">
        <f t="shared" si="2"/>
        <v>1557.3333333333333</v>
      </c>
      <c r="AH7" s="58">
        <f t="shared" si="3"/>
        <v>117.24</v>
      </c>
      <c r="AI7" s="58">
        <f t="shared" si="4"/>
        <v>669.65333333333331</v>
      </c>
      <c r="AJ7" s="58">
        <f t="shared" si="5"/>
        <v>123.05</v>
      </c>
      <c r="AK7" s="58">
        <f t="shared" si="6"/>
        <v>0</v>
      </c>
      <c r="AL7" s="58">
        <f t="array" ref="AL7">_xlfn.IFS(R7=0,AE7,R7&lt;0,AE7/-R7,R7&gt;0,AE7/R7)</f>
        <v>631.81666666666649</v>
      </c>
      <c r="AM7" s="59">
        <f t="shared" si="7"/>
        <v>0.40570419520547935</v>
      </c>
      <c r="AN7" s="60">
        <f t="shared" si="8"/>
        <v>5.3890879108381657</v>
      </c>
      <c r="AP7" s="62">
        <f t="shared" si="9"/>
        <v>0</v>
      </c>
    </row>
    <row r="8" spans="1:42">
      <c r="A8" s="39">
        <v>3064334128</v>
      </c>
      <c r="B8" s="40" t="s">
        <v>1054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8">
        <f>'Юнит 01-07.12'!K8+'Юнит 08-14.12'!K8+'Юнит 15-21.12'!K8+'Юнит 22-31.12'!K8</f>
        <v>5</v>
      </c>
      <c r="L8" s="48" t="e">
        <f>'Юнит 01-07.12'!L8+'Юнит 08-14.12'!L8+'Юнит 15-21.12'!L8+'Юнит 22-31.12'!L8+#REF!</f>
        <v>#REF!</v>
      </c>
      <c r="M8" s="48" t="e">
        <f>'Юнит 01-07.12'!M8+'Юнит 08-14.12'!M8+'Юнит 15-21.12'!M8+'Юнит 22-31.12'!M8+#REF!</f>
        <v>#REF!</v>
      </c>
      <c r="N8" s="48">
        <f t="shared" si="10"/>
        <v>0.16129032258064516</v>
      </c>
      <c r="O8" s="48">
        <f t="shared" si="11"/>
        <v>0.12903225806451613</v>
      </c>
      <c r="P8" s="48">
        <f>'Юнит 01-07.12'!P8+'Юнит 08-14.12'!P8+'Юнит 15-21.12'!P8+'Юнит 22-31.12'!P8</f>
        <v>4</v>
      </c>
      <c r="Q8" s="48">
        <f>'Юнит 01-07.12'!Q8+'Юнит 08-14.12'!Q8+'Юнит 15-21.12'!Q8+'Юнит 22-31.12'!Q8</f>
        <v>0</v>
      </c>
      <c r="R8" s="48">
        <f t="shared" si="12"/>
        <v>4</v>
      </c>
      <c r="S8" s="48">
        <f>'Юнит 01-07.12'!S8+'Юнит 08-14.12'!S8+'Юнит 15-21.12'!S8+'Юнит 22-31.12'!S8</f>
        <v>6697</v>
      </c>
      <c r="T8" s="48">
        <f>'Юнит 01-07.12'!T8+'Юнит 08-14.12'!T8+'Юнит 15-21.12'!T8+'Юнит 22-31.12'!T8</f>
        <v>0</v>
      </c>
      <c r="U8" s="48">
        <f t="shared" si="13"/>
        <v>6697</v>
      </c>
      <c r="V8" s="48">
        <f t="shared" si="14"/>
        <v>2.004921743087406E-2</v>
      </c>
      <c r="W8" s="48">
        <f>'Юнит 01-07.12'!W8+'Юнит 08-14.12'!W8+'Юнит 15-21.12'!W8+'Юнит 22-31.12'!W8</f>
        <v>492</v>
      </c>
      <c r="X8" s="48">
        <f>'Юнит 01-07.12'!X8+'Юнит 08-14.12'!X8+'Юнит 15-21.12'!X8+'Юнит 22-31.12'!X8</f>
        <v>2879.71</v>
      </c>
      <c r="Y8" s="431">
        <f t="shared" si="15"/>
        <v>0.43</v>
      </c>
      <c r="Z8" s="48">
        <f>'Юнит 01-07.12'!Z8+'Юнит 08-14.12'!Z8+'Юнит 15-21.12'!Z8+'Юнит 22-31.12'!Z8</f>
        <v>912.43999999999994</v>
      </c>
      <c r="AA8" s="48">
        <f>'Юнит 01-07.12'!AA8+'Юнит 08-14.12'!AA8+'Юнит 15-21.12'!AA8+'Юнит 22-31.12'!AA8</f>
        <v>2847.3525220000001</v>
      </c>
      <c r="AB8" s="64"/>
      <c r="AC8" s="51"/>
      <c r="AD8" s="55">
        <f>U8*1%</f>
        <v>66.97</v>
      </c>
      <c r="AE8" s="56">
        <f t="shared" si="1"/>
        <v>-501.47252200000025</v>
      </c>
      <c r="AF8" s="55"/>
      <c r="AG8" s="57">
        <f t="shared" si="2"/>
        <v>1674.25</v>
      </c>
      <c r="AH8" s="58">
        <f t="shared" si="3"/>
        <v>123</v>
      </c>
      <c r="AI8" s="58">
        <f t="shared" si="4"/>
        <v>719.92750000000001</v>
      </c>
      <c r="AJ8" s="58">
        <f t="shared" si="5"/>
        <v>228.10999999999999</v>
      </c>
      <c r="AK8" s="58">
        <f t="shared" si="6"/>
        <v>711.83813050000003</v>
      </c>
      <c r="AL8" s="58">
        <f t="array" ref="AL8">_xlfn.IFS(R8=0,AE8,R8&lt;0,AE8/-R8,R8&gt;0,AE8/R8)</f>
        <v>-125.36813050000006</v>
      </c>
      <c r="AM8" s="59">
        <f t="shared" si="7"/>
        <v>-7.4880173510527143E-2</v>
      </c>
      <c r="AN8" s="60">
        <f t="shared" si="8"/>
        <v>-1.0192530934959354</v>
      </c>
      <c r="AP8" s="62">
        <f t="shared" si="9"/>
        <v>0</v>
      </c>
    </row>
    <row r="9" spans="1:42">
      <c r="A9" s="39">
        <v>3064334311</v>
      </c>
      <c r="B9" s="40" t="s">
        <v>1055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8">
        <f>'Юнит 01-07.12'!K9+'Юнит 08-14.12'!K9+'Юнит 15-21.12'!K9+'Юнит 22-31.12'!K9</f>
        <v>6</v>
      </c>
      <c r="L9" s="48" t="e">
        <f>'Юнит 01-07.12'!L9+'Юнит 08-14.12'!L9+'Юнит 15-21.12'!L9+'Юнит 22-31.12'!L9+#REF!</f>
        <v>#REF!</v>
      </c>
      <c r="M9" s="48" t="e">
        <f>'Юнит 01-07.12'!M9+'Юнит 08-14.12'!M9+'Юнит 15-21.12'!M9+'Юнит 22-31.12'!M9+#REF!</f>
        <v>#REF!</v>
      </c>
      <c r="N9" s="48">
        <f t="shared" si="10"/>
        <v>0.19354838709677419</v>
      </c>
      <c r="O9" s="48">
        <f t="shared" si="11"/>
        <v>0.16129032258064516</v>
      </c>
      <c r="P9" s="48">
        <f>'Юнит 01-07.12'!P9+'Юнит 08-14.12'!P9+'Юнит 15-21.12'!P9+'Юнит 22-31.12'!P9</f>
        <v>5</v>
      </c>
      <c r="Q9" s="48">
        <f>'Юнит 01-07.12'!Q9+'Юнит 08-14.12'!Q9+'Юнит 15-21.12'!Q9+'Юнит 22-31.12'!Q9</f>
        <v>0</v>
      </c>
      <c r="R9" s="48">
        <f t="shared" si="12"/>
        <v>5</v>
      </c>
      <c r="S9" s="48">
        <f>'Юнит 01-07.12'!S9+'Юнит 08-14.12'!S9+'Юнит 15-21.12'!S9+'Юнит 22-31.12'!S9</f>
        <v>10215</v>
      </c>
      <c r="T9" s="48">
        <f>'Юнит 01-07.12'!T9+'Юнит 08-14.12'!T9+'Юнит 15-21.12'!T9+'Юнит 22-31.12'!T9</f>
        <v>0</v>
      </c>
      <c r="U9" s="48">
        <f t="shared" si="13"/>
        <v>10215</v>
      </c>
      <c r="V9" s="48">
        <f t="shared" si="14"/>
        <v>3.0581268636162239E-2</v>
      </c>
      <c r="W9" s="48">
        <f>'Юнит 01-07.12'!W9+'Юнит 08-14.12'!W9+'Юнит 15-21.12'!W9+'Юнит 22-31.12'!W9</f>
        <v>615</v>
      </c>
      <c r="X9" s="48">
        <f>'Юнит 01-07.12'!X9+'Юнит 08-14.12'!X9+'Юнит 15-21.12'!X9+'Юнит 22-31.12'!X9</f>
        <v>4392.45</v>
      </c>
      <c r="Y9" s="431">
        <f t="shared" si="15"/>
        <v>0.43</v>
      </c>
      <c r="Z9" s="48">
        <f>'Юнит 01-07.12'!Z9+'Юнит 08-14.12'!Z9+'Юнит 15-21.12'!Z9+'Юнит 22-31.12'!Z9</f>
        <v>1045.67</v>
      </c>
      <c r="AA9" s="48">
        <f>'Юнит 01-07.12'!AA9+'Юнит 08-14.12'!AA9+'Юнит 15-21.12'!AA9+'Юнит 22-31.12'!AA9</f>
        <v>5673.2258629999997</v>
      </c>
      <c r="AB9" s="64"/>
      <c r="AC9" s="51"/>
      <c r="AD9" s="55">
        <f>U9*1%</f>
        <v>102.15</v>
      </c>
      <c r="AE9" s="56">
        <f t="shared" si="1"/>
        <v>-1613.4958629999996</v>
      </c>
      <c r="AF9" s="55"/>
      <c r="AG9" s="57">
        <f t="shared" si="2"/>
        <v>2043</v>
      </c>
      <c r="AH9" s="58">
        <f t="shared" si="3"/>
        <v>123</v>
      </c>
      <c r="AI9" s="58">
        <f t="shared" si="4"/>
        <v>878.49</v>
      </c>
      <c r="AJ9" s="58">
        <f t="shared" si="5"/>
        <v>209.13400000000001</v>
      </c>
      <c r="AK9" s="58">
        <f t="shared" si="6"/>
        <v>1134.6451726</v>
      </c>
      <c r="AL9" s="58">
        <f t="array" ref="AL9">_xlfn.IFS(R9=0,AE9,R9&lt;0,AE9/-R9,R9&gt;0,AE9/R9)</f>
        <v>-322.69917259999994</v>
      </c>
      <c r="AM9" s="59">
        <f t="shared" si="7"/>
        <v>-0.15795358423886438</v>
      </c>
      <c r="AN9" s="60">
        <f t="shared" si="8"/>
        <v>-2.623570508943089</v>
      </c>
      <c r="AP9" s="62">
        <f t="shared" si="9"/>
        <v>0</v>
      </c>
    </row>
    <row r="10" spans="1:42">
      <c r="A10" s="39">
        <v>2638291563</v>
      </c>
      <c r="B10" s="40" t="s">
        <v>88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8">
        <f>'Юнит 01-07.12'!K10+'Юнит 08-14.12'!K10+'Юнит 15-21.12'!K10+'Юнит 22-31.12'!K10</f>
        <v>4</v>
      </c>
      <c r="L10" s="48" t="e">
        <f>'Юнит 01-07.12'!L10+'Юнит 08-14.12'!L10+'Юнит 15-21.12'!L10+'Юнит 22-31.12'!L10+#REF!</f>
        <v>#REF!</v>
      </c>
      <c r="M10" s="48" t="e">
        <f>'Юнит 01-07.12'!M10+'Юнит 08-14.12'!M10+'Юнит 15-21.12'!M10+'Юнит 22-31.12'!M10+#REF!</f>
        <v>#REF!</v>
      </c>
      <c r="N10" s="48">
        <f t="shared" si="10"/>
        <v>0.12903225806451613</v>
      </c>
      <c r="O10" s="48">
        <f t="shared" si="11"/>
        <v>0.12903225806451613</v>
      </c>
      <c r="P10" s="48">
        <f>'Юнит 01-07.12'!P10+'Юнит 08-14.12'!P10+'Юнит 15-21.12'!P10+'Юнит 22-31.12'!P10</f>
        <v>4</v>
      </c>
      <c r="Q10" s="48">
        <f>'Юнит 01-07.12'!Q10+'Юнит 08-14.12'!Q10+'Юнит 15-21.12'!Q10+'Юнит 22-31.12'!Q10</f>
        <v>0</v>
      </c>
      <c r="R10" s="48">
        <f t="shared" si="12"/>
        <v>4</v>
      </c>
      <c r="S10" s="48">
        <f>'Юнит 01-07.12'!S10+'Юнит 08-14.12'!S10+'Юнит 15-21.12'!S10+'Юнит 22-31.12'!S10</f>
        <v>5168</v>
      </c>
      <c r="T10" s="48">
        <f>'Юнит 01-07.12'!T10+'Юнит 08-14.12'!T10+'Юнит 15-21.12'!T10+'Юнит 22-31.12'!T10</f>
        <v>0</v>
      </c>
      <c r="U10" s="48">
        <f t="shared" si="13"/>
        <v>5168</v>
      </c>
      <c r="V10" s="48">
        <f t="shared" si="14"/>
        <v>1.5471756858706456E-2</v>
      </c>
      <c r="W10" s="48">
        <f>'Юнит 01-07.12'!W10+'Юнит 08-14.12'!W10+'Юнит 15-21.12'!W10+'Юнит 22-31.12'!W10</f>
        <v>679.56</v>
      </c>
      <c r="X10" s="48">
        <f>'Юнит 01-07.12'!X10+'Юнит 08-14.12'!X10+'Юнит 15-21.12'!X10+'Юнит 22-31.12'!X10</f>
        <v>2222.2400000000002</v>
      </c>
      <c r="Y10" s="431">
        <f t="shared" si="15"/>
        <v>0.43000000000000005</v>
      </c>
      <c r="Z10" s="48">
        <f>'Юнит 01-07.12'!Z10+'Юнит 08-14.12'!Z10+'Юнит 15-21.12'!Z10+'Юнит 22-31.12'!Z10</f>
        <v>424.54</v>
      </c>
      <c r="AA10" s="48">
        <f>'Юнит 01-07.12'!AA10+'Юнит 08-14.12'!AA10+'Юнит 15-21.12'!AA10+'Юнит 22-31.12'!AA10</f>
        <v>0</v>
      </c>
      <c r="AB10" s="64"/>
      <c r="AC10" s="51"/>
      <c r="AD10" s="55">
        <f>U10*1%</f>
        <v>51.68</v>
      </c>
      <c r="AE10" s="56">
        <f t="shared" si="1"/>
        <v>1789.9800000000002</v>
      </c>
      <c r="AF10" s="55"/>
      <c r="AG10" s="57">
        <f t="shared" si="2"/>
        <v>1292</v>
      </c>
      <c r="AH10" s="58">
        <f t="shared" si="3"/>
        <v>169.89</v>
      </c>
      <c r="AI10" s="58">
        <f t="shared" si="4"/>
        <v>555.56000000000006</v>
      </c>
      <c r="AJ10" s="58">
        <f t="shared" si="5"/>
        <v>106.13500000000001</v>
      </c>
      <c r="AK10" s="58">
        <f t="shared" si="6"/>
        <v>0</v>
      </c>
      <c r="AL10" s="58">
        <f t="array" ref="AL10">_xlfn.IFS(R10=0,AE10,R10&lt;0,AE10/-R10,R10&gt;0,AE10/R10)</f>
        <v>447.49500000000006</v>
      </c>
      <c r="AM10" s="59">
        <f t="shared" si="7"/>
        <v>0.34635835913312696</v>
      </c>
      <c r="AN10" s="60">
        <f t="shared" si="8"/>
        <v>2.6340279004061458</v>
      </c>
      <c r="AP10" s="62">
        <f t="shared" si="9"/>
        <v>0</v>
      </c>
    </row>
    <row r="11" spans="1:42">
      <c r="A11" s="39">
        <v>2730130733</v>
      </c>
      <c r="B11" s="40" t="s">
        <v>224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8">
        <f>'Юнит 01-07.12'!K11+'Юнит 08-14.12'!K11+'Юнит 15-21.12'!K11+'Юнит 22-31.12'!K11</f>
        <v>4</v>
      </c>
      <c r="L11" s="48" t="e">
        <f>'Юнит 01-07.12'!L11+'Юнит 08-14.12'!L11+'Юнит 15-21.12'!L11+'Юнит 22-31.12'!L11+#REF!</f>
        <v>#REF!</v>
      </c>
      <c r="M11" s="48" t="e">
        <f>'Юнит 01-07.12'!M11+'Юнит 08-14.12'!M11+'Юнит 15-21.12'!M11+'Юнит 22-31.12'!M11+#REF!</f>
        <v>#REF!</v>
      </c>
      <c r="N11" s="48">
        <f t="shared" si="10"/>
        <v>0.12903225806451613</v>
      </c>
      <c r="O11" s="48">
        <f t="shared" si="11"/>
        <v>6.4516129032258063E-2</v>
      </c>
      <c r="P11" s="48">
        <f>'Юнит 01-07.12'!P11+'Юнит 08-14.12'!P11+'Юнит 15-21.12'!P11+'Юнит 22-31.12'!P11</f>
        <v>2</v>
      </c>
      <c r="Q11" s="48">
        <f>'Юнит 01-07.12'!Q11+'Юнит 08-14.12'!Q11+'Юнит 15-21.12'!Q11+'Юнит 22-31.12'!Q11</f>
        <v>0</v>
      </c>
      <c r="R11" s="48">
        <f t="shared" si="12"/>
        <v>2</v>
      </c>
      <c r="S11" s="48">
        <f>'Юнит 01-07.12'!S11+'Юнит 08-14.12'!S11+'Юнит 15-21.12'!S11+'Юнит 22-31.12'!S11</f>
        <v>2858</v>
      </c>
      <c r="T11" s="48">
        <f>'Юнит 01-07.12'!T11+'Юнит 08-14.12'!T11+'Юнит 15-21.12'!T11+'Юнит 22-31.12'!T11</f>
        <v>0</v>
      </c>
      <c r="U11" s="48">
        <f t="shared" si="13"/>
        <v>2858</v>
      </c>
      <c r="V11" s="48">
        <f t="shared" si="14"/>
        <v>8.5561689439208697E-3</v>
      </c>
      <c r="W11" s="48">
        <f>'Юнит 01-07.12'!W11+'Юнит 08-14.12'!W11+'Юнит 15-21.12'!W11+'Юнит 22-31.12'!W11</f>
        <v>339.78</v>
      </c>
      <c r="X11" s="48">
        <f>'Юнит 01-07.12'!X11+'Юнит 08-14.12'!X11+'Юнит 15-21.12'!X11+'Юнит 22-31.12'!X11</f>
        <v>1228.94</v>
      </c>
      <c r="Y11" s="431">
        <f t="shared" si="15"/>
        <v>0.43</v>
      </c>
      <c r="Z11" s="48">
        <f>'Юнит 01-07.12'!Z11+'Юнит 08-14.12'!Z11+'Юнит 15-21.12'!Z11+'Юнит 22-31.12'!Z11</f>
        <v>394.11999999999995</v>
      </c>
      <c r="AA11" s="48">
        <f>'Юнит 01-07.12'!AA11+'Юнит 08-14.12'!AA11+'Юнит 15-21.12'!AA11+'Юнит 22-31.12'!AA11</f>
        <v>0</v>
      </c>
      <c r="AB11" s="64"/>
      <c r="AC11" s="51"/>
      <c r="AD11" s="55">
        <f>U11*1%</f>
        <v>28.580000000000002</v>
      </c>
      <c r="AE11" s="56">
        <f t="shared" si="1"/>
        <v>866.58000000000027</v>
      </c>
      <c r="AF11" s="55"/>
      <c r="AG11" s="57">
        <f t="shared" si="2"/>
        <v>1429</v>
      </c>
      <c r="AH11" s="58">
        <f t="shared" si="3"/>
        <v>169.89</v>
      </c>
      <c r="AI11" s="58">
        <f t="shared" si="4"/>
        <v>614.47</v>
      </c>
      <c r="AJ11" s="58">
        <f t="shared" si="5"/>
        <v>197.05999999999997</v>
      </c>
      <c r="AK11" s="58">
        <f t="shared" si="6"/>
        <v>0</v>
      </c>
      <c r="AL11" s="58">
        <f t="array" ref="AL11">_xlfn.IFS(R11=0,AE11,R11&lt;0,AE11/-R11,R11&gt;0,AE11/R11)</f>
        <v>433.29000000000013</v>
      </c>
      <c r="AM11" s="59">
        <f t="shared" si="7"/>
        <v>0.30321203638908339</v>
      </c>
      <c r="AN11" s="60">
        <f t="shared" si="8"/>
        <v>2.5504149743951978</v>
      </c>
      <c r="AP11" s="62">
        <f t="shared" si="9"/>
        <v>0</v>
      </c>
    </row>
    <row r="12" spans="1:42">
      <c r="A12" s="39">
        <v>2730131249</v>
      </c>
      <c r="B12" s="40" t="s">
        <v>225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8">
        <f>'Юнит 01-07.12'!K12+'Юнит 08-14.12'!K12+'Юнит 15-21.12'!K12+'Юнит 22-31.12'!K12</f>
        <v>4</v>
      </c>
      <c r="L12" s="48" t="e">
        <f>'Юнит 01-07.12'!L12+'Юнит 08-14.12'!L12+'Юнит 15-21.12'!L12+'Юнит 22-31.12'!L12+#REF!</f>
        <v>#REF!</v>
      </c>
      <c r="M12" s="48" t="e">
        <f>'Юнит 01-07.12'!M12+'Юнит 08-14.12'!M12+'Юнит 15-21.12'!M12+'Юнит 22-31.12'!M12+#REF!</f>
        <v>#REF!</v>
      </c>
      <c r="N12" s="48">
        <f t="shared" si="10"/>
        <v>0.12903225806451613</v>
      </c>
      <c r="O12" s="48">
        <f t="shared" si="11"/>
        <v>6.4516129032258063E-2</v>
      </c>
      <c r="P12" s="48">
        <f>'Юнит 01-07.12'!P12+'Юнит 08-14.12'!P12+'Юнит 15-21.12'!P12+'Юнит 22-31.12'!P12</f>
        <v>2</v>
      </c>
      <c r="Q12" s="48">
        <f>'Юнит 01-07.12'!Q12+'Юнит 08-14.12'!Q12+'Юнит 15-21.12'!Q12+'Юнит 22-31.12'!Q12</f>
        <v>0</v>
      </c>
      <c r="R12" s="48">
        <f t="shared" si="12"/>
        <v>2</v>
      </c>
      <c r="S12" s="48">
        <f>'Юнит 01-07.12'!S12+'Юнит 08-14.12'!S12+'Юнит 15-21.12'!S12+'Юнит 22-31.12'!S12</f>
        <v>2204</v>
      </c>
      <c r="T12" s="48">
        <f>'Юнит 01-07.12'!T12+'Юнит 08-14.12'!T12+'Юнит 15-21.12'!T12+'Юнит 22-31.12'!T12</f>
        <v>0</v>
      </c>
      <c r="U12" s="48">
        <f t="shared" si="13"/>
        <v>2204</v>
      </c>
      <c r="V12" s="48">
        <f t="shared" si="14"/>
        <v>6.5982492485659886E-3</v>
      </c>
      <c r="W12" s="48">
        <f>'Юнит 01-07.12'!W12+'Юнит 08-14.12'!W12+'Юнит 15-21.12'!W12+'Юнит 22-31.12'!W12</f>
        <v>339.78</v>
      </c>
      <c r="X12" s="48">
        <f>'Юнит 01-07.12'!X12+'Юнит 08-14.12'!X12+'Юнит 15-21.12'!X12+'Юнит 22-31.12'!X12</f>
        <v>947.72</v>
      </c>
      <c r="Y12" s="431">
        <f t="shared" si="15"/>
        <v>0.43</v>
      </c>
      <c r="Z12" s="48">
        <f>'Юнит 01-07.12'!Z12+'Юнит 08-14.12'!Z12+'Юнит 15-21.12'!Z12+'Юнит 22-31.12'!Z12</f>
        <v>280.8</v>
      </c>
      <c r="AA12" s="48">
        <f>'Юнит 01-07.12'!AA12+'Юнит 08-14.12'!AA12+'Юнит 15-21.12'!AA12+'Юнит 22-31.12'!AA12</f>
        <v>0</v>
      </c>
      <c r="AB12" s="64"/>
      <c r="AC12" s="51"/>
      <c r="AD12" s="55">
        <f>U12*1%</f>
        <v>22.04</v>
      </c>
      <c r="AE12" s="56">
        <f t="shared" si="1"/>
        <v>613.66000000000008</v>
      </c>
      <c r="AF12" s="55"/>
      <c r="AG12" s="57">
        <f t="shared" si="2"/>
        <v>1102</v>
      </c>
      <c r="AH12" s="58">
        <f t="shared" si="3"/>
        <v>169.89</v>
      </c>
      <c r="AI12" s="58">
        <f t="shared" si="4"/>
        <v>473.86</v>
      </c>
      <c r="AJ12" s="58">
        <f t="shared" si="5"/>
        <v>140.4</v>
      </c>
      <c r="AK12" s="58">
        <f t="shared" si="6"/>
        <v>0</v>
      </c>
      <c r="AL12" s="58">
        <f t="array" ref="AL12">_xlfn.IFS(R12=0,AE12,R12&lt;0,AE12/-R12,R12&gt;0,AE12/R12)</f>
        <v>306.83000000000004</v>
      </c>
      <c r="AM12" s="59">
        <f t="shared" si="7"/>
        <v>0.2784301270417423</v>
      </c>
      <c r="AN12" s="60">
        <f t="shared" si="8"/>
        <v>1.8060509741597508</v>
      </c>
      <c r="AP12" s="62">
        <f t="shared" si="9"/>
        <v>0</v>
      </c>
    </row>
    <row r="13" spans="1:42">
      <c r="A13" s="39">
        <v>2730130553</v>
      </c>
      <c r="B13" s="40" t="s">
        <v>226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8">
        <f>'Юнит 01-07.12'!K13+'Юнит 08-14.12'!K13+'Юнит 15-21.12'!K13+'Юнит 22-31.12'!K13</f>
        <v>6</v>
      </c>
      <c r="L13" s="48" t="e">
        <f>'Юнит 01-07.12'!L13+'Юнит 08-14.12'!L13+'Юнит 15-21.12'!L13+'Юнит 22-31.12'!L13+#REF!</f>
        <v>#REF!</v>
      </c>
      <c r="M13" s="48" t="e">
        <f>'Юнит 01-07.12'!M13+'Юнит 08-14.12'!M13+'Юнит 15-21.12'!M13+'Юнит 22-31.12'!M13+#REF!</f>
        <v>#REF!</v>
      </c>
      <c r="N13" s="48">
        <f t="shared" si="10"/>
        <v>0.19354838709677419</v>
      </c>
      <c r="O13" s="48">
        <f t="shared" si="11"/>
        <v>0.16129032258064516</v>
      </c>
      <c r="P13" s="48">
        <f>'Юнит 01-07.12'!P13+'Юнит 08-14.12'!P13+'Юнит 15-21.12'!P13+'Юнит 22-31.12'!P13</f>
        <v>5</v>
      </c>
      <c r="Q13" s="48">
        <f>'Юнит 01-07.12'!Q13+'Юнит 08-14.12'!Q13+'Юнит 15-21.12'!Q13+'Юнит 22-31.12'!Q13</f>
        <v>0</v>
      </c>
      <c r="R13" s="48">
        <f t="shared" si="12"/>
        <v>5</v>
      </c>
      <c r="S13" s="48">
        <f>'Юнит 01-07.12'!S13+'Юнит 08-14.12'!S13+'Юнит 15-21.12'!S13+'Юнит 22-31.12'!S13</f>
        <v>7909</v>
      </c>
      <c r="T13" s="48">
        <f>'Юнит 01-07.12'!T13+'Юнит 08-14.12'!T13+'Юнит 15-21.12'!T13+'Юнит 22-31.12'!T13</f>
        <v>0</v>
      </c>
      <c r="U13" s="48">
        <f t="shared" si="13"/>
        <v>7909</v>
      </c>
      <c r="V13" s="48">
        <f t="shared" si="14"/>
        <v>2.3677655765384938E-2</v>
      </c>
      <c r="W13" s="48">
        <f>'Юнит 01-07.12'!W13+'Юнит 08-14.12'!W13+'Юнит 15-21.12'!W13+'Юнит 22-31.12'!W13</f>
        <v>849.44999999999993</v>
      </c>
      <c r="X13" s="48">
        <f>'Юнит 01-07.12'!X13+'Юнит 08-14.12'!X13+'Юнит 15-21.12'!X13+'Юнит 22-31.12'!X13</f>
        <v>3400.87</v>
      </c>
      <c r="Y13" s="431">
        <f t="shared" si="15"/>
        <v>0.43</v>
      </c>
      <c r="Z13" s="48">
        <f>'Юнит 01-07.12'!Z13+'Юнит 08-14.12'!Z13+'Юнит 15-21.12'!Z13+'Юнит 22-31.12'!Z13</f>
        <v>640.53</v>
      </c>
      <c r="AA13" s="48">
        <f>'Юнит 01-07.12'!AA13+'Юнит 08-14.12'!AA13+'Юнит 15-21.12'!AA13+'Юнит 22-31.12'!AA13</f>
        <v>0</v>
      </c>
      <c r="AB13" s="64"/>
      <c r="AC13" s="51"/>
      <c r="AD13" s="55">
        <f>U13*1%</f>
        <v>79.09</v>
      </c>
      <c r="AE13" s="56">
        <f t="shared" si="1"/>
        <v>2939.0600000000004</v>
      </c>
      <c r="AF13" s="55"/>
      <c r="AG13" s="57">
        <f t="shared" si="2"/>
        <v>1581.8</v>
      </c>
      <c r="AH13" s="58">
        <f t="shared" si="3"/>
        <v>169.89</v>
      </c>
      <c r="AI13" s="58">
        <f t="shared" si="4"/>
        <v>680.17399999999998</v>
      </c>
      <c r="AJ13" s="58">
        <f t="shared" si="5"/>
        <v>128.10599999999999</v>
      </c>
      <c r="AK13" s="58">
        <f t="shared" si="6"/>
        <v>0</v>
      </c>
      <c r="AL13" s="58">
        <f t="array" ref="AL13">_xlfn.IFS(R13=0,AE13,R13&lt;0,AE13/-R13,R13&gt;0,AE13/R13)</f>
        <v>587.81200000000013</v>
      </c>
      <c r="AM13" s="59">
        <f t="shared" si="7"/>
        <v>0.37160955873056023</v>
      </c>
      <c r="AN13" s="60">
        <f t="shared" si="8"/>
        <v>3.4599564424039095</v>
      </c>
      <c r="AP13" s="62">
        <f t="shared" si="9"/>
        <v>0</v>
      </c>
    </row>
    <row r="14" spans="1:42" ht="13.75" customHeight="1">
      <c r="A14" s="39">
        <v>2730129638</v>
      </c>
      <c r="B14" s="40" t="s">
        <v>227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8">
        <f>'Юнит 01-07.12'!K14+'Юнит 08-14.12'!K14+'Юнит 15-21.12'!K14+'Юнит 22-31.12'!K14</f>
        <v>6</v>
      </c>
      <c r="L14" s="48" t="e">
        <f>'Юнит 01-07.12'!L14+'Юнит 08-14.12'!L14+'Юнит 15-21.12'!L14+'Юнит 22-31.12'!L14+#REF!</f>
        <v>#REF!</v>
      </c>
      <c r="M14" s="48" t="e">
        <f>'Юнит 01-07.12'!M14+'Юнит 08-14.12'!M14+'Юнит 15-21.12'!M14+'Юнит 22-31.12'!M14+#REF!</f>
        <v>#REF!</v>
      </c>
      <c r="N14" s="48">
        <f t="shared" si="10"/>
        <v>0.19354838709677419</v>
      </c>
      <c r="O14" s="48">
        <f t="shared" si="11"/>
        <v>0.12903225806451613</v>
      </c>
      <c r="P14" s="48">
        <f>'Юнит 01-07.12'!P14+'Юнит 08-14.12'!P14+'Юнит 15-21.12'!P14+'Юнит 22-31.12'!P14</f>
        <v>4</v>
      </c>
      <c r="Q14" s="48">
        <f>'Юнит 01-07.12'!Q14+'Юнит 08-14.12'!Q14+'Юнит 15-21.12'!Q14+'Юнит 22-31.12'!Q14</f>
        <v>0</v>
      </c>
      <c r="R14" s="48">
        <f t="shared" si="12"/>
        <v>4</v>
      </c>
      <c r="S14" s="48">
        <f>'Юнит 01-07.12'!S14+'Юнит 08-14.12'!S14+'Юнит 15-21.12'!S14+'Юнит 22-31.12'!S14</f>
        <v>6315</v>
      </c>
      <c r="T14" s="48">
        <f>'Юнит 01-07.12'!T14+'Юнит 08-14.12'!T14+'Юнит 15-21.12'!T14+'Юнит 22-31.12'!T14</f>
        <v>0</v>
      </c>
      <c r="U14" s="48">
        <f t="shared" si="13"/>
        <v>6315</v>
      </c>
      <c r="V14" s="48">
        <f t="shared" si="14"/>
        <v>1.8905600728082676E-2</v>
      </c>
      <c r="W14" s="48">
        <f>'Юнит 01-07.12'!W14+'Юнит 08-14.12'!W14+'Юнит 15-21.12'!W14+'Юнит 22-31.12'!W14</f>
        <v>679.56</v>
      </c>
      <c r="X14" s="48">
        <f>'Юнит 01-07.12'!X14+'Юнит 08-14.12'!X14+'Юнит 15-21.12'!X14+'Юнит 22-31.12'!X14</f>
        <v>2715.45</v>
      </c>
      <c r="Y14" s="431">
        <f t="shared" si="15"/>
        <v>0.43</v>
      </c>
      <c r="Z14" s="48">
        <f>'Юнит 01-07.12'!Z14+'Юнит 08-14.12'!Z14+'Юнит 15-21.12'!Z14+'Юнит 22-31.12'!Z14</f>
        <v>498.98</v>
      </c>
      <c r="AA14" s="48">
        <f>'Юнит 01-07.12'!AA14+'Юнит 08-14.12'!AA14+'Юнит 15-21.12'!AA14+'Юнит 22-31.12'!AA14</f>
        <v>893.78</v>
      </c>
      <c r="AB14" s="64"/>
      <c r="AC14" s="51"/>
      <c r="AD14" s="55">
        <f>U14*1%</f>
        <v>63.15</v>
      </c>
      <c r="AE14" s="56">
        <f t="shared" si="1"/>
        <v>1464.0800000000006</v>
      </c>
      <c r="AF14" s="55"/>
      <c r="AG14" s="57">
        <f t="shared" si="2"/>
        <v>1578.75</v>
      </c>
      <c r="AH14" s="58">
        <f t="shared" si="3"/>
        <v>169.89</v>
      </c>
      <c r="AI14" s="58">
        <f t="shared" si="4"/>
        <v>678.86249999999995</v>
      </c>
      <c r="AJ14" s="58">
        <f t="shared" si="5"/>
        <v>124.745</v>
      </c>
      <c r="AK14" s="58">
        <f t="shared" si="6"/>
        <v>223.44499999999999</v>
      </c>
      <c r="AL14" s="58">
        <f t="array" ref="AL14">_xlfn.IFS(R14=0,AE14,R14&lt;0,AE14/-R14,R14&gt;0,AE14/R14)</f>
        <v>366.02000000000015</v>
      </c>
      <c r="AM14" s="59">
        <f t="shared" si="7"/>
        <v>0.23184164687252584</v>
      </c>
      <c r="AN14" s="60">
        <f t="shared" si="8"/>
        <v>2.154452881276121</v>
      </c>
      <c r="AP14" s="62">
        <f t="shared" si="9"/>
        <v>0</v>
      </c>
    </row>
    <row r="15" spans="1:42" ht="13.75" customHeight="1">
      <c r="A15" s="39">
        <v>2730130141</v>
      </c>
      <c r="B15" s="40" t="s">
        <v>228</v>
      </c>
      <c r="C15" s="41"/>
      <c r="D15" s="42"/>
      <c r="E15" s="42"/>
      <c r="F15" s="42"/>
      <c r="G15" s="43"/>
      <c r="H15" s="44">
        <v>169.89</v>
      </c>
      <c r="I15" s="63">
        <f t="shared" si="0"/>
        <v>0</v>
      </c>
      <c r="J15" s="45"/>
      <c r="K15" s="48">
        <f>'Юнит 01-07.12'!K15+'Юнит 08-14.12'!K15+'Юнит 15-21.12'!K15+'Юнит 22-31.12'!K15</f>
        <v>15</v>
      </c>
      <c r="L15" s="48" t="e">
        <f>'Юнит 01-07.12'!L15+'Юнит 08-14.12'!L15+'Юнит 15-21.12'!L15+'Юнит 22-31.12'!L15+#REF!</f>
        <v>#REF!</v>
      </c>
      <c r="M15" s="48" t="e">
        <f>'Юнит 01-07.12'!M15+'Юнит 08-14.12'!M15+'Юнит 15-21.12'!M15+'Юнит 22-31.12'!M15+#REF!</f>
        <v>#REF!</v>
      </c>
      <c r="N15" s="48">
        <f t="shared" si="10"/>
        <v>0.4838709677419355</v>
      </c>
      <c r="O15" s="48">
        <f t="shared" si="11"/>
        <v>0.19354838709677419</v>
      </c>
      <c r="P15" s="48">
        <f>'Юнит 01-07.12'!P15+'Юнит 08-14.12'!P15+'Юнит 15-21.12'!P15+'Юнит 22-31.12'!P15</f>
        <v>6</v>
      </c>
      <c r="Q15" s="48">
        <f>'Юнит 01-07.12'!Q15+'Юнит 08-14.12'!Q15+'Юнит 15-21.12'!Q15+'Юнит 22-31.12'!Q15</f>
        <v>0</v>
      </c>
      <c r="R15" s="48">
        <f t="shared" si="12"/>
        <v>6</v>
      </c>
      <c r="S15" s="48">
        <f>'Юнит 01-07.12'!S15+'Юнит 08-14.12'!S15+'Юнит 15-21.12'!S15+'Юнит 22-31.12'!S15</f>
        <v>8180</v>
      </c>
      <c r="T15" s="48">
        <f>'Юнит 01-07.12'!T15+'Юнит 08-14.12'!T15+'Юнит 15-21.12'!T15+'Юнит 22-31.12'!T15</f>
        <v>0</v>
      </c>
      <c r="U15" s="48">
        <f t="shared" si="13"/>
        <v>8180</v>
      </c>
      <c r="V15" s="48">
        <f t="shared" si="14"/>
        <v>2.4488964996946364E-2</v>
      </c>
      <c r="W15" s="48">
        <f>'Юнит 01-07.12'!W15+'Юнит 08-14.12'!W15+'Юнит 15-21.12'!W15+'Юнит 22-31.12'!W15</f>
        <v>1019.3399999999999</v>
      </c>
      <c r="X15" s="48">
        <f>'Юнит 01-07.12'!X15+'Юнит 08-14.12'!X15+'Юнит 15-21.12'!X15+'Юнит 22-31.12'!X15</f>
        <v>3517.4</v>
      </c>
      <c r="Y15" s="431">
        <f t="shared" si="15"/>
        <v>0.43</v>
      </c>
      <c r="Z15" s="48">
        <f>'Юнит 01-07.12'!Z15+'Юнит 08-14.12'!Z15+'Юнит 15-21.12'!Z15+'Юнит 22-31.12'!Z15</f>
        <v>1466.11</v>
      </c>
      <c r="AA15" s="48">
        <f>'Юнит 01-07.12'!AA15+'Юнит 08-14.12'!AA15+'Юнит 15-21.12'!AA15+'Юнит 22-31.12'!AA15</f>
        <v>1796.7600000000002</v>
      </c>
      <c r="AB15" s="64"/>
      <c r="AC15" s="51"/>
      <c r="AD15" s="55">
        <f>U15*1%</f>
        <v>81.8</v>
      </c>
      <c r="AE15" s="56">
        <f t="shared" si="1"/>
        <v>298.58999999999941</v>
      </c>
      <c r="AF15" s="55"/>
      <c r="AG15" s="57">
        <f t="shared" si="2"/>
        <v>1363.3333333333333</v>
      </c>
      <c r="AH15" s="58">
        <f t="shared" si="3"/>
        <v>169.89</v>
      </c>
      <c r="AI15" s="58">
        <f t="shared" si="4"/>
        <v>586.23333333333335</v>
      </c>
      <c r="AJ15" s="58">
        <f t="shared" si="5"/>
        <v>244.35166666666666</v>
      </c>
      <c r="AK15" s="58">
        <f t="shared" si="6"/>
        <v>299.46000000000004</v>
      </c>
      <c r="AL15" s="58">
        <f t="array" ref="AL15">_xlfn.IFS(R15=0,AE15,R15&lt;0,AE15/-R15,R15&gt;0,AE15/R15)</f>
        <v>49.764999999999901</v>
      </c>
      <c r="AM15" s="59">
        <f t="shared" si="7"/>
        <v>3.6502444987774989E-2</v>
      </c>
      <c r="AN15" s="60">
        <f t="shared" si="8"/>
        <v>0.29292483371593331</v>
      </c>
      <c r="AP15" s="62">
        <f t="shared" si="9"/>
        <v>0</v>
      </c>
    </row>
    <row r="16" spans="1:42" ht="13.75" customHeight="1">
      <c r="A16" s="39">
        <v>2730129805</v>
      </c>
      <c r="B16" s="40" t="s">
        <v>19</v>
      </c>
      <c r="C16" s="41"/>
      <c r="D16" s="42"/>
      <c r="E16" s="42"/>
      <c r="F16" s="42"/>
      <c r="G16" s="43"/>
      <c r="H16" s="44">
        <v>169.89</v>
      </c>
      <c r="I16" s="63">
        <f t="shared" si="0"/>
        <v>0</v>
      </c>
      <c r="J16" s="45"/>
      <c r="K16" s="48">
        <f>'Юнит 01-07.12'!K16+'Юнит 08-14.12'!K16+'Юнит 15-21.12'!K16+'Юнит 22-31.12'!K16</f>
        <v>1</v>
      </c>
      <c r="L16" s="48" t="e">
        <f>'Юнит 01-07.12'!L16+'Юнит 08-14.12'!L16+'Юнит 15-21.12'!L16+'Юнит 22-31.12'!L16+#REF!</f>
        <v>#REF!</v>
      </c>
      <c r="M16" s="48" t="e">
        <f>'Юнит 01-07.12'!M16+'Юнит 08-14.12'!M16+'Юнит 15-21.12'!M16+'Юнит 22-31.12'!M16+#REF!</f>
        <v>#REF!</v>
      </c>
      <c r="N16" s="48">
        <f t="shared" si="10"/>
        <v>3.2258064516129031E-2</v>
      </c>
      <c r="O16" s="48">
        <f t="shared" si="11"/>
        <v>3.2258064516129031E-2</v>
      </c>
      <c r="P16" s="48">
        <f>'Юнит 01-07.12'!P16+'Юнит 08-14.12'!P16+'Юнит 15-21.12'!P16+'Юнит 22-31.12'!P16</f>
        <v>1</v>
      </c>
      <c r="Q16" s="48">
        <f>'Юнит 01-07.12'!Q16+'Юнит 08-14.12'!Q16+'Юнит 15-21.12'!Q16+'Юнит 22-31.12'!Q16</f>
        <v>0</v>
      </c>
      <c r="R16" s="48">
        <f t="shared" si="12"/>
        <v>1</v>
      </c>
      <c r="S16" s="48">
        <f>'Юнит 01-07.12'!S16+'Юнит 08-14.12'!S16+'Юнит 15-21.12'!S16+'Юнит 22-31.12'!S16</f>
        <v>1233</v>
      </c>
      <c r="T16" s="48">
        <f>'Юнит 01-07.12'!T16+'Юнит 08-14.12'!T16+'Юнит 15-21.12'!T16+'Юнит 22-31.12'!T16</f>
        <v>0</v>
      </c>
      <c r="U16" s="48">
        <f t="shared" si="13"/>
        <v>1233</v>
      </c>
      <c r="V16" s="48">
        <f t="shared" si="14"/>
        <v>3.6913073155543847E-3</v>
      </c>
      <c r="W16" s="48">
        <f>'Юнит 01-07.12'!W16+'Юнит 08-14.12'!W16+'Юнит 15-21.12'!W16+'Юнит 22-31.12'!W16</f>
        <v>169.89</v>
      </c>
      <c r="X16" s="48">
        <f>'Юнит 01-07.12'!X16+'Юнит 08-14.12'!X16+'Юнит 15-21.12'!X16+'Юнит 22-31.12'!X16</f>
        <v>530.19000000000005</v>
      </c>
      <c r="Y16" s="431">
        <f t="shared" si="15"/>
        <v>0.43000000000000005</v>
      </c>
      <c r="Z16" s="48">
        <f>'Юнит 01-07.12'!Z16+'Юнит 08-14.12'!Z16+'Юнит 15-21.12'!Z16+'Юнит 22-31.12'!Z16</f>
        <v>102.06</v>
      </c>
      <c r="AA16" s="48">
        <f>'Юнит 01-07.12'!AA16+'Юнит 08-14.12'!AA16+'Юнит 15-21.12'!AA16+'Юнит 22-31.12'!AA16</f>
        <v>664.7</v>
      </c>
      <c r="AB16" s="64"/>
      <c r="AC16" s="51"/>
      <c r="AD16" s="55">
        <f>U16*1%</f>
        <v>12.33</v>
      </c>
      <c r="AE16" s="56">
        <f t="shared" si="1"/>
        <v>-246.17</v>
      </c>
      <c r="AF16" s="55"/>
      <c r="AG16" s="57">
        <f t="shared" si="2"/>
        <v>1233</v>
      </c>
      <c r="AH16" s="58">
        <f t="shared" si="3"/>
        <v>169.89</v>
      </c>
      <c r="AI16" s="58">
        <f t="shared" si="4"/>
        <v>530.19000000000005</v>
      </c>
      <c r="AJ16" s="58">
        <f t="shared" si="5"/>
        <v>102.06</v>
      </c>
      <c r="AK16" s="58">
        <f t="shared" si="6"/>
        <v>664.7</v>
      </c>
      <c r="AL16" s="58">
        <f t="array" ref="AL16">_xlfn.IFS(R16=0,AE16,R16&lt;0,AE16/-R16,R16&gt;0,AE16/R16)</f>
        <v>-246.17</v>
      </c>
      <c r="AM16" s="59">
        <f t="shared" si="7"/>
        <v>-0.19965125709651257</v>
      </c>
      <c r="AN16" s="60">
        <f t="shared" si="8"/>
        <v>-1.4489964094414034</v>
      </c>
      <c r="AP16" s="62">
        <f t="shared" si="9"/>
        <v>0</v>
      </c>
    </row>
    <row r="17" spans="1:52" ht="13.75" customHeight="1">
      <c r="A17" s="39">
        <v>2807226201</v>
      </c>
      <c r="B17" s="40" t="s">
        <v>229</v>
      </c>
      <c r="C17" s="41"/>
      <c r="D17" s="42"/>
      <c r="E17" s="42"/>
      <c r="F17" s="42"/>
      <c r="G17" s="43"/>
      <c r="H17" s="44">
        <v>1002.82</v>
      </c>
      <c r="I17" s="63">
        <f t="shared" si="0"/>
        <v>0</v>
      </c>
      <c r="J17" s="45"/>
      <c r="K17" s="48">
        <f>'Юнит 01-07.12'!K17+'Юнит 08-14.12'!K17+'Юнит 15-21.12'!K17+'Юнит 22-31.12'!K17</f>
        <v>0</v>
      </c>
      <c r="L17" s="48" t="e">
        <f>'Юнит 01-07.12'!L17+'Юнит 08-14.12'!L17+'Юнит 15-21.12'!L17+'Юнит 22-31.12'!L17+#REF!</f>
        <v>#REF!</v>
      </c>
      <c r="M17" s="48" t="e">
        <f>'Юнит 01-07.12'!M17+'Юнит 08-14.12'!M17+'Юнит 15-21.12'!M17+'Юнит 22-31.12'!M17+#REF!</f>
        <v>#REF!</v>
      </c>
      <c r="N17" s="48">
        <f t="shared" si="10"/>
        <v>0</v>
      </c>
      <c r="O17" s="48">
        <f t="shared" si="11"/>
        <v>0</v>
      </c>
      <c r="P17" s="48">
        <f>'Юнит 01-07.12'!P17+'Юнит 08-14.12'!P17+'Юнит 15-21.12'!P17+'Юнит 22-31.12'!P17</f>
        <v>0</v>
      </c>
      <c r="Q17" s="48">
        <f>'Юнит 01-07.12'!Q17+'Юнит 08-14.12'!Q17+'Юнит 15-21.12'!Q17+'Юнит 22-31.12'!Q17</f>
        <v>0</v>
      </c>
      <c r="R17" s="48">
        <f t="shared" si="12"/>
        <v>0</v>
      </c>
      <c r="S17" s="48">
        <f>'Юнит 01-07.12'!S17+'Юнит 08-14.12'!S17+'Юнит 15-21.12'!S17+'Юнит 22-31.12'!S17</f>
        <v>0</v>
      </c>
      <c r="T17" s="48">
        <f>'Юнит 01-07.12'!T17+'Юнит 08-14.12'!T17+'Юнит 15-21.12'!T17+'Юнит 22-31.12'!T17</f>
        <v>0</v>
      </c>
      <c r="U17" s="48">
        <f t="shared" si="13"/>
        <v>0</v>
      </c>
      <c r="V17" s="48">
        <f t="shared" si="14"/>
        <v>0</v>
      </c>
      <c r="W17" s="48">
        <f>'Юнит 01-07.12'!W17+'Юнит 08-14.12'!W17+'Юнит 15-21.12'!W17+'Юнит 22-31.12'!W17</f>
        <v>0</v>
      </c>
      <c r="X17" s="48">
        <f>'Юнит 01-07.12'!X17+'Юнит 08-14.12'!X17+'Юнит 15-21.12'!X17+'Юнит 22-31.12'!X17</f>
        <v>0</v>
      </c>
      <c r="Y17" s="431" t="e">
        <f>X17/U17</f>
        <v>#DIV/0!</v>
      </c>
      <c r="Z17" s="48">
        <f>'Юнит 01-07.12'!Z17+'Юнит 08-14.12'!Z17+'Юнит 15-21.12'!Z17+'Юнит 22-31.12'!Z17</f>
        <v>0</v>
      </c>
      <c r="AA17" s="48">
        <f>'Юнит 01-07.12'!AA17+'Юнит 08-14.12'!AA17+'Юнит 15-21.12'!AA17+'Юнит 22-31.12'!AA17</f>
        <v>0</v>
      </c>
      <c r="AB17" s="64"/>
      <c r="AC17" s="51"/>
      <c r="AD17" s="55">
        <f>U17*1%</f>
        <v>0</v>
      </c>
      <c r="AE17" s="56">
        <f t="shared" si="1"/>
        <v>0</v>
      </c>
      <c r="AF17" s="55"/>
      <c r="AG17" s="57">
        <f t="shared" si="2"/>
        <v>0</v>
      </c>
      <c r="AH17" s="58">
        <f t="shared" si="3"/>
        <v>1002.82</v>
      </c>
      <c r="AI17" s="58">
        <f t="shared" si="4"/>
        <v>0</v>
      </c>
      <c r="AJ17" s="58">
        <f t="shared" si="5"/>
        <v>0</v>
      </c>
      <c r="AK17" s="58">
        <f t="shared" si="6"/>
        <v>0</v>
      </c>
      <c r="AL17" s="58">
        <f t="array" ref="AL17">_xlfn.IFS(R17=0,AE17,R17&lt;0,AE17/-R17,R17&gt;0,AE17/R17)</f>
        <v>0</v>
      </c>
      <c r="AM17" s="59">
        <f t="shared" si="7"/>
        <v>0</v>
      </c>
      <c r="AN17" s="60">
        <f t="shared" si="8"/>
        <v>0</v>
      </c>
      <c r="AP17" s="62">
        <f t="shared" si="9"/>
        <v>0</v>
      </c>
    </row>
    <row r="18" spans="1:52" ht="13.75" customHeight="1">
      <c r="A18" s="39">
        <v>2807226228</v>
      </c>
      <c r="B18" s="40" t="s">
        <v>230</v>
      </c>
      <c r="C18" s="41"/>
      <c r="D18" s="42"/>
      <c r="E18" s="42"/>
      <c r="F18" s="42"/>
      <c r="G18" s="43"/>
      <c r="H18" s="44">
        <v>909.22</v>
      </c>
      <c r="I18" s="63">
        <f t="shared" si="0"/>
        <v>0</v>
      </c>
      <c r="J18" s="45"/>
      <c r="K18" s="48">
        <f>'Юнит 01-07.12'!K18+'Юнит 08-14.12'!K18+'Юнит 15-21.12'!K18+'Юнит 22-31.12'!K18</f>
        <v>0</v>
      </c>
      <c r="L18" s="48" t="e">
        <f>'Юнит 01-07.12'!L18+'Юнит 08-14.12'!L18+'Юнит 15-21.12'!L18+'Юнит 22-31.12'!L18+#REF!</f>
        <v>#REF!</v>
      </c>
      <c r="M18" s="48" t="e">
        <f>'Юнит 01-07.12'!M18+'Юнит 08-14.12'!M18+'Юнит 15-21.12'!M18+'Юнит 22-31.12'!M18+#REF!</f>
        <v>#REF!</v>
      </c>
      <c r="N18" s="48">
        <f t="shared" si="10"/>
        <v>0</v>
      </c>
      <c r="O18" s="48">
        <f t="shared" si="11"/>
        <v>0</v>
      </c>
      <c r="P18" s="48">
        <f>'Юнит 01-07.12'!P18+'Юнит 08-14.12'!P18+'Юнит 15-21.12'!P18+'Юнит 22-31.12'!P18</f>
        <v>0</v>
      </c>
      <c r="Q18" s="48">
        <f>'Юнит 01-07.12'!Q18+'Юнит 08-14.12'!Q18+'Юнит 15-21.12'!Q18+'Юнит 22-31.12'!Q18</f>
        <v>0</v>
      </c>
      <c r="R18" s="48">
        <f t="shared" si="12"/>
        <v>0</v>
      </c>
      <c r="S18" s="48">
        <f>'Юнит 01-07.12'!S18+'Юнит 08-14.12'!S18+'Юнит 15-21.12'!S18+'Юнит 22-31.12'!S18</f>
        <v>0</v>
      </c>
      <c r="T18" s="48">
        <f>'Юнит 01-07.12'!T18+'Юнит 08-14.12'!T18+'Юнит 15-21.12'!T18+'Юнит 22-31.12'!T18</f>
        <v>0</v>
      </c>
      <c r="U18" s="48">
        <f t="shared" si="13"/>
        <v>0</v>
      </c>
      <c r="V18" s="48">
        <f t="shared" si="14"/>
        <v>0</v>
      </c>
      <c r="W18" s="48">
        <f>'Юнит 01-07.12'!W18+'Юнит 08-14.12'!W18+'Юнит 15-21.12'!W18+'Юнит 22-31.12'!W18</f>
        <v>0</v>
      </c>
      <c r="X18" s="48">
        <f>'Юнит 01-07.12'!X18+'Юнит 08-14.12'!X18+'Юнит 15-21.12'!X18+'Юнит 22-31.12'!X18</f>
        <v>0</v>
      </c>
      <c r="Y18" s="431" t="e">
        <f t="shared" si="15"/>
        <v>#DIV/0!</v>
      </c>
      <c r="Z18" s="48">
        <f>'Юнит 01-07.12'!Z18+'Юнит 08-14.12'!Z18+'Юнит 15-21.12'!Z18+'Юнит 22-31.12'!Z18</f>
        <v>0</v>
      </c>
      <c r="AA18" s="48">
        <f>'Юнит 01-07.12'!AA18+'Юнит 08-14.12'!AA18+'Юнит 15-21.12'!AA18+'Юнит 22-31.12'!AA18</f>
        <v>0</v>
      </c>
      <c r="AB18" s="64"/>
      <c r="AC18" s="51"/>
      <c r="AD18" s="55">
        <f>U18*1%</f>
        <v>0</v>
      </c>
      <c r="AE18" s="56">
        <f t="shared" si="1"/>
        <v>0</v>
      </c>
      <c r="AF18" s="55"/>
      <c r="AG18" s="57">
        <f t="shared" si="2"/>
        <v>0</v>
      </c>
      <c r="AH18" s="58">
        <f t="shared" si="3"/>
        <v>909.22</v>
      </c>
      <c r="AI18" s="58">
        <f t="shared" si="4"/>
        <v>0</v>
      </c>
      <c r="AJ18" s="58">
        <f t="shared" si="5"/>
        <v>0</v>
      </c>
      <c r="AK18" s="58">
        <f t="shared" si="6"/>
        <v>0</v>
      </c>
      <c r="AL18" s="58">
        <f t="array" ref="AL18">_xlfn.IFS(R18=0,AE18,R18&lt;0,AE18/-R18,R18&gt;0,AE18/R18)</f>
        <v>0</v>
      </c>
      <c r="AM18" s="59">
        <f t="shared" si="7"/>
        <v>0</v>
      </c>
      <c r="AN18" s="60">
        <f t="shared" si="8"/>
        <v>0</v>
      </c>
      <c r="AP18" s="62">
        <f t="shared" si="9"/>
        <v>0</v>
      </c>
    </row>
    <row r="19" spans="1:52" ht="13.75" customHeight="1">
      <c r="A19" s="39">
        <v>2807226016</v>
      </c>
      <c r="B19" s="40" t="s">
        <v>231</v>
      </c>
      <c r="C19" s="41"/>
      <c r="D19" s="42"/>
      <c r="E19" s="42"/>
      <c r="F19" s="42"/>
      <c r="G19" s="43"/>
      <c r="H19" s="44">
        <v>909.22</v>
      </c>
      <c r="I19" s="63">
        <f t="shared" si="0"/>
        <v>0</v>
      </c>
      <c r="J19" s="45"/>
      <c r="K19" s="48">
        <f>'Юнит 01-07.12'!K19+'Юнит 08-14.12'!K19+'Юнит 15-21.12'!K19+'Юнит 22-31.12'!K19</f>
        <v>0</v>
      </c>
      <c r="L19" s="48" t="e">
        <f>'Юнит 01-07.12'!L19+'Юнит 08-14.12'!L19+'Юнит 15-21.12'!L19+'Юнит 22-31.12'!L19+#REF!</f>
        <v>#REF!</v>
      </c>
      <c r="M19" s="48" t="e">
        <f>'Юнит 01-07.12'!M19+'Юнит 08-14.12'!M19+'Юнит 15-21.12'!M19+'Юнит 22-31.12'!M19+#REF!</f>
        <v>#REF!</v>
      </c>
      <c r="N19" s="48">
        <f t="shared" si="10"/>
        <v>0</v>
      </c>
      <c r="O19" s="48">
        <f t="shared" si="11"/>
        <v>0</v>
      </c>
      <c r="P19" s="48">
        <f>'Юнит 01-07.12'!P19+'Юнит 08-14.12'!P19+'Юнит 15-21.12'!P19+'Юнит 22-31.12'!P19</f>
        <v>0</v>
      </c>
      <c r="Q19" s="48">
        <f>'Юнит 01-07.12'!Q19+'Юнит 08-14.12'!Q19+'Юнит 15-21.12'!Q19+'Юнит 22-31.12'!Q19</f>
        <v>0</v>
      </c>
      <c r="R19" s="48">
        <f t="shared" si="12"/>
        <v>0</v>
      </c>
      <c r="S19" s="48">
        <f>'Юнит 01-07.12'!S19+'Юнит 08-14.12'!S19+'Юнит 15-21.12'!S19+'Юнит 22-31.12'!S19</f>
        <v>0</v>
      </c>
      <c r="T19" s="48">
        <f>'Юнит 01-07.12'!T19+'Юнит 08-14.12'!T19+'Юнит 15-21.12'!T19+'Юнит 22-31.12'!T19</f>
        <v>0</v>
      </c>
      <c r="U19" s="48">
        <f t="shared" si="13"/>
        <v>0</v>
      </c>
      <c r="V19" s="48">
        <f t="shared" si="14"/>
        <v>0</v>
      </c>
      <c r="W19" s="48">
        <f>'Юнит 01-07.12'!W19+'Юнит 08-14.12'!W19+'Юнит 15-21.12'!W19+'Юнит 22-31.12'!W19</f>
        <v>0</v>
      </c>
      <c r="X19" s="48">
        <f>'Юнит 01-07.12'!X19+'Юнит 08-14.12'!X19+'Юнит 15-21.12'!X19+'Юнит 22-31.12'!X19</f>
        <v>0</v>
      </c>
      <c r="Y19" s="431" t="e">
        <f t="shared" si="15"/>
        <v>#DIV/0!</v>
      </c>
      <c r="Z19" s="48">
        <f>'Юнит 01-07.12'!Z19+'Юнит 08-14.12'!Z19+'Юнит 15-21.12'!Z19+'Юнит 22-31.12'!Z19</f>
        <v>0</v>
      </c>
      <c r="AA19" s="48">
        <f>'Юнит 01-07.12'!AA19+'Юнит 08-14.12'!AA19+'Юнит 15-21.12'!AA19+'Юнит 22-31.12'!AA19</f>
        <v>0</v>
      </c>
      <c r="AB19" s="64"/>
      <c r="AC19" s="51"/>
      <c r="AD19" s="55">
        <f>U19*1%</f>
        <v>0</v>
      </c>
      <c r="AE19" s="56">
        <f t="shared" si="1"/>
        <v>0</v>
      </c>
      <c r="AF19" s="55"/>
      <c r="AG19" s="57">
        <f t="shared" si="2"/>
        <v>0</v>
      </c>
      <c r="AH19" s="58">
        <f t="shared" si="3"/>
        <v>909.22</v>
      </c>
      <c r="AI19" s="58">
        <f t="shared" si="4"/>
        <v>0</v>
      </c>
      <c r="AJ19" s="58">
        <f t="shared" si="5"/>
        <v>0</v>
      </c>
      <c r="AK19" s="58">
        <f t="shared" si="6"/>
        <v>0</v>
      </c>
      <c r="AL19" s="58">
        <f t="array" ref="AL19">_xlfn.IFS(R19=0,AE19,R19&lt;0,AE19/-R19,R19&gt;0,AE19/R19)</f>
        <v>0</v>
      </c>
      <c r="AM19" s="59">
        <f t="shared" si="7"/>
        <v>0</v>
      </c>
      <c r="AN19" s="60">
        <f t="shared" si="8"/>
        <v>0</v>
      </c>
      <c r="AP19" s="62">
        <f t="shared" si="9"/>
        <v>0</v>
      </c>
    </row>
    <row r="20" spans="1:52" ht="13.75" customHeight="1">
      <c r="A20" s="39">
        <v>2807226072</v>
      </c>
      <c r="B20" s="40" t="s">
        <v>111</v>
      </c>
      <c r="C20" s="41"/>
      <c r="D20" s="42"/>
      <c r="E20" s="42"/>
      <c r="F20" s="42"/>
      <c r="G20" s="43"/>
      <c r="H20" s="44">
        <v>932.62</v>
      </c>
      <c r="I20" s="63">
        <f t="shared" si="0"/>
        <v>0</v>
      </c>
      <c r="J20" s="45"/>
      <c r="K20" s="48">
        <f>'Юнит 01-07.12'!K20+'Юнит 08-14.12'!K20+'Юнит 15-21.12'!K20+'Юнит 22-31.12'!K20</f>
        <v>2</v>
      </c>
      <c r="L20" s="48" t="e">
        <f>'Юнит 01-07.12'!L20+'Юнит 08-14.12'!L20+'Юнит 15-21.12'!L20+'Юнит 22-31.12'!L20+#REF!</f>
        <v>#REF!</v>
      </c>
      <c r="M20" s="48" t="e">
        <f>'Юнит 01-07.12'!M20+'Юнит 08-14.12'!M20+'Юнит 15-21.12'!M20+'Юнит 22-31.12'!M20+#REF!</f>
        <v>#REF!</v>
      </c>
      <c r="N20" s="48">
        <f t="shared" si="10"/>
        <v>6.4516129032258063E-2</v>
      </c>
      <c r="O20" s="48">
        <f t="shared" si="11"/>
        <v>0</v>
      </c>
      <c r="P20" s="48">
        <f>'Юнит 01-07.12'!P20+'Юнит 08-14.12'!P20+'Юнит 15-21.12'!P20+'Юнит 22-31.12'!P20</f>
        <v>0</v>
      </c>
      <c r="Q20" s="48">
        <f>'Юнит 01-07.12'!Q20+'Юнит 08-14.12'!Q20+'Юнит 15-21.12'!Q20+'Юнит 22-31.12'!Q20</f>
        <v>0</v>
      </c>
      <c r="R20" s="48">
        <f t="shared" si="12"/>
        <v>0</v>
      </c>
      <c r="S20" s="48">
        <f>'Юнит 01-07.12'!S20+'Юнит 08-14.12'!S20+'Юнит 15-21.12'!S20+'Юнит 22-31.12'!S20</f>
        <v>0</v>
      </c>
      <c r="T20" s="48">
        <f>'Юнит 01-07.12'!T20+'Юнит 08-14.12'!T20+'Юнит 15-21.12'!T20+'Юнит 22-31.12'!T20</f>
        <v>0</v>
      </c>
      <c r="U20" s="48">
        <f t="shared" si="13"/>
        <v>0</v>
      </c>
      <c r="V20" s="48">
        <f t="shared" si="14"/>
        <v>0</v>
      </c>
      <c r="W20" s="48">
        <f>'Юнит 01-07.12'!W20+'Юнит 08-14.12'!W20+'Юнит 15-21.12'!W20+'Юнит 22-31.12'!W20</f>
        <v>0</v>
      </c>
      <c r="X20" s="48">
        <f>'Юнит 01-07.12'!X20+'Юнит 08-14.12'!X20+'Юнит 15-21.12'!X20+'Юнит 22-31.12'!X20</f>
        <v>0</v>
      </c>
      <c r="Y20" s="431" t="e">
        <f t="shared" si="15"/>
        <v>#DIV/0!</v>
      </c>
      <c r="Z20" s="48">
        <f>'Юнит 01-07.12'!Z20+'Юнит 08-14.12'!Z20+'Юнит 15-21.12'!Z20+'Юнит 22-31.12'!Z20</f>
        <v>113.88</v>
      </c>
      <c r="AA20" s="48">
        <f>'Юнит 01-07.12'!AA20+'Юнит 08-14.12'!AA20+'Юнит 15-21.12'!AA20+'Юнит 22-31.12'!AA20</f>
        <v>0</v>
      </c>
      <c r="AB20" s="64"/>
      <c r="AC20" s="51"/>
      <c r="AD20" s="55">
        <f>U20*1%</f>
        <v>0</v>
      </c>
      <c r="AE20" s="56">
        <f t="shared" si="1"/>
        <v>-113.88</v>
      </c>
      <c r="AF20" s="55"/>
      <c r="AG20" s="57">
        <f t="shared" si="2"/>
        <v>0</v>
      </c>
      <c r="AH20" s="58">
        <f t="shared" si="3"/>
        <v>932.62</v>
      </c>
      <c r="AI20" s="58">
        <f t="shared" si="4"/>
        <v>0</v>
      </c>
      <c r="AJ20" s="58">
        <f t="shared" si="5"/>
        <v>113.88</v>
      </c>
      <c r="AK20" s="58">
        <f t="shared" si="6"/>
        <v>0</v>
      </c>
      <c r="AL20" s="58">
        <f t="array" ref="AL20">_xlfn.IFS(R20=0,AE20,R20&lt;0,AE20/-R20,R20&gt;0,AE20/R20)</f>
        <v>-113.88</v>
      </c>
      <c r="AM20" s="59">
        <f t="shared" si="7"/>
        <v>0</v>
      </c>
      <c r="AN20" s="60">
        <f t="shared" si="8"/>
        <v>-0.12210761081683857</v>
      </c>
      <c r="AP20" s="62">
        <f t="shared" si="9"/>
        <v>0</v>
      </c>
    </row>
    <row r="21" spans="1:52" ht="13.75" customHeight="1">
      <c r="A21" s="39">
        <v>2807226223</v>
      </c>
      <c r="B21" s="40" t="s">
        <v>232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8">
        <f>'Юнит 01-07.12'!K21+'Юнит 08-14.12'!K21+'Юнит 15-21.12'!K21+'Юнит 22-31.12'!K21</f>
        <v>0</v>
      </c>
      <c r="L21" s="48" t="e">
        <f>'Юнит 01-07.12'!L21+'Юнит 08-14.12'!L21+'Юнит 15-21.12'!L21+'Юнит 22-31.12'!L21+#REF!</f>
        <v>#REF!</v>
      </c>
      <c r="M21" s="48" t="e">
        <f>'Юнит 01-07.12'!M21+'Юнит 08-14.12'!M21+'Юнит 15-21.12'!M21+'Юнит 22-31.12'!M21+#REF!</f>
        <v>#REF!</v>
      </c>
      <c r="N21" s="48">
        <f t="shared" si="10"/>
        <v>0</v>
      </c>
      <c r="O21" s="48">
        <f t="shared" si="11"/>
        <v>0</v>
      </c>
      <c r="P21" s="48">
        <f>'Юнит 01-07.12'!P21+'Юнит 08-14.12'!P21+'Юнит 15-21.12'!P21+'Юнит 22-31.12'!P21</f>
        <v>0</v>
      </c>
      <c r="Q21" s="48">
        <f>'Юнит 01-07.12'!Q21+'Юнит 08-14.12'!Q21+'Юнит 15-21.12'!Q21+'Юнит 22-31.12'!Q21</f>
        <v>0</v>
      </c>
      <c r="R21" s="48">
        <f t="shared" si="12"/>
        <v>0</v>
      </c>
      <c r="S21" s="48">
        <f>'Юнит 01-07.12'!S21+'Юнит 08-14.12'!S21+'Юнит 15-21.12'!S21+'Юнит 22-31.12'!S21</f>
        <v>0</v>
      </c>
      <c r="T21" s="48">
        <f>'Юнит 01-07.12'!T21+'Юнит 08-14.12'!T21+'Юнит 15-21.12'!T21+'Юнит 22-31.12'!T21</f>
        <v>0</v>
      </c>
      <c r="U21" s="48">
        <f t="shared" si="13"/>
        <v>0</v>
      </c>
      <c r="V21" s="48">
        <f t="shared" si="14"/>
        <v>0</v>
      </c>
      <c r="W21" s="48">
        <f>'Юнит 01-07.12'!W21+'Юнит 08-14.12'!W21+'Юнит 15-21.12'!W21+'Юнит 22-31.12'!W21</f>
        <v>0</v>
      </c>
      <c r="X21" s="48">
        <f>'Юнит 01-07.12'!X21+'Юнит 08-14.12'!X21+'Юнит 15-21.12'!X21+'Юнит 22-31.12'!X21</f>
        <v>0</v>
      </c>
      <c r="Y21" s="431" t="e">
        <f t="shared" si="15"/>
        <v>#DIV/0!</v>
      </c>
      <c r="Z21" s="48">
        <f>'Юнит 01-07.12'!Z21+'Юнит 08-14.12'!Z21+'Юнит 15-21.12'!Z21+'Юнит 22-31.12'!Z21</f>
        <v>0</v>
      </c>
      <c r="AA21" s="48">
        <f>'Юнит 01-07.12'!AA21+'Юнит 08-14.12'!AA21+'Юнит 15-21.12'!AA21+'Юнит 22-31.12'!AA21</f>
        <v>0</v>
      </c>
      <c r="AB21" s="64"/>
      <c r="AC21" s="51"/>
      <c r="AD21" s="55">
        <f>U21*1%</f>
        <v>0</v>
      </c>
      <c r="AE21" s="56">
        <f t="shared" si="1"/>
        <v>0</v>
      </c>
      <c r="AF21" s="55"/>
      <c r="AG21" s="57">
        <f t="shared" si="2"/>
        <v>0</v>
      </c>
      <c r="AH21" s="58">
        <f t="shared" si="3"/>
        <v>1014.52</v>
      </c>
      <c r="AI21" s="58">
        <f t="shared" si="4"/>
        <v>0</v>
      </c>
      <c r="AJ21" s="58">
        <f t="shared" si="5"/>
        <v>0</v>
      </c>
      <c r="AK21" s="58">
        <f t="shared" si="6"/>
        <v>0</v>
      </c>
      <c r="AL21" s="58">
        <f t="array" ref="AL21">_xlfn.IFS(R21=0,AE21,R21&lt;0,AE21/-R21,R21&gt;0,AE21/R21)</f>
        <v>0</v>
      </c>
      <c r="AM21" s="59">
        <f t="shared" si="7"/>
        <v>0</v>
      </c>
      <c r="AN21" s="60">
        <f t="shared" si="8"/>
        <v>0</v>
      </c>
      <c r="AP21" s="62">
        <f t="shared" si="9"/>
        <v>0</v>
      </c>
    </row>
    <row r="22" spans="1:52" ht="13.75" customHeight="1">
      <c r="A22" s="39">
        <v>2807226341</v>
      </c>
      <c r="B22" s="40" t="s">
        <v>136</v>
      </c>
      <c r="C22" s="41"/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8">
        <f>'Юнит 01-07.12'!K22+'Юнит 08-14.12'!K22+'Юнит 15-21.12'!K22+'Юнит 22-31.12'!K22</f>
        <v>0</v>
      </c>
      <c r="L22" s="48" t="e">
        <f>'Юнит 01-07.12'!L22+'Юнит 08-14.12'!L22+'Юнит 15-21.12'!L22+'Юнит 22-31.12'!L22+#REF!</f>
        <v>#REF!</v>
      </c>
      <c r="M22" s="48" t="e">
        <f>'Юнит 01-07.12'!M22+'Юнит 08-14.12'!M22+'Юнит 15-21.12'!M22+'Юнит 22-31.12'!M22+#REF!</f>
        <v>#REF!</v>
      </c>
      <c r="N22" s="48">
        <f t="shared" si="10"/>
        <v>0</v>
      </c>
      <c r="O22" s="48">
        <f t="shared" si="11"/>
        <v>0</v>
      </c>
      <c r="P22" s="48">
        <f>'Юнит 01-07.12'!P22+'Юнит 08-14.12'!P22+'Юнит 15-21.12'!P22+'Юнит 22-31.12'!P22</f>
        <v>0</v>
      </c>
      <c r="Q22" s="48">
        <f>'Юнит 01-07.12'!Q22+'Юнит 08-14.12'!Q22+'Юнит 15-21.12'!Q22+'Юнит 22-31.12'!Q22</f>
        <v>0</v>
      </c>
      <c r="R22" s="48">
        <f t="shared" si="12"/>
        <v>0</v>
      </c>
      <c r="S22" s="48">
        <f>'Юнит 01-07.12'!S22+'Юнит 08-14.12'!S22+'Юнит 15-21.12'!S22+'Юнит 22-31.12'!S22</f>
        <v>0</v>
      </c>
      <c r="T22" s="48">
        <f>'Юнит 01-07.12'!T22+'Юнит 08-14.12'!T22+'Юнит 15-21.12'!T22+'Юнит 22-31.12'!T22</f>
        <v>0</v>
      </c>
      <c r="U22" s="48">
        <f t="shared" si="13"/>
        <v>0</v>
      </c>
      <c r="V22" s="48">
        <f t="shared" si="14"/>
        <v>0</v>
      </c>
      <c r="W22" s="48">
        <f>'Юнит 01-07.12'!W22+'Юнит 08-14.12'!W22+'Юнит 15-21.12'!W22+'Юнит 22-31.12'!W22</f>
        <v>0</v>
      </c>
      <c r="X22" s="48">
        <f>'Юнит 01-07.12'!X22+'Юнит 08-14.12'!X22+'Юнит 15-21.12'!X22+'Юнит 22-31.12'!X22</f>
        <v>0</v>
      </c>
      <c r="Y22" s="431" t="e">
        <f t="shared" si="15"/>
        <v>#DIV/0!</v>
      </c>
      <c r="Z22" s="48">
        <f>'Юнит 01-07.12'!Z22+'Юнит 08-14.12'!Z22+'Юнит 15-21.12'!Z22+'Юнит 22-31.12'!Z22</f>
        <v>0</v>
      </c>
      <c r="AA22" s="48">
        <f>'Юнит 01-07.12'!AA22+'Юнит 08-14.12'!AA22+'Юнит 15-21.12'!AA22+'Юнит 22-31.12'!AA22</f>
        <v>0</v>
      </c>
      <c r="AB22" s="64"/>
      <c r="AC22" s="51"/>
      <c r="AD22" s="55">
        <f>U22*1%</f>
        <v>0</v>
      </c>
      <c r="AE22" s="56">
        <f t="shared" si="1"/>
        <v>0</v>
      </c>
      <c r="AF22" s="55"/>
      <c r="AG22" s="57">
        <f t="shared" si="2"/>
        <v>0</v>
      </c>
      <c r="AH22" s="58">
        <f t="shared" si="3"/>
        <v>1014.52</v>
      </c>
      <c r="AI22" s="58">
        <f t="shared" si="4"/>
        <v>0</v>
      </c>
      <c r="AJ22" s="58">
        <f t="shared" si="5"/>
        <v>0</v>
      </c>
      <c r="AK22" s="58">
        <f t="shared" si="6"/>
        <v>0</v>
      </c>
      <c r="AL22" s="58">
        <f t="array" ref="AL22">_xlfn.IFS(R22=0,AE22,R22&lt;0,AE22/-R22,R22&gt;0,AE22/R22)</f>
        <v>0</v>
      </c>
      <c r="AM22" s="59">
        <f t="shared" si="7"/>
        <v>0</v>
      </c>
      <c r="AN22" s="60">
        <f t="shared" si="8"/>
        <v>0</v>
      </c>
      <c r="AP22" s="62">
        <f t="shared" si="9"/>
        <v>0</v>
      </c>
    </row>
    <row r="23" spans="1:52" ht="13.75" customHeight="1">
      <c r="A23" s="39">
        <v>2807226351</v>
      </c>
      <c r="B23" s="40" t="s">
        <v>233</v>
      </c>
      <c r="C23" s="41"/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8">
        <f>'Юнит 01-07.12'!K23+'Юнит 08-14.12'!K23+'Юнит 15-21.12'!K23+'Юнит 22-31.12'!K23</f>
        <v>0</v>
      </c>
      <c r="L23" s="48" t="e">
        <f>'Юнит 01-07.12'!L23+'Юнит 08-14.12'!L23+'Юнит 15-21.12'!L23+'Юнит 22-31.12'!L23+#REF!</f>
        <v>#REF!</v>
      </c>
      <c r="M23" s="48" t="e">
        <f>'Юнит 01-07.12'!M23+'Юнит 08-14.12'!M23+'Юнит 15-21.12'!M23+'Юнит 22-31.12'!M23+#REF!</f>
        <v>#REF!</v>
      </c>
      <c r="N23" s="48">
        <f t="shared" si="10"/>
        <v>0</v>
      </c>
      <c r="O23" s="48">
        <f t="shared" si="11"/>
        <v>0</v>
      </c>
      <c r="P23" s="48">
        <f>'Юнит 01-07.12'!P23+'Юнит 08-14.12'!P23+'Юнит 15-21.12'!P23+'Юнит 22-31.12'!P23</f>
        <v>0</v>
      </c>
      <c r="Q23" s="48">
        <f>'Юнит 01-07.12'!Q23+'Юнит 08-14.12'!Q23+'Юнит 15-21.12'!Q23+'Юнит 22-31.12'!Q23</f>
        <v>0</v>
      </c>
      <c r="R23" s="48">
        <f t="shared" si="12"/>
        <v>0</v>
      </c>
      <c r="S23" s="48">
        <f>'Юнит 01-07.12'!S23+'Юнит 08-14.12'!S23+'Юнит 15-21.12'!S23+'Юнит 22-31.12'!S23</f>
        <v>0</v>
      </c>
      <c r="T23" s="48">
        <f>'Юнит 01-07.12'!T23+'Юнит 08-14.12'!T23+'Юнит 15-21.12'!T23+'Юнит 22-31.12'!T23</f>
        <v>0</v>
      </c>
      <c r="U23" s="48">
        <f t="shared" si="13"/>
        <v>0</v>
      </c>
      <c r="V23" s="48">
        <f t="shared" si="14"/>
        <v>0</v>
      </c>
      <c r="W23" s="48">
        <f>'Юнит 01-07.12'!W23+'Юнит 08-14.12'!W23+'Юнит 15-21.12'!W23+'Юнит 22-31.12'!W23</f>
        <v>0</v>
      </c>
      <c r="X23" s="48">
        <f>'Юнит 01-07.12'!X23+'Юнит 08-14.12'!X23+'Юнит 15-21.12'!X23+'Юнит 22-31.12'!X23</f>
        <v>0</v>
      </c>
      <c r="Y23" s="431" t="e">
        <f t="shared" si="15"/>
        <v>#DIV/0!</v>
      </c>
      <c r="Z23" s="48">
        <f>'Юнит 01-07.12'!Z23+'Юнит 08-14.12'!Z23+'Юнит 15-21.12'!Z23+'Юнит 22-31.12'!Z23</f>
        <v>0</v>
      </c>
      <c r="AA23" s="48">
        <f>'Юнит 01-07.12'!AA23+'Юнит 08-14.12'!AA23+'Юнит 15-21.12'!AA23+'Юнит 22-31.12'!AA23</f>
        <v>0</v>
      </c>
      <c r="AB23" s="64"/>
      <c r="AC23" s="51"/>
      <c r="AD23" s="55">
        <f>U23*1%</f>
        <v>0</v>
      </c>
      <c r="AE23" s="56">
        <f t="shared" si="1"/>
        <v>0</v>
      </c>
      <c r="AF23" s="55"/>
      <c r="AG23" s="57">
        <f t="shared" si="2"/>
        <v>0</v>
      </c>
      <c r="AH23" s="58">
        <f t="shared" si="3"/>
        <v>1014.52</v>
      </c>
      <c r="AI23" s="58">
        <f t="shared" si="4"/>
        <v>0</v>
      </c>
      <c r="AJ23" s="58">
        <f t="shared" si="5"/>
        <v>0</v>
      </c>
      <c r="AK23" s="58">
        <f t="shared" si="6"/>
        <v>0</v>
      </c>
      <c r="AL23" s="58">
        <f t="array" ref="AL23">_xlfn.IFS(R23=0,AE23,R23&lt;0,AE23/-R23,R23&gt;0,AE23/R23)</f>
        <v>0</v>
      </c>
      <c r="AM23" s="59">
        <f t="shared" si="7"/>
        <v>0</v>
      </c>
      <c r="AN23" s="60">
        <f t="shared" si="8"/>
        <v>0</v>
      </c>
      <c r="AP23" s="62">
        <f t="shared" si="9"/>
        <v>0</v>
      </c>
    </row>
    <row r="24" spans="1:52" ht="13.75" customHeight="1">
      <c r="A24" s="39">
        <v>2807226146</v>
      </c>
      <c r="B24" s="40" t="s">
        <v>234</v>
      </c>
      <c r="C24" s="41"/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8">
        <f>'Юнит 01-07.12'!K24+'Юнит 08-14.12'!K24+'Юнит 15-21.12'!K24+'Юнит 22-31.12'!K24</f>
        <v>0</v>
      </c>
      <c r="L24" s="48" t="e">
        <f>'Юнит 01-07.12'!L24+'Юнит 08-14.12'!L24+'Юнит 15-21.12'!L24+'Юнит 22-31.12'!L24+#REF!</f>
        <v>#REF!</v>
      </c>
      <c r="M24" s="48" t="e">
        <f>'Юнит 01-07.12'!M24+'Юнит 08-14.12'!M24+'Юнит 15-21.12'!M24+'Юнит 22-31.12'!M24+#REF!</f>
        <v>#REF!</v>
      </c>
      <c r="N24" s="48">
        <f t="shared" si="10"/>
        <v>0</v>
      </c>
      <c r="O24" s="48">
        <f t="shared" si="11"/>
        <v>0</v>
      </c>
      <c r="P24" s="48">
        <f>'Юнит 01-07.12'!P24+'Юнит 08-14.12'!P24+'Юнит 15-21.12'!P24+'Юнит 22-31.12'!P24</f>
        <v>0</v>
      </c>
      <c r="Q24" s="48">
        <f>'Юнит 01-07.12'!Q24+'Юнит 08-14.12'!Q24+'Юнит 15-21.12'!Q24+'Юнит 22-31.12'!Q24</f>
        <v>0</v>
      </c>
      <c r="R24" s="48">
        <f t="shared" si="12"/>
        <v>0</v>
      </c>
      <c r="S24" s="48">
        <f>'Юнит 01-07.12'!S24+'Юнит 08-14.12'!S24+'Юнит 15-21.12'!S24+'Юнит 22-31.12'!S24</f>
        <v>0</v>
      </c>
      <c r="T24" s="48">
        <f>'Юнит 01-07.12'!T24+'Юнит 08-14.12'!T24+'Юнит 15-21.12'!T24+'Юнит 22-31.12'!T24</f>
        <v>0</v>
      </c>
      <c r="U24" s="48">
        <f t="shared" si="13"/>
        <v>0</v>
      </c>
      <c r="V24" s="48">
        <f t="shared" si="14"/>
        <v>0</v>
      </c>
      <c r="W24" s="48">
        <f>'Юнит 01-07.12'!W24+'Юнит 08-14.12'!W24+'Юнит 15-21.12'!W24+'Юнит 22-31.12'!W24</f>
        <v>0</v>
      </c>
      <c r="X24" s="48">
        <f>'Юнит 01-07.12'!X24+'Юнит 08-14.12'!X24+'Юнит 15-21.12'!X24+'Юнит 22-31.12'!X24</f>
        <v>0</v>
      </c>
      <c r="Y24" s="431" t="e">
        <f t="shared" si="15"/>
        <v>#DIV/0!</v>
      </c>
      <c r="Z24" s="48">
        <f>'Юнит 01-07.12'!Z24+'Юнит 08-14.12'!Z24+'Юнит 15-21.12'!Z24+'Юнит 22-31.12'!Z24</f>
        <v>0</v>
      </c>
      <c r="AA24" s="48">
        <f>'Юнит 01-07.12'!AA24+'Юнит 08-14.12'!AA24+'Юнит 15-21.12'!AA24+'Юнит 22-31.12'!AA24</f>
        <v>0</v>
      </c>
      <c r="AB24" s="64"/>
      <c r="AC24" s="51"/>
      <c r="AD24" s="55">
        <f>U24*1%</f>
        <v>0</v>
      </c>
      <c r="AE24" s="56">
        <f t="shared" si="1"/>
        <v>0</v>
      </c>
      <c r="AF24" s="55"/>
      <c r="AG24" s="57">
        <f t="shared" si="2"/>
        <v>0</v>
      </c>
      <c r="AH24" s="58">
        <f t="shared" si="3"/>
        <v>991.12</v>
      </c>
      <c r="AI24" s="58">
        <f t="shared" si="4"/>
        <v>0</v>
      </c>
      <c r="AJ24" s="58">
        <f t="shared" si="5"/>
        <v>0</v>
      </c>
      <c r="AK24" s="58">
        <f t="shared" si="6"/>
        <v>0</v>
      </c>
      <c r="AL24" s="58">
        <f t="array" ref="AL24">_xlfn.IFS(R24=0,AE24,R24&lt;0,AE24/-R24,R24&gt;0,AE24/R24)</f>
        <v>0</v>
      </c>
      <c r="AM24" s="59">
        <f t="shared" si="7"/>
        <v>0</v>
      </c>
      <c r="AN24" s="60">
        <f t="shared" si="8"/>
        <v>0</v>
      </c>
      <c r="AP24" s="62">
        <f t="shared" si="9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6">AVERAGEIF(AG3:AG24,"&lt;&gt;0",AG3:AG24)</f>
        <v>1428.0718305504017</v>
      </c>
      <c r="AH25" s="247">
        <f t="shared" si="16"/>
        <v>447.87636363636369</v>
      </c>
      <c r="AI25" s="247">
        <f t="shared" si="16"/>
        <v>614.07088713667292</v>
      </c>
      <c r="AJ25" s="247">
        <f t="shared" si="16"/>
        <v>150.76469709136046</v>
      </c>
      <c r="AK25" s="247">
        <f t="shared" si="16"/>
        <v>493.4894042746115</v>
      </c>
      <c r="AL25" s="247">
        <f t="shared" si="16"/>
        <v>190.66131797396108</v>
      </c>
      <c r="AM25" s="249">
        <f t="shared" si="16"/>
        <v>0.16147253837975403</v>
      </c>
      <c r="AN25" s="249">
        <f t="shared" si="16"/>
        <v>1.3204255208806541</v>
      </c>
      <c r="AO25" s="240"/>
      <c r="AP25" s="241"/>
    </row>
    <row r="26" spans="1:52">
      <c r="A26" s="216" t="s">
        <v>305</v>
      </c>
      <c r="B26" s="209"/>
      <c r="C26" s="217">
        <f>SUM(C3:C24)</f>
        <v>0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0</v>
      </c>
      <c r="J26" s="212"/>
      <c r="K26" s="217">
        <f>SUM(K3:K24)</f>
        <v>384</v>
      </c>
      <c r="L26" s="212"/>
      <c r="M26" s="212"/>
      <c r="N26" s="213"/>
      <c r="O26" s="214"/>
      <c r="P26" s="217">
        <f>SUM(P3:P24)</f>
        <v>237</v>
      </c>
      <c r="Q26" s="217">
        <f t="shared" ref="Q26:AE26" si="17">SUM(Q3:Q24)</f>
        <v>9</v>
      </c>
      <c r="R26" s="217">
        <f t="shared" si="17"/>
        <v>228</v>
      </c>
      <c r="S26" s="237">
        <f>SUM(S3:S24)</f>
        <v>346897</v>
      </c>
      <c r="T26" s="217">
        <f t="shared" si="17"/>
        <v>-12869</v>
      </c>
      <c r="U26" s="217">
        <f t="shared" si="17"/>
        <v>334028</v>
      </c>
      <c r="V26" s="256">
        <f t="shared" si="17"/>
        <v>1.0000000000000002</v>
      </c>
      <c r="W26" s="217">
        <f t="shared" si="17"/>
        <v>31379.49</v>
      </c>
      <c r="X26" s="217">
        <f t="shared" si="17"/>
        <v>143632.04</v>
      </c>
      <c r="Y26" s="215">
        <f>IF(U26=0,0,X26/U26)</f>
        <v>0.43000000000000005</v>
      </c>
      <c r="Z26" s="217">
        <f t="shared" si="17"/>
        <v>36082.33</v>
      </c>
      <c r="AA26" s="217">
        <f>IFERROR(P26*AA51/P51,0)</f>
        <v>86931.99987654321</v>
      </c>
      <c r="AB26" s="217">
        <f t="shared" si="17"/>
        <v>0</v>
      </c>
      <c r="AC26" s="217">
        <f t="shared" si="17"/>
        <v>0</v>
      </c>
      <c r="AD26" s="238">
        <f t="shared" si="17"/>
        <v>3340.28</v>
      </c>
      <c r="AE26" s="239">
        <f t="shared" si="17"/>
        <v>31641.965365999993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0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87951.894633999997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/>
      <c r="D28" s="42"/>
      <c r="E28" s="42"/>
      <c r="F28" s="42"/>
      <c r="G28" s="43"/>
      <c r="H28" s="65">
        <v>672</v>
      </c>
      <c r="I28" s="63">
        <f t="shared" ref="I28:I46" si="18">C28*H28</f>
        <v>0</v>
      </c>
      <c r="J28" s="45"/>
      <c r="K28" s="48">
        <f>'Юнит 01-07.12'!K28+'Юнит 08-14.12'!K28+'Юнит 15-21.12'!K28+'Юнит 22-31.12'!K28</f>
        <v>0</v>
      </c>
      <c r="L28" s="48" t="e">
        <f>'Юнит 01-07.12'!L28+'Юнит 08-14.12'!L28+'Юнит 15-21.12'!L28+'Юнит 22-31.12'!L28+#REF!</f>
        <v>#REF!</v>
      </c>
      <c r="M28" s="48" t="e">
        <f>'Юнит 01-07.12'!M28+'Юнит 08-14.12'!M28+'Юнит 15-21.12'!M28+'Юнит 22-31.12'!M28+#REF!</f>
        <v>#REF!</v>
      </c>
      <c r="N28" s="48">
        <f t="shared" ref="N28" si="19">K28/31</f>
        <v>0</v>
      </c>
      <c r="O28" s="48">
        <f t="shared" ref="O28" si="20">R28/31</f>
        <v>0</v>
      </c>
      <c r="P28" s="48">
        <f>'Юнит 01-07.12'!P28+'Юнит 08-14.12'!P28+'Юнит 15-21.12'!P28+'Юнит 22-31.12'!P28</f>
        <v>1</v>
      </c>
      <c r="Q28" s="48">
        <f>'Юнит 01-07.12'!Q28+'Юнит 08-14.12'!Q28+'Юнит 15-21.12'!Q28+'Юнит 22-31.12'!Q28</f>
        <v>1</v>
      </c>
      <c r="R28" s="48">
        <f>P28-Q28</f>
        <v>0</v>
      </c>
      <c r="S28" s="48">
        <f>'Юнит 01-07.12'!S28+'Юнит 08-14.12'!S28+'Юнит 15-21.12'!S28+'Юнит 22-31.12'!S28</f>
        <v>6500</v>
      </c>
      <c r="T28" s="48">
        <f>'Юнит 01-07.12'!T28+'Юнит 08-14.12'!T28+'Юнит 15-21.12'!T28+'Юнит 22-31.12'!T28</f>
        <v>-6500</v>
      </c>
      <c r="U28" s="48">
        <f t="shared" ref="U28" si="21">S28+T28</f>
        <v>0</v>
      </c>
      <c r="V28" s="431">
        <f>U28/$U$49</f>
        <v>0</v>
      </c>
      <c r="W28" s="48">
        <f>'Юнит 01-07.12'!W28+'Юнит 08-14.12'!W28+'Юнит 15-21.12'!W28+'Юнит 22-31.12'!W28</f>
        <v>0</v>
      </c>
      <c r="X28" s="48">
        <f>'Юнит 01-07.12'!X28+'Юнит 08-14.12'!X28+'Юнит 15-21.12'!X28+'Юнит 22-31.12'!X28</f>
        <v>0</v>
      </c>
      <c r="Y28" s="431" t="e">
        <f t="shared" ref="Y28" si="22">X28/U28</f>
        <v>#DIV/0!</v>
      </c>
      <c r="Z28" s="48">
        <f>'Юнит 01-07.12'!Z28+'Юнит 08-14.12'!Z28+'Юнит 15-21.12'!Z28+'Юнит 22-31.12'!Z28</f>
        <v>352.03</v>
      </c>
      <c r="AA28" s="48">
        <f>'Юнит 01-07.12'!AA28+'Юнит 08-14.12'!AA28+'Юнит 15-21.12'!AA28+'Юнит 22-31.12'!AA28</f>
        <v>0</v>
      </c>
      <c r="AB28" s="64"/>
      <c r="AC28" s="51"/>
      <c r="AD28" s="55">
        <f>U28*1%</f>
        <v>0</v>
      </c>
      <c r="AE28" s="56">
        <f t="shared" ref="AE28:AE47" si="23">U28-W28-X28-Z28-AA28-AB28-AC28-AD28</f>
        <v>-352.03</v>
      </c>
      <c r="AF28" s="55"/>
      <c r="AG28" s="57">
        <f t="shared" ref="AG28:AG47" si="24">IF(R28=0,0,U28/R28)</f>
        <v>0</v>
      </c>
      <c r="AH28" s="58">
        <f t="shared" ref="AH28:AH47" si="25">H28</f>
        <v>672</v>
      </c>
      <c r="AI28" s="58">
        <f t="shared" ref="AI28:AI47" si="26">IF(R28=0,0,X28/R28)</f>
        <v>0</v>
      </c>
      <c r="AJ28" s="58">
        <f t="shared" ref="AJ28:AJ47" si="27">IF(P28=0,Z28/1,Z28/P28)</f>
        <v>352.03</v>
      </c>
      <c r="AK28" s="58">
        <f t="shared" ref="AK28:AK47" si="28">IF(P28=0,0,AA28/P28)</f>
        <v>0</v>
      </c>
      <c r="AL28" s="58">
        <f t="array" ref="AL28">_xlfn.IFS(R28=0,AE28,R28&lt;0,AE28/-R28,R28&gt;0,AE28/R28)</f>
        <v>-352.03</v>
      </c>
      <c r="AM28" s="59">
        <f t="shared" ref="AM28:AM47" si="29">IF(AG28=0,0,AL28/AG28)</f>
        <v>0</v>
      </c>
      <c r="AN28" s="60">
        <f t="shared" ref="AN28:AN47" si="30">IF(AH28=0,0,AL28/AH28)</f>
        <v>-0.52385416666666662</v>
      </c>
      <c r="AP28" s="62">
        <f t="shared" ref="AP28:AP47" si="31">AL28*C28</f>
        <v>0</v>
      </c>
    </row>
    <row r="29" spans="1:52">
      <c r="A29" s="39">
        <v>2774708622</v>
      </c>
      <c r="B29" s="40" t="s">
        <v>43</v>
      </c>
      <c r="C29" s="41"/>
      <c r="D29" s="42"/>
      <c r="E29" s="42"/>
      <c r="F29" s="42"/>
      <c r="G29" s="43"/>
      <c r="H29" s="65">
        <v>627</v>
      </c>
      <c r="I29" s="63">
        <f t="shared" si="18"/>
        <v>0</v>
      </c>
      <c r="J29" s="45"/>
      <c r="K29" s="48">
        <f>'Юнит 01-07.12'!K29+'Юнит 08-14.12'!K29+'Юнит 15-21.12'!K29+'Юнит 22-31.12'!K29</f>
        <v>0</v>
      </c>
      <c r="L29" s="48" t="e">
        <f>'Юнит 01-07.12'!L29+'Юнит 08-14.12'!L29+'Юнит 15-21.12'!L29+'Юнит 22-31.12'!L29+#REF!</f>
        <v>#REF!</v>
      </c>
      <c r="M29" s="48" t="e">
        <f>'Юнит 01-07.12'!M29+'Юнит 08-14.12'!M29+'Юнит 15-21.12'!M29+'Юнит 22-31.12'!M29+#REF!</f>
        <v>#REF!</v>
      </c>
      <c r="N29" s="48">
        <f t="shared" ref="N29:N47" si="32">K29/31</f>
        <v>0</v>
      </c>
      <c r="O29" s="48">
        <f t="shared" ref="O29:O47" si="33">R29/31</f>
        <v>0</v>
      </c>
      <c r="P29" s="48">
        <f>'Юнит 01-07.12'!P29+'Юнит 08-14.12'!P29+'Юнит 15-21.12'!P29+'Юнит 22-31.12'!P29</f>
        <v>0</v>
      </c>
      <c r="Q29" s="48">
        <f>'Юнит 01-07.12'!Q29+'Юнит 08-14.12'!Q29+'Юнит 15-21.12'!Q29+'Юнит 22-31.12'!Q29</f>
        <v>0</v>
      </c>
      <c r="R29" s="48">
        <f t="shared" ref="R29:R47" si="34">P29-Q29</f>
        <v>0</v>
      </c>
      <c r="S29" s="48">
        <f>'Юнит 01-07.12'!S29+'Юнит 08-14.12'!S29+'Юнит 15-21.12'!S29+'Юнит 22-31.12'!S29</f>
        <v>0</v>
      </c>
      <c r="T29" s="48">
        <f>'Юнит 01-07.12'!T29+'Юнит 08-14.12'!T29+'Юнит 15-21.12'!T29+'Юнит 22-31.12'!T29</f>
        <v>0</v>
      </c>
      <c r="U29" s="48">
        <f t="shared" ref="U29:U47" si="35">S29+T29</f>
        <v>0</v>
      </c>
      <c r="V29" s="431">
        <f t="shared" ref="V29:V47" si="36">U29/$U$49</f>
        <v>0</v>
      </c>
      <c r="W29" s="48">
        <f>'Юнит 01-07.12'!W29+'Юнит 08-14.12'!W29+'Юнит 15-21.12'!W29+'Юнит 22-31.12'!W29</f>
        <v>0</v>
      </c>
      <c r="X29" s="48">
        <f>'Юнит 01-07.12'!X29+'Юнит 08-14.12'!X29+'Юнит 15-21.12'!X29+'Юнит 22-31.12'!X29</f>
        <v>0</v>
      </c>
      <c r="Y29" s="431" t="e">
        <f t="shared" ref="Y29:Y47" si="37">X29/U29</f>
        <v>#DIV/0!</v>
      </c>
      <c r="Z29" s="48">
        <f>'Юнит 01-07.12'!Z29+'Юнит 08-14.12'!Z29+'Юнит 15-21.12'!Z29+'Юнит 22-31.12'!Z29</f>
        <v>0</v>
      </c>
      <c r="AA29" s="48">
        <f>'Юнит 01-07.12'!AA29+'Юнит 08-14.12'!AA29+'Юнит 15-21.12'!AA29+'Юнит 22-31.12'!AA29</f>
        <v>0</v>
      </c>
      <c r="AB29" s="64"/>
      <c r="AC29" s="51"/>
      <c r="AD29" s="55">
        <f>U29*1%</f>
        <v>0</v>
      </c>
      <c r="AE29" s="56">
        <f t="shared" si="23"/>
        <v>0</v>
      </c>
      <c r="AF29" s="55"/>
      <c r="AG29" s="57">
        <f t="shared" si="24"/>
        <v>0</v>
      </c>
      <c r="AH29" s="58">
        <f t="shared" si="25"/>
        <v>627</v>
      </c>
      <c r="AI29" s="58">
        <f t="shared" si="26"/>
        <v>0</v>
      </c>
      <c r="AJ29" s="58">
        <f t="shared" si="27"/>
        <v>0</v>
      </c>
      <c r="AK29" s="58">
        <f t="shared" si="28"/>
        <v>0</v>
      </c>
      <c r="AL29" s="58">
        <f t="array" ref="AL29">_xlfn.IFS(R29=0,AE29,R29&lt;0,AE29/-R29,R29&gt;0,AE29/R29)</f>
        <v>0</v>
      </c>
      <c r="AM29" s="59">
        <f t="shared" si="29"/>
        <v>0</v>
      </c>
      <c r="AN29" s="60">
        <f t="shared" si="30"/>
        <v>0</v>
      </c>
      <c r="AP29" s="62">
        <f t="shared" si="31"/>
        <v>0</v>
      </c>
    </row>
    <row r="30" spans="1:52">
      <c r="A30" s="39">
        <v>2774709606</v>
      </c>
      <c r="B30" s="40" t="s">
        <v>235</v>
      </c>
      <c r="C30" s="41"/>
      <c r="D30" s="42"/>
      <c r="E30" s="42"/>
      <c r="F30" s="42"/>
      <c r="G30" s="43"/>
      <c r="H30" s="65">
        <v>627</v>
      </c>
      <c r="I30" s="63">
        <f t="shared" si="18"/>
        <v>0</v>
      </c>
      <c r="J30" s="45"/>
      <c r="K30" s="48">
        <f>'Юнит 01-07.12'!K30+'Юнит 08-14.12'!K30+'Юнит 15-21.12'!K30+'Юнит 22-31.12'!K30</f>
        <v>0</v>
      </c>
      <c r="L30" s="48" t="e">
        <f>'Юнит 01-07.12'!L30+'Юнит 08-14.12'!L30+'Юнит 15-21.12'!L30+'Юнит 22-31.12'!L30+#REF!</f>
        <v>#REF!</v>
      </c>
      <c r="M30" s="48" t="e">
        <f>'Юнит 01-07.12'!M30+'Юнит 08-14.12'!M30+'Юнит 15-21.12'!M30+'Юнит 22-31.12'!M30+#REF!</f>
        <v>#REF!</v>
      </c>
      <c r="N30" s="48">
        <f t="shared" si="32"/>
        <v>0</v>
      </c>
      <c r="O30" s="48">
        <f t="shared" si="33"/>
        <v>0</v>
      </c>
      <c r="P30" s="48">
        <f>'Юнит 01-07.12'!P30+'Юнит 08-14.12'!P30+'Юнит 15-21.12'!P30+'Юнит 22-31.12'!P30</f>
        <v>0</v>
      </c>
      <c r="Q30" s="48">
        <f>'Юнит 01-07.12'!Q30+'Юнит 08-14.12'!Q30+'Юнит 15-21.12'!Q30+'Юнит 22-31.12'!Q30</f>
        <v>0</v>
      </c>
      <c r="R30" s="48">
        <f t="shared" si="34"/>
        <v>0</v>
      </c>
      <c r="S30" s="48">
        <f>'Юнит 01-07.12'!S30+'Юнит 08-14.12'!S30+'Юнит 15-21.12'!S30+'Юнит 22-31.12'!S30</f>
        <v>0</v>
      </c>
      <c r="T30" s="48">
        <f>'Юнит 01-07.12'!T30+'Юнит 08-14.12'!T30+'Юнит 15-21.12'!T30+'Юнит 22-31.12'!T30</f>
        <v>0</v>
      </c>
      <c r="U30" s="48">
        <f t="shared" si="35"/>
        <v>0</v>
      </c>
      <c r="V30" s="431">
        <f t="shared" si="36"/>
        <v>0</v>
      </c>
      <c r="W30" s="48">
        <f>'Юнит 01-07.12'!W30+'Юнит 08-14.12'!W30+'Юнит 15-21.12'!W30+'Юнит 22-31.12'!W30</f>
        <v>0</v>
      </c>
      <c r="X30" s="48">
        <f>'Юнит 01-07.12'!X30+'Юнит 08-14.12'!X30+'Юнит 15-21.12'!X30+'Юнит 22-31.12'!X30</f>
        <v>0</v>
      </c>
      <c r="Y30" s="431" t="e">
        <f t="shared" si="37"/>
        <v>#DIV/0!</v>
      </c>
      <c r="Z30" s="48">
        <f>'Юнит 01-07.12'!Z30+'Юнит 08-14.12'!Z30+'Юнит 15-21.12'!Z30+'Юнит 22-31.12'!Z30</f>
        <v>0</v>
      </c>
      <c r="AA30" s="48">
        <f>'Юнит 01-07.12'!AA30+'Юнит 08-14.12'!AA30+'Юнит 15-21.12'!AA30+'Юнит 22-31.12'!AA30</f>
        <v>0</v>
      </c>
      <c r="AB30" s="64"/>
      <c r="AC30" s="51"/>
      <c r="AD30" s="55">
        <f>U30*1%</f>
        <v>0</v>
      </c>
      <c r="AE30" s="56">
        <f t="shared" si="23"/>
        <v>0</v>
      </c>
      <c r="AF30" s="55"/>
      <c r="AG30" s="57">
        <f t="shared" si="24"/>
        <v>0</v>
      </c>
      <c r="AH30" s="58">
        <f t="shared" si="25"/>
        <v>627</v>
      </c>
      <c r="AI30" s="58">
        <f t="shared" si="26"/>
        <v>0</v>
      </c>
      <c r="AJ30" s="58">
        <f t="shared" si="27"/>
        <v>0</v>
      </c>
      <c r="AK30" s="58">
        <f t="shared" si="28"/>
        <v>0</v>
      </c>
      <c r="AL30" s="58">
        <f t="array" ref="AL30">_xlfn.IFS(R30=0,AE30,R30&lt;0,AE30/-R30,R30&gt;0,AE30/R30)</f>
        <v>0</v>
      </c>
      <c r="AM30" s="59">
        <f t="shared" si="29"/>
        <v>0</v>
      </c>
      <c r="AN30" s="60">
        <f t="shared" si="30"/>
        <v>0</v>
      </c>
      <c r="AP30" s="62">
        <f t="shared" si="31"/>
        <v>0</v>
      </c>
    </row>
    <row r="31" spans="1:52">
      <c r="A31" s="39">
        <v>2774720465</v>
      </c>
      <c r="B31" s="40" t="s">
        <v>171</v>
      </c>
      <c r="C31" s="41"/>
      <c r="D31" s="42"/>
      <c r="E31" s="42"/>
      <c r="F31" s="42"/>
      <c r="G31" s="43"/>
      <c r="H31" s="65">
        <v>567</v>
      </c>
      <c r="I31" s="63">
        <f t="shared" si="18"/>
        <v>0</v>
      </c>
      <c r="J31" s="45"/>
      <c r="K31" s="48">
        <f>'Юнит 01-07.12'!K31+'Юнит 08-14.12'!K31+'Юнит 15-21.12'!K31+'Юнит 22-31.12'!K31</f>
        <v>1</v>
      </c>
      <c r="L31" s="48" t="e">
        <f>'Юнит 01-07.12'!L31+'Юнит 08-14.12'!L31+'Юнит 15-21.12'!L31+'Юнит 22-31.12'!L31+#REF!</f>
        <v>#REF!</v>
      </c>
      <c r="M31" s="48" t="e">
        <f>'Юнит 01-07.12'!M31+'Юнит 08-14.12'!M31+'Юнит 15-21.12'!M31+'Юнит 22-31.12'!M31+#REF!</f>
        <v>#REF!</v>
      </c>
      <c r="N31" s="48">
        <f t="shared" si="32"/>
        <v>3.2258064516129031E-2</v>
      </c>
      <c r="O31" s="48">
        <f t="shared" si="33"/>
        <v>0</v>
      </c>
      <c r="P31" s="48">
        <f>'Юнит 01-07.12'!P31+'Юнит 08-14.12'!P31+'Юнит 15-21.12'!P31+'Юнит 22-31.12'!P31</f>
        <v>0</v>
      </c>
      <c r="Q31" s="48">
        <f>'Юнит 01-07.12'!Q31+'Юнит 08-14.12'!Q31+'Юнит 15-21.12'!Q31+'Юнит 22-31.12'!Q31</f>
        <v>0</v>
      </c>
      <c r="R31" s="48">
        <f t="shared" si="34"/>
        <v>0</v>
      </c>
      <c r="S31" s="48">
        <f>'Юнит 01-07.12'!S31+'Юнит 08-14.12'!S31+'Юнит 15-21.12'!S31+'Юнит 22-31.12'!S31</f>
        <v>0</v>
      </c>
      <c r="T31" s="48">
        <f>'Юнит 01-07.12'!T31+'Юнит 08-14.12'!T31+'Юнит 15-21.12'!T31+'Юнит 22-31.12'!T31</f>
        <v>0</v>
      </c>
      <c r="U31" s="48">
        <f t="shared" si="35"/>
        <v>0</v>
      </c>
      <c r="V31" s="431">
        <f t="shared" si="36"/>
        <v>0</v>
      </c>
      <c r="W31" s="48">
        <f>'Юнит 01-07.12'!W31+'Юнит 08-14.12'!W31+'Юнит 15-21.12'!W31+'Юнит 22-31.12'!W31</f>
        <v>0</v>
      </c>
      <c r="X31" s="48">
        <f>'Юнит 01-07.12'!X31+'Юнит 08-14.12'!X31+'Юнит 15-21.12'!X31+'Юнит 22-31.12'!X31</f>
        <v>0</v>
      </c>
      <c r="Y31" s="431" t="e">
        <f t="shared" si="37"/>
        <v>#DIV/0!</v>
      </c>
      <c r="Z31" s="48">
        <f>'Юнит 01-07.12'!Z31+'Юнит 08-14.12'!Z31+'Юнит 15-21.12'!Z31+'Юнит 22-31.12'!Z31</f>
        <v>113.88</v>
      </c>
      <c r="AA31" s="48">
        <f>'Юнит 01-07.12'!AA31+'Юнит 08-14.12'!AA31+'Юнит 15-21.12'!AA31+'Юнит 22-31.12'!AA31</f>
        <v>0</v>
      </c>
      <c r="AB31" s="64"/>
      <c r="AC31" s="51"/>
      <c r="AD31" s="55">
        <f>U31*1%</f>
        <v>0</v>
      </c>
      <c r="AE31" s="56">
        <f t="shared" si="23"/>
        <v>-113.88</v>
      </c>
      <c r="AF31" s="55"/>
      <c r="AG31" s="57">
        <f t="shared" si="24"/>
        <v>0</v>
      </c>
      <c r="AH31" s="58">
        <f t="shared" si="25"/>
        <v>567</v>
      </c>
      <c r="AI31" s="58">
        <f t="shared" si="26"/>
        <v>0</v>
      </c>
      <c r="AJ31" s="58">
        <f t="shared" si="27"/>
        <v>113.88</v>
      </c>
      <c r="AK31" s="58">
        <f t="shared" si="28"/>
        <v>0</v>
      </c>
      <c r="AL31" s="58">
        <f t="array" ref="AL31">_xlfn.IFS(R31=0,AE31,R31&lt;0,AE31/-R31,R31&gt;0,AE31/R31)</f>
        <v>-113.88</v>
      </c>
      <c r="AM31" s="59">
        <f t="shared" si="29"/>
        <v>0</v>
      </c>
      <c r="AN31" s="60">
        <f t="shared" si="30"/>
        <v>-0.20084656084656083</v>
      </c>
      <c r="AP31" s="62">
        <f t="shared" si="31"/>
        <v>0</v>
      </c>
    </row>
    <row r="32" spans="1:52">
      <c r="A32" s="39">
        <v>2774718470</v>
      </c>
      <c r="B32" s="40" t="s">
        <v>39</v>
      </c>
      <c r="C32" s="41"/>
      <c r="D32" s="42"/>
      <c r="E32" s="42"/>
      <c r="F32" s="42"/>
      <c r="G32" s="43"/>
      <c r="H32" s="65">
        <v>567</v>
      </c>
      <c r="I32" s="63">
        <f t="shared" si="18"/>
        <v>0</v>
      </c>
      <c r="J32" s="45"/>
      <c r="K32" s="48">
        <f>'Юнит 01-07.12'!K32+'Юнит 08-14.12'!K32+'Юнит 15-21.12'!K32+'Юнит 22-31.12'!K32</f>
        <v>0</v>
      </c>
      <c r="L32" s="48" t="e">
        <f>'Юнит 01-07.12'!L32+'Юнит 08-14.12'!L32+'Юнит 15-21.12'!L32+'Юнит 22-31.12'!L32+#REF!</f>
        <v>#REF!</v>
      </c>
      <c r="M32" s="48" t="e">
        <f>'Юнит 01-07.12'!M32+'Юнит 08-14.12'!M32+'Юнит 15-21.12'!M32+'Юнит 22-31.12'!M32+#REF!</f>
        <v>#REF!</v>
      </c>
      <c r="N32" s="48">
        <f t="shared" si="32"/>
        <v>0</v>
      </c>
      <c r="O32" s="48">
        <f t="shared" si="33"/>
        <v>0</v>
      </c>
      <c r="P32" s="48">
        <f>'Юнит 01-07.12'!P32+'Юнит 08-14.12'!P32+'Юнит 15-21.12'!P32+'Юнит 22-31.12'!P32</f>
        <v>0</v>
      </c>
      <c r="Q32" s="48">
        <f>'Юнит 01-07.12'!Q32+'Юнит 08-14.12'!Q32+'Юнит 15-21.12'!Q32+'Юнит 22-31.12'!Q32</f>
        <v>0</v>
      </c>
      <c r="R32" s="48">
        <f t="shared" si="34"/>
        <v>0</v>
      </c>
      <c r="S32" s="48">
        <f>'Юнит 01-07.12'!S32+'Юнит 08-14.12'!S32+'Юнит 15-21.12'!S32+'Юнит 22-31.12'!S32</f>
        <v>0</v>
      </c>
      <c r="T32" s="48">
        <f>'Юнит 01-07.12'!T32+'Юнит 08-14.12'!T32+'Юнит 15-21.12'!T32+'Юнит 22-31.12'!T32</f>
        <v>0</v>
      </c>
      <c r="U32" s="48">
        <f t="shared" si="35"/>
        <v>0</v>
      </c>
      <c r="V32" s="431">
        <f t="shared" si="36"/>
        <v>0</v>
      </c>
      <c r="W32" s="48">
        <f>'Юнит 01-07.12'!W32+'Юнит 08-14.12'!W32+'Юнит 15-21.12'!W32+'Юнит 22-31.12'!W32</f>
        <v>0</v>
      </c>
      <c r="X32" s="48">
        <f>'Юнит 01-07.12'!X32+'Юнит 08-14.12'!X32+'Юнит 15-21.12'!X32+'Юнит 22-31.12'!X32</f>
        <v>0</v>
      </c>
      <c r="Y32" s="431" t="e">
        <f t="shared" si="37"/>
        <v>#DIV/0!</v>
      </c>
      <c r="Z32" s="48">
        <f>'Юнит 01-07.12'!Z32+'Юнит 08-14.12'!Z32+'Юнит 15-21.12'!Z32+'Юнит 22-31.12'!Z32</f>
        <v>0</v>
      </c>
      <c r="AA32" s="48">
        <f>'Юнит 01-07.12'!AA32+'Юнит 08-14.12'!AA32+'Юнит 15-21.12'!AA32+'Юнит 22-31.12'!AA32</f>
        <v>0</v>
      </c>
      <c r="AB32" s="64"/>
      <c r="AC32" s="51"/>
      <c r="AD32" s="55">
        <f>U32*1%</f>
        <v>0</v>
      </c>
      <c r="AE32" s="56">
        <f t="shared" si="23"/>
        <v>0</v>
      </c>
      <c r="AF32" s="55"/>
      <c r="AG32" s="57">
        <f t="shared" si="24"/>
        <v>0</v>
      </c>
      <c r="AH32" s="58">
        <f t="shared" si="25"/>
        <v>567</v>
      </c>
      <c r="AI32" s="58">
        <f t="shared" si="26"/>
        <v>0</v>
      </c>
      <c r="AJ32" s="58">
        <f t="shared" si="27"/>
        <v>0</v>
      </c>
      <c r="AK32" s="58">
        <f t="shared" si="28"/>
        <v>0</v>
      </c>
      <c r="AL32" s="58">
        <f t="array" ref="AL32">_xlfn.IFS(R32=0,AE32,R32&lt;0,AE32/-R32,R32&gt;0,AE32/R32)</f>
        <v>0</v>
      </c>
      <c r="AM32" s="59">
        <f t="shared" si="29"/>
        <v>0</v>
      </c>
      <c r="AN32" s="60">
        <f t="shared" si="30"/>
        <v>0</v>
      </c>
      <c r="AP32" s="62">
        <f t="shared" si="31"/>
        <v>0</v>
      </c>
    </row>
    <row r="33" spans="1:42">
      <c r="A33" s="39">
        <v>2774719022</v>
      </c>
      <c r="B33" s="40" t="s">
        <v>236</v>
      </c>
      <c r="C33" s="41"/>
      <c r="D33" s="42"/>
      <c r="E33" s="42"/>
      <c r="F33" s="42"/>
      <c r="G33" s="43"/>
      <c r="H33" s="65">
        <v>657</v>
      </c>
      <c r="I33" s="63">
        <f t="shared" si="18"/>
        <v>0</v>
      </c>
      <c r="J33" s="45"/>
      <c r="K33" s="48">
        <f>'Юнит 01-07.12'!K33+'Юнит 08-14.12'!K33+'Юнит 15-21.12'!K33+'Юнит 22-31.12'!K33</f>
        <v>3</v>
      </c>
      <c r="L33" s="48" t="e">
        <f>'Юнит 01-07.12'!L33+'Юнит 08-14.12'!L33+'Юнит 15-21.12'!L33+'Юнит 22-31.12'!L33+#REF!</f>
        <v>#REF!</v>
      </c>
      <c r="M33" s="48" t="e">
        <f>'Юнит 01-07.12'!M33+'Юнит 08-14.12'!M33+'Юнит 15-21.12'!M33+'Юнит 22-31.12'!M33+#REF!</f>
        <v>#REF!</v>
      </c>
      <c r="N33" s="48">
        <f t="shared" si="32"/>
        <v>9.6774193548387094E-2</v>
      </c>
      <c r="O33" s="48">
        <f t="shared" si="33"/>
        <v>6.4516129032258063E-2</v>
      </c>
      <c r="P33" s="48">
        <f>'Юнит 01-07.12'!P33+'Юнит 08-14.12'!P33+'Юнит 15-21.12'!P33+'Юнит 22-31.12'!P33</f>
        <v>3</v>
      </c>
      <c r="Q33" s="48">
        <f>'Юнит 01-07.12'!Q33+'Юнит 08-14.12'!Q33+'Юнит 15-21.12'!Q33+'Юнит 22-31.12'!Q33</f>
        <v>1</v>
      </c>
      <c r="R33" s="48">
        <f t="shared" si="34"/>
        <v>2</v>
      </c>
      <c r="S33" s="48">
        <f>'Юнит 01-07.12'!S33+'Юнит 08-14.12'!S33+'Юнит 15-21.12'!S33+'Юнит 22-31.12'!S33</f>
        <v>9272</v>
      </c>
      <c r="T33" s="48">
        <f>'Юнит 01-07.12'!T33+'Юнит 08-14.12'!T33+'Юнит 15-21.12'!T33+'Юнит 22-31.12'!T33</f>
        <v>-3080</v>
      </c>
      <c r="U33" s="48">
        <f t="shared" si="35"/>
        <v>6192</v>
      </c>
      <c r="V33" s="431">
        <f t="shared" si="36"/>
        <v>0.65096719932716574</v>
      </c>
      <c r="W33" s="48">
        <f>'Юнит 01-07.12'!W33+'Юнит 08-14.12'!W33+'Юнит 15-21.12'!W33+'Юнит 22-31.12'!W33</f>
        <v>1314</v>
      </c>
      <c r="X33" s="48">
        <f>'Юнит 01-07.12'!X33+'Юнит 08-14.12'!X33+'Юнит 15-21.12'!X33+'Юнит 22-31.12'!X33</f>
        <v>2662.5600000000004</v>
      </c>
      <c r="Y33" s="431">
        <f t="shared" si="37"/>
        <v>0.43000000000000005</v>
      </c>
      <c r="Z33" s="48">
        <f>'Юнит 01-07.12'!Z33+'Юнит 08-14.12'!Z33+'Юнит 15-21.12'!Z33+'Юнит 22-31.12'!Z33</f>
        <v>653.41000000000008</v>
      </c>
      <c r="AA33" s="48">
        <f>'Юнит 01-07.12'!AA33+'Юнит 08-14.12'!AA33+'Юнит 15-21.12'!AA33+'Юнит 22-31.12'!AA33</f>
        <v>0</v>
      </c>
      <c r="AB33" s="64"/>
      <c r="AC33" s="51"/>
      <c r="AD33" s="55">
        <f>U33*1%</f>
        <v>61.92</v>
      </c>
      <c r="AE33" s="56">
        <f t="shared" si="23"/>
        <v>1500.1099999999994</v>
      </c>
      <c r="AF33" s="55"/>
      <c r="AG33" s="57">
        <f t="shared" si="24"/>
        <v>3096</v>
      </c>
      <c r="AH33" s="58">
        <f t="shared" si="25"/>
        <v>657</v>
      </c>
      <c r="AI33" s="58">
        <f t="shared" si="26"/>
        <v>1331.2800000000002</v>
      </c>
      <c r="AJ33" s="58">
        <f t="shared" si="27"/>
        <v>217.80333333333337</v>
      </c>
      <c r="AK33" s="58">
        <f t="shared" si="28"/>
        <v>0</v>
      </c>
      <c r="AL33" s="58">
        <f t="array" ref="AL33">_xlfn.IFS(R33=0,AE33,R33&lt;0,AE33/-R33,R33&gt;0,AE33/R33)</f>
        <v>750.05499999999972</v>
      </c>
      <c r="AM33" s="59">
        <f t="shared" si="29"/>
        <v>0.24226582687338491</v>
      </c>
      <c r="AN33" s="60">
        <f t="shared" si="30"/>
        <v>1.1416362252663619</v>
      </c>
      <c r="AP33" s="62">
        <f t="shared" si="31"/>
        <v>0</v>
      </c>
    </row>
    <row r="34" spans="1:42">
      <c r="A34" s="39">
        <v>2774719501</v>
      </c>
      <c r="B34" s="40" t="s">
        <v>237</v>
      </c>
      <c r="C34" s="41"/>
      <c r="D34" s="42"/>
      <c r="E34" s="42"/>
      <c r="F34" s="42"/>
      <c r="G34" s="43"/>
      <c r="H34" s="65">
        <v>597</v>
      </c>
      <c r="I34" s="63">
        <f t="shared" si="18"/>
        <v>0</v>
      </c>
      <c r="J34" s="45"/>
      <c r="K34" s="48">
        <f>'Юнит 01-07.12'!K34+'Юнит 08-14.12'!K34+'Юнит 15-21.12'!K34+'Юнит 22-31.12'!K34</f>
        <v>1</v>
      </c>
      <c r="L34" s="48" t="e">
        <f>'Юнит 01-07.12'!L34+'Юнит 08-14.12'!L34+'Юнит 15-21.12'!L34+'Юнит 22-31.12'!L34+#REF!</f>
        <v>#REF!</v>
      </c>
      <c r="M34" s="48" t="e">
        <f>'Юнит 01-07.12'!M34+'Юнит 08-14.12'!M34+'Юнит 15-21.12'!M34+'Юнит 22-31.12'!M34+#REF!</f>
        <v>#REF!</v>
      </c>
      <c r="N34" s="48">
        <f t="shared" si="32"/>
        <v>3.2258064516129031E-2</v>
      </c>
      <c r="O34" s="48">
        <f t="shared" si="33"/>
        <v>0</v>
      </c>
      <c r="P34" s="48">
        <f>'Юнит 01-07.12'!P34+'Юнит 08-14.12'!P34+'Юнит 15-21.12'!P34+'Юнит 22-31.12'!P34</f>
        <v>0</v>
      </c>
      <c r="Q34" s="48">
        <f>'Юнит 01-07.12'!Q34+'Юнит 08-14.12'!Q34+'Юнит 15-21.12'!Q34+'Юнит 22-31.12'!Q34</f>
        <v>0</v>
      </c>
      <c r="R34" s="48">
        <f t="shared" si="34"/>
        <v>0</v>
      </c>
      <c r="S34" s="48">
        <f>'Юнит 01-07.12'!S34+'Юнит 08-14.12'!S34+'Юнит 15-21.12'!S34+'Юнит 22-31.12'!S34</f>
        <v>0</v>
      </c>
      <c r="T34" s="48">
        <f>'Юнит 01-07.12'!T34+'Юнит 08-14.12'!T34+'Юнит 15-21.12'!T34+'Юнит 22-31.12'!T34</f>
        <v>0</v>
      </c>
      <c r="U34" s="48">
        <f t="shared" si="35"/>
        <v>0</v>
      </c>
      <c r="V34" s="431">
        <f t="shared" si="36"/>
        <v>0</v>
      </c>
      <c r="W34" s="48">
        <f>'Юнит 01-07.12'!W34+'Юнит 08-14.12'!W34+'Юнит 15-21.12'!W34+'Юнит 22-31.12'!W34</f>
        <v>0</v>
      </c>
      <c r="X34" s="48">
        <f>'Юнит 01-07.12'!X34+'Юнит 08-14.12'!X34+'Юнит 15-21.12'!X34+'Юнит 22-31.12'!X34</f>
        <v>0</v>
      </c>
      <c r="Y34" s="431" t="e">
        <f t="shared" si="37"/>
        <v>#DIV/0!</v>
      </c>
      <c r="Z34" s="48">
        <f>'Юнит 01-07.12'!Z34+'Юнит 08-14.12'!Z34+'Юнит 15-21.12'!Z34+'Юнит 22-31.12'!Z34</f>
        <v>0</v>
      </c>
      <c r="AA34" s="48">
        <f>'Юнит 01-07.12'!AA34+'Юнит 08-14.12'!AA34+'Юнит 15-21.12'!AA34+'Юнит 22-31.12'!AA34</f>
        <v>0</v>
      </c>
      <c r="AB34" s="64"/>
      <c r="AC34" s="51"/>
      <c r="AD34" s="55">
        <f>U34*1%</f>
        <v>0</v>
      </c>
      <c r="AE34" s="56">
        <f t="shared" si="23"/>
        <v>0</v>
      </c>
      <c r="AF34" s="55"/>
      <c r="AG34" s="57">
        <f t="shared" si="24"/>
        <v>0</v>
      </c>
      <c r="AH34" s="58">
        <f t="shared" si="25"/>
        <v>597</v>
      </c>
      <c r="AI34" s="58">
        <f t="shared" si="26"/>
        <v>0</v>
      </c>
      <c r="AJ34" s="58">
        <f t="shared" si="27"/>
        <v>0</v>
      </c>
      <c r="AK34" s="58">
        <f t="shared" si="28"/>
        <v>0</v>
      </c>
      <c r="AL34" s="58">
        <f t="array" ref="AL34">_xlfn.IFS(R34=0,AE34,R34&lt;0,AE34/-R34,R34&gt;0,AE34/R34)</f>
        <v>0</v>
      </c>
      <c r="AM34" s="59">
        <f t="shared" si="29"/>
        <v>0</v>
      </c>
      <c r="AN34" s="60">
        <f t="shared" si="30"/>
        <v>0</v>
      </c>
      <c r="AP34" s="62">
        <f t="shared" si="31"/>
        <v>0</v>
      </c>
    </row>
    <row r="35" spans="1:42">
      <c r="A35" s="39">
        <v>2774714412</v>
      </c>
      <c r="B35" s="40" t="s">
        <v>142</v>
      </c>
      <c r="C35" s="41"/>
      <c r="D35" s="42"/>
      <c r="E35" s="42"/>
      <c r="F35" s="42"/>
      <c r="G35" s="43"/>
      <c r="H35" s="65">
        <v>552</v>
      </c>
      <c r="I35" s="63">
        <f t="shared" si="18"/>
        <v>0</v>
      </c>
      <c r="J35" s="45"/>
      <c r="K35" s="48">
        <f>'Юнит 01-07.12'!K35+'Юнит 08-14.12'!K35+'Юнит 15-21.12'!K35+'Юнит 22-31.12'!K35</f>
        <v>0</v>
      </c>
      <c r="L35" s="48" t="e">
        <f>'Юнит 01-07.12'!L35+'Юнит 08-14.12'!L35+'Юнит 15-21.12'!L35+'Юнит 22-31.12'!L35+#REF!</f>
        <v>#REF!</v>
      </c>
      <c r="M35" s="48" t="e">
        <f>'Юнит 01-07.12'!M35+'Юнит 08-14.12'!M35+'Юнит 15-21.12'!M35+'Юнит 22-31.12'!M35+#REF!</f>
        <v>#REF!</v>
      </c>
      <c r="N35" s="48">
        <f t="shared" si="32"/>
        <v>0</v>
      </c>
      <c r="O35" s="48">
        <f t="shared" si="33"/>
        <v>0</v>
      </c>
      <c r="P35" s="48">
        <f>'Юнит 01-07.12'!P35+'Юнит 08-14.12'!P35+'Юнит 15-21.12'!P35+'Юнит 22-31.12'!P35</f>
        <v>0</v>
      </c>
      <c r="Q35" s="48">
        <f>'Юнит 01-07.12'!Q35+'Юнит 08-14.12'!Q35+'Юнит 15-21.12'!Q35+'Юнит 22-31.12'!Q35</f>
        <v>0</v>
      </c>
      <c r="R35" s="48">
        <f t="shared" si="34"/>
        <v>0</v>
      </c>
      <c r="S35" s="48">
        <f>'Юнит 01-07.12'!S35+'Юнит 08-14.12'!S35+'Юнит 15-21.12'!S35+'Юнит 22-31.12'!S35</f>
        <v>0</v>
      </c>
      <c r="T35" s="48">
        <f>'Юнит 01-07.12'!T35+'Юнит 08-14.12'!T35+'Юнит 15-21.12'!T35+'Юнит 22-31.12'!T35</f>
        <v>0</v>
      </c>
      <c r="U35" s="48">
        <f t="shared" si="35"/>
        <v>0</v>
      </c>
      <c r="V35" s="431">
        <f t="shared" si="36"/>
        <v>0</v>
      </c>
      <c r="W35" s="48">
        <f>'Юнит 01-07.12'!W35+'Юнит 08-14.12'!W35+'Юнит 15-21.12'!W35+'Юнит 22-31.12'!W35</f>
        <v>0</v>
      </c>
      <c r="X35" s="48">
        <f>'Юнит 01-07.12'!X35+'Юнит 08-14.12'!X35+'Юнит 15-21.12'!X35+'Юнит 22-31.12'!X35</f>
        <v>0</v>
      </c>
      <c r="Y35" s="431" t="e">
        <f t="shared" si="37"/>
        <v>#DIV/0!</v>
      </c>
      <c r="Z35" s="48">
        <f>'Юнит 01-07.12'!Z35+'Юнит 08-14.12'!Z35+'Юнит 15-21.12'!Z35+'Юнит 22-31.12'!Z35</f>
        <v>0</v>
      </c>
      <c r="AA35" s="48">
        <f>'Юнит 01-07.12'!AA35+'Юнит 08-14.12'!AA35+'Юнит 15-21.12'!AA35+'Юнит 22-31.12'!AA35</f>
        <v>0</v>
      </c>
      <c r="AB35" s="64"/>
      <c r="AC35" s="51"/>
      <c r="AD35" s="55">
        <f>U35*1%</f>
        <v>0</v>
      </c>
      <c r="AE35" s="56">
        <f t="shared" si="23"/>
        <v>0</v>
      </c>
      <c r="AF35" s="55"/>
      <c r="AG35" s="57">
        <f t="shared" si="24"/>
        <v>0</v>
      </c>
      <c r="AH35" s="58">
        <f t="shared" si="25"/>
        <v>552</v>
      </c>
      <c r="AI35" s="58">
        <f t="shared" si="26"/>
        <v>0</v>
      </c>
      <c r="AJ35" s="58">
        <f t="shared" si="27"/>
        <v>0</v>
      </c>
      <c r="AK35" s="58">
        <f t="shared" si="28"/>
        <v>0</v>
      </c>
      <c r="AL35" s="58">
        <f t="array" ref="AL35">_xlfn.IFS(R35=0,AE35,R35&lt;0,AE35/-R35,R35&gt;0,AE35/R35)</f>
        <v>0</v>
      </c>
      <c r="AM35" s="59">
        <f t="shared" si="29"/>
        <v>0</v>
      </c>
      <c r="AN35" s="60">
        <f t="shared" si="30"/>
        <v>0</v>
      </c>
      <c r="AP35" s="62">
        <f t="shared" si="31"/>
        <v>0</v>
      </c>
    </row>
    <row r="36" spans="1:42">
      <c r="A36" s="39">
        <v>2774710430</v>
      </c>
      <c r="B36" s="40" t="s">
        <v>238</v>
      </c>
      <c r="C36" s="41"/>
      <c r="D36" s="42"/>
      <c r="E36" s="42"/>
      <c r="F36" s="42"/>
      <c r="G36" s="43"/>
      <c r="H36" s="65">
        <v>552</v>
      </c>
      <c r="I36" s="63">
        <f t="shared" si="18"/>
        <v>0</v>
      </c>
      <c r="J36" s="45"/>
      <c r="K36" s="48">
        <f>'Юнит 01-07.12'!K36+'Юнит 08-14.12'!K36+'Юнит 15-21.12'!K36+'Юнит 22-31.12'!K36</f>
        <v>1</v>
      </c>
      <c r="L36" s="48" t="e">
        <f>'Юнит 01-07.12'!L36+'Юнит 08-14.12'!L36+'Юнит 15-21.12'!L36+'Юнит 22-31.12'!L36+#REF!</f>
        <v>#REF!</v>
      </c>
      <c r="M36" s="48" t="e">
        <f>'Юнит 01-07.12'!M36+'Юнит 08-14.12'!M36+'Юнит 15-21.12'!M36+'Юнит 22-31.12'!M36+#REF!</f>
        <v>#REF!</v>
      </c>
      <c r="N36" s="48">
        <f t="shared" si="32"/>
        <v>3.2258064516129031E-2</v>
      </c>
      <c r="O36" s="48">
        <f t="shared" si="33"/>
        <v>0</v>
      </c>
      <c r="P36" s="48">
        <f>'Юнит 01-07.12'!P36+'Юнит 08-14.12'!P36+'Юнит 15-21.12'!P36+'Юнит 22-31.12'!P36</f>
        <v>0</v>
      </c>
      <c r="Q36" s="48">
        <f>'Юнит 01-07.12'!Q36+'Юнит 08-14.12'!Q36+'Юнит 15-21.12'!Q36+'Юнит 22-31.12'!Q36</f>
        <v>0</v>
      </c>
      <c r="R36" s="48">
        <f t="shared" si="34"/>
        <v>0</v>
      </c>
      <c r="S36" s="48">
        <f>'Юнит 01-07.12'!S36+'Юнит 08-14.12'!S36+'Юнит 15-21.12'!S36+'Юнит 22-31.12'!S36</f>
        <v>0</v>
      </c>
      <c r="T36" s="48">
        <f>'Юнит 01-07.12'!T36+'Юнит 08-14.12'!T36+'Юнит 15-21.12'!T36+'Юнит 22-31.12'!T36</f>
        <v>0</v>
      </c>
      <c r="U36" s="48">
        <f t="shared" si="35"/>
        <v>0</v>
      </c>
      <c r="V36" s="431">
        <f t="shared" si="36"/>
        <v>0</v>
      </c>
      <c r="W36" s="48">
        <f>'Юнит 01-07.12'!W36+'Юнит 08-14.12'!W36+'Юнит 15-21.12'!W36+'Юнит 22-31.12'!W36</f>
        <v>0</v>
      </c>
      <c r="X36" s="48">
        <f>'Юнит 01-07.12'!X36+'Юнит 08-14.12'!X36+'Юнит 15-21.12'!X36+'Юнит 22-31.12'!X36</f>
        <v>0</v>
      </c>
      <c r="Y36" s="431" t="e">
        <f t="shared" si="37"/>
        <v>#DIV/0!</v>
      </c>
      <c r="Z36" s="48">
        <f>'Юнит 01-07.12'!Z36+'Юнит 08-14.12'!Z36+'Юнит 15-21.12'!Z36+'Юнит 22-31.12'!Z36</f>
        <v>112</v>
      </c>
      <c r="AA36" s="48">
        <f>'Юнит 01-07.12'!AA36+'Юнит 08-14.12'!AA36+'Юнит 15-21.12'!AA36+'Юнит 22-31.12'!AA36</f>
        <v>0</v>
      </c>
      <c r="AB36" s="64"/>
      <c r="AC36" s="51"/>
      <c r="AD36" s="55">
        <f>U36*1%</f>
        <v>0</v>
      </c>
      <c r="AE36" s="56">
        <f t="shared" si="23"/>
        <v>-112</v>
      </c>
      <c r="AF36" s="55"/>
      <c r="AG36" s="57">
        <f t="shared" si="24"/>
        <v>0</v>
      </c>
      <c r="AH36" s="58">
        <f t="shared" si="25"/>
        <v>552</v>
      </c>
      <c r="AI36" s="58">
        <f t="shared" si="26"/>
        <v>0</v>
      </c>
      <c r="AJ36" s="58">
        <f t="shared" si="27"/>
        <v>112</v>
      </c>
      <c r="AK36" s="58">
        <f t="shared" si="28"/>
        <v>0</v>
      </c>
      <c r="AL36" s="58">
        <f t="array" ref="AL36">_xlfn.IFS(R36=0,AE36,R36&lt;0,AE36/-R36,R36&gt;0,AE36/R36)</f>
        <v>-112</v>
      </c>
      <c r="AM36" s="59">
        <f t="shared" si="29"/>
        <v>0</v>
      </c>
      <c r="AN36" s="60">
        <f t="shared" si="30"/>
        <v>-0.20289855072463769</v>
      </c>
      <c r="AP36" s="62">
        <f t="shared" si="31"/>
        <v>0</v>
      </c>
    </row>
    <row r="37" spans="1:42">
      <c r="A37" s="39">
        <v>2774712116</v>
      </c>
      <c r="B37" s="40" t="s">
        <v>62</v>
      </c>
      <c r="C37" s="41"/>
      <c r="D37" s="42"/>
      <c r="E37" s="42"/>
      <c r="F37" s="42"/>
      <c r="G37" s="43"/>
      <c r="H37" s="65">
        <v>687</v>
      </c>
      <c r="I37" s="63">
        <f t="shared" si="18"/>
        <v>0</v>
      </c>
      <c r="J37" s="45"/>
      <c r="K37" s="48">
        <f>'Юнит 01-07.12'!K37+'Юнит 08-14.12'!K37+'Юнит 15-21.12'!K37+'Юнит 22-31.12'!K37</f>
        <v>0</v>
      </c>
      <c r="L37" s="48" t="e">
        <f>'Юнит 01-07.12'!L37+'Юнит 08-14.12'!L37+'Юнит 15-21.12'!L37+'Юнит 22-31.12'!L37+#REF!</f>
        <v>#REF!</v>
      </c>
      <c r="M37" s="48" t="e">
        <f>'Юнит 01-07.12'!M37+'Юнит 08-14.12'!M37+'Юнит 15-21.12'!M37+'Юнит 22-31.12'!M37+#REF!</f>
        <v>#REF!</v>
      </c>
      <c r="N37" s="48">
        <f t="shared" si="32"/>
        <v>0</v>
      </c>
      <c r="O37" s="48">
        <f t="shared" si="33"/>
        <v>0</v>
      </c>
      <c r="P37" s="48">
        <f>'Юнит 01-07.12'!P37+'Юнит 08-14.12'!P37+'Юнит 15-21.12'!P37+'Юнит 22-31.12'!P37</f>
        <v>0</v>
      </c>
      <c r="Q37" s="48">
        <f>'Юнит 01-07.12'!Q37+'Юнит 08-14.12'!Q37+'Юнит 15-21.12'!Q37+'Юнит 22-31.12'!Q37</f>
        <v>0</v>
      </c>
      <c r="R37" s="48">
        <f t="shared" si="34"/>
        <v>0</v>
      </c>
      <c r="S37" s="48">
        <f>'Юнит 01-07.12'!S37+'Юнит 08-14.12'!S37+'Юнит 15-21.12'!S37+'Юнит 22-31.12'!S37</f>
        <v>0</v>
      </c>
      <c r="T37" s="48">
        <f>'Юнит 01-07.12'!T37+'Юнит 08-14.12'!T37+'Юнит 15-21.12'!T37+'Юнит 22-31.12'!T37</f>
        <v>0</v>
      </c>
      <c r="U37" s="48">
        <f t="shared" si="35"/>
        <v>0</v>
      </c>
      <c r="V37" s="431">
        <f t="shared" si="36"/>
        <v>0</v>
      </c>
      <c r="W37" s="48">
        <f>'Юнит 01-07.12'!W37+'Юнит 08-14.12'!W37+'Юнит 15-21.12'!W37+'Юнит 22-31.12'!W37</f>
        <v>0</v>
      </c>
      <c r="X37" s="48">
        <f>'Юнит 01-07.12'!X37+'Юнит 08-14.12'!X37+'Юнит 15-21.12'!X37+'Юнит 22-31.12'!X37</f>
        <v>0</v>
      </c>
      <c r="Y37" s="431" t="e">
        <f t="shared" si="37"/>
        <v>#DIV/0!</v>
      </c>
      <c r="Z37" s="48">
        <f>'Юнит 01-07.12'!Z37+'Юнит 08-14.12'!Z37+'Юнит 15-21.12'!Z37+'Юнит 22-31.12'!Z37</f>
        <v>0</v>
      </c>
      <c r="AA37" s="48">
        <f>'Юнит 01-07.12'!AA37+'Юнит 08-14.12'!AA37+'Юнит 15-21.12'!AA37+'Юнит 22-31.12'!AA37</f>
        <v>0</v>
      </c>
      <c r="AB37" s="64"/>
      <c r="AC37" s="51"/>
      <c r="AD37" s="55">
        <f>U37*1%</f>
        <v>0</v>
      </c>
      <c r="AE37" s="56">
        <f t="shared" si="23"/>
        <v>0</v>
      </c>
      <c r="AF37" s="55"/>
      <c r="AG37" s="57">
        <f t="shared" si="24"/>
        <v>0</v>
      </c>
      <c r="AH37" s="58">
        <f t="shared" si="25"/>
        <v>687</v>
      </c>
      <c r="AI37" s="58">
        <f t="shared" si="26"/>
        <v>0</v>
      </c>
      <c r="AJ37" s="58">
        <f t="shared" si="27"/>
        <v>0</v>
      </c>
      <c r="AK37" s="58">
        <f t="shared" si="28"/>
        <v>0</v>
      </c>
      <c r="AL37" s="58">
        <f t="array" ref="AL37">_xlfn.IFS(R37=0,AE37,R37&lt;0,AE37/-R37,R37&gt;0,AE37/R37)</f>
        <v>0</v>
      </c>
      <c r="AM37" s="59">
        <f t="shared" si="29"/>
        <v>0</v>
      </c>
      <c r="AN37" s="60">
        <f t="shared" si="30"/>
        <v>0</v>
      </c>
      <c r="AP37" s="62">
        <f t="shared" si="31"/>
        <v>0</v>
      </c>
    </row>
    <row r="38" spans="1:42">
      <c r="A38" s="39">
        <v>2774719012</v>
      </c>
      <c r="B38" s="40" t="s">
        <v>239</v>
      </c>
      <c r="C38" s="41"/>
      <c r="D38" s="42"/>
      <c r="E38" s="42"/>
      <c r="F38" s="42"/>
      <c r="G38" s="43"/>
      <c r="H38" s="65">
        <v>687</v>
      </c>
      <c r="I38" s="63">
        <f t="shared" si="18"/>
        <v>0</v>
      </c>
      <c r="J38" s="45"/>
      <c r="K38" s="48">
        <f>'Юнит 01-07.12'!K38+'Юнит 08-14.12'!K38+'Юнит 15-21.12'!K38+'Юнит 22-31.12'!K38</f>
        <v>1</v>
      </c>
      <c r="L38" s="48" t="e">
        <f>'Юнит 01-07.12'!L38+'Юнит 08-14.12'!L38+'Юнит 15-21.12'!L38+'Юнит 22-31.12'!L38+#REF!</f>
        <v>#REF!</v>
      </c>
      <c r="M38" s="48" t="e">
        <f>'Юнит 01-07.12'!M38+'Юнит 08-14.12'!M38+'Юнит 15-21.12'!M38+'Юнит 22-31.12'!M38+#REF!</f>
        <v>#REF!</v>
      </c>
      <c r="N38" s="48">
        <f t="shared" si="32"/>
        <v>3.2258064516129031E-2</v>
      </c>
      <c r="O38" s="48">
        <f t="shared" si="33"/>
        <v>0</v>
      </c>
      <c r="P38" s="48">
        <f>'Юнит 01-07.12'!P38+'Юнит 08-14.12'!P38+'Юнит 15-21.12'!P38+'Юнит 22-31.12'!P38</f>
        <v>0</v>
      </c>
      <c r="Q38" s="48">
        <f>'Юнит 01-07.12'!Q38+'Юнит 08-14.12'!Q38+'Юнит 15-21.12'!Q38+'Юнит 22-31.12'!Q38</f>
        <v>0</v>
      </c>
      <c r="R38" s="48">
        <f t="shared" si="34"/>
        <v>0</v>
      </c>
      <c r="S38" s="48">
        <f>'Юнит 01-07.12'!S38+'Юнит 08-14.12'!S38+'Юнит 15-21.12'!S38+'Юнит 22-31.12'!S38</f>
        <v>0</v>
      </c>
      <c r="T38" s="48">
        <f>'Юнит 01-07.12'!T38+'Юнит 08-14.12'!T38+'Юнит 15-21.12'!T38+'Юнит 22-31.12'!T38</f>
        <v>0</v>
      </c>
      <c r="U38" s="48">
        <f t="shared" si="35"/>
        <v>0</v>
      </c>
      <c r="V38" s="431">
        <f t="shared" si="36"/>
        <v>0</v>
      </c>
      <c r="W38" s="48">
        <f>'Юнит 01-07.12'!W38+'Юнит 08-14.12'!W38+'Юнит 15-21.12'!W38+'Юнит 22-31.12'!W38</f>
        <v>0</v>
      </c>
      <c r="X38" s="48">
        <f>'Юнит 01-07.12'!X38+'Юнит 08-14.12'!X38+'Юнит 15-21.12'!X38+'Юнит 22-31.12'!X38</f>
        <v>0</v>
      </c>
      <c r="Y38" s="431" t="e">
        <f t="shared" si="37"/>
        <v>#DIV/0!</v>
      </c>
      <c r="Z38" s="48">
        <f>'Юнит 01-07.12'!Z38+'Юнит 08-14.12'!Z38+'Юнит 15-21.12'!Z38+'Юнит 22-31.12'!Z38</f>
        <v>113.88</v>
      </c>
      <c r="AA38" s="48">
        <f>'Юнит 01-07.12'!AA38+'Юнит 08-14.12'!AA38+'Юнит 15-21.12'!AA38+'Юнит 22-31.12'!AA38</f>
        <v>0</v>
      </c>
      <c r="AB38" s="64"/>
      <c r="AC38" s="51"/>
      <c r="AD38" s="55">
        <f>U38*1%</f>
        <v>0</v>
      </c>
      <c r="AE38" s="56">
        <f t="shared" si="23"/>
        <v>-113.88</v>
      </c>
      <c r="AF38" s="55"/>
      <c r="AG38" s="57">
        <f t="shared" si="24"/>
        <v>0</v>
      </c>
      <c r="AH38" s="58">
        <f t="shared" si="25"/>
        <v>687</v>
      </c>
      <c r="AI38" s="58">
        <f t="shared" si="26"/>
        <v>0</v>
      </c>
      <c r="AJ38" s="58">
        <f t="shared" si="27"/>
        <v>113.88</v>
      </c>
      <c r="AK38" s="58">
        <f t="shared" si="28"/>
        <v>0</v>
      </c>
      <c r="AL38" s="58">
        <f t="array" ref="AL38">_xlfn.IFS(R38=0,AE38,R38&lt;0,AE38/-R38,R38&gt;0,AE38/R38)</f>
        <v>-113.88</v>
      </c>
      <c r="AM38" s="59">
        <f t="shared" si="29"/>
        <v>0</v>
      </c>
      <c r="AN38" s="60">
        <f t="shared" si="30"/>
        <v>-0.16576419213973798</v>
      </c>
      <c r="AP38" s="62">
        <f t="shared" si="31"/>
        <v>0</v>
      </c>
    </row>
    <row r="39" spans="1:42">
      <c r="A39" s="39">
        <v>2774719433</v>
      </c>
      <c r="B39" s="40" t="s">
        <v>240</v>
      </c>
      <c r="C39" s="41"/>
      <c r="D39" s="42"/>
      <c r="E39" s="42"/>
      <c r="F39" s="42"/>
      <c r="G39" s="43"/>
      <c r="H39" s="65">
        <v>597</v>
      </c>
      <c r="I39" s="63">
        <f t="shared" si="18"/>
        <v>0</v>
      </c>
      <c r="J39" s="45"/>
      <c r="K39" s="48">
        <f>'Юнит 01-07.12'!K39+'Юнит 08-14.12'!K39+'Юнит 15-21.12'!K39+'Юнит 22-31.12'!K39</f>
        <v>0</v>
      </c>
      <c r="L39" s="48" t="e">
        <f>'Юнит 01-07.12'!L39+'Юнит 08-14.12'!L39+'Юнит 15-21.12'!L39+'Юнит 22-31.12'!L39+#REF!</f>
        <v>#REF!</v>
      </c>
      <c r="M39" s="48" t="e">
        <f>'Юнит 01-07.12'!M39+'Юнит 08-14.12'!M39+'Юнит 15-21.12'!M39+'Юнит 22-31.12'!M39+#REF!</f>
        <v>#REF!</v>
      </c>
      <c r="N39" s="48">
        <f t="shared" si="32"/>
        <v>0</v>
      </c>
      <c r="O39" s="48">
        <f t="shared" si="33"/>
        <v>-3.2258064516129031E-2</v>
      </c>
      <c r="P39" s="48">
        <f>'Юнит 01-07.12'!P39+'Юнит 08-14.12'!P39+'Юнит 15-21.12'!P39+'Юнит 22-31.12'!P39</f>
        <v>0</v>
      </c>
      <c r="Q39" s="48">
        <f>'Юнит 01-07.12'!Q39+'Юнит 08-14.12'!Q39+'Юнит 15-21.12'!Q39+'Юнит 22-31.12'!Q39</f>
        <v>1</v>
      </c>
      <c r="R39" s="48">
        <f t="shared" si="34"/>
        <v>-1</v>
      </c>
      <c r="S39" s="48">
        <f>'Юнит 01-07.12'!S39+'Юнит 08-14.12'!S39+'Юнит 15-21.12'!S39+'Юнит 22-31.12'!S39</f>
        <v>0</v>
      </c>
      <c r="T39" s="48">
        <f>'Юнит 01-07.12'!T39+'Юнит 08-14.12'!T39+'Юнит 15-21.12'!T39+'Юнит 22-31.12'!T39</f>
        <v>-5500</v>
      </c>
      <c r="U39" s="48">
        <f t="shared" si="35"/>
        <v>-5500</v>
      </c>
      <c r="V39" s="431">
        <f t="shared" si="36"/>
        <v>-0.57821698906644237</v>
      </c>
      <c r="W39" s="48">
        <f>'Юнит 01-07.12'!W39+'Юнит 08-14.12'!W39+'Юнит 15-21.12'!W39+'Юнит 22-31.12'!W39</f>
        <v>-597</v>
      </c>
      <c r="X39" s="48">
        <f>'Юнит 01-07.12'!X39+'Юнит 08-14.12'!X39+'Юнит 15-21.12'!X39+'Юнит 22-31.12'!X39</f>
        <v>-2365</v>
      </c>
      <c r="Y39" s="431">
        <f t="shared" si="37"/>
        <v>0.43</v>
      </c>
      <c r="Z39" s="48">
        <f>'Юнит 01-07.12'!Z39+'Юнит 08-14.12'!Z39+'Юнит 15-21.12'!Z39+'Юнит 22-31.12'!Z39</f>
        <v>280</v>
      </c>
      <c r="AA39" s="48">
        <f>'Юнит 01-07.12'!AA39+'Юнит 08-14.12'!AA39+'Юнит 15-21.12'!AA39+'Юнит 22-31.12'!AA39</f>
        <v>0</v>
      </c>
      <c r="AB39" s="64"/>
      <c r="AC39" s="51"/>
      <c r="AD39" s="55">
        <f>U39*1%</f>
        <v>-55</v>
      </c>
      <c r="AE39" s="56">
        <f t="shared" si="23"/>
        <v>-2763</v>
      </c>
      <c r="AF39" s="55"/>
      <c r="AG39" s="57">
        <f t="shared" si="24"/>
        <v>5500</v>
      </c>
      <c r="AH39" s="58">
        <f t="shared" si="25"/>
        <v>597</v>
      </c>
      <c r="AI39" s="58">
        <f t="shared" si="26"/>
        <v>2365</v>
      </c>
      <c r="AJ39" s="58">
        <f t="shared" si="27"/>
        <v>280</v>
      </c>
      <c r="AK39" s="58">
        <f t="shared" si="28"/>
        <v>0</v>
      </c>
      <c r="AL39" s="58">
        <f t="array" ref="AL39">_xlfn.IFS(R39=0,AE39,R39&lt;0,AE39/-R39,R39&gt;0,AE39/R39)</f>
        <v>-2763</v>
      </c>
      <c r="AM39" s="59">
        <f t="shared" si="29"/>
        <v>-0.50236363636363635</v>
      </c>
      <c r="AN39" s="60">
        <f t="shared" si="30"/>
        <v>-4.6281407035175883</v>
      </c>
      <c r="AP39" s="62">
        <f t="shared" si="31"/>
        <v>0</v>
      </c>
    </row>
    <row r="40" spans="1:42">
      <c r="A40" s="39">
        <v>2774719029</v>
      </c>
      <c r="B40" s="40" t="s">
        <v>241</v>
      </c>
      <c r="C40" s="41"/>
      <c r="D40" s="42"/>
      <c r="E40" s="42"/>
      <c r="F40" s="42"/>
      <c r="G40" s="43"/>
      <c r="H40" s="65">
        <v>597</v>
      </c>
      <c r="I40" s="63">
        <f t="shared" si="18"/>
        <v>0</v>
      </c>
      <c r="J40" s="45"/>
      <c r="K40" s="48">
        <f>'Юнит 01-07.12'!K40+'Юнит 08-14.12'!K40+'Юнит 15-21.12'!K40+'Юнит 22-31.12'!K40</f>
        <v>0</v>
      </c>
      <c r="L40" s="48" t="e">
        <f>'Юнит 01-07.12'!L40+'Юнит 08-14.12'!L40+'Юнит 15-21.12'!L40+'Юнит 22-31.12'!L40+#REF!</f>
        <v>#REF!</v>
      </c>
      <c r="M40" s="48" t="e">
        <f>'Юнит 01-07.12'!M40+'Юнит 08-14.12'!M40+'Юнит 15-21.12'!M40+'Юнит 22-31.12'!M40+#REF!</f>
        <v>#REF!</v>
      </c>
      <c r="N40" s="48">
        <f t="shared" si="32"/>
        <v>0</v>
      </c>
      <c r="O40" s="48">
        <f t="shared" si="33"/>
        <v>0</v>
      </c>
      <c r="P40" s="48">
        <f>'Юнит 01-07.12'!P40+'Юнит 08-14.12'!P40+'Юнит 15-21.12'!P40+'Юнит 22-31.12'!P40</f>
        <v>0</v>
      </c>
      <c r="Q40" s="48">
        <f>'Юнит 01-07.12'!Q40+'Юнит 08-14.12'!Q40+'Юнит 15-21.12'!Q40+'Юнит 22-31.12'!Q40</f>
        <v>0</v>
      </c>
      <c r="R40" s="48">
        <f t="shared" si="34"/>
        <v>0</v>
      </c>
      <c r="S40" s="48">
        <f>'Юнит 01-07.12'!S40+'Юнит 08-14.12'!S40+'Юнит 15-21.12'!S40+'Юнит 22-31.12'!S40</f>
        <v>0</v>
      </c>
      <c r="T40" s="48">
        <f>'Юнит 01-07.12'!T40+'Юнит 08-14.12'!T40+'Юнит 15-21.12'!T40+'Юнит 22-31.12'!T40</f>
        <v>0</v>
      </c>
      <c r="U40" s="48">
        <f t="shared" si="35"/>
        <v>0</v>
      </c>
      <c r="V40" s="431">
        <f t="shared" si="36"/>
        <v>0</v>
      </c>
      <c r="W40" s="48">
        <f>'Юнит 01-07.12'!W40+'Юнит 08-14.12'!W40+'Юнит 15-21.12'!W40+'Юнит 22-31.12'!W40</f>
        <v>0</v>
      </c>
      <c r="X40" s="48">
        <f>'Юнит 01-07.12'!X40+'Юнит 08-14.12'!X40+'Юнит 15-21.12'!X40+'Юнит 22-31.12'!X40</f>
        <v>0</v>
      </c>
      <c r="Y40" s="431" t="e">
        <f t="shared" si="37"/>
        <v>#DIV/0!</v>
      </c>
      <c r="Z40" s="48">
        <f>'Юнит 01-07.12'!Z40+'Юнит 08-14.12'!Z40+'Юнит 15-21.12'!Z40+'Юнит 22-31.12'!Z40</f>
        <v>0</v>
      </c>
      <c r="AA40" s="48">
        <f>'Юнит 01-07.12'!AA40+'Юнит 08-14.12'!AA40+'Юнит 15-21.12'!AA40+'Юнит 22-31.12'!AA40</f>
        <v>0</v>
      </c>
      <c r="AB40" s="64"/>
      <c r="AC40" s="51"/>
      <c r="AD40" s="55">
        <f>U40*1%</f>
        <v>0</v>
      </c>
      <c r="AE40" s="56">
        <f t="shared" si="23"/>
        <v>0</v>
      </c>
      <c r="AF40" s="55"/>
      <c r="AG40" s="57">
        <f t="shared" si="24"/>
        <v>0</v>
      </c>
      <c r="AH40" s="58">
        <f t="shared" si="25"/>
        <v>597</v>
      </c>
      <c r="AI40" s="58">
        <f t="shared" si="26"/>
        <v>0</v>
      </c>
      <c r="AJ40" s="58">
        <f t="shared" si="27"/>
        <v>0</v>
      </c>
      <c r="AK40" s="58">
        <f t="shared" si="28"/>
        <v>0</v>
      </c>
      <c r="AL40" s="58">
        <f t="array" ref="AL40">_xlfn.IFS(R40=0,AE40,R40&lt;0,AE40/-R40,R40&gt;0,AE40/R40)</f>
        <v>0</v>
      </c>
      <c r="AM40" s="59">
        <f t="shared" si="29"/>
        <v>0</v>
      </c>
      <c r="AN40" s="60">
        <f t="shared" si="30"/>
        <v>0</v>
      </c>
      <c r="AP40" s="62">
        <f t="shared" si="31"/>
        <v>0</v>
      </c>
    </row>
    <row r="41" spans="1:42">
      <c r="A41" s="39">
        <v>2774719553</v>
      </c>
      <c r="B41" s="40" t="s">
        <v>242</v>
      </c>
      <c r="C41" s="41"/>
      <c r="D41" s="42"/>
      <c r="E41" s="42"/>
      <c r="F41" s="42"/>
      <c r="G41" s="43"/>
      <c r="H41" s="65">
        <v>597</v>
      </c>
      <c r="I41" s="63">
        <f t="shared" si="18"/>
        <v>0</v>
      </c>
      <c r="J41" s="45"/>
      <c r="K41" s="48">
        <f>'Юнит 01-07.12'!K41+'Юнит 08-14.12'!K41+'Юнит 15-21.12'!K41+'Юнит 22-31.12'!K41</f>
        <v>0</v>
      </c>
      <c r="L41" s="48" t="e">
        <f>'Юнит 01-07.12'!L41+'Юнит 08-14.12'!L41+'Юнит 15-21.12'!L41+'Юнит 22-31.12'!L41+#REF!</f>
        <v>#REF!</v>
      </c>
      <c r="M41" s="48" t="e">
        <f>'Юнит 01-07.12'!M41+'Юнит 08-14.12'!M41+'Юнит 15-21.12'!M41+'Юнит 22-31.12'!M41+#REF!</f>
        <v>#REF!</v>
      </c>
      <c r="N41" s="48">
        <f t="shared" si="32"/>
        <v>0</v>
      </c>
      <c r="O41" s="48">
        <f t="shared" si="33"/>
        <v>3.2258064516129031E-2</v>
      </c>
      <c r="P41" s="48">
        <f>'Юнит 01-07.12'!P41+'Юнит 08-14.12'!P41+'Юнит 15-21.12'!P41+'Юнит 22-31.12'!P41</f>
        <v>1</v>
      </c>
      <c r="Q41" s="48">
        <f>'Юнит 01-07.12'!Q41+'Юнит 08-14.12'!Q41+'Юнит 15-21.12'!Q41+'Юнит 22-31.12'!Q41</f>
        <v>0</v>
      </c>
      <c r="R41" s="48">
        <f t="shared" si="34"/>
        <v>1</v>
      </c>
      <c r="S41" s="48">
        <f>'Юнит 01-07.12'!S41+'Юнит 08-14.12'!S41+'Юнит 15-21.12'!S41+'Юнит 22-31.12'!S41</f>
        <v>2320</v>
      </c>
      <c r="T41" s="48">
        <f>'Юнит 01-07.12'!T41+'Юнит 08-14.12'!T41+'Юнит 15-21.12'!T41+'Юнит 22-31.12'!T41</f>
        <v>0</v>
      </c>
      <c r="U41" s="48">
        <f t="shared" si="35"/>
        <v>2320</v>
      </c>
      <c r="V41" s="431">
        <f t="shared" si="36"/>
        <v>0.24390243902439024</v>
      </c>
      <c r="W41" s="48">
        <f>'Юнит 01-07.12'!W41+'Юнит 08-14.12'!W41+'Юнит 15-21.12'!W41+'Юнит 22-31.12'!W41</f>
        <v>597</v>
      </c>
      <c r="X41" s="48">
        <f>'Юнит 01-07.12'!X41+'Юнит 08-14.12'!X41+'Юнит 15-21.12'!X41+'Юнит 22-31.12'!X41</f>
        <v>997.6</v>
      </c>
      <c r="Y41" s="431">
        <f t="shared" si="37"/>
        <v>0.43</v>
      </c>
      <c r="Z41" s="48">
        <f>'Юнит 01-07.12'!Z41+'Юнит 08-14.12'!Z41+'Юнит 15-21.12'!Z41+'Юнит 22-31.12'!Z41</f>
        <v>154.04</v>
      </c>
      <c r="AA41" s="48">
        <f>'Юнит 01-07.12'!AA41+'Юнит 08-14.12'!AA41+'Юнит 15-21.12'!AA41+'Юнит 22-31.12'!AA41</f>
        <v>0</v>
      </c>
      <c r="AB41" s="64"/>
      <c r="AC41" s="51"/>
      <c r="AD41" s="55">
        <f>U41*1%</f>
        <v>23.2</v>
      </c>
      <c r="AE41" s="56">
        <f t="shared" si="23"/>
        <v>548.16</v>
      </c>
      <c r="AF41" s="55"/>
      <c r="AG41" s="57">
        <f t="shared" si="24"/>
        <v>2320</v>
      </c>
      <c r="AH41" s="58">
        <f t="shared" si="25"/>
        <v>597</v>
      </c>
      <c r="AI41" s="58">
        <f t="shared" si="26"/>
        <v>997.6</v>
      </c>
      <c r="AJ41" s="58">
        <f t="shared" si="27"/>
        <v>154.04</v>
      </c>
      <c r="AK41" s="58">
        <f t="shared" si="28"/>
        <v>0</v>
      </c>
      <c r="AL41" s="58">
        <f t="array" ref="AL41">_xlfn.IFS(R41=0,AE41,R41&lt;0,AE41/-R41,R41&gt;0,AE41/R41)</f>
        <v>548.16</v>
      </c>
      <c r="AM41" s="59">
        <f t="shared" si="29"/>
        <v>0.2362758620689655</v>
      </c>
      <c r="AN41" s="60">
        <f t="shared" si="30"/>
        <v>0.91819095477386925</v>
      </c>
      <c r="AP41" s="62">
        <f t="shared" si="31"/>
        <v>0</v>
      </c>
    </row>
    <row r="42" spans="1:42">
      <c r="A42" s="39">
        <v>2774710913</v>
      </c>
      <c r="B42" s="40" t="s">
        <v>243</v>
      </c>
      <c r="C42" s="41"/>
      <c r="D42" s="42"/>
      <c r="E42" s="42"/>
      <c r="F42" s="42"/>
      <c r="G42" s="43"/>
      <c r="H42" s="65">
        <v>642</v>
      </c>
      <c r="I42" s="63">
        <f t="shared" si="18"/>
        <v>0</v>
      </c>
      <c r="J42" s="45"/>
      <c r="K42" s="48">
        <f>'Юнит 01-07.12'!K42+'Юнит 08-14.12'!K42+'Юнит 15-21.12'!K42+'Юнит 22-31.12'!K42</f>
        <v>2</v>
      </c>
      <c r="L42" s="48" t="e">
        <f>'Юнит 01-07.12'!L42+'Юнит 08-14.12'!L42+'Юнит 15-21.12'!L42+'Юнит 22-31.12'!L42+#REF!</f>
        <v>#REF!</v>
      </c>
      <c r="M42" s="48" t="e">
        <f>'Юнит 01-07.12'!M42+'Юнит 08-14.12'!M42+'Юнит 15-21.12'!M42+'Юнит 22-31.12'!M42+#REF!</f>
        <v>#REF!</v>
      </c>
      <c r="N42" s="48">
        <f t="shared" si="32"/>
        <v>6.4516129032258063E-2</v>
      </c>
      <c r="O42" s="48">
        <f t="shared" si="33"/>
        <v>0</v>
      </c>
      <c r="P42" s="48">
        <f>'Юнит 01-07.12'!P42+'Юнит 08-14.12'!P42+'Юнит 15-21.12'!P42+'Юнит 22-31.12'!P42</f>
        <v>0</v>
      </c>
      <c r="Q42" s="48">
        <f>'Юнит 01-07.12'!Q42+'Юнит 08-14.12'!Q42+'Юнит 15-21.12'!Q42+'Юнит 22-31.12'!Q42</f>
        <v>0</v>
      </c>
      <c r="R42" s="48">
        <f t="shared" si="34"/>
        <v>0</v>
      </c>
      <c r="S42" s="48">
        <f>'Юнит 01-07.12'!S42+'Юнит 08-14.12'!S42+'Юнит 15-21.12'!S42+'Юнит 22-31.12'!S42</f>
        <v>0</v>
      </c>
      <c r="T42" s="48">
        <f>'Юнит 01-07.12'!T42+'Юнит 08-14.12'!T42+'Юнит 15-21.12'!T42+'Юнит 22-31.12'!T42</f>
        <v>0</v>
      </c>
      <c r="U42" s="48">
        <f t="shared" si="35"/>
        <v>0</v>
      </c>
      <c r="V42" s="431">
        <f t="shared" si="36"/>
        <v>0</v>
      </c>
      <c r="W42" s="48">
        <f>'Юнит 01-07.12'!W42+'Юнит 08-14.12'!W42+'Юнит 15-21.12'!W42+'Юнит 22-31.12'!W42</f>
        <v>0</v>
      </c>
      <c r="X42" s="48">
        <f>'Юнит 01-07.12'!X42+'Юнит 08-14.12'!X42+'Юнит 15-21.12'!X42+'Юнит 22-31.12'!X42</f>
        <v>0</v>
      </c>
      <c r="Y42" s="431" t="e">
        <f t="shared" si="37"/>
        <v>#DIV/0!</v>
      </c>
      <c r="Z42" s="48">
        <f>'Юнит 01-07.12'!Z42+'Юнит 08-14.12'!Z42+'Юнит 15-21.12'!Z42+'Юнит 22-31.12'!Z42</f>
        <v>224</v>
      </c>
      <c r="AA42" s="48">
        <f>'Юнит 01-07.12'!AA42+'Юнит 08-14.12'!AA42+'Юнит 15-21.12'!AA42+'Юнит 22-31.12'!AA42</f>
        <v>3128.92</v>
      </c>
      <c r="AB42" s="64"/>
      <c r="AC42" s="51"/>
      <c r="AD42" s="55">
        <f>U42*1%</f>
        <v>0</v>
      </c>
      <c r="AE42" s="56">
        <f t="shared" si="23"/>
        <v>-3352.92</v>
      </c>
      <c r="AF42" s="55"/>
      <c r="AG42" s="57">
        <f t="shared" si="24"/>
        <v>0</v>
      </c>
      <c r="AH42" s="58">
        <f t="shared" si="25"/>
        <v>642</v>
      </c>
      <c r="AI42" s="58">
        <f t="shared" si="26"/>
        <v>0</v>
      </c>
      <c r="AJ42" s="58">
        <f t="shared" si="27"/>
        <v>224</v>
      </c>
      <c r="AK42" s="58">
        <f t="shared" si="28"/>
        <v>0</v>
      </c>
      <c r="AL42" s="58">
        <f t="array" ref="AL42">_xlfn.IFS(R42=0,AE42,R42&lt;0,AE42/-R42,R42&gt;0,AE42/R42)</f>
        <v>-3352.92</v>
      </c>
      <c r="AM42" s="59">
        <f t="shared" si="29"/>
        <v>0</v>
      </c>
      <c r="AN42" s="60">
        <f t="shared" si="30"/>
        <v>-5.2226168224299068</v>
      </c>
      <c r="AP42" s="62">
        <f t="shared" si="31"/>
        <v>0</v>
      </c>
    </row>
    <row r="43" spans="1:42">
      <c r="A43" s="39">
        <v>2774721668</v>
      </c>
      <c r="B43" s="40" t="s">
        <v>771</v>
      </c>
      <c r="C43" s="41"/>
      <c r="D43" s="42"/>
      <c r="E43" s="42"/>
      <c r="F43" s="42"/>
      <c r="G43" s="43"/>
      <c r="H43" s="65">
        <v>642</v>
      </c>
      <c r="I43" s="63">
        <f t="shared" si="18"/>
        <v>0</v>
      </c>
      <c r="J43" s="45"/>
      <c r="K43" s="48">
        <f>'Юнит 01-07.12'!K43+'Юнит 08-14.12'!K43+'Юнит 15-21.12'!K43+'Юнит 22-31.12'!K43</f>
        <v>0</v>
      </c>
      <c r="L43" s="48" t="e">
        <f>'Юнит 01-07.12'!L43+'Юнит 08-14.12'!L43+'Юнит 15-21.12'!L43+'Юнит 22-31.12'!L43+#REF!</f>
        <v>#REF!</v>
      </c>
      <c r="M43" s="48" t="e">
        <f>'Юнит 01-07.12'!M43+'Юнит 08-14.12'!M43+'Юнит 15-21.12'!M43+'Юнит 22-31.12'!M43+#REF!</f>
        <v>#REF!</v>
      </c>
      <c r="N43" s="48">
        <f t="shared" si="32"/>
        <v>0</v>
      </c>
      <c r="O43" s="48">
        <f t="shared" si="33"/>
        <v>0</v>
      </c>
      <c r="P43" s="48">
        <f>'Юнит 01-07.12'!P43+'Юнит 08-14.12'!P43+'Юнит 15-21.12'!P43+'Юнит 22-31.12'!P43</f>
        <v>0</v>
      </c>
      <c r="Q43" s="48">
        <f>'Юнит 01-07.12'!Q43+'Юнит 08-14.12'!Q43+'Юнит 15-21.12'!Q43+'Юнит 22-31.12'!Q43</f>
        <v>0</v>
      </c>
      <c r="R43" s="48">
        <f t="shared" si="34"/>
        <v>0</v>
      </c>
      <c r="S43" s="48">
        <f>'Юнит 01-07.12'!S43+'Юнит 08-14.12'!S43+'Юнит 15-21.12'!S43+'Юнит 22-31.12'!S43</f>
        <v>0</v>
      </c>
      <c r="T43" s="48">
        <f>'Юнит 01-07.12'!T43+'Юнит 08-14.12'!T43+'Юнит 15-21.12'!T43+'Юнит 22-31.12'!T43</f>
        <v>0</v>
      </c>
      <c r="U43" s="48">
        <f t="shared" si="35"/>
        <v>0</v>
      </c>
      <c r="V43" s="431">
        <f t="shared" si="36"/>
        <v>0</v>
      </c>
      <c r="W43" s="48">
        <f>'Юнит 01-07.12'!W43+'Юнит 08-14.12'!W43+'Юнит 15-21.12'!W43+'Юнит 22-31.12'!W43</f>
        <v>0</v>
      </c>
      <c r="X43" s="48">
        <f>'Юнит 01-07.12'!X43+'Юнит 08-14.12'!X43+'Юнит 15-21.12'!X43+'Юнит 22-31.12'!X43</f>
        <v>0</v>
      </c>
      <c r="Y43" s="431" t="e">
        <f t="shared" si="37"/>
        <v>#DIV/0!</v>
      </c>
      <c r="Z43" s="48">
        <f>'Юнит 01-07.12'!Z43+'Юнит 08-14.12'!Z43+'Юнит 15-21.12'!Z43+'Юнит 22-31.12'!Z43</f>
        <v>0</v>
      </c>
      <c r="AA43" s="48">
        <f>'Юнит 01-07.12'!AA43+'Юнит 08-14.12'!AA43+'Юнит 15-21.12'!AA43+'Юнит 22-31.12'!AA43</f>
        <v>0</v>
      </c>
      <c r="AB43" s="64"/>
      <c r="AC43" s="51"/>
      <c r="AD43" s="55">
        <f>U43*1%</f>
        <v>0</v>
      </c>
      <c r="AE43" s="56">
        <f t="shared" si="23"/>
        <v>0</v>
      </c>
      <c r="AF43" s="55"/>
      <c r="AG43" s="57">
        <f t="shared" si="24"/>
        <v>0</v>
      </c>
      <c r="AH43" s="58">
        <f t="shared" si="25"/>
        <v>642</v>
      </c>
      <c r="AI43" s="58">
        <f t="shared" si="26"/>
        <v>0</v>
      </c>
      <c r="AJ43" s="58">
        <f t="shared" si="27"/>
        <v>0</v>
      </c>
      <c r="AK43" s="58">
        <f t="shared" si="28"/>
        <v>0</v>
      </c>
      <c r="AL43" s="58">
        <f t="array" ref="AL43">_xlfn.IFS(R43=0,AE43,R43&lt;0,AE43/-R43,R43&gt;0,AE43/R43)</f>
        <v>0</v>
      </c>
      <c r="AM43" s="59">
        <f t="shared" si="29"/>
        <v>0</v>
      </c>
      <c r="AN43" s="60">
        <f t="shared" si="30"/>
        <v>0</v>
      </c>
      <c r="AP43" s="62">
        <f t="shared" si="31"/>
        <v>0</v>
      </c>
    </row>
    <row r="44" spans="1:42">
      <c r="A44" s="39">
        <v>2774722656</v>
      </c>
      <c r="B44" s="40" t="s">
        <v>51</v>
      </c>
      <c r="C44" s="41"/>
      <c r="D44" s="42"/>
      <c r="E44" s="42"/>
      <c r="F44" s="42"/>
      <c r="G44" s="43"/>
      <c r="H44" s="65">
        <v>687</v>
      </c>
      <c r="I44" s="63">
        <f t="shared" si="18"/>
        <v>0</v>
      </c>
      <c r="J44" s="45"/>
      <c r="K44" s="48">
        <f>'Юнит 01-07.12'!K44+'Юнит 08-14.12'!K44+'Юнит 15-21.12'!K44+'Юнит 22-31.12'!K44</f>
        <v>0</v>
      </c>
      <c r="L44" s="48" t="e">
        <f>'Юнит 01-07.12'!L44+'Юнит 08-14.12'!L44+'Юнит 15-21.12'!L44+'Юнит 22-31.12'!L44+#REF!</f>
        <v>#REF!</v>
      </c>
      <c r="M44" s="48" t="e">
        <f>'Юнит 01-07.12'!M44+'Юнит 08-14.12'!M44+'Юнит 15-21.12'!M44+'Юнит 22-31.12'!M44+#REF!</f>
        <v>#REF!</v>
      </c>
      <c r="N44" s="48">
        <f t="shared" si="32"/>
        <v>0</v>
      </c>
      <c r="O44" s="48">
        <f t="shared" si="33"/>
        <v>0</v>
      </c>
      <c r="P44" s="48">
        <f>'Юнит 01-07.12'!P44+'Юнит 08-14.12'!P44+'Юнит 15-21.12'!P44+'Юнит 22-31.12'!P44</f>
        <v>0</v>
      </c>
      <c r="Q44" s="48">
        <f>'Юнит 01-07.12'!Q44+'Юнит 08-14.12'!Q44+'Юнит 15-21.12'!Q44+'Юнит 22-31.12'!Q44</f>
        <v>0</v>
      </c>
      <c r="R44" s="48">
        <f t="shared" si="34"/>
        <v>0</v>
      </c>
      <c r="S44" s="48">
        <f>'Юнит 01-07.12'!S44+'Юнит 08-14.12'!S44+'Юнит 15-21.12'!S44+'Юнит 22-31.12'!S44</f>
        <v>0</v>
      </c>
      <c r="T44" s="48">
        <f>'Юнит 01-07.12'!T44+'Юнит 08-14.12'!T44+'Юнит 15-21.12'!T44+'Юнит 22-31.12'!T44</f>
        <v>0</v>
      </c>
      <c r="U44" s="48">
        <f t="shared" si="35"/>
        <v>0</v>
      </c>
      <c r="V44" s="431">
        <f t="shared" si="36"/>
        <v>0</v>
      </c>
      <c r="W44" s="48">
        <f>'Юнит 01-07.12'!W44+'Юнит 08-14.12'!W44+'Юнит 15-21.12'!W44+'Юнит 22-31.12'!W44</f>
        <v>0</v>
      </c>
      <c r="X44" s="48">
        <f>'Юнит 01-07.12'!X44+'Юнит 08-14.12'!X44+'Юнит 15-21.12'!X44+'Юнит 22-31.12'!X44</f>
        <v>0</v>
      </c>
      <c r="Y44" s="431" t="e">
        <f t="shared" si="37"/>
        <v>#DIV/0!</v>
      </c>
      <c r="Z44" s="48">
        <f>'Юнит 01-07.12'!Z44+'Юнит 08-14.12'!Z44+'Юнит 15-21.12'!Z44+'Юнит 22-31.12'!Z44</f>
        <v>112</v>
      </c>
      <c r="AA44" s="48">
        <f>'Юнит 01-07.12'!AA44+'Юнит 08-14.12'!AA44+'Юнит 15-21.12'!AA44+'Юнит 22-31.12'!AA44</f>
        <v>1248.861138</v>
      </c>
      <c r="AB44" s="64"/>
      <c r="AC44" s="51"/>
      <c r="AD44" s="55">
        <f>U44*1%</f>
        <v>0</v>
      </c>
      <c r="AE44" s="56">
        <f t="shared" si="23"/>
        <v>-1360.861138</v>
      </c>
      <c r="AF44" s="55"/>
      <c r="AG44" s="57">
        <f t="shared" si="24"/>
        <v>0</v>
      </c>
      <c r="AH44" s="58">
        <f t="shared" si="25"/>
        <v>687</v>
      </c>
      <c r="AI44" s="58">
        <f t="shared" si="26"/>
        <v>0</v>
      </c>
      <c r="AJ44" s="58">
        <f t="shared" si="27"/>
        <v>112</v>
      </c>
      <c r="AK44" s="58">
        <f t="shared" si="28"/>
        <v>0</v>
      </c>
      <c r="AL44" s="58">
        <f t="array" ref="AL44">_xlfn.IFS(R44=0,AE44,R44&lt;0,AE44/-R44,R44&gt;0,AE44/R44)</f>
        <v>-1360.861138</v>
      </c>
      <c r="AM44" s="59">
        <f t="shared" si="29"/>
        <v>0</v>
      </c>
      <c r="AN44" s="60">
        <f t="shared" si="30"/>
        <v>-1.980875018922853</v>
      </c>
      <c r="AP44" s="62">
        <f t="shared" si="31"/>
        <v>0</v>
      </c>
    </row>
    <row r="45" spans="1:42">
      <c r="A45" s="39">
        <v>2774721190</v>
      </c>
      <c r="B45" s="40" t="s">
        <v>70</v>
      </c>
      <c r="C45" s="41"/>
      <c r="D45" s="42"/>
      <c r="E45" s="42"/>
      <c r="F45" s="42"/>
      <c r="G45" s="43"/>
      <c r="H45" s="65">
        <v>687</v>
      </c>
      <c r="I45" s="63">
        <f t="shared" si="18"/>
        <v>0</v>
      </c>
      <c r="J45" s="45"/>
      <c r="K45" s="48">
        <f>'Юнит 01-07.12'!K45+'Юнит 08-14.12'!K45+'Юнит 15-21.12'!K45+'Юнит 22-31.12'!K45</f>
        <v>2</v>
      </c>
      <c r="L45" s="48" t="e">
        <f>'Юнит 01-07.12'!L45+'Юнит 08-14.12'!L45+'Юнит 15-21.12'!L45+'Юнит 22-31.12'!L45+#REF!</f>
        <v>#REF!</v>
      </c>
      <c r="M45" s="48" t="e">
        <f>'Юнит 01-07.12'!M45+'Юнит 08-14.12'!M45+'Юнит 15-21.12'!M45+'Юнит 22-31.12'!M45+#REF!</f>
        <v>#REF!</v>
      </c>
      <c r="N45" s="48">
        <f t="shared" si="32"/>
        <v>6.4516129032258063E-2</v>
      </c>
      <c r="O45" s="48">
        <f t="shared" si="33"/>
        <v>3.2258064516129031E-2</v>
      </c>
      <c r="P45" s="48">
        <f>'Юнит 01-07.12'!P45+'Юнит 08-14.12'!P45+'Юнит 15-21.12'!P45+'Юнит 22-31.12'!P45</f>
        <v>1</v>
      </c>
      <c r="Q45" s="48">
        <f>'Юнит 01-07.12'!Q45+'Юнит 08-14.12'!Q45+'Юнит 15-21.12'!Q45+'Юнит 22-31.12'!Q45</f>
        <v>0</v>
      </c>
      <c r="R45" s="48">
        <f t="shared" si="34"/>
        <v>1</v>
      </c>
      <c r="S45" s="48">
        <f>'Юнит 01-07.12'!S45+'Юнит 08-14.12'!S45+'Юнит 15-21.12'!S45+'Юнит 22-31.12'!S45</f>
        <v>6500</v>
      </c>
      <c r="T45" s="48">
        <f>'Юнит 01-07.12'!T45+'Юнит 08-14.12'!T45+'Юнит 15-21.12'!T45+'Юнит 22-31.12'!T45</f>
        <v>0</v>
      </c>
      <c r="U45" s="48">
        <f t="shared" si="35"/>
        <v>6500</v>
      </c>
      <c r="V45" s="431">
        <f t="shared" si="36"/>
        <v>0.6833473507148865</v>
      </c>
      <c r="W45" s="48">
        <f>'Юнит 01-07.12'!W45+'Юнит 08-14.12'!W45+'Юнит 15-21.12'!W45+'Юнит 22-31.12'!W45</f>
        <v>687</v>
      </c>
      <c r="X45" s="48">
        <f>'Юнит 01-07.12'!X45+'Юнит 08-14.12'!X45+'Юнит 15-21.12'!X45+'Юнит 22-31.12'!X45</f>
        <v>2795</v>
      </c>
      <c r="Y45" s="431">
        <f t="shared" si="37"/>
        <v>0.43</v>
      </c>
      <c r="Z45" s="48">
        <f>'Юнит 01-07.12'!Z45+'Юнит 08-14.12'!Z45+'Юнит 15-21.12'!Z45+'Юнит 22-31.12'!Z45</f>
        <v>545.72</v>
      </c>
      <c r="AA45" s="48">
        <f>'Юнит 01-07.12'!AA45+'Юнит 08-14.12'!AA45+'Юнит 15-21.12'!AA45+'Юнит 22-31.12'!AA45</f>
        <v>2553.3176619999999</v>
      </c>
      <c r="AB45" s="64"/>
      <c r="AC45" s="51"/>
      <c r="AD45" s="55">
        <f>U45*1%</f>
        <v>65</v>
      </c>
      <c r="AE45" s="56">
        <f t="shared" si="23"/>
        <v>-146.03766200000018</v>
      </c>
      <c r="AF45" s="55"/>
      <c r="AG45" s="57">
        <f t="shared" si="24"/>
        <v>6500</v>
      </c>
      <c r="AH45" s="58">
        <f t="shared" si="25"/>
        <v>687</v>
      </c>
      <c r="AI45" s="58">
        <f t="shared" si="26"/>
        <v>2795</v>
      </c>
      <c r="AJ45" s="58">
        <f t="shared" si="27"/>
        <v>545.72</v>
      </c>
      <c r="AK45" s="58">
        <f t="shared" si="28"/>
        <v>2553.3176619999999</v>
      </c>
      <c r="AL45" s="58">
        <f t="array" ref="AL45">_xlfn.IFS(R45=0,AE45,R45&lt;0,AE45/-R45,R45&gt;0,AE45/R45)</f>
        <v>-146.03766200000018</v>
      </c>
      <c r="AM45" s="59">
        <f t="shared" si="29"/>
        <v>-2.2467332615384642E-2</v>
      </c>
      <c r="AN45" s="60">
        <f t="shared" si="30"/>
        <v>-0.21257301601164511</v>
      </c>
      <c r="AP45" s="62">
        <f t="shared" si="31"/>
        <v>0</v>
      </c>
    </row>
    <row r="46" spans="1:42">
      <c r="A46" s="39">
        <v>2774718796</v>
      </c>
      <c r="B46" s="40" t="s">
        <v>66</v>
      </c>
      <c r="C46" s="41"/>
      <c r="D46" s="42"/>
      <c r="E46" s="42"/>
      <c r="F46" s="42"/>
      <c r="G46" s="43"/>
      <c r="H46" s="65">
        <v>552</v>
      </c>
      <c r="I46" s="63">
        <f t="shared" si="18"/>
        <v>0</v>
      </c>
      <c r="J46" s="45"/>
      <c r="K46" s="48">
        <f>'Юнит 01-07.12'!K46+'Юнит 08-14.12'!K46+'Юнит 15-21.12'!K46+'Юнит 22-31.12'!K46</f>
        <v>1</v>
      </c>
      <c r="L46" s="48" t="e">
        <f>'Юнит 01-07.12'!L46+'Юнит 08-14.12'!L46+'Юнит 15-21.12'!L46+'Юнит 22-31.12'!L46+#REF!</f>
        <v>#REF!</v>
      </c>
      <c r="M46" s="48" t="e">
        <f>'Юнит 01-07.12'!M46+'Юнит 08-14.12'!M46+'Юнит 15-21.12'!M46+'Юнит 22-31.12'!M46+#REF!</f>
        <v>#REF!</v>
      </c>
      <c r="N46" s="48">
        <f t="shared" si="32"/>
        <v>3.2258064516129031E-2</v>
      </c>
      <c r="O46" s="48">
        <f t="shared" si="33"/>
        <v>0</v>
      </c>
      <c r="P46" s="48">
        <f>'Юнит 01-07.12'!P46+'Юнит 08-14.12'!P46+'Юнит 15-21.12'!P46+'Юнит 22-31.12'!P46</f>
        <v>0</v>
      </c>
      <c r="Q46" s="48">
        <f>'Юнит 01-07.12'!Q46+'Юнит 08-14.12'!Q46+'Юнит 15-21.12'!Q46+'Юнит 22-31.12'!Q46</f>
        <v>0</v>
      </c>
      <c r="R46" s="48">
        <f t="shared" si="34"/>
        <v>0</v>
      </c>
      <c r="S46" s="48">
        <f>'Юнит 01-07.12'!S46+'Юнит 08-14.12'!S46+'Юнит 15-21.12'!S46+'Юнит 22-31.12'!S46</f>
        <v>0</v>
      </c>
      <c r="T46" s="48">
        <f>'Юнит 01-07.12'!T46+'Юнит 08-14.12'!T46+'Юнит 15-21.12'!T46+'Юнит 22-31.12'!T46</f>
        <v>0</v>
      </c>
      <c r="U46" s="48">
        <f t="shared" si="35"/>
        <v>0</v>
      </c>
      <c r="V46" s="431">
        <f t="shared" si="36"/>
        <v>0</v>
      </c>
      <c r="W46" s="48">
        <f>'Юнит 01-07.12'!W46+'Юнит 08-14.12'!W46+'Юнит 15-21.12'!W46+'Юнит 22-31.12'!W46</f>
        <v>0</v>
      </c>
      <c r="X46" s="48">
        <f>'Юнит 01-07.12'!X46+'Юнит 08-14.12'!X46+'Юнит 15-21.12'!X46+'Юнит 22-31.12'!X46</f>
        <v>0</v>
      </c>
      <c r="Y46" s="431" t="e">
        <f t="shared" si="37"/>
        <v>#DIV/0!</v>
      </c>
      <c r="Z46" s="48">
        <f>'Юнит 01-07.12'!Z46+'Юнит 08-14.12'!Z46+'Юнит 15-21.12'!Z46+'Юнит 22-31.12'!Z46</f>
        <v>0</v>
      </c>
      <c r="AA46" s="48">
        <f>'Юнит 01-07.12'!AA46+'Юнит 08-14.12'!AA46+'Юнит 15-21.12'!AA46+'Юнит 22-31.12'!AA46</f>
        <v>1233.836329</v>
      </c>
      <c r="AB46" s="64"/>
      <c r="AC46" s="51"/>
      <c r="AD46" s="55">
        <f>U46*1%</f>
        <v>0</v>
      </c>
      <c r="AE46" s="56">
        <f t="shared" si="23"/>
        <v>-1233.836329</v>
      </c>
      <c r="AF46" s="55"/>
      <c r="AG46" s="57">
        <f t="shared" si="24"/>
        <v>0</v>
      </c>
      <c r="AH46" s="58">
        <f t="shared" si="25"/>
        <v>552</v>
      </c>
      <c r="AI46" s="58">
        <f t="shared" si="26"/>
        <v>0</v>
      </c>
      <c r="AJ46" s="58">
        <f t="shared" si="27"/>
        <v>0</v>
      </c>
      <c r="AK46" s="58">
        <f t="shared" si="28"/>
        <v>0</v>
      </c>
      <c r="AL46" s="58">
        <f t="array" ref="AL46">_xlfn.IFS(R46=0,AE46,R46&lt;0,AE46/-R46,R46&gt;0,AE46/R46)</f>
        <v>-1233.836329</v>
      </c>
      <c r="AM46" s="59">
        <f t="shared" si="29"/>
        <v>0</v>
      </c>
      <c r="AN46" s="60">
        <f t="shared" si="30"/>
        <v>-2.235210740942029</v>
      </c>
      <c r="AP46" s="62">
        <f t="shared" si="31"/>
        <v>0</v>
      </c>
    </row>
    <row r="47" spans="1:42">
      <c r="A47" s="39">
        <v>2774719500</v>
      </c>
      <c r="B47" s="40" t="s">
        <v>245</v>
      </c>
      <c r="C47" s="41"/>
      <c r="D47" s="42"/>
      <c r="E47" s="42"/>
      <c r="F47" s="42"/>
      <c r="G47" s="43"/>
      <c r="H47" s="65">
        <v>552</v>
      </c>
      <c r="I47" s="63">
        <f>C47*H47</f>
        <v>0</v>
      </c>
      <c r="J47" s="45"/>
      <c r="K47" s="48">
        <f>'Юнит 01-07.12'!K47+'Юнит 08-14.12'!K47+'Юнит 15-21.12'!K47+'Юнит 22-31.12'!K47</f>
        <v>0</v>
      </c>
      <c r="L47" s="48" t="e">
        <f>'Юнит 01-07.12'!L47+'Юнит 08-14.12'!L47+'Юнит 15-21.12'!L47+'Юнит 22-31.12'!L47+#REF!</f>
        <v>#REF!</v>
      </c>
      <c r="M47" s="48" t="e">
        <f>'Юнит 01-07.12'!M47+'Юнит 08-14.12'!M47+'Юнит 15-21.12'!M47+'Юнит 22-31.12'!M47+#REF!</f>
        <v>#REF!</v>
      </c>
      <c r="N47" s="48">
        <f t="shared" si="32"/>
        <v>0</v>
      </c>
      <c r="O47" s="48">
        <f t="shared" si="33"/>
        <v>0</v>
      </c>
      <c r="P47" s="48">
        <f>'Юнит 01-07.12'!P47+'Юнит 08-14.12'!P47+'Юнит 15-21.12'!P47+'Юнит 22-31.12'!P47</f>
        <v>0</v>
      </c>
      <c r="Q47" s="48">
        <f>'Юнит 01-07.12'!Q47+'Юнит 08-14.12'!Q47+'Юнит 15-21.12'!Q47+'Юнит 22-31.12'!Q47</f>
        <v>0</v>
      </c>
      <c r="R47" s="48">
        <f t="shared" si="34"/>
        <v>0</v>
      </c>
      <c r="S47" s="48">
        <f>'Юнит 01-07.12'!S47+'Юнит 08-14.12'!S47+'Юнит 15-21.12'!S47+'Юнит 22-31.12'!S47</f>
        <v>0</v>
      </c>
      <c r="T47" s="48">
        <f>'Юнит 01-07.12'!T47+'Юнит 08-14.12'!T47+'Юнит 15-21.12'!T47+'Юнит 22-31.12'!T47</f>
        <v>0</v>
      </c>
      <c r="U47" s="48">
        <f t="shared" si="35"/>
        <v>0</v>
      </c>
      <c r="V47" s="431">
        <f t="shared" si="36"/>
        <v>0</v>
      </c>
      <c r="W47" s="48">
        <f>'Юнит 01-07.12'!W47+'Юнит 08-14.12'!W47+'Юнит 15-21.12'!W47+'Юнит 22-31.12'!W47</f>
        <v>0</v>
      </c>
      <c r="X47" s="48">
        <f>'Юнит 01-07.12'!X47+'Юнит 08-14.12'!X47+'Юнит 15-21.12'!X47+'Юнит 22-31.12'!X47</f>
        <v>0</v>
      </c>
      <c r="Y47" s="431" t="e">
        <f t="shared" si="37"/>
        <v>#DIV/0!</v>
      </c>
      <c r="Z47" s="48">
        <f>'Юнит 01-07.12'!Z47+'Юнит 08-14.12'!Z47+'Юнит 15-21.12'!Z47+'Юнит 22-31.12'!Z47</f>
        <v>0</v>
      </c>
      <c r="AA47" s="48">
        <f>'Юнит 01-07.12'!AA47+'Юнит 08-14.12'!AA47+'Юнит 15-21.12'!AA47+'Юнит 22-31.12'!AA47</f>
        <v>0</v>
      </c>
      <c r="AB47" s="64"/>
      <c r="AC47" s="51"/>
      <c r="AD47" s="55">
        <f>U47*1%</f>
        <v>0</v>
      </c>
      <c r="AE47" s="56">
        <f t="shared" si="23"/>
        <v>0</v>
      </c>
      <c r="AF47" s="55"/>
      <c r="AG47" s="57">
        <f t="shared" si="24"/>
        <v>0</v>
      </c>
      <c r="AH47" s="58">
        <f t="shared" si="25"/>
        <v>552</v>
      </c>
      <c r="AI47" s="58">
        <f t="shared" si="26"/>
        <v>0</v>
      </c>
      <c r="AJ47" s="58">
        <f t="shared" si="27"/>
        <v>0</v>
      </c>
      <c r="AK47" s="58">
        <f t="shared" si="28"/>
        <v>0</v>
      </c>
      <c r="AL47" s="58">
        <f t="array" ref="AL47">_xlfn.IFS(R47=0,AE47,R47&lt;0,AE47/-R47,R47&gt;0,AE47/R47)</f>
        <v>0</v>
      </c>
      <c r="AM47" s="59">
        <f t="shared" si="29"/>
        <v>0</v>
      </c>
      <c r="AN47" s="60">
        <f t="shared" si="30"/>
        <v>0</v>
      </c>
      <c r="AP47" s="62">
        <f t="shared" si="31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38">AVERAGEIF(AG28:AG47,"&lt;&gt;0",AG28:AG47)</f>
        <v>4354</v>
      </c>
      <c r="AH48" s="259">
        <f t="shared" si="38"/>
        <v>617.25</v>
      </c>
      <c r="AI48" s="259">
        <f t="shared" si="38"/>
        <v>1872.22</v>
      </c>
      <c r="AJ48" s="259">
        <f t="shared" si="38"/>
        <v>222.53533333333334</v>
      </c>
      <c r="AK48" s="259">
        <f t="shared" si="38"/>
        <v>2553.3176619999999</v>
      </c>
      <c r="AL48" s="259">
        <f t="shared" si="38"/>
        <v>-750.02092081818193</v>
      </c>
      <c r="AM48" s="260">
        <f t="shared" si="38"/>
        <v>-1.1572320009167636E-2</v>
      </c>
      <c r="AN48" s="260">
        <f t="shared" si="38"/>
        <v>-1.2102684174692178</v>
      </c>
      <c r="AO48" s="240"/>
      <c r="AP48" s="241"/>
    </row>
    <row r="49" spans="1:42">
      <c r="A49" s="218" t="s">
        <v>306</v>
      </c>
      <c r="B49" s="219"/>
      <c r="C49" s="220">
        <f>SUM(C28:C47)</f>
        <v>0</v>
      </c>
      <c r="D49" s="221"/>
      <c r="E49" s="221"/>
      <c r="F49" s="221"/>
      <c r="G49" s="221"/>
      <c r="H49" s="222"/>
      <c r="I49" s="220">
        <f>SUM(I28:I47)</f>
        <v>0</v>
      </c>
      <c r="J49" s="223"/>
      <c r="K49" s="220">
        <f>SUM(K28:K47)</f>
        <v>12</v>
      </c>
      <c r="L49" s="223"/>
      <c r="M49" s="223"/>
      <c r="N49" s="224"/>
      <c r="O49" s="225"/>
      <c r="P49" s="220">
        <f t="shared" ref="P49:X49" si="39">SUM(P28:P47)</f>
        <v>6</v>
      </c>
      <c r="Q49" s="220">
        <f t="shared" si="39"/>
        <v>3</v>
      </c>
      <c r="R49" s="250">
        <f t="shared" si="39"/>
        <v>3</v>
      </c>
      <c r="S49" s="220">
        <f t="shared" si="39"/>
        <v>24592</v>
      </c>
      <c r="T49" s="220">
        <f t="shared" si="39"/>
        <v>-15080</v>
      </c>
      <c r="U49" s="250">
        <f t="shared" si="39"/>
        <v>9512</v>
      </c>
      <c r="V49" s="253">
        <f t="shared" si="39"/>
        <v>1</v>
      </c>
      <c r="W49" s="220">
        <f t="shared" si="39"/>
        <v>2001</v>
      </c>
      <c r="X49" s="220">
        <f t="shared" si="39"/>
        <v>4090.1600000000003</v>
      </c>
      <c r="Y49" s="226">
        <f>IF(U49=0,0,X49/U49)</f>
        <v>0.43000000000000005</v>
      </c>
      <c r="Z49" s="220">
        <f>SUM(Z28:Z47)</f>
        <v>2660.96</v>
      </c>
      <c r="AA49" s="220">
        <f>IFERROR(P49*AA51/P51,0)</f>
        <v>2200.8101234567903</v>
      </c>
      <c r="AB49" s="220">
        <f>SUM(AB28:AB47)</f>
        <v>0</v>
      </c>
      <c r="AC49" s="220">
        <f>SUM(AC28:AC47)</f>
        <v>0</v>
      </c>
      <c r="AD49" s="250">
        <f>SUM(AD28:AD47)</f>
        <v>95.12</v>
      </c>
      <c r="AE49" s="220">
        <f>SUM(AE28:AE47)</f>
        <v>-7500.1751290000011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0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8164.9351289999995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0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0</v>
      </c>
      <c r="J51" s="229">
        <f>J26+J49</f>
        <v>0</v>
      </c>
      <c r="K51" s="229">
        <f>K26+K49</f>
        <v>396</v>
      </c>
      <c r="L51" s="230"/>
      <c r="M51" s="230"/>
      <c r="N51" s="230"/>
      <c r="O51" s="230"/>
      <c r="P51" s="269">
        <f t="shared" ref="P51:X51" si="40">P26+P49</f>
        <v>243</v>
      </c>
      <c r="Q51" s="229">
        <f t="shared" si="40"/>
        <v>12</v>
      </c>
      <c r="R51" s="252">
        <f>R26-R49</f>
        <v>225</v>
      </c>
      <c r="S51" s="229">
        <f t="shared" si="40"/>
        <v>371489</v>
      </c>
      <c r="T51" s="229">
        <f t="shared" si="40"/>
        <v>-27949</v>
      </c>
      <c r="U51" s="252">
        <f t="shared" si="40"/>
        <v>343540</v>
      </c>
      <c r="V51" s="255">
        <f t="shared" si="40"/>
        <v>2</v>
      </c>
      <c r="W51" s="229">
        <f t="shared" si="40"/>
        <v>33380.490000000005</v>
      </c>
      <c r="X51" s="229">
        <f t="shared" si="40"/>
        <v>147722.20000000001</v>
      </c>
      <c r="Y51" s="232">
        <f>X51/U51</f>
        <v>0.43000000000000005</v>
      </c>
      <c r="Z51" s="229">
        <f>Z26+Z49</f>
        <v>38743.29</v>
      </c>
      <c r="AA51" s="75">
        <f>'Юнит 01-07.12'!AA51+'Юнит 08-14.12'!AA51+'Юнит 15-21.12'!AA51+'Юнит 22-31.12'!AA51</f>
        <v>89132.81</v>
      </c>
      <c r="AB51" s="74"/>
      <c r="AC51" s="74">
        <f>SUM(AC3:AC47)</f>
        <v>0</v>
      </c>
      <c r="AD51" s="229">
        <f>AD26+AD49</f>
        <v>3435.4</v>
      </c>
      <c r="AE51" s="233">
        <f>AE26+AE49</f>
        <v>24141.790236999994</v>
      </c>
      <c r="AF51" s="76"/>
      <c r="AG51" s="234"/>
      <c r="AH51" s="235"/>
      <c r="AI51" s="235"/>
      <c r="AJ51" s="235"/>
      <c r="AK51" s="235">
        <f>AA52/P51</f>
        <v>366.80168724279832</v>
      </c>
      <c r="AL51" s="235"/>
      <c r="AM51" s="235"/>
      <c r="AN51" s="236"/>
      <c r="AP51" s="233">
        <f>SUM(AP3:AP47)</f>
        <v>0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89132.81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96116.829763000002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 t="e">
        <f>I58/I51</f>
        <v>#DIV/0!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0</v>
      </c>
      <c r="J59" s="109" t="e">
        <f>I59/I51</f>
        <v>#DIV/0!</v>
      </c>
      <c r="K59" s="105">
        <f>AP51-K58-K60</f>
        <v>0</v>
      </c>
      <c r="L59" s="106" t="e">
        <f>K59/I59</f>
        <v>#DIV/0!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 t="e">
        <f>I60/I51</f>
        <v>#DIV/0!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269" priority="28" operator="greaterThan">
      <formula>120</formula>
    </cfRule>
  </conditionalFormatting>
  <conditionalFormatting sqref="N50">
    <cfRule type="cellIs" dxfId="268" priority="27" operator="between">
      <formula>0.000001</formula>
      <formula>25</formula>
    </cfRule>
  </conditionalFormatting>
  <conditionalFormatting sqref="V1 V52:V55 V57:V1048576">
    <cfRule type="cellIs" dxfId="26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{F38633F9-E435-4A66-9AB7-DFF4FDE81E57}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{2AA424CB-FEF4-43F9-8076-0C8538F4F0E7}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{B994E63F-DED8-4BD4-8AC8-D84061DC1D3A}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{336FFC0E-D473-4390-815E-3CAD65A26118}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{8BACC387-EB2A-4E76-935E-807511CC061D}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{D33C4AE4-4E72-4C1F-A7A0-FA2992AE48A5}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{C722830B-71E3-43D8-9CA2-963D3C87A118}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{E010FB48-972C-4513-A655-1CC499E5B45C}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{AA119EC8-0186-421C-9D9E-B16954812FD4}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{389E56D3-54B2-40EB-8C24-20410105B27A}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{8F0CC400-4210-430A-873F-AA6A97053BFF}</x14:id>
        </ext>
      </extLst>
    </cfRule>
  </conditionalFormatting>
  <conditionalFormatting sqref="P50">
    <cfRule type="cellIs" dxfId="266" priority="23" operator="greaterThan">
      <formula>120</formula>
    </cfRule>
  </conditionalFormatting>
  <conditionalFormatting sqref="Q50">
    <cfRule type="cellIs" dxfId="265" priority="22" operator="greaterThan">
      <formula>120</formula>
    </cfRule>
  </conditionalFormatting>
  <conditionalFormatting sqref="R50">
    <cfRule type="cellIs" dxfId="264" priority="21" operator="greaterThan">
      <formula>120</formula>
    </cfRule>
  </conditionalFormatting>
  <conditionalFormatting sqref="S50">
    <cfRule type="cellIs" dxfId="263" priority="20" operator="greaterThan">
      <formula>120</formula>
    </cfRule>
  </conditionalFormatting>
  <conditionalFormatting sqref="T50">
    <cfRule type="cellIs" dxfId="262" priority="19" operator="greaterThan">
      <formula>120</formula>
    </cfRule>
  </conditionalFormatting>
  <conditionalFormatting sqref="U50">
    <cfRule type="cellIs" dxfId="261" priority="18" operator="greaterThan">
      <formula>120</formula>
    </cfRule>
  </conditionalFormatting>
  <conditionalFormatting sqref="V50">
    <cfRule type="cellIs" dxfId="260" priority="17" operator="greaterThan">
      <formula>120</formula>
    </cfRule>
  </conditionalFormatting>
  <conditionalFormatting sqref="W50">
    <cfRule type="cellIs" dxfId="259" priority="16" operator="greaterThan">
      <formula>120</formula>
    </cfRule>
  </conditionalFormatting>
  <conditionalFormatting sqref="X50">
    <cfRule type="cellIs" dxfId="258" priority="15" operator="greaterThan">
      <formula>120</formula>
    </cfRule>
  </conditionalFormatting>
  <conditionalFormatting sqref="Z50">
    <cfRule type="cellIs" dxfId="25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{D3288EED-537D-4766-A9C8-75745E20FF9E}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{19AA5C37-E481-4ECE-93BF-11BEED2EB1A1}</x14:id>
        </ext>
      </extLst>
    </cfRule>
  </conditionalFormatting>
  <conditionalFormatting sqref="J8:J9">
    <cfRule type="cellIs" dxfId="25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{503392D2-E75B-462E-97D4-D387B3938CDE}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{565C9C62-EFB0-492A-AC1A-B3DEC1B0F839}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{CAF7168C-4027-4CF8-9B2D-A8C7EB6D9CB0}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{6A6A6241-0A86-4C70-A030-6F96B527998E}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{246E6C61-9F74-4BB9-BFF3-285463AA5312}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{8B48C1A2-C1AF-4D4A-B582-4C42868C33FF}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8633F9-E435-4A66-9AB7-DFF4FDE81E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AA424CB-FEF4-43F9-8076-0C8538F4F0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994E63F-DED8-4BD4-8AC8-D84061DC1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36FFC0E-D473-4390-815E-3CAD65A261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BACC387-EB2A-4E76-935E-807511CC06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33C4AE4-4E72-4C1F-A7A0-FA2992AE48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C722830B-71E3-43D8-9CA2-963D3C87A1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010FB48-972C-4513-A655-1CC499E5B4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AA119EC8-0186-421C-9D9E-B16954812F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389E56D3-54B2-40EB-8C24-20410105B2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F0CC400-4210-430A-873F-AA6A97053B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3288EED-537D-4766-A9C8-75745E20FF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9AA5C37-E481-4ECE-93BF-11BEED2EB1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03392D2-E75B-462E-97D4-D387B3938C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65C9C62-EFB0-492A-AC1A-B3DEC1B0F8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AF7168C-4027-4CF8-9B2D-A8C7EB6D9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A6A6241-0A86-4C70-A030-6F96B52799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246E6C61-9F74-4BB9-BFF3-285463AA53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B48C1A2-C1AF-4D4A-B582-4C42868C33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0F85-0777-47CD-A829-55A0DAD3C400}">
  <dimension ref="A1:AZ64"/>
  <sheetViews>
    <sheetView zoomScale="70" zoomScaleNormal="70" workbookViewId="0">
      <pane xSplit="2" ySplit="2" topLeftCell="H24" activePane="bottomRight" state="frozen"/>
      <selection pane="topRight" activeCell="C1" sqref="C1"/>
      <selection pane="bottomLeft" activeCell="A3" sqref="A3"/>
      <selection pane="bottomRight" activeCell="R35" sqref="R35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1990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761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4" si="0">C3*H3</f>
        <v>0</v>
      </c>
      <c r="J3" s="45"/>
      <c r="K3" s="41">
        <v>97</v>
      </c>
      <c r="L3" s="45"/>
      <c r="M3" s="45"/>
      <c r="N3" s="46">
        <f>K3/10</f>
        <v>9.6999999999999993</v>
      </c>
      <c r="O3" s="47">
        <f>R3/10</f>
        <v>5.7</v>
      </c>
      <c r="P3" s="48">
        <f>SUMIFS('Отчет 22-31.12'!H:H,'Отчет 22-31.12'!D:D,"Выручка",'Отчет 22-31.12'!E:E,B3)</f>
        <v>59</v>
      </c>
      <c r="Q3" s="48">
        <f>SUMIFS('Отчет 22-31.12'!H:H,'Отчет 22-31.12'!D:D,"Возврат выручки",'Отчет 22-31.12'!E:E,B3)</f>
        <v>2</v>
      </c>
      <c r="R3" s="49">
        <f t="shared" ref="R3:R24" si="1">P3-Q3</f>
        <v>57</v>
      </c>
      <c r="S3" s="50">
        <f>SUMIFS('Отчет 22-31.12'!P:P,'Отчет 22-31.12'!C:C,"Продажи",'Отчет 22-31.12'!E:E,B3)</f>
        <v>89880.000000000015</v>
      </c>
      <c r="T3" s="51">
        <f>SUMIFS('Отчет 22-31.12'!P:P,'Отчет 22-31.12'!C:C,"Возвраты",'Отчет 22-31.12'!E:E,B3)</f>
        <v>-2862</v>
      </c>
      <c r="U3" s="49">
        <f t="shared" ref="U3:U24" si="2">S3+T3</f>
        <v>87018.000000000015</v>
      </c>
      <c r="V3" s="52">
        <f>U3/$U$26</f>
        <v>0.65084517576664169</v>
      </c>
      <c r="W3" s="53">
        <f t="shared" ref="W3:W24" si="3">R3*H3</f>
        <v>8149.86</v>
      </c>
      <c r="X3" s="51">
        <f>-SUMIFS('Отчет 22-31.12'!P:P,'Отчет 22-31.12'!C:C,"Вознаграждение Ozon",'Отчет 22-31.12'!E:E,B3)</f>
        <v>37417.740000000027</v>
      </c>
      <c r="Y3" s="54">
        <f t="shared" ref="Y3:Y24" si="4">IF(U3=0,0,X3/U3)</f>
        <v>0.43000000000000022</v>
      </c>
      <c r="Z3" s="51">
        <f>-SUMIFS('Отчет 22-31.12'!P:P,'Отчет 22-31.12'!C:C,"Услуги доставки",'Отчет 22-31.12'!E:E,B3)</f>
        <v>8334.5700000000015</v>
      </c>
      <c r="AA3" s="41">
        <v>22984.409499000001</v>
      </c>
      <c r="AB3" s="51"/>
      <c r="AC3" s="51"/>
      <c r="AD3" s="55">
        <f t="shared" ref="AD3:AD24" si="5">U3*6%</f>
        <v>5221.0800000000008</v>
      </c>
      <c r="AE3" s="56">
        <f t="shared" ref="AE3:AE24" si="6">U3-W3-X3-Z3-AA3-AB3-AC3-AD3</f>
        <v>4910.3405009999851</v>
      </c>
      <c r="AF3" s="55"/>
      <c r="AG3" s="57">
        <f t="shared" ref="AG3:AG24" si="7">IF(R3=0,0,U3/R3)</f>
        <v>1526.6315789473688</v>
      </c>
      <c r="AH3" s="58">
        <f t="shared" ref="AH3:AH24" si="8">H3</f>
        <v>142.97999999999999</v>
      </c>
      <c r="AI3" s="58">
        <f t="shared" ref="AI3:AI24" si="9">IF(R3=0,0,X3/R3)</f>
        <v>656.45157894736894</v>
      </c>
      <c r="AJ3" s="58">
        <f t="shared" ref="AJ3:AJ24" si="10">IF(P3=0,Z3/1,Z3/P3)</f>
        <v>141.26389830508478</v>
      </c>
      <c r="AK3" s="58">
        <f t="shared" ref="AK3:AK24" si="11">IF(P3=0,0,AA3/P3)</f>
        <v>389.56626269491528</v>
      </c>
      <c r="AL3" s="58">
        <f>_xlfn.IFS(R3=0,AE3,R3&lt;0,AE3/-R3,R3&gt;0,AE3/R3)</f>
        <v>86.146324578947102</v>
      </c>
      <c r="AM3" s="59">
        <f t="shared" ref="AM3:AM24" si="12">IF(AG3=0,0,AL3/AG3)</f>
        <v>5.6429020444045873E-2</v>
      </c>
      <c r="AN3" s="60">
        <f t="shared" ref="AN3:AN24" si="13">IF(AH3=0,0,AL3/AH3)</f>
        <v>0.60250611679218846</v>
      </c>
      <c r="AP3" s="62">
        <f t="shared" ref="AP3:AP24" si="14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4</v>
      </c>
      <c r="L4" s="45"/>
      <c r="M4" s="45"/>
      <c r="N4" s="46">
        <f t="shared" ref="N4:N24" si="15">K4/10</f>
        <v>0.4</v>
      </c>
      <c r="O4" s="47">
        <f t="shared" ref="O4:O24" si="16">R4/10</f>
        <v>0.3</v>
      </c>
      <c r="P4" s="48">
        <f>SUMIFS('Отчет 22-31.12'!H:H,'Отчет 22-31.12'!D:D,"Выручка",'Отчет 22-31.12'!E:E,B4)</f>
        <v>3</v>
      </c>
      <c r="Q4" s="48">
        <f>SUMIFS('Отчет 22-31.12'!H:H,'Отчет 22-31.12'!D:D,"Возврат выручки",'Отчет 22-31.12'!E:E,B4)</f>
        <v>0</v>
      </c>
      <c r="R4" s="49">
        <f t="shared" si="1"/>
        <v>3</v>
      </c>
      <c r="S4" s="50">
        <f>SUMIFS('Отчет 22-31.12'!P:P,'Отчет 22-31.12'!C:C,"Продажи",'Отчет 22-31.12'!E:E,B4)</f>
        <v>3322</v>
      </c>
      <c r="T4" s="51">
        <f>SUMIFS('Отчет 22-31.12'!P:P,'Отчет 22-31.12'!C:C,"Возвраты",'Отчет 22-31.12'!E:E,B4)</f>
        <v>0</v>
      </c>
      <c r="U4" s="49">
        <f t="shared" si="2"/>
        <v>3322</v>
      </c>
      <c r="V4" s="52">
        <f t="shared" ref="V4:V24" si="17">U4/$U$51</f>
        <v>2.4846671652954368E-2</v>
      </c>
      <c r="W4" s="53">
        <f t="shared" si="3"/>
        <v>369.27</v>
      </c>
      <c r="X4" s="51">
        <f>-SUMIFS('Отчет 22-31.12'!P:P,'Отчет 22-31.12'!C:C,"Вознаграждение Ozon",'Отчет 22-31.12'!E:E,B4)</f>
        <v>1428.46</v>
      </c>
      <c r="Y4" s="54">
        <f t="shared" si="4"/>
        <v>0.43</v>
      </c>
      <c r="Z4" s="51">
        <f>-SUMIFS('Отчет 22-31.12'!P:P,'Отчет 22-31.12'!C:C,"Услуги доставки",'Отчет 22-31.12'!E:E,B4)</f>
        <v>285.93</v>
      </c>
      <c r="AA4" s="41">
        <v>0</v>
      </c>
      <c r="AB4" s="51"/>
      <c r="AC4" s="51"/>
      <c r="AD4" s="55">
        <f t="shared" si="5"/>
        <v>199.32</v>
      </c>
      <c r="AE4" s="56">
        <f t="shared" si="6"/>
        <v>1039.02</v>
      </c>
      <c r="AF4" s="55"/>
      <c r="AG4" s="57">
        <f t="shared" si="7"/>
        <v>1107.3333333333333</v>
      </c>
      <c r="AH4" s="58">
        <f t="shared" si="8"/>
        <v>123.09</v>
      </c>
      <c r="AI4" s="58">
        <f t="shared" si="9"/>
        <v>476.15333333333336</v>
      </c>
      <c r="AJ4" s="58">
        <f t="shared" si="10"/>
        <v>95.31</v>
      </c>
      <c r="AK4" s="58">
        <f t="shared" si="11"/>
        <v>0</v>
      </c>
      <c r="AL4" s="58">
        <f t="array" ref="AL4">_xlfn.IFS(R4=0,AE4,R4&lt;0,AE4/-R4,R4&gt;0,AE4/R4)</f>
        <v>346.34</v>
      </c>
      <c r="AM4" s="59">
        <f t="shared" si="12"/>
        <v>0.31276941601444913</v>
      </c>
      <c r="AN4" s="60">
        <f t="shared" si="13"/>
        <v>2.8137135429360627</v>
      </c>
      <c r="AP4" s="62">
        <f t="shared" si="14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4</v>
      </c>
      <c r="L5" s="45"/>
      <c r="M5" s="45"/>
      <c r="N5" s="46">
        <f t="shared" si="15"/>
        <v>0.4</v>
      </c>
      <c r="O5" s="47">
        <f t="shared" si="16"/>
        <v>0.2</v>
      </c>
      <c r="P5" s="48">
        <f>SUMIFS('Отчет 22-31.12'!H:H,'Отчет 22-31.12'!D:D,"Выручка",'Отчет 22-31.12'!E:E,B5)</f>
        <v>2</v>
      </c>
      <c r="Q5" s="48">
        <f>SUMIFS('Отчет 22-31.12'!H:H,'Отчет 22-31.12'!D:D,"Возврат выручки",'Отчет 22-31.12'!E:E,B5)</f>
        <v>0</v>
      </c>
      <c r="R5" s="49">
        <f t="shared" si="1"/>
        <v>2</v>
      </c>
      <c r="S5" s="50">
        <f>SUMIFS('Отчет 22-31.12'!P:P,'Отчет 22-31.12'!C:C,"Продажи",'Отчет 22-31.12'!E:E,B5)</f>
        <v>2093</v>
      </c>
      <c r="T5" s="51">
        <f>SUMIFS('Отчет 22-31.12'!P:P,'Отчет 22-31.12'!C:C,"Возвраты",'Отчет 22-31.12'!E:E,B5)</f>
        <v>0</v>
      </c>
      <c r="U5" s="49">
        <f t="shared" si="2"/>
        <v>2093</v>
      </c>
      <c r="V5" s="52">
        <f t="shared" si="17"/>
        <v>1.5654450261780101E-2</v>
      </c>
      <c r="W5" s="53">
        <f t="shared" si="3"/>
        <v>246.18</v>
      </c>
      <c r="X5" s="51">
        <f>-SUMIFS('Отчет 22-31.12'!P:P,'Отчет 22-31.12'!C:C,"Вознаграждение Ozon",'Отчет 22-31.12'!E:E,B5)</f>
        <v>899.99</v>
      </c>
      <c r="Y5" s="54">
        <f t="shared" si="4"/>
        <v>0.43</v>
      </c>
      <c r="Z5" s="51">
        <f>-SUMIFS('Отчет 22-31.12'!P:P,'Отчет 22-31.12'!C:C,"Услуги доставки",'Отчет 22-31.12'!E:E,B5)</f>
        <v>184.86</v>
      </c>
      <c r="AA5" s="41">
        <v>0</v>
      </c>
      <c r="AB5" s="64"/>
      <c r="AC5" s="51"/>
      <c r="AD5" s="55">
        <f t="shared" si="5"/>
        <v>125.58</v>
      </c>
      <c r="AE5" s="56">
        <f t="shared" si="6"/>
        <v>636.38999999999987</v>
      </c>
      <c r="AF5" s="55"/>
      <c r="AG5" s="57">
        <f t="shared" si="7"/>
        <v>1046.5</v>
      </c>
      <c r="AH5" s="58">
        <f t="shared" si="8"/>
        <v>123.09</v>
      </c>
      <c r="AI5" s="58">
        <f t="shared" si="9"/>
        <v>449.995</v>
      </c>
      <c r="AJ5" s="58">
        <f t="shared" si="10"/>
        <v>92.43</v>
      </c>
      <c r="AK5" s="58">
        <f t="shared" si="11"/>
        <v>0</v>
      </c>
      <c r="AL5" s="58">
        <f t="array" ref="AL5">_xlfn.IFS(R5=0,AE5,R5&lt;0,AE5/-R5,R5&gt;0,AE5/R5)</f>
        <v>318.19499999999994</v>
      </c>
      <c r="AM5" s="59">
        <f t="shared" si="12"/>
        <v>0.30405637840420441</v>
      </c>
      <c r="AN5" s="60">
        <f t="shared" si="13"/>
        <v>2.5850597124055565</v>
      </c>
      <c r="AP5" s="62">
        <f t="shared" si="14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31</v>
      </c>
      <c r="L6" s="45"/>
      <c r="M6" s="45"/>
      <c r="N6" s="46">
        <f t="shared" si="15"/>
        <v>3.1</v>
      </c>
      <c r="O6" s="47">
        <f t="shared" si="16"/>
        <v>1.5</v>
      </c>
      <c r="P6" s="48">
        <f>SUMIFS('Отчет 22-31.12'!H:H,'Отчет 22-31.12'!D:D,"Выручка",'Отчет 22-31.12'!E:E,B6)</f>
        <v>17</v>
      </c>
      <c r="Q6" s="48">
        <f>SUMIFS('Отчет 22-31.12'!H:H,'Отчет 22-31.12'!D:D,"Возврат выручки",'Отчет 22-31.12'!E:E,B6)</f>
        <v>2</v>
      </c>
      <c r="R6" s="49">
        <f t="shared" si="1"/>
        <v>15</v>
      </c>
      <c r="S6" s="50">
        <f>SUMIFS('Отчет 22-31.12'!P:P,'Отчет 22-31.12'!C:C,"Продажи",'Отчет 22-31.12'!E:E,B6)</f>
        <v>25991.000000000015</v>
      </c>
      <c r="T6" s="51">
        <f>SUMIFS('Отчет 22-31.12'!P:P,'Отчет 22-31.12'!C:C,"Возвраты",'Отчет 22-31.12'!E:E,B6)</f>
        <v>-2572</v>
      </c>
      <c r="U6" s="49">
        <f t="shared" si="2"/>
        <v>23419.000000000015</v>
      </c>
      <c r="V6" s="52">
        <f t="shared" si="17"/>
        <v>0.1751608077786089</v>
      </c>
      <c r="W6" s="53">
        <f t="shared" si="3"/>
        <v>1846.3500000000001</v>
      </c>
      <c r="X6" s="51">
        <f>-SUMIFS('Отчет 22-31.12'!P:P,'Отчет 22-31.12'!C:C,"Вознаграждение Ozon",'Отчет 22-31.12'!E:E,B6)</f>
        <v>10070.169999999998</v>
      </c>
      <c r="Y6" s="54">
        <f t="shared" si="4"/>
        <v>0.42999999999999966</v>
      </c>
      <c r="Z6" s="51">
        <f>-SUMIFS('Отчет 22-31.12'!P:P,'Отчет 22-31.12'!C:C,"Услуги доставки",'Отчет 22-31.12'!E:E,B6)</f>
        <v>2419.2900000000004</v>
      </c>
      <c r="AA6" s="41">
        <v>10092.468735999999</v>
      </c>
      <c r="AB6" s="64"/>
      <c r="AC6" s="51"/>
      <c r="AD6" s="55">
        <f t="shared" si="5"/>
        <v>1405.1400000000008</v>
      </c>
      <c r="AE6" s="56">
        <f t="shared" si="6"/>
        <v>-2414.4187359999828</v>
      </c>
      <c r="AF6" s="55"/>
      <c r="AG6" s="57">
        <f t="shared" si="7"/>
        <v>1561.2666666666676</v>
      </c>
      <c r="AH6" s="58">
        <f t="shared" si="8"/>
        <v>123.09</v>
      </c>
      <c r="AI6" s="58">
        <f t="shared" si="9"/>
        <v>671.34466666666651</v>
      </c>
      <c r="AJ6" s="58">
        <f t="shared" si="10"/>
        <v>142.31117647058826</v>
      </c>
      <c r="AK6" s="58">
        <f t="shared" si="11"/>
        <v>593.67463152941173</v>
      </c>
      <c r="AL6" s="58">
        <f t="array" ref="AL6">_xlfn.IFS(R6=0,AE6,R6&lt;0,AE6/-R6,R6&gt;0,AE6/R6)</f>
        <v>-160.96124906666552</v>
      </c>
      <c r="AM6" s="59">
        <f t="shared" si="12"/>
        <v>-0.10309657696741882</v>
      </c>
      <c r="AN6" s="60">
        <f t="shared" si="13"/>
        <v>-1.3076712086007434</v>
      </c>
      <c r="AP6" s="62">
        <f t="shared" si="14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2</v>
      </c>
      <c r="L7" s="45"/>
      <c r="M7" s="45"/>
      <c r="N7" s="46">
        <f t="shared" si="15"/>
        <v>0.2</v>
      </c>
      <c r="O7" s="47">
        <f t="shared" si="16"/>
        <v>0</v>
      </c>
      <c r="P7" s="48">
        <f>SUMIFS('Отчет 22-31.12'!H:H,'Отчет 22-31.12'!D:D,"Выручка",'Отчет 22-31.12'!E:E,B7)</f>
        <v>0</v>
      </c>
      <c r="Q7" s="48">
        <f>SUMIFS('Отчет 22-31.12'!H:H,'Отчет 22-31.12'!D:D,"Возврат выручки",'Отчет 22-31.12'!E:E,B7)</f>
        <v>0</v>
      </c>
      <c r="R7" s="49">
        <f t="shared" si="1"/>
        <v>0</v>
      </c>
      <c r="S7" s="50">
        <f>SUMIFS('Отчет 22-31.12'!P:P,'Отчет 22-31.12'!C:C,"Продажи",'Отчет 22-31.12'!E:E,B7)</f>
        <v>0</v>
      </c>
      <c r="T7" s="51">
        <f>SUMIFS('Отчет 22-31.12'!P:P,'Отчет 22-31.12'!C:C,"Возвраты",'Отчет 22-31.12'!E:E,B7)</f>
        <v>0</v>
      </c>
      <c r="U7" s="49">
        <f t="shared" si="2"/>
        <v>0</v>
      </c>
      <c r="V7" s="52">
        <f t="shared" si="17"/>
        <v>0</v>
      </c>
      <c r="W7" s="53">
        <f t="shared" si="3"/>
        <v>0</v>
      </c>
      <c r="X7" s="51">
        <f>-SUMIFS('Отчет 22-31.12'!P:P,'Отчет 22-31.12'!C:C,"Вознаграждение Ozon",'Отчет 22-31.12'!E:E,B7)</f>
        <v>0</v>
      </c>
      <c r="Y7" s="54">
        <f t="shared" si="4"/>
        <v>0</v>
      </c>
      <c r="Z7" s="51">
        <f>-SUMIFS('Отчет 22-31.12'!P:P,'Отчет 22-31.12'!C:C,"Услуги доставки",'Отчет 22-31.12'!E:E,B7)</f>
        <v>0</v>
      </c>
      <c r="AA7" s="41">
        <v>0</v>
      </c>
      <c r="AB7" s="64"/>
      <c r="AC7" s="51"/>
      <c r="AD7" s="55">
        <f t="shared" si="5"/>
        <v>0</v>
      </c>
      <c r="AE7" s="56">
        <f t="shared" si="6"/>
        <v>0</v>
      </c>
      <c r="AF7" s="55"/>
      <c r="AG7" s="57">
        <f t="shared" si="7"/>
        <v>0</v>
      </c>
      <c r="AH7" s="58">
        <f t="shared" si="8"/>
        <v>117.24</v>
      </c>
      <c r="AI7" s="58">
        <f t="shared" si="9"/>
        <v>0</v>
      </c>
      <c r="AJ7" s="58">
        <f t="shared" si="10"/>
        <v>0</v>
      </c>
      <c r="AK7" s="58">
        <f t="shared" si="11"/>
        <v>0</v>
      </c>
      <c r="AL7" s="58">
        <f t="array" ref="AL7">_xlfn.IFS(R7=0,AE7,R7&lt;0,AE7/-R7,R7&gt;0,AE7/R7)</f>
        <v>0</v>
      </c>
      <c r="AM7" s="59">
        <f t="shared" si="12"/>
        <v>0</v>
      </c>
      <c r="AN7" s="60">
        <f t="shared" si="13"/>
        <v>0</v>
      </c>
      <c r="AP7" s="62">
        <f t="shared" si="14"/>
        <v>0</v>
      </c>
    </row>
    <row r="8" spans="1:42">
      <c r="A8" s="39">
        <v>3064334128</v>
      </c>
      <c r="B8" s="40" t="s">
        <v>1054</v>
      </c>
      <c r="C8" s="41"/>
      <c r="D8" s="42"/>
      <c r="E8" s="42"/>
      <c r="F8" s="42"/>
      <c r="G8" s="43"/>
      <c r="H8" s="44">
        <v>123</v>
      </c>
      <c r="I8" s="63">
        <f t="shared" si="0"/>
        <v>0</v>
      </c>
      <c r="J8" s="45"/>
      <c r="K8" s="41">
        <v>0</v>
      </c>
      <c r="L8" s="45"/>
      <c r="M8" s="45"/>
      <c r="N8" s="46">
        <f t="shared" si="15"/>
        <v>0</v>
      </c>
      <c r="O8" s="47">
        <f t="shared" si="16"/>
        <v>0</v>
      </c>
      <c r="P8" s="48">
        <f>SUMIFS('Отчет 22-31.12'!H:H,'Отчет 22-31.12'!D:D,"Выручка",'Отчет 22-31.12'!E:E,B8)</f>
        <v>0</v>
      </c>
      <c r="Q8" s="48">
        <f>SUMIFS('Отчет 22-31.12'!H:H,'Отчет 22-31.12'!D:D,"Возврат выручки",'Отчет 22-31.12'!E:E,B8)</f>
        <v>0</v>
      </c>
      <c r="R8" s="49">
        <f t="shared" si="1"/>
        <v>0</v>
      </c>
      <c r="S8" s="50">
        <f>SUMIFS('Отчет 22-31.12'!P:P,'Отчет 22-31.12'!C:C,"Продажи",'Отчет 22-31.12'!E:E,B8)</f>
        <v>0</v>
      </c>
      <c r="T8" s="51">
        <f>SUMIFS('Отчет 22-31.12'!P:P,'Отчет 22-31.12'!C:C,"Возвраты",'Отчет 22-31.12'!E:E,B8)</f>
        <v>0</v>
      </c>
      <c r="U8" s="49">
        <f t="shared" si="2"/>
        <v>0</v>
      </c>
      <c r="V8" s="52">
        <f t="shared" si="17"/>
        <v>0</v>
      </c>
      <c r="W8" s="53">
        <f t="shared" si="3"/>
        <v>0</v>
      </c>
      <c r="X8" s="51">
        <f>-SUMIFS('Отчет 22-31.12'!P:P,'Отчет 22-31.12'!C:C,"Вознаграждение Ozon",'Отчет 22-31.12'!E:E,B8)</f>
        <v>0</v>
      </c>
      <c r="Y8" s="54">
        <f t="shared" si="4"/>
        <v>0</v>
      </c>
      <c r="Z8" s="51">
        <f>-SUMIFS('Отчет 22-31.12'!P:P,'Отчет 22-31.12'!C:C,"Услуги доставки",'Отчет 22-31.12'!E:E,B8)</f>
        <v>92</v>
      </c>
      <c r="AA8" s="41">
        <v>0</v>
      </c>
      <c r="AB8" s="64"/>
      <c r="AC8" s="51"/>
      <c r="AD8" s="55">
        <f t="shared" si="5"/>
        <v>0</v>
      </c>
      <c r="AE8" s="56">
        <f t="shared" si="6"/>
        <v>-92</v>
      </c>
      <c r="AF8" s="55"/>
      <c r="AG8" s="57">
        <f t="shared" si="7"/>
        <v>0</v>
      </c>
      <c r="AH8" s="58">
        <f t="shared" si="8"/>
        <v>123</v>
      </c>
      <c r="AI8" s="58">
        <f t="shared" si="9"/>
        <v>0</v>
      </c>
      <c r="AJ8" s="58">
        <f t="shared" si="10"/>
        <v>92</v>
      </c>
      <c r="AK8" s="58">
        <f t="shared" si="11"/>
        <v>0</v>
      </c>
      <c r="AL8" s="58">
        <f t="array" ref="AL8">_xlfn.IFS(R8=0,AE8,R8&lt;0,AE8/-R8,R8&gt;0,AE8/R8)</f>
        <v>-92</v>
      </c>
      <c r="AM8" s="59">
        <f t="shared" si="12"/>
        <v>0</v>
      </c>
      <c r="AN8" s="60">
        <f t="shared" si="13"/>
        <v>-0.74796747967479671</v>
      </c>
      <c r="AP8" s="62">
        <f t="shared" si="14"/>
        <v>0</v>
      </c>
    </row>
    <row r="9" spans="1:42">
      <c r="A9" s="39">
        <v>3064334311</v>
      </c>
      <c r="B9" s="40" t="s">
        <v>1055</v>
      </c>
      <c r="C9" s="41"/>
      <c r="D9" s="42"/>
      <c r="E9" s="42"/>
      <c r="F9" s="42"/>
      <c r="G9" s="43"/>
      <c r="H9" s="44">
        <v>123</v>
      </c>
      <c r="I9" s="63">
        <f t="shared" si="0"/>
        <v>0</v>
      </c>
      <c r="J9" s="45"/>
      <c r="K9" s="41">
        <v>1</v>
      </c>
      <c r="L9" s="45"/>
      <c r="M9" s="45"/>
      <c r="N9" s="46">
        <f t="shared" si="15"/>
        <v>0.1</v>
      </c>
      <c r="O9" s="47">
        <f t="shared" si="16"/>
        <v>0</v>
      </c>
      <c r="P9" s="48">
        <f>SUMIFS('Отчет 22-31.12'!H:H,'Отчет 22-31.12'!D:D,"Выручка",'Отчет 22-31.12'!E:E,B9)</f>
        <v>0</v>
      </c>
      <c r="Q9" s="48">
        <f>SUMIFS('Отчет 22-31.12'!H:H,'Отчет 22-31.12'!D:D,"Возврат выручки",'Отчет 22-31.12'!E:E,B9)</f>
        <v>0</v>
      </c>
      <c r="R9" s="49">
        <f t="shared" si="1"/>
        <v>0</v>
      </c>
      <c r="S9" s="50">
        <f>SUMIFS('Отчет 22-31.12'!P:P,'Отчет 22-31.12'!C:C,"Продажи",'Отчет 22-31.12'!E:E,B9)</f>
        <v>0</v>
      </c>
      <c r="T9" s="51">
        <f>SUMIFS('Отчет 22-31.12'!P:P,'Отчет 22-31.12'!C:C,"Возвраты",'Отчет 22-31.12'!E:E,B9)</f>
        <v>0</v>
      </c>
      <c r="U9" s="49">
        <f t="shared" si="2"/>
        <v>0</v>
      </c>
      <c r="V9" s="52">
        <f t="shared" si="17"/>
        <v>0</v>
      </c>
      <c r="W9" s="53">
        <f t="shared" si="3"/>
        <v>0</v>
      </c>
      <c r="X9" s="51">
        <f>-SUMIFS('Отчет 22-31.12'!P:P,'Отчет 22-31.12'!C:C,"Вознаграждение Ozon",'Отчет 22-31.12'!E:E,B9)</f>
        <v>0</v>
      </c>
      <c r="Y9" s="54">
        <f t="shared" si="4"/>
        <v>0</v>
      </c>
      <c r="Z9" s="51">
        <f>-SUMIFS('Отчет 22-31.12'!P:P,'Отчет 22-31.12'!C:C,"Услуги доставки",'Отчет 22-31.12'!E:E,B9)</f>
        <v>92</v>
      </c>
      <c r="AA9" s="41">
        <v>2182.0264809999999</v>
      </c>
      <c r="AB9" s="64"/>
      <c r="AC9" s="51"/>
      <c r="AD9" s="55">
        <f t="shared" si="5"/>
        <v>0</v>
      </c>
      <c r="AE9" s="56">
        <f t="shared" si="6"/>
        <v>-2274.0264809999999</v>
      </c>
      <c r="AF9" s="55"/>
      <c r="AG9" s="57">
        <f t="shared" si="7"/>
        <v>0</v>
      </c>
      <c r="AH9" s="58">
        <f t="shared" si="8"/>
        <v>123</v>
      </c>
      <c r="AI9" s="58">
        <f t="shared" si="9"/>
        <v>0</v>
      </c>
      <c r="AJ9" s="58">
        <f t="shared" si="10"/>
        <v>92</v>
      </c>
      <c r="AK9" s="58">
        <f t="shared" si="11"/>
        <v>0</v>
      </c>
      <c r="AL9" s="58">
        <f t="array" ref="AL9">_xlfn.IFS(R9=0,AE9,R9&lt;0,AE9/-R9,R9&gt;0,AE9/R9)</f>
        <v>-2274.0264809999999</v>
      </c>
      <c r="AM9" s="59">
        <f t="shared" si="12"/>
        <v>0</v>
      </c>
      <c r="AN9" s="60">
        <f t="shared" si="13"/>
        <v>-18.488020170731705</v>
      </c>
      <c r="AP9" s="62">
        <f t="shared" si="14"/>
        <v>0</v>
      </c>
    </row>
    <row r="10" spans="1:42">
      <c r="A10" s="39">
        <v>2638291563</v>
      </c>
      <c r="B10" s="40" t="s">
        <v>88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3</v>
      </c>
      <c r="L10" s="45"/>
      <c r="M10" s="45"/>
      <c r="N10" s="46">
        <f t="shared" si="15"/>
        <v>0.3</v>
      </c>
      <c r="O10" s="47">
        <f t="shared" si="16"/>
        <v>0.3</v>
      </c>
      <c r="P10" s="48">
        <f>SUMIFS('Отчет 22-31.12'!H:H,'Отчет 22-31.12'!D:D,"Выручка",'Отчет 22-31.12'!E:E,B10)</f>
        <v>3</v>
      </c>
      <c r="Q10" s="48">
        <f>SUMIFS('Отчет 22-31.12'!H:H,'Отчет 22-31.12'!D:D,"Возврат выручки",'Отчет 22-31.12'!E:E,B10)</f>
        <v>0</v>
      </c>
      <c r="R10" s="49">
        <f t="shared" si="1"/>
        <v>3</v>
      </c>
      <c r="S10" s="50">
        <f>SUMIFS('Отчет 22-31.12'!P:P,'Отчет 22-31.12'!C:C,"Продажи",'Отчет 22-31.12'!E:E,B10)</f>
        <v>3899</v>
      </c>
      <c r="T10" s="51">
        <f>SUMIFS('Отчет 22-31.12'!P:P,'Отчет 22-31.12'!C:C,"Возвраты",'Отчет 22-31.12'!E:E,B10)</f>
        <v>0</v>
      </c>
      <c r="U10" s="49">
        <f t="shared" si="2"/>
        <v>3899</v>
      </c>
      <c r="V10" s="52">
        <f t="shared" si="17"/>
        <v>2.9162303664921459E-2</v>
      </c>
      <c r="W10" s="53">
        <f t="shared" si="3"/>
        <v>509.66999999999996</v>
      </c>
      <c r="X10" s="51">
        <f>-SUMIFS('Отчет 22-31.12'!P:P,'Отчет 22-31.12'!C:C,"Вознаграждение Ozon",'Отчет 22-31.12'!E:E,B10)</f>
        <v>1676.5700000000002</v>
      </c>
      <c r="Y10" s="54">
        <f t="shared" si="4"/>
        <v>0.43000000000000005</v>
      </c>
      <c r="Z10" s="51">
        <f>-SUMIFS('Отчет 22-31.12'!P:P,'Отчет 22-31.12'!C:C,"Услуги доставки",'Отчет 22-31.12'!E:E,B10)</f>
        <v>321.56</v>
      </c>
      <c r="AA10" s="41">
        <v>0</v>
      </c>
      <c r="AB10" s="64"/>
      <c r="AC10" s="51"/>
      <c r="AD10" s="55">
        <f t="shared" si="5"/>
        <v>233.94</v>
      </c>
      <c r="AE10" s="56">
        <f t="shared" si="6"/>
        <v>1157.2599999999998</v>
      </c>
      <c r="AF10" s="55"/>
      <c r="AG10" s="57">
        <f t="shared" si="7"/>
        <v>1299.6666666666667</v>
      </c>
      <c r="AH10" s="58">
        <f t="shared" si="8"/>
        <v>169.89</v>
      </c>
      <c r="AI10" s="58">
        <f t="shared" si="9"/>
        <v>558.85666666666668</v>
      </c>
      <c r="AJ10" s="58">
        <f t="shared" si="10"/>
        <v>107.18666666666667</v>
      </c>
      <c r="AK10" s="58">
        <f t="shared" si="11"/>
        <v>0</v>
      </c>
      <c r="AL10" s="58">
        <f t="array" ref="AL10">_xlfn.IFS(R10=0,AE10,R10&lt;0,AE10/-R10,R10&gt;0,AE10/R10)</f>
        <v>385.75333333333327</v>
      </c>
      <c r="AM10" s="59">
        <f t="shared" si="12"/>
        <v>0.29680943831751727</v>
      </c>
      <c r="AN10" s="60">
        <f t="shared" si="13"/>
        <v>2.2706064708536893</v>
      </c>
      <c r="AP10" s="62">
        <f t="shared" si="14"/>
        <v>0</v>
      </c>
    </row>
    <row r="11" spans="1:42">
      <c r="A11" s="39">
        <v>2730130733</v>
      </c>
      <c r="B11" s="40" t="s">
        <v>224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1">
        <v>0</v>
      </c>
      <c r="L11" s="45"/>
      <c r="M11" s="45"/>
      <c r="N11" s="46">
        <f t="shared" si="15"/>
        <v>0</v>
      </c>
      <c r="O11" s="47">
        <f t="shared" si="16"/>
        <v>0.2</v>
      </c>
      <c r="P11" s="48">
        <f>SUMIFS('Отчет 22-31.12'!H:H,'Отчет 22-31.12'!D:D,"Выручка",'Отчет 22-31.12'!E:E,B11)</f>
        <v>2</v>
      </c>
      <c r="Q11" s="48">
        <f>SUMIFS('Отчет 22-31.12'!H:H,'Отчет 22-31.12'!D:D,"Возврат выручки",'Отчет 22-31.12'!E:E,B11)</f>
        <v>0</v>
      </c>
      <c r="R11" s="49">
        <f t="shared" si="1"/>
        <v>2</v>
      </c>
      <c r="S11" s="50">
        <f>SUMIFS('Отчет 22-31.12'!P:P,'Отчет 22-31.12'!C:C,"Продажи",'Отчет 22-31.12'!E:E,B11)</f>
        <v>2858</v>
      </c>
      <c r="T11" s="51">
        <f>SUMIFS('Отчет 22-31.12'!P:P,'Отчет 22-31.12'!C:C,"Возвраты",'Отчет 22-31.12'!E:E,B11)</f>
        <v>0</v>
      </c>
      <c r="U11" s="49">
        <f t="shared" si="2"/>
        <v>2858</v>
      </c>
      <c r="V11" s="52">
        <f t="shared" si="17"/>
        <v>2.1376215407629014E-2</v>
      </c>
      <c r="W11" s="53">
        <f t="shared" si="3"/>
        <v>339.78</v>
      </c>
      <c r="X11" s="51">
        <f>-SUMIFS('Отчет 22-31.12'!P:P,'Отчет 22-31.12'!C:C,"Вознаграждение Ozon",'Отчет 22-31.12'!E:E,B11)</f>
        <v>1228.94</v>
      </c>
      <c r="Y11" s="54">
        <f t="shared" si="4"/>
        <v>0.43</v>
      </c>
      <c r="Z11" s="51">
        <f>-SUMIFS('Отчет 22-31.12'!P:P,'Отчет 22-31.12'!C:C,"Услуги доставки",'Отчет 22-31.12'!E:E,B11)</f>
        <v>394.11999999999995</v>
      </c>
      <c r="AA11" s="41">
        <v>0</v>
      </c>
      <c r="AB11" s="64"/>
      <c r="AC11" s="51"/>
      <c r="AD11" s="55">
        <f t="shared" si="5"/>
        <v>171.48</v>
      </c>
      <c r="AE11" s="56">
        <f t="shared" si="6"/>
        <v>723.68000000000029</v>
      </c>
      <c r="AF11" s="55"/>
      <c r="AG11" s="57">
        <f t="shared" si="7"/>
        <v>1429</v>
      </c>
      <c r="AH11" s="58">
        <f t="shared" si="8"/>
        <v>169.89</v>
      </c>
      <c r="AI11" s="58">
        <f t="shared" si="9"/>
        <v>614.47</v>
      </c>
      <c r="AJ11" s="58">
        <f t="shared" si="10"/>
        <v>197.05999999999997</v>
      </c>
      <c r="AK11" s="58">
        <f t="shared" si="11"/>
        <v>0</v>
      </c>
      <c r="AL11" s="58">
        <f t="array" ref="AL11">_xlfn.IFS(R11=0,AE11,R11&lt;0,AE11/-R11,R11&gt;0,AE11/R11)</f>
        <v>361.84000000000015</v>
      </c>
      <c r="AM11" s="59">
        <f t="shared" si="12"/>
        <v>0.25321203638908335</v>
      </c>
      <c r="AN11" s="60">
        <f t="shared" si="13"/>
        <v>2.1298487256460072</v>
      </c>
      <c r="AP11" s="62">
        <f t="shared" si="14"/>
        <v>0</v>
      </c>
    </row>
    <row r="12" spans="1:42">
      <c r="A12" s="39">
        <v>2730131249</v>
      </c>
      <c r="B12" s="40" t="s">
        <v>225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1">
        <v>1</v>
      </c>
      <c r="L12" s="45"/>
      <c r="M12" s="45"/>
      <c r="N12" s="46">
        <f t="shared" si="15"/>
        <v>0.1</v>
      </c>
      <c r="O12" s="47">
        <f t="shared" si="16"/>
        <v>0.1</v>
      </c>
      <c r="P12" s="48">
        <f>SUMIFS('Отчет 22-31.12'!H:H,'Отчет 22-31.12'!D:D,"Выручка",'Отчет 22-31.12'!E:E,B12)</f>
        <v>1</v>
      </c>
      <c r="Q12" s="48">
        <f>SUMIFS('Отчет 22-31.12'!H:H,'Отчет 22-31.12'!D:D,"Возврат выручки",'Отчет 22-31.12'!E:E,B12)</f>
        <v>0</v>
      </c>
      <c r="R12" s="49">
        <f t="shared" si="1"/>
        <v>1</v>
      </c>
      <c r="S12" s="50">
        <f>SUMIFS('Отчет 22-31.12'!P:P,'Отчет 22-31.12'!C:C,"Продажи",'Отчет 22-31.12'!E:E,B12)</f>
        <v>1102</v>
      </c>
      <c r="T12" s="51">
        <f>SUMIFS('Отчет 22-31.12'!P:P,'Отчет 22-31.12'!C:C,"Возвраты",'Отчет 22-31.12'!E:E,B12)</f>
        <v>0</v>
      </c>
      <c r="U12" s="49">
        <f t="shared" si="2"/>
        <v>1102</v>
      </c>
      <c r="V12" s="52">
        <f t="shared" si="17"/>
        <v>8.2423335826477175E-3</v>
      </c>
      <c r="W12" s="53">
        <f t="shared" si="3"/>
        <v>169.89</v>
      </c>
      <c r="X12" s="51">
        <f>-SUMIFS('Отчет 22-31.12'!P:P,'Отчет 22-31.12'!C:C,"Вознаграждение Ozon",'Отчет 22-31.12'!E:E,B12)</f>
        <v>473.86</v>
      </c>
      <c r="Y12" s="54">
        <f t="shared" si="4"/>
        <v>0.43</v>
      </c>
      <c r="Z12" s="51">
        <f>-SUMIFS('Отчет 22-31.12'!P:P,'Отчет 22-31.12'!C:C,"Услуги доставки",'Отчет 22-31.12'!E:E,B12)</f>
        <v>189.21</v>
      </c>
      <c r="AA12" s="41">
        <v>0</v>
      </c>
      <c r="AB12" s="64"/>
      <c r="AC12" s="51"/>
      <c r="AD12" s="55">
        <f t="shared" si="5"/>
        <v>66.12</v>
      </c>
      <c r="AE12" s="56">
        <f t="shared" si="6"/>
        <v>202.91999999999996</v>
      </c>
      <c r="AF12" s="55"/>
      <c r="AG12" s="57">
        <f t="shared" si="7"/>
        <v>1102</v>
      </c>
      <c r="AH12" s="58">
        <f t="shared" si="8"/>
        <v>169.89</v>
      </c>
      <c r="AI12" s="58">
        <f t="shared" si="9"/>
        <v>473.86</v>
      </c>
      <c r="AJ12" s="58">
        <f t="shared" si="10"/>
        <v>189.21</v>
      </c>
      <c r="AK12" s="58">
        <f t="shared" si="11"/>
        <v>0</v>
      </c>
      <c r="AL12" s="58">
        <f t="array" ref="AL12">_xlfn.IFS(R12=0,AE12,R12&lt;0,AE12/-R12,R12&gt;0,AE12/R12)</f>
        <v>202.91999999999996</v>
      </c>
      <c r="AM12" s="59">
        <f t="shared" si="12"/>
        <v>0.18413793103448273</v>
      </c>
      <c r="AN12" s="60">
        <f t="shared" si="13"/>
        <v>1.1944199187709692</v>
      </c>
      <c r="AP12" s="62">
        <f t="shared" si="14"/>
        <v>0</v>
      </c>
    </row>
    <row r="13" spans="1:42">
      <c r="A13" s="39">
        <v>2730130553</v>
      </c>
      <c r="B13" s="40" t="s">
        <v>226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1">
        <v>3</v>
      </c>
      <c r="L13" s="45"/>
      <c r="M13" s="45"/>
      <c r="N13" s="46">
        <f t="shared" si="15"/>
        <v>0.3</v>
      </c>
      <c r="O13" s="47">
        <f t="shared" si="16"/>
        <v>0.3</v>
      </c>
      <c r="P13" s="48">
        <f>SUMIFS('Отчет 22-31.12'!H:H,'Отчет 22-31.12'!D:D,"Выручка",'Отчет 22-31.12'!E:E,B13)</f>
        <v>3</v>
      </c>
      <c r="Q13" s="48">
        <f>SUMIFS('Отчет 22-31.12'!H:H,'Отчет 22-31.12'!D:D,"Возврат выручки",'Отчет 22-31.12'!E:E,B13)</f>
        <v>0</v>
      </c>
      <c r="R13" s="49">
        <f t="shared" si="1"/>
        <v>3</v>
      </c>
      <c r="S13" s="50">
        <f>SUMIFS('Отчет 22-31.12'!P:P,'Отчет 22-31.12'!C:C,"Продажи",'Отчет 22-31.12'!E:E,B13)</f>
        <v>4309</v>
      </c>
      <c r="T13" s="51">
        <f>SUMIFS('Отчет 22-31.12'!P:P,'Отчет 22-31.12'!C:C,"Возвраты",'Отчет 22-31.12'!E:E,B13)</f>
        <v>0</v>
      </c>
      <c r="U13" s="49">
        <f t="shared" si="2"/>
        <v>4309</v>
      </c>
      <c r="V13" s="52">
        <f t="shared" si="17"/>
        <v>3.2228870605833952E-2</v>
      </c>
      <c r="W13" s="53">
        <f t="shared" si="3"/>
        <v>509.66999999999996</v>
      </c>
      <c r="X13" s="51">
        <f>-SUMIFS('Отчет 22-31.12'!P:P,'Отчет 22-31.12'!C:C,"Вознаграждение Ozon",'Отчет 22-31.12'!E:E,B13)</f>
        <v>1852.87</v>
      </c>
      <c r="Y13" s="54">
        <f t="shared" si="4"/>
        <v>0.43</v>
      </c>
      <c r="Z13" s="51">
        <f>-SUMIFS('Отчет 22-31.12'!P:P,'Отчет 22-31.12'!C:C,"Услуги доставки",'Отчет 22-31.12'!E:E,B13)</f>
        <v>301.49</v>
      </c>
      <c r="AA13" s="41">
        <v>0</v>
      </c>
      <c r="AB13" s="64"/>
      <c r="AC13" s="51"/>
      <c r="AD13" s="55">
        <f t="shared" si="5"/>
        <v>258.53999999999996</v>
      </c>
      <c r="AE13" s="56">
        <f t="shared" si="6"/>
        <v>1386.43</v>
      </c>
      <c r="AF13" s="55"/>
      <c r="AG13" s="57">
        <f t="shared" si="7"/>
        <v>1436.3333333333333</v>
      </c>
      <c r="AH13" s="58">
        <f t="shared" si="8"/>
        <v>169.89</v>
      </c>
      <c r="AI13" s="58">
        <f t="shared" si="9"/>
        <v>617.62333333333333</v>
      </c>
      <c r="AJ13" s="58">
        <f t="shared" si="10"/>
        <v>100.49666666666667</v>
      </c>
      <c r="AK13" s="58">
        <f t="shared" si="11"/>
        <v>0</v>
      </c>
      <c r="AL13" s="58">
        <f t="array" ref="AL13">_xlfn.IFS(R13=0,AE13,R13&lt;0,AE13/-R13,R13&gt;0,AE13/R13)</f>
        <v>462.14333333333337</v>
      </c>
      <c r="AM13" s="59">
        <f t="shared" si="12"/>
        <v>0.32175214666976099</v>
      </c>
      <c r="AN13" s="60">
        <f t="shared" si="13"/>
        <v>2.7202503580748334</v>
      </c>
      <c r="AP13" s="62">
        <f t="shared" si="14"/>
        <v>0</v>
      </c>
    </row>
    <row r="14" spans="1:42" ht="13.75" customHeight="1">
      <c r="A14" s="39">
        <v>2730129638</v>
      </c>
      <c r="B14" s="40" t="s">
        <v>227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1">
        <v>1</v>
      </c>
      <c r="L14" s="45"/>
      <c r="M14" s="45"/>
      <c r="N14" s="46">
        <f t="shared" si="15"/>
        <v>0.1</v>
      </c>
      <c r="O14" s="47">
        <f t="shared" si="16"/>
        <v>0.2</v>
      </c>
      <c r="P14" s="48">
        <f>SUMIFS('Отчет 22-31.12'!H:H,'Отчет 22-31.12'!D:D,"Выручка",'Отчет 22-31.12'!E:E,B14)</f>
        <v>2</v>
      </c>
      <c r="Q14" s="48">
        <f>SUMIFS('Отчет 22-31.12'!H:H,'Отчет 22-31.12'!D:D,"Возврат выручки",'Отчет 22-31.12'!E:E,B14)</f>
        <v>0</v>
      </c>
      <c r="R14" s="49">
        <f t="shared" si="1"/>
        <v>2</v>
      </c>
      <c r="S14" s="50">
        <f>SUMIFS('Отчет 22-31.12'!P:P,'Отчет 22-31.12'!C:C,"Продажи",'Отчет 22-31.12'!E:E,B14)</f>
        <v>3010</v>
      </c>
      <c r="T14" s="51">
        <f>SUMIFS('Отчет 22-31.12'!P:P,'Отчет 22-31.12'!C:C,"Возвраты",'Отчет 22-31.12'!E:E,B14)</f>
        <v>0</v>
      </c>
      <c r="U14" s="49">
        <f t="shared" si="2"/>
        <v>3010</v>
      </c>
      <c r="V14" s="52">
        <f t="shared" si="17"/>
        <v>2.2513089005235597E-2</v>
      </c>
      <c r="W14" s="53">
        <f t="shared" si="3"/>
        <v>339.78</v>
      </c>
      <c r="X14" s="51">
        <f>-SUMIFS('Отчет 22-31.12'!P:P,'Отчет 22-31.12'!C:C,"Вознаграждение Ozon",'Отчет 22-31.12'!E:E,B14)</f>
        <v>1294.3</v>
      </c>
      <c r="Y14" s="54">
        <f t="shared" si="4"/>
        <v>0.43</v>
      </c>
      <c r="Z14" s="51">
        <f>-SUMIFS('Отчет 22-31.12'!P:P,'Отчет 22-31.12'!C:C,"Услуги доставки",'Отчет 22-31.12'!E:E,B14)</f>
        <v>196.04</v>
      </c>
      <c r="AA14" s="41">
        <v>586.73</v>
      </c>
      <c r="AB14" s="64"/>
      <c r="AC14" s="51"/>
      <c r="AD14" s="55">
        <f t="shared" si="5"/>
        <v>180.6</v>
      </c>
      <c r="AE14" s="56">
        <f t="shared" si="6"/>
        <v>412.5500000000003</v>
      </c>
      <c r="AF14" s="55"/>
      <c r="AG14" s="57">
        <f t="shared" si="7"/>
        <v>1505</v>
      </c>
      <c r="AH14" s="58">
        <f t="shared" si="8"/>
        <v>169.89</v>
      </c>
      <c r="AI14" s="58">
        <f t="shared" si="9"/>
        <v>647.15</v>
      </c>
      <c r="AJ14" s="58">
        <f t="shared" si="10"/>
        <v>98.02</v>
      </c>
      <c r="AK14" s="58">
        <f t="shared" si="11"/>
        <v>293.36500000000001</v>
      </c>
      <c r="AL14" s="58">
        <f t="array" ref="AL14">_xlfn.IFS(R14=0,AE14,R14&lt;0,AE14/-R14,R14&gt;0,AE14/R14)</f>
        <v>206.27500000000015</v>
      </c>
      <c r="AM14" s="59">
        <f t="shared" si="12"/>
        <v>0.13705980066445192</v>
      </c>
      <c r="AN14" s="60">
        <f t="shared" si="13"/>
        <v>1.2141679910530352</v>
      </c>
      <c r="AP14" s="62">
        <f t="shared" si="14"/>
        <v>0</v>
      </c>
    </row>
    <row r="15" spans="1:42" ht="13.75" customHeight="1">
      <c r="A15" s="39">
        <v>2730130141</v>
      </c>
      <c r="B15" s="40" t="s">
        <v>228</v>
      </c>
      <c r="C15" s="41"/>
      <c r="D15" s="42"/>
      <c r="E15" s="42"/>
      <c r="F15" s="42"/>
      <c r="G15" s="43"/>
      <c r="H15" s="44">
        <v>169.89</v>
      </c>
      <c r="I15" s="63">
        <f t="shared" si="0"/>
        <v>0</v>
      </c>
      <c r="J15" s="45"/>
      <c r="K15" s="41">
        <v>4</v>
      </c>
      <c r="L15" s="45"/>
      <c r="M15" s="45"/>
      <c r="N15" s="46">
        <f t="shared" si="15"/>
        <v>0.4</v>
      </c>
      <c r="O15" s="47">
        <f t="shared" si="16"/>
        <v>0.2</v>
      </c>
      <c r="P15" s="48">
        <f>SUMIFS('Отчет 22-31.12'!H:H,'Отчет 22-31.12'!D:D,"Выручка",'Отчет 22-31.12'!E:E,B15)</f>
        <v>2</v>
      </c>
      <c r="Q15" s="48">
        <f>SUMIFS('Отчет 22-31.12'!H:H,'Отчет 22-31.12'!D:D,"Возврат выручки",'Отчет 22-31.12'!E:E,B15)</f>
        <v>0</v>
      </c>
      <c r="R15" s="49">
        <f t="shared" si="1"/>
        <v>2</v>
      </c>
      <c r="S15" s="50">
        <f>SUMIFS('Отчет 22-31.12'!P:P,'Отчет 22-31.12'!C:C,"Продажи",'Отчет 22-31.12'!E:E,B15)</f>
        <v>2670</v>
      </c>
      <c r="T15" s="51">
        <f>SUMIFS('Отчет 22-31.12'!P:P,'Отчет 22-31.12'!C:C,"Возвраты",'Отчет 22-31.12'!E:E,B15)</f>
        <v>0</v>
      </c>
      <c r="U15" s="49">
        <f t="shared" si="2"/>
        <v>2670</v>
      </c>
      <c r="V15" s="52">
        <f t="shared" si="17"/>
        <v>1.9970082273747192E-2</v>
      </c>
      <c r="W15" s="53">
        <f t="shared" si="3"/>
        <v>339.78</v>
      </c>
      <c r="X15" s="51">
        <f>-SUMIFS('Отчет 22-31.12'!P:P,'Отчет 22-31.12'!C:C,"Вознаграждение Ozon",'Отчет 22-31.12'!E:E,B15)</f>
        <v>1148.0999999999999</v>
      </c>
      <c r="Y15" s="54">
        <f t="shared" si="4"/>
        <v>0.43</v>
      </c>
      <c r="Z15" s="51">
        <f>-SUMIFS('Отчет 22-31.12'!P:P,'Отчет 22-31.12'!C:C,"Услуги доставки",'Отчет 22-31.12'!E:E,B15)</f>
        <v>396.39999999999992</v>
      </c>
      <c r="AA15" s="41">
        <v>933.11</v>
      </c>
      <c r="AB15" s="64"/>
      <c r="AC15" s="51"/>
      <c r="AD15" s="55">
        <f t="shared" si="5"/>
        <v>160.19999999999999</v>
      </c>
      <c r="AE15" s="56">
        <f t="shared" si="6"/>
        <v>-307.58999999999952</v>
      </c>
      <c r="AF15" s="55"/>
      <c r="AG15" s="57">
        <f t="shared" si="7"/>
        <v>1335</v>
      </c>
      <c r="AH15" s="58">
        <f t="shared" si="8"/>
        <v>169.89</v>
      </c>
      <c r="AI15" s="58">
        <f t="shared" si="9"/>
        <v>574.04999999999995</v>
      </c>
      <c r="AJ15" s="58">
        <f t="shared" si="10"/>
        <v>198.19999999999996</v>
      </c>
      <c r="AK15" s="58">
        <f t="shared" si="11"/>
        <v>466.55500000000001</v>
      </c>
      <c r="AL15" s="58">
        <f t="array" ref="AL15">_xlfn.IFS(R15=0,AE15,R15&lt;0,AE15/-R15,R15&gt;0,AE15/R15)</f>
        <v>-153.79499999999976</v>
      </c>
      <c r="AM15" s="59">
        <f t="shared" si="12"/>
        <v>-0.11520224719101106</v>
      </c>
      <c r="AN15" s="60">
        <f t="shared" si="13"/>
        <v>-0.9052622285007933</v>
      </c>
      <c r="AP15" s="62">
        <f t="shared" si="14"/>
        <v>0</v>
      </c>
    </row>
    <row r="16" spans="1:42" ht="13.75" customHeight="1">
      <c r="A16" s="39">
        <v>2730129805</v>
      </c>
      <c r="B16" s="40" t="s">
        <v>19</v>
      </c>
      <c r="C16" s="41"/>
      <c r="D16" s="42"/>
      <c r="E16" s="42"/>
      <c r="F16" s="42"/>
      <c r="G16" s="43"/>
      <c r="H16" s="44">
        <v>169.89</v>
      </c>
      <c r="I16" s="63">
        <f t="shared" si="0"/>
        <v>0</v>
      </c>
      <c r="J16" s="45"/>
      <c r="K16" s="41">
        <v>0</v>
      </c>
      <c r="L16" s="45"/>
      <c r="M16" s="45"/>
      <c r="N16" s="46">
        <f t="shared" si="15"/>
        <v>0</v>
      </c>
      <c r="O16" s="47">
        <f t="shared" si="16"/>
        <v>0</v>
      </c>
      <c r="P16" s="48">
        <f>SUMIFS('Отчет 22-31.12'!H:H,'Отчет 22-31.12'!D:D,"Выручка",'Отчет 22-31.12'!E:E,B16)</f>
        <v>0</v>
      </c>
      <c r="Q16" s="48">
        <f>SUMIFS('Отчет 22-31.12'!H:H,'Отчет 22-31.12'!D:D,"Возврат выручки",'Отчет 22-31.12'!E:E,B16)</f>
        <v>0</v>
      </c>
      <c r="R16" s="49">
        <f t="shared" si="1"/>
        <v>0</v>
      </c>
      <c r="S16" s="50">
        <f>SUMIFS('Отчет 22-31.12'!P:P,'Отчет 22-31.12'!C:C,"Продажи",'Отчет 22-31.12'!E:E,B16)</f>
        <v>0</v>
      </c>
      <c r="T16" s="51">
        <f>SUMIFS('Отчет 22-31.12'!P:P,'Отчет 22-31.12'!C:C,"Возвраты",'Отчет 22-31.12'!E:E,B16)</f>
        <v>0</v>
      </c>
      <c r="U16" s="49">
        <f t="shared" si="2"/>
        <v>0</v>
      </c>
      <c r="V16" s="52">
        <f t="shared" si="17"/>
        <v>0</v>
      </c>
      <c r="W16" s="53">
        <f t="shared" si="3"/>
        <v>0</v>
      </c>
      <c r="X16" s="51">
        <f>-SUMIFS('Отчет 22-31.12'!P:P,'Отчет 22-31.12'!C:C,"Вознаграждение Ozon",'Отчет 22-31.12'!E:E,B16)</f>
        <v>0</v>
      </c>
      <c r="Y16" s="54">
        <f t="shared" si="4"/>
        <v>0</v>
      </c>
      <c r="Z16" s="51">
        <f>-SUMIFS('Отчет 22-31.12'!P:P,'Отчет 22-31.12'!C:C,"Услуги доставки",'Отчет 22-31.12'!E:E,B16)</f>
        <v>0</v>
      </c>
      <c r="AA16" s="41">
        <v>664.7</v>
      </c>
      <c r="AB16" s="64"/>
      <c r="AC16" s="51"/>
      <c r="AD16" s="55">
        <f t="shared" si="5"/>
        <v>0</v>
      </c>
      <c r="AE16" s="56">
        <f t="shared" si="6"/>
        <v>-664.7</v>
      </c>
      <c r="AF16" s="55"/>
      <c r="AG16" s="57">
        <f t="shared" si="7"/>
        <v>0</v>
      </c>
      <c r="AH16" s="58">
        <f t="shared" si="8"/>
        <v>169.89</v>
      </c>
      <c r="AI16" s="58">
        <f t="shared" si="9"/>
        <v>0</v>
      </c>
      <c r="AJ16" s="58">
        <f t="shared" si="10"/>
        <v>0</v>
      </c>
      <c r="AK16" s="58">
        <f t="shared" si="11"/>
        <v>0</v>
      </c>
      <c r="AL16" s="58">
        <f t="array" ref="AL16">_xlfn.IFS(R16=0,AE16,R16&lt;0,AE16/-R16,R16&gt;0,AE16/R16)</f>
        <v>-664.7</v>
      </c>
      <c r="AM16" s="59">
        <f t="shared" si="12"/>
        <v>0</v>
      </c>
      <c r="AN16" s="60">
        <f t="shared" si="13"/>
        <v>-3.9125316381187831</v>
      </c>
      <c r="AP16" s="62">
        <f t="shared" si="14"/>
        <v>0</v>
      </c>
    </row>
    <row r="17" spans="1:52" ht="13.75" customHeight="1">
      <c r="A17" s="39">
        <v>2807226201</v>
      </c>
      <c r="B17" s="40" t="s">
        <v>229</v>
      </c>
      <c r="C17" s="41"/>
      <c r="D17" s="42"/>
      <c r="E17" s="42"/>
      <c r="F17" s="42"/>
      <c r="G17" s="43"/>
      <c r="H17" s="44">
        <v>1002.82</v>
      </c>
      <c r="I17" s="63">
        <f t="shared" si="0"/>
        <v>0</v>
      </c>
      <c r="J17" s="45"/>
      <c r="K17" s="41">
        <v>0</v>
      </c>
      <c r="L17" s="45"/>
      <c r="M17" s="45"/>
      <c r="N17" s="46">
        <f t="shared" si="15"/>
        <v>0</v>
      </c>
      <c r="O17" s="47">
        <f t="shared" si="16"/>
        <v>0</v>
      </c>
      <c r="P17" s="48">
        <f>SUMIFS('Отчет 22-31.12'!H:H,'Отчет 22-31.12'!D:D,"Выручка",'Отчет 22-31.12'!E:E,B17)</f>
        <v>0</v>
      </c>
      <c r="Q17" s="48">
        <f>SUMIFS('Отчет 22-31.12'!H:H,'Отчет 22-31.12'!D:D,"Возврат выручки",'Отчет 22-31.12'!E:E,B17)</f>
        <v>0</v>
      </c>
      <c r="R17" s="49">
        <f t="shared" si="1"/>
        <v>0</v>
      </c>
      <c r="S17" s="50">
        <f>SUMIFS('Отчет 22-31.12'!P:P,'Отчет 22-31.12'!C:C,"Продажи",'Отчет 22-31.12'!E:E,B17)</f>
        <v>0</v>
      </c>
      <c r="T17" s="51">
        <f>SUMIFS('Отчет 22-31.12'!P:P,'Отчет 22-31.12'!C:C,"Возвраты",'Отчет 22-31.12'!E:E,B17)</f>
        <v>0</v>
      </c>
      <c r="U17" s="49">
        <f t="shared" si="2"/>
        <v>0</v>
      </c>
      <c r="V17" s="52">
        <f t="shared" si="17"/>
        <v>0</v>
      </c>
      <c r="W17" s="53">
        <f t="shared" si="3"/>
        <v>0</v>
      </c>
      <c r="X17" s="51">
        <f>-SUMIFS('Отчет 22-31.12'!P:P,'Отчет 22-31.12'!C:C,"Вознаграждение Ozon",'Отчет 22-31.12'!E:E,B17)</f>
        <v>0</v>
      </c>
      <c r="Y17" s="54">
        <f t="shared" si="4"/>
        <v>0</v>
      </c>
      <c r="Z17" s="51">
        <f>-SUMIFS('Отчет 22-31.12'!P:P,'Отчет 22-31.12'!C:C,"Услуги доставки",'Отчет 22-31.12'!E:E,B17)</f>
        <v>0</v>
      </c>
      <c r="AA17" s="41">
        <v>0</v>
      </c>
      <c r="AB17" s="64"/>
      <c r="AC17" s="51"/>
      <c r="AD17" s="55">
        <f t="shared" si="5"/>
        <v>0</v>
      </c>
      <c r="AE17" s="56">
        <f t="shared" si="6"/>
        <v>0</v>
      </c>
      <c r="AF17" s="55"/>
      <c r="AG17" s="57">
        <f t="shared" si="7"/>
        <v>0</v>
      </c>
      <c r="AH17" s="58">
        <f t="shared" si="8"/>
        <v>1002.82</v>
      </c>
      <c r="AI17" s="58">
        <f t="shared" si="9"/>
        <v>0</v>
      </c>
      <c r="AJ17" s="58">
        <f t="shared" si="10"/>
        <v>0</v>
      </c>
      <c r="AK17" s="58">
        <f t="shared" si="11"/>
        <v>0</v>
      </c>
      <c r="AL17" s="58">
        <f t="array" ref="AL17">_xlfn.IFS(R17=0,AE17,R17&lt;0,AE17/-R17,R17&gt;0,AE17/R17)</f>
        <v>0</v>
      </c>
      <c r="AM17" s="59">
        <f t="shared" si="12"/>
        <v>0</v>
      </c>
      <c r="AN17" s="60">
        <f t="shared" si="13"/>
        <v>0</v>
      </c>
      <c r="AP17" s="62">
        <f t="shared" si="14"/>
        <v>0</v>
      </c>
    </row>
    <row r="18" spans="1:52" ht="13.75" customHeight="1">
      <c r="A18" s="39">
        <v>2807226228</v>
      </c>
      <c r="B18" s="40" t="s">
        <v>230</v>
      </c>
      <c r="C18" s="41"/>
      <c r="D18" s="42"/>
      <c r="E18" s="42"/>
      <c r="F18" s="42"/>
      <c r="G18" s="43"/>
      <c r="H18" s="44">
        <v>909.22</v>
      </c>
      <c r="I18" s="63">
        <f t="shared" si="0"/>
        <v>0</v>
      </c>
      <c r="J18" s="45"/>
      <c r="K18" s="41">
        <v>0</v>
      </c>
      <c r="L18" s="45"/>
      <c r="M18" s="45"/>
      <c r="N18" s="46">
        <f t="shared" si="15"/>
        <v>0</v>
      </c>
      <c r="O18" s="47">
        <f t="shared" si="16"/>
        <v>0</v>
      </c>
      <c r="P18" s="48">
        <f>SUMIFS('Отчет 22-31.12'!H:H,'Отчет 22-31.12'!D:D,"Выручка",'Отчет 22-31.12'!E:E,B18)</f>
        <v>0</v>
      </c>
      <c r="Q18" s="48">
        <f>SUMIFS('Отчет 22-31.12'!H:H,'Отчет 22-31.12'!D:D,"Возврат выручки",'Отчет 22-31.12'!E:E,B18)</f>
        <v>0</v>
      </c>
      <c r="R18" s="49">
        <f t="shared" si="1"/>
        <v>0</v>
      </c>
      <c r="S18" s="50">
        <f>SUMIFS('Отчет 22-31.12'!P:P,'Отчет 22-31.12'!C:C,"Продажи",'Отчет 22-31.12'!E:E,B18)</f>
        <v>0</v>
      </c>
      <c r="T18" s="51">
        <f>SUMIFS('Отчет 22-31.12'!P:P,'Отчет 22-31.12'!C:C,"Возвраты",'Отчет 22-31.12'!E:E,B18)</f>
        <v>0</v>
      </c>
      <c r="U18" s="49">
        <f t="shared" si="2"/>
        <v>0</v>
      </c>
      <c r="V18" s="52">
        <f t="shared" si="17"/>
        <v>0</v>
      </c>
      <c r="W18" s="53">
        <f t="shared" si="3"/>
        <v>0</v>
      </c>
      <c r="X18" s="51">
        <f>-SUMIFS('Отчет 22-31.12'!P:P,'Отчет 22-31.12'!C:C,"Вознаграждение Ozon",'Отчет 22-31.12'!E:E,B18)</f>
        <v>0</v>
      </c>
      <c r="Y18" s="54">
        <f t="shared" si="4"/>
        <v>0</v>
      </c>
      <c r="Z18" s="51">
        <f>-SUMIFS('Отчет 22-31.12'!P:P,'Отчет 22-31.12'!C:C,"Услуги доставки",'Отчет 22-31.12'!E:E,B18)</f>
        <v>0</v>
      </c>
      <c r="AA18" s="41">
        <v>0</v>
      </c>
      <c r="AB18" s="64"/>
      <c r="AC18" s="51"/>
      <c r="AD18" s="55">
        <f t="shared" si="5"/>
        <v>0</v>
      </c>
      <c r="AE18" s="56">
        <f t="shared" si="6"/>
        <v>0</v>
      </c>
      <c r="AF18" s="55"/>
      <c r="AG18" s="57">
        <f t="shared" si="7"/>
        <v>0</v>
      </c>
      <c r="AH18" s="58">
        <f t="shared" si="8"/>
        <v>909.22</v>
      </c>
      <c r="AI18" s="58">
        <f t="shared" si="9"/>
        <v>0</v>
      </c>
      <c r="AJ18" s="58">
        <f t="shared" si="10"/>
        <v>0</v>
      </c>
      <c r="AK18" s="58">
        <f t="shared" si="11"/>
        <v>0</v>
      </c>
      <c r="AL18" s="58">
        <f t="array" ref="AL18">_xlfn.IFS(R18=0,AE18,R18&lt;0,AE18/-R18,R18&gt;0,AE18/R18)</f>
        <v>0</v>
      </c>
      <c r="AM18" s="59">
        <f t="shared" si="12"/>
        <v>0</v>
      </c>
      <c r="AN18" s="60">
        <f t="shared" si="13"/>
        <v>0</v>
      </c>
      <c r="AP18" s="62">
        <f t="shared" si="14"/>
        <v>0</v>
      </c>
    </row>
    <row r="19" spans="1:52" ht="13.75" customHeight="1">
      <c r="A19" s="39">
        <v>2807226016</v>
      </c>
      <c r="B19" s="40" t="s">
        <v>231</v>
      </c>
      <c r="C19" s="41"/>
      <c r="D19" s="42"/>
      <c r="E19" s="42"/>
      <c r="F19" s="42"/>
      <c r="G19" s="43"/>
      <c r="H19" s="44">
        <v>909.22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5"/>
        <v>0</v>
      </c>
      <c r="O19" s="47">
        <f t="shared" si="16"/>
        <v>0</v>
      </c>
      <c r="P19" s="48">
        <f>SUMIFS('Отчет 22-31.12'!H:H,'Отчет 22-31.12'!D:D,"Выручка",'Отчет 22-31.12'!E:E,B19)</f>
        <v>0</v>
      </c>
      <c r="Q19" s="48">
        <f>SUMIFS('Отчет 22-31.12'!H:H,'Отчет 22-31.12'!D:D,"Возврат выручки",'Отчет 22-31.12'!E:E,B19)</f>
        <v>0</v>
      </c>
      <c r="R19" s="49">
        <f t="shared" si="1"/>
        <v>0</v>
      </c>
      <c r="S19" s="50">
        <f>SUMIFS('Отчет 22-31.12'!P:P,'Отчет 22-31.12'!C:C,"Продажи",'Отчет 22-31.12'!E:E,B19)</f>
        <v>0</v>
      </c>
      <c r="T19" s="51">
        <f>SUMIFS('Отчет 22-31.12'!P:P,'Отчет 22-31.12'!C:C,"Возвраты",'Отчет 22-31.12'!E:E,B19)</f>
        <v>0</v>
      </c>
      <c r="U19" s="49">
        <f t="shared" si="2"/>
        <v>0</v>
      </c>
      <c r="V19" s="52">
        <f t="shared" si="17"/>
        <v>0</v>
      </c>
      <c r="W19" s="53">
        <f t="shared" si="3"/>
        <v>0</v>
      </c>
      <c r="X19" s="51">
        <f>-SUMIFS('Отчет 22-31.12'!P:P,'Отчет 22-31.12'!C:C,"Вознаграждение Ozon",'Отчет 22-31.12'!E:E,B19)</f>
        <v>0</v>
      </c>
      <c r="Y19" s="54">
        <f t="shared" si="4"/>
        <v>0</v>
      </c>
      <c r="Z19" s="51">
        <f>-SUMIFS('Отчет 22-31.12'!P:P,'Отчет 22-31.12'!C:C,"Услуги доставки",'Отчет 22-31.12'!E:E,B19)</f>
        <v>0</v>
      </c>
      <c r="AA19" s="41">
        <v>0</v>
      </c>
      <c r="AB19" s="64"/>
      <c r="AC19" s="51"/>
      <c r="AD19" s="55">
        <f t="shared" si="5"/>
        <v>0</v>
      </c>
      <c r="AE19" s="56">
        <f t="shared" si="6"/>
        <v>0</v>
      </c>
      <c r="AF19" s="55"/>
      <c r="AG19" s="57">
        <f t="shared" si="7"/>
        <v>0</v>
      </c>
      <c r="AH19" s="58">
        <f t="shared" si="8"/>
        <v>909.22</v>
      </c>
      <c r="AI19" s="58">
        <f t="shared" si="9"/>
        <v>0</v>
      </c>
      <c r="AJ19" s="58">
        <f t="shared" si="10"/>
        <v>0</v>
      </c>
      <c r="AK19" s="58">
        <f t="shared" si="11"/>
        <v>0</v>
      </c>
      <c r="AL19" s="58">
        <f t="array" ref="AL19">_xlfn.IFS(R19=0,AE19,R19&lt;0,AE19/-R19,R19&gt;0,AE19/R19)</f>
        <v>0</v>
      </c>
      <c r="AM19" s="59">
        <f t="shared" si="12"/>
        <v>0</v>
      </c>
      <c r="AN19" s="60">
        <f t="shared" si="13"/>
        <v>0</v>
      </c>
      <c r="AP19" s="62">
        <f t="shared" si="14"/>
        <v>0</v>
      </c>
    </row>
    <row r="20" spans="1:52" ht="13.75" customHeight="1">
      <c r="A20" s="39">
        <v>2807226072</v>
      </c>
      <c r="B20" s="40" t="s">
        <v>111</v>
      </c>
      <c r="C20" s="41"/>
      <c r="D20" s="42"/>
      <c r="E20" s="42"/>
      <c r="F20" s="42"/>
      <c r="G20" s="43"/>
      <c r="H20" s="44">
        <v>932.62</v>
      </c>
      <c r="I20" s="63">
        <f t="shared" si="0"/>
        <v>0</v>
      </c>
      <c r="J20" s="45"/>
      <c r="K20" s="41">
        <v>1</v>
      </c>
      <c r="L20" s="45"/>
      <c r="M20" s="45"/>
      <c r="N20" s="46">
        <f t="shared" si="15"/>
        <v>0.1</v>
      </c>
      <c r="O20" s="47">
        <f t="shared" si="16"/>
        <v>0</v>
      </c>
      <c r="P20" s="48">
        <f>SUMIFS('Отчет 22-31.12'!H:H,'Отчет 22-31.12'!D:D,"Выручка",'Отчет 22-31.12'!E:E,B20)</f>
        <v>0</v>
      </c>
      <c r="Q20" s="48">
        <f>SUMIFS('Отчет 22-31.12'!H:H,'Отчет 22-31.12'!D:D,"Возврат выручки",'Отчет 22-31.12'!E:E,B20)</f>
        <v>0</v>
      </c>
      <c r="R20" s="49">
        <f t="shared" si="1"/>
        <v>0</v>
      </c>
      <c r="S20" s="50">
        <f>SUMIFS('Отчет 22-31.12'!P:P,'Отчет 22-31.12'!C:C,"Продажи",'Отчет 22-31.12'!E:E,B20)</f>
        <v>0</v>
      </c>
      <c r="T20" s="51">
        <f>SUMIFS('Отчет 22-31.12'!P:P,'Отчет 22-31.12'!C:C,"Возвраты",'Отчет 22-31.12'!E:E,B20)</f>
        <v>0</v>
      </c>
      <c r="U20" s="49">
        <f t="shared" si="2"/>
        <v>0</v>
      </c>
      <c r="V20" s="52">
        <f t="shared" si="17"/>
        <v>0</v>
      </c>
      <c r="W20" s="53">
        <f t="shared" si="3"/>
        <v>0</v>
      </c>
      <c r="X20" s="51">
        <f>-SUMIFS('Отчет 22-31.12'!P:P,'Отчет 22-31.12'!C:C,"Вознаграждение Ozon",'Отчет 22-31.12'!E:E,B20)</f>
        <v>0</v>
      </c>
      <c r="Y20" s="54">
        <f t="shared" si="4"/>
        <v>0</v>
      </c>
      <c r="Z20" s="51">
        <f>-SUMIFS('Отчет 22-31.12'!P:P,'Отчет 22-31.12'!C:C,"Услуги доставки",'Отчет 22-31.12'!E:E,B20)</f>
        <v>113.88</v>
      </c>
      <c r="AA20" s="41">
        <v>0</v>
      </c>
      <c r="AB20" s="64"/>
      <c r="AC20" s="51"/>
      <c r="AD20" s="55">
        <f t="shared" si="5"/>
        <v>0</v>
      </c>
      <c r="AE20" s="56">
        <f t="shared" si="6"/>
        <v>-113.88</v>
      </c>
      <c r="AF20" s="55"/>
      <c r="AG20" s="57">
        <f t="shared" si="7"/>
        <v>0</v>
      </c>
      <c r="AH20" s="58">
        <f t="shared" si="8"/>
        <v>932.62</v>
      </c>
      <c r="AI20" s="58">
        <f t="shared" si="9"/>
        <v>0</v>
      </c>
      <c r="AJ20" s="58">
        <f t="shared" si="10"/>
        <v>113.88</v>
      </c>
      <c r="AK20" s="58">
        <f t="shared" si="11"/>
        <v>0</v>
      </c>
      <c r="AL20" s="58">
        <f t="array" ref="AL20">_xlfn.IFS(R20=0,AE20,R20&lt;0,AE20/-R20,R20&gt;0,AE20/R20)</f>
        <v>-113.88</v>
      </c>
      <c r="AM20" s="59">
        <f t="shared" si="12"/>
        <v>0</v>
      </c>
      <c r="AN20" s="60">
        <f t="shared" si="13"/>
        <v>-0.12210761081683857</v>
      </c>
      <c r="AP20" s="62">
        <f t="shared" si="14"/>
        <v>0</v>
      </c>
    </row>
    <row r="21" spans="1:52" ht="13.75" customHeight="1">
      <c r="A21" s="39">
        <v>2807226223</v>
      </c>
      <c r="B21" s="40" t="s">
        <v>232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5"/>
        <v>0</v>
      </c>
      <c r="O21" s="47">
        <f t="shared" si="16"/>
        <v>0</v>
      </c>
      <c r="P21" s="48">
        <f>SUMIFS('Отчет 22-31.12'!H:H,'Отчет 22-31.12'!D:D,"Выручка",'Отчет 22-31.12'!E:E,B21)</f>
        <v>0</v>
      </c>
      <c r="Q21" s="48">
        <f>SUMIFS('Отчет 22-31.12'!H:H,'Отчет 22-31.12'!D:D,"Возврат выручки",'Отчет 22-31.12'!E:E,B21)</f>
        <v>0</v>
      </c>
      <c r="R21" s="49">
        <f t="shared" si="1"/>
        <v>0</v>
      </c>
      <c r="S21" s="50">
        <f>SUMIFS('Отчет 22-31.12'!P:P,'Отчет 22-31.12'!C:C,"Продажи",'Отчет 22-31.12'!E:E,B21)</f>
        <v>0</v>
      </c>
      <c r="T21" s="51">
        <f>SUMIFS('Отчет 22-31.12'!P:P,'Отчет 22-31.12'!C:C,"Возвраты",'Отчет 22-31.12'!E:E,B21)</f>
        <v>0</v>
      </c>
      <c r="U21" s="49">
        <f t="shared" si="2"/>
        <v>0</v>
      </c>
      <c r="V21" s="52">
        <f t="shared" si="17"/>
        <v>0</v>
      </c>
      <c r="W21" s="53">
        <f t="shared" si="3"/>
        <v>0</v>
      </c>
      <c r="X21" s="51">
        <f>-SUMIFS('Отчет 22-31.12'!P:P,'Отчет 22-31.12'!C:C,"Вознаграждение Ozon",'Отчет 22-31.12'!E:E,B21)</f>
        <v>0</v>
      </c>
      <c r="Y21" s="54">
        <f t="shared" si="4"/>
        <v>0</v>
      </c>
      <c r="Z21" s="51">
        <f>-SUMIFS('Отчет 22-31.12'!P:P,'Отчет 22-31.12'!C:C,"Услуги доставки",'Отчет 22-31.12'!E:E,B21)</f>
        <v>0</v>
      </c>
      <c r="AA21" s="41">
        <v>0</v>
      </c>
      <c r="AB21" s="64"/>
      <c r="AC21" s="51"/>
      <c r="AD21" s="55">
        <f t="shared" si="5"/>
        <v>0</v>
      </c>
      <c r="AE21" s="56">
        <f t="shared" si="6"/>
        <v>0</v>
      </c>
      <c r="AF21" s="55"/>
      <c r="AG21" s="57">
        <f t="shared" si="7"/>
        <v>0</v>
      </c>
      <c r="AH21" s="58">
        <f t="shared" si="8"/>
        <v>1014.52</v>
      </c>
      <c r="AI21" s="58">
        <f t="shared" si="9"/>
        <v>0</v>
      </c>
      <c r="AJ21" s="58">
        <f t="shared" si="10"/>
        <v>0</v>
      </c>
      <c r="AK21" s="58">
        <f t="shared" si="11"/>
        <v>0</v>
      </c>
      <c r="AL21" s="58">
        <f t="array" ref="AL21">_xlfn.IFS(R21=0,AE21,R21&lt;0,AE21/-R21,R21&gt;0,AE21/R21)</f>
        <v>0</v>
      </c>
      <c r="AM21" s="59">
        <f t="shared" si="12"/>
        <v>0</v>
      </c>
      <c r="AN21" s="60">
        <f t="shared" si="13"/>
        <v>0</v>
      </c>
      <c r="AP21" s="62">
        <f t="shared" si="14"/>
        <v>0</v>
      </c>
    </row>
    <row r="22" spans="1:52" ht="13.75" customHeight="1">
      <c r="A22" s="39">
        <v>2807226341</v>
      </c>
      <c r="B22" s="40" t="s">
        <v>136</v>
      </c>
      <c r="C22" s="41"/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5"/>
        <v>0</v>
      </c>
      <c r="O22" s="47">
        <f t="shared" si="16"/>
        <v>0</v>
      </c>
      <c r="P22" s="48">
        <f>SUMIFS('Отчет 22-31.12'!H:H,'Отчет 22-31.12'!D:D,"Выручка",'Отчет 22-31.12'!E:E,B22)</f>
        <v>0</v>
      </c>
      <c r="Q22" s="48">
        <f>SUMIFS('Отчет 22-31.12'!H:H,'Отчет 22-31.12'!D:D,"Возврат выручки",'Отчет 22-31.12'!E:E,B22)</f>
        <v>0</v>
      </c>
      <c r="R22" s="49">
        <f t="shared" si="1"/>
        <v>0</v>
      </c>
      <c r="S22" s="50">
        <f>SUMIFS('Отчет 22-31.12'!P:P,'Отчет 22-31.12'!C:C,"Продажи",'Отчет 22-31.12'!E:E,B22)</f>
        <v>0</v>
      </c>
      <c r="T22" s="51">
        <f>SUMIFS('Отчет 22-31.12'!P:P,'Отчет 22-31.12'!C:C,"Возвраты",'Отчет 22-31.12'!E:E,B22)</f>
        <v>0</v>
      </c>
      <c r="U22" s="49">
        <f t="shared" si="2"/>
        <v>0</v>
      </c>
      <c r="V22" s="52">
        <f t="shared" si="17"/>
        <v>0</v>
      </c>
      <c r="W22" s="53">
        <f t="shared" si="3"/>
        <v>0</v>
      </c>
      <c r="X22" s="51">
        <f>-SUMIFS('Отчет 22-31.12'!P:P,'Отчет 22-31.12'!C:C,"Вознаграждение Ozon",'Отчет 22-31.12'!E:E,B22)</f>
        <v>0</v>
      </c>
      <c r="Y22" s="54">
        <f t="shared" si="4"/>
        <v>0</v>
      </c>
      <c r="Z22" s="51">
        <f>-SUMIFS('Отчет 22-31.12'!P:P,'Отчет 22-31.12'!C:C,"Услуги доставки",'Отчет 22-31.12'!E:E,B22)</f>
        <v>0</v>
      </c>
      <c r="AA22" s="41">
        <v>0</v>
      </c>
      <c r="AB22" s="64"/>
      <c r="AC22" s="51"/>
      <c r="AD22" s="55">
        <f t="shared" si="5"/>
        <v>0</v>
      </c>
      <c r="AE22" s="56">
        <f t="shared" si="6"/>
        <v>0</v>
      </c>
      <c r="AF22" s="55"/>
      <c r="AG22" s="57">
        <f t="shared" si="7"/>
        <v>0</v>
      </c>
      <c r="AH22" s="58">
        <f t="shared" si="8"/>
        <v>1014.52</v>
      </c>
      <c r="AI22" s="58">
        <f t="shared" si="9"/>
        <v>0</v>
      </c>
      <c r="AJ22" s="58">
        <f t="shared" si="10"/>
        <v>0</v>
      </c>
      <c r="AK22" s="58">
        <f t="shared" si="11"/>
        <v>0</v>
      </c>
      <c r="AL22" s="58">
        <f t="array" ref="AL22">_xlfn.IFS(R22=0,AE22,R22&lt;0,AE22/-R22,R22&gt;0,AE22/R22)</f>
        <v>0</v>
      </c>
      <c r="AM22" s="59">
        <f t="shared" si="12"/>
        <v>0</v>
      </c>
      <c r="AN22" s="60">
        <f t="shared" si="13"/>
        <v>0</v>
      </c>
      <c r="AP22" s="62">
        <f t="shared" si="14"/>
        <v>0</v>
      </c>
    </row>
    <row r="23" spans="1:52" ht="13.75" customHeight="1">
      <c r="A23" s="39">
        <v>2807226351</v>
      </c>
      <c r="B23" s="40" t="s">
        <v>233</v>
      </c>
      <c r="C23" s="41"/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5"/>
        <v>0</v>
      </c>
      <c r="O23" s="47">
        <f t="shared" si="16"/>
        <v>0</v>
      </c>
      <c r="P23" s="48">
        <f>SUMIFS('Отчет 22-31.12'!H:H,'Отчет 22-31.12'!D:D,"Выручка",'Отчет 22-31.12'!E:E,B23)</f>
        <v>0</v>
      </c>
      <c r="Q23" s="48">
        <f>SUMIFS('Отчет 22-31.12'!H:H,'Отчет 22-31.12'!D:D,"Возврат выручки",'Отчет 22-31.12'!E:E,B23)</f>
        <v>0</v>
      </c>
      <c r="R23" s="49">
        <f t="shared" si="1"/>
        <v>0</v>
      </c>
      <c r="S23" s="50">
        <f>SUMIFS('Отчет 22-31.12'!P:P,'Отчет 22-31.12'!C:C,"Продажи",'Отчет 22-31.12'!E:E,B23)</f>
        <v>0</v>
      </c>
      <c r="T23" s="51">
        <f>SUMIFS('Отчет 22-31.12'!P:P,'Отчет 22-31.12'!C:C,"Возвраты",'Отчет 22-31.12'!E:E,B23)</f>
        <v>0</v>
      </c>
      <c r="U23" s="49">
        <f t="shared" si="2"/>
        <v>0</v>
      </c>
      <c r="V23" s="52">
        <f t="shared" si="17"/>
        <v>0</v>
      </c>
      <c r="W23" s="53">
        <f t="shared" si="3"/>
        <v>0</v>
      </c>
      <c r="X23" s="51">
        <f>-SUMIFS('Отчет 22-31.12'!P:P,'Отчет 22-31.12'!C:C,"Вознаграждение Ozon",'Отчет 22-31.12'!E:E,B23)</f>
        <v>0</v>
      </c>
      <c r="Y23" s="54">
        <f t="shared" si="4"/>
        <v>0</v>
      </c>
      <c r="Z23" s="51">
        <f>-SUMIFS('Отчет 22-31.12'!P:P,'Отчет 22-31.12'!C:C,"Услуги доставки",'Отчет 22-31.12'!E:E,B23)</f>
        <v>0</v>
      </c>
      <c r="AA23" s="41">
        <v>0</v>
      </c>
      <c r="AB23" s="64"/>
      <c r="AC23" s="51"/>
      <c r="AD23" s="55">
        <f t="shared" si="5"/>
        <v>0</v>
      </c>
      <c r="AE23" s="56">
        <f t="shared" si="6"/>
        <v>0</v>
      </c>
      <c r="AF23" s="55"/>
      <c r="AG23" s="57">
        <f t="shared" si="7"/>
        <v>0</v>
      </c>
      <c r="AH23" s="58">
        <f t="shared" si="8"/>
        <v>1014.52</v>
      </c>
      <c r="AI23" s="58">
        <f t="shared" si="9"/>
        <v>0</v>
      </c>
      <c r="AJ23" s="58">
        <f t="shared" si="10"/>
        <v>0</v>
      </c>
      <c r="AK23" s="58">
        <f t="shared" si="11"/>
        <v>0</v>
      </c>
      <c r="AL23" s="58">
        <f t="array" ref="AL23">_xlfn.IFS(R23=0,AE23,R23&lt;0,AE23/-R23,R23&gt;0,AE23/R23)</f>
        <v>0</v>
      </c>
      <c r="AM23" s="59">
        <f t="shared" si="12"/>
        <v>0</v>
      </c>
      <c r="AN23" s="60">
        <f t="shared" si="13"/>
        <v>0</v>
      </c>
      <c r="AP23" s="62">
        <f t="shared" si="14"/>
        <v>0</v>
      </c>
    </row>
    <row r="24" spans="1:52" ht="13.75" customHeight="1">
      <c r="A24" s="39">
        <v>2807226146</v>
      </c>
      <c r="B24" s="40" t="s">
        <v>234</v>
      </c>
      <c r="C24" s="41"/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5"/>
        <v>0</v>
      </c>
      <c r="O24" s="47">
        <f t="shared" si="16"/>
        <v>0</v>
      </c>
      <c r="P24" s="48">
        <f>SUMIFS('Отчет 22-31.12'!H:H,'Отчет 22-31.12'!D:D,"Выручка",'Отчет 22-31.12'!E:E,B24)</f>
        <v>0</v>
      </c>
      <c r="Q24" s="48">
        <f>SUMIFS('Отчет 22-31.12'!H:H,'Отчет 22-31.12'!D:D,"Возврат выручки",'Отчет 22-31.12'!E:E,B24)</f>
        <v>0</v>
      </c>
      <c r="R24" s="49">
        <f t="shared" si="1"/>
        <v>0</v>
      </c>
      <c r="S24" s="50">
        <f>SUMIFS('Отчет 22-31.12'!P:P,'Отчет 22-31.12'!C:C,"Продажи",'Отчет 22-31.12'!E:E,B24)</f>
        <v>0</v>
      </c>
      <c r="T24" s="51">
        <f>SUMIFS('Отчет 22-31.12'!P:P,'Отчет 22-31.12'!C:C,"Возвраты",'Отчет 22-31.12'!E:E,B24)</f>
        <v>0</v>
      </c>
      <c r="U24" s="49">
        <f t="shared" si="2"/>
        <v>0</v>
      </c>
      <c r="V24" s="52">
        <f t="shared" si="17"/>
        <v>0</v>
      </c>
      <c r="W24" s="53">
        <f t="shared" si="3"/>
        <v>0</v>
      </c>
      <c r="X24" s="51">
        <f>-SUMIFS('Отчет 22-31.12'!P:P,'Отчет 22-31.12'!C:C,"Вознаграждение Ozon",'Отчет 22-31.12'!E:E,B24)</f>
        <v>0</v>
      </c>
      <c r="Y24" s="54">
        <f t="shared" si="4"/>
        <v>0</v>
      </c>
      <c r="Z24" s="51">
        <f>-SUMIFS('Отчет 22-31.12'!P:P,'Отчет 22-31.12'!C:C,"Услуги доставки",'Отчет 22-31.12'!E:E,B24)</f>
        <v>0</v>
      </c>
      <c r="AA24" s="41">
        <v>0</v>
      </c>
      <c r="AB24" s="64"/>
      <c r="AC24" s="51"/>
      <c r="AD24" s="55">
        <f t="shared" si="5"/>
        <v>0</v>
      </c>
      <c r="AE24" s="56">
        <f t="shared" si="6"/>
        <v>0</v>
      </c>
      <c r="AF24" s="55"/>
      <c r="AG24" s="57">
        <f t="shared" si="7"/>
        <v>0</v>
      </c>
      <c r="AH24" s="58">
        <f t="shared" si="8"/>
        <v>991.12</v>
      </c>
      <c r="AI24" s="58">
        <f t="shared" si="9"/>
        <v>0</v>
      </c>
      <c r="AJ24" s="58">
        <f t="shared" si="10"/>
        <v>0</v>
      </c>
      <c r="AK24" s="58">
        <f t="shared" si="11"/>
        <v>0</v>
      </c>
      <c r="AL24" s="58">
        <f t="array" ref="AL24">_xlfn.IFS(R24=0,AE24,R24&lt;0,AE24/-R24,R24&gt;0,AE24/R24)</f>
        <v>0</v>
      </c>
      <c r="AM24" s="59">
        <f t="shared" si="12"/>
        <v>0</v>
      </c>
      <c r="AN24" s="60">
        <f t="shared" si="13"/>
        <v>0</v>
      </c>
      <c r="AP24" s="62">
        <f t="shared" si="14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8">AVERAGEIF(AG3:AG24,"&lt;&gt;0",AG3:AG24)</f>
        <v>1334.873157894737</v>
      </c>
      <c r="AH25" s="247">
        <f t="shared" si="18"/>
        <v>447.87636363636369</v>
      </c>
      <c r="AI25" s="247">
        <f t="shared" si="18"/>
        <v>573.99545789473689</v>
      </c>
      <c r="AJ25" s="247">
        <f t="shared" si="18"/>
        <v>127.6437237006928</v>
      </c>
      <c r="AK25" s="247">
        <f t="shared" si="18"/>
        <v>435.7902235560818</v>
      </c>
      <c r="AL25" s="247">
        <f t="shared" si="18"/>
        <v>-77.839267058646527</v>
      </c>
      <c r="AM25" s="249">
        <f t="shared" si="18"/>
        <v>0.16479273437795658</v>
      </c>
      <c r="AN25" s="249">
        <f t="shared" si="18"/>
        <v>-0.71092767856509409</v>
      </c>
      <c r="AO25" s="240"/>
      <c r="AP25" s="241"/>
    </row>
    <row r="26" spans="1:52">
      <c r="A26" s="216" t="s">
        <v>305</v>
      </c>
      <c r="B26" s="209"/>
      <c r="C26" s="217">
        <f>SUM(C3:C24)</f>
        <v>0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0</v>
      </c>
      <c r="J26" s="212"/>
      <c r="K26" s="217">
        <f>SUM(K3:K24)</f>
        <v>152</v>
      </c>
      <c r="L26" s="212"/>
      <c r="M26" s="212"/>
      <c r="N26" s="213"/>
      <c r="O26" s="214"/>
      <c r="P26" s="217">
        <f>SUM(P3:P24)</f>
        <v>94</v>
      </c>
      <c r="Q26" s="217">
        <f t="shared" ref="Q26:AE26" si="19">SUM(Q3:Q24)</f>
        <v>4</v>
      </c>
      <c r="R26" s="217">
        <f t="shared" si="19"/>
        <v>90</v>
      </c>
      <c r="S26" s="237">
        <f>SUM(S3:S24)</f>
        <v>139134.00000000003</v>
      </c>
      <c r="T26" s="217">
        <f t="shared" si="19"/>
        <v>-5434</v>
      </c>
      <c r="U26" s="217">
        <f>SUM(U3:U24)</f>
        <v>133700.00000000003</v>
      </c>
      <c r="V26" s="256">
        <f>SUM(V3:V24)</f>
        <v>1</v>
      </c>
      <c r="W26" s="217">
        <f t="shared" si="19"/>
        <v>12820.230000000001</v>
      </c>
      <c r="X26" s="217">
        <f t="shared" si="19"/>
        <v>57491.000000000029</v>
      </c>
      <c r="Y26" s="215">
        <f>IF(U26=0,0,X26/U26)</f>
        <v>0.4300000000000001</v>
      </c>
      <c r="Z26" s="217">
        <f t="shared" si="19"/>
        <v>13321.350000000002</v>
      </c>
      <c r="AA26" s="217">
        <f>IFERROR(P26*AA51/P51,0)</f>
        <v>44059.45</v>
      </c>
      <c r="AB26" s="217">
        <f t="shared" si="19"/>
        <v>0</v>
      </c>
      <c r="AC26" s="217">
        <f t="shared" si="19"/>
        <v>0</v>
      </c>
      <c r="AD26" s="238">
        <f t="shared" si="19"/>
        <v>8022</v>
      </c>
      <c r="AE26" s="239">
        <f t="shared" si="19"/>
        <v>4601.9752840000019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0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37443.444715999998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/>
      <c r="D28" s="42"/>
      <c r="E28" s="42"/>
      <c r="F28" s="42"/>
      <c r="G28" s="43"/>
      <c r="H28" s="65">
        <v>672</v>
      </c>
      <c r="I28" s="63">
        <f t="shared" ref="I28:I46" si="20">C28*H28</f>
        <v>0</v>
      </c>
      <c r="J28" s="45"/>
      <c r="K28" s="41">
        <v>0</v>
      </c>
      <c r="L28" s="45"/>
      <c r="M28" s="45"/>
      <c r="N28" s="46">
        <f t="shared" ref="N28" si="21">K28/10</f>
        <v>0</v>
      </c>
      <c r="O28" s="47">
        <f t="shared" ref="O28" si="22">R28/10</f>
        <v>0</v>
      </c>
      <c r="P28" s="48">
        <f>SUMIFS('Отчет 22-31.12'!H:H,'Отчет 22-31.12'!D:D,"Выручка",'Отчет 22-31.12'!E:E,B28)</f>
        <v>0</v>
      </c>
      <c r="Q28" s="48">
        <f>SUMIFS('Отчет 22-31.12'!H:H,'Отчет 22-31.12'!D:D,"Возврат выручки",'Отчет 22-31.12'!E:E,B28)</f>
        <v>0</v>
      </c>
      <c r="R28" s="49">
        <f t="shared" ref="R28:R47" si="23">P28-Q28</f>
        <v>0</v>
      </c>
      <c r="S28" s="50">
        <f>SUMIFS('Отчет 22-31.12'!P:P,'Отчет 22-31.12'!C:C,"Продажи",'Отчет 22-31.12'!E:E,B28)</f>
        <v>0</v>
      </c>
      <c r="T28" s="51">
        <f>SUMIFS('Отчет 22-31.12'!P:P,'Отчет 22-31.12'!C:C,"Возвраты",'Отчет 22-31.12'!E:E,B28)</f>
        <v>0</v>
      </c>
      <c r="U28" s="49">
        <f t="shared" ref="U28:U47" si="24">S28+T28</f>
        <v>0</v>
      </c>
      <c r="V28" s="52">
        <f>IFERROR(U28/$U$49,0)</f>
        <v>0</v>
      </c>
      <c r="W28" s="53">
        <f t="shared" ref="W28:W47" si="25">R28*H28</f>
        <v>0</v>
      </c>
      <c r="X28" s="51">
        <f>-SUMIFS('Отчет 22-31.12'!P:P,'Отчет 22-31.12'!C:C,"Вознаграждение Ozon",'Отчет 22-31.12'!E:E,B28)</f>
        <v>0</v>
      </c>
      <c r="Y28" s="54">
        <f t="shared" ref="Y28:Y47" si="26">IF(U28=0,0,X28/U28)</f>
        <v>0</v>
      </c>
      <c r="Z28" s="51">
        <f>-SUMIFS('Отчет 22-31.12'!P:P,'Отчет 22-31.12'!C:C,"Услуги доставки",'Отчет 22-31.12'!E:E,B28)</f>
        <v>0</v>
      </c>
      <c r="AA28" s="41">
        <v>0</v>
      </c>
      <c r="AB28" s="64"/>
      <c r="AC28" s="51"/>
      <c r="AD28" s="55">
        <f t="shared" ref="AD28:AD47" si="27">U28*6%</f>
        <v>0</v>
      </c>
      <c r="AE28" s="56">
        <f t="shared" ref="AE28:AE47" si="28">U28-W28-X28-Z28-AA28-AB28-AC28-AD28</f>
        <v>0</v>
      </c>
      <c r="AF28" s="55"/>
      <c r="AG28" s="57">
        <f t="shared" ref="AG28:AG47" si="29">IF(R28=0,0,U28/R28)</f>
        <v>0</v>
      </c>
      <c r="AH28" s="58">
        <f t="shared" ref="AH28:AH47" si="30">H28</f>
        <v>672</v>
      </c>
      <c r="AI28" s="58">
        <f t="shared" ref="AI28:AI47" si="31">IF(R28=0,0,X28/R28)</f>
        <v>0</v>
      </c>
      <c r="AJ28" s="58">
        <f t="shared" ref="AJ28:AJ47" si="32">IF(P28=0,Z28/1,Z28/P28)</f>
        <v>0</v>
      </c>
      <c r="AK28" s="58">
        <f t="shared" ref="AK28:AK47" si="33">IF(P28=0,0,AA28/P28)</f>
        <v>0</v>
      </c>
      <c r="AL28" s="58">
        <f t="array" ref="AL28">_xlfn.IFS(R28=0,AE28,R28&lt;0,AE28/-R28,R28&gt;0,AE28/R28)</f>
        <v>0</v>
      </c>
      <c r="AM28" s="59">
        <f t="shared" ref="AM28:AM47" si="34">IF(AG28=0,0,AL28/AG28)</f>
        <v>0</v>
      </c>
      <c r="AN28" s="60">
        <f t="shared" ref="AN28:AN47" si="35">IF(AH28=0,0,AL28/AH28)</f>
        <v>0</v>
      </c>
      <c r="AP28" s="62">
        <f t="shared" ref="AP28:AP47" si="36">AL28*C28</f>
        <v>0</v>
      </c>
    </row>
    <row r="29" spans="1:52">
      <c r="A29" s="39">
        <v>2774708622</v>
      </c>
      <c r="B29" s="40" t="s">
        <v>43</v>
      </c>
      <c r="C29" s="41"/>
      <c r="D29" s="42"/>
      <c r="E29" s="42"/>
      <c r="F29" s="42"/>
      <c r="G29" s="43"/>
      <c r="H29" s="65">
        <v>627</v>
      </c>
      <c r="I29" s="63">
        <f t="shared" si="20"/>
        <v>0</v>
      </c>
      <c r="J29" s="45"/>
      <c r="K29" s="41">
        <v>0</v>
      </c>
      <c r="L29" s="45"/>
      <c r="M29" s="45"/>
      <c r="N29" s="46">
        <f t="shared" ref="N29:N47" si="37">K29/10</f>
        <v>0</v>
      </c>
      <c r="O29" s="47">
        <f t="shared" ref="O29:O47" si="38">R29/10</f>
        <v>0</v>
      </c>
      <c r="P29" s="48">
        <f>SUMIFS('Отчет 22-31.12'!H:H,'Отчет 22-31.12'!D:D,"Выручка",'Отчет 22-31.12'!E:E,B29)</f>
        <v>0</v>
      </c>
      <c r="Q29" s="48">
        <f>SUMIFS('Отчет 22-31.12'!H:H,'Отчет 22-31.12'!D:D,"Возврат выручки",'Отчет 22-31.12'!E:E,B29)</f>
        <v>0</v>
      </c>
      <c r="R29" s="49">
        <f t="shared" si="23"/>
        <v>0</v>
      </c>
      <c r="S29" s="50">
        <f>SUMIFS('Отчет 22-31.12'!P:P,'Отчет 22-31.12'!C:C,"Продажи",'Отчет 22-31.12'!E:E,B29)</f>
        <v>0</v>
      </c>
      <c r="T29" s="51">
        <f>SUMIFS('Отчет 22-31.12'!P:P,'Отчет 22-31.12'!C:C,"Возвраты",'Отчет 22-31.12'!E:E,B29)</f>
        <v>0</v>
      </c>
      <c r="U29" s="49">
        <f t="shared" si="24"/>
        <v>0</v>
      </c>
      <c r="V29" s="52">
        <f t="shared" ref="V29:V46" si="39">IFERROR(U29/$U$49,0)</f>
        <v>0</v>
      </c>
      <c r="W29" s="53">
        <f t="shared" si="25"/>
        <v>0</v>
      </c>
      <c r="X29" s="51">
        <f>-SUMIFS('Отчет 22-31.12'!P:P,'Отчет 22-31.12'!C:C,"Вознаграждение Ozon",'Отчет 22-31.12'!E:E,B29)</f>
        <v>0</v>
      </c>
      <c r="Y29" s="54">
        <f t="shared" si="26"/>
        <v>0</v>
      </c>
      <c r="Z29" s="51">
        <f>-SUMIFS('Отчет 22-31.12'!P:P,'Отчет 22-31.12'!C:C,"Услуги доставки",'Отчет 22-31.12'!E:E,B29)</f>
        <v>0</v>
      </c>
      <c r="AA29" s="41">
        <v>0</v>
      </c>
      <c r="AB29" s="64"/>
      <c r="AC29" s="51"/>
      <c r="AD29" s="55">
        <f t="shared" si="27"/>
        <v>0</v>
      </c>
      <c r="AE29" s="56">
        <f t="shared" si="28"/>
        <v>0</v>
      </c>
      <c r="AF29" s="55"/>
      <c r="AG29" s="57">
        <f t="shared" si="29"/>
        <v>0</v>
      </c>
      <c r="AH29" s="58">
        <f t="shared" si="30"/>
        <v>627</v>
      </c>
      <c r="AI29" s="58">
        <f t="shared" si="31"/>
        <v>0</v>
      </c>
      <c r="AJ29" s="58">
        <f t="shared" si="32"/>
        <v>0</v>
      </c>
      <c r="AK29" s="58">
        <f t="shared" si="33"/>
        <v>0</v>
      </c>
      <c r="AL29" s="58">
        <f t="array" ref="AL29">_xlfn.IFS(R29=0,AE29,R29&lt;0,AE29/-R29,R29&gt;0,AE29/R29)</f>
        <v>0</v>
      </c>
      <c r="AM29" s="59">
        <f t="shared" si="34"/>
        <v>0</v>
      </c>
      <c r="AN29" s="60">
        <f t="shared" si="35"/>
        <v>0</v>
      </c>
      <c r="AP29" s="62">
        <f t="shared" si="36"/>
        <v>0</v>
      </c>
    </row>
    <row r="30" spans="1:52">
      <c r="A30" s="39">
        <v>2774709606</v>
      </c>
      <c r="B30" s="40" t="s">
        <v>235</v>
      </c>
      <c r="C30" s="41"/>
      <c r="D30" s="42"/>
      <c r="E30" s="42"/>
      <c r="F30" s="42"/>
      <c r="G30" s="43"/>
      <c r="H30" s="65">
        <v>627</v>
      </c>
      <c r="I30" s="63">
        <f t="shared" si="20"/>
        <v>0</v>
      </c>
      <c r="J30" s="45"/>
      <c r="K30" s="41">
        <v>0</v>
      </c>
      <c r="L30" s="45"/>
      <c r="M30" s="45"/>
      <c r="N30" s="46">
        <f t="shared" si="37"/>
        <v>0</v>
      </c>
      <c r="O30" s="47">
        <f t="shared" si="38"/>
        <v>0</v>
      </c>
      <c r="P30" s="48">
        <f>SUMIFS('Отчет 22-31.12'!H:H,'Отчет 22-31.12'!D:D,"Выручка",'Отчет 22-31.12'!E:E,B30)</f>
        <v>0</v>
      </c>
      <c r="Q30" s="48">
        <f>SUMIFS('Отчет 22-31.12'!H:H,'Отчет 22-31.12'!D:D,"Возврат выручки",'Отчет 22-31.12'!E:E,B30)</f>
        <v>0</v>
      </c>
      <c r="R30" s="49">
        <f t="shared" si="23"/>
        <v>0</v>
      </c>
      <c r="S30" s="50">
        <f>SUMIFS('Отчет 22-31.12'!P:P,'Отчет 22-31.12'!C:C,"Продажи",'Отчет 22-31.12'!E:E,B30)</f>
        <v>0</v>
      </c>
      <c r="T30" s="51">
        <f>SUMIFS('Отчет 22-31.12'!P:P,'Отчет 22-31.12'!C:C,"Возвраты",'Отчет 22-31.12'!E:E,B30)</f>
        <v>0</v>
      </c>
      <c r="U30" s="49">
        <f t="shared" si="24"/>
        <v>0</v>
      </c>
      <c r="V30" s="52">
        <f t="shared" si="39"/>
        <v>0</v>
      </c>
      <c r="W30" s="53">
        <f t="shared" si="25"/>
        <v>0</v>
      </c>
      <c r="X30" s="51">
        <f>-SUMIFS('Отчет 22-31.12'!P:P,'Отчет 22-31.12'!C:C,"Вознаграждение Ozon",'Отчет 22-31.12'!E:E,B30)</f>
        <v>0</v>
      </c>
      <c r="Y30" s="54">
        <f t="shared" si="26"/>
        <v>0</v>
      </c>
      <c r="Z30" s="51">
        <f>-SUMIFS('Отчет 22-31.12'!P:P,'Отчет 22-31.12'!C:C,"Услуги доставки",'Отчет 22-31.12'!E:E,B30)</f>
        <v>0</v>
      </c>
      <c r="AA30" s="41">
        <v>0</v>
      </c>
      <c r="AB30" s="64"/>
      <c r="AC30" s="51"/>
      <c r="AD30" s="55">
        <f t="shared" si="27"/>
        <v>0</v>
      </c>
      <c r="AE30" s="56">
        <f t="shared" si="28"/>
        <v>0</v>
      </c>
      <c r="AF30" s="55"/>
      <c r="AG30" s="57">
        <f t="shared" si="29"/>
        <v>0</v>
      </c>
      <c r="AH30" s="58">
        <f t="shared" si="30"/>
        <v>627</v>
      </c>
      <c r="AI30" s="58">
        <f t="shared" si="31"/>
        <v>0</v>
      </c>
      <c r="AJ30" s="58">
        <f t="shared" si="32"/>
        <v>0</v>
      </c>
      <c r="AK30" s="58">
        <f t="shared" si="33"/>
        <v>0</v>
      </c>
      <c r="AL30" s="58">
        <f t="array" ref="AL30">_xlfn.IFS(R30=0,AE30,R30&lt;0,AE30/-R30,R30&gt;0,AE30/R30)</f>
        <v>0</v>
      </c>
      <c r="AM30" s="59">
        <f t="shared" si="34"/>
        <v>0</v>
      </c>
      <c r="AN30" s="60">
        <f t="shared" si="35"/>
        <v>0</v>
      </c>
      <c r="AP30" s="62">
        <f t="shared" si="36"/>
        <v>0</v>
      </c>
    </row>
    <row r="31" spans="1:52">
      <c r="A31" s="39">
        <v>2774720465</v>
      </c>
      <c r="B31" s="40" t="s">
        <v>171</v>
      </c>
      <c r="C31" s="41"/>
      <c r="D31" s="42"/>
      <c r="E31" s="42"/>
      <c r="F31" s="42"/>
      <c r="G31" s="43"/>
      <c r="H31" s="65">
        <v>567</v>
      </c>
      <c r="I31" s="63">
        <f t="shared" si="20"/>
        <v>0</v>
      </c>
      <c r="J31" s="45"/>
      <c r="K31" s="41">
        <v>0</v>
      </c>
      <c r="L31" s="45"/>
      <c r="M31" s="45"/>
      <c r="N31" s="46">
        <f t="shared" si="37"/>
        <v>0</v>
      </c>
      <c r="O31" s="47">
        <f t="shared" si="38"/>
        <v>0</v>
      </c>
      <c r="P31" s="48">
        <f>SUMIFS('Отчет 22-31.12'!H:H,'Отчет 22-31.12'!D:D,"Выручка",'Отчет 22-31.12'!E:E,B31)</f>
        <v>0</v>
      </c>
      <c r="Q31" s="48">
        <f>SUMIFS('Отчет 22-31.12'!H:H,'Отчет 22-31.12'!D:D,"Возврат выручки",'Отчет 22-31.12'!E:E,B31)</f>
        <v>0</v>
      </c>
      <c r="R31" s="49">
        <f t="shared" si="23"/>
        <v>0</v>
      </c>
      <c r="S31" s="50">
        <f>SUMIFS('Отчет 22-31.12'!P:P,'Отчет 22-31.12'!C:C,"Продажи",'Отчет 22-31.12'!E:E,B31)</f>
        <v>0</v>
      </c>
      <c r="T31" s="51">
        <f>SUMIFS('Отчет 22-31.12'!P:P,'Отчет 22-31.12'!C:C,"Возвраты",'Отчет 22-31.12'!E:E,B31)</f>
        <v>0</v>
      </c>
      <c r="U31" s="49">
        <f t="shared" si="24"/>
        <v>0</v>
      </c>
      <c r="V31" s="52">
        <f t="shared" si="39"/>
        <v>0</v>
      </c>
      <c r="W31" s="53">
        <f t="shared" si="25"/>
        <v>0</v>
      </c>
      <c r="X31" s="51">
        <f>-SUMIFS('Отчет 22-31.12'!P:P,'Отчет 22-31.12'!C:C,"Вознаграждение Ozon",'Отчет 22-31.12'!E:E,B31)</f>
        <v>0</v>
      </c>
      <c r="Y31" s="54">
        <f t="shared" si="26"/>
        <v>0</v>
      </c>
      <c r="Z31" s="51">
        <f>-SUMIFS('Отчет 22-31.12'!P:P,'Отчет 22-31.12'!C:C,"Услуги доставки",'Отчет 22-31.12'!E:E,B31)</f>
        <v>113.88</v>
      </c>
      <c r="AA31" s="41">
        <v>0</v>
      </c>
      <c r="AB31" s="64"/>
      <c r="AC31" s="51"/>
      <c r="AD31" s="55">
        <f t="shared" si="27"/>
        <v>0</v>
      </c>
      <c r="AE31" s="56">
        <f t="shared" si="28"/>
        <v>-113.88</v>
      </c>
      <c r="AF31" s="55"/>
      <c r="AG31" s="57">
        <f t="shared" si="29"/>
        <v>0</v>
      </c>
      <c r="AH31" s="58">
        <f t="shared" si="30"/>
        <v>567</v>
      </c>
      <c r="AI31" s="58">
        <f t="shared" si="31"/>
        <v>0</v>
      </c>
      <c r="AJ31" s="58">
        <f t="shared" si="32"/>
        <v>113.88</v>
      </c>
      <c r="AK31" s="58">
        <f t="shared" si="33"/>
        <v>0</v>
      </c>
      <c r="AL31" s="58">
        <f t="array" ref="AL31">_xlfn.IFS(R31=0,AE31,R31&lt;0,AE31/-R31,R31&gt;0,AE31/R31)</f>
        <v>-113.88</v>
      </c>
      <c r="AM31" s="59">
        <f t="shared" si="34"/>
        <v>0</v>
      </c>
      <c r="AN31" s="60">
        <f t="shared" si="35"/>
        <v>-0.20084656084656083</v>
      </c>
      <c r="AP31" s="62">
        <f t="shared" si="36"/>
        <v>0</v>
      </c>
    </row>
    <row r="32" spans="1:52">
      <c r="A32" s="39">
        <v>2774718470</v>
      </c>
      <c r="B32" s="40" t="s">
        <v>39</v>
      </c>
      <c r="C32" s="41"/>
      <c r="D32" s="42"/>
      <c r="E32" s="42"/>
      <c r="F32" s="42"/>
      <c r="G32" s="43"/>
      <c r="H32" s="65">
        <v>567</v>
      </c>
      <c r="I32" s="63">
        <f t="shared" si="20"/>
        <v>0</v>
      </c>
      <c r="J32" s="45"/>
      <c r="K32" s="41">
        <v>0</v>
      </c>
      <c r="L32" s="45"/>
      <c r="M32" s="45"/>
      <c r="N32" s="46">
        <f t="shared" si="37"/>
        <v>0</v>
      </c>
      <c r="O32" s="47">
        <f t="shared" si="38"/>
        <v>0</v>
      </c>
      <c r="P32" s="48">
        <f>SUMIFS('Отчет 22-31.12'!H:H,'Отчет 22-31.12'!D:D,"Выручка",'Отчет 22-31.12'!E:E,B32)</f>
        <v>0</v>
      </c>
      <c r="Q32" s="48">
        <f>SUMIFS('Отчет 22-31.12'!H:H,'Отчет 22-31.12'!D:D,"Возврат выручки",'Отчет 22-31.12'!E:E,B32)</f>
        <v>0</v>
      </c>
      <c r="R32" s="49">
        <f t="shared" si="23"/>
        <v>0</v>
      </c>
      <c r="S32" s="50">
        <f>SUMIFS('Отчет 22-31.12'!P:P,'Отчет 22-31.12'!C:C,"Продажи",'Отчет 22-31.12'!E:E,B32)</f>
        <v>0</v>
      </c>
      <c r="T32" s="51">
        <f>SUMIFS('Отчет 22-31.12'!P:P,'Отчет 22-31.12'!C:C,"Возвраты",'Отчет 22-31.12'!E:E,B32)</f>
        <v>0</v>
      </c>
      <c r="U32" s="49">
        <f t="shared" si="24"/>
        <v>0</v>
      </c>
      <c r="V32" s="52">
        <f t="shared" si="39"/>
        <v>0</v>
      </c>
      <c r="W32" s="53">
        <f t="shared" si="25"/>
        <v>0</v>
      </c>
      <c r="X32" s="51">
        <f>-SUMIFS('Отчет 22-31.12'!P:P,'Отчет 22-31.12'!C:C,"Вознаграждение Ozon",'Отчет 22-31.12'!E:E,B32)</f>
        <v>0</v>
      </c>
      <c r="Y32" s="54">
        <f t="shared" si="26"/>
        <v>0</v>
      </c>
      <c r="Z32" s="51">
        <f>-SUMIFS('Отчет 22-31.12'!P:P,'Отчет 22-31.12'!C:C,"Услуги доставки",'Отчет 22-31.12'!E:E,B32)</f>
        <v>0</v>
      </c>
      <c r="AA32" s="41">
        <v>0</v>
      </c>
      <c r="AB32" s="64"/>
      <c r="AC32" s="51"/>
      <c r="AD32" s="55">
        <f t="shared" si="27"/>
        <v>0</v>
      </c>
      <c r="AE32" s="56">
        <f t="shared" si="28"/>
        <v>0</v>
      </c>
      <c r="AF32" s="55"/>
      <c r="AG32" s="57">
        <f t="shared" si="29"/>
        <v>0</v>
      </c>
      <c r="AH32" s="58">
        <f t="shared" si="30"/>
        <v>567</v>
      </c>
      <c r="AI32" s="58">
        <f t="shared" si="31"/>
        <v>0</v>
      </c>
      <c r="AJ32" s="58">
        <f t="shared" si="32"/>
        <v>0</v>
      </c>
      <c r="AK32" s="58">
        <f t="shared" si="33"/>
        <v>0</v>
      </c>
      <c r="AL32" s="58">
        <f t="array" ref="AL32">_xlfn.IFS(R32=0,AE32,R32&lt;0,AE32/-R32,R32&gt;0,AE32/R32)</f>
        <v>0</v>
      </c>
      <c r="AM32" s="59">
        <f t="shared" si="34"/>
        <v>0</v>
      </c>
      <c r="AN32" s="60">
        <f t="shared" si="35"/>
        <v>0</v>
      </c>
      <c r="AP32" s="62">
        <f t="shared" si="36"/>
        <v>0</v>
      </c>
    </row>
    <row r="33" spans="1:42">
      <c r="A33" s="39">
        <v>2774719022</v>
      </c>
      <c r="B33" s="40" t="s">
        <v>236</v>
      </c>
      <c r="C33" s="41"/>
      <c r="D33" s="42"/>
      <c r="E33" s="42"/>
      <c r="F33" s="42"/>
      <c r="G33" s="43"/>
      <c r="H33" s="65">
        <v>657</v>
      </c>
      <c r="I33" s="63">
        <f t="shared" si="20"/>
        <v>0</v>
      </c>
      <c r="J33" s="45"/>
      <c r="K33" s="41">
        <v>0</v>
      </c>
      <c r="L33" s="45"/>
      <c r="M33" s="45"/>
      <c r="N33" s="46">
        <f t="shared" si="37"/>
        <v>0</v>
      </c>
      <c r="O33" s="47">
        <f t="shared" si="38"/>
        <v>0</v>
      </c>
      <c r="P33" s="48">
        <f>SUMIFS('Отчет 22-31.12'!H:H,'Отчет 22-31.12'!D:D,"Выручка",'Отчет 22-31.12'!E:E,B33)</f>
        <v>0</v>
      </c>
      <c r="Q33" s="48">
        <f>SUMIFS('Отчет 22-31.12'!H:H,'Отчет 22-31.12'!D:D,"Возврат выручки",'Отчет 22-31.12'!E:E,B33)</f>
        <v>0</v>
      </c>
      <c r="R33" s="49">
        <f t="shared" si="23"/>
        <v>0</v>
      </c>
      <c r="S33" s="50">
        <f>SUMIFS('Отчет 22-31.12'!P:P,'Отчет 22-31.12'!C:C,"Продажи",'Отчет 22-31.12'!E:E,B33)</f>
        <v>0</v>
      </c>
      <c r="T33" s="51">
        <f>SUMIFS('Отчет 22-31.12'!P:P,'Отчет 22-31.12'!C:C,"Возвраты",'Отчет 22-31.12'!E:E,B33)</f>
        <v>0</v>
      </c>
      <c r="U33" s="49">
        <f t="shared" si="24"/>
        <v>0</v>
      </c>
      <c r="V33" s="52">
        <f t="shared" si="39"/>
        <v>0</v>
      </c>
      <c r="W33" s="53">
        <f t="shared" si="25"/>
        <v>0</v>
      </c>
      <c r="X33" s="51">
        <f>-SUMIFS('Отчет 22-31.12'!P:P,'Отчет 22-31.12'!C:C,"Вознаграждение Ozon",'Отчет 22-31.12'!E:E,B33)</f>
        <v>0</v>
      </c>
      <c r="Y33" s="54">
        <f t="shared" si="26"/>
        <v>0</v>
      </c>
      <c r="Z33" s="51">
        <f>-SUMIFS('Отчет 22-31.12'!P:P,'Отчет 22-31.12'!C:C,"Услуги доставки",'Отчет 22-31.12'!E:E,B33)</f>
        <v>56.94</v>
      </c>
      <c r="AA33" s="41">
        <v>0</v>
      </c>
      <c r="AB33" s="64"/>
      <c r="AC33" s="51"/>
      <c r="AD33" s="55">
        <f t="shared" si="27"/>
        <v>0</v>
      </c>
      <c r="AE33" s="56">
        <f t="shared" si="28"/>
        <v>-56.94</v>
      </c>
      <c r="AF33" s="55"/>
      <c r="AG33" s="57">
        <f t="shared" si="29"/>
        <v>0</v>
      </c>
      <c r="AH33" s="58">
        <f t="shared" si="30"/>
        <v>657</v>
      </c>
      <c r="AI33" s="58">
        <f t="shared" si="31"/>
        <v>0</v>
      </c>
      <c r="AJ33" s="58">
        <f t="shared" si="32"/>
        <v>56.94</v>
      </c>
      <c r="AK33" s="58">
        <f t="shared" si="33"/>
        <v>0</v>
      </c>
      <c r="AL33" s="58">
        <f t="array" ref="AL33">_xlfn.IFS(R33=0,AE33,R33&lt;0,AE33/-R33,R33&gt;0,AE33/R33)</f>
        <v>-56.94</v>
      </c>
      <c r="AM33" s="59">
        <f t="shared" si="34"/>
        <v>0</v>
      </c>
      <c r="AN33" s="60">
        <f t="shared" si="35"/>
        <v>-8.666666666666667E-2</v>
      </c>
      <c r="AP33" s="62">
        <f t="shared" si="36"/>
        <v>0</v>
      </c>
    </row>
    <row r="34" spans="1:42">
      <c r="A34" s="39">
        <v>2774719501</v>
      </c>
      <c r="B34" s="40" t="s">
        <v>237</v>
      </c>
      <c r="C34" s="41"/>
      <c r="D34" s="42"/>
      <c r="E34" s="42"/>
      <c r="F34" s="42"/>
      <c r="G34" s="43"/>
      <c r="H34" s="65">
        <v>597</v>
      </c>
      <c r="I34" s="63">
        <f t="shared" si="20"/>
        <v>0</v>
      </c>
      <c r="J34" s="45"/>
      <c r="K34" s="41">
        <v>1</v>
      </c>
      <c r="L34" s="45"/>
      <c r="M34" s="45"/>
      <c r="N34" s="46">
        <f t="shared" si="37"/>
        <v>0.1</v>
      </c>
      <c r="O34" s="47">
        <f t="shared" si="38"/>
        <v>0</v>
      </c>
      <c r="P34" s="48">
        <f>SUMIFS('Отчет 22-31.12'!H:H,'Отчет 22-31.12'!D:D,"Выручка",'Отчет 22-31.12'!E:E,B34)</f>
        <v>0</v>
      </c>
      <c r="Q34" s="48">
        <f>SUMIFS('Отчет 22-31.12'!H:H,'Отчет 22-31.12'!D:D,"Возврат выручки",'Отчет 22-31.12'!E:E,B34)</f>
        <v>0</v>
      </c>
      <c r="R34" s="49">
        <f t="shared" si="23"/>
        <v>0</v>
      </c>
      <c r="S34" s="50">
        <f>SUMIFS('Отчет 22-31.12'!P:P,'Отчет 22-31.12'!C:C,"Продажи",'Отчет 22-31.12'!E:E,B34)</f>
        <v>0</v>
      </c>
      <c r="T34" s="51">
        <f>SUMIFS('Отчет 22-31.12'!P:P,'Отчет 22-31.12'!C:C,"Возвраты",'Отчет 22-31.12'!E:E,B34)</f>
        <v>0</v>
      </c>
      <c r="U34" s="49">
        <f t="shared" si="24"/>
        <v>0</v>
      </c>
      <c r="V34" s="52">
        <f t="shared" si="39"/>
        <v>0</v>
      </c>
      <c r="W34" s="53">
        <f t="shared" si="25"/>
        <v>0</v>
      </c>
      <c r="X34" s="51">
        <f>-SUMIFS('Отчет 22-31.12'!P:P,'Отчет 22-31.12'!C:C,"Вознаграждение Ozon",'Отчет 22-31.12'!E:E,B34)</f>
        <v>0</v>
      </c>
      <c r="Y34" s="54">
        <f t="shared" si="26"/>
        <v>0</v>
      </c>
      <c r="Z34" s="51">
        <f>-SUMIFS('Отчет 22-31.12'!P:P,'Отчет 22-31.12'!C:C,"Услуги доставки",'Отчет 22-31.12'!E:E,B34)</f>
        <v>0</v>
      </c>
      <c r="AA34" s="41">
        <v>0</v>
      </c>
      <c r="AB34" s="64"/>
      <c r="AC34" s="51"/>
      <c r="AD34" s="55">
        <f t="shared" si="27"/>
        <v>0</v>
      </c>
      <c r="AE34" s="56">
        <f t="shared" si="28"/>
        <v>0</v>
      </c>
      <c r="AF34" s="55"/>
      <c r="AG34" s="57">
        <f t="shared" si="29"/>
        <v>0</v>
      </c>
      <c r="AH34" s="58">
        <f t="shared" si="30"/>
        <v>597</v>
      </c>
      <c r="AI34" s="58">
        <f t="shared" si="31"/>
        <v>0</v>
      </c>
      <c r="AJ34" s="58">
        <f t="shared" si="32"/>
        <v>0</v>
      </c>
      <c r="AK34" s="58">
        <f t="shared" si="33"/>
        <v>0</v>
      </c>
      <c r="AL34" s="58">
        <f t="array" ref="AL34">_xlfn.IFS(R34=0,AE34,R34&lt;0,AE34/-R34,R34&gt;0,AE34/R34)</f>
        <v>0</v>
      </c>
      <c r="AM34" s="59">
        <f t="shared" si="34"/>
        <v>0</v>
      </c>
      <c r="AN34" s="60">
        <f t="shared" si="35"/>
        <v>0</v>
      </c>
      <c r="AP34" s="62">
        <f t="shared" si="36"/>
        <v>0</v>
      </c>
    </row>
    <row r="35" spans="1:42">
      <c r="A35" s="39">
        <v>2774714412</v>
      </c>
      <c r="B35" s="40" t="s">
        <v>142</v>
      </c>
      <c r="C35" s="41"/>
      <c r="D35" s="42"/>
      <c r="E35" s="42"/>
      <c r="F35" s="42"/>
      <c r="G35" s="43"/>
      <c r="H35" s="65">
        <v>552</v>
      </c>
      <c r="I35" s="63">
        <f t="shared" si="20"/>
        <v>0</v>
      </c>
      <c r="J35" s="45"/>
      <c r="K35" s="41">
        <v>0</v>
      </c>
      <c r="L35" s="45"/>
      <c r="M35" s="45"/>
      <c r="N35" s="46">
        <f t="shared" si="37"/>
        <v>0</v>
      </c>
      <c r="O35" s="47">
        <f t="shared" si="38"/>
        <v>0</v>
      </c>
      <c r="P35" s="48">
        <f>SUMIFS('Отчет 22-31.12'!H:H,'Отчет 22-31.12'!D:D,"Выручка",'Отчет 22-31.12'!E:E,B35)</f>
        <v>0</v>
      </c>
      <c r="Q35" s="48">
        <f>SUMIFS('Отчет 22-31.12'!H:H,'Отчет 22-31.12'!D:D,"Возврат выручки",'Отчет 22-31.12'!E:E,B35)</f>
        <v>0</v>
      </c>
      <c r="R35" s="49">
        <f t="shared" si="23"/>
        <v>0</v>
      </c>
      <c r="S35" s="50">
        <f>SUMIFS('Отчет 22-31.12'!P:P,'Отчет 22-31.12'!C:C,"Продажи",'Отчет 22-31.12'!E:E,B35)</f>
        <v>0</v>
      </c>
      <c r="T35" s="51">
        <f>SUMIFS('Отчет 22-31.12'!P:P,'Отчет 22-31.12'!C:C,"Возвраты",'Отчет 22-31.12'!E:E,B35)</f>
        <v>0</v>
      </c>
      <c r="U35" s="49">
        <f t="shared" si="24"/>
        <v>0</v>
      </c>
      <c r="V35" s="52">
        <f t="shared" si="39"/>
        <v>0</v>
      </c>
      <c r="W35" s="53">
        <f t="shared" si="25"/>
        <v>0</v>
      </c>
      <c r="X35" s="51">
        <f>-SUMIFS('Отчет 22-31.12'!P:P,'Отчет 22-31.12'!C:C,"Вознаграждение Ozon",'Отчет 22-31.12'!E:E,B35)</f>
        <v>0</v>
      </c>
      <c r="Y35" s="54">
        <f t="shared" si="26"/>
        <v>0</v>
      </c>
      <c r="Z35" s="51">
        <f>-SUMIFS('Отчет 22-31.12'!P:P,'Отчет 22-31.12'!C:C,"Услуги доставки",'Отчет 22-31.12'!E:E,B35)</f>
        <v>0</v>
      </c>
      <c r="AA35" s="41">
        <v>0</v>
      </c>
      <c r="AB35" s="64"/>
      <c r="AC35" s="51"/>
      <c r="AD35" s="55">
        <f t="shared" si="27"/>
        <v>0</v>
      </c>
      <c r="AE35" s="56">
        <f t="shared" si="28"/>
        <v>0</v>
      </c>
      <c r="AF35" s="55"/>
      <c r="AG35" s="57">
        <f t="shared" si="29"/>
        <v>0</v>
      </c>
      <c r="AH35" s="58">
        <f t="shared" si="30"/>
        <v>552</v>
      </c>
      <c r="AI35" s="58">
        <f t="shared" si="31"/>
        <v>0</v>
      </c>
      <c r="AJ35" s="58">
        <f t="shared" si="32"/>
        <v>0</v>
      </c>
      <c r="AK35" s="58">
        <f t="shared" si="33"/>
        <v>0</v>
      </c>
      <c r="AL35" s="58">
        <f t="array" ref="AL35">_xlfn.IFS(R35=0,AE35,R35&lt;0,AE35/-R35,R35&gt;0,AE35/R35)</f>
        <v>0</v>
      </c>
      <c r="AM35" s="59">
        <f t="shared" si="34"/>
        <v>0</v>
      </c>
      <c r="AN35" s="60">
        <f t="shared" si="35"/>
        <v>0</v>
      </c>
      <c r="AP35" s="62">
        <f t="shared" si="36"/>
        <v>0</v>
      </c>
    </row>
    <row r="36" spans="1:42">
      <c r="A36" s="39">
        <v>2774710430</v>
      </c>
      <c r="B36" s="40" t="s">
        <v>238</v>
      </c>
      <c r="C36" s="41"/>
      <c r="D36" s="42"/>
      <c r="E36" s="42"/>
      <c r="F36" s="42"/>
      <c r="G36" s="43"/>
      <c r="H36" s="65">
        <v>552</v>
      </c>
      <c r="I36" s="63">
        <f t="shared" si="20"/>
        <v>0</v>
      </c>
      <c r="J36" s="45"/>
      <c r="K36" s="41">
        <v>0</v>
      </c>
      <c r="L36" s="45"/>
      <c r="M36" s="45"/>
      <c r="N36" s="46">
        <f t="shared" si="37"/>
        <v>0</v>
      </c>
      <c r="O36" s="47">
        <f t="shared" si="38"/>
        <v>0</v>
      </c>
      <c r="P36" s="48">
        <f>SUMIFS('Отчет 22-31.12'!H:H,'Отчет 22-31.12'!D:D,"Выручка",'Отчет 22-31.12'!E:E,B36)</f>
        <v>0</v>
      </c>
      <c r="Q36" s="48">
        <f>SUMIFS('Отчет 22-31.12'!H:H,'Отчет 22-31.12'!D:D,"Возврат выручки",'Отчет 22-31.12'!E:E,B36)</f>
        <v>0</v>
      </c>
      <c r="R36" s="49">
        <f t="shared" si="23"/>
        <v>0</v>
      </c>
      <c r="S36" s="50">
        <f>SUMIFS('Отчет 22-31.12'!P:P,'Отчет 22-31.12'!C:C,"Продажи",'Отчет 22-31.12'!E:E,B36)</f>
        <v>0</v>
      </c>
      <c r="T36" s="51">
        <f>SUMIFS('Отчет 22-31.12'!P:P,'Отчет 22-31.12'!C:C,"Возвраты",'Отчет 22-31.12'!E:E,B36)</f>
        <v>0</v>
      </c>
      <c r="U36" s="49">
        <f t="shared" si="24"/>
        <v>0</v>
      </c>
      <c r="V36" s="52">
        <f t="shared" si="39"/>
        <v>0</v>
      </c>
      <c r="W36" s="53">
        <f t="shared" si="25"/>
        <v>0</v>
      </c>
      <c r="X36" s="51">
        <f>-SUMIFS('Отчет 22-31.12'!P:P,'Отчет 22-31.12'!C:C,"Вознаграждение Ozon",'Отчет 22-31.12'!E:E,B36)</f>
        <v>0</v>
      </c>
      <c r="Y36" s="54">
        <f t="shared" si="26"/>
        <v>0</v>
      </c>
      <c r="Z36" s="51">
        <f>-SUMIFS('Отчет 22-31.12'!P:P,'Отчет 22-31.12'!C:C,"Услуги доставки",'Отчет 22-31.12'!E:E,B36)</f>
        <v>0</v>
      </c>
      <c r="AA36" s="41">
        <v>0</v>
      </c>
      <c r="AB36" s="64"/>
      <c r="AC36" s="51"/>
      <c r="AD36" s="55">
        <f t="shared" si="27"/>
        <v>0</v>
      </c>
      <c r="AE36" s="56">
        <f t="shared" si="28"/>
        <v>0</v>
      </c>
      <c r="AF36" s="55"/>
      <c r="AG36" s="57">
        <f t="shared" si="29"/>
        <v>0</v>
      </c>
      <c r="AH36" s="58">
        <f t="shared" si="30"/>
        <v>552</v>
      </c>
      <c r="AI36" s="58">
        <f t="shared" si="31"/>
        <v>0</v>
      </c>
      <c r="AJ36" s="58">
        <f t="shared" si="32"/>
        <v>0</v>
      </c>
      <c r="AK36" s="58">
        <f t="shared" si="33"/>
        <v>0</v>
      </c>
      <c r="AL36" s="58">
        <f t="array" ref="AL36">_xlfn.IFS(R36=0,AE36,R36&lt;0,AE36/-R36,R36&gt;0,AE36/R36)</f>
        <v>0</v>
      </c>
      <c r="AM36" s="59">
        <f t="shared" si="34"/>
        <v>0</v>
      </c>
      <c r="AN36" s="60">
        <f t="shared" si="35"/>
        <v>0</v>
      </c>
      <c r="AP36" s="62">
        <f t="shared" si="36"/>
        <v>0</v>
      </c>
    </row>
    <row r="37" spans="1:42">
      <c r="A37" s="39">
        <v>2774712116</v>
      </c>
      <c r="B37" s="40" t="s">
        <v>62</v>
      </c>
      <c r="C37" s="41"/>
      <c r="D37" s="42"/>
      <c r="E37" s="42"/>
      <c r="F37" s="42"/>
      <c r="G37" s="43"/>
      <c r="H37" s="65">
        <v>687</v>
      </c>
      <c r="I37" s="63">
        <f t="shared" si="20"/>
        <v>0</v>
      </c>
      <c r="J37" s="45"/>
      <c r="K37" s="41">
        <v>0</v>
      </c>
      <c r="L37" s="45"/>
      <c r="M37" s="45"/>
      <c r="N37" s="46">
        <f t="shared" si="37"/>
        <v>0</v>
      </c>
      <c r="O37" s="47">
        <f t="shared" si="38"/>
        <v>0</v>
      </c>
      <c r="P37" s="48">
        <f>SUMIFS('Отчет 22-31.12'!H:H,'Отчет 22-31.12'!D:D,"Выручка",'Отчет 22-31.12'!E:E,B37)</f>
        <v>0</v>
      </c>
      <c r="Q37" s="48">
        <f>SUMIFS('Отчет 22-31.12'!H:H,'Отчет 22-31.12'!D:D,"Возврат выручки",'Отчет 22-31.12'!E:E,B37)</f>
        <v>0</v>
      </c>
      <c r="R37" s="49">
        <f t="shared" si="23"/>
        <v>0</v>
      </c>
      <c r="S37" s="50">
        <f>SUMIFS('Отчет 22-31.12'!P:P,'Отчет 22-31.12'!C:C,"Продажи",'Отчет 22-31.12'!E:E,B37)</f>
        <v>0</v>
      </c>
      <c r="T37" s="51">
        <f>SUMIFS('Отчет 22-31.12'!P:P,'Отчет 22-31.12'!C:C,"Возвраты",'Отчет 22-31.12'!E:E,B37)</f>
        <v>0</v>
      </c>
      <c r="U37" s="49">
        <f t="shared" si="24"/>
        <v>0</v>
      </c>
      <c r="V37" s="52">
        <f t="shared" si="39"/>
        <v>0</v>
      </c>
      <c r="W37" s="53">
        <f t="shared" si="25"/>
        <v>0</v>
      </c>
      <c r="X37" s="51">
        <f>-SUMIFS('Отчет 22-31.12'!P:P,'Отчет 22-31.12'!C:C,"Вознаграждение Ozon",'Отчет 22-31.12'!E:E,B37)</f>
        <v>0</v>
      </c>
      <c r="Y37" s="54">
        <f t="shared" si="26"/>
        <v>0</v>
      </c>
      <c r="Z37" s="51">
        <f>-SUMIFS('Отчет 22-31.12'!P:P,'Отчет 22-31.12'!C:C,"Услуги доставки",'Отчет 22-31.12'!E:E,B37)</f>
        <v>0</v>
      </c>
      <c r="AA37" s="41">
        <v>0</v>
      </c>
      <c r="AB37" s="64"/>
      <c r="AC37" s="51"/>
      <c r="AD37" s="55">
        <f t="shared" si="27"/>
        <v>0</v>
      </c>
      <c r="AE37" s="56">
        <f t="shared" si="28"/>
        <v>0</v>
      </c>
      <c r="AF37" s="55"/>
      <c r="AG37" s="57">
        <f t="shared" si="29"/>
        <v>0</v>
      </c>
      <c r="AH37" s="58">
        <f t="shared" si="30"/>
        <v>687</v>
      </c>
      <c r="AI37" s="58">
        <f t="shared" si="31"/>
        <v>0</v>
      </c>
      <c r="AJ37" s="58">
        <f t="shared" si="32"/>
        <v>0</v>
      </c>
      <c r="AK37" s="58">
        <f t="shared" si="33"/>
        <v>0</v>
      </c>
      <c r="AL37" s="58">
        <f t="array" ref="AL37">_xlfn.IFS(R37=0,AE37,R37&lt;0,AE37/-R37,R37&gt;0,AE37/R37)</f>
        <v>0</v>
      </c>
      <c r="AM37" s="59">
        <f t="shared" si="34"/>
        <v>0</v>
      </c>
      <c r="AN37" s="60">
        <f t="shared" si="35"/>
        <v>0</v>
      </c>
      <c r="AP37" s="62">
        <f t="shared" si="36"/>
        <v>0</v>
      </c>
    </row>
    <row r="38" spans="1:42">
      <c r="A38" s="39">
        <v>2774719012</v>
      </c>
      <c r="B38" s="40" t="s">
        <v>239</v>
      </c>
      <c r="C38" s="41"/>
      <c r="D38" s="42"/>
      <c r="E38" s="42"/>
      <c r="F38" s="42"/>
      <c r="G38" s="43"/>
      <c r="H38" s="65">
        <v>687</v>
      </c>
      <c r="I38" s="63">
        <f t="shared" si="20"/>
        <v>0</v>
      </c>
      <c r="J38" s="45"/>
      <c r="K38" s="41">
        <v>0</v>
      </c>
      <c r="L38" s="45"/>
      <c r="M38" s="45"/>
      <c r="N38" s="46">
        <f t="shared" si="37"/>
        <v>0</v>
      </c>
      <c r="O38" s="47">
        <f t="shared" si="38"/>
        <v>0</v>
      </c>
      <c r="P38" s="48">
        <f>SUMIFS('Отчет 22-31.12'!H:H,'Отчет 22-31.12'!D:D,"Выручка",'Отчет 22-31.12'!E:E,B38)</f>
        <v>0</v>
      </c>
      <c r="Q38" s="48">
        <f>SUMIFS('Отчет 22-31.12'!H:H,'Отчет 22-31.12'!D:D,"Возврат выручки",'Отчет 22-31.12'!E:E,B38)</f>
        <v>0</v>
      </c>
      <c r="R38" s="49">
        <f t="shared" si="23"/>
        <v>0</v>
      </c>
      <c r="S38" s="50">
        <f>SUMIFS('Отчет 22-31.12'!P:P,'Отчет 22-31.12'!C:C,"Продажи",'Отчет 22-31.12'!E:E,B38)</f>
        <v>0</v>
      </c>
      <c r="T38" s="51">
        <f>SUMIFS('Отчет 22-31.12'!P:P,'Отчет 22-31.12'!C:C,"Возвраты",'Отчет 22-31.12'!E:E,B38)</f>
        <v>0</v>
      </c>
      <c r="U38" s="49">
        <f t="shared" si="24"/>
        <v>0</v>
      </c>
      <c r="V38" s="52">
        <f t="shared" si="39"/>
        <v>0</v>
      </c>
      <c r="W38" s="53">
        <f t="shared" si="25"/>
        <v>0</v>
      </c>
      <c r="X38" s="51">
        <f>-SUMIFS('Отчет 22-31.12'!P:P,'Отчет 22-31.12'!C:C,"Вознаграждение Ozon",'Отчет 22-31.12'!E:E,B38)</f>
        <v>0</v>
      </c>
      <c r="Y38" s="54">
        <f t="shared" si="26"/>
        <v>0</v>
      </c>
      <c r="Z38" s="51">
        <f>-SUMIFS('Отчет 22-31.12'!P:P,'Отчет 22-31.12'!C:C,"Услуги доставки",'Отчет 22-31.12'!E:E,B38)</f>
        <v>113.88</v>
      </c>
      <c r="AA38" s="41">
        <v>0</v>
      </c>
      <c r="AB38" s="64"/>
      <c r="AC38" s="51"/>
      <c r="AD38" s="55">
        <f t="shared" si="27"/>
        <v>0</v>
      </c>
      <c r="AE38" s="56">
        <f t="shared" si="28"/>
        <v>-113.88</v>
      </c>
      <c r="AF38" s="55"/>
      <c r="AG38" s="57">
        <f t="shared" si="29"/>
        <v>0</v>
      </c>
      <c r="AH38" s="58">
        <f t="shared" si="30"/>
        <v>687</v>
      </c>
      <c r="AI38" s="58">
        <f t="shared" si="31"/>
        <v>0</v>
      </c>
      <c r="AJ38" s="58">
        <f t="shared" si="32"/>
        <v>113.88</v>
      </c>
      <c r="AK38" s="58">
        <f t="shared" si="33"/>
        <v>0</v>
      </c>
      <c r="AL38" s="58">
        <f t="array" ref="AL38">_xlfn.IFS(R38=0,AE38,R38&lt;0,AE38/-R38,R38&gt;0,AE38/R38)</f>
        <v>-113.88</v>
      </c>
      <c r="AM38" s="59">
        <f t="shared" si="34"/>
        <v>0</v>
      </c>
      <c r="AN38" s="60">
        <f t="shared" si="35"/>
        <v>-0.16576419213973798</v>
      </c>
      <c r="AP38" s="62">
        <f t="shared" si="36"/>
        <v>0</v>
      </c>
    </row>
    <row r="39" spans="1:42">
      <c r="A39" s="39">
        <v>2774719433</v>
      </c>
      <c r="B39" s="40" t="s">
        <v>240</v>
      </c>
      <c r="C39" s="41"/>
      <c r="D39" s="42"/>
      <c r="E39" s="42"/>
      <c r="F39" s="42"/>
      <c r="G39" s="43"/>
      <c r="H39" s="65">
        <v>597</v>
      </c>
      <c r="I39" s="63">
        <f t="shared" si="20"/>
        <v>0</v>
      </c>
      <c r="J39" s="45"/>
      <c r="K39" s="41">
        <v>0</v>
      </c>
      <c r="L39" s="45"/>
      <c r="M39" s="45"/>
      <c r="N39" s="46">
        <f t="shared" si="37"/>
        <v>0</v>
      </c>
      <c r="O39" s="47">
        <f t="shared" si="38"/>
        <v>0</v>
      </c>
      <c r="P39" s="48">
        <f>SUMIFS('Отчет 22-31.12'!H:H,'Отчет 22-31.12'!D:D,"Выручка",'Отчет 22-31.12'!E:E,B39)</f>
        <v>0</v>
      </c>
      <c r="Q39" s="48">
        <f>SUMIFS('Отчет 22-31.12'!H:H,'Отчет 22-31.12'!D:D,"Возврат выручки",'Отчет 22-31.12'!E:E,B39)</f>
        <v>0</v>
      </c>
      <c r="R39" s="49">
        <f t="shared" si="23"/>
        <v>0</v>
      </c>
      <c r="S39" s="50">
        <f>SUMIFS('Отчет 22-31.12'!P:P,'Отчет 22-31.12'!C:C,"Продажи",'Отчет 22-31.12'!E:E,B39)</f>
        <v>0</v>
      </c>
      <c r="T39" s="51">
        <f>SUMIFS('Отчет 22-31.12'!P:P,'Отчет 22-31.12'!C:C,"Возвраты",'Отчет 22-31.12'!E:E,B39)</f>
        <v>0</v>
      </c>
      <c r="U39" s="49">
        <f t="shared" si="24"/>
        <v>0</v>
      </c>
      <c r="V39" s="52">
        <f t="shared" si="39"/>
        <v>0</v>
      </c>
      <c r="W39" s="53">
        <f t="shared" si="25"/>
        <v>0</v>
      </c>
      <c r="X39" s="51">
        <f>-SUMIFS('Отчет 22-31.12'!P:P,'Отчет 22-31.12'!C:C,"Вознаграждение Ozon",'Отчет 22-31.12'!E:E,B39)</f>
        <v>0</v>
      </c>
      <c r="Y39" s="54">
        <f t="shared" si="26"/>
        <v>0</v>
      </c>
      <c r="Z39" s="51">
        <f>-SUMIFS('Отчет 22-31.12'!P:P,'Отчет 22-31.12'!C:C,"Услуги доставки",'Отчет 22-31.12'!E:E,B39)</f>
        <v>0</v>
      </c>
      <c r="AA39" s="41">
        <v>0</v>
      </c>
      <c r="AB39" s="64"/>
      <c r="AC39" s="51"/>
      <c r="AD39" s="55">
        <f t="shared" si="27"/>
        <v>0</v>
      </c>
      <c r="AE39" s="56">
        <f t="shared" si="28"/>
        <v>0</v>
      </c>
      <c r="AF39" s="55"/>
      <c r="AG39" s="57">
        <f t="shared" si="29"/>
        <v>0</v>
      </c>
      <c r="AH39" s="58">
        <f t="shared" si="30"/>
        <v>597</v>
      </c>
      <c r="AI39" s="58">
        <f t="shared" si="31"/>
        <v>0</v>
      </c>
      <c r="AJ39" s="58">
        <f t="shared" si="32"/>
        <v>0</v>
      </c>
      <c r="AK39" s="58">
        <f t="shared" si="33"/>
        <v>0</v>
      </c>
      <c r="AL39" s="58">
        <f t="array" ref="AL39">_xlfn.IFS(R39=0,AE39,R39&lt;0,AE39/-R39,R39&gt;0,AE39/R39)</f>
        <v>0</v>
      </c>
      <c r="AM39" s="59">
        <f t="shared" si="34"/>
        <v>0</v>
      </c>
      <c r="AN39" s="60">
        <f t="shared" si="35"/>
        <v>0</v>
      </c>
      <c r="AP39" s="62">
        <f t="shared" si="36"/>
        <v>0</v>
      </c>
    </row>
    <row r="40" spans="1:42">
      <c r="A40" s="39">
        <v>2774719029</v>
      </c>
      <c r="B40" s="40" t="s">
        <v>241</v>
      </c>
      <c r="C40" s="41"/>
      <c r="D40" s="42"/>
      <c r="E40" s="42"/>
      <c r="F40" s="42"/>
      <c r="G40" s="43"/>
      <c r="H40" s="65">
        <v>597</v>
      </c>
      <c r="I40" s="63">
        <f t="shared" si="20"/>
        <v>0</v>
      </c>
      <c r="J40" s="45"/>
      <c r="K40" s="41">
        <v>0</v>
      </c>
      <c r="L40" s="45"/>
      <c r="M40" s="45"/>
      <c r="N40" s="46">
        <f t="shared" si="37"/>
        <v>0</v>
      </c>
      <c r="O40" s="47">
        <f t="shared" si="38"/>
        <v>0</v>
      </c>
      <c r="P40" s="48">
        <f>SUMIFS('Отчет 22-31.12'!H:H,'Отчет 22-31.12'!D:D,"Выручка",'Отчет 22-31.12'!E:E,B40)</f>
        <v>0</v>
      </c>
      <c r="Q40" s="48">
        <f>SUMIFS('Отчет 22-31.12'!H:H,'Отчет 22-31.12'!D:D,"Возврат выручки",'Отчет 22-31.12'!E:E,B40)</f>
        <v>0</v>
      </c>
      <c r="R40" s="49">
        <f t="shared" si="23"/>
        <v>0</v>
      </c>
      <c r="S40" s="50">
        <f>SUMIFS('Отчет 22-31.12'!P:P,'Отчет 22-31.12'!C:C,"Продажи",'Отчет 22-31.12'!E:E,B40)</f>
        <v>0</v>
      </c>
      <c r="T40" s="51">
        <f>SUMIFS('Отчет 22-31.12'!P:P,'Отчет 22-31.12'!C:C,"Возвраты",'Отчет 22-31.12'!E:E,B40)</f>
        <v>0</v>
      </c>
      <c r="U40" s="49">
        <f t="shared" si="24"/>
        <v>0</v>
      </c>
      <c r="V40" s="52">
        <f t="shared" si="39"/>
        <v>0</v>
      </c>
      <c r="W40" s="53">
        <f t="shared" si="25"/>
        <v>0</v>
      </c>
      <c r="X40" s="51">
        <f>-SUMIFS('Отчет 22-31.12'!P:P,'Отчет 22-31.12'!C:C,"Вознаграждение Ozon",'Отчет 22-31.12'!E:E,B40)</f>
        <v>0</v>
      </c>
      <c r="Y40" s="54">
        <f t="shared" si="26"/>
        <v>0</v>
      </c>
      <c r="Z40" s="51">
        <f>-SUMIFS('Отчет 22-31.12'!P:P,'Отчет 22-31.12'!C:C,"Услуги доставки",'Отчет 22-31.12'!E:E,B40)</f>
        <v>0</v>
      </c>
      <c r="AA40" s="41">
        <v>0</v>
      </c>
      <c r="AB40" s="64"/>
      <c r="AC40" s="51"/>
      <c r="AD40" s="55">
        <f t="shared" si="27"/>
        <v>0</v>
      </c>
      <c r="AE40" s="56">
        <f t="shared" si="28"/>
        <v>0</v>
      </c>
      <c r="AF40" s="55"/>
      <c r="AG40" s="57">
        <f t="shared" si="29"/>
        <v>0</v>
      </c>
      <c r="AH40" s="58">
        <f t="shared" si="30"/>
        <v>597</v>
      </c>
      <c r="AI40" s="58">
        <f t="shared" si="31"/>
        <v>0</v>
      </c>
      <c r="AJ40" s="58">
        <f t="shared" si="32"/>
        <v>0</v>
      </c>
      <c r="AK40" s="58">
        <f t="shared" si="33"/>
        <v>0</v>
      </c>
      <c r="AL40" s="58">
        <f t="array" ref="AL40">_xlfn.IFS(R40=0,AE40,R40&lt;0,AE40/-R40,R40&gt;0,AE40/R40)</f>
        <v>0</v>
      </c>
      <c r="AM40" s="59">
        <f t="shared" si="34"/>
        <v>0</v>
      </c>
      <c r="AN40" s="60">
        <f t="shared" si="35"/>
        <v>0</v>
      </c>
      <c r="AP40" s="62">
        <f t="shared" si="36"/>
        <v>0</v>
      </c>
    </row>
    <row r="41" spans="1:42">
      <c r="A41" s="39">
        <v>2774719553</v>
      </c>
      <c r="B41" s="40" t="s">
        <v>242</v>
      </c>
      <c r="C41" s="41"/>
      <c r="D41" s="42"/>
      <c r="E41" s="42"/>
      <c r="F41" s="42"/>
      <c r="G41" s="43"/>
      <c r="H41" s="65">
        <v>597</v>
      </c>
      <c r="I41" s="63">
        <f t="shared" si="20"/>
        <v>0</v>
      </c>
      <c r="J41" s="45"/>
      <c r="K41" s="41">
        <v>0</v>
      </c>
      <c r="L41" s="45"/>
      <c r="M41" s="45"/>
      <c r="N41" s="46">
        <f t="shared" si="37"/>
        <v>0</v>
      </c>
      <c r="O41" s="47">
        <f t="shared" si="38"/>
        <v>0</v>
      </c>
      <c r="P41" s="48">
        <f>SUMIFS('Отчет 22-31.12'!H:H,'Отчет 22-31.12'!D:D,"Выручка",'Отчет 22-31.12'!E:E,B41)</f>
        <v>0</v>
      </c>
      <c r="Q41" s="48">
        <f>SUMIFS('Отчет 22-31.12'!H:H,'Отчет 22-31.12'!D:D,"Возврат выручки",'Отчет 22-31.12'!E:E,B41)</f>
        <v>0</v>
      </c>
      <c r="R41" s="49">
        <f t="shared" si="23"/>
        <v>0</v>
      </c>
      <c r="S41" s="50">
        <f>SUMIFS('Отчет 22-31.12'!P:P,'Отчет 22-31.12'!C:C,"Продажи",'Отчет 22-31.12'!E:E,B41)</f>
        <v>0</v>
      </c>
      <c r="T41" s="51">
        <f>SUMIFS('Отчет 22-31.12'!P:P,'Отчет 22-31.12'!C:C,"Возвраты",'Отчет 22-31.12'!E:E,B41)</f>
        <v>0</v>
      </c>
      <c r="U41" s="49">
        <f t="shared" si="24"/>
        <v>0</v>
      </c>
      <c r="V41" s="52">
        <f t="shared" si="39"/>
        <v>0</v>
      </c>
      <c r="W41" s="53">
        <f t="shared" si="25"/>
        <v>0</v>
      </c>
      <c r="X41" s="51">
        <f>-SUMIFS('Отчет 22-31.12'!P:P,'Отчет 22-31.12'!C:C,"Вознаграждение Ozon",'Отчет 22-31.12'!E:E,B41)</f>
        <v>0</v>
      </c>
      <c r="Y41" s="54">
        <f t="shared" si="26"/>
        <v>0</v>
      </c>
      <c r="Z41" s="51">
        <f>-SUMIFS('Отчет 22-31.12'!P:P,'Отчет 22-31.12'!C:C,"Услуги доставки",'Отчет 22-31.12'!E:E,B41)</f>
        <v>0</v>
      </c>
      <c r="AA41" s="41">
        <v>0</v>
      </c>
      <c r="AB41" s="64"/>
      <c r="AC41" s="51"/>
      <c r="AD41" s="55">
        <f t="shared" si="27"/>
        <v>0</v>
      </c>
      <c r="AE41" s="56">
        <f t="shared" si="28"/>
        <v>0</v>
      </c>
      <c r="AF41" s="55"/>
      <c r="AG41" s="57">
        <f t="shared" si="29"/>
        <v>0</v>
      </c>
      <c r="AH41" s="58">
        <f t="shared" si="30"/>
        <v>597</v>
      </c>
      <c r="AI41" s="58">
        <f t="shared" si="31"/>
        <v>0</v>
      </c>
      <c r="AJ41" s="58">
        <f t="shared" si="32"/>
        <v>0</v>
      </c>
      <c r="AK41" s="58">
        <f t="shared" si="33"/>
        <v>0</v>
      </c>
      <c r="AL41" s="58">
        <f t="array" ref="AL41">_xlfn.IFS(R41=0,AE41,R41&lt;0,AE41/-R41,R41&gt;0,AE41/R41)</f>
        <v>0</v>
      </c>
      <c r="AM41" s="59">
        <f t="shared" si="34"/>
        <v>0</v>
      </c>
      <c r="AN41" s="60">
        <f t="shared" si="35"/>
        <v>0</v>
      </c>
      <c r="AP41" s="62">
        <f t="shared" si="36"/>
        <v>0</v>
      </c>
    </row>
    <row r="42" spans="1:42">
      <c r="A42" s="39">
        <v>2774710913</v>
      </c>
      <c r="B42" s="40" t="s">
        <v>243</v>
      </c>
      <c r="C42" s="41"/>
      <c r="D42" s="42"/>
      <c r="E42" s="42"/>
      <c r="F42" s="42"/>
      <c r="G42" s="43"/>
      <c r="H42" s="65">
        <v>642</v>
      </c>
      <c r="I42" s="63">
        <f t="shared" si="20"/>
        <v>0</v>
      </c>
      <c r="J42" s="45"/>
      <c r="K42" s="41">
        <v>0</v>
      </c>
      <c r="L42" s="45"/>
      <c r="M42" s="45"/>
      <c r="N42" s="46">
        <f t="shared" si="37"/>
        <v>0</v>
      </c>
      <c r="O42" s="47">
        <f t="shared" si="38"/>
        <v>0</v>
      </c>
      <c r="P42" s="48">
        <f>SUMIFS('Отчет 22-31.12'!H:H,'Отчет 22-31.12'!D:D,"Выручка",'Отчет 22-31.12'!E:E,B42)</f>
        <v>0</v>
      </c>
      <c r="Q42" s="48">
        <f>SUMIFS('Отчет 22-31.12'!H:H,'Отчет 22-31.12'!D:D,"Возврат выручки",'Отчет 22-31.12'!E:E,B42)</f>
        <v>0</v>
      </c>
      <c r="R42" s="49">
        <f t="shared" si="23"/>
        <v>0</v>
      </c>
      <c r="S42" s="50">
        <f>SUMIFS('Отчет 22-31.12'!P:P,'Отчет 22-31.12'!C:C,"Продажи",'Отчет 22-31.12'!E:E,B42)</f>
        <v>0</v>
      </c>
      <c r="T42" s="51">
        <f>SUMIFS('Отчет 22-31.12'!P:P,'Отчет 22-31.12'!C:C,"Возвраты",'Отчет 22-31.12'!E:E,B42)</f>
        <v>0</v>
      </c>
      <c r="U42" s="49">
        <f t="shared" si="24"/>
        <v>0</v>
      </c>
      <c r="V42" s="52">
        <f t="shared" si="39"/>
        <v>0</v>
      </c>
      <c r="W42" s="53">
        <f t="shared" si="25"/>
        <v>0</v>
      </c>
      <c r="X42" s="51">
        <f>-SUMIFS('Отчет 22-31.12'!P:P,'Отчет 22-31.12'!C:C,"Вознаграждение Ozon",'Отчет 22-31.12'!E:E,B42)</f>
        <v>0</v>
      </c>
      <c r="Y42" s="54">
        <f t="shared" si="26"/>
        <v>0</v>
      </c>
      <c r="Z42" s="51">
        <f>-SUMIFS('Отчет 22-31.12'!P:P,'Отчет 22-31.12'!C:C,"Услуги доставки",'Отчет 22-31.12'!E:E,B42)</f>
        <v>0</v>
      </c>
      <c r="AA42" s="41">
        <v>1495</v>
      </c>
      <c r="AB42" s="64"/>
      <c r="AC42" s="51"/>
      <c r="AD42" s="55">
        <f t="shared" si="27"/>
        <v>0</v>
      </c>
      <c r="AE42" s="56">
        <f t="shared" si="28"/>
        <v>-1495</v>
      </c>
      <c r="AF42" s="55"/>
      <c r="AG42" s="57">
        <f t="shared" si="29"/>
        <v>0</v>
      </c>
      <c r="AH42" s="58">
        <f t="shared" si="30"/>
        <v>642</v>
      </c>
      <c r="AI42" s="58">
        <f t="shared" si="31"/>
        <v>0</v>
      </c>
      <c r="AJ42" s="58">
        <f t="shared" si="32"/>
        <v>0</v>
      </c>
      <c r="AK42" s="58">
        <f t="shared" si="33"/>
        <v>0</v>
      </c>
      <c r="AL42" s="58">
        <f t="array" ref="AL42">_xlfn.IFS(R42=0,AE42,R42&lt;0,AE42/-R42,R42&gt;0,AE42/R42)</f>
        <v>-1495</v>
      </c>
      <c r="AM42" s="59">
        <f t="shared" si="34"/>
        <v>0</v>
      </c>
      <c r="AN42" s="60">
        <f t="shared" si="35"/>
        <v>-2.3286604361370715</v>
      </c>
      <c r="AP42" s="62">
        <f t="shared" si="36"/>
        <v>0</v>
      </c>
    </row>
    <row r="43" spans="1:42">
      <c r="A43" s="39">
        <v>2774721668</v>
      </c>
      <c r="B43" s="40" t="s">
        <v>771</v>
      </c>
      <c r="C43" s="41"/>
      <c r="D43" s="42"/>
      <c r="E43" s="42"/>
      <c r="F43" s="42"/>
      <c r="G43" s="43"/>
      <c r="H43" s="65">
        <v>642</v>
      </c>
      <c r="I43" s="63">
        <f t="shared" si="20"/>
        <v>0</v>
      </c>
      <c r="J43" s="45"/>
      <c r="K43" s="41">
        <v>0</v>
      </c>
      <c r="L43" s="45"/>
      <c r="M43" s="45"/>
      <c r="N43" s="46">
        <f t="shared" si="37"/>
        <v>0</v>
      </c>
      <c r="O43" s="47">
        <f t="shared" si="38"/>
        <v>0</v>
      </c>
      <c r="P43" s="48">
        <f>SUMIFS('Отчет 22-31.12'!H:H,'Отчет 22-31.12'!D:D,"Выручка",'Отчет 22-31.12'!E:E,B43)</f>
        <v>0</v>
      </c>
      <c r="Q43" s="48">
        <f>SUMIFS('Отчет 22-31.12'!H:H,'Отчет 22-31.12'!D:D,"Возврат выручки",'Отчет 22-31.12'!E:E,B43)</f>
        <v>0</v>
      </c>
      <c r="R43" s="49">
        <f t="shared" si="23"/>
        <v>0</v>
      </c>
      <c r="S43" s="50">
        <f>SUMIFS('Отчет 22-31.12'!P:P,'Отчет 22-31.12'!C:C,"Продажи",'Отчет 22-31.12'!E:E,B43)</f>
        <v>0</v>
      </c>
      <c r="T43" s="51">
        <f>SUMIFS('Отчет 22-31.12'!P:P,'Отчет 22-31.12'!C:C,"Возвраты",'Отчет 22-31.12'!E:E,B43)</f>
        <v>0</v>
      </c>
      <c r="U43" s="49">
        <f t="shared" si="24"/>
        <v>0</v>
      </c>
      <c r="V43" s="52">
        <f t="shared" si="39"/>
        <v>0</v>
      </c>
      <c r="W43" s="53">
        <f t="shared" si="25"/>
        <v>0</v>
      </c>
      <c r="X43" s="51">
        <f>-SUMIFS('Отчет 22-31.12'!P:P,'Отчет 22-31.12'!C:C,"Вознаграждение Ozon",'Отчет 22-31.12'!E:E,B43)</f>
        <v>0</v>
      </c>
      <c r="Y43" s="54">
        <f t="shared" si="26"/>
        <v>0</v>
      </c>
      <c r="Z43" s="51">
        <f>-SUMIFS('Отчет 22-31.12'!P:P,'Отчет 22-31.12'!C:C,"Услуги доставки",'Отчет 22-31.12'!E:E,B43)</f>
        <v>0</v>
      </c>
      <c r="AA43" s="41">
        <v>0</v>
      </c>
      <c r="AB43" s="64"/>
      <c r="AC43" s="51"/>
      <c r="AD43" s="55">
        <f t="shared" si="27"/>
        <v>0</v>
      </c>
      <c r="AE43" s="56">
        <f t="shared" si="28"/>
        <v>0</v>
      </c>
      <c r="AF43" s="55"/>
      <c r="AG43" s="57">
        <f t="shared" si="29"/>
        <v>0</v>
      </c>
      <c r="AH43" s="58">
        <f t="shared" si="30"/>
        <v>642</v>
      </c>
      <c r="AI43" s="58">
        <f t="shared" si="31"/>
        <v>0</v>
      </c>
      <c r="AJ43" s="58">
        <f t="shared" si="32"/>
        <v>0</v>
      </c>
      <c r="AK43" s="58">
        <f t="shared" si="33"/>
        <v>0</v>
      </c>
      <c r="AL43" s="58">
        <f t="array" ref="AL43">_xlfn.IFS(R43=0,AE43,R43&lt;0,AE43/-R43,R43&gt;0,AE43/R43)</f>
        <v>0</v>
      </c>
      <c r="AM43" s="59">
        <f t="shared" si="34"/>
        <v>0</v>
      </c>
      <c r="AN43" s="60">
        <f t="shared" si="35"/>
        <v>0</v>
      </c>
      <c r="AP43" s="62">
        <f t="shared" si="36"/>
        <v>0</v>
      </c>
    </row>
    <row r="44" spans="1:42">
      <c r="A44" s="39">
        <v>2774722656</v>
      </c>
      <c r="B44" s="40" t="s">
        <v>51</v>
      </c>
      <c r="C44" s="41"/>
      <c r="D44" s="42"/>
      <c r="E44" s="42"/>
      <c r="F44" s="42"/>
      <c r="G44" s="43"/>
      <c r="H44" s="65">
        <v>687</v>
      </c>
      <c r="I44" s="63">
        <f t="shared" si="20"/>
        <v>0</v>
      </c>
      <c r="J44" s="45"/>
      <c r="K44" s="41">
        <v>0</v>
      </c>
      <c r="L44" s="45"/>
      <c r="M44" s="45"/>
      <c r="N44" s="46">
        <f t="shared" si="37"/>
        <v>0</v>
      </c>
      <c r="O44" s="47">
        <f t="shared" si="38"/>
        <v>0</v>
      </c>
      <c r="P44" s="48">
        <f>SUMIFS('Отчет 22-31.12'!H:H,'Отчет 22-31.12'!D:D,"Выручка",'Отчет 22-31.12'!E:E,B44)</f>
        <v>0</v>
      </c>
      <c r="Q44" s="48">
        <f>SUMIFS('Отчет 22-31.12'!H:H,'Отчет 22-31.12'!D:D,"Возврат выручки",'Отчет 22-31.12'!E:E,B44)</f>
        <v>0</v>
      </c>
      <c r="R44" s="49">
        <f t="shared" si="23"/>
        <v>0</v>
      </c>
      <c r="S44" s="50">
        <f>SUMIFS('Отчет 22-31.12'!P:P,'Отчет 22-31.12'!C:C,"Продажи",'Отчет 22-31.12'!E:E,B44)</f>
        <v>0</v>
      </c>
      <c r="T44" s="51">
        <f>SUMIFS('Отчет 22-31.12'!P:P,'Отчет 22-31.12'!C:C,"Возвраты",'Отчет 22-31.12'!E:E,B44)</f>
        <v>0</v>
      </c>
      <c r="U44" s="49">
        <f t="shared" si="24"/>
        <v>0</v>
      </c>
      <c r="V44" s="52">
        <f t="shared" si="39"/>
        <v>0</v>
      </c>
      <c r="W44" s="53">
        <f t="shared" si="25"/>
        <v>0</v>
      </c>
      <c r="X44" s="51">
        <f>-SUMIFS('Отчет 22-31.12'!P:P,'Отчет 22-31.12'!C:C,"Вознаграждение Ozon",'Отчет 22-31.12'!E:E,B44)</f>
        <v>0</v>
      </c>
      <c r="Y44" s="54">
        <f t="shared" si="26"/>
        <v>0</v>
      </c>
      <c r="Z44" s="51">
        <f>-SUMIFS('Отчет 22-31.12'!P:P,'Отчет 22-31.12'!C:C,"Услуги доставки",'Отчет 22-31.12'!E:E,B44)</f>
        <v>0</v>
      </c>
      <c r="AA44" s="41">
        <v>1248.861138</v>
      </c>
      <c r="AB44" s="64"/>
      <c r="AC44" s="51"/>
      <c r="AD44" s="55">
        <f t="shared" si="27"/>
        <v>0</v>
      </c>
      <c r="AE44" s="56">
        <f t="shared" si="28"/>
        <v>-1248.861138</v>
      </c>
      <c r="AF44" s="55"/>
      <c r="AG44" s="57">
        <f t="shared" si="29"/>
        <v>0</v>
      </c>
      <c r="AH44" s="58">
        <f t="shared" si="30"/>
        <v>687</v>
      </c>
      <c r="AI44" s="58">
        <f t="shared" si="31"/>
        <v>0</v>
      </c>
      <c r="AJ44" s="58">
        <f t="shared" si="32"/>
        <v>0</v>
      </c>
      <c r="AK44" s="58">
        <f t="shared" si="33"/>
        <v>0</v>
      </c>
      <c r="AL44" s="58">
        <f t="array" ref="AL44">_xlfn.IFS(R44=0,AE44,R44&lt;0,AE44/-R44,R44&gt;0,AE44/R44)</f>
        <v>-1248.861138</v>
      </c>
      <c r="AM44" s="59">
        <f t="shared" si="34"/>
        <v>0</v>
      </c>
      <c r="AN44" s="60">
        <f t="shared" si="35"/>
        <v>-1.8178473624454148</v>
      </c>
      <c r="AP44" s="62">
        <f t="shared" si="36"/>
        <v>0</v>
      </c>
    </row>
    <row r="45" spans="1:42">
      <c r="A45" s="39">
        <v>2774721190</v>
      </c>
      <c r="B45" s="40" t="s">
        <v>70</v>
      </c>
      <c r="C45" s="41"/>
      <c r="D45" s="42"/>
      <c r="E45" s="42"/>
      <c r="F45" s="42"/>
      <c r="G45" s="43"/>
      <c r="H45" s="65">
        <v>687</v>
      </c>
      <c r="I45" s="63">
        <f t="shared" si="20"/>
        <v>0</v>
      </c>
      <c r="J45" s="45"/>
      <c r="K45" s="41">
        <v>1</v>
      </c>
      <c r="L45" s="45"/>
      <c r="M45" s="45"/>
      <c r="N45" s="46">
        <f t="shared" si="37"/>
        <v>0.1</v>
      </c>
      <c r="O45" s="47">
        <f t="shared" si="38"/>
        <v>0</v>
      </c>
      <c r="P45" s="48">
        <f>SUMIFS('Отчет 22-31.12'!H:H,'Отчет 22-31.12'!D:D,"Выручка",'Отчет 22-31.12'!E:E,B45)</f>
        <v>0</v>
      </c>
      <c r="Q45" s="48">
        <f>SUMIFS('Отчет 22-31.12'!H:H,'Отчет 22-31.12'!D:D,"Возврат выручки",'Отчет 22-31.12'!E:E,B45)</f>
        <v>0</v>
      </c>
      <c r="R45" s="49">
        <f t="shared" si="23"/>
        <v>0</v>
      </c>
      <c r="S45" s="50">
        <f>SUMIFS('Отчет 22-31.12'!P:P,'Отчет 22-31.12'!C:C,"Продажи",'Отчет 22-31.12'!E:E,B45)</f>
        <v>0</v>
      </c>
      <c r="T45" s="51">
        <f>SUMIFS('Отчет 22-31.12'!P:P,'Отчет 22-31.12'!C:C,"Возвраты",'Отчет 22-31.12'!E:E,B45)</f>
        <v>0</v>
      </c>
      <c r="U45" s="49">
        <f t="shared" si="24"/>
        <v>0</v>
      </c>
      <c r="V45" s="52">
        <f t="shared" si="39"/>
        <v>0</v>
      </c>
      <c r="W45" s="53">
        <f t="shared" si="25"/>
        <v>0</v>
      </c>
      <c r="X45" s="51">
        <f>-SUMIFS('Отчет 22-31.12'!P:P,'Отчет 22-31.12'!C:C,"Вознаграждение Ozon",'Отчет 22-31.12'!E:E,B45)</f>
        <v>0</v>
      </c>
      <c r="Y45" s="54">
        <f t="shared" si="26"/>
        <v>0</v>
      </c>
      <c r="Z45" s="51">
        <f>-SUMIFS('Отчет 22-31.12'!P:P,'Отчет 22-31.12'!C:C,"Услуги доставки",'Отчет 22-31.12'!E:E,B45)</f>
        <v>0</v>
      </c>
      <c r="AA45" s="41">
        <v>1288.3176619999999</v>
      </c>
      <c r="AB45" s="64"/>
      <c r="AC45" s="51"/>
      <c r="AD45" s="55">
        <f t="shared" si="27"/>
        <v>0</v>
      </c>
      <c r="AE45" s="56">
        <f t="shared" si="28"/>
        <v>-1288.3176619999999</v>
      </c>
      <c r="AF45" s="55"/>
      <c r="AG45" s="57">
        <f t="shared" si="29"/>
        <v>0</v>
      </c>
      <c r="AH45" s="58">
        <f t="shared" si="30"/>
        <v>687</v>
      </c>
      <c r="AI45" s="58">
        <f t="shared" si="31"/>
        <v>0</v>
      </c>
      <c r="AJ45" s="58">
        <f t="shared" si="32"/>
        <v>0</v>
      </c>
      <c r="AK45" s="58">
        <f t="shared" si="33"/>
        <v>0</v>
      </c>
      <c r="AL45" s="58">
        <f t="array" ref="AL45">_xlfn.IFS(R45=0,AE45,R45&lt;0,AE45/-R45,R45&gt;0,AE45/R45)</f>
        <v>-1288.3176619999999</v>
      </c>
      <c r="AM45" s="59">
        <f t="shared" si="34"/>
        <v>0</v>
      </c>
      <c r="AN45" s="60">
        <f t="shared" si="35"/>
        <v>-1.8752804395924307</v>
      </c>
      <c r="AP45" s="62">
        <f t="shared" si="36"/>
        <v>0</v>
      </c>
    </row>
    <row r="46" spans="1:42">
      <c r="A46" s="39">
        <v>2774718796</v>
      </c>
      <c r="B46" s="40" t="s">
        <v>66</v>
      </c>
      <c r="C46" s="41"/>
      <c r="D46" s="42"/>
      <c r="E46" s="42"/>
      <c r="F46" s="42"/>
      <c r="G46" s="43"/>
      <c r="H46" s="65">
        <v>552</v>
      </c>
      <c r="I46" s="63">
        <f t="shared" si="20"/>
        <v>0</v>
      </c>
      <c r="J46" s="45"/>
      <c r="K46" s="41">
        <v>1</v>
      </c>
      <c r="L46" s="45"/>
      <c r="M46" s="45"/>
      <c r="N46" s="46">
        <f t="shared" si="37"/>
        <v>0.1</v>
      </c>
      <c r="O46" s="47">
        <f t="shared" si="38"/>
        <v>0</v>
      </c>
      <c r="P46" s="48">
        <f>SUMIFS('Отчет 22-31.12'!H:H,'Отчет 22-31.12'!D:D,"Выручка",'Отчет 22-31.12'!E:E,B46)</f>
        <v>0</v>
      </c>
      <c r="Q46" s="48">
        <f>SUMIFS('Отчет 22-31.12'!H:H,'Отчет 22-31.12'!D:D,"Возврат выручки",'Отчет 22-31.12'!E:E,B46)</f>
        <v>0</v>
      </c>
      <c r="R46" s="49">
        <f t="shared" si="23"/>
        <v>0</v>
      </c>
      <c r="S46" s="50">
        <f>SUMIFS('Отчет 22-31.12'!P:P,'Отчет 22-31.12'!C:C,"Продажи",'Отчет 22-31.12'!E:E,B46)</f>
        <v>0</v>
      </c>
      <c r="T46" s="51">
        <f>SUMIFS('Отчет 22-31.12'!P:P,'Отчет 22-31.12'!C:C,"Возвраты",'Отчет 22-31.12'!E:E,B46)</f>
        <v>0</v>
      </c>
      <c r="U46" s="49">
        <f t="shared" si="24"/>
        <v>0</v>
      </c>
      <c r="V46" s="52">
        <f t="shared" si="39"/>
        <v>0</v>
      </c>
      <c r="W46" s="53">
        <f t="shared" si="25"/>
        <v>0</v>
      </c>
      <c r="X46" s="51">
        <f>-SUMIFS('Отчет 22-31.12'!P:P,'Отчет 22-31.12'!C:C,"Вознаграждение Ozon",'Отчет 22-31.12'!E:E,B46)</f>
        <v>0</v>
      </c>
      <c r="Y46" s="54">
        <f t="shared" si="26"/>
        <v>0</v>
      </c>
      <c r="Z46" s="51">
        <f>-SUMIFS('Отчет 22-31.12'!P:P,'Отчет 22-31.12'!C:C,"Услуги доставки",'Отчет 22-31.12'!E:E,B46)</f>
        <v>0</v>
      </c>
      <c r="AA46" s="41">
        <v>1233.836329</v>
      </c>
      <c r="AB46" s="64"/>
      <c r="AC46" s="51"/>
      <c r="AD46" s="55">
        <f t="shared" si="27"/>
        <v>0</v>
      </c>
      <c r="AE46" s="56">
        <f t="shared" si="28"/>
        <v>-1233.836329</v>
      </c>
      <c r="AF46" s="55"/>
      <c r="AG46" s="57">
        <f t="shared" si="29"/>
        <v>0</v>
      </c>
      <c r="AH46" s="58">
        <f t="shared" si="30"/>
        <v>552</v>
      </c>
      <c r="AI46" s="58">
        <f t="shared" si="31"/>
        <v>0</v>
      </c>
      <c r="AJ46" s="58">
        <f t="shared" si="32"/>
        <v>0</v>
      </c>
      <c r="AK46" s="58">
        <f t="shared" si="33"/>
        <v>0</v>
      </c>
      <c r="AL46" s="58">
        <f t="array" ref="AL46">_xlfn.IFS(R46=0,AE46,R46&lt;0,AE46/-R46,R46&gt;0,AE46/R46)</f>
        <v>-1233.836329</v>
      </c>
      <c r="AM46" s="59">
        <f t="shared" si="34"/>
        <v>0</v>
      </c>
      <c r="AN46" s="60">
        <f t="shared" si="35"/>
        <v>-2.235210740942029</v>
      </c>
      <c r="AP46" s="62">
        <f t="shared" si="36"/>
        <v>0</v>
      </c>
    </row>
    <row r="47" spans="1:42">
      <c r="A47" s="39">
        <v>2774719500</v>
      </c>
      <c r="B47" s="40" t="s">
        <v>245</v>
      </c>
      <c r="C47" s="41"/>
      <c r="D47" s="42"/>
      <c r="E47" s="42"/>
      <c r="F47" s="42"/>
      <c r="G47" s="43"/>
      <c r="H47" s="65">
        <v>552</v>
      </c>
      <c r="I47" s="63">
        <f>C47*H47</f>
        <v>0</v>
      </c>
      <c r="J47" s="45"/>
      <c r="K47" s="41">
        <v>0</v>
      </c>
      <c r="L47" s="45"/>
      <c r="M47" s="45"/>
      <c r="N47" s="46">
        <f t="shared" si="37"/>
        <v>0</v>
      </c>
      <c r="O47" s="47">
        <f t="shared" si="38"/>
        <v>0</v>
      </c>
      <c r="P47" s="48">
        <f>SUMIFS('Отчет 22-31.12'!H:H,'Отчет 22-31.12'!D:D,"Выручка",'Отчет 22-31.12'!E:E,B47)</f>
        <v>0</v>
      </c>
      <c r="Q47" s="48">
        <f>SUMIFS('Отчет 22-31.12'!H:H,'Отчет 22-31.12'!D:D,"Возврат выручки",'Отчет 22-31.12'!E:E,B47)</f>
        <v>0</v>
      </c>
      <c r="R47" s="49">
        <f t="shared" si="23"/>
        <v>0</v>
      </c>
      <c r="S47" s="50">
        <f>SUMIFS('Отчет 22-31.12'!P:P,'Отчет 22-31.12'!C:C,"Продажи",'Отчет 22-31.12'!E:E,B47)</f>
        <v>0</v>
      </c>
      <c r="T47" s="51">
        <f>SUMIFS('Отчет 22-31.12'!P:P,'Отчет 22-31.12'!C:C,"Возвраты",'Отчет 22-31.12'!E:E,B47)</f>
        <v>0</v>
      </c>
      <c r="U47" s="49">
        <f t="shared" si="24"/>
        <v>0</v>
      </c>
      <c r="V47" s="52">
        <f>IFERROR(U47/$U$49,0)</f>
        <v>0</v>
      </c>
      <c r="W47" s="53">
        <f t="shared" si="25"/>
        <v>0</v>
      </c>
      <c r="X47" s="51">
        <f>-SUMIFS('Отчет 22-31.12'!P:P,'Отчет 22-31.12'!C:C,"Вознаграждение Ozon",'Отчет 22-31.12'!E:E,B47)</f>
        <v>0</v>
      </c>
      <c r="Y47" s="54">
        <f t="shared" si="26"/>
        <v>0</v>
      </c>
      <c r="Z47" s="51">
        <f>-SUMIFS('Отчет 22-31.12'!P:P,'Отчет 22-31.12'!C:C,"Услуги доставки",'Отчет 22-31.12'!E:E,B47)</f>
        <v>0</v>
      </c>
      <c r="AA47" s="41">
        <v>0</v>
      </c>
      <c r="AB47" s="64"/>
      <c r="AC47" s="51"/>
      <c r="AD47" s="55">
        <f t="shared" si="27"/>
        <v>0</v>
      </c>
      <c r="AE47" s="56">
        <f t="shared" si="28"/>
        <v>0</v>
      </c>
      <c r="AF47" s="55"/>
      <c r="AG47" s="57">
        <f t="shared" si="29"/>
        <v>0</v>
      </c>
      <c r="AH47" s="58">
        <f t="shared" si="30"/>
        <v>552</v>
      </c>
      <c r="AI47" s="58">
        <f t="shared" si="31"/>
        <v>0</v>
      </c>
      <c r="AJ47" s="58">
        <f t="shared" si="32"/>
        <v>0</v>
      </c>
      <c r="AK47" s="58">
        <f t="shared" si="33"/>
        <v>0</v>
      </c>
      <c r="AL47" s="58">
        <f t="array" ref="AL47">_xlfn.IFS(R47=0,AE47,R47&lt;0,AE47/-R47,R47&gt;0,AE47/R47)</f>
        <v>0</v>
      </c>
      <c r="AM47" s="59">
        <f t="shared" si="34"/>
        <v>0</v>
      </c>
      <c r="AN47" s="60">
        <f t="shared" si="35"/>
        <v>0</v>
      </c>
      <c r="AP47" s="62">
        <f t="shared" si="36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 t="e">
        <f t="shared" ref="AG48:AN48" si="40">AVERAGEIF(AG28:AG47,"&lt;&gt;0",AG28:AG47)</f>
        <v>#DIV/0!</v>
      </c>
      <c r="AH48" s="259">
        <f t="shared" si="40"/>
        <v>617.25</v>
      </c>
      <c r="AI48" s="259" t="e">
        <f t="shared" si="40"/>
        <v>#DIV/0!</v>
      </c>
      <c r="AJ48" s="259">
        <f t="shared" si="40"/>
        <v>94.899999999999991</v>
      </c>
      <c r="AK48" s="259" t="e">
        <f t="shared" si="40"/>
        <v>#DIV/0!</v>
      </c>
      <c r="AL48" s="259">
        <f t="shared" si="40"/>
        <v>-792.95930414285715</v>
      </c>
      <c r="AM48" s="260" t="e">
        <f t="shared" si="40"/>
        <v>#DIV/0!</v>
      </c>
      <c r="AN48" s="260">
        <f t="shared" si="40"/>
        <v>-1.244325199824273</v>
      </c>
      <c r="AO48" s="240"/>
      <c r="AP48" s="241"/>
    </row>
    <row r="49" spans="1:42">
      <c r="A49" s="218" t="s">
        <v>306</v>
      </c>
      <c r="B49" s="219"/>
      <c r="C49" s="220">
        <f>SUM(C28:C47)</f>
        <v>0</v>
      </c>
      <c r="D49" s="221"/>
      <c r="E49" s="221"/>
      <c r="F49" s="221"/>
      <c r="G49" s="221"/>
      <c r="H49" s="222"/>
      <c r="I49" s="220">
        <f>SUM(I28:I47)</f>
        <v>0</v>
      </c>
      <c r="J49" s="223"/>
      <c r="K49" s="220">
        <f>SUM(K28:K47)</f>
        <v>3</v>
      </c>
      <c r="L49" s="223"/>
      <c r="M49" s="223"/>
      <c r="N49" s="224"/>
      <c r="O49" s="225"/>
      <c r="P49" s="220">
        <f t="shared" ref="P49:X49" si="41">SUM(P28:P47)</f>
        <v>0</v>
      </c>
      <c r="Q49" s="220">
        <f t="shared" si="41"/>
        <v>0</v>
      </c>
      <c r="R49" s="250">
        <f t="shared" si="41"/>
        <v>0</v>
      </c>
      <c r="S49" s="220">
        <f t="shared" si="41"/>
        <v>0</v>
      </c>
      <c r="T49" s="220">
        <f t="shared" si="41"/>
        <v>0</v>
      </c>
      <c r="U49" s="250">
        <f t="shared" si="41"/>
        <v>0</v>
      </c>
      <c r="V49" s="253">
        <f>SUM(V28:V47)</f>
        <v>0</v>
      </c>
      <c r="W49" s="220">
        <f t="shared" si="41"/>
        <v>0</v>
      </c>
      <c r="X49" s="220">
        <f t="shared" si="41"/>
        <v>0</v>
      </c>
      <c r="Y49" s="226">
        <f>IF(U49=0,0,X49/U49)</f>
        <v>0</v>
      </c>
      <c r="Z49" s="220">
        <f>SUM(Z28:Z47)</f>
        <v>284.7</v>
      </c>
      <c r="AA49" s="220">
        <f>IFERROR(P49*AA51/P51,0)</f>
        <v>0</v>
      </c>
      <c r="AB49" s="220">
        <f>SUM(AB28:AB47)</f>
        <v>0</v>
      </c>
      <c r="AC49" s="220">
        <f>SUM(AC28:AC47)</f>
        <v>0</v>
      </c>
      <c r="AD49" s="250">
        <f>SUM(AD28:AD47)</f>
        <v>0</v>
      </c>
      <c r="AE49" s="220">
        <f>SUM(AE28:AE47)</f>
        <v>-5550.7151290000002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0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5266.0151290000003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0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0</v>
      </c>
      <c r="J51" s="229">
        <f>J26+J49</f>
        <v>0</v>
      </c>
      <c r="K51" s="229">
        <f>K26+K49</f>
        <v>155</v>
      </c>
      <c r="L51" s="230"/>
      <c r="M51" s="230"/>
      <c r="N51" s="230"/>
      <c r="O51" s="230"/>
      <c r="P51" s="269">
        <f t="shared" ref="P51:X51" si="42">P26+P49</f>
        <v>94</v>
      </c>
      <c r="Q51" s="229">
        <f t="shared" si="42"/>
        <v>4</v>
      </c>
      <c r="R51" s="252">
        <f>R26-R49</f>
        <v>90</v>
      </c>
      <c r="S51" s="229">
        <f t="shared" si="42"/>
        <v>139134.00000000003</v>
      </c>
      <c r="T51" s="229">
        <f t="shared" si="42"/>
        <v>-5434</v>
      </c>
      <c r="U51" s="252">
        <f t="shared" si="42"/>
        <v>133700.00000000003</v>
      </c>
      <c r="V51" s="255">
        <f>V26+V49</f>
        <v>1</v>
      </c>
      <c r="W51" s="229">
        <f t="shared" si="42"/>
        <v>12820.230000000001</v>
      </c>
      <c r="X51" s="229">
        <f t="shared" si="42"/>
        <v>57491.000000000029</v>
      </c>
      <c r="Y51" s="232">
        <f>X51/U51</f>
        <v>0.4300000000000001</v>
      </c>
      <c r="Z51" s="229">
        <f>Z26+Z49</f>
        <v>13606.050000000003</v>
      </c>
      <c r="AA51" s="75">
        <v>44059.45</v>
      </c>
      <c r="AB51" s="74"/>
      <c r="AC51" s="74">
        <f>SUM(AC3:AC47)</f>
        <v>0</v>
      </c>
      <c r="AD51" s="229">
        <f>AD26+AD49</f>
        <v>8022</v>
      </c>
      <c r="AE51" s="233">
        <f>AE26+AE49</f>
        <v>-948.73984499999824</v>
      </c>
      <c r="AF51" s="76"/>
      <c r="AG51" s="234"/>
      <c r="AH51" s="235"/>
      <c r="AI51" s="235"/>
      <c r="AJ51" s="235"/>
      <c r="AK51" s="235">
        <f>AA52/P51</f>
        <v>468.71755319148934</v>
      </c>
      <c r="AL51" s="235"/>
      <c r="AM51" s="235"/>
      <c r="AN51" s="236"/>
      <c r="AP51" s="233">
        <f>SUM(AP3:AP47)</f>
        <v>0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44059.45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42709.459844999998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 t="e">
        <f>I58/I51</f>
        <v>#DIV/0!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0</v>
      </c>
      <c r="J59" s="109" t="e">
        <f>I59/I51</f>
        <v>#DIV/0!</v>
      </c>
      <c r="K59" s="105">
        <f>AP51-K58-K60</f>
        <v>0</v>
      </c>
      <c r="L59" s="106" t="e">
        <f>K59/I59</f>
        <v>#DIV/0!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 t="e">
        <f>I60/I51</f>
        <v>#DIV/0!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255" priority="28" operator="greaterThan">
      <formula>120</formula>
    </cfRule>
  </conditionalFormatting>
  <conditionalFormatting sqref="N50">
    <cfRule type="cellIs" dxfId="254" priority="27" operator="between">
      <formula>0.000001</formula>
      <formula>25</formula>
    </cfRule>
  </conditionalFormatting>
  <conditionalFormatting sqref="V1 V52:V55 V57:V1048576">
    <cfRule type="cellIs" dxfId="25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{C7E84B56-8CE8-4F1D-9E94-D97E98F8F886}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{ED48873A-7A8D-495F-83E9-91BD6887E857}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{FBD504F0-B9F0-40B8-8674-2C57AB675B0B}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{A3F85EA5-2CFB-48C4-967B-186C70F9D320}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{180F1629-9ACB-46F3-8556-E9B27BAB9A81}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{340D8ABB-061B-479E-BB46-85095A5ED0B7}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{CBB84D3C-EE25-43AB-9561-7AC3A6C1D686}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{3471B281-EBF6-49C9-9D1E-EFF5CD4CBEC2}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{B171E0BC-E680-4544-9A3D-ECC6305E5B39}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{803E9977-0381-452A-9392-A66313174B5A}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{223E064D-8519-4C96-ACEF-475E0F60A79A}</x14:id>
        </ext>
      </extLst>
    </cfRule>
  </conditionalFormatting>
  <conditionalFormatting sqref="P50">
    <cfRule type="cellIs" dxfId="252" priority="23" operator="greaterThan">
      <formula>120</formula>
    </cfRule>
  </conditionalFormatting>
  <conditionalFormatting sqref="Q50">
    <cfRule type="cellIs" dxfId="251" priority="22" operator="greaterThan">
      <formula>120</formula>
    </cfRule>
  </conditionalFormatting>
  <conditionalFormatting sqref="R50">
    <cfRule type="cellIs" dxfId="250" priority="21" operator="greaterThan">
      <formula>120</formula>
    </cfRule>
  </conditionalFormatting>
  <conditionalFormatting sqref="S50">
    <cfRule type="cellIs" dxfId="249" priority="20" operator="greaterThan">
      <formula>120</formula>
    </cfRule>
  </conditionalFormatting>
  <conditionalFormatting sqref="T50">
    <cfRule type="cellIs" dxfId="248" priority="19" operator="greaterThan">
      <formula>120</formula>
    </cfRule>
  </conditionalFormatting>
  <conditionalFormatting sqref="U50">
    <cfRule type="cellIs" dxfId="247" priority="18" operator="greaterThan">
      <formula>120</formula>
    </cfRule>
  </conditionalFormatting>
  <conditionalFormatting sqref="V50">
    <cfRule type="cellIs" dxfId="246" priority="17" operator="greaterThan">
      <formula>120</formula>
    </cfRule>
  </conditionalFormatting>
  <conditionalFormatting sqref="W50">
    <cfRule type="cellIs" dxfId="245" priority="16" operator="greaterThan">
      <formula>120</formula>
    </cfRule>
  </conditionalFormatting>
  <conditionalFormatting sqref="X50">
    <cfRule type="cellIs" dxfId="244" priority="15" operator="greaterThan">
      <formula>120</formula>
    </cfRule>
  </conditionalFormatting>
  <conditionalFormatting sqref="Z50">
    <cfRule type="cellIs" dxfId="24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{47D83149-AB5D-4483-8806-FCD2676BB9F0}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{5BB0D18F-F282-4EF5-9FDE-F893EB470044}</x14:id>
        </ext>
      </extLst>
    </cfRule>
  </conditionalFormatting>
  <conditionalFormatting sqref="J8:J9">
    <cfRule type="cellIs" dxfId="24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{9388F898-53ED-4DBB-93D7-C9D8DEEFF985}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{D297E6BF-1922-4165-8BB3-4372E07CF45F}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{D4BC040B-8A3B-498B-8750-BAE4566735B7}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{A25B79D3-15A1-4945-BC87-15CEA9541A59}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{ADFEC5C5-283E-4F97-B096-1336E64224EF}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{1216D0ED-DADF-4D31-B763-D874BEB95D02}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{7FDDBFE9-F3CD-4FC6-8AFC-9F4956EFC03A}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{2A6D8786-B5DF-4D36-9FA9-F1EEA0EC80C0}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{D1580887-2FF3-418E-A758-1BB6427BCF82}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{02782218-BD13-4AD9-86CB-52FB4D937DE5}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E84B56-8CE8-4F1D-9E94-D97E98F8F8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D48873A-7A8D-495F-83E9-91BD6887E8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BD504F0-B9F0-40B8-8674-2C57AB675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3F85EA5-2CFB-48C4-967B-186C70F9D3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180F1629-9ACB-46F3-8556-E9B27BAB9A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40D8ABB-061B-479E-BB46-85095A5ED0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CBB84D3C-EE25-43AB-9561-7AC3A6C1D6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471B281-EBF6-49C9-9D1E-EFF5CD4CB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B171E0BC-E680-4544-9A3D-ECC6305E5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03E9977-0381-452A-9392-A66313174B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23E064D-8519-4C96-ACEF-475E0F60A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7D83149-AB5D-4483-8806-FCD2676B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BB0D18F-F282-4EF5-9FDE-F893EB470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9388F898-53ED-4DBB-93D7-C9D8DEEFF9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297E6BF-1922-4165-8BB3-4372E07CF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4BC040B-8A3B-498B-8750-BAE456673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25B79D3-15A1-4945-BC87-15CEA9541A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ADFEC5C5-283E-4F97-B096-1336E64224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216D0ED-DADF-4D31-B763-D874BEB95D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7FDDBFE9-F3CD-4FC6-8AFC-9F4956EFC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2A6D8786-B5DF-4D36-9FA9-F1EEA0EC80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1580887-2FF3-418E-A758-1BB6427BC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2782218-BD13-4AD9-86CB-52FB4D937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E83C-5A39-4A9A-AB71-28FE0C1AC0F7}">
  <dimension ref="A1:AZ64"/>
  <sheetViews>
    <sheetView zoomScale="70" zoomScaleNormal="70"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U36" sqref="U36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1334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1673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276</v>
      </c>
      <c r="D3" s="42"/>
      <c r="E3" s="42"/>
      <c r="F3" s="42"/>
      <c r="G3" s="43"/>
      <c r="H3" s="44">
        <v>142.97999999999999</v>
      </c>
      <c r="I3" s="42">
        <f t="shared" ref="I3:I24" si="0">C3*H3</f>
        <v>39462.479999999996</v>
      </c>
      <c r="J3" s="45"/>
      <c r="K3" s="41">
        <v>38</v>
      </c>
      <c r="L3" s="45"/>
      <c r="M3" s="45"/>
      <c r="N3" s="46">
        <f t="shared" ref="N3:N24" si="1">K3/7</f>
        <v>5.4285714285714288</v>
      </c>
      <c r="O3" s="47">
        <f t="shared" ref="O3:O24" si="2">R3/7</f>
        <v>2.4285714285714284</v>
      </c>
      <c r="P3" s="48">
        <f>SUMIFS('Отчет 15-21.12'!H:H,'Отчет 15-21.12'!D:D,"Выручка",'Отчет 15-21.12'!E:E,B3)</f>
        <v>18</v>
      </c>
      <c r="Q3" s="48">
        <f>SUMIFS('Отчет 15-21.12'!H:H,'Отчет 15-21.12'!D:D,"Возврат выручки",'Отчет 15-21.12'!E:E,B3)</f>
        <v>1</v>
      </c>
      <c r="R3" s="49">
        <f t="shared" ref="R3:R24" si="3">P3-Q3</f>
        <v>17</v>
      </c>
      <c r="S3" s="50">
        <f>SUMIFS('Отчет 15-21.12'!P:P,'Отчет 15-21.12'!C:C,"Продажи",'Отчет 15-21.12'!E:E,B3)</f>
        <v>24781.000000000004</v>
      </c>
      <c r="T3" s="51">
        <f>SUMIFS('Отчет 15-21.12'!P:P,'Отчет 15-21.12'!C:C,"Возвраты",'Отчет 15-21.12'!E:E,B3)</f>
        <v>-1704</v>
      </c>
      <c r="U3" s="49">
        <f t="shared" ref="U3:U24" si="4">S3+T3</f>
        <v>23077.000000000004</v>
      </c>
      <c r="V3" s="52">
        <f>U3/$U$26</f>
        <v>0.39978864577378176</v>
      </c>
      <c r="W3" s="53">
        <f t="shared" ref="W3:W24" si="5">R3*H3</f>
        <v>2430.66</v>
      </c>
      <c r="X3" s="51">
        <f>-SUMIFS('Отчет 15-21.12'!P:P,'Отчет 15-21.12'!C:C,"Вознаграждение Ozon",'Отчет 15-21.12'!E:E,B3)</f>
        <v>9923.11</v>
      </c>
      <c r="Y3" s="54">
        <f t="shared" ref="Y3:Y24" si="6">IF(U3=0,0,X3/U3)</f>
        <v>0.42999999999999994</v>
      </c>
      <c r="Z3" s="51">
        <f>-SUMIFS('Отчет 15-21.12'!P:P,'Отчет 15-21.12'!C:C,"Услуги доставки",'Отчет 15-21.12'!E:E,B3)</f>
        <v>3273.0399999999995</v>
      </c>
      <c r="AA3" s="41">
        <v>9603.6816930000005</v>
      </c>
      <c r="AB3" s="51"/>
      <c r="AC3" s="51"/>
      <c r="AD3" s="55">
        <f t="shared" ref="AD3:AD24" si="7">U3*6%</f>
        <v>1384.6200000000001</v>
      </c>
      <c r="AE3" s="56">
        <f t="shared" ref="AE3:AE24" si="8">U3-W3-X3-Z3-AA3-AB3-AC3-AD3</f>
        <v>-3538.1116929999962</v>
      </c>
      <c r="AF3" s="55"/>
      <c r="AG3" s="57">
        <f t="shared" ref="AG3:AG24" si="9">IF(R3=0,0,U3/R3)</f>
        <v>1357.4705882352944</v>
      </c>
      <c r="AH3" s="58">
        <f t="shared" ref="AH3:AH24" si="10">H3</f>
        <v>142.97999999999999</v>
      </c>
      <c r="AI3" s="58">
        <f t="shared" ref="AI3:AI24" si="11">IF(R3=0,0,X3/R3)</f>
        <v>583.7123529411765</v>
      </c>
      <c r="AJ3" s="58">
        <f t="shared" ref="AJ3:AJ24" si="12">IF(P3=0,Z3/1,Z3/P3)</f>
        <v>181.83555555555552</v>
      </c>
      <c r="AK3" s="58">
        <f t="shared" ref="AK3:AK24" si="13">IF(P3=0,0,AA3/P3)</f>
        <v>533.53787183333338</v>
      </c>
      <c r="AL3" s="58">
        <f>_xlfn.IFS(R3=0,AE3,R3&lt;0,AE3/-R3,R3&gt;0,AE3/R3)</f>
        <v>-208.12421723529388</v>
      </c>
      <c r="AM3" s="59">
        <f t="shared" ref="AM3:AM24" si="14">IF(AG3=0,0,AL3/AG3)</f>
        <v>-0.15331766230445878</v>
      </c>
      <c r="AN3" s="60">
        <f t="shared" ref="AN3:AN24" si="15">IF(AH3=0,0,AL3/AH3)</f>
        <v>-1.4556176894341439</v>
      </c>
      <c r="AP3" s="62">
        <f t="shared" ref="AP3:AP24" si="16">AL3*C3</f>
        <v>-57442.283956941115</v>
      </c>
    </row>
    <row r="4" spans="1:42">
      <c r="A4" s="39">
        <v>2638638550</v>
      </c>
      <c r="B4" s="40" t="s">
        <v>92</v>
      </c>
      <c r="C4" s="41">
        <v>385</v>
      </c>
      <c r="D4" s="42"/>
      <c r="E4" s="42"/>
      <c r="F4" s="42"/>
      <c r="G4" s="43"/>
      <c r="H4" s="44">
        <v>123.09</v>
      </c>
      <c r="I4" s="42">
        <f t="shared" si="0"/>
        <v>47389.65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0.14285714285714285</v>
      </c>
      <c r="P4" s="48">
        <f>SUMIFS('Отчет 15-21.12'!H:H,'Отчет 15-21.12'!D:D,"Выручка",'Отчет 15-21.12'!E:E,B4)</f>
        <v>1</v>
      </c>
      <c r="Q4" s="48">
        <f>SUMIFS('Отчет 15-21.12'!H:H,'Отчет 15-21.12'!D:D,"Возврат выручки",'Отчет 15-21.12'!E:E,B4)</f>
        <v>0</v>
      </c>
      <c r="R4" s="49">
        <f t="shared" si="3"/>
        <v>1</v>
      </c>
      <c r="S4" s="50">
        <f>SUMIFS('Отчет 15-21.12'!P:P,'Отчет 15-21.12'!C:C,"Продажи",'Отчет 15-21.12'!E:E,B4)</f>
        <v>1101</v>
      </c>
      <c r="T4" s="51">
        <f>SUMIFS('Отчет 15-21.12'!P:P,'Отчет 15-21.12'!C:C,"Возвраты",'Отчет 15-21.12'!E:E,B4)</f>
        <v>0</v>
      </c>
      <c r="U4" s="49">
        <f t="shared" si="4"/>
        <v>1101</v>
      </c>
      <c r="V4" s="52">
        <f t="shared" ref="V4:V24" si="17">U4/$U$51</f>
        <v>1.7143390996994846E-2</v>
      </c>
      <c r="W4" s="53">
        <f t="shared" si="5"/>
        <v>123.09</v>
      </c>
      <c r="X4" s="51">
        <f>-SUMIFS('Отчет 15-21.12'!P:P,'Отчет 15-21.12'!C:C,"Вознаграждение Ozon",'Отчет 15-21.12'!E:E,B4)</f>
        <v>473.43</v>
      </c>
      <c r="Y4" s="54">
        <f t="shared" si="6"/>
        <v>0.43</v>
      </c>
      <c r="Z4" s="51">
        <f>-SUMIFS('Отчет 15-21.12'!P:P,'Отчет 15-21.12'!C:C,"Услуги доставки",'Отчет 15-21.12'!E:E,B4)</f>
        <v>183.57</v>
      </c>
      <c r="AA4" s="41">
        <v>0</v>
      </c>
      <c r="AB4" s="51"/>
      <c r="AC4" s="51"/>
      <c r="AD4" s="55">
        <f t="shared" si="7"/>
        <v>66.06</v>
      </c>
      <c r="AE4" s="56">
        <f t="shared" si="8"/>
        <v>254.84999999999997</v>
      </c>
      <c r="AF4" s="55"/>
      <c r="AG4" s="57">
        <f t="shared" si="9"/>
        <v>1101</v>
      </c>
      <c r="AH4" s="58">
        <f t="shared" si="10"/>
        <v>123.09</v>
      </c>
      <c r="AI4" s="58">
        <f t="shared" si="11"/>
        <v>473.43</v>
      </c>
      <c r="AJ4" s="58">
        <f t="shared" si="12"/>
        <v>183.57</v>
      </c>
      <c r="AK4" s="58">
        <f t="shared" si="13"/>
        <v>0</v>
      </c>
      <c r="AL4" s="58">
        <f t="array" ref="AL4">_xlfn.IFS(R4=0,AE4,R4&lt;0,AE4/-R4,R4&gt;0,AE4/R4)</f>
        <v>254.84999999999997</v>
      </c>
      <c r="AM4" s="59">
        <f t="shared" si="14"/>
        <v>0.23147138964577654</v>
      </c>
      <c r="AN4" s="60">
        <f t="shared" si="15"/>
        <v>2.0704362661467215</v>
      </c>
      <c r="AP4" s="62">
        <f t="shared" si="16"/>
        <v>98117.249999999985</v>
      </c>
    </row>
    <row r="5" spans="1:42">
      <c r="A5" s="39">
        <v>2638691131</v>
      </c>
      <c r="B5" s="40" t="s">
        <v>222</v>
      </c>
      <c r="C5" s="41">
        <v>387</v>
      </c>
      <c r="D5" s="42"/>
      <c r="E5" s="42"/>
      <c r="F5" s="42"/>
      <c r="G5" s="43"/>
      <c r="H5" s="44">
        <v>123.09</v>
      </c>
      <c r="I5" s="63">
        <f t="shared" si="0"/>
        <v>47635.83</v>
      </c>
      <c r="J5" s="45"/>
      <c r="K5" s="41">
        <v>3</v>
      </c>
      <c r="L5" s="45"/>
      <c r="M5" s="45"/>
      <c r="N5" s="46">
        <f t="shared" si="1"/>
        <v>0.42857142857142855</v>
      </c>
      <c r="O5" s="47">
        <f t="shared" si="2"/>
        <v>0.2857142857142857</v>
      </c>
      <c r="P5" s="48">
        <f>SUMIFS('Отчет 15-21.12'!H:H,'Отчет 15-21.12'!D:D,"Выручка",'Отчет 15-21.12'!E:E,B5)</f>
        <v>2</v>
      </c>
      <c r="Q5" s="48">
        <f>SUMIFS('Отчет 15-21.12'!H:H,'Отчет 15-21.12'!D:D,"Возврат выручки",'Отчет 15-21.12'!E:E,B5)</f>
        <v>0</v>
      </c>
      <c r="R5" s="49">
        <f t="shared" si="3"/>
        <v>2</v>
      </c>
      <c r="S5" s="50">
        <f>SUMIFS('Отчет 15-21.12'!P:P,'Отчет 15-21.12'!C:C,"Продажи",'Отчет 15-21.12'!E:E,B5)</f>
        <v>2246</v>
      </c>
      <c r="T5" s="51">
        <f>SUMIFS('Отчет 15-21.12'!P:P,'Отчет 15-21.12'!C:C,"Возвраты",'Отчет 15-21.12'!E:E,B5)</f>
        <v>0</v>
      </c>
      <c r="U5" s="49">
        <f t="shared" si="4"/>
        <v>2246</v>
      </c>
      <c r="V5" s="52">
        <f t="shared" si="17"/>
        <v>3.4971894804042163E-2</v>
      </c>
      <c r="W5" s="53">
        <f t="shared" si="5"/>
        <v>246.18</v>
      </c>
      <c r="X5" s="51">
        <f>-SUMIFS('Отчет 15-21.12'!P:P,'Отчет 15-21.12'!C:C,"Вознаграждение Ozon",'Отчет 15-21.12'!E:E,B5)</f>
        <v>965.78</v>
      </c>
      <c r="Y5" s="54">
        <f t="shared" si="6"/>
        <v>0.43</v>
      </c>
      <c r="Z5" s="51">
        <f>-SUMIFS('Отчет 15-21.12'!P:P,'Отчет 15-21.12'!C:C,"Услуги доставки",'Отчет 15-21.12'!E:E,B5)</f>
        <v>180</v>
      </c>
      <c r="AA5" s="41">
        <v>258.29000000000002</v>
      </c>
      <c r="AB5" s="64"/>
      <c r="AC5" s="51"/>
      <c r="AD5" s="55">
        <f t="shared" si="7"/>
        <v>134.76</v>
      </c>
      <c r="AE5" s="56">
        <f t="shared" si="8"/>
        <v>460.99</v>
      </c>
      <c r="AF5" s="55"/>
      <c r="AG5" s="57">
        <f t="shared" si="9"/>
        <v>1123</v>
      </c>
      <c r="AH5" s="58">
        <f t="shared" si="10"/>
        <v>123.09</v>
      </c>
      <c r="AI5" s="58">
        <f t="shared" si="11"/>
        <v>482.89</v>
      </c>
      <c r="AJ5" s="58">
        <f t="shared" si="12"/>
        <v>90</v>
      </c>
      <c r="AK5" s="58">
        <f t="shared" si="13"/>
        <v>129.14500000000001</v>
      </c>
      <c r="AL5" s="58">
        <f t="array" ref="AL5">_xlfn.IFS(R5=0,AE5,R5&lt;0,AE5/-R5,R5&gt;0,AE5/R5)</f>
        <v>230.495</v>
      </c>
      <c r="AM5" s="59">
        <f t="shared" si="14"/>
        <v>0.20524933214603741</v>
      </c>
      <c r="AN5" s="60">
        <f t="shared" si="15"/>
        <v>1.872572914127874</v>
      </c>
      <c r="AP5" s="62">
        <f t="shared" si="16"/>
        <v>89201.565000000002</v>
      </c>
    </row>
    <row r="6" spans="1:42">
      <c r="A6" s="39">
        <v>2638382749</v>
      </c>
      <c r="B6" s="40" t="s">
        <v>223</v>
      </c>
      <c r="C6" s="41">
        <v>1033</v>
      </c>
      <c r="D6" s="42"/>
      <c r="E6" s="42"/>
      <c r="F6" s="42"/>
      <c r="G6" s="43"/>
      <c r="H6" s="44">
        <v>123.09</v>
      </c>
      <c r="I6" s="63">
        <f t="shared" si="0"/>
        <v>127151.97</v>
      </c>
      <c r="J6" s="45"/>
      <c r="K6" s="41">
        <v>31</v>
      </c>
      <c r="L6" s="45"/>
      <c r="M6" s="45"/>
      <c r="N6" s="46">
        <f t="shared" si="1"/>
        <v>4.4285714285714288</v>
      </c>
      <c r="O6" s="47">
        <f t="shared" si="2"/>
        <v>2.2857142857142856</v>
      </c>
      <c r="P6" s="48">
        <f>SUMIFS('Отчет 15-21.12'!H:H,'Отчет 15-21.12'!D:D,"Выручка",'Отчет 15-21.12'!E:E,B6)</f>
        <v>17</v>
      </c>
      <c r="Q6" s="48">
        <f>SUMIFS('Отчет 15-21.12'!H:H,'Отчет 15-21.12'!D:D,"Возврат выручки",'Отчет 15-21.12'!E:E,B6)</f>
        <v>1</v>
      </c>
      <c r="R6" s="49">
        <f t="shared" si="3"/>
        <v>16</v>
      </c>
      <c r="S6" s="50">
        <f>SUMIFS('Отчет 15-21.12'!P:P,'Отчет 15-21.12'!C:C,"Продажи",'Отчет 15-21.12'!E:E,B6)</f>
        <v>24552</v>
      </c>
      <c r="T6" s="51">
        <f>SUMIFS('Отчет 15-21.12'!P:P,'Отчет 15-21.12'!C:C,"Возвраты",'Отчет 15-21.12'!E:E,B6)</f>
        <v>-1687</v>
      </c>
      <c r="U6" s="49">
        <f t="shared" si="4"/>
        <v>22865</v>
      </c>
      <c r="V6" s="52">
        <f t="shared" si="17"/>
        <v>0.35602510004204102</v>
      </c>
      <c r="W6" s="53">
        <f t="shared" si="5"/>
        <v>1969.44</v>
      </c>
      <c r="X6" s="51">
        <f>-SUMIFS('Отчет 15-21.12'!P:P,'Отчет 15-21.12'!C:C,"Вознаграждение Ozon",'Отчет 15-21.12'!E:E,B6)</f>
        <v>9831.9499999999971</v>
      </c>
      <c r="Y6" s="54">
        <f t="shared" si="6"/>
        <v>0.42999999999999988</v>
      </c>
      <c r="Z6" s="51">
        <f>-SUMIFS('Отчет 15-21.12'!P:P,'Отчет 15-21.12'!C:C,"Услуги доставки",'Отчет 15-21.12'!E:E,B6)</f>
        <v>2649.8199999999997</v>
      </c>
      <c r="AA6" s="41">
        <v>6547.3569259999995</v>
      </c>
      <c r="AB6" s="64"/>
      <c r="AC6" s="51"/>
      <c r="AD6" s="55">
        <f t="shared" si="7"/>
        <v>1371.8999999999999</v>
      </c>
      <c r="AE6" s="56">
        <f t="shared" si="8"/>
        <v>494.53307400000517</v>
      </c>
      <c r="AF6" s="55"/>
      <c r="AG6" s="57">
        <f t="shared" si="9"/>
        <v>1429.0625</v>
      </c>
      <c r="AH6" s="58">
        <f t="shared" si="10"/>
        <v>123.09</v>
      </c>
      <c r="AI6" s="58">
        <f t="shared" si="11"/>
        <v>614.49687499999982</v>
      </c>
      <c r="AJ6" s="58">
        <f t="shared" si="12"/>
        <v>155.87176470588233</v>
      </c>
      <c r="AK6" s="58">
        <f t="shared" si="13"/>
        <v>385.13864270588232</v>
      </c>
      <c r="AL6" s="58">
        <f t="array" ref="AL6">_xlfn.IFS(R6=0,AE6,R6&lt;0,AE6/-R6,R6&gt;0,AE6/R6)</f>
        <v>30.908317125000323</v>
      </c>
      <c r="AM6" s="59">
        <f t="shared" si="14"/>
        <v>2.1628387229390124E-2</v>
      </c>
      <c r="AN6" s="60">
        <f t="shared" si="15"/>
        <v>0.25110339690470651</v>
      </c>
      <c r="AP6" s="62">
        <f t="shared" si="16"/>
        <v>31928.291590125333</v>
      </c>
    </row>
    <row r="7" spans="1:42">
      <c r="A7" s="39">
        <v>2638569317</v>
      </c>
      <c r="B7" s="40" t="s">
        <v>54</v>
      </c>
      <c r="C7" s="41">
        <v>848</v>
      </c>
      <c r="D7" s="42"/>
      <c r="E7" s="42"/>
      <c r="F7" s="42"/>
      <c r="G7" s="43"/>
      <c r="H7" s="44">
        <v>117.24</v>
      </c>
      <c r="I7" s="63">
        <f t="shared" si="0"/>
        <v>99419.51999999999</v>
      </c>
      <c r="J7" s="45"/>
      <c r="K7" s="41">
        <v>1</v>
      </c>
      <c r="L7" s="45"/>
      <c r="M7" s="45"/>
      <c r="N7" s="46">
        <f t="shared" si="1"/>
        <v>0.14285714285714285</v>
      </c>
      <c r="O7" s="47">
        <f t="shared" si="2"/>
        <v>0.14285714285714285</v>
      </c>
      <c r="P7" s="48">
        <f>SUMIFS('Отчет 15-21.12'!H:H,'Отчет 15-21.12'!D:D,"Выручка",'Отчет 15-21.12'!E:E,B7)</f>
        <v>1</v>
      </c>
      <c r="Q7" s="48">
        <f>SUMIFS('Отчет 15-21.12'!H:H,'Отчет 15-21.12'!D:D,"Возврат выручки",'Отчет 15-21.12'!E:E,B7)</f>
        <v>0</v>
      </c>
      <c r="R7" s="49">
        <f t="shared" si="3"/>
        <v>1</v>
      </c>
      <c r="S7" s="50">
        <f>SUMIFS('Отчет 15-21.12'!P:P,'Отчет 15-21.12'!C:C,"Продажи",'Отчет 15-21.12'!E:E,B7)</f>
        <v>1536</v>
      </c>
      <c r="T7" s="51">
        <f>SUMIFS('Отчет 15-21.12'!P:P,'Отчет 15-21.12'!C:C,"Возвраты",'Отчет 15-21.12'!E:E,B7)</f>
        <v>0</v>
      </c>
      <c r="U7" s="49">
        <f t="shared" si="4"/>
        <v>1536</v>
      </c>
      <c r="V7" s="52">
        <f t="shared" si="17"/>
        <v>2.3916665369104525E-2</v>
      </c>
      <c r="W7" s="53">
        <f t="shared" si="5"/>
        <v>117.24</v>
      </c>
      <c r="X7" s="51">
        <f>-SUMIFS('Отчет 15-21.12'!P:P,'Отчет 15-21.12'!C:C,"Вознаграждение Ozon",'Отчет 15-21.12'!E:E,B7)</f>
        <v>660.48</v>
      </c>
      <c r="Y7" s="54">
        <f t="shared" si="6"/>
        <v>0.43</v>
      </c>
      <c r="Z7" s="51">
        <f>-SUMIFS('Отчет 15-21.12'!P:P,'Отчет 15-21.12'!C:C,"Услуги доставки",'Отчет 15-21.12'!E:E,B7)</f>
        <v>96.2</v>
      </c>
      <c r="AA7" s="41">
        <v>0</v>
      </c>
      <c r="AB7" s="64"/>
      <c r="AC7" s="51"/>
      <c r="AD7" s="55">
        <f t="shared" si="7"/>
        <v>92.16</v>
      </c>
      <c r="AE7" s="56">
        <f t="shared" si="8"/>
        <v>569.91999999999996</v>
      </c>
      <c r="AF7" s="55"/>
      <c r="AG7" s="57">
        <f t="shared" si="9"/>
        <v>1536</v>
      </c>
      <c r="AH7" s="58">
        <f t="shared" si="10"/>
        <v>117.24</v>
      </c>
      <c r="AI7" s="58">
        <f t="shared" si="11"/>
        <v>660.48</v>
      </c>
      <c r="AJ7" s="58">
        <f t="shared" si="12"/>
        <v>96.2</v>
      </c>
      <c r="AK7" s="58">
        <f t="shared" si="13"/>
        <v>0</v>
      </c>
      <c r="AL7" s="58">
        <f t="array" ref="AL7">_xlfn.IFS(R7=0,AE7,R7&lt;0,AE7/-R7,R7&gt;0,AE7/R7)</f>
        <v>569.91999999999996</v>
      </c>
      <c r="AM7" s="59">
        <f t="shared" si="14"/>
        <v>0.37104166666666666</v>
      </c>
      <c r="AN7" s="60">
        <f t="shared" si="15"/>
        <v>4.861139542818151</v>
      </c>
      <c r="AP7" s="62">
        <f t="shared" si="16"/>
        <v>483292.15999999997</v>
      </c>
    </row>
    <row r="8" spans="1:42">
      <c r="A8" s="39">
        <v>3064334128</v>
      </c>
      <c r="B8" s="40" t="s">
        <v>1054</v>
      </c>
      <c r="C8" s="41">
        <v>645</v>
      </c>
      <c r="D8" s="42"/>
      <c r="E8" s="42"/>
      <c r="F8" s="42"/>
      <c r="G8" s="43"/>
      <c r="H8" s="44">
        <v>123</v>
      </c>
      <c r="I8" s="63">
        <f t="shared" si="0"/>
        <v>79335</v>
      </c>
      <c r="J8" s="45"/>
      <c r="K8" s="41">
        <v>1</v>
      </c>
      <c r="L8" s="45"/>
      <c r="M8" s="45"/>
      <c r="N8" s="46">
        <f t="shared" si="1"/>
        <v>0.14285714285714285</v>
      </c>
      <c r="O8" s="47">
        <f t="shared" si="2"/>
        <v>0.14285714285714285</v>
      </c>
      <c r="P8" s="48">
        <f>SUMIFS('Отчет 15-21.12'!H:H,'Отчет 15-21.12'!D:D,"Выручка",'Отчет 15-21.12'!E:E,B8)</f>
        <v>1</v>
      </c>
      <c r="Q8" s="48">
        <f>SUMIFS('Отчет 15-21.12'!H:H,'Отчет 15-21.12'!D:D,"Возврат выручки",'Отчет 15-21.12'!E:E,B8)</f>
        <v>0</v>
      </c>
      <c r="R8" s="49">
        <f t="shared" si="3"/>
        <v>1</v>
      </c>
      <c r="S8" s="50">
        <f>SUMIFS('Отчет 15-21.12'!P:P,'Отчет 15-21.12'!C:C,"Продажи",'Отчет 15-21.12'!E:E,B8)</f>
        <v>1621</v>
      </c>
      <c r="T8" s="51">
        <f>SUMIFS('Отчет 15-21.12'!P:P,'Отчет 15-21.12'!C:C,"Возвраты",'Отчет 15-21.12'!E:E,B8)</f>
        <v>0</v>
      </c>
      <c r="U8" s="49">
        <f t="shared" si="4"/>
        <v>1621</v>
      </c>
      <c r="V8" s="52">
        <f t="shared" si="17"/>
        <v>2.524017875216044E-2</v>
      </c>
      <c r="W8" s="53">
        <f t="shared" si="5"/>
        <v>123</v>
      </c>
      <c r="X8" s="51">
        <f>-SUMIFS('Отчет 15-21.12'!P:P,'Отчет 15-21.12'!C:C,"Вознаграждение Ozon",'Отчет 15-21.12'!E:E,B8)</f>
        <v>697.03</v>
      </c>
      <c r="Y8" s="54">
        <f t="shared" si="6"/>
        <v>0.43</v>
      </c>
      <c r="Z8" s="51">
        <f>-SUMIFS('Отчет 15-21.12'!P:P,'Отчет 15-21.12'!C:C,"Услуги доставки",'Отчет 15-21.12'!E:E,B8)</f>
        <v>206.61</v>
      </c>
      <c r="AA8" s="41">
        <v>123.490871</v>
      </c>
      <c r="AB8" s="64"/>
      <c r="AC8" s="51"/>
      <c r="AD8" s="55">
        <f t="shared" si="7"/>
        <v>97.259999999999991</v>
      </c>
      <c r="AE8" s="56">
        <f t="shared" si="8"/>
        <v>373.60912900000005</v>
      </c>
      <c r="AF8" s="55"/>
      <c r="AG8" s="57">
        <f t="shared" si="9"/>
        <v>1621</v>
      </c>
      <c r="AH8" s="58">
        <f t="shared" si="10"/>
        <v>123</v>
      </c>
      <c r="AI8" s="58">
        <f t="shared" si="11"/>
        <v>697.03</v>
      </c>
      <c r="AJ8" s="58">
        <f t="shared" si="12"/>
        <v>206.61</v>
      </c>
      <c r="AK8" s="58">
        <f t="shared" si="13"/>
        <v>123.490871</v>
      </c>
      <c r="AL8" s="58">
        <f t="array" ref="AL8">_xlfn.IFS(R8=0,AE8,R8&lt;0,AE8/-R8,R8&gt;0,AE8/R8)</f>
        <v>373.60912900000005</v>
      </c>
      <c r="AM8" s="59">
        <f t="shared" si="14"/>
        <v>0.2304806471314004</v>
      </c>
      <c r="AN8" s="60">
        <f t="shared" si="15"/>
        <v>3.0374725934959352</v>
      </c>
      <c r="AP8" s="62">
        <f t="shared" si="16"/>
        <v>240977.88820500002</v>
      </c>
    </row>
    <row r="9" spans="1:42">
      <c r="A9" s="39">
        <v>3064334311</v>
      </c>
      <c r="B9" s="40" t="s">
        <v>1055</v>
      </c>
      <c r="C9" s="41">
        <v>639</v>
      </c>
      <c r="D9" s="42"/>
      <c r="E9" s="42"/>
      <c r="F9" s="42"/>
      <c r="G9" s="43"/>
      <c r="H9" s="44">
        <v>123</v>
      </c>
      <c r="I9" s="63">
        <f t="shared" si="0"/>
        <v>78597</v>
      </c>
      <c r="J9" s="45"/>
      <c r="K9" s="41">
        <v>2</v>
      </c>
      <c r="L9" s="45"/>
      <c r="M9" s="45"/>
      <c r="N9" s="46">
        <f t="shared" si="1"/>
        <v>0.2857142857142857</v>
      </c>
      <c r="O9" s="47">
        <f t="shared" si="2"/>
        <v>0</v>
      </c>
      <c r="P9" s="48">
        <f>SUMIFS('Отчет 15-21.12'!H:H,'Отчет 15-21.12'!D:D,"Выручка",'Отчет 15-21.12'!E:E,B9)</f>
        <v>0</v>
      </c>
      <c r="Q9" s="48">
        <f>SUMIFS('Отчет 15-21.12'!H:H,'Отчет 15-21.12'!D:D,"Возврат выручки",'Отчет 15-21.12'!E:E,B9)</f>
        <v>0</v>
      </c>
      <c r="R9" s="49">
        <f t="shared" si="3"/>
        <v>0</v>
      </c>
      <c r="S9" s="50">
        <f>SUMIFS('Отчет 15-21.12'!P:P,'Отчет 15-21.12'!C:C,"Продажи",'Отчет 15-21.12'!E:E,B9)</f>
        <v>0</v>
      </c>
      <c r="T9" s="51">
        <f>SUMIFS('Отчет 15-21.12'!P:P,'Отчет 15-21.12'!C:C,"Возвраты",'Отчет 15-21.12'!E:E,B9)</f>
        <v>0</v>
      </c>
      <c r="U9" s="49">
        <f t="shared" si="4"/>
        <v>0</v>
      </c>
      <c r="V9" s="52">
        <f t="shared" si="17"/>
        <v>0</v>
      </c>
      <c r="W9" s="53">
        <f t="shared" si="5"/>
        <v>0</v>
      </c>
      <c r="X9" s="51">
        <f>-SUMIFS('Отчет 15-21.12'!P:P,'Отчет 15-21.12'!C:C,"Вознаграждение Ozon",'Отчет 15-21.12'!E:E,B9)</f>
        <v>0</v>
      </c>
      <c r="Y9" s="54">
        <f t="shared" si="6"/>
        <v>0</v>
      </c>
      <c r="Z9" s="51">
        <f>-SUMIFS('Отчет 15-21.12'!P:P,'Отчет 15-21.12'!C:C,"Услуги доставки",'Отчет 15-21.12'!E:E,B9)</f>
        <v>92</v>
      </c>
      <c r="AA9" s="41">
        <v>0</v>
      </c>
      <c r="AB9" s="64"/>
      <c r="AC9" s="51"/>
      <c r="AD9" s="55">
        <f t="shared" si="7"/>
        <v>0</v>
      </c>
      <c r="AE9" s="56">
        <f t="shared" si="8"/>
        <v>-92</v>
      </c>
      <c r="AF9" s="55"/>
      <c r="AG9" s="57">
        <f t="shared" si="9"/>
        <v>0</v>
      </c>
      <c r="AH9" s="58">
        <f t="shared" si="10"/>
        <v>123</v>
      </c>
      <c r="AI9" s="58">
        <f t="shared" si="11"/>
        <v>0</v>
      </c>
      <c r="AJ9" s="58">
        <f t="shared" si="12"/>
        <v>92</v>
      </c>
      <c r="AK9" s="58">
        <f t="shared" si="13"/>
        <v>0</v>
      </c>
      <c r="AL9" s="58">
        <f t="array" ref="AL9">_xlfn.IFS(R9=0,AE9,R9&lt;0,AE9/-R9,R9&gt;0,AE9/R9)</f>
        <v>-92</v>
      </c>
      <c r="AM9" s="59">
        <f t="shared" si="14"/>
        <v>0</v>
      </c>
      <c r="AN9" s="60">
        <f t="shared" si="15"/>
        <v>-0.74796747967479671</v>
      </c>
      <c r="AP9" s="62">
        <f t="shared" si="16"/>
        <v>-58788</v>
      </c>
    </row>
    <row r="10" spans="1:42">
      <c r="A10" s="39">
        <v>2638291563</v>
      </c>
      <c r="B10" s="40" t="s">
        <v>88</v>
      </c>
      <c r="C10" s="41">
        <v>392</v>
      </c>
      <c r="D10" s="42"/>
      <c r="E10" s="42"/>
      <c r="F10" s="42"/>
      <c r="G10" s="43"/>
      <c r="H10" s="44">
        <v>169.89</v>
      </c>
      <c r="I10" s="63">
        <f t="shared" si="0"/>
        <v>66596.87999999999</v>
      </c>
      <c r="J10" s="45"/>
      <c r="K10" s="41">
        <v>0</v>
      </c>
      <c r="L10" s="45"/>
      <c r="M10" s="45"/>
      <c r="N10" s="46">
        <f t="shared" si="1"/>
        <v>0</v>
      </c>
      <c r="O10" s="47">
        <f t="shared" si="2"/>
        <v>0</v>
      </c>
      <c r="P10" s="48">
        <f>SUMIFS('Отчет 15-21.12'!H:H,'Отчет 15-21.12'!D:D,"Выручка",'Отчет 15-21.12'!E:E,B10)</f>
        <v>0</v>
      </c>
      <c r="Q10" s="48">
        <f>SUMIFS('Отчет 15-21.12'!H:H,'Отчет 15-21.12'!D:D,"Возврат выручки",'Отчет 15-21.12'!E:E,B10)</f>
        <v>0</v>
      </c>
      <c r="R10" s="49">
        <f t="shared" si="3"/>
        <v>0</v>
      </c>
      <c r="S10" s="50">
        <f>SUMIFS('Отчет 15-21.12'!P:P,'Отчет 15-21.12'!C:C,"Продажи",'Отчет 15-21.12'!E:E,B10)</f>
        <v>0</v>
      </c>
      <c r="T10" s="51">
        <f>SUMIFS('Отчет 15-21.12'!P:P,'Отчет 15-21.12'!C:C,"Возвраты",'Отчет 15-21.12'!E:E,B10)</f>
        <v>0</v>
      </c>
      <c r="U10" s="49">
        <f t="shared" si="4"/>
        <v>0</v>
      </c>
      <c r="V10" s="52">
        <f t="shared" si="17"/>
        <v>0</v>
      </c>
      <c r="W10" s="53">
        <f t="shared" si="5"/>
        <v>0</v>
      </c>
      <c r="X10" s="51">
        <f>-SUMIFS('Отчет 15-21.12'!P:P,'Отчет 15-21.12'!C:C,"Вознаграждение Ozon",'Отчет 15-21.12'!E:E,B10)</f>
        <v>0</v>
      </c>
      <c r="Y10" s="54">
        <f t="shared" si="6"/>
        <v>0</v>
      </c>
      <c r="Z10" s="51">
        <f>-SUMIFS('Отчет 15-21.12'!P:P,'Отчет 15-21.12'!C:C,"Услуги доставки",'Отчет 15-21.12'!E:E,B10)</f>
        <v>0</v>
      </c>
      <c r="AA10" s="41">
        <v>0</v>
      </c>
      <c r="AB10" s="64"/>
      <c r="AC10" s="51"/>
      <c r="AD10" s="55">
        <f t="shared" si="7"/>
        <v>0</v>
      </c>
      <c r="AE10" s="56">
        <f t="shared" si="8"/>
        <v>0</v>
      </c>
      <c r="AF10" s="55"/>
      <c r="AG10" s="57">
        <f t="shared" si="9"/>
        <v>0</v>
      </c>
      <c r="AH10" s="58">
        <f t="shared" si="10"/>
        <v>169.89</v>
      </c>
      <c r="AI10" s="58">
        <f t="shared" si="11"/>
        <v>0</v>
      </c>
      <c r="AJ10" s="58">
        <f t="shared" si="12"/>
        <v>0</v>
      </c>
      <c r="AK10" s="58">
        <f t="shared" si="13"/>
        <v>0</v>
      </c>
      <c r="AL10" s="58">
        <f t="array" ref="AL10">_xlfn.IFS(R10=0,AE10,R10&lt;0,AE10/-R10,R10&gt;0,AE10/R10)</f>
        <v>0</v>
      </c>
      <c r="AM10" s="59">
        <f t="shared" si="14"/>
        <v>0</v>
      </c>
      <c r="AN10" s="60">
        <f t="shared" si="15"/>
        <v>0</v>
      </c>
      <c r="AP10" s="62">
        <f t="shared" si="16"/>
        <v>0</v>
      </c>
    </row>
    <row r="11" spans="1:42">
      <c r="A11" s="39">
        <v>2730130733</v>
      </c>
      <c r="B11" s="40" t="s">
        <v>224</v>
      </c>
      <c r="C11" s="41">
        <v>43</v>
      </c>
      <c r="D11" s="42"/>
      <c r="E11" s="42"/>
      <c r="F11" s="42"/>
      <c r="G11" s="43"/>
      <c r="H11" s="44">
        <v>169.89</v>
      </c>
      <c r="I11" s="63">
        <f t="shared" si="0"/>
        <v>7305.2699999999995</v>
      </c>
      <c r="J11" s="45"/>
      <c r="K11" s="41">
        <v>4</v>
      </c>
      <c r="L11" s="45"/>
      <c r="M11" s="45"/>
      <c r="N11" s="46">
        <f t="shared" si="1"/>
        <v>0.5714285714285714</v>
      </c>
      <c r="O11" s="47">
        <f t="shared" si="2"/>
        <v>0</v>
      </c>
      <c r="P11" s="48">
        <f>SUMIFS('Отчет 15-21.12'!H:H,'Отчет 15-21.12'!D:D,"Выручка",'Отчет 15-21.12'!E:E,B11)</f>
        <v>0</v>
      </c>
      <c r="Q11" s="48">
        <f>SUMIFS('Отчет 15-21.12'!H:H,'Отчет 15-21.12'!D:D,"Возврат выручки",'Отчет 15-21.12'!E:E,B11)</f>
        <v>0</v>
      </c>
      <c r="R11" s="49">
        <f t="shared" si="3"/>
        <v>0</v>
      </c>
      <c r="S11" s="50">
        <f>SUMIFS('Отчет 15-21.12'!P:P,'Отчет 15-21.12'!C:C,"Продажи",'Отчет 15-21.12'!E:E,B11)</f>
        <v>0</v>
      </c>
      <c r="T11" s="51">
        <f>SUMIFS('Отчет 15-21.12'!P:P,'Отчет 15-21.12'!C:C,"Возвраты",'Отчет 15-21.12'!E:E,B11)</f>
        <v>0</v>
      </c>
      <c r="U11" s="49">
        <f t="shared" si="4"/>
        <v>0</v>
      </c>
      <c r="V11" s="52">
        <f t="shared" si="17"/>
        <v>0</v>
      </c>
      <c r="W11" s="53">
        <f t="shared" si="5"/>
        <v>0</v>
      </c>
      <c r="X11" s="51">
        <f>-SUMIFS('Отчет 15-21.12'!P:P,'Отчет 15-21.12'!C:C,"Вознаграждение Ozon",'Отчет 15-21.12'!E:E,B11)</f>
        <v>0</v>
      </c>
      <c r="Y11" s="54">
        <f t="shared" si="6"/>
        <v>0</v>
      </c>
      <c r="Z11" s="51">
        <f>-SUMIFS('Отчет 15-21.12'!P:P,'Отчет 15-21.12'!C:C,"Услуги доставки",'Отчет 15-21.12'!E:E,B11)</f>
        <v>0</v>
      </c>
      <c r="AA11" s="41">
        <v>0</v>
      </c>
      <c r="AB11" s="64"/>
      <c r="AC11" s="51"/>
      <c r="AD11" s="55">
        <f t="shared" si="7"/>
        <v>0</v>
      </c>
      <c r="AE11" s="56">
        <f t="shared" si="8"/>
        <v>0</v>
      </c>
      <c r="AF11" s="55"/>
      <c r="AG11" s="57">
        <f t="shared" si="9"/>
        <v>0</v>
      </c>
      <c r="AH11" s="58">
        <f t="shared" si="10"/>
        <v>169.89</v>
      </c>
      <c r="AI11" s="58">
        <f t="shared" si="11"/>
        <v>0</v>
      </c>
      <c r="AJ11" s="58">
        <f t="shared" si="12"/>
        <v>0</v>
      </c>
      <c r="AK11" s="58">
        <f t="shared" si="13"/>
        <v>0</v>
      </c>
      <c r="AL11" s="58">
        <f t="array" ref="AL11">_xlfn.IFS(R11=0,AE11,R11&lt;0,AE11/-R11,R11&gt;0,AE11/R11)</f>
        <v>0</v>
      </c>
      <c r="AM11" s="59">
        <f t="shared" si="14"/>
        <v>0</v>
      </c>
      <c r="AN11" s="60">
        <f t="shared" si="15"/>
        <v>0</v>
      </c>
      <c r="AP11" s="62">
        <f t="shared" si="16"/>
        <v>0</v>
      </c>
    </row>
    <row r="12" spans="1:42">
      <c r="A12" s="39">
        <v>2730131249</v>
      </c>
      <c r="B12" s="40" t="s">
        <v>225</v>
      </c>
      <c r="C12" s="41">
        <v>43</v>
      </c>
      <c r="D12" s="42"/>
      <c r="E12" s="42"/>
      <c r="F12" s="42"/>
      <c r="G12" s="43"/>
      <c r="H12" s="44">
        <v>169.89</v>
      </c>
      <c r="I12" s="63">
        <f t="shared" si="0"/>
        <v>7305.2699999999995</v>
      </c>
      <c r="J12" s="45"/>
      <c r="K12" s="41">
        <v>3</v>
      </c>
      <c r="L12" s="45"/>
      <c r="M12" s="45"/>
      <c r="N12" s="46">
        <f t="shared" si="1"/>
        <v>0.42857142857142855</v>
      </c>
      <c r="O12" s="47">
        <f t="shared" si="2"/>
        <v>0.14285714285714285</v>
      </c>
      <c r="P12" s="48">
        <f>SUMIFS('Отчет 15-21.12'!H:H,'Отчет 15-21.12'!D:D,"Выручка",'Отчет 15-21.12'!E:E,B12)</f>
        <v>1</v>
      </c>
      <c r="Q12" s="48">
        <f>SUMIFS('Отчет 15-21.12'!H:H,'Отчет 15-21.12'!D:D,"Возврат выручки",'Отчет 15-21.12'!E:E,B12)</f>
        <v>0</v>
      </c>
      <c r="R12" s="49">
        <f t="shared" si="3"/>
        <v>1</v>
      </c>
      <c r="S12" s="50">
        <f>SUMIFS('Отчет 15-21.12'!P:P,'Отчет 15-21.12'!C:C,"Продажи",'Отчет 15-21.12'!E:E,B12)</f>
        <v>1102</v>
      </c>
      <c r="T12" s="51">
        <f>SUMIFS('Отчет 15-21.12'!P:P,'Отчет 15-21.12'!C:C,"Возвраты",'Отчет 15-21.12'!E:E,B12)</f>
        <v>0</v>
      </c>
      <c r="U12" s="49">
        <f t="shared" si="4"/>
        <v>1102</v>
      </c>
      <c r="V12" s="52">
        <f t="shared" si="17"/>
        <v>1.7158961742677857E-2</v>
      </c>
      <c r="W12" s="53">
        <f t="shared" si="5"/>
        <v>169.89</v>
      </c>
      <c r="X12" s="51">
        <f>-SUMIFS('Отчет 15-21.12'!P:P,'Отчет 15-21.12'!C:C,"Вознаграждение Ozon",'Отчет 15-21.12'!E:E,B12)</f>
        <v>473.86</v>
      </c>
      <c r="Y12" s="54">
        <f t="shared" si="6"/>
        <v>0.43</v>
      </c>
      <c r="Z12" s="51">
        <f>-SUMIFS('Отчет 15-21.12'!P:P,'Отчет 15-21.12'!C:C,"Услуги доставки",'Отчет 15-21.12'!E:E,B12)</f>
        <v>91.59</v>
      </c>
      <c r="AA12" s="41">
        <v>0</v>
      </c>
      <c r="AB12" s="64"/>
      <c r="AC12" s="51"/>
      <c r="AD12" s="55">
        <f t="shared" si="7"/>
        <v>66.12</v>
      </c>
      <c r="AE12" s="56">
        <f t="shared" si="8"/>
        <v>300.53999999999996</v>
      </c>
      <c r="AF12" s="55"/>
      <c r="AG12" s="57">
        <f t="shared" si="9"/>
        <v>1102</v>
      </c>
      <c r="AH12" s="58">
        <f t="shared" si="10"/>
        <v>169.89</v>
      </c>
      <c r="AI12" s="58">
        <f t="shared" si="11"/>
        <v>473.86</v>
      </c>
      <c r="AJ12" s="58">
        <f t="shared" si="12"/>
        <v>91.59</v>
      </c>
      <c r="AK12" s="58">
        <f t="shared" si="13"/>
        <v>0</v>
      </c>
      <c r="AL12" s="58">
        <f t="array" ref="AL12">_xlfn.IFS(R12=0,AE12,R12&lt;0,AE12/-R12,R12&gt;0,AE12/R12)</f>
        <v>300.53999999999996</v>
      </c>
      <c r="AM12" s="59">
        <f t="shared" si="14"/>
        <v>0.27272232304900179</v>
      </c>
      <c r="AN12" s="60">
        <f t="shared" si="15"/>
        <v>1.7690270174819001</v>
      </c>
      <c r="AP12" s="62">
        <f t="shared" si="16"/>
        <v>12923.219999999998</v>
      </c>
    </row>
    <row r="13" spans="1:42">
      <c r="A13" s="39">
        <v>2730130553</v>
      </c>
      <c r="B13" s="40" t="s">
        <v>226</v>
      </c>
      <c r="C13" s="41">
        <v>34</v>
      </c>
      <c r="D13" s="42"/>
      <c r="E13" s="42"/>
      <c r="F13" s="42"/>
      <c r="G13" s="43"/>
      <c r="H13" s="44">
        <v>169.89</v>
      </c>
      <c r="I13" s="63">
        <f t="shared" si="0"/>
        <v>5776.2599999999993</v>
      </c>
      <c r="J13" s="45"/>
      <c r="K13" s="41">
        <v>2</v>
      </c>
      <c r="L13" s="45"/>
      <c r="M13" s="45"/>
      <c r="N13" s="46">
        <f t="shared" si="1"/>
        <v>0.2857142857142857</v>
      </c>
      <c r="O13" s="47">
        <f t="shared" si="2"/>
        <v>0</v>
      </c>
      <c r="P13" s="48">
        <f>SUMIFS('Отчет 15-21.12'!H:H,'Отчет 15-21.12'!D:D,"Выручка",'Отчет 15-21.12'!E:E,B13)</f>
        <v>0</v>
      </c>
      <c r="Q13" s="48">
        <f>SUMIFS('Отчет 15-21.12'!H:H,'Отчет 15-21.12'!D:D,"Возврат выручки",'Отчет 15-21.12'!E:E,B13)</f>
        <v>0</v>
      </c>
      <c r="R13" s="49">
        <f t="shared" si="3"/>
        <v>0</v>
      </c>
      <c r="S13" s="50">
        <f>SUMIFS('Отчет 15-21.12'!P:P,'Отчет 15-21.12'!C:C,"Продажи",'Отчет 15-21.12'!E:E,B13)</f>
        <v>0</v>
      </c>
      <c r="T13" s="51">
        <f>SUMIFS('Отчет 15-21.12'!P:P,'Отчет 15-21.12'!C:C,"Возвраты",'Отчет 15-21.12'!E:E,B13)</f>
        <v>0</v>
      </c>
      <c r="U13" s="49">
        <f t="shared" si="4"/>
        <v>0</v>
      </c>
      <c r="V13" s="52">
        <f t="shared" si="17"/>
        <v>0</v>
      </c>
      <c r="W13" s="53">
        <f t="shared" si="5"/>
        <v>0</v>
      </c>
      <c r="X13" s="51">
        <f>-SUMIFS('Отчет 15-21.12'!P:P,'Отчет 15-21.12'!C:C,"Вознаграждение Ozon",'Отчет 15-21.12'!E:E,B13)</f>
        <v>0</v>
      </c>
      <c r="Y13" s="54">
        <f t="shared" si="6"/>
        <v>0</v>
      </c>
      <c r="Z13" s="51">
        <f>-SUMIFS('Отчет 15-21.12'!P:P,'Отчет 15-21.12'!C:C,"Услуги доставки",'Отчет 15-21.12'!E:E,B13)</f>
        <v>0</v>
      </c>
      <c r="AA13" s="41">
        <v>0</v>
      </c>
      <c r="AB13" s="64"/>
      <c r="AC13" s="51"/>
      <c r="AD13" s="55">
        <f t="shared" si="7"/>
        <v>0</v>
      </c>
      <c r="AE13" s="56">
        <f t="shared" si="8"/>
        <v>0</v>
      </c>
      <c r="AF13" s="55"/>
      <c r="AG13" s="57">
        <f t="shared" si="9"/>
        <v>0</v>
      </c>
      <c r="AH13" s="58">
        <f t="shared" si="10"/>
        <v>169.89</v>
      </c>
      <c r="AI13" s="58">
        <f t="shared" si="11"/>
        <v>0</v>
      </c>
      <c r="AJ13" s="58">
        <f t="shared" si="12"/>
        <v>0</v>
      </c>
      <c r="AK13" s="58">
        <f t="shared" si="13"/>
        <v>0</v>
      </c>
      <c r="AL13" s="58">
        <f t="array" ref="AL13">_xlfn.IFS(R13=0,AE13,R13&lt;0,AE13/-R13,R13&gt;0,AE13/R13)</f>
        <v>0</v>
      </c>
      <c r="AM13" s="59">
        <f t="shared" si="14"/>
        <v>0</v>
      </c>
      <c r="AN13" s="60">
        <f t="shared" si="15"/>
        <v>0</v>
      </c>
      <c r="AP13" s="62">
        <f t="shared" si="16"/>
        <v>0</v>
      </c>
    </row>
    <row r="14" spans="1:42" ht="13.75" customHeight="1">
      <c r="A14" s="39">
        <v>2730129638</v>
      </c>
      <c r="B14" s="40" t="s">
        <v>227</v>
      </c>
      <c r="C14" s="41">
        <v>7</v>
      </c>
      <c r="D14" s="42"/>
      <c r="E14" s="42"/>
      <c r="F14" s="42"/>
      <c r="G14" s="43"/>
      <c r="H14" s="44">
        <v>169.89</v>
      </c>
      <c r="I14" s="63">
        <f t="shared" si="0"/>
        <v>1189.23</v>
      </c>
      <c r="J14" s="45"/>
      <c r="K14" s="41">
        <v>3</v>
      </c>
      <c r="L14" s="45"/>
      <c r="M14" s="45"/>
      <c r="N14" s="46">
        <f t="shared" si="1"/>
        <v>0.42857142857142855</v>
      </c>
      <c r="O14" s="47">
        <f t="shared" si="2"/>
        <v>0.14285714285714285</v>
      </c>
      <c r="P14" s="48">
        <f>SUMIFS('Отчет 15-21.12'!H:H,'Отчет 15-21.12'!D:D,"Выручка",'Отчет 15-21.12'!E:E,B14)</f>
        <v>1</v>
      </c>
      <c r="Q14" s="48">
        <f>SUMIFS('Отчет 15-21.12'!H:H,'Отчет 15-21.12'!D:D,"Возврат выручки",'Отчет 15-21.12'!E:E,B14)</f>
        <v>0</v>
      </c>
      <c r="R14" s="49">
        <f t="shared" si="3"/>
        <v>1</v>
      </c>
      <c r="S14" s="50">
        <f>SUMIFS('Отчет 15-21.12'!P:P,'Отчет 15-21.12'!C:C,"Продажи",'Отчет 15-21.12'!E:E,B14)</f>
        <v>1505</v>
      </c>
      <c r="T14" s="51">
        <f>SUMIFS('Отчет 15-21.12'!P:P,'Отчет 15-21.12'!C:C,"Возвраты",'Отчет 15-21.12'!E:E,B14)</f>
        <v>0</v>
      </c>
      <c r="U14" s="49">
        <f t="shared" si="4"/>
        <v>1505</v>
      </c>
      <c r="V14" s="52">
        <f t="shared" si="17"/>
        <v>2.3433972252931194E-2</v>
      </c>
      <c r="W14" s="53">
        <f t="shared" si="5"/>
        <v>169.89</v>
      </c>
      <c r="X14" s="51">
        <f>-SUMIFS('Отчет 15-21.12'!P:P,'Отчет 15-21.12'!C:C,"Вознаграждение Ozon",'Отчет 15-21.12'!E:E,B14)</f>
        <v>647.15</v>
      </c>
      <c r="Y14" s="54">
        <f t="shared" si="6"/>
        <v>0.43</v>
      </c>
      <c r="Z14" s="51">
        <f>-SUMIFS('Отчет 15-21.12'!P:P,'Отчет 15-21.12'!C:C,"Услуги доставки",'Отчет 15-21.12'!E:E,B14)</f>
        <v>202.54000000000002</v>
      </c>
      <c r="AA14" s="41">
        <v>0</v>
      </c>
      <c r="AB14" s="64"/>
      <c r="AC14" s="51"/>
      <c r="AD14" s="55">
        <f t="shared" si="7"/>
        <v>90.3</v>
      </c>
      <c r="AE14" s="56">
        <f t="shared" si="8"/>
        <v>395.12000000000012</v>
      </c>
      <c r="AF14" s="55"/>
      <c r="AG14" s="57">
        <f t="shared" si="9"/>
        <v>1505</v>
      </c>
      <c r="AH14" s="58">
        <f t="shared" si="10"/>
        <v>169.89</v>
      </c>
      <c r="AI14" s="58">
        <f t="shared" si="11"/>
        <v>647.15</v>
      </c>
      <c r="AJ14" s="58">
        <f t="shared" si="12"/>
        <v>202.54000000000002</v>
      </c>
      <c r="AK14" s="58">
        <f t="shared" si="13"/>
        <v>0</v>
      </c>
      <c r="AL14" s="58">
        <f t="array" ref="AL14">_xlfn.IFS(R14=0,AE14,R14&lt;0,AE14/-R14,R14&gt;0,AE14/R14)</f>
        <v>395.12000000000012</v>
      </c>
      <c r="AM14" s="59">
        <f t="shared" si="14"/>
        <v>0.2625382059800665</v>
      </c>
      <c r="AN14" s="60">
        <f t="shared" si="15"/>
        <v>2.3257401848254764</v>
      </c>
      <c r="AP14" s="62">
        <f t="shared" si="16"/>
        <v>2765.8400000000011</v>
      </c>
    </row>
    <row r="15" spans="1:42" ht="13.75" customHeight="1">
      <c r="A15" s="39">
        <v>2730130141</v>
      </c>
      <c r="B15" s="40" t="s">
        <v>228</v>
      </c>
      <c r="C15" s="41">
        <v>33</v>
      </c>
      <c r="D15" s="42"/>
      <c r="E15" s="42"/>
      <c r="F15" s="42"/>
      <c r="G15" s="43"/>
      <c r="H15" s="44">
        <v>169.89</v>
      </c>
      <c r="I15" s="63">
        <f t="shared" si="0"/>
        <v>5606.37</v>
      </c>
      <c r="J15" s="45"/>
      <c r="K15" s="41">
        <v>5</v>
      </c>
      <c r="L15" s="45"/>
      <c r="M15" s="45"/>
      <c r="N15" s="46">
        <f t="shared" si="1"/>
        <v>0.7142857142857143</v>
      </c>
      <c r="O15" s="47">
        <f t="shared" si="2"/>
        <v>0.2857142857142857</v>
      </c>
      <c r="P15" s="48">
        <f>SUMIFS('Отчет 15-21.12'!H:H,'Отчет 15-21.12'!D:D,"Выручка",'Отчет 15-21.12'!E:E,B15)</f>
        <v>2</v>
      </c>
      <c r="Q15" s="48">
        <f>SUMIFS('Отчет 15-21.12'!H:H,'Отчет 15-21.12'!D:D,"Возврат выручки",'Отчет 15-21.12'!E:E,B15)</f>
        <v>0</v>
      </c>
      <c r="R15" s="49">
        <f t="shared" si="3"/>
        <v>2</v>
      </c>
      <c r="S15" s="50">
        <f>SUMIFS('Отчет 15-21.12'!P:P,'Отчет 15-21.12'!C:C,"Продажи",'Отчет 15-21.12'!E:E,B15)</f>
        <v>2670</v>
      </c>
      <c r="T15" s="51">
        <f>SUMIFS('Отчет 15-21.12'!P:P,'Отчет 15-21.12'!C:C,"Возвраты",'Отчет 15-21.12'!E:E,B15)</f>
        <v>0</v>
      </c>
      <c r="U15" s="49">
        <f t="shared" si="4"/>
        <v>2670</v>
      </c>
      <c r="V15" s="52">
        <f t="shared" si="17"/>
        <v>4.1573890973638727E-2</v>
      </c>
      <c r="W15" s="53">
        <f t="shared" si="5"/>
        <v>339.78</v>
      </c>
      <c r="X15" s="51">
        <f>-SUMIFS('Отчет 15-21.12'!P:P,'Отчет 15-21.12'!C:C,"Вознаграждение Ozon",'Отчет 15-21.12'!E:E,B15)</f>
        <v>1148.0999999999999</v>
      </c>
      <c r="Y15" s="54">
        <f t="shared" si="6"/>
        <v>0.43</v>
      </c>
      <c r="Z15" s="51">
        <f>-SUMIFS('Отчет 15-21.12'!P:P,'Отчет 15-21.12'!C:C,"Услуги доставки",'Отчет 15-21.12'!E:E,B15)</f>
        <v>394.86</v>
      </c>
      <c r="AA15" s="41">
        <v>253.46</v>
      </c>
      <c r="AB15" s="64"/>
      <c r="AC15" s="51"/>
      <c r="AD15" s="55">
        <f t="shared" si="7"/>
        <v>160.19999999999999</v>
      </c>
      <c r="AE15" s="56">
        <f t="shared" si="8"/>
        <v>373.60000000000031</v>
      </c>
      <c r="AF15" s="55"/>
      <c r="AG15" s="57">
        <f t="shared" si="9"/>
        <v>1335</v>
      </c>
      <c r="AH15" s="58">
        <f t="shared" si="10"/>
        <v>169.89</v>
      </c>
      <c r="AI15" s="58">
        <f t="shared" si="11"/>
        <v>574.04999999999995</v>
      </c>
      <c r="AJ15" s="58">
        <f t="shared" si="12"/>
        <v>197.43</v>
      </c>
      <c r="AK15" s="58">
        <f t="shared" si="13"/>
        <v>126.73</v>
      </c>
      <c r="AL15" s="58">
        <f t="array" ref="AL15">_xlfn.IFS(R15=0,AE15,R15&lt;0,AE15/-R15,R15&gt;0,AE15/R15)</f>
        <v>186.80000000000015</v>
      </c>
      <c r="AM15" s="59">
        <f t="shared" si="14"/>
        <v>0.13992509363295891</v>
      </c>
      <c r="AN15" s="60">
        <f t="shared" si="15"/>
        <v>1.0995349932309151</v>
      </c>
      <c r="AP15" s="62">
        <f t="shared" si="16"/>
        <v>6164.4000000000051</v>
      </c>
    </row>
    <row r="16" spans="1:42" ht="13.75" customHeight="1">
      <c r="A16" s="39">
        <v>2730129805</v>
      </c>
      <c r="B16" s="40" t="s">
        <v>19</v>
      </c>
      <c r="C16" s="41">
        <v>24</v>
      </c>
      <c r="D16" s="42"/>
      <c r="E16" s="42"/>
      <c r="F16" s="42"/>
      <c r="G16" s="43"/>
      <c r="H16" s="44">
        <v>169.89</v>
      </c>
      <c r="I16" s="63">
        <f t="shared" si="0"/>
        <v>4077.3599999999997</v>
      </c>
      <c r="J16" s="45"/>
      <c r="K16" s="41">
        <v>0</v>
      </c>
      <c r="L16" s="45"/>
      <c r="M16" s="45"/>
      <c r="N16" s="46">
        <f t="shared" si="1"/>
        <v>0</v>
      </c>
      <c r="O16" s="47">
        <f t="shared" si="2"/>
        <v>0</v>
      </c>
      <c r="P16" s="48">
        <f>SUMIFS('Отчет 15-21.12'!H:H,'Отчет 15-21.12'!D:D,"Выручка",'Отчет 15-21.12'!E:E,B16)</f>
        <v>0</v>
      </c>
      <c r="Q16" s="48">
        <f>SUMIFS('Отчет 15-21.12'!H:H,'Отчет 15-21.12'!D:D,"Возврат выручки",'Отчет 15-21.12'!E:E,B16)</f>
        <v>0</v>
      </c>
      <c r="R16" s="49">
        <f t="shared" si="3"/>
        <v>0</v>
      </c>
      <c r="S16" s="50">
        <f>SUMIFS('Отчет 15-21.12'!P:P,'Отчет 15-21.12'!C:C,"Продажи",'Отчет 15-21.12'!E:E,B16)</f>
        <v>0</v>
      </c>
      <c r="T16" s="51">
        <f>SUMIFS('Отчет 15-21.12'!P:P,'Отчет 15-21.12'!C:C,"Возвраты",'Отчет 15-21.12'!E:E,B16)</f>
        <v>0</v>
      </c>
      <c r="U16" s="49">
        <f t="shared" si="4"/>
        <v>0</v>
      </c>
      <c r="V16" s="52">
        <f t="shared" si="17"/>
        <v>0</v>
      </c>
      <c r="W16" s="53">
        <f t="shared" si="5"/>
        <v>0</v>
      </c>
      <c r="X16" s="51">
        <f>-SUMIFS('Отчет 15-21.12'!P:P,'Отчет 15-21.12'!C:C,"Вознаграждение Ozon",'Отчет 15-21.12'!E:E,B16)</f>
        <v>0</v>
      </c>
      <c r="Y16" s="54">
        <f t="shared" si="6"/>
        <v>0</v>
      </c>
      <c r="Z16" s="51">
        <f>-SUMIFS('Отчет 15-21.12'!P:P,'Отчет 15-21.12'!C:C,"Услуги доставки",'Отчет 15-21.12'!E:E,B16)</f>
        <v>0</v>
      </c>
      <c r="AA16" s="41">
        <v>0</v>
      </c>
      <c r="AB16" s="64"/>
      <c r="AC16" s="51"/>
      <c r="AD16" s="55">
        <f t="shared" si="7"/>
        <v>0</v>
      </c>
      <c r="AE16" s="56">
        <f t="shared" si="8"/>
        <v>0</v>
      </c>
      <c r="AF16" s="55"/>
      <c r="AG16" s="57">
        <f t="shared" si="9"/>
        <v>0</v>
      </c>
      <c r="AH16" s="58">
        <f t="shared" si="10"/>
        <v>169.89</v>
      </c>
      <c r="AI16" s="58">
        <f t="shared" si="11"/>
        <v>0</v>
      </c>
      <c r="AJ16" s="58">
        <f t="shared" si="12"/>
        <v>0</v>
      </c>
      <c r="AK16" s="58">
        <f t="shared" si="13"/>
        <v>0</v>
      </c>
      <c r="AL16" s="58">
        <f t="array" ref="AL16">_xlfn.IFS(R16=0,AE16,R16&lt;0,AE16/-R16,R16&gt;0,AE16/R16)</f>
        <v>0</v>
      </c>
      <c r="AM16" s="59">
        <f t="shared" si="14"/>
        <v>0</v>
      </c>
      <c r="AN16" s="60">
        <f t="shared" si="15"/>
        <v>0</v>
      </c>
      <c r="AP16" s="62">
        <f t="shared" si="16"/>
        <v>0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</v>
      </c>
      <c r="P17" s="48">
        <f>SUMIFS('Отчет 15-21.12'!H:H,'Отчет 15-21.12'!D:D,"Выручка",'Отчет 15-21.12'!E:E,B17)</f>
        <v>0</v>
      </c>
      <c r="Q17" s="48">
        <f>SUMIFS('Отчет 15-21.12'!H:H,'Отчет 15-21.12'!D:D,"Возврат выручки",'Отчет 15-21.12'!E:E,B17)</f>
        <v>0</v>
      </c>
      <c r="R17" s="49">
        <f t="shared" si="3"/>
        <v>0</v>
      </c>
      <c r="S17" s="50">
        <f>SUMIFS('Отчет 15-21.12'!P:P,'Отчет 15-21.12'!C:C,"Продажи",'Отчет 15-21.12'!E:E,B17)</f>
        <v>0</v>
      </c>
      <c r="T17" s="51">
        <f>SUMIFS('Отчет 15-21.12'!P:P,'Отчет 15-21.12'!C:C,"Возвраты",'Отчет 15-21.12'!E:E,B17)</f>
        <v>0</v>
      </c>
      <c r="U17" s="49">
        <f t="shared" si="4"/>
        <v>0</v>
      </c>
      <c r="V17" s="52">
        <f t="shared" si="17"/>
        <v>0</v>
      </c>
      <c r="W17" s="53">
        <f t="shared" si="5"/>
        <v>0</v>
      </c>
      <c r="X17" s="51">
        <f>-SUMIFS('Отчет 15-21.12'!P:P,'Отчет 15-21.12'!C:C,"Вознаграждение Ozon",'Отчет 15-21.12'!E:E,B17)</f>
        <v>0</v>
      </c>
      <c r="Y17" s="54">
        <f t="shared" si="6"/>
        <v>0</v>
      </c>
      <c r="Z17" s="51">
        <f>-SUMIFS('Отчет 15-21.12'!P:P,'Отчет 15-21.12'!C:C,"Услуги доставки",'Отчет 15-21.12'!E:E,B17)</f>
        <v>0</v>
      </c>
      <c r="AA17" s="41">
        <v>0</v>
      </c>
      <c r="AB17" s="64"/>
      <c r="AC17" s="51"/>
      <c r="AD17" s="55">
        <f t="shared" si="7"/>
        <v>0</v>
      </c>
      <c r="AE17" s="56">
        <f t="shared" si="8"/>
        <v>0</v>
      </c>
      <c r="AF17" s="55"/>
      <c r="AG17" s="57">
        <f t="shared" si="9"/>
        <v>0</v>
      </c>
      <c r="AH17" s="58">
        <f t="shared" si="10"/>
        <v>1002.82</v>
      </c>
      <c r="AI17" s="58">
        <f t="shared" si="11"/>
        <v>0</v>
      </c>
      <c r="AJ17" s="58">
        <f t="shared" si="12"/>
        <v>0</v>
      </c>
      <c r="AK17" s="58">
        <f t="shared" si="13"/>
        <v>0</v>
      </c>
      <c r="AL17" s="58">
        <f t="array" ref="AL17">_xlfn.IFS(R17=0,AE17,R17&lt;0,AE17/-R17,R17&gt;0,AE17/R17)</f>
        <v>0</v>
      </c>
      <c r="AM17" s="59">
        <f t="shared" si="14"/>
        <v>0</v>
      </c>
      <c r="AN17" s="60">
        <f t="shared" si="15"/>
        <v>0</v>
      </c>
      <c r="AP17" s="62">
        <f t="shared" si="16"/>
        <v>0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15-21.12'!H:H,'Отчет 15-21.12'!D:D,"Выручка",'Отчет 15-21.12'!E:E,B18)</f>
        <v>0</v>
      </c>
      <c r="Q18" s="48">
        <f>SUMIFS('Отчет 15-21.12'!H:H,'Отчет 15-21.12'!D:D,"Возврат выручки",'Отчет 15-21.12'!E:E,B18)</f>
        <v>0</v>
      </c>
      <c r="R18" s="49">
        <f t="shared" si="3"/>
        <v>0</v>
      </c>
      <c r="S18" s="50">
        <f>SUMIFS('Отчет 15-21.12'!P:P,'Отчет 15-21.12'!C:C,"Продажи",'Отчет 15-21.12'!E:E,B18)</f>
        <v>0</v>
      </c>
      <c r="T18" s="51">
        <f>SUMIFS('Отчет 15-21.12'!P:P,'Отчет 15-21.12'!C:C,"Возвраты",'Отчет 15-21.12'!E:E,B18)</f>
        <v>0</v>
      </c>
      <c r="U18" s="49">
        <f t="shared" si="4"/>
        <v>0</v>
      </c>
      <c r="V18" s="52">
        <f t="shared" si="17"/>
        <v>0</v>
      </c>
      <c r="W18" s="53">
        <f t="shared" si="5"/>
        <v>0</v>
      </c>
      <c r="X18" s="51">
        <f>-SUMIFS('Отчет 15-21.12'!P:P,'Отчет 15-21.12'!C:C,"Вознаграждение Ozon",'Отчет 15-21.12'!E:E,B18)</f>
        <v>0</v>
      </c>
      <c r="Y18" s="54">
        <f t="shared" si="6"/>
        <v>0</v>
      </c>
      <c r="Z18" s="51">
        <f>-SUMIFS('Отчет 15-21.12'!P:P,'Отчет 15-21.12'!C:C,"Услуги доставки",'Отчет 15-21.12'!E:E,B18)</f>
        <v>0</v>
      </c>
      <c r="AA18" s="41">
        <v>0</v>
      </c>
      <c r="AB18" s="64"/>
      <c r="AC18" s="51"/>
      <c r="AD18" s="55">
        <f t="shared" si="7"/>
        <v>0</v>
      </c>
      <c r="AE18" s="56">
        <f t="shared" si="8"/>
        <v>0</v>
      </c>
      <c r="AF18" s="55"/>
      <c r="AG18" s="57">
        <f t="shared" si="9"/>
        <v>0</v>
      </c>
      <c r="AH18" s="58">
        <f t="shared" si="10"/>
        <v>909.22</v>
      </c>
      <c r="AI18" s="58">
        <f t="shared" si="11"/>
        <v>0</v>
      </c>
      <c r="AJ18" s="58">
        <f t="shared" si="12"/>
        <v>0</v>
      </c>
      <c r="AK18" s="58">
        <f t="shared" si="13"/>
        <v>0</v>
      </c>
      <c r="AL18" s="58">
        <f t="array" ref="AL18">_xlfn.IFS(R18=0,AE18,R18&lt;0,AE18/-R18,R18&gt;0,AE18/R18)</f>
        <v>0</v>
      </c>
      <c r="AM18" s="59">
        <f t="shared" si="14"/>
        <v>0</v>
      </c>
      <c r="AN18" s="60">
        <f t="shared" si="15"/>
        <v>0</v>
      </c>
      <c r="AP18" s="62">
        <f t="shared" si="16"/>
        <v>0</v>
      </c>
    </row>
    <row r="19" spans="1:52" ht="13.75" customHeight="1">
      <c r="A19" s="39">
        <v>2807226016</v>
      </c>
      <c r="B19" s="40" t="s">
        <v>231</v>
      </c>
      <c r="C19" s="41"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15-21.12'!H:H,'Отчет 15-21.12'!D:D,"Выручка",'Отчет 15-21.12'!E:E,B19)</f>
        <v>0</v>
      </c>
      <c r="Q19" s="48">
        <f>SUMIFS('Отчет 15-21.12'!H:H,'Отчет 15-21.12'!D:D,"Возврат выручки",'Отчет 15-21.12'!E:E,B19)</f>
        <v>0</v>
      </c>
      <c r="R19" s="49">
        <f t="shared" si="3"/>
        <v>0</v>
      </c>
      <c r="S19" s="50">
        <f>SUMIFS('Отчет 15-21.12'!P:P,'Отчет 15-21.12'!C:C,"Продажи",'Отчет 15-21.12'!E:E,B19)</f>
        <v>0</v>
      </c>
      <c r="T19" s="51">
        <f>SUMIFS('Отчет 15-21.12'!P:P,'Отчет 15-21.12'!C:C,"Возвраты",'Отчет 15-21.12'!E:E,B19)</f>
        <v>0</v>
      </c>
      <c r="U19" s="49">
        <f t="shared" si="4"/>
        <v>0</v>
      </c>
      <c r="V19" s="52">
        <f t="shared" si="17"/>
        <v>0</v>
      </c>
      <c r="W19" s="53">
        <f t="shared" si="5"/>
        <v>0</v>
      </c>
      <c r="X19" s="51">
        <f>-SUMIFS('Отчет 15-21.12'!P:P,'Отчет 15-21.12'!C:C,"Вознаграждение Ozon",'Отчет 15-21.12'!E:E,B19)</f>
        <v>0</v>
      </c>
      <c r="Y19" s="54">
        <f t="shared" si="6"/>
        <v>0</v>
      </c>
      <c r="Z19" s="51">
        <f>-SUMIFS('Отчет 15-21.12'!P:P,'Отчет 15-21.12'!C:C,"Услуги доставки",'Отчет 15-21.12'!E:E,B19)</f>
        <v>0</v>
      </c>
      <c r="AA19" s="41">
        <v>0</v>
      </c>
      <c r="AB19" s="64"/>
      <c r="AC19" s="51"/>
      <c r="AD19" s="55">
        <f t="shared" si="7"/>
        <v>0</v>
      </c>
      <c r="AE19" s="56">
        <f t="shared" si="8"/>
        <v>0</v>
      </c>
      <c r="AF19" s="55"/>
      <c r="AG19" s="57">
        <f t="shared" si="9"/>
        <v>0</v>
      </c>
      <c r="AH19" s="58">
        <f t="shared" si="10"/>
        <v>909.22</v>
      </c>
      <c r="AI19" s="58">
        <f t="shared" si="11"/>
        <v>0</v>
      </c>
      <c r="AJ19" s="58">
        <f t="shared" si="12"/>
        <v>0</v>
      </c>
      <c r="AK19" s="58">
        <f t="shared" si="13"/>
        <v>0</v>
      </c>
      <c r="AL19" s="58">
        <f t="array" ref="AL19">_xlfn.IFS(R19=0,AE19,R19&lt;0,AE19/-R19,R19&gt;0,AE19/R19)</f>
        <v>0</v>
      </c>
      <c r="AM19" s="59">
        <f t="shared" si="14"/>
        <v>0</v>
      </c>
      <c r="AN19" s="60">
        <f t="shared" si="15"/>
        <v>0</v>
      </c>
      <c r="AP19" s="62">
        <f t="shared" si="16"/>
        <v>0</v>
      </c>
    </row>
    <row r="20" spans="1:52" ht="13.75" customHeight="1">
      <c r="A20" s="39">
        <v>2807226072</v>
      </c>
      <c r="B20" s="40" t="s">
        <v>111</v>
      </c>
      <c r="C20" s="41">
        <v>1</v>
      </c>
      <c r="D20" s="42"/>
      <c r="E20" s="42"/>
      <c r="F20" s="42"/>
      <c r="G20" s="43"/>
      <c r="H20" s="44">
        <v>932.62</v>
      </c>
      <c r="I20" s="63">
        <f t="shared" si="0"/>
        <v>932.62</v>
      </c>
      <c r="J20" s="45"/>
      <c r="K20" s="41">
        <v>1</v>
      </c>
      <c r="L20" s="45"/>
      <c r="M20" s="45"/>
      <c r="N20" s="46">
        <f t="shared" si="1"/>
        <v>0.14285714285714285</v>
      </c>
      <c r="O20" s="47">
        <f t="shared" si="2"/>
        <v>0</v>
      </c>
      <c r="P20" s="48">
        <f>SUMIFS('Отчет 15-21.12'!H:H,'Отчет 15-21.12'!D:D,"Выручка",'Отчет 15-21.12'!E:E,B20)</f>
        <v>0</v>
      </c>
      <c r="Q20" s="48">
        <f>SUMIFS('Отчет 15-21.12'!H:H,'Отчет 15-21.12'!D:D,"Возврат выручки",'Отчет 15-21.12'!E:E,B20)</f>
        <v>0</v>
      </c>
      <c r="R20" s="49">
        <f t="shared" si="3"/>
        <v>0</v>
      </c>
      <c r="S20" s="50">
        <f>SUMIFS('Отчет 15-21.12'!P:P,'Отчет 15-21.12'!C:C,"Продажи",'Отчет 15-21.12'!E:E,B20)</f>
        <v>0</v>
      </c>
      <c r="T20" s="51">
        <f>SUMIFS('Отчет 15-21.12'!P:P,'Отчет 15-21.12'!C:C,"Возвраты",'Отчет 15-21.12'!E:E,B20)</f>
        <v>0</v>
      </c>
      <c r="U20" s="49">
        <f t="shared" si="4"/>
        <v>0</v>
      </c>
      <c r="V20" s="52">
        <f t="shared" si="17"/>
        <v>0</v>
      </c>
      <c r="W20" s="53">
        <f t="shared" si="5"/>
        <v>0</v>
      </c>
      <c r="X20" s="51">
        <f>-SUMIFS('Отчет 15-21.12'!P:P,'Отчет 15-21.12'!C:C,"Вознаграждение Ozon",'Отчет 15-21.12'!E:E,B20)</f>
        <v>0</v>
      </c>
      <c r="Y20" s="54">
        <f t="shared" si="6"/>
        <v>0</v>
      </c>
      <c r="Z20" s="51">
        <f>-SUMIFS('Отчет 15-21.12'!P:P,'Отчет 15-21.12'!C:C,"Услуги доставки",'Отчет 15-21.12'!E:E,B20)</f>
        <v>0</v>
      </c>
      <c r="AA20" s="41">
        <v>0</v>
      </c>
      <c r="AB20" s="64"/>
      <c r="AC20" s="51"/>
      <c r="AD20" s="55">
        <f t="shared" si="7"/>
        <v>0</v>
      </c>
      <c r="AE20" s="56">
        <f t="shared" si="8"/>
        <v>0</v>
      </c>
      <c r="AF20" s="55"/>
      <c r="AG20" s="57">
        <f t="shared" si="9"/>
        <v>0</v>
      </c>
      <c r="AH20" s="58">
        <f t="shared" si="10"/>
        <v>932.62</v>
      </c>
      <c r="AI20" s="58">
        <f t="shared" si="11"/>
        <v>0</v>
      </c>
      <c r="AJ20" s="58">
        <f t="shared" si="12"/>
        <v>0</v>
      </c>
      <c r="AK20" s="58">
        <f t="shared" si="13"/>
        <v>0</v>
      </c>
      <c r="AL20" s="58">
        <f t="array" ref="AL20">_xlfn.IFS(R20=0,AE20,R20&lt;0,AE20/-R20,R20&gt;0,AE20/R20)</f>
        <v>0</v>
      </c>
      <c r="AM20" s="59">
        <f t="shared" si="14"/>
        <v>0</v>
      </c>
      <c r="AN20" s="60">
        <f t="shared" si="15"/>
        <v>0</v>
      </c>
      <c r="AP20" s="62">
        <f t="shared" si="16"/>
        <v>0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15-21.12'!H:H,'Отчет 15-21.12'!D:D,"Выручка",'Отчет 15-21.12'!E:E,B21)</f>
        <v>0</v>
      </c>
      <c r="Q21" s="48">
        <f>SUMIFS('Отчет 15-21.12'!H:H,'Отчет 15-21.12'!D:D,"Возврат выручки",'Отчет 15-21.12'!E:E,B21)</f>
        <v>0</v>
      </c>
      <c r="R21" s="49">
        <f t="shared" si="3"/>
        <v>0</v>
      </c>
      <c r="S21" s="50">
        <f>SUMIFS('Отчет 15-21.12'!P:P,'Отчет 15-21.12'!C:C,"Продажи",'Отчет 15-21.12'!E:E,B21)</f>
        <v>0</v>
      </c>
      <c r="T21" s="51">
        <f>SUMIFS('Отчет 15-21.12'!P:P,'Отчет 15-21.12'!C:C,"Возвраты",'Отчет 15-21.12'!E:E,B21)</f>
        <v>0</v>
      </c>
      <c r="U21" s="49">
        <f t="shared" si="4"/>
        <v>0</v>
      </c>
      <c r="V21" s="52">
        <f t="shared" si="17"/>
        <v>0</v>
      </c>
      <c r="W21" s="53">
        <f t="shared" si="5"/>
        <v>0</v>
      </c>
      <c r="X21" s="51">
        <f>-SUMIFS('Отчет 15-21.12'!P:P,'Отчет 15-21.12'!C:C,"Вознаграждение Ozon",'Отчет 15-21.12'!E:E,B21)</f>
        <v>0</v>
      </c>
      <c r="Y21" s="54">
        <f t="shared" si="6"/>
        <v>0</v>
      </c>
      <c r="Z21" s="51">
        <f>-SUMIFS('Отчет 15-21.12'!P:P,'Отчет 15-21.12'!C:C,"Услуги доставки",'Отчет 15-21.12'!E:E,B21)</f>
        <v>0</v>
      </c>
      <c r="AA21" s="41">
        <v>0</v>
      </c>
      <c r="AB21" s="64"/>
      <c r="AC21" s="51"/>
      <c r="AD21" s="55">
        <f t="shared" si="7"/>
        <v>0</v>
      </c>
      <c r="AE21" s="56">
        <f t="shared" si="8"/>
        <v>0</v>
      </c>
      <c r="AF21" s="55"/>
      <c r="AG21" s="57">
        <f t="shared" si="9"/>
        <v>0</v>
      </c>
      <c r="AH21" s="58">
        <f t="shared" si="10"/>
        <v>1014.52</v>
      </c>
      <c r="AI21" s="58">
        <f t="shared" si="11"/>
        <v>0</v>
      </c>
      <c r="AJ21" s="58">
        <f t="shared" si="12"/>
        <v>0</v>
      </c>
      <c r="AK21" s="58">
        <f t="shared" si="13"/>
        <v>0</v>
      </c>
      <c r="AL21" s="58">
        <f t="array" ref="AL21">_xlfn.IFS(R21=0,AE21,R21&lt;0,AE21/-R21,R21&gt;0,AE21/R21)</f>
        <v>0</v>
      </c>
      <c r="AM21" s="59">
        <f t="shared" si="14"/>
        <v>0</v>
      </c>
      <c r="AN21" s="60">
        <f t="shared" si="15"/>
        <v>0</v>
      </c>
      <c r="AP21" s="62">
        <f t="shared" si="16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15-21.12'!H:H,'Отчет 15-21.12'!D:D,"Выручка",'Отчет 15-21.12'!E:E,B22)</f>
        <v>0</v>
      </c>
      <c r="Q22" s="48">
        <f>SUMIFS('Отчет 15-21.12'!H:H,'Отчет 15-21.12'!D:D,"Возврат выручки",'Отчет 15-21.12'!E:E,B22)</f>
        <v>0</v>
      </c>
      <c r="R22" s="49">
        <f t="shared" si="3"/>
        <v>0</v>
      </c>
      <c r="S22" s="50">
        <f>SUMIFS('Отчет 15-21.12'!P:P,'Отчет 15-21.12'!C:C,"Продажи",'Отчет 15-21.12'!E:E,B22)</f>
        <v>0</v>
      </c>
      <c r="T22" s="51">
        <f>SUMIFS('Отчет 15-21.12'!P:P,'Отчет 15-21.12'!C:C,"Возвраты",'Отчет 15-21.12'!E:E,B22)</f>
        <v>0</v>
      </c>
      <c r="U22" s="49">
        <f t="shared" si="4"/>
        <v>0</v>
      </c>
      <c r="V22" s="52">
        <f t="shared" si="17"/>
        <v>0</v>
      </c>
      <c r="W22" s="53">
        <f t="shared" si="5"/>
        <v>0</v>
      </c>
      <c r="X22" s="51">
        <f>-SUMIFS('Отчет 15-21.12'!P:P,'Отчет 15-21.12'!C:C,"Вознаграждение Ozon",'Отчет 15-21.12'!E:E,B22)</f>
        <v>0</v>
      </c>
      <c r="Y22" s="54">
        <f t="shared" si="6"/>
        <v>0</v>
      </c>
      <c r="Z22" s="51">
        <f>-SUMIFS('Отчет 15-21.12'!P:P,'Отчет 15-21.12'!C:C,"Услуги доставки",'Отчет 15-21.12'!E:E,B22)</f>
        <v>0</v>
      </c>
      <c r="AA22" s="41">
        <v>0</v>
      </c>
      <c r="AB22" s="64"/>
      <c r="AC22" s="51"/>
      <c r="AD22" s="55">
        <f t="shared" si="7"/>
        <v>0</v>
      </c>
      <c r="AE22" s="56">
        <f t="shared" si="8"/>
        <v>0</v>
      </c>
      <c r="AF22" s="55"/>
      <c r="AG22" s="57">
        <f t="shared" si="9"/>
        <v>0</v>
      </c>
      <c r="AH22" s="58">
        <f t="shared" si="10"/>
        <v>1014.52</v>
      </c>
      <c r="AI22" s="58">
        <f t="shared" si="11"/>
        <v>0</v>
      </c>
      <c r="AJ22" s="58">
        <f t="shared" si="12"/>
        <v>0</v>
      </c>
      <c r="AK22" s="58">
        <f t="shared" si="13"/>
        <v>0</v>
      </c>
      <c r="AL22" s="58">
        <f t="array" ref="AL22">_xlfn.IFS(R22=0,AE22,R22&lt;0,AE22/-R22,R22&gt;0,AE22/R22)</f>
        <v>0</v>
      </c>
      <c r="AM22" s="59">
        <f t="shared" si="14"/>
        <v>0</v>
      </c>
      <c r="AN22" s="60">
        <f t="shared" si="15"/>
        <v>0</v>
      </c>
      <c r="AP22" s="62">
        <f t="shared" si="16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"/>
        <v>0</v>
      </c>
      <c r="O23" s="47">
        <f t="shared" si="2"/>
        <v>0</v>
      </c>
      <c r="P23" s="48">
        <f>SUMIFS('Отчет 15-21.12'!H:H,'Отчет 15-21.12'!D:D,"Выручка",'Отчет 15-21.12'!E:E,B23)</f>
        <v>0</v>
      </c>
      <c r="Q23" s="48">
        <f>SUMIFS('Отчет 15-21.12'!H:H,'Отчет 15-21.12'!D:D,"Возврат выручки",'Отчет 15-21.12'!E:E,B23)</f>
        <v>0</v>
      </c>
      <c r="R23" s="49">
        <f t="shared" si="3"/>
        <v>0</v>
      </c>
      <c r="S23" s="50">
        <f>SUMIFS('Отчет 15-21.12'!P:P,'Отчет 15-21.12'!C:C,"Продажи",'Отчет 15-21.12'!E:E,B23)</f>
        <v>0</v>
      </c>
      <c r="T23" s="51">
        <f>SUMIFS('Отчет 15-21.12'!P:P,'Отчет 15-21.12'!C:C,"Возвраты",'Отчет 15-21.12'!E:E,B23)</f>
        <v>0</v>
      </c>
      <c r="U23" s="49">
        <f t="shared" si="4"/>
        <v>0</v>
      </c>
      <c r="V23" s="52">
        <f t="shared" si="17"/>
        <v>0</v>
      </c>
      <c r="W23" s="53">
        <f t="shared" si="5"/>
        <v>0</v>
      </c>
      <c r="X23" s="51">
        <f>-SUMIFS('Отчет 15-21.12'!P:P,'Отчет 15-21.12'!C:C,"Вознаграждение Ozon",'Отчет 15-21.12'!E:E,B23)</f>
        <v>0</v>
      </c>
      <c r="Y23" s="54">
        <f t="shared" si="6"/>
        <v>0</v>
      </c>
      <c r="Z23" s="51">
        <f>-SUMIFS('Отчет 15-21.12'!P:P,'Отчет 15-21.12'!C:C,"Услуги доставки",'Отчет 15-21.12'!E:E,B23)</f>
        <v>0</v>
      </c>
      <c r="AA23" s="41">
        <v>0</v>
      </c>
      <c r="AB23" s="64"/>
      <c r="AC23" s="51"/>
      <c r="AD23" s="55">
        <f t="shared" si="7"/>
        <v>0</v>
      </c>
      <c r="AE23" s="56">
        <f t="shared" si="8"/>
        <v>0</v>
      </c>
      <c r="AF23" s="55"/>
      <c r="AG23" s="57">
        <f t="shared" si="9"/>
        <v>0</v>
      </c>
      <c r="AH23" s="58">
        <f t="shared" si="10"/>
        <v>1014.52</v>
      </c>
      <c r="AI23" s="58">
        <f t="shared" si="11"/>
        <v>0</v>
      </c>
      <c r="AJ23" s="58">
        <f t="shared" si="12"/>
        <v>0</v>
      </c>
      <c r="AK23" s="58">
        <f t="shared" si="13"/>
        <v>0</v>
      </c>
      <c r="AL23" s="58">
        <f t="array" ref="AL23">_xlfn.IFS(R23=0,AE23,R23&lt;0,AE23/-R23,R23&gt;0,AE23/R23)</f>
        <v>0</v>
      </c>
      <c r="AM23" s="59">
        <f t="shared" si="14"/>
        <v>0</v>
      </c>
      <c r="AN23" s="60">
        <f t="shared" si="15"/>
        <v>0</v>
      </c>
      <c r="AP23" s="62">
        <f t="shared" si="16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"/>
        <v>0</v>
      </c>
      <c r="O24" s="47">
        <f t="shared" si="2"/>
        <v>0</v>
      </c>
      <c r="P24" s="48">
        <f>SUMIFS('Отчет 15-21.12'!H:H,'Отчет 15-21.12'!D:D,"Выручка",'Отчет 15-21.12'!E:E,B24)</f>
        <v>0</v>
      </c>
      <c r="Q24" s="48">
        <f>SUMIFS('Отчет 15-21.12'!H:H,'Отчет 15-21.12'!D:D,"Возврат выручки",'Отчет 15-21.12'!E:E,B24)</f>
        <v>0</v>
      </c>
      <c r="R24" s="49">
        <f t="shared" si="3"/>
        <v>0</v>
      </c>
      <c r="S24" s="50">
        <f>SUMIFS('Отчет 15-21.12'!P:P,'Отчет 15-21.12'!C:C,"Продажи",'Отчет 15-21.12'!E:E,B24)</f>
        <v>0</v>
      </c>
      <c r="T24" s="51">
        <f>SUMIFS('Отчет 15-21.12'!P:P,'Отчет 15-21.12'!C:C,"Возвраты",'Отчет 15-21.12'!E:E,B24)</f>
        <v>0</v>
      </c>
      <c r="U24" s="49">
        <f t="shared" si="4"/>
        <v>0</v>
      </c>
      <c r="V24" s="52">
        <f t="shared" si="17"/>
        <v>0</v>
      </c>
      <c r="W24" s="53">
        <f t="shared" si="5"/>
        <v>0</v>
      </c>
      <c r="X24" s="51">
        <f>-SUMIFS('Отчет 15-21.12'!P:P,'Отчет 15-21.12'!C:C,"Вознаграждение Ozon",'Отчет 15-21.12'!E:E,B24)</f>
        <v>0</v>
      </c>
      <c r="Y24" s="54">
        <f t="shared" si="6"/>
        <v>0</v>
      </c>
      <c r="Z24" s="51">
        <f>-SUMIFS('Отчет 15-21.12'!P:P,'Отчет 15-21.12'!C:C,"Услуги доставки",'Отчет 15-21.12'!E:E,B24)</f>
        <v>0</v>
      </c>
      <c r="AA24" s="41">
        <v>0</v>
      </c>
      <c r="AB24" s="64"/>
      <c r="AC24" s="51"/>
      <c r="AD24" s="55">
        <f t="shared" si="7"/>
        <v>0</v>
      </c>
      <c r="AE24" s="56">
        <f t="shared" si="8"/>
        <v>0</v>
      </c>
      <c r="AF24" s="55"/>
      <c r="AG24" s="57">
        <f t="shared" si="9"/>
        <v>0</v>
      </c>
      <c r="AH24" s="58">
        <f t="shared" si="10"/>
        <v>991.12</v>
      </c>
      <c r="AI24" s="58">
        <f t="shared" si="11"/>
        <v>0</v>
      </c>
      <c r="AJ24" s="58">
        <f t="shared" si="12"/>
        <v>0</v>
      </c>
      <c r="AK24" s="58">
        <f t="shared" si="13"/>
        <v>0</v>
      </c>
      <c r="AL24" s="58">
        <f t="array" ref="AL24">_xlfn.IFS(R24=0,AE24,R24&lt;0,AE24/-R24,R24&gt;0,AE24/R24)</f>
        <v>0</v>
      </c>
      <c r="AM24" s="59">
        <f t="shared" si="14"/>
        <v>0</v>
      </c>
      <c r="AN24" s="60">
        <f t="shared" si="15"/>
        <v>0</v>
      </c>
      <c r="AP24" s="62">
        <f t="shared" si="16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8">AVERAGEIF(AG3:AG24,"&lt;&gt;0",AG3:AG24)</f>
        <v>1345.5036764705883</v>
      </c>
      <c r="AH25" s="247">
        <f t="shared" si="18"/>
        <v>447.87636363636369</v>
      </c>
      <c r="AI25" s="247">
        <f t="shared" si="18"/>
        <v>578.56658088235292</v>
      </c>
      <c r="AJ25" s="247">
        <f t="shared" si="18"/>
        <v>149.7647320261438</v>
      </c>
      <c r="AK25" s="247">
        <f t="shared" si="18"/>
        <v>259.60847710784316</v>
      </c>
      <c r="AL25" s="247">
        <f t="shared" si="18"/>
        <v>204.21182288897069</v>
      </c>
      <c r="AM25" s="249">
        <f t="shared" si="18"/>
        <v>0.17574882035298214</v>
      </c>
      <c r="AN25" s="249">
        <f t="shared" si="18"/>
        <v>1.5083441739922736</v>
      </c>
      <c r="AO25" s="240"/>
      <c r="AP25" s="241"/>
    </row>
    <row r="26" spans="1:52">
      <c r="A26" s="216" t="s">
        <v>305</v>
      </c>
      <c r="B26" s="209"/>
      <c r="C26" s="217">
        <f>SUM(C3:C24)</f>
        <v>4795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622514.00999999989</v>
      </c>
      <c r="J26" s="212"/>
      <c r="K26" s="217">
        <f>SUM(K3:K24)</f>
        <v>95</v>
      </c>
      <c r="L26" s="212"/>
      <c r="M26" s="212"/>
      <c r="N26" s="213"/>
      <c r="O26" s="214"/>
      <c r="P26" s="217">
        <f>SUM(P3:P24)</f>
        <v>44</v>
      </c>
      <c r="Q26" s="217">
        <f t="shared" ref="Q26:AE26" si="19">SUM(Q3:Q24)</f>
        <v>2</v>
      </c>
      <c r="R26" s="217">
        <f t="shared" si="19"/>
        <v>42</v>
      </c>
      <c r="S26" s="237">
        <f>SUM(S3:S24)</f>
        <v>61114</v>
      </c>
      <c r="T26" s="217">
        <f t="shared" si="19"/>
        <v>-3391</v>
      </c>
      <c r="U26" s="217">
        <f t="shared" si="19"/>
        <v>57723</v>
      </c>
      <c r="V26" s="256">
        <f>SUM(V3:V24)</f>
        <v>0.93925270070737255</v>
      </c>
      <c r="W26" s="217">
        <f t="shared" si="19"/>
        <v>5689.17</v>
      </c>
      <c r="X26" s="217">
        <f t="shared" si="19"/>
        <v>24820.889999999996</v>
      </c>
      <c r="Y26" s="215">
        <f>IF(U26=0,0,X26/U26)</f>
        <v>0.42999999999999994</v>
      </c>
      <c r="Z26" s="217">
        <f t="shared" si="19"/>
        <v>7370.2299999999987</v>
      </c>
      <c r="AA26" s="217">
        <f>IFERROR(P26*AA51/P51,0)</f>
        <v>19747.085217391304</v>
      </c>
      <c r="AB26" s="217">
        <f t="shared" si="19"/>
        <v>0</v>
      </c>
      <c r="AC26" s="217">
        <f t="shared" si="19"/>
        <v>0</v>
      </c>
      <c r="AD26" s="238">
        <f t="shared" si="19"/>
        <v>3463.38</v>
      </c>
      <c r="AE26" s="239">
        <f t="shared" si="19"/>
        <v>-406.94948999999025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849140.33083818411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16786.279490000001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17</v>
      </c>
      <c r="D28" s="42"/>
      <c r="E28" s="42"/>
      <c r="F28" s="42"/>
      <c r="G28" s="43"/>
      <c r="H28" s="65">
        <v>672</v>
      </c>
      <c r="I28" s="63">
        <f t="shared" ref="I28:I46" si="20">C28*H28</f>
        <v>11424</v>
      </c>
      <c r="J28" s="45"/>
      <c r="K28" s="41">
        <v>0</v>
      </c>
      <c r="L28" s="45"/>
      <c r="M28" s="45"/>
      <c r="N28" s="46">
        <f t="shared" ref="N28:N47" si="21">K28/7</f>
        <v>0</v>
      </c>
      <c r="O28" s="47">
        <f t="shared" ref="O28:O47" si="22">R28/7</f>
        <v>0</v>
      </c>
      <c r="P28" s="48">
        <f>SUMIFS('Отчет 15-21.12'!H:H,'Отчет 15-21.12'!D:D,"Выручка",'Отчет 15-21.12'!E:E,B28)</f>
        <v>0</v>
      </c>
      <c r="Q28" s="48">
        <f>SUMIFS('Отчет 15-21.12'!H:H,'Отчет 15-21.12'!D:D,"Возврат выручки",'Отчет 15-21.12'!E:E,B28)</f>
        <v>0</v>
      </c>
      <c r="R28" s="49">
        <f t="shared" ref="R28:R47" si="23">P28-Q28</f>
        <v>0</v>
      </c>
      <c r="S28" s="50">
        <f>SUMIFS('Отчет 15-21.12'!P:P,'Отчет 15-21.12'!C:C,"Продажи",'Отчет 15-21.12'!E:E,B28)</f>
        <v>0</v>
      </c>
      <c r="T28" s="51">
        <f>SUMIFS('Отчет 15-21.12'!P:P,'Отчет 15-21.12'!C:C,"Возвраты",'Отчет 15-21.12'!E:E,B28)</f>
        <v>0</v>
      </c>
      <c r="U28" s="49">
        <f t="shared" ref="U28:U47" si="24">S28+T28</f>
        <v>0</v>
      </c>
      <c r="V28" s="52">
        <f>IFERROR(U28/$U$49,0)</f>
        <v>0</v>
      </c>
      <c r="W28" s="53">
        <f t="shared" ref="W28:W47" si="25">R28*H28</f>
        <v>0</v>
      </c>
      <c r="X28" s="51">
        <f>-SUMIFS('Отчет 15-21.12'!P:P,'Отчет 15-21.12'!C:C,"Вознаграждение Ozon",'Отчет 15-21.12'!E:E,B28)</f>
        <v>0</v>
      </c>
      <c r="Y28" s="54">
        <f t="shared" ref="Y28:Y47" si="26">IF(U28=0,0,X28/U28)</f>
        <v>0</v>
      </c>
      <c r="Z28" s="51">
        <f>-SUMIFS('Отчет 15-21.12'!P:P,'Отчет 15-21.12'!C:C,"Услуги доставки",'Отчет 15-21.12'!E:E,B28)</f>
        <v>0</v>
      </c>
      <c r="AA28" s="41">
        <v>0</v>
      </c>
      <c r="AB28" s="64"/>
      <c r="AC28" s="51"/>
      <c r="AD28" s="55">
        <f t="shared" ref="AD28:AD47" si="27">U28*6%</f>
        <v>0</v>
      </c>
      <c r="AE28" s="56">
        <f t="shared" ref="AE28:AE47" si="28">U28-W28-X28-Z28-AA28-AB28-AC28-AD28</f>
        <v>0</v>
      </c>
      <c r="AF28" s="55"/>
      <c r="AG28" s="57">
        <f t="shared" ref="AG28:AG47" si="29">IF(R28=0,0,U28/R28)</f>
        <v>0</v>
      </c>
      <c r="AH28" s="58">
        <f t="shared" ref="AH28:AH47" si="30">H28</f>
        <v>672</v>
      </c>
      <c r="AI28" s="58">
        <f t="shared" ref="AI28:AI47" si="31">IF(R28=0,0,X28/R28)</f>
        <v>0</v>
      </c>
      <c r="AJ28" s="58">
        <f t="shared" ref="AJ28:AJ47" si="32">IF(P28=0,Z28/1,Z28/P28)</f>
        <v>0</v>
      </c>
      <c r="AK28" s="58">
        <f t="shared" ref="AK28:AK47" si="33">IF(P28=0,0,AA28/P28)</f>
        <v>0</v>
      </c>
      <c r="AL28" s="58">
        <f t="array" ref="AL28">_xlfn.IFS(R28=0,AE28,R28&lt;0,AE28/-R28,R28&gt;0,AE28/R28)</f>
        <v>0</v>
      </c>
      <c r="AM28" s="59">
        <f t="shared" ref="AM28:AM47" si="34">IF(AG28=0,0,AL28/AG28)</f>
        <v>0</v>
      </c>
      <c r="AN28" s="60">
        <f t="shared" ref="AN28:AN47" si="35">IF(AH28=0,0,AL28/AH28)</f>
        <v>0</v>
      </c>
      <c r="AP28" s="62">
        <f t="shared" ref="AP28:AP47" si="36">AL28*C28</f>
        <v>0</v>
      </c>
    </row>
    <row r="29" spans="1:52">
      <c r="A29" s="39">
        <v>2774708622</v>
      </c>
      <c r="B29" s="40" t="s">
        <v>43</v>
      </c>
      <c r="C29" s="41">
        <v>18</v>
      </c>
      <c r="D29" s="42"/>
      <c r="E29" s="42"/>
      <c r="F29" s="42"/>
      <c r="G29" s="43"/>
      <c r="H29" s="65">
        <v>627</v>
      </c>
      <c r="I29" s="63">
        <f t="shared" si="20"/>
        <v>11286</v>
      </c>
      <c r="J29" s="45"/>
      <c r="K29" s="41">
        <v>0</v>
      </c>
      <c r="L29" s="45"/>
      <c r="M29" s="45"/>
      <c r="N29" s="46">
        <f t="shared" si="21"/>
        <v>0</v>
      </c>
      <c r="O29" s="47">
        <f t="shared" si="22"/>
        <v>0</v>
      </c>
      <c r="P29" s="48">
        <f>SUMIFS('Отчет 15-21.12'!H:H,'Отчет 15-21.12'!D:D,"Выручка",'Отчет 15-21.12'!E:E,B29)</f>
        <v>0</v>
      </c>
      <c r="Q29" s="48">
        <f>SUMIFS('Отчет 15-21.12'!H:H,'Отчет 15-21.12'!D:D,"Возврат выручки",'Отчет 15-21.12'!E:E,B29)</f>
        <v>0</v>
      </c>
      <c r="R29" s="49">
        <f t="shared" si="23"/>
        <v>0</v>
      </c>
      <c r="S29" s="50">
        <f>SUMIFS('Отчет 15-21.12'!P:P,'Отчет 15-21.12'!C:C,"Продажи",'Отчет 15-21.12'!E:E,B29)</f>
        <v>0</v>
      </c>
      <c r="T29" s="51">
        <f>SUMIFS('Отчет 15-21.12'!P:P,'Отчет 15-21.12'!C:C,"Возвраты",'Отчет 15-21.12'!E:E,B29)</f>
        <v>0</v>
      </c>
      <c r="U29" s="49">
        <f t="shared" si="24"/>
        <v>0</v>
      </c>
      <c r="V29" s="52">
        <f t="shared" ref="V29:V46" si="37">IFERROR(U29/$U$49,0)</f>
        <v>0</v>
      </c>
      <c r="W29" s="53">
        <f t="shared" si="25"/>
        <v>0</v>
      </c>
      <c r="X29" s="51">
        <f>-SUMIFS('Отчет 15-21.12'!P:P,'Отчет 15-21.12'!C:C,"Вознаграждение Ozon",'Отчет 15-21.12'!E:E,B29)</f>
        <v>0</v>
      </c>
      <c r="Y29" s="54">
        <f t="shared" si="26"/>
        <v>0</v>
      </c>
      <c r="Z29" s="51">
        <f>-SUMIFS('Отчет 15-21.12'!P:P,'Отчет 15-21.12'!C:C,"Услуги доставки",'Отчет 15-21.12'!E:E,B29)</f>
        <v>0</v>
      </c>
      <c r="AA29" s="41">
        <v>0</v>
      </c>
      <c r="AB29" s="64"/>
      <c r="AC29" s="51"/>
      <c r="AD29" s="55">
        <f t="shared" si="27"/>
        <v>0</v>
      </c>
      <c r="AE29" s="56">
        <f t="shared" si="28"/>
        <v>0</v>
      </c>
      <c r="AF29" s="55"/>
      <c r="AG29" s="57">
        <f t="shared" si="29"/>
        <v>0</v>
      </c>
      <c r="AH29" s="58">
        <f t="shared" si="30"/>
        <v>627</v>
      </c>
      <c r="AI29" s="58">
        <f t="shared" si="31"/>
        <v>0</v>
      </c>
      <c r="AJ29" s="58">
        <f t="shared" si="32"/>
        <v>0</v>
      </c>
      <c r="AK29" s="58">
        <f t="shared" si="33"/>
        <v>0</v>
      </c>
      <c r="AL29" s="58">
        <f t="array" ref="AL29">_xlfn.IFS(R29=0,AE29,R29&lt;0,AE29/-R29,R29&gt;0,AE29/R29)</f>
        <v>0</v>
      </c>
      <c r="AM29" s="59">
        <f t="shared" si="34"/>
        <v>0</v>
      </c>
      <c r="AN29" s="60">
        <f t="shared" si="35"/>
        <v>0</v>
      </c>
      <c r="AP29" s="62">
        <f t="shared" si="36"/>
        <v>0</v>
      </c>
    </row>
    <row r="30" spans="1:52">
      <c r="A30" s="39">
        <v>2774709606</v>
      </c>
      <c r="B30" s="40" t="s">
        <v>235</v>
      </c>
      <c r="C30" s="41">
        <v>17</v>
      </c>
      <c r="D30" s="42"/>
      <c r="E30" s="42"/>
      <c r="F30" s="42"/>
      <c r="G30" s="43"/>
      <c r="H30" s="65">
        <v>627</v>
      </c>
      <c r="I30" s="63">
        <f t="shared" si="20"/>
        <v>10659</v>
      </c>
      <c r="J30" s="45"/>
      <c r="K30" s="41">
        <v>0</v>
      </c>
      <c r="L30" s="45"/>
      <c r="M30" s="45"/>
      <c r="N30" s="46">
        <f t="shared" si="21"/>
        <v>0</v>
      </c>
      <c r="O30" s="47">
        <f t="shared" si="22"/>
        <v>0</v>
      </c>
      <c r="P30" s="48">
        <f>SUMIFS('Отчет 15-21.12'!H:H,'Отчет 15-21.12'!D:D,"Выручка",'Отчет 15-21.12'!E:E,B30)</f>
        <v>0</v>
      </c>
      <c r="Q30" s="48">
        <f>SUMIFS('Отчет 15-21.12'!H:H,'Отчет 15-21.12'!D:D,"Возврат выручки",'Отчет 15-21.12'!E:E,B30)</f>
        <v>0</v>
      </c>
      <c r="R30" s="49">
        <f t="shared" si="23"/>
        <v>0</v>
      </c>
      <c r="S30" s="50">
        <f>SUMIFS('Отчет 15-21.12'!P:P,'Отчет 15-21.12'!C:C,"Продажи",'Отчет 15-21.12'!E:E,B30)</f>
        <v>0</v>
      </c>
      <c r="T30" s="51">
        <f>SUMIFS('Отчет 15-21.12'!P:P,'Отчет 15-21.12'!C:C,"Возвраты",'Отчет 15-21.12'!E:E,B30)</f>
        <v>0</v>
      </c>
      <c r="U30" s="49">
        <f t="shared" si="24"/>
        <v>0</v>
      </c>
      <c r="V30" s="52">
        <f t="shared" si="37"/>
        <v>0</v>
      </c>
      <c r="W30" s="53">
        <f t="shared" si="25"/>
        <v>0</v>
      </c>
      <c r="X30" s="51">
        <f>-SUMIFS('Отчет 15-21.12'!P:P,'Отчет 15-21.12'!C:C,"Вознаграждение Ozon",'Отчет 15-21.12'!E:E,B30)</f>
        <v>0</v>
      </c>
      <c r="Y30" s="54">
        <f t="shared" si="26"/>
        <v>0</v>
      </c>
      <c r="Z30" s="51">
        <f>-SUMIFS('Отчет 15-21.12'!P:P,'Отчет 15-21.12'!C:C,"Услуги доставки",'Отчет 15-21.12'!E:E,B30)</f>
        <v>0</v>
      </c>
      <c r="AA30" s="41">
        <v>0</v>
      </c>
      <c r="AB30" s="64"/>
      <c r="AC30" s="51"/>
      <c r="AD30" s="55">
        <f t="shared" si="27"/>
        <v>0</v>
      </c>
      <c r="AE30" s="56">
        <f t="shared" si="28"/>
        <v>0</v>
      </c>
      <c r="AF30" s="55"/>
      <c r="AG30" s="57">
        <f t="shared" si="29"/>
        <v>0</v>
      </c>
      <c r="AH30" s="58">
        <f t="shared" si="30"/>
        <v>627</v>
      </c>
      <c r="AI30" s="58">
        <f t="shared" si="31"/>
        <v>0</v>
      </c>
      <c r="AJ30" s="58">
        <f t="shared" si="32"/>
        <v>0</v>
      </c>
      <c r="AK30" s="58">
        <f t="shared" si="33"/>
        <v>0</v>
      </c>
      <c r="AL30" s="58">
        <f t="array" ref="AL30">_xlfn.IFS(R30=0,AE30,R30&lt;0,AE30/-R30,R30&gt;0,AE30/R30)</f>
        <v>0</v>
      </c>
      <c r="AM30" s="59">
        <f t="shared" si="34"/>
        <v>0</v>
      </c>
      <c r="AN30" s="60">
        <f t="shared" si="35"/>
        <v>0</v>
      </c>
      <c r="AP30" s="62">
        <f t="shared" si="36"/>
        <v>0</v>
      </c>
    </row>
    <row r="31" spans="1:52">
      <c r="A31" s="39">
        <v>2774720465</v>
      </c>
      <c r="B31" s="40" t="s">
        <v>171</v>
      </c>
      <c r="C31" s="41">
        <v>18</v>
      </c>
      <c r="D31" s="42"/>
      <c r="E31" s="42"/>
      <c r="F31" s="42"/>
      <c r="G31" s="43"/>
      <c r="H31" s="65">
        <v>567</v>
      </c>
      <c r="I31" s="63">
        <f t="shared" si="20"/>
        <v>10206</v>
      </c>
      <c r="J31" s="45"/>
      <c r="K31" s="41">
        <v>1</v>
      </c>
      <c r="L31" s="45"/>
      <c r="M31" s="45"/>
      <c r="N31" s="46">
        <f t="shared" si="21"/>
        <v>0.14285714285714285</v>
      </c>
      <c r="O31" s="47">
        <f t="shared" si="22"/>
        <v>0</v>
      </c>
      <c r="P31" s="48">
        <f>SUMIFS('Отчет 15-21.12'!H:H,'Отчет 15-21.12'!D:D,"Выручка",'Отчет 15-21.12'!E:E,B31)</f>
        <v>0</v>
      </c>
      <c r="Q31" s="48">
        <f>SUMIFS('Отчет 15-21.12'!H:H,'Отчет 15-21.12'!D:D,"Возврат выручки",'Отчет 15-21.12'!E:E,B31)</f>
        <v>0</v>
      </c>
      <c r="R31" s="49">
        <f t="shared" si="23"/>
        <v>0</v>
      </c>
      <c r="S31" s="50">
        <f>SUMIFS('Отчет 15-21.12'!P:P,'Отчет 15-21.12'!C:C,"Продажи",'Отчет 15-21.12'!E:E,B31)</f>
        <v>0</v>
      </c>
      <c r="T31" s="51">
        <f>SUMIFS('Отчет 15-21.12'!P:P,'Отчет 15-21.12'!C:C,"Возвраты",'Отчет 15-21.12'!E:E,B31)</f>
        <v>0</v>
      </c>
      <c r="U31" s="49">
        <f t="shared" si="24"/>
        <v>0</v>
      </c>
      <c r="V31" s="52">
        <f t="shared" si="37"/>
        <v>0</v>
      </c>
      <c r="W31" s="53">
        <f t="shared" si="25"/>
        <v>0</v>
      </c>
      <c r="X31" s="51">
        <f>-SUMIFS('Отчет 15-21.12'!P:P,'Отчет 15-21.12'!C:C,"Вознаграждение Ozon",'Отчет 15-21.12'!E:E,B31)</f>
        <v>0</v>
      </c>
      <c r="Y31" s="54">
        <f t="shared" si="26"/>
        <v>0</v>
      </c>
      <c r="Z31" s="51">
        <f>-SUMIFS('Отчет 15-21.12'!P:P,'Отчет 15-21.12'!C:C,"Услуги доставки",'Отчет 15-21.12'!E:E,B31)</f>
        <v>0</v>
      </c>
      <c r="AA31" s="41">
        <v>0</v>
      </c>
      <c r="AB31" s="64"/>
      <c r="AC31" s="51"/>
      <c r="AD31" s="55">
        <f t="shared" si="27"/>
        <v>0</v>
      </c>
      <c r="AE31" s="56">
        <f t="shared" si="28"/>
        <v>0</v>
      </c>
      <c r="AF31" s="55"/>
      <c r="AG31" s="57">
        <f t="shared" si="29"/>
        <v>0</v>
      </c>
      <c r="AH31" s="58">
        <f t="shared" si="30"/>
        <v>567</v>
      </c>
      <c r="AI31" s="58">
        <f t="shared" si="31"/>
        <v>0</v>
      </c>
      <c r="AJ31" s="58">
        <f t="shared" si="32"/>
        <v>0</v>
      </c>
      <c r="AK31" s="58">
        <f t="shared" si="33"/>
        <v>0</v>
      </c>
      <c r="AL31" s="58">
        <f t="array" ref="AL31">_xlfn.IFS(R31=0,AE31,R31&lt;0,AE31/-R31,R31&gt;0,AE31/R31)</f>
        <v>0</v>
      </c>
      <c r="AM31" s="59">
        <f t="shared" si="34"/>
        <v>0</v>
      </c>
      <c r="AN31" s="60">
        <f t="shared" si="35"/>
        <v>0</v>
      </c>
      <c r="AP31" s="62">
        <f t="shared" si="36"/>
        <v>0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20"/>
        <v>10773</v>
      </c>
      <c r="J32" s="45"/>
      <c r="K32" s="41">
        <v>0</v>
      </c>
      <c r="L32" s="45"/>
      <c r="M32" s="45"/>
      <c r="N32" s="46">
        <f t="shared" si="21"/>
        <v>0</v>
      </c>
      <c r="O32" s="47">
        <f t="shared" si="22"/>
        <v>0</v>
      </c>
      <c r="P32" s="48">
        <f>SUMIFS('Отчет 15-21.12'!H:H,'Отчет 15-21.12'!D:D,"Выручка",'Отчет 15-21.12'!E:E,B32)</f>
        <v>0</v>
      </c>
      <c r="Q32" s="48">
        <f>SUMIFS('Отчет 15-21.12'!H:H,'Отчет 15-21.12'!D:D,"Возврат выручки",'Отчет 15-21.12'!E:E,B32)</f>
        <v>0</v>
      </c>
      <c r="R32" s="49">
        <f t="shared" si="23"/>
        <v>0</v>
      </c>
      <c r="S32" s="50">
        <f>SUMIFS('Отчет 15-21.12'!P:P,'Отчет 15-21.12'!C:C,"Продажи",'Отчет 15-21.12'!E:E,B32)</f>
        <v>0</v>
      </c>
      <c r="T32" s="51">
        <f>SUMIFS('Отчет 15-21.12'!P:P,'Отчет 15-21.12'!C:C,"Возвраты",'Отчет 15-21.12'!E:E,B32)</f>
        <v>0</v>
      </c>
      <c r="U32" s="49">
        <f t="shared" si="24"/>
        <v>0</v>
      </c>
      <c r="V32" s="52">
        <f t="shared" si="37"/>
        <v>0</v>
      </c>
      <c r="W32" s="53">
        <f t="shared" si="25"/>
        <v>0</v>
      </c>
      <c r="X32" s="51">
        <f>-SUMIFS('Отчет 15-21.12'!P:P,'Отчет 15-21.12'!C:C,"Вознаграждение Ozon",'Отчет 15-21.12'!E:E,B32)</f>
        <v>0</v>
      </c>
      <c r="Y32" s="54">
        <f t="shared" si="26"/>
        <v>0</v>
      </c>
      <c r="Z32" s="51">
        <f>-SUMIFS('Отчет 15-21.12'!P:P,'Отчет 15-21.12'!C:C,"Услуги доставки",'Отчет 15-21.12'!E:E,B32)</f>
        <v>0</v>
      </c>
      <c r="AA32" s="41">
        <v>0</v>
      </c>
      <c r="AB32" s="64"/>
      <c r="AC32" s="51"/>
      <c r="AD32" s="55">
        <f t="shared" si="27"/>
        <v>0</v>
      </c>
      <c r="AE32" s="56">
        <f t="shared" si="28"/>
        <v>0</v>
      </c>
      <c r="AF32" s="55"/>
      <c r="AG32" s="57">
        <f t="shared" si="29"/>
        <v>0</v>
      </c>
      <c r="AH32" s="58">
        <f t="shared" si="30"/>
        <v>567</v>
      </c>
      <c r="AI32" s="58">
        <f t="shared" si="31"/>
        <v>0</v>
      </c>
      <c r="AJ32" s="58">
        <f t="shared" si="32"/>
        <v>0</v>
      </c>
      <c r="AK32" s="58">
        <f t="shared" si="33"/>
        <v>0</v>
      </c>
      <c r="AL32" s="58">
        <f t="array" ref="AL32">_xlfn.IFS(R32=0,AE32,R32&lt;0,AE32/-R32,R32&gt;0,AE32/R32)</f>
        <v>0</v>
      </c>
      <c r="AM32" s="59">
        <f t="shared" si="34"/>
        <v>0</v>
      </c>
      <c r="AN32" s="60">
        <f t="shared" si="35"/>
        <v>0</v>
      </c>
      <c r="AP32" s="62">
        <f t="shared" si="36"/>
        <v>0</v>
      </c>
    </row>
    <row r="33" spans="1:42">
      <c r="A33" s="39">
        <v>2774719022</v>
      </c>
      <c r="B33" s="40" t="s">
        <v>236</v>
      </c>
      <c r="C33" s="41">
        <v>15</v>
      </c>
      <c r="D33" s="42"/>
      <c r="E33" s="42"/>
      <c r="F33" s="42"/>
      <c r="G33" s="43"/>
      <c r="H33" s="65">
        <v>657</v>
      </c>
      <c r="I33" s="63">
        <f t="shared" si="20"/>
        <v>9855</v>
      </c>
      <c r="J33" s="45"/>
      <c r="K33" s="41">
        <v>0</v>
      </c>
      <c r="L33" s="45"/>
      <c r="M33" s="45"/>
      <c r="N33" s="46">
        <f t="shared" si="21"/>
        <v>0</v>
      </c>
      <c r="O33" s="47">
        <f t="shared" si="22"/>
        <v>0</v>
      </c>
      <c r="P33" s="48">
        <f>SUMIFS('Отчет 15-21.12'!H:H,'Отчет 15-21.12'!D:D,"Выручка",'Отчет 15-21.12'!E:E,B33)</f>
        <v>1</v>
      </c>
      <c r="Q33" s="48">
        <f>SUMIFS('Отчет 15-21.12'!H:H,'Отчет 15-21.12'!D:D,"Возврат выручки",'Отчет 15-21.12'!E:E,B33)</f>
        <v>1</v>
      </c>
      <c r="R33" s="49">
        <f t="shared" si="23"/>
        <v>0</v>
      </c>
      <c r="S33" s="50">
        <f>SUMIFS('Отчет 15-21.12'!P:P,'Отчет 15-21.12'!C:C,"Продажи",'Отчет 15-21.12'!E:E,B33)</f>
        <v>3080</v>
      </c>
      <c r="T33" s="51">
        <f>SUMIFS('Отчет 15-21.12'!P:P,'Отчет 15-21.12'!C:C,"Возвраты",'Отчет 15-21.12'!E:E,B33)</f>
        <v>-3080</v>
      </c>
      <c r="U33" s="49">
        <f t="shared" si="24"/>
        <v>0</v>
      </c>
      <c r="V33" s="52">
        <f t="shared" si="37"/>
        <v>0</v>
      </c>
      <c r="W33" s="53">
        <f t="shared" si="25"/>
        <v>0</v>
      </c>
      <c r="X33" s="51">
        <f>-SUMIFS('Отчет 15-21.12'!P:P,'Отчет 15-21.12'!C:C,"Вознаграждение Ozon",'Отчет 15-21.12'!E:E,B33)</f>
        <v>0</v>
      </c>
      <c r="Y33" s="54">
        <f t="shared" si="26"/>
        <v>0</v>
      </c>
      <c r="Z33" s="51">
        <f>-SUMIFS('Отчет 15-21.12'!P:P,'Отчет 15-21.12'!C:C,"Услуги доставки",'Отчет 15-21.12'!E:E,B33)</f>
        <v>170.85</v>
      </c>
      <c r="AA33" s="41">
        <v>0</v>
      </c>
      <c r="AB33" s="64"/>
      <c r="AC33" s="51"/>
      <c r="AD33" s="55">
        <f t="shared" si="27"/>
        <v>0</v>
      </c>
      <c r="AE33" s="56">
        <f t="shared" si="28"/>
        <v>-170.85</v>
      </c>
      <c r="AF33" s="55"/>
      <c r="AG33" s="57">
        <f t="shared" si="29"/>
        <v>0</v>
      </c>
      <c r="AH33" s="58">
        <f t="shared" si="30"/>
        <v>657</v>
      </c>
      <c r="AI33" s="58">
        <f t="shared" si="31"/>
        <v>0</v>
      </c>
      <c r="AJ33" s="58">
        <f t="shared" si="32"/>
        <v>170.85</v>
      </c>
      <c r="AK33" s="58">
        <f t="shared" si="33"/>
        <v>0</v>
      </c>
      <c r="AL33" s="58">
        <f t="array" ref="AL33">_xlfn.IFS(R33=0,AE33,R33&lt;0,AE33/-R33,R33&gt;0,AE33/R33)</f>
        <v>-170.85</v>
      </c>
      <c r="AM33" s="59">
        <f t="shared" si="34"/>
        <v>0</v>
      </c>
      <c r="AN33" s="60">
        <f t="shared" si="35"/>
        <v>-0.2600456621004566</v>
      </c>
      <c r="AP33" s="62">
        <f t="shared" si="36"/>
        <v>-2562.75</v>
      </c>
    </row>
    <row r="34" spans="1:42">
      <c r="A34" s="39">
        <v>2774719501</v>
      </c>
      <c r="B34" s="40" t="s">
        <v>237</v>
      </c>
      <c r="C34" s="41">
        <v>18</v>
      </c>
      <c r="D34" s="42"/>
      <c r="E34" s="42"/>
      <c r="F34" s="42"/>
      <c r="G34" s="43"/>
      <c r="H34" s="65">
        <v>597</v>
      </c>
      <c r="I34" s="63">
        <f t="shared" si="20"/>
        <v>10746</v>
      </c>
      <c r="J34" s="45"/>
      <c r="K34" s="41">
        <v>0</v>
      </c>
      <c r="L34" s="45"/>
      <c r="M34" s="45"/>
      <c r="N34" s="46">
        <f t="shared" si="21"/>
        <v>0</v>
      </c>
      <c r="O34" s="47">
        <f t="shared" si="22"/>
        <v>0</v>
      </c>
      <c r="P34" s="48">
        <f>SUMIFS('Отчет 15-21.12'!H:H,'Отчет 15-21.12'!D:D,"Выручка",'Отчет 15-21.12'!E:E,B34)</f>
        <v>0</v>
      </c>
      <c r="Q34" s="48">
        <f>SUMIFS('Отчет 15-21.12'!H:H,'Отчет 15-21.12'!D:D,"Возврат выручки",'Отчет 15-21.12'!E:E,B34)</f>
        <v>0</v>
      </c>
      <c r="R34" s="49">
        <f t="shared" si="23"/>
        <v>0</v>
      </c>
      <c r="S34" s="50">
        <f>SUMIFS('Отчет 15-21.12'!P:P,'Отчет 15-21.12'!C:C,"Продажи",'Отчет 15-21.12'!E:E,B34)</f>
        <v>0</v>
      </c>
      <c r="T34" s="51">
        <f>SUMIFS('Отчет 15-21.12'!P:P,'Отчет 15-21.12'!C:C,"Возвраты",'Отчет 15-21.12'!E:E,B34)</f>
        <v>0</v>
      </c>
      <c r="U34" s="49">
        <f t="shared" si="24"/>
        <v>0</v>
      </c>
      <c r="V34" s="52">
        <f t="shared" si="37"/>
        <v>0</v>
      </c>
      <c r="W34" s="53">
        <f t="shared" si="25"/>
        <v>0</v>
      </c>
      <c r="X34" s="51">
        <f>-SUMIFS('Отчет 15-21.12'!P:P,'Отчет 15-21.12'!C:C,"Вознаграждение Ozon",'Отчет 15-21.12'!E:E,B34)</f>
        <v>0</v>
      </c>
      <c r="Y34" s="54">
        <f t="shared" si="26"/>
        <v>0</v>
      </c>
      <c r="Z34" s="51">
        <f>-SUMIFS('Отчет 15-21.12'!P:P,'Отчет 15-21.12'!C:C,"Услуги доставки",'Отчет 15-21.12'!E:E,B34)</f>
        <v>0</v>
      </c>
      <c r="AA34" s="41">
        <v>0</v>
      </c>
      <c r="AB34" s="64"/>
      <c r="AC34" s="51"/>
      <c r="AD34" s="55">
        <f t="shared" si="27"/>
        <v>0</v>
      </c>
      <c r="AE34" s="56">
        <f t="shared" si="28"/>
        <v>0</v>
      </c>
      <c r="AF34" s="55"/>
      <c r="AG34" s="57">
        <f t="shared" si="29"/>
        <v>0</v>
      </c>
      <c r="AH34" s="58">
        <f t="shared" si="30"/>
        <v>597</v>
      </c>
      <c r="AI34" s="58">
        <f t="shared" si="31"/>
        <v>0</v>
      </c>
      <c r="AJ34" s="58">
        <f t="shared" si="32"/>
        <v>0</v>
      </c>
      <c r="AK34" s="58">
        <f t="shared" si="33"/>
        <v>0</v>
      </c>
      <c r="AL34" s="58">
        <f t="array" ref="AL34">_xlfn.IFS(R34=0,AE34,R34&lt;0,AE34/-R34,R34&gt;0,AE34/R34)</f>
        <v>0</v>
      </c>
      <c r="AM34" s="59">
        <f t="shared" si="34"/>
        <v>0</v>
      </c>
      <c r="AN34" s="60">
        <f t="shared" si="35"/>
        <v>0</v>
      </c>
      <c r="AP34" s="62">
        <f t="shared" si="36"/>
        <v>0</v>
      </c>
    </row>
    <row r="35" spans="1:42">
      <c r="A35" s="39">
        <v>2774714412</v>
      </c>
      <c r="B35" s="40" t="s">
        <v>142</v>
      </c>
      <c r="C35" s="41">
        <v>17</v>
      </c>
      <c r="D35" s="42"/>
      <c r="E35" s="42"/>
      <c r="F35" s="42"/>
      <c r="G35" s="43"/>
      <c r="H35" s="65">
        <v>552</v>
      </c>
      <c r="I35" s="63">
        <f t="shared" si="20"/>
        <v>9384</v>
      </c>
      <c r="J35" s="45"/>
      <c r="K35" s="41">
        <v>0</v>
      </c>
      <c r="L35" s="45"/>
      <c r="M35" s="45"/>
      <c r="N35" s="46">
        <f t="shared" si="21"/>
        <v>0</v>
      </c>
      <c r="O35" s="47">
        <f t="shared" si="22"/>
        <v>0</v>
      </c>
      <c r="P35" s="48">
        <f>SUMIFS('Отчет 15-21.12'!H:H,'Отчет 15-21.12'!D:D,"Выручка",'Отчет 15-21.12'!E:E,B35)</f>
        <v>0</v>
      </c>
      <c r="Q35" s="48">
        <f>SUMIFS('Отчет 15-21.12'!H:H,'Отчет 15-21.12'!D:D,"Возврат выручки",'Отчет 15-21.12'!E:E,B35)</f>
        <v>0</v>
      </c>
      <c r="R35" s="49">
        <f t="shared" si="23"/>
        <v>0</v>
      </c>
      <c r="S35" s="50">
        <f>SUMIFS('Отчет 15-21.12'!P:P,'Отчет 15-21.12'!C:C,"Продажи",'Отчет 15-21.12'!E:E,B35)</f>
        <v>0</v>
      </c>
      <c r="T35" s="51">
        <f>SUMIFS('Отчет 15-21.12'!P:P,'Отчет 15-21.12'!C:C,"Возвраты",'Отчет 15-21.12'!E:E,B35)</f>
        <v>0</v>
      </c>
      <c r="U35" s="49">
        <f t="shared" si="24"/>
        <v>0</v>
      </c>
      <c r="V35" s="52">
        <f t="shared" si="37"/>
        <v>0</v>
      </c>
      <c r="W35" s="53">
        <f t="shared" si="25"/>
        <v>0</v>
      </c>
      <c r="X35" s="51">
        <f>-SUMIFS('Отчет 15-21.12'!P:P,'Отчет 15-21.12'!C:C,"Вознаграждение Ozon",'Отчет 15-21.12'!E:E,B35)</f>
        <v>0</v>
      </c>
      <c r="Y35" s="54">
        <f t="shared" si="26"/>
        <v>0</v>
      </c>
      <c r="Z35" s="51">
        <f>-SUMIFS('Отчет 15-21.12'!P:P,'Отчет 15-21.12'!C:C,"Услуги доставки",'Отчет 15-21.12'!E:E,B35)</f>
        <v>0</v>
      </c>
      <c r="AA35" s="41">
        <v>0</v>
      </c>
      <c r="AB35" s="64"/>
      <c r="AC35" s="51"/>
      <c r="AD35" s="55">
        <f t="shared" si="27"/>
        <v>0</v>
      </c>
      <c r="AE35" s="56">
        <f t="shared" si="28"/>
        <v>0</v>
      </c>
      <c r="AF35" s="55"/>
      <c r="AG35" s="57">
        <f t="shared" si="29"/>
        <v>0</v>
      </c>
      <c r="AH35" s="58">
        <f t="shared" si="30"/>
        <v>552</v>
      </c>
      <c r="AI35" s="58">
        <f t="shared" si="31"/>
        <v>0</v>
      </c>
      <c r="AJ35" s="58">
        <f t="shared" si="32"/>
        <v>0</v>
      </c>
      <c r="AK35" s="58">
        <f t="shared" si="33"/>
        <v>0</v>
      </c>
      <c r="AL35" s="58">
        <f t="array" ref="AL35">_xlfn.IFS(R35=0,AE35,R35&lt;0,AE35/-R35,R35&gt;0,AE35/R35)</f>
        <v>0</v>
      </c>
      <c r="AM35" s="59">
        <f t="shared" si="34"/>
        <v>0</v>
      </c>
      <c r="AN35" s="60">
        <f t="shared" si="35"/>
        <v>0</v>
      </c>
      <c r="AP35" s="62">
        <f t="shared" si="36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20"/>
        <v>9936</v>
      </c>
      <c r="J36" s="45"/>
      <c r="K36" s="41">
        <v>0</v>
      </c>
      <c r="L36" s="45"/>
      <c r="M36" s="45"/>
      <c r="N36" s="46">
        <f t="shared" si="21"/>
        <v>0</v>
      </c>
      <c r="O36" s="47">
        <f t="shared" si="22"/>
        <v>0</v>
      </c>
      <c r="P36" s="48">
        <f>SUMIFS('Отчет 15-21.12'!H:H,'Отчет 15-21.12'!D:D,"Выручка",'Отчет 15-21.12'!E:E,B36)</f>
        <v>0</v>
      </c>
      <c r="Q36" s="48">
        <f>SUMIFS('Отчет 15-21.12'!H:H,'Отчет 15-21.12'!D:D,"Возврат выручки",'Отчет 15-21.12'!E:E,B36)</f>
        <v>0</v>
      </c>
      <c r="R36" s="49">
        <f t="shared" si="23"/>
        <v>0</v>
      </c>
      <c r="S36" s="50">
        <f>SUMIFS('Отчет 15-21.12'!P:P,'Отчет 15-21.12'!C:C,"Продажи",'Отчет 15-21.12'!E:E,B36)</f>
        <v>0</v>
      </c>
      <c r="T36" s="51">
        <f>SUMIFS('Отчет 15-21.12'!P:P,'Отчет 15-21.12'!C:C,"Возвраты",'Отчет 15-21.12'!E:E,B36)</f>
        <v>0</v>
      </c>
      <c r="U36" s="49">
        <f t="shared" si="24"/>
        <v>0</v>
      </c>
      <c r="V36" s="52">
        <f t="shared" si="37"/>
        <v>0</v>
      </c>
      <c r="W36" s="53">
        <f t="shared" si="25"/>
        <v>0</v>
      </c>
      <c r="X36" s="51">
        <f>-SUMIFS('Отчет 15-21.12'!P:P,'Отчет 15-21.12'!C:C,"Вознаграждение Ozon",'Отчет 15-21.12'!E:E,B36)</f>
        <v>0</v>
      </c>
      <c r="Y36" s="54">
        <f t="shared" si="26"/>
        <v>0</v>
      </c>
      <c r="Z36" s="51">
        <f>-SUMIFS('Отчет 15-21.12'!P:P,'Отчет 15-21.12'!C:C,"Услуги доставки",'Отчет 15-21.12'!E:E,B36)</f>
        <v>112</v>
      </c>
      <c r="AA36" s="41">
        <v>0</v>
      </c>
      <c r="AB36" s="64"/>
      <c r="AC36" s="51"/>
      <c r="AD36" s="55">
        <f t="shared" si="27"/>
        <v>0</v>
      </c>
      <c r="AE36" s="56">
        <f t="shared" si="28"/>
        <v>-112</v>
      </c>
      <c r="AF36" s="55"/>
      <c r="AG36" s="57">
        <f t="shared" si="29"/>
        <v>0</v>
      </c>
      <c r="AH36" s="58">
        <f t="shared" si="30"/>
        <v>552</v>
      </c>
      <c r="AI36" s="58">
        <f t="shared" si="31"/>
        <v>0</v>
      </c>
      <c r="AJ36" s="58">
        <f t="shared" si="32"/>
        <v>112</v>
      </c>
      <c r="AK36" s="58">
        <f t="shared" si="33"/>
        <v>0</v>
      </c>
      <c r="AL36" s="58">
        <f t="array" ref="AL36">_xlfn.IFS(R36=0,AE36,R36&lt;0,AE36/-R36,R36&gt;0,AE36/R36)</f>
        <v>-112</v>
      </c>
      <c r="AM36" s="59">
        <f t="shared" si="34"/>
        <v>0</v>
      </c>
      <c r="AN36" s="60">
        <f t="shared" si="35"/>
        <v>-0.20289855072463769</v>
      </c>
      <c r="AP36" s="62">
        <f t="shared" si="36"/>
        <v>-2016</v>
      </c>
    </row>
    <row r="37" spans="1:42">
      <c r="A37" s="39">
        <v>2774712116</v>
      </c>
      <c r="B37" s="40" t="s">
        <v>62</v>
      </c>
      <c r="C37" s="41">
        <v>15</v>
      </c>
      <c r="D37" s="42"/>
      <c r="E37" s="42"/>
      <c r="F37" s="42"/>
      <c r="G37" s="43"/>
      <c r="H37" s="65">
        <v>687</v>
      </c>
      <c r="I37" s="63">
        <f t="shared" si="20"/>
        <v>10305</v>
      </c>
      <c r="J37" s="45"/>
      <c r="K37" s="41">
        <v>0</v>
      </c>
      <c r="L37" s="45"/>
      <c r="M37" s="45"/>
      <c r="N37" s="46">
        <f t="shared" si="21"/>
        <v>0</v>
      </c>
      <c r="O37" s="47">
        <f t="shared" si="22"/>
        <v>0</v>
      </c>
      <c r="P37" s="48">
        <f>SUMIFS('Отчет 15-21.12'!H:H,'Отчет 15-21.12'!D:D,"Выручка",'Отчет 15-21.12'!E:E,B37)</f>
        <v>0</v>
      </c>
      <c r="Q37" s="48">
        <f>SUMIFS('Отчет 15-21.12'!H:H,'Отчет 15-21.12'!D:D,"Возврат выручки",'Отчет 15-21.12'!E:E,B37)</f>
        <v>0</v>
      </c>
      <c r="R37" s="49">
        <f t="shared" si="23"/>
        <v>0</v>
      </c>
      <c r="S37" s="50">
        <f>SUMIFS('Отчет 15-21.12'!P:P,'Отчет 15-21.12'!C:C,"Продажи",'Отчет 15-21.12'!E:E,B37)</f>
        <v>0</v>
      </c>
      <c r="T37" s="51">
        <f>SUMIFS('Отчет 15-21.12'!P:P,'Отчет 15-21.12'!C:C,"Возвраты",'Отчет 15-21.12'!E:E,B37)</f>
        <v>0</v>
      </c>
      <c r="U37" s="49">
        <f t="shared" si="24"/>
        <v>0</v>
      </c>
      <c r="V37" s="52">
        <f t="shared" si="37"/>
        <v>0</v>
      </c>
      <c r="W37" s="53">
        <f t="shared" si="25"/>
        <v>0</v>
      </c>
      <c r="X37" s="51">
        <f>-SUMIFS('Отчет 15-21.12'!P:P,'Отчет 15-21.12'!C:C,"Вознаграждение Ozon",'Отчет 15-21.12'!E:E,B37)</f>
        <v>0</v>
      </c>
      <c r="Y37" s="54">
        <f t="shared" si="26"/>
        <v>0</v>
      </c>
      <c r="Z37" s="51">
        <f>-SUMIFS('Отчет 15-21.12'!P:P,'Отчет 15-21.12'!C:C,"Услуги доставки",'Отчет 15-21.12'!E:E,B37)</f>
        <v>0</v>
      </c>
      <c r="AA37" s="41">
        <v>0</v>
      </c>
      <c r="AB37" s="64"/>
      <c r="AC37" s="51"/>
      <c r="AD37" s="55">
        <f t="shared" si="27"/>
        <v>0</v>
      </c>
      <c r="AE37" s="56">
        <f t="shared" si="28"/>
        <v>0</v>
      </c>
      <c r="AF37" s="55"/>
      <c r="AG37" s="57">
        <f t="shared" si="29"/>
        <v>0</v>
      </c>
      <c r="AH37" s="58">
        <f t="shared" si="30"/>
        <v>687</v>
      </c>
      <c r="AI37" s="58">
        <f t="shared" si="31"/>
        <v>0</v>
      </c>
      <c r="AJ37" s="58">
        <f t="shared" si="32"/>
        <v>0</v>
      </c>
      <c r="AK37" s="58">
        <f t="shared" si="33"/>
        <v>0</v>
      </c>
      <c r="AL37" s="58">
        <f t="array" ref="AL37">_xlfn.IFS(R37=0,AE37,R37&lt;0,AE37/-R37,R37&gt;0,AE37/R37)</f>
        <v>0</v>
      </c>
      <c r="AM37" s="59">
        <f t="shared" si="34"/>
        <v>0</v>
      </c>
      <c r="AN37" s="60">
        <f t="shared" si="35"/>
        <v>0</v>
      </c>
      <c r="AP37" s="62">
        <f t="shared" si="36"/>
        <v>0</v>
      </c>
    </row>
    <row r="38" spans="1:42">
      <c r="A38" s="39">
        <v>2774719012</v>
      </c>
      <c r="B38" s="40" t="s">
        <v>239</v>
      </c>
      <c r="C38" s="41">
        <v>7</v>
      </c>
      <c r="D38" s="42"/>
      <c r="E38" s="42"/>
      <c r="F38" s="42"/>
      <c r="G38" s="43"/>
      <c r="H38" s="65">
        <v>687</v>
      </c>
      <c r="I38" s="63">
        <f t="shared" si="20"/>
        <v>4809</v>
      </c>
      <c r="J38" s="45"/>
      <c r="K38" s="41">
        <v>0</v>
      </c>
      <c r="L38" s="45"/>
      <c r="M38" s="45"/>
      <c r="N38" s="46">
        <f t="shared" si="21"/>
        <v>0</v>
      </c>
      <c r="O38" s="47">
        <f t="shared" si="22"/>
        <v>0</v>
      </c>
      <c r="P38" s="48">
        <f>SUMIFS('Отчет 15-21.12'!H:H,'Отчет 15-21.12'!D:D,"Выручка",'Отчет 15-21.12'!E:E,B38)</f>
        <v>0</v>
      </c>
      <c r="Q38" s="48">
        <f>SUMIFS('Отчет 15-21.12'!H:H,'Отчет 15-21.12'!D:D,"Возврат выручки",'Отчет 15-21.12'!E:E,B38)</f>
        <v>0</v>
      </c>
      <c r="R38" s="49">
        <f t="shared" si="23"/>
        <v>0</v>
      </c>
      <c r="S38" s="50">
        <f>SUMIFS('Отчет 15-21.12'!P:P,'Отчет 15-21.12'!C:C,"Продажи",'Отчет 15-21.12'!E:E,B38)</f>
        <v>0</v>
      </c>
      <c r="T38" s="51">
        <f>SUMIFS('Отчет 15-21.12'!P:P,'Отчет 15-21.12'!C:C,"Возвраты",'Отчет 15-21.12'!E:E,B38)</f>
        <v>0</v>
      </c>
      <c r="U38" s="49">
        <f t="shared" si="24"/>
        <v>0</v>
      </c>
      <c r="V38" s="52">
        <f t="shared" si="37"/>
        <v>0</v>
      </c>
      <c r="W38" s="53">
        <f t="shared" si="25"/>
        <v>0</v>
      </c>
      <c r="X38" s="51">
        <f>-SUMIFS('Отчет 15-21.12'!P:P,'Отчет 15-21.12'!C:C,"Вознаграждение Ozon",'Отчет 15-21.12'!E:E,B38)</f>
        <v>0</v>
      </c>
      <c r="Y38" s="54">
        <f t="shared" si="26"/>
        <v>0</v>
      </c>
      <c r="Z38" s="51">
        <f>-SUMIFS('Отчет 15-21.12'!P:P,'Отчет 15-21.12'!C:C,"Услуги доставки",'Отчет 15-21.12'!E:E,B38)</f>
        <v>0</v>
      </c>
      <c r="AA38" s="41">
        <v>0</v>
      </c>
      <c r="AB38" s="64"/>
      <c r="AC38" s="51"/>
      <c r="AD38" s="55">
        <f t="shared" si="27"/>
        <v>0</v>
      </c>
      <c r="AE38" s="56">
        <f t="shared" si="28"/>
        <v>0</v>
      </c>
      <c r="AF38" s="55"/>
      <c r="AG38" s="57">
        <f t="shared" si="29"/>
        <v>0</v>
      </c>
      <c r="AH38" s="58">
        <f t="shared" si="30"/>
        <v>687</v>
      </c>
      <c r="AI38" s="58">
        <f t="shared" si="31"/>
        <v>0</v>
      </c>
      <c r="AJ38" s="58">
        <f t="shared" si="32"/>
        <v>0</v>
      </c>
      <c r="AK38" s="58">
        <f t="shared" si="33"/>
        <v>0</v>
      </c>
      <c r="AL38" s="58">
        <f t="array" ref="AL38">_xlfn.IFS(R38=0,AE38,R38&lt;0,AE38/-R38,R38&gt;0,AE38/R38)</f>
        <v>0</v>
      </c>
      <c r="AM38" s="59">
        <f t="shared" si="34"/>
        <v>0</v>
      </c>
      <c r="AN38" s="60">
        <f t="shared" si="35"/>
        <v>0</v>
      </c>
      <c r="AP38" s="62">
        <f t="shared" si="36"/>
        <v>0</v>
      </c>
    </row>
    <row r="39" spans="1:42">
      <c r="A39" s="39">
        <v>2774719433</v>
      </c>
      <c r="B39" s="40" t="s">
        <v>240</v>
      </c>
      <c r="C39" s="41">
        <v>16</v>
      </c>
      <c r="D39" s="42"/>
      <c r="E39" s="42"/>
      <c r="F39" s="42"/>
      <c r="G39" s="43"/>
      <c r="H39" s="65">
        <v>597</v>
      </c>
      <c r="I39" s="63">
        <f t="shared" si="20"/>
        <v>9552</v>
      </c>
      <c r="J39" s="45"/>
      <c r="K39" s="41">
        <v>0</v>
      </c>
      <c r="L39" s="45"/>
      <c r="M39" s="45"/>
      <c r="N39" s="46">
        <f t="shared" si="21"/>
        <v>0</v>
      </c>
      <c r="O39" s="47">
        <f t="shared" si="22"/>
        <v>0</v>
      </c>
      <c r="P39" s="48">
        <f>SUMIFS('Отчет 15-21.12'!H:H,'Отчет 15-21.12'!D:D,"Выручка",'Отчет 15-21.12'!E:E,B39)</f>
        <v>0</v>
      </c>
      <c r="Q39" s="48">
        <f>SUMIFS('Отчет 15-21.12'!H:H,'Отчет 15-21.12'!D:D,"Возврат выручки",'Отчет 15-21.12'!E:E,B39)</f>
        <v>0</v>
      </c>
      <c r="R39" s="49">
        <f t="shared" si="23"/>
        <v>0</v>
      </c>
      <c r="S39" s="50">
        <f>SUMIFS('Отчет 15-21.12'!P:P,'Отчет 15-21.12'!C:C,"Продажи",'Отчет 15-21.12'!E:E,B39)</f>
        <v>0</v>
      </c>
      <c r="T39" s="51">
        <f>SUMIFS('Отчет 15-21.12'!P:P,'Отчет 15-21.12'!C:C,"Возвраты",'Отчет 15-21.12'!E:E,B39)</f>
        <v>0</v>
      </c>
      <c r="U39" s="49">
        <f t="shared" si="24"/>
        <v>0</v>
      </c>
      <c r="V39" s="52">
        <f t="shared" si="37"/>
        <v>0</v>
      </c>
      <c r="W39" s="53">
        <f t="shared" si="25"/>
        <v>0</v>
      </c>
      <c r="X39" s="51">
        <f>-SUMIFS('Отчет 15-21.12'!P:P,'Отчет 15-21.12'!C:C,"Вознаграждение Ozon",'Отчет 15-21.12'!E:E,B39)</f>
        <v>0</v>
      </c>
      <c r="Y39" s="54">
        <f t="shared" si="26"/>
        <v>0</v>
      </c>
      <c r="Z39" s="51">
        <f>-SUMIFS('Отчет 15-21.12'!P:P,'Отчет 15-21.12'!C:C,"Услуги доставки",'Отчет 15-21.12'!E:E,B39)</f>
        <v>0</v>
      </c>
      <c r="AA39" s="41">
        <v>0</v>
      </c>
      <c r="AB39" s="64"/>
      <c r="AC39" s="51"/>
      <c r="AD39" s="55">
        <f t="shared" si="27"/>
        <v>0</v>
      </c>
      <c r="AE39" s="56">
        <f t="shared" si="28"/>
        <v>0</v>
      </c>
      <c r="AF39" s="55"/>
      <c r="AG39" s="57">
        <f t="shared" si="29"/>
        <v>0</v>
      </c>
      <c r="AH39" s="58">
        <f t="shared" si="30"/>
        <v>597</v>
      </c>
      <c r="AI39" s="58">
        <f t="shared" si="31"/>
        <v>0</v>
      </c>
      <c r="AJ39" s="58">
        <f t="shared" si="32"/>
        <v>0</v>
      </c>
      <c r="AK39" s="58">
        <f t="shared" si="33"/>
        <v>0</v>
      </c>
      <c r="AL39" s="58">
        <f t="array" ref="AL39">_xlfn.IFS(R39=0,AE39,R39&lt;0,AE39/-R39,R39&gt;0,AE39/R39)</f>
        <v>0</v>
      </c>
      <c r="AM39" s="59">
        <f t="shared" si="34"/>
        <v>0</v>
      </c>
      <c r="AN39" s="60">
        <f t="shared" si="35"/>
        <v>0</v>
      </c>
      <c r="AP39" s="62">
        <f t="shared" si="36"/>
        <v>0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20"/>
        <v>10746</v>
      </c>
      <c r="J40" s="45"/>
      <c r="K40" s="41">
        <v>0</v>
      </c>
      <c r="L40" s="45"/>
      <c r="M40" s="45"/>
      <c r="N40" s="46">
        <f t="shared" si="21"/>
        <v>0</v>
      </c>
      <c r="O40" s="47">
        <f t="shared" si="22"/>
        <v>0</v>
      </c>
      <c r="P40" s="48">
        <f>SUMIFS('Отчет 15-21.12'!H:H,'Отчет 15-21.12'!D:D,"Выручка",'Отчет 15-21.12'!E:E,B40)</f>
        <v>0</v>
      </c>
      <c r="Q40" s="48">
        <f>SUMIFS('Отчет 15-21.12'!H:H,'Отчет 15-21.12'!D:D,"Возврат выручки",'Отчет 15-21.12'!E:E,B40)</f>
        <v>0</v>
      </c>
      <c r="R40" s="49">
        <f t="shared" si="23"/>
        <v>0</v>
      </c>
      <c r="S40" s="50">
        <f>SUMIFS('Отчет 15-21.12'!P:P,'Отчет 15-21.12'!C:C,"Продажи",'Отчет 15-21.12'!E:E,B40)</f>
        <v>0</v>
      </c>
      <c r="T40" s="51">
        <f>SUMIFS('Отчет 15-21.12'!P:P,'Отчет 15-21.12'!C:C,"Возвраты",'Отчет 15-21.12'!E:E,B40)</f>
        <v>0</v>
      </c>
      <c r="U40" s="49">
        <f t="shared" si="24"/>
        <v>0</v>
      </c>
      <c r="V40" s="52">
        <f t="shared" si="37"/>
        <v>0</v>
      </c>
      <c r="W40" s="53">
        <f t="shared" si="25"/>
        <v>0</v>
      </c>
      <c r="X40" s="51">
        <f>-SUMIFS('Отчет 15-21.12'!P:P,'Отчет 15-21.12'!C:C,"Вознаграждение Ozon",'Отчет 15-21.12'!E:E,B40)</f>
        <v>0</v>
      </c>
      <c r="Y40" s="54">
        <f t="shared" si="26"/>
        <v>0</v>
      </c>
      <c r="Z40" s="51">
        <f>-SUMIFS('Отчет 15-21.12'!P:P,'Отчет 15-21.12'!C:C,"Услуги доставки",'Отчет 15-21.12'!E:E,B40)</f>
        <v>0</v>
      </c>
      <c r="AA40" s="41">
        <v>0</v>
      </c>
      <c r="AB40" s="64"/>
      <c r="AC40" s="51"/>
      <c r="AD40" s="55">
        <f t="shared" si="27"/>
        <v>0</v>
      </c>
      <c r="AE40" s="56">
        <f t="shared" si="28"/>
        <v>0</v>
      </c>
      <c r="AF40" s="55"/>
      <c r="AG40" s="57">
        <f t="shared" si="29"/>
        <v>0</v>
      </c>
      <c r="AH40" s="58">
        <f t="shared" si="30"/>
        <v>597</v>
      </c>
      <c r="AI40" s="58">
        <f t="shared" si="31"/>
        <v>0</v>
      </c>
      <c r="AJ40" s="58">
        <f t="shared" si="32"/>
        <v>0</v>
      </c>
      <c r="AK40" s="58">
        <f t="shared" si="33"/>
        <v>0</v>
      </c>
      <c r="AL40" s="58">
        <f t="array" ref="AL40">_xlfn.IFS(R40=0,AE40,R40&lt;0,AE40/-R40,R40&gt;0,AE40/R40)</f>
        <v>0</v>
      </c>
      <c r="AM40" s="59">
        <f t="shared" si="34"/>
        <v>0</v>
      </c>
      <c r="AN40" s="60">
        <f t="shared" si="35"/>
        <v>0</v>
      </c>
      <c r="AP40" s="62">
        <f t="shared" si="36"/>
        <v>0</v>
      </c>
    </row>
    <row r="41" spans="1:42">
      <c r="A41" s="39">
        <v>2774719553</v>
      </c>
      <c r="B41" s="40" t="s">
        <v>242</v>
      </c>
      <c r="C41" s="41">
        <v>18</v>
      </c>
      <c r="D41" s="42"/>
      <c r="E41" s="42"/>
      <c r="F41" s="42"/>
      <c r="G41" s="43"/>
      <c r="H41" s="65">
        <v>597</v>
      </c>
      <c r="I41" s="63">
        <f t="shared" si="20"/>
        <v>10746</v>
      </c>
      <c r="J41" s="45"/>
      <c r="K41" s="41">
        <v>0</v>
      </c>
      <c r="L41" s="45"/>
      <c r="M41" s="45"/>
      <c r="N41" s="46">
        <f t="shared" si="21"/>
        <v>0</v>
      </c>
      <c r="O41" s="47">
        <f t="shared" si="22"/>
        <v>0</v>
      </c>
      <c r="P41" s="48">
        <f>SUMIFS('Отчет 15-21.12'!H:H,'Отчет 15-21.12'!D:D,"Выручка",'Отчет 15-21.12'!E:E,B41)</f>
        <v>0</v>
      </c>
      <c r="Q41" s="48">
        <f>SUMIFS('Отчет 15-21.12'!H:H,'Отчет 15-21.12'!D:D,"Возврат выручки",'Отчет 15-21.12'!E:E,B41)</f>
        <v>0</v>
      </c>
      <c r="R41" s="49">
        <f t="shared" si="23"/>
        <v>0</v>
      </c>
      <c r="S41" s="50">
        <f>SUMIFS('Отчет 15-21.12'!P:P,'Отчет 15-21.12'!C:C,"Продажи",'Отчет 15-21.12'!E:E,B41)</f>
        <v>0</v>
      </c>
      <c r="T41" s="51">
        <f>SUMIFS('Отчет 15-21.12'!P:P,'Отчет 15-21.12'!C:C,"Возвраты",'Отчет 15-21.12'!E:E,B41)</f>
        <v>0</v>
      </c>
      <c r="U41" s="49">
        <f t="shared" si="24"/>
        <v>0</v>
      </c>
      <c r="V41" s="52">
        <f t="shared" si="37"/>
        <v>0</v>
      </c>
      <c r="W41" s="53">
        <f t="shared" si="25"/>
        <v>0</v>
      </c>
      <c r="X41" s="51">
        <f>-SUMIFS('Отчет 15-21.12'!P:P,'Отчет 15-21.12'!C:C,"Вознаграждение Ozon",'Отчет 15-21.12'!E:E,B41)</f>
        <v>0</v>
      </c>
      <c r="Y41" s="54">
        <f t="shared" si="26"/>
        <v>0</v>
      </c>
      <c r="Z41" s="51">
        <f>-SUMIFS('Отчет 15-21.12'!P:P,'Отчет 15-21.12'!C:C,"Услуги доставки",'Отчет 15-21.12'!E:E,B41)</f>
        <v>0</v>
      </c>
      <c r="AA41" s="41">
        <v>0</v>
      </c>
      <c r="AB41" s="64"/>
      <c r="AC41" s="51"/>
      <c r="AD41" s="55">
        <f t="shared" si="27"/>
        <v>0</v>
      </c>
      <c r="AE41" s="56">
        <f t="shared" si="28"/>
        <v>0</v>
      </c>
      <c r="AF41" s="55"/>
      <c r="AG41" s="57">
        <f t="shared" si="29"/>
        <v>0</v>
      </c>
      <c r="AH41" s="58">
        <f t="shared" si="30"/>
        <v>597</v>
      </c>
      <c r="AI41" s="58">
        <f t="shared" si="31"/>
        <v>0</v>
      </c>
      <c r="AJ41" s="58">
        <f t="shared" si="32"/>
        <v>0</v>
      </c>
      <c r="AK41" s="58">
        <f t="shared" si="33"/>
        <v>0</v>
      </c>
      <c r="AL41" s="58">
        <f t="array" ref="AL41">_xlfn.IFS(R41=0,AE41,R41&lt;0,AE41/-R41,R41&gt;0,AE41/R41)</f>
        <v>0</v>
      </c>
      <c r="AM41" s="59">
        <f t="shared" si="34"/>
        <v>0</v>
      </c>
      <c r="AN41" s="60">
        <f t="shared" si="35"/>
        <v>0</v>
      </c>
      <c r="AP41" s="62">
        <f t="shared" si="36"/>
        <v>0</v>
      </c>
    </row>
    <row r="42" spans="1:42">
      <c r="A42" s="39">
        <v>2774710913</v>
      </c>
      <c r="B42" s="40" t="s">
        <v>243</v>
      </c>
      <c r="C42" s="41">
        <v>18</v>
      </c>
      <c r="D42" s="42"/>
      <c r="E42" s="42"/>
      <c r="F42" s="42"/>
      <c r="G42" s="43"/>
      <c r="H42" s="65">
        <v>642</v>
      </c>
      <c r="I42" s="63">
        <f t="shared" si="20"/>
        <v>11556</v>
      </c>
      <c r="J42" s="45"/>
      <c r="K42" s="41">
        <v>0</v>
      </c>
      <c r="L42" s="45"/>
      <c r="M42" s="45"/>
      <c r="N42" s="46">
        <f t="shared" si="21"/>
        <v>0</v>
      </c>
      <c r="O42" s="47">
        <f t="shared" si="22"/>
        <v>0</v>
      </c>
      <c r="P42" s="48">
        <f>SUMIFS('Отчет 15-21.12'!H:H,'Отчет 15-21.12'!D:D,"Выручка",'Отчет 15-21.12'!E:E,B42)</f>
        <v>0</v>
      </c>
      <c r="Q42" s="48">
        <f>SUMIFS('Отчет 15-21.12'!H:H,'Отчет 15-21.12'!D:D,"Возврат выручки",'Отчет 15-21.12'!E:E,B42)</f>
        <v>0</v>
      </c>
      <c r="R42" s="49">
        <f t="shared" si="23"/>
        <v>0</v>
      </c>
      <c r="S42" s="50">
        <f>SUMIFS('Отчет 15-21.12'!P:P,'Отчет 15-21.12'!C:C,"Продажи",'Отчет 15-21.12'!E:E,B42)</f>
        <v>0</v>
      </c>
      <c r="T42" s="51">
        <f>SUMIFS('Отчет 15-21.12'!P:P,'Отчет 15-21.12'!C:C,"Возвраты",'Отчет 15-21.12'!E:E,B42)</f>
        <v>0</v>
      </c>
      <c r="U42" s="49">
        <f t="shared" si="24"/>
        <v>0</v>
      </c>
      <c r="V42" s="52">
        <f t="shared" si="37"/>
        <v>0</v>
      </c>
      <c r="W42" s="53">
        <f t="shared" si="25"/>
        <v>0</v>
      </c>
      <c r="X42" s="51">
        <f>-SUMIFS('Отчет 15-21.12'!P:P,'Отчет 15-21.12'!C:C,"Вознаграждение Ozon",'Отчет 15-21.12'!E:E,B42)</f>
        <v>0</v>
      </c>
      <c r="Y42" s="54">
        <f t="shared" si="26"/>
        <v>0</v>
      </c>
      <c r="Z42" s="51">
        <f>-SUMIFS('Отчет 15-21.12'!P:P,'Отчет 15-21.12'!C:C,"Услуги доставки",'Отчет 15-21.12'!E:E,B42)</f>
        <v>112</v>
      </c>
      <c r="AA42" s="41">
        <v>708.4</v>
      </c>
      <c r="AB42" s="64"/>
      <c r="AC42" s="51"/>
      <c r="AD42" s="55">
        <f t="shared" si="27"/>
        <v>0</v>
      </c>
      <c r="AE42" s="56">
        <f t="shared" si="28"/>
        <v>-820.4</v>
      </c>
      <c r="AF42" s="55"/>
      <c r="AG42" s="57">
        <f t="shared" si="29"/>
        <v>0</v>
      </c>
      <c r="AH42" s="58">
        <f t="shared" si="30"/>
        <v>642</v>
      </c>
      <c r="AI42" s="58">
        <f t="shared" si="31"/>
        <v>0</v>
      </c>
      <c r="AJ42" s="58">
        <f t="shared" si="32"/>
        <v>112</v>
      </c>
      <c r="AK42" s="58">
        <f t="shared" si="33"/>
        <v>0</v>
      </c>
      <c r="AL42" s="58">
        <f t="array" ref="AL42">_xlfn.IFS(R42=0,AE42,R42&lt;0,AE42/-R42,R42&gt;0,AE42/R42)</f>
        <v>-820.4</v>
      </c>
      <c r="AM42" s="59">
        <f t="shared" si="34"/>
        <v>0</v>
      </c>
      <c r="AN42" s="60">
        <f t="shared" si="35"/>
        <v>-1.2778816199376948</v>
      </c>
      <c r="AP42" s="62">
        <f t="shared" si="36"/>
        <v>-14767.199999999999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20"/>
        <v>12198</v>
      </c>
      <c r="J43" s="45"/>
      <c r="K43" s="41">
        <v>0</v>
      </c>
      <c r="L43" s="45"/>
      <c r="M43" s="45"/>
      <c r="N43" s="46">
        <f t="shared" si="21"/>
        <v>0</v>
      </c>
      <c r="O43" s="47">
        <f t="shared" si="22"/>
        <v>0</v>
      </c>
      <c r="P43" s="48">
        <f>SUMIFS('Отчет 15-21.12'!H:H,'Отчет 15-21.12'!D:D,"Выручка",'Отчет 15-21.12'!E:E,B43)</f>
        <v>0</v>
      </c>
      <c r="Q43" s="48">
        <f>SUMIFS('Отчет 15-21.12'!H:H,'Отчет 15-21.12'!D:D,"Возврат выручки",'Отчет 15-21.12'!E:E,B43)</f>
        <v>0</v>
      </c>
      <c r="R43" s="49">
        <f t="shared" si="23"/>
        <v>0</v>
      </c>
      <c r="S43" s="50">
        <f>SUMIFS('Отчет 15-21.12'!P:P,'Отчет 15-21.12'!C:C,"Продажи",'Отчет 15-21.12'!E:E,B43)</f>
        <v>0</v>
      </c>
      <c r="T43" s="51">
        <f>SUMIFS('Отчет 15-21.12'!P:P,'Отчет 15-21.12'!C:C,"Возвраты",'Отчет 15-21.12'!E:E,B43)</f>
        <v>0</v>
      </c>
      <c r="U43" s="49">
        <f t="shared" si="24"/>
        <v>0</v>
      </c>
      <c r="V43" s="52">
        <f t="shared" si="37"/>
        <v>0</v>
      </c>
      <c r="W43" s="53">
        <f t="shared" si="25"/>
        <v>0</v>
      </c>
      <c r="X43" s="51">
        <f>-SUMIFS('Отчет 15-21.12'!P:P,'Отчет 15-21.12'!C:C,"Вознаграждение Ozon",'Отчет 15-21.12'!E:E,B43)</f>
        <v>0</v>
      </c>
      <c r="Y43" s="54">
        <f t="shared" si="26"/>
        <v>0</v>
      </c>
      <c r="Z43" s="51">
        <f>-SUMIFS('Отчет 15-21.12'!P:P,'Отчет 15-21.12'!C:C,"Услуги доставки",'Отчет 15-21.12'!E:E,B43)</f>
        <v>0</v>
      </c>
      <c r="AA43" s="41">
        <v>0</v>
      </c>
      <c r="AB43" s="64"/>
      <c r="AC43" s="51"/>
      <c r="AD43" s="55">
        <f t="shared" si="27"/>
        <v>0</v>
      </c>
      <c r="AE43" s="56">
        <f t="shared" si="28"/>
        <v>0</v>
      </c>
      <c r="AF43" s="55"/>
      <c r="AG43" s="57">
        <f t="shared" si="29"/>
        <v>0</v>
      </c>
      <c r="AH43" s="58">
        <f t="shared" si="30"/>
        <v>642</v>
      </c>
      <c r="AI43" s="58">
        <f t="shared" si="31"/>
        <v>0</v>
      </c>
      <c r="AJ43" s="58">
        <f t="shared" si="32"/>
        <v>0</v>
      </c>
      <c r="AK43" s="58">
        <f t="shared" si="33"/>
        <v>0</v>
      </c>
      <c r="AL43" s="58">
        <f t="array" ref="AL43">_xlfn.IFS(R43=0,AE43,R43&lt;0,AE43/-R43,R43&gt;0,AE43/R43)</f>
        <v>0</v>
      </c>
      <c r="AM43" s="59">
        <f t="shared" si="34"/>
        <v>0</v>
      </c>
      <c r="AN43" s="60">
        <f t="shared" si="35"/>
        <v>0</v>
      </c>
      <c r="AP43" s="62">
        <f t="shared" si="36"/>
        <v>0</v>
      </c>
    </row>
    <row r="44" spans="1:42">
      <c r="A44" s="39">
        <v>2774722656</v>
      </c>
      <c r="B44" s="40" t="s">
        <v>51</v>
      </c>
      <c r="C44" s="41">
        <v>7</v>
      </c>
      <c r="D44" s="42"/>
      <c r="E44" s="42"/>
      <c r="F44" s="42"/>
      <c r="G44" s="43"/>
      <c r="H44" s="65">
        <v>687</v>
      </c>
      <c r="I44" s="63">
        <f t="shared" si="20"/>
        <v>4809</v>
      </c>
      <c r="J44" s="45"/>
      <c r="K44" s="41">
        <v>0</v>
      </c>
      <c r="L44" s="45"/>
      <c r="M44" s="45"/>
      <c r="N44" s="46">
        <f t="shared" si="21"/>
        <v>0</v>
      </c>
      <c r="O44" s="47">
        <f t="shared" si="22"/>
        <v>0</v>
      </c>
      <c r="P44" s="48">
        <f>SUMIFS('Отчет 15-21.12'!H:H,'Отчет 15-21.12'!D:D,"Выручка",'Отчет 15-21.12'!E:E,B44)</f>
        <v>0</v>
      </c>
      <c r="Q44" s="48">
        <f>SUMIFS('Отчет 15-21.12'!H:H,'Отчет 15-21.12'!D:D,"Возврат выручки",'Отчет 15-21.12'!E:E,B44)</f>
        <v>0</v>
      </c>
      <c r="R44" s="49">
        <f t="shared" si="23"/>
        <v>0</v>
      </c>
      <c r="S44" s="50">
        <f>SUMIFS('Отчет 15-21.12'!P:P,'Отчет 15-21.12'!C:C,"Продажи",'Отчет 15-21.12'!E:E,B44)</f>
        <v>0</v>
      </c>
      <c r="T44" s="51">
        <f>SUMIFS('Отчет 15-21.12'!P:P,'Отчет 15-21.12'!C:C,"Возвраты",'Отчет 15-21.12'!E:E,B44)</f>
        <v>0</v>
      </c>
      <c r="U44" s="49">
        <f t="shared" si="24"/>
        <v>0</v>
      </c>
      <c r="V44" s="52">
        <f t="shared" si="37"/>
        <v>0</v>
      </c>
      <c r="W44" s="53">
        <f t="shared" si="25"/>
        <v>0</v>
      </c>
      <c r="X44" s="51">
        <f>-SUMIFS('Отчет 15-21.12'!P:P,'Отчет 15-21.12'!C:C,"Вознаграждение Ozon",'Отчет 15-21.12'!E:E,B44)</f>
        <v>0</v>
      </c>
      <c r="Y44" s="54">
        <f t="shared" si="26"/>
        <v>0</v>
      </c>
      <c r="Z44" s="51">
        <f>-SUMIFS('Отчет 15-21.12'!P:P,'Отчет 15-21.12'!C:C,"Услуги доставки",'Отчет 15-21.12'!E:E,B44)</f>
        <v>0</v>
      </c>
      <c r="AA44" s="41">
        <v>0</v>
      </c>
      <c r="AB44" s="64"/>
      <c r="AC44" s="51"/>
      <c r="AD44" s="55">
        <f t="shared" si="27"/>
        <v>0</v>
      </c>
      <c r="AE44" s="56">
        <f t="shared" si="28"/>
        <v>0</v>
      </c>
      <c r="AF44" s="55"/>
      <c r="AG44" s="57">
        <f t="shared" si="29"/>
        <v>0</v>
      </c>
      <c r="AH44" s="58">
        <f t="shared" si="30"/>
        <v>687</v>
      </c>
      <c r="AI44" s="58">
        <f t="shared" si="31"/>
        <v>0</v>
      </c>
      <c r="AJ44" s="58">
        <f t="shared" si="32"/>
        <v>0</v>
      </c>
      <c r="AK44" s="58">
        <f t="shared" si="33"/>
        <v>0</v>
      </c>
      <c r="AL44" s="58">
        <f t="array" ref="AL44">_xlfn.IFS(R44=0,AE44,R44&lt;0,AE44/-R44,R44&gt;0,AE44/R44)</f>
        <v>0</v>
      </c>
      <c r="AM44" s="59">
        <f t="shared" si="34"/>
        <v>0</v>
      </c>
      <c r="AN44" s="60">
        <f t="shared" si="35"/>
        <v>0</v>
      </c>
      <c r="AP44" s="62">
        <f t="shared" si="36"/>
        <v>0</v>
      </c>
    </row>
    <row r="45" spans="1:42">
      <c r="A45" s="39">
        <v>2774721190</v>
      </c>
      <c r="B45" s="40" t="s">
        <v>70</v>
      </c>
      <c r="C45" s="41">
        <v>5</v>
      </c>
      <c r="D45" s="42"/>
      <c r="E45" s="42"/>
      <c r="F45" s="42"/>
      <c r="G45" s="43"/>
      <c r="H45" s="65">
        <v>687</v>
      </c>
      <c r="I45" s="63">
        <f t="shared" si="20"/>
        <v>3435</v>
      </c>
      <c r="J45" s="45"/>
      <c r="K45" s="41">
        <v>1</v>
      </c>
      <c r="L45" s="45"/>
      <c r="M45" s="45"/>
      <c r="N45" s="46">
        <f t="shared" si="21"/>
        <v>0.14285714285714285</v>
      </c>
      <c r="O45" s="47">
        <f t="shared" si="22"/>
        <v>0.14285714285714285</v>
      </c>
      <c r="P45" s="48">
        <f>SUMIFS('Отчет 15-21.12'!H:H,'Отчет 15-21.12'!D:D,"Выручка",'Отчет 15-21.12'!E:E,B45)</f>
        <v>1</v>
      </c>
      <c r="Q45" s="48">
        <f>SUMIFS('Отчет 15-21.12'!H:H,'Отчет 15-21.12'!D:D,"Возврат выручки",'Отчет 15-21.12'!E:E,B45)</f>
        <v>0</v>
      </c>
      <c r="R45" s="49">
        <f t="shared" si="23"/>
        <v>1</v>
      </c>
      <c r="S45" s="50">
        <f>SUMIFS('Отчет 15-21.12'!P:P,'Отчет 15-21.12'!C:C,"Продажи",'Отчет 15-21.12'!E:E,B45)</f>
        <v>6500</v>
      </c>
      <c r="T45" s="51">
        <f>SUMIFS('Отчет 15-21.12'!P:P,'Отчет 15-21.12'!C:C,"Возвраты",'Отчет 15-21.12'!E:E,B45)</f>
        <v>0</v>
      </c>
      <c r="U45" s="49">
        <f t="shared" si="24"/>
        <v>6500</v>
      </c>
      <c r="V45" s="52">
        <f t="shared" si="37"/>
        <v>1</v>
      </c>
      <c r="W45" s="53">
        <f t="shared" si="25"/>
        <v>687</v>
      </c>
      <c r="X45" s="51">
        <f>-SUMIFS('Отчет 15-21.12'!P:P,'Отчет 15-21.12'!C:C,"Вознаграждение Ozon",'Отчет 15-21.12'!E:E,B45)</f>
        <v>2795</v>
      </c>
      <c r="Y45" s="54">
        <f t="shared" si="26"/>
        <v>0.43</v>
      </c>
      <c r="Z45" s="51">
        <f>-SUMIFS('Отчет 15-21.12'!P:P,'Отчет 15-21.12'!C:C,"Услуги доставки",'Отчет 15-21.12'!E:E,B45)</f>
        <v>209.72</v>
      </c>
      <c r="AA45" s="41">
        <v>0</v>
      </c>
      <c r="AB45" s="64"/>
      <c r="AC45" s="51"/>
      <c r="AD45" s="55">
        <f t="shared" si="27"/>
        <v>390</v>
      </c>
      <c r="AE45" s="56">
        <f t="shared" si="28"/>
        <v>2418.2800000000002</v>
      </c>
      <c r="AF45" s="55"/>
      <c r="AG45" s="57">
        <f t="shared" si="29"/>
        <v>6500</v>
      </c>
      <c r="AH45" s="58">
        <f t="shared" si="30"/>
        <v>687</v>
      </c>
      <c r="AI45" s="58">
        <f t="shared" si="31"/>
        <v>2795</v>
      </c>
      <c r="AJ45" s="58">
        <f t="shared" si="32"/>
        <v>209.72</v>
      </c>
      <c r="AK45" s="58">
        <f t="shared" si="33"/>
        <v>0</v>
      </c>
      <c r="AL45" s="58">
        <f t="array" ref="AL45">_xlfn.IFS(R45=0,AE45,R45&lt;0,AE45/-R45,R45&gt;0,AE45/R45)</f>
        <v>2418.2800000000002</v>
      </c>
      <c r="AM45" s="59">
        <f t="shared" si="34"/>
        <v>0.37204307692307698</v>
      </c>
      <c r="AN45" s="60">
        <f t="shared" si="35"/>
        <v>3.5200582241630278</v>
      </c>
      <c r="AP45" s="62">
        <f t="shared" si="36"/>
        <v>12091.400000000001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20"/>
        <v>3312</v>
      </c>
      <c r="J46" s="45"/>
      <c r="K46" s="41">
        <v>0</v>
      </c>
      <c r="L46" s="45"/>
      <c r="M46" s="45"/>
      <c r="N46" s="46">
        <f t="shared" si="21"/>
        <v>0</v>
      </c>
      <c r="O46" s="47">
        <f t="shared" si="22"/>
        <v>0</v>
      </c>
      <c r="P46" s="48">
        <f>SUMIFS('Отчет 15-21.12'!H:H,'Отчет 15-21.12'!D:D,"Выручка",'Отчет 15-21.12'!E:E,B46)</f>
        <v>0</v>
      </c>
      <c r="Q46" s="48">
        <f>SUMIFS('Отчет 15-21.12'!H:H,'Отчет 15-21.12'!D:D,"Возврат выручки",'Отчет 15-21.12'!E:E,B46)</f>
        <v>0</v>
      </c>
      <c r="R46" s="49">
        <f t="shared" si="23"/>
        <v>0</v>
      </c>
      <c r="S46" s="50">
        <f>SUMIFS('Отчет 15-21.12'!P:P,'Отчет 15-21.12'!C:C,"Продажи",'Отчет 15-21.12'!E:E,B46)</f>
        <v>0</v>
      </c>
      <c r="T46" s="51">
        <f>SUMIFS('Отчет 15-21.12'!P:P,'Отчет 15-21.12'!C:C,"Возвраты",'Отчет 15-21.12'!E:E,B46)</f>
        <v>0</v>
      </c>
      <c r="U46" s="49">
        <f t="shared" si="24"/>
        <v>0</v>
      </c>
      <c r="V46" s="52">
        <f t="shared" si="37"/>
        <v>0</v>
      </c>
      <c r="W46" s="53">
        <f t="shared" si="25"/>
        <v>0</v>
      </c>
      <c r="X46" s="51">
        <f>-SUMIFS('Отчет 15-21.12'!P:P,'Отчет 15-21.12'!C:C,"Вознаграждение Ozon",'Отчет 15-21.12'!E:E,B46)</f>
        <v>0</v>
      </c>
      <c r="Y46" s="54">
        <f t="shared" si="26"/>
        <v>0</v>
      </c>
      <c r="Z46" s="51">
        <f>-SUMIFS('Отчет 15-21.12'!P:P,'Отчет 15-21.12'!C:C,"Услуги доставки",'Отчет 15-21.12'!E:E,B46)</f>
        <v>0</v>
      </c>
      <c r="AA46" s="41">
        <v>0</v>
      </c>
      <c r="AB46" s="64"/>
      <c r="AC46" s="51"/>
      <c r="AD46" s="55">
        <f t="shared" si="27"/>
        <v>0</v>
      </c>
      <c r="AE46" s="56">
        <f t="shared" si="28"/>
        <v>0</v>
      </c>
      <c r="AF46" s="55"/>
      <c r="AG46" s="57">
        <f t="shared" si="29"/>
        <v>0</v>
      </c>
      <c r="AH46" s="58">
        <f t="shared" si="30"/>
        <v>552</v>
      </c>
      <c r="AI46" s="58">
        <f t="shared" si="31"/>
        <v>0</v>
      </c>
      <c r="AJ46" s="58">
        <f t="shared" si="32"/>
        <v>0</v>
      </c>
      <c r="AK46" s="58">
        <f t="shared" si="33"/>
        <v>0</v>
      </c>
      <c r="AL46" s="58">
        <f t="array" ref="AL46">_xlfn.IFS(R46=0,AE46,R46&lt;0,AE46/-R46,R46&gt;0,AE46/R46)</f>
        <v>0</v>
      </c>
      <c r="AM46" s="59">
        <f t="shared" si="34"/>
        <v>0</v>
      </c>
      <c r="AN46" s="60">
        <f t="shared" si="35"/>
        <v>0</v>
      </c>
      <c r="AP46" s="62">
        <f t="shared" si="36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21"/>
        <v>0</v>
      </c>
      <c r="O47" s="47">
        <f t="shared" si="22"/>
        <v>0</v>
      </c>
      <c r="P47" s="48">
        <f>SUMIFS('Отчет 15-21.12'!H:H,'Отчет 15-21.12'!D:D,"Выручка",'Отчет 15-21.12'!E:E,B47)</f>
        <v>0</v>
      </c>
      <c r="Q47" s="48">
        <f>SUMIFS('Отчет 15-21.12'!H:H,'Отчет 15-21.12'!D:D,"Возврат выручки",'Отчет 15-21.12'!E:E,B47)</f>
        <v>0</v>
      </c>
      <c r="R47" s="49">
        <f t="shared" si="23"/>
        <v>0</v>
      </c>
      <c r="S47" s="50">
        <f>SUMIFS('Отчет 15-21.12'!P:P,'Отчет 15-21.12'!C:C,"Продажи",'Отчет 15-21.12'!E:E,B47)</f>
        <v>0</v>
      </c>
      <c r="T47" s="51">
        <f>SUMIFS('Отчет 15-21.12'!P:P,'Отчет 15-21.12'!C:C,"Возвраты",'Отчет 15-21.12'!E:E,B47)</f>
        <v>0</v>
      </c>
      <c r="U47" s="49">
        <f t="shared" si="24"/>
        <v>0</v>
      </c>
      <c r="V47" s="52">
        <f>IFERROR(U47/$U$49,0)</f>
        <v>0</v>
      </c>
      <c r="W47" s="53">
        <f t="shared" si="25"/>
        <v>0</v>
      </c>
      <c r="X47" s="51">
        <f>-SUMIFS('Отчет 15-21.12'!P:P,'Отчет 15-21.12'!C:C,"Вознаграждение Ozon",'Отчет 15-21.12'!E:E,B47)</f>
        <v>0</v>
      </c>
      <c r="Y47" s="54">
        <f t="shared" si="26"/>
        <v>0</v>
      </c>
      <c r="Z47" s="51">
        <f>-SUMIFS('Отчет 15-21.12'!P:P,'Отчет 15-21.12'!C:C,"Услуги доставки",'Отчет 15-21.12'!E:E,B47)</f>
        <v>0</v>
      </c>
      <c r="AA47" s="41">
        <v>0</v>
      </c>
      <c r="AB47" s="64"/>
      <c r="AC47" s="51"/>
      <c r="AD47" s="55">
        <f t="shared" si="27"/>
        <v>0</v>
      </c>
      <c r="AE47" s="56">
        <f t="shared" si="28"/>
        <v>0</v>
      </c>
      <c r="AF47" s="55"/>
      <c r="AG47" s="57">
        <f t="shared" si="29"/>
        <v>0</v>
      </c>
      <c r="AH47" s="58">
        <f t="shared" si="30"/>
        <v>552</v>
      </c>
      <c r="AI47" s="58">
        <f t="shared" si="31"/>
        <v>0</v>
      </c>
      <c r="AJ47" s="58">
        <f t="shared" si="32"/>
        <v>0</v>
      </c>
      <c r="AK47" s="58">
        <f t="shared" si="33"/>
        <v>0</v>
      </c>
      <c r="AL47" s="58">
        <f t="array" ref="AL47">_xlfn.IFS(R47=0,AE47,R47&lt;0,AE47/-R47,R47&gt;0,AE47/R47)</f>
        <v>0</v>
      </c>
      <c r="AM47" s="59">
        <f t="shared" si="34"/>
        <v>0</v>
      </c>
      <c r="AN47" s="60">
        <f t="shared" si="35"/>
        <v>0</v>
      </c>
      <c r="AP47" s="62">
        <f t="shared" si="36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38">AVERAGEIF(AG28:AG47,"&lt;&gt;0",AG28:AG47)</f>
        <v>6500</v>
      </c>
      <c r="AH48" s="259">
        <f t="shared" si="38"/>
        <v>617.25</v>
      </c>
      <c r="AI48" s="259">
        <f t="shared" si="38"/>
        <v>2795</v>
      </c>
      <c r="AJ48" s="259">
        <f t="shared" si="38"/>
        <v>151.14250000000001</v>
      </c>
      <c r="AK48" s="259" t="e">
        <f t="shared" si="38"/>
        <v>#DIV/0!</v>
      </c>
      <c r="AL48" s="259">
        <f t="shared" si="38"/>
        <v>328.75750000000005</v>
      </c>
      <c r="AM48" s="260">
        <f t="shared" si="38"/>
        <v>0.37204307692307698</v>
      </c>
      <c r="AN48" s="260">
        <f t="shared" si="38"/>
        <v>0.4448080978500597</v>
      </c>
      <c r="AO48" s="240"/>
      <c r="AP48" s="241"/>
    </row>
    <row r="49" spans="1:42">
      <c r="A49" s="218" t="s">
        <v>306</v>
      </c>
      <c r="B49" s="219"/>
      <c r="C49" s="220">
        <f>SUM(C28:C47)</f>
        <v>305</v>
      </c>
      <c r="D49" s="221"/>
      <c r="E49" s="221"/>
      <c r="F49" s="221"/>
      <c r="G49" s="221"/>
      <c r="H49" s="222"/>
      <c r="I49" s="220">
        <f>SUM(I28:I47)</f>
        <v>186225</v>
      </c>
      <c r="J49" s="223"/>
      <c r="K49" s="220">
        <f>SUM(K28:K47)</f>
        <v>2</v>
      </c>
      <c r="L49" s="223"/>
      <c r="M49" s="223"/>
      <c r="N49" s="224"/>
      <c r="O49" s="225"/>
      <c r="P49" s="220">
        <f t="shared" ref="P49:X49" si="39">SUM(P28:P47)</f>
        <v>2</v>
      </c>
      <c r="Q49" s="220">
        <f t="shared" si="39"/>
        <v>1</v>
      </c>
      <c r="R49" s="250">
        <f t="shared" si="39"/>
        <v>1</v>
      </c>
      <c r="S49" s="220">
        <f t="shared" si="39"/>
        <v>9580</v>
      </c>
      <c r="T49" s="220">
        <f t="shared" si="39"/>
        <v>-3080</v>
      </c>
      <c r="U49" s="250">
        <f t="shared" si="39"/>
        <v>6500</v>
      </c>
      <c r="V49" s="253">
        <f>SUM(V28:V47)</f>
        <v>1</v>
      </c>
      <c r="W49" s="220">
        <f t="shared" si="39"/>
        <v>687</v>
      </c>
      <c r="X49" s="220">
        <f t="shared" si="39"/>
        <v>2795</v>
      </c>
      <c r="Y49" s="226">
        <f>IF(U49=0,0,X49/U49)</f>
        <v>0.43</v>
      </c>
      <c r="Z49" s="220">
        <f>SUM(Z28:Z47)</f>
        <v>604.57000000000005</v>
      </c>
      <c r="AA49" s="220">
        <f>IFERROR(P49*AA51/P51,0)</f>
        <v>897.59478260869571</v>
      </c>
      <c r="AB49" s="220">
        <f>SUM(AB28:AB47)</f>
        <v>0</v>
      </c>
      <c r="AC49" s="220">
        <f>SUM(AC28:AC47)</f>
        <v>0</v>
      </c>
      <c r="AD49" s="250">
        <f>SUM(AD28:AD47)</f>
        <v>390</v>
      </c>
      <c r="AE49" s="220">
        <f>SUM(AE28:AE47)</f>
        <v>1315.0300000000002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-7254.5499999999956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708.4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5100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808739.00999999989</v>
      </c>
      <c r="J51" s="229">
        <f>J26+J49</f>
        <v>0</v>
      </c>
      <c r="K51" s="229">
        <f>K26+K49</f>
        <v>97</v>
      </c>
      <c r="L51" s="230"/>
      <c r="M51" s="230"/>
      <c r="N51" s="230"/>
      <c r="O51" s="230"/>
      <c r="P51" s="269">
        <f t="shared" ref="P51:X51" si="40">P26+P49</f>
        <v>46</v>
      </c>
      <c r="Q51" s="229">
        <f t="shared" si="40"/>
        <v>3</v>
      </c>
      <c r="R51" s="252">
        <f>R26-R49</f>
        <v>41</v>
      </c>
      <c r="S51" s="229">
        <f t="shared" si="40"/>
        <v>70694</v>
      </c>
      <c r="T51" s="229">
        <f t="shared" si="40"/>
        <v>-6471</v>
      </c>
      <c r="U51" s="252">
        <f t="shared" si="40"/>
        <v>64223</v>
      </c>
      <c r="V51" s="255">
        <f>V26+V49</f>
        <v>1.9392527007073725</v>
      </c>
      <c r="W51" s="229">
        <f t="shared" si="40"/>
        <v>6376.17</v>
      </c>
      <c r="X51" s="229">
        <f t="shared" si="40"/>
        <v>27615.889999999996</v>
      </c>
      <c r="Y51" s="232">
        <f>X51/U51</f>
        <v>0.42999999999999994</v>
      </c>
      <c r="Z51" s="229">
        <f>Z26+Z49</f>
        <v>7974.7999999999984</v>
      </c>
      <c r="AA51" s="75">
        <v>20644.68</v>
      </c>
      <c r="AB51" s="74"/>
      <c r="AC51" s="74">
        <f>SUM(AC3:AC47)</f>
        <v>0</v>
      </c>
      <c r="AD51" s="229">
        <f>AD26+AD49</f>
        <v>3853.38</v>
      </c>
      <c r="AE51" s="233">
        <f>AE26+AE49</f>
        <v>908.08051000001001</v>
      </c>
      <c r="AF51" s="76"/>
      <c r="AG51" s="234"/>
      <c r="AH51" s="235"/>
      <c r="AI51" s="235"/>
      <c r="AJ51" s="235"/>
      <c r="AK51" s="235">
        <f>AA52/P51</f>
        <v>448.79739130434785</v>
      </c>
      <c r="AL51" s="235"/>
      <c r="AM51" s="235"/>
      <c r="AN51" s="236"/>
      <c r="AP51" s="233">
        <f>SUM(AP3:AP47)</f>
        <v>1691026.1116763682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20644.68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17494.679490000002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808739.00999999989</v>
      </c>
      <c r="J59" s="109">
        <f>I59/I51</f>
        <v>1</v>
      </c>
      <c r="K59" s="105">
        <f>AP51-K58-K60</f>
        <v>1691026.1116763682</v>
      </c>
      <c r="L59" s="106">
        <f>K59/I59</f>
        <v>2.0909416891814931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241" priority="36" operator="greaterThan">
      <formula>120</formula>
    </cfRule>
  </conditionalFormatting>
  <conditionalFormatting sqref="N50">
    <cfRule type="cellIs" dxfId="240" priority="35" operator="between">
      <formula>0.000001</formula>
      <formula>25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{46D53395-B334-4BD6-A891-97CCDAADD1DB}</x14:id>
        </ext>
      </extLst>
    </cfRule>
  </conditionalFormatting>
  <conditionalFormatting sqref="AP3:AP7 AP27:AP47 AP50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{766280B3-6961-4924-8557-0184C1968213}</x14:id>
        </ext>
      </extLst>
    </cfRule>
  </conditionalFormatting>
  <conditionalFormatting sqref="AE3:AE7 AE27:AE48 AE50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{73E7E4C2-59D0-4C16-A1DD-059E48D3F254}</x14:id>
        </ext>
      </extLst>
    </cfRule>
  </conditionalFormatting>
  <conditionalFormatting sqref="AL3:AL7 AL27:AL47 AL50 AL10:AL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{8A507FAE-A038-4F1C-AEE1-D391639F24D7}</x14:id>
        </ext>
      </extLst>
    </cfRule>
  </conditionalFormatting>
  <conditionalFormatting sqref="AM3:AN7 AM27:AN47 AM50:AN50 AM10:AN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{2192BCD9-2CEA-49F9-8551-EFF248A24C2E}</x14:id>
        </ext>
      </extLst>
    </cfRule>
  </conditionalFormatting>
  <conditionalFormatting sqref="AP3:AP7 AP27:AP47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{2E741C0F-8005-464E-9C4F-859281403C20}</x14:id>
        </ext>
      </extLst>
    </cfRule>
  </conditionalFormatting>
  <conditionalFormatting sqref="AE3:AE7 AE27:AE48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{43C1E407-8AFB-4F89-A7DD-7DBD660F5D1F}</x14:id>
        </ext>
      </extLst>
    </cfRule>
  </conditionalFormatting>
  <conditionalFormatting sqref="U48 U27 U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{7C7A49C8-7E26-4D1A-B158-1F6C10781133}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{13E77918-88E3-42BE-9FBB-ECC3A9F0BDC5}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{A852F841-4413-499B-9EAB-3FD38CFEA98A}</x14:id>
        </ext>
      </extLst>
    </cfRule>
  </conditionalFormatting>
  <conditionalFormatting sqref="P50">
    <cfRule type="cellIs" dxfId="239" priority="31" operator="greaterThan">
      <formula>120</formula>
    </cfRule>
  </conditionalFormatting>
  <conditionalFormatting sqref="Q50">
    <cfRule type="cellIs" dxfId="238" priority="30" operator="greaterThan">
      <formula>120</formula>
    </cfRule>
  </conditionalFormatting>
  <conditionalFormatting sqref="R50">
    <cfRule type="cellIs" dxfId="237" priority="29" operator="greaterThan">
      <formula>120</formula>
    </cfRule>
  </conditionalFormatting>
  <conditionalFormatting sqref="S50">
    <cfRule type="cellIs" dxfId="236" priority="28" operator="greaterThan">
      <formula>120</formula>
    </cfRule>
  </conditionalFormatting>
  <conditionalFormatting sqref="T50">
    <cfRule type="cellIs" dxfId="235" priority="27" operator="greaterThan">
      <formula>120</formula>
    </cfRule>
  </conditionalFormatting>
  <conditionalFormatting sqref="U50">
    <cfRule type="cellIs" dxfId="234" priority="26" operator="greaterThan">
      <formula>120</formula>
    </cfRule>
  </conditionalFormatting>
  <conditionalFormatting sqref="W50">
    <cfRule type="cellIs" dxfId="233" priority="24" operator="greaterThan">
      <formula>120</formula>
    </cfRule>
  </conditionalFormatting>
  <conditionalFormatting sqref="X50">
    <cfRule type="cellIs" dxfId="232" priority="23" operator="greaterThan">
      <formula>120</formula>
    </cfRule>
  </conditionalFormatting>
  <conditionalFormatting sqref="Z50">
    <cfRule type="cellIs" dxfId="231" priority="22" operator="greaterThan">
      <formula>120</formula>
    </cfRule>
  </conditionalFormatting>
  <conditionalFormatting sqref="AP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{D720B3CC-5CA4-447D-9BF6-42C9785A3B70}</x14:id>
        </ext>
      </extLst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{CE85352F-CA07-46FA-91E7-111BC3688300}</x14:id>
        </ext>
      </extLst>
    </cfRule>
  </conditionalFormatting>
  <conditionalFormatting sqref="J8:J9">
    <cfRule type="cellIs" dxfId="230" priority="13" operator="greaterThan">
      <formula>120</formula>
    </cfRule>
  </conditionalFormatting>
  <conditionalFormatting sqref="AP8:AP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{D4C8A515-067C-4407-B26A-05FB699E560A}</x14:id>
        </ext>
      </extLst>
    </cfRule>
  </conditionalFormatting>
  <conditionalFormatting sqref="AE8:AE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{549AA43E-194A-48EB-BC07-6659681A5288}</x14:id>
        </ext>
      </extLst>
    </cfRule>
  </conditionalFormatting>
  <conditionalFormatting sqref="AL8:AL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{AD751AF7-0807-4EEB-AC2E-34DE7D4DE649}</x14:id>
        </ext>
      </extLst>
    </cfRule>
  </conditionalFormatting>
  <conditionalFormatting sqref="AM8:AN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{C1A3CA61-8EBD-4821-8DB8-C0E78502CDC7}</x14:id>
        </ext>
      </extLst>
    </cfRule>
  </conditionalFormatting>
  <conditionalFormatting sqref="AP8:AP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{0C9A82F7-9227-4140-B867-A2895E25E307}</x14:id>
        </ext>
      </extLst>
    </cfRule>
  </conditionalFormatting>
  <conditionalFormatting sqref="AE8:AE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{AD12DB4A-1C0C-41AB-BCC9-5AA7B2DC04DD}</x14:id>
        </ext>
      </extLst>
    </cfRule>
  </conditionalFormatting>
  <conditionalFormatting sqref="U3:U2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{46B36629-388A-4722-B8DA-10D913749A37}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{A53D3C6C-5E0E-4CE5-9073-2C4FDEC8D678}</x14:id>
        </ext>
      </extLst>
    </cfRule>
  </conditionalFormatting>
  <conditionalFormatting sqref="U28:U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{1486EF1C-AB32-40BF-AA1E-05D7B54BB81D}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{A7FF924A-29F6-4C33-AC2D-DB1E545036A9}</x14:id>
        </ext>
      </extLst>
    </cfRule>
  </conditionalFormatting>
  <conditionalFormatting sqref="V1 V52:V55 V57:V1048576">
    <cfRule type="cellIs" dxfId="229" priority="6" operator="greaterThan">
      <formula>0.23</formula>
    </cfRule>
  </conditionalFormatting>
  <conditionalFormatting sqref="V48 V27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{8CB6F965-39DD-405F-A93B-CCCB20CF0BEC}</x14:id>
        </ext>
      </extLst>
    </cfRule>
  </conditionalFormatting>
  <conditionalFormatting sqref="V48 V27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{2549995F-9C58-4A98-8E07-8476144F2F2A}</x14:id>
        </ext>
      </extLst>
    </cfRule>
  </conditionalFormatting>
  <conditionalFormatting sqref="V50">
    <cfRule type="cellIs" dxfId="228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{DE872817-9031-46E5-83CD-8388F31CF3AD}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{43BDABA4-6DEC-471C-8E57-863053C5DA86}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D53395-B334-4BD6-A891-97CCDAADD1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766280B3-6961-4924-8557-0184C1968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73E7E4C2-59D0-4C16-A1DD-059E48D3F2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A507FAE-A038-4F1C-AEE1-D391639F2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2192BCD9-2CEA-49F9-8551-EFF248A24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E741C0F-8005-464E-9C4F-859281403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43C1E407-8AFB-4F89-A7DD-7DBD660F5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C7A49C8-7E26-4D1A-B158-1F6C107811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13E77918-88E3-42BE-9FBB-ECC3A9F0BD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852F841-4413-499B-9EAB-3FD38CFEA9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720B3CC-5CA4-447D-9BF6-42C9785A3B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E85352F-CA07-46FA-91E7-111BC368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4C8A515-067C-4407-B26A-05FB699E56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49AA43E-194A-48EB-BC07-6659681A52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D751AF7-0807-4EEB-AC2E-34DE7D4DE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C1A3CA61-8EBD-4821-8DB8-C0E78502CD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C9A82F7-9227-4140-B867-A2895E25E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D12DB4A-1C0C-41AB-BCC9-5AA7B2DC04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6B36629-388A-4722-B8DA-10D913749A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A53D3C6C-5E0E-4CE5-9073-2C4FDEC8D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486EF1C-AB32-40BF-AA1E-05D7B54BB8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7FF924A-29F6-4C33-AC2D-DB1E54503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8CB6F965-39DD-405F-A93B-CCCB20CF0B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2549995F-9C58-4A98-8E07-8476144F2F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DE872817-9031-46E5-83CD-8388F31CF3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43BDABA4-6DEC-471C-8E57-863053C5DA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F380-13B4-4B5F-AD0F-C7F359776E75}">
  <dimension ref="A1:AZ64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6" sqref="K6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1333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1672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281</v>
      </c>
      <c r="D3" s="42"/>
      <c r="E3" s="42"/>
      <c r="F3" s="42"/>
      <c r="G3" s="43"/>
      <c r="H3" s="44">
        <v>142.97999999999999</v>
      </c>
      <c r="I3" s="42">
        <f t="shared" ref="I3:I24" si="0">C3*H3</f>
        <v>40177.379999999997</v>
      </c>
      <c r="J3" s="45"/>
      <c r="K3" s="41">
        <v>31</v>
      </c>
      <c r="L3" s="45"/>
      <c r="M3" s="45"/>
      <c r="N3" s="46">
        <f t="shared" ref="N3:N24" si="1">K3/7</f>
        <v>4.4285714285714288</v>
      </c>
      <c r="O3" s="47">
        <f t="shared" ref="O3:O24" si="2">R3/7</f>
        <v>2.1428571428571428</v>
      </c>
      <c r="P3" s="48">
        <f>SUMIFS('Отчет 08-14.12'!H:H,'Отчет 08-14.12'!D:D,"Выручка",'Отчет 08-14.12'!E:E,B3)</f>
        <v>16</v>
      </c>
      <c r="Q3" s="48">
        <f>SUMIFS('Отчет 08-14.12'!H:H,'Отчет 08-14.12'!D:D,"Возврат выручки",'Отчет 08-14.12'!E:E,B3)</f>
        <v>1</v>
      </c>
      <c r="R3" s="49">
        <f t="shared" ref="R3:R24" si="3">P3-Q3</f>
        <v>15</v>
      </c>
      <c r="S3" s="50">
        <f>SUMIFS('Отчет 08-14.12'!P:P,'Отчет 08-14.12'!C:C,"Продажи",'Отчет 08-14.12'!E:E,B3)</f>
        <v>23422.000000000004</v>
      </c>
      <c r="T3" s="51">
        <f>SUMIFS('Отчет 08-14.12'!P:P,'Отчет 08-14.12'!C:C,"Возвраты",'Отчет 08-14.12'!E:E,B3)</f>
        <v>-1050</v>
      </c>
      <c r="U3" s="49">
        <f t="shared" ref="U3:U24" si="4">S3+T3</f>
        <v>22372.000000000004</v>
      </c>
      <c r="V3" s="52">
        <f t="shared" ref="V3:V24" si="5">U3/$U$49</f>
        <v>2.6282894736842111</v>
      </c>
      <c r="W3" s="53">
        <f t="shared" ref="W3:W24" si="6">R3*H3</f>
        <v>2144.6999999999998</v>
      </c>
      <c r="X3" s="51">
        <f>-SUMIFS('Отчет 08-14.12'!P:P,'Отчет 08-14.12'!C:C,"Вознаграждение Ozon",'Отчет 08-14.12'!E:E,B3)</f>
        <v>9619.9599999999991</v>
      </c>
      <c r="Y3" s="54">
        <f t="shared" ref="Y3:Y24" si="7">IF(U3=0,0,X3/U3)</f>
        <v>0.42999999999999988</v>
      </c>
      <c r="Z3" s="51">
        <f>-SUMIFS('Отчет 08-14.12'!P:P,'Отчет 08-14.12'!C:C,"Услуги доставки",'Отчет 08-14.12'!E:E,B3)</f>
        <v>2893.4900000000011</v>
      </c>
      <c r="AA3" s="41">
        <v>5163.029665</v>
      </c>
      <c r="AB3" s="51"/>
      <c r="AC3" s="51"/>
      <c r="AD3" s="55">
        <f t="shared" ref="AD3:AD24" si="8">U3*6%</f>
        <v>1342.3200000000002</v>
      </c>
      <c r="AE3" s="56">
        <f t="shared" ref="AE3:AE24" si="9">U3-W3-X3-Z3-AA3-AB3-AC3-AD3</f>
        <v>1208.500335000002</v>
      </c>
      <c r="AF3" s="55"/>
      <c r="AG3" s="57">
        <f t="shared" ref="AG3:AG24" si="10">IF(R3=0,0,U3/R3)</f>
        <v>1491.4666666666669</v>
      </c>
      <c r="AH3" s="58">
        <f t="shared" ref="AH3:AH24" si="11">H3</f>
        <v>142.97999999999999</v>
      </c>
      <c r="AI3" s="58">
        <f t="shared" ref="AI3:AI24" si="12">IF(R3=0,0,X3/R3)</f>
        <v>641.33066666666662</v>
      </c>
      <c r="AJ3" s="58">
        <f t="shared" ref="AJ3:AJ24" si="13">IF(P3=0,Z3/1,Z3/P3)</f>
        <v>180.84312500000007</v>
      </c>
      <c r="AK3" s="58">
        <f t="shared" ref="AK3:AK24" si="14">IF(P3=0,0,AA3/P3)</f>
        <v>322.6893540625</v>
      </c>
      <c r="AL3" s="58">
        <f>_xlfn.IFS(R3=0,AE3,R3&lt;0,AE3/-R3,R3&gt;0,AE3/R3)</f>
        <v>80.566689000000139</v>
      </c>
      <c r="AM3" s="59">
        <f t="shared" ref="AM3:AM24" si="15">IF(AG3=0,0,AL3/AG3)</f>
        <v>5.4018430851063913E-2</v>
      </c>
      <c r="AN3" s="60">
        <f t="shared" ref="AN3:AN24" si="16">IF(AH3=0,0,AL3/AH3)</f>
        <v>0.563482228283677</v>
      </c>
      <c r="AP3" s="62">
        <f t="shared" ref="AP3:AP24" si="17">AL3*C3</f>
        <v>22639.23960900004</v>
      </c>
    </row>
    <row r="4" spans="1:42">
      <c r="A4" s="39">
        <v>2638638550</v>
      </c>
      <c r="B4" s="40" t="s">
        <v>92</v>
      </c>
      <c r="C4" s="41">
        <v>385</v>
      </c>
      <c r="D4" s="42"/>
      <c r="E4" s="42"/>
      <c r="F4" s="42"/>
      <c r="G4" s="43"/>
      <c r="H4" s="44">
        <v>123.09</v>
      </c>
      <c r="I4" s="42">
        <f t="shared" si="0"/>
        <v>47389.65</v>
      </c>
      <c r="J4" s="45"/>
      <c r="K4" s="41">
        <v>2</v>
      </c>
      <c r="L4" s="45"/>
      <c r="M4" s="45"/>
      <c r="N4" s="46">
        <f t="shared" si="1"/>
        <v>0.2857142857142857</v>
      </c>
      <c r="O4" s="47">
        <f t="shared" si="2"/>
        <v>0.14285714285714285</v>
      </c>
      <c r="P4" s="48">
        <f>SUMIFS('Отчет 08-14.12'!H:H,'Отчет 08-14.12'!D:D,"Выручка",'Отчет 08-14.12'!E:E,B4)</f>
        <v>1</v>
      </c>
      <c r="Q4" s="48">
        <f>SUMIFS('Отчет 08-14.12'!H:H,'Отчет 08-14.12'!D:D,"Возврат выручки",'Отчет 08-14.12'!E:E,B4)</f>
        <v>0</v>
      </c>
      <c r="R4" s="49">
        <f t="shared" si="3"/>
        <v>1</v>
      </c>
      <c r="S4" s="50">
        <f>SUMIFS('Отчет 08-14.12'!P:P,'Отчет 08-14.12'!C:C,"Продажи",'Отчет 08-14.12'!E:E,B4)</f>
        <v>1101</v>
      </c>
      <c r="T4" s="51">
        <f>SUMIFS('Отчет 08-14.12'!P:P,'Отчет 08-14.12'!C:C,"Возвраты",'Отчет 08-14.12'!E:E,B4)</f>
        <v>0</v>
      </c>
      <c r="U4" s="49">
        <f t="shared" si="4"/>
        <v>1101</v>
      </c>
      <c r="V4" s="52">
        <f t="shared" si="5"/>
        <v>0.1293468045112782</v>
      </c>
      <c r="W4" s="53">
        <f t="shared" si="6"/>
        <v>123.09</v>
      </c>
      <c r="X4" s="51">
        <f>-SUMIFS('Отчет 08-14.12'!P:P,'Отчет 08-14.12'!C:C,"Вознаграждение Ozon",'Отчет 08-14.12'!E:E,B4)</f>
        <v>473.43</v>
      </c>
      <c r="Y4" s="54">
        <f t="shared" si="7"/>
        <v>0.43</v>
      </c>
      <c r="Z4" s="51">
        <f>-SUMIFS('Отчет 08-14.12'!P:P,'Отчет 08-14.12'!C:C,"Услуги доставки",'Отчет 08-14.12'!E:E,B4)</f>
        <v>98.7</v>
      </c>
      <c r="AA4" s="41">
        <v>0</v>
      </c>
      <c r="AB4" s="51"/>
      <c r="AC4" s="51"/>
      <c r="AD4" s="55">
        <f t="shared" si="8"/>
        <v>66.06</v>
      </c>
      <c r="AE4" s="56">
        <f t="shared" si="9"/>
        <v>339.71999999999997</v>
      </c>
      <c r="AF4" s="55"/>
      <c r="AG4" s="57">
        <f t="shared" si="10"/>
        <v>1101</v>
      </c>
      <c r="AH4" s="58">
        <f t="shared" si="11"/>
        <v>123.09</v>
      </c>
      <c r="AI4" s="58">
        <f t="shared" si="12"/>
        <v>473.43</v>
      </c>
      <c r="AJ4" s="58">
        <f t="shared" si="13"/>
        <v>98.7</v>
      </c>
      <c r="AK4" s="58">
        <f t="shared" si="14"/>
        <v>0</v>
      </c>
      <c r="AL4" s="58">
        <f t="array" ref="AL4">_xlfn.IFS(R4=0,AE4,R4&lt;0,AE4/-R4,R4&gt;0,AE4/R4)</f>
        <v>339.71999999999997</v>
      </c>
      <c r="AM4" s="59">
        <f t="shared" si="15"/>
        <v>0.30855585831062665</v>
      </c>
      <c r="AN4" s="60">
        <f t="shared" si="16"/>
        <v>2.7599317572507918</v>
      </c>
      <c r="AP4" s="62">
        <f t="shared" si="17"/>
        <v>130792.19999999998</v>
      </c>
    </row>
    <row r="5" spans="1:42">
      <c r="A5" s="39">
        <v>2638691131</v>
      </c>
      <c r="B5" s="40" t="s">
        <v>222</v>
      </c>
      <c r="C5" s="41">
        <v>390</v>
      </c>
      <c r="D5" s="42"/>
      <c r="E5" s="42"/>
      <c r="F5" s="42"/>
      <c r="G5" s="43"/>
      <c r="H5" s="44">
        <v>123.09</v>
      </c>
      <c r="I5" s="63">
        <f t="shared" si="0"/>
        <v>48005.1</v>
      </c>
      <c r="J5" s="45"/>
      <c r="K5" s="41">
        <v>1</v>
      </c>
      <c r="L5" s="45"/>
      <c r="M5" s="45"/>
      <c r="N5" s="46">
        <f t="shared" si="1"/>
        <v>0.14285714285714285</v>
      </c>
      <c r="O5" s="47">
        <f t="shared" si="2"/>
        <v>0.14285714285714285</v>
      </c>
      <c r="P5" s="48">
        <f>SUMIFS('Отчет 08-14.12'!H:H,'Отчет 08-14.12'!D:D,"Выручка",'Отчет 08-14.12'!E:E,B5)</f>
        <v>1</v>
      </c>
      <c r="Q5" s="48">
        <f>SUMIFS('Отчет 08-14.12'!H:H,'Отчет 08-14.12'!D:D,"Возврат выручки",'Отчет 08-14.12'!E:E,B5)</f>
        <v>0</v>
      </c>
      <c r="R5" s="49">
        <f t="shared" si="3"/>
        <v>1</v>
      </c>
      <c r="S5" s="50">
        <f>SUMIFS('Отчет 08-14.12'!P:P,'Отчет 08-14.12'!C:C,"Продажи",'Отчет 08-14.12'!E:E,B5)</f>
        <v>1111</v>
      </c>
      <c r="T5" s="51">
        <f>SUMIFS('Отчет 08-14.12'!P:P,'Отчет 08-14.12'!C:C,"Возвраты",'Отчет 08-14.12'!E:E,B5)</f>
        <v>0</v>
      </c>
      <c r="U5" s="49">
        <f t="shared" si="4"/>
        <v>1111</v>
      </c>
      <c r="V5" s="52">
        <f t="shared" si="5"/>
        <v>0.13052161654135339</v>
      </c>
      <c r="W5" s="53">
        <f t="shared" si="6"/>
        <v>123.09</v>
      </c>
      <c r="X5" s="51">
        <f>-SUMIFS('Отчет 08-14.12'!P:P,'Отчет 08-14.12'!C:C,"Вознаграждение Ozon",'Отчет 08-14.12'!E:E,B5)</f>
        <v>477.73</v>
      </c>
      <c r="Y5" s="54">
        <f t="shared" si="7"/>
        <v>0.43</v>
      </c>
      <c r="Z5" s="51">
        <f>-SUMIFS('Отчет 08-14.12'!P:P,'Отчет 08-14.12'!C:C,"Услуги доставки",'Отчет 08-14.12'!E:E,B5)</f>
        <v>144.94999999999999</v>
      </c>
      <c r="AA5" s="41">
        <v>255.53</v>
      </c>
      <c r="AB5" s="64"/>
      <c r="AC5" s="51"/>
      <c r="AD5" s="55">
        <f t="shared" si="8"/>
        <v>66.66</v>
      </c>
      <c r="AE5" s="56">
        <f t="shared" si="9"/>
        <v>43.039999999999964</v>
      </c>
      <c r="AF5" s="55"/>
      <c r="AG5" s="57">
        <f t="shared" si="10"/>
        <v>1111</v>
      </c>
      <c r="AH5" s="58">
        <f t="shared" si="11"/>
        <v>123.09</v>
      </c>
      <c r="AI5" s="58">
        <f t="shared" si="12"/>
        <v>477.73</v>
      </c>
      <c r="AJ5" s="58">
        <f t="shared" si="13"/>
        <v>144.94999999999999</v>
      </c>
      <c r="AK5" s="58">
        <f t="shared" si="14"/>
        <v>255.53</v>
      </c>
      <c r="AL5" s="58">
        <f t="array" ref="AL5">_xlfn.IFS(R5=0,AE5,R5&lt;0,AE5/-R5,R5&gt;0,AE5/R5)</f>
        <v>43.039999999999964</v>
      </c>
      <c r="AM5" s="59">
        <f t="shared" si="15"/>
        <v>3.8739873987398706E-2</v>
      </c>
      <c r="AN5" s="60">
        <f t="shared" si="16"/>
        <v>0.34966284832236544</v>
      </c>
      <c r="AP5" s="62">
        <f t="shared" si="17"/>
        <v>16785.599999999984</v>
      </c>
    </row>
    <row r="6" spans="1:42">
      <c r="A6" s="39">
        <v>2638382749</v>
      </c>
      <c r="B6" s="40" t="s">
        <v>223</v>
      </c>
      <c r="C6" s="41">
        <v>1007</v>
      </c>
      <c r="D6" s="42"/>
      <c r="E6" s="42"/>
      <c r="F6" s="42"/>
      <c r="G6" s="43"/>
      <c r="H6" s="44">
        <v>123.09</v>
      </c>
      <c r="I6" s="63">
        <f t="shared" si="0"/>
        <v>123951.63</v>
      </c>
      <c r="J6" s="45"/>
      <c r="K6" s="41">
        <v>14</v>
      </c>
      <c r="L6" s="45"/>
      <c r="M6" s="45"/>
      <c r="N6" s="46">
        <f t="shared" si="1"/>
        <v>2</v>
      </c>
      <c r="O6" s="47">
        <f t="shared" si="2"/>
        <v>1.8571428571428572</v>
      </c>
      <c r="P6" s="48">
        <f>SUMIFS('Отчет 08-14.12'!H:H,'Отчет 08-14.12'!D:D,"Выручка",'Отчет 08-14.12'!E:E,B6)</f>
        <v>15</v>
      </c>
      <c r="Q6" s="48">
        <f>SUMIFS('Отчет 08-14.12'!H:H,'Отчет 08-14.12'!D:D,"Возврат выручки",'Отчет 08-14.12'!E:E,B6)</f>
        <v>2</v>
      </c>
      <c r="R6" s="49">
        <f t="shared" si="3"/>
        <v>13</v>
      </c>
      <c r="S6" s="50">
        <f>SUMIFS('Отчет 08-14.12'!P:P,'Отчет 08-14.12'!C:C,"Продажи",'Отчет 08-14.12'!E:E,B6)</f>
        <v>21465</v>
      </c>
      <c r="T6" s="51">
        <f>SUMIFS('Отчет 08-14.12'!P:P,'Отчет 08-14.12'!C:C,"Возвраты",'Отчет 08-14.12'!E:E,B6)</f>
        <v>-2994</v>
      </c>
      <c r="U6" s="49">
        <f t="shared" si="4"/>
        <v>18471</v>
      </c>
      <c r="V6" s="52">
        <f t="shared" si="5"/>
        <v>2.1699953007518795</v>
      </c>
      <c r="W6" s="53">
        <f t="shared" si="6"/>
        <v>1600.17</v>
      </c>
      <c r="X6" s="51">
        <f>-SUMIFS('Отчет 08-14.12'!P:P,'Отчет 08-14.12'!C:C,"Вознаграждение Ozon",'Отчет 08-14.12'!E:E,B6)</f>
        <v>7942.53</v>
      </c>
      <c r="Y6" s="54">
        <f t="shared" si="7"/>
        <v>0.43</v>
      </c>
      <c r="Z6" s="51">
        <f>-SUMIFS('Отчет 08-14.12'!P:P,'Отчет 08-14.12'!C:C,"Услуги доставки",'Отчет 08-14.12'!E:E,B6)</f>
        <v>1950.2400000000002</v>
      </c>
      <c r="AA6" s="41">
        <v>5266.3939630000004</v>
      </c>
      <c r="AB6" s="64"/>
      <c r="AC6" s="51"/>
      <c r="AD6" s="55">
        <f t="shared" si="8"/>
        <v>1108.26</v>
      </c>
      <c r="AE6" s="56">
        <f t="shared" si="9"/>
        <v>603.4060370000027</v>
      </c>
      <c r="AF6" s="55"/>
      <c r="AG6" s="57">
        <f t="shared" si="10"/>
        <v>1420.8461538461538</v>
      </c>
      <c r="AH6" s="58">
        <f t="shared" si="11"/>
        <v>123.09</v>
      </c>
      <c r="AI6" s="58">
        <f t="shared" si="12"/>
        <v>610.96384615384613</v>
      </c>
      <c r="AJ6" s="58">
        <f t="shared" si="13"/>
        <v>130.01600000000002</v>
      </c>
      <c r="AK6" s="58">
        <f t="shared" si="14"/>
        <v>351.09293086666668</v>
      </c>
      <c r="AL6" s="58">
        <f t="array" ref="AL6">_xlfn.IFS(R6=0,AE6,R6&lt;0,AE6/-R6,R6&gt;0,AE6/R6)</f>
        <v>46.415849000000208</v>
      </c>
      <c r="AM6" s="59">
        <f t="shared" si="15"/>
        <v>3.2667751448216271E-2</v>
      </c>
      <c r="AN6" s="60">
        <f t="shared" si="16"/>
        <v>0.37708870744983514</v>
      </c>
      <c r="AP6" s="62">
        <f t="shared" si="17"/>
        <v>46740.759943000208</v>
      </c>
    </row>
    <row r="7" spans="1:42">
      <c r="A7" s="39">
        <v>2638569317</v>
      </c>
      <c r="B7" s="40" t="s">
        <v>54</v>
      </c>
      <c r="C7" s="41">
        <v>849</v>
      </c>
      <c r="D7" s="42"/>
      <c r="E7" s="42"/>
      <c r="F7" s="42"/>
      <c r="G7" s="43"/>
      <c r="H7" s="44">
        <v>117.24</v>
      </c>
      <c r="I7" s="63">
        <f t="shared" si="0"/>
        <v>99536.76</v>
      </c>
      <c r="J7" s="45"/>
      <c r="K7" s="41">
        <v>1</v>
      </c>
      <c r="L7" s="45"/>
      <c r="M7" s="45"/>
      <c r="N7" s="46">
        <f t="shared" si="1"/>
        <v>0.14285714285714285</v>
      </c>
      <c r="O7" s="47">
        <f t="shared" si="2"/>
        <v>0.14285714285714285</v>
      </c>
      <c r="P7" s="48">
        <f>SUMIFS('Отчет 08-14.12'!H:H,'Отчет 08-14.12'!D:D,"Выручка",'Отчет 08-14.12'!E:E,B7)</f>
        <v>1</v>
      </c>
      <c r="Q7" s="48">
        <f>SUMIFS('Отчет 08-14.12'!H:H,'Отчет 08-14.12'!D:D,"Возврат выручки",'Отчет 08-14.12'!E:E,B7)</f>
        <v>0</v>
      </c>
      <c r="R7" s="49">
        <f t="shared" si="3"/>
        <v>1</v>
      </c>
      <c r="S7" s="50">
        <f>SUMIFS('Отчет 08-14.12'!P:P,'Отчет 08-14.12'!C:C,"Продажи",'Отчет 08-14.12'!E:E,B7)</f>
        <v>1536</v>
      </c>
      <c r="T7" s="51">
        <f>SUMIFS('Отчет 08-14.12'!P:P,'Отчет 08-14.12'!C:C,"Возвраты",'Отчет 08-14.12'!E:E,B7)</f>
        <v>0</v>
      </c>
      <c r="U7" s="49">
        <f t="shared" si="4"/>
        <v>1536</v>
      </c>
      <c r="V7" s="52">
        <f t="shared" si="5"/>
        <v>0.18045112781954886</v>
      </c>
      <c r="W7" s="53">
        <f t="shared" si="6"/>
        <v>117.24</v>
      </c>
      <c r="X7" s="51">
        <f>-SUMIFS('Отчет 08-14.12'!P:P,'Отчет 08-14.12'!C:C,"Вознаграждение Ozon",'Отчет 08-14.12'!E:E,B7)</f>
        <v>660.48</v>
      </c>
      <c r="Y7" s="54">
        <f t="shared" si="7"/>
        <v>0.43</v>
      </c>
      <c r="Z7" s="51">
        <f>-SUMIFS('Отчет 08-14.12'!P:P,'Отчет 08-14.12'!C:C,"Услуги доставки",'Отчет 08-14.12'!E:E,B7)</f>
        <v>109.79</v>
      </c>
      <c r="AA7" s="41">
        <v>0</v>
      </c>
      <c r="AB7" s="64"/>
      <c r="AC7" s="51"/>
      <c r="AD7" s="55">
        <f t="shared" si="8"/>
        <v>92.16</v>
      </c>
      <c r="AE7" s="56">
        <f t="shared" si="9"/>
        <v>556.33000000000004</v>
      </c>
      <c r="AF7" s="55"/>
      <c r="AG7" s="57">
        <f t="shared" si="10"/>
        <v>1536</v>
      </c>
      <c r="AH7" s="58">
        <f t="shared" si="11"/>
        <v>117.24</v>
      </c>
      <c r="AI7" s="58">
        <f t="shared" si="12"/>
        <v>660.48</v>
      </c>
      <c r="AJ7" s="58">
        <f t="shared" si="13"/>
        <v>109.79</v>
      </c>
      <c r="AK7" s="58">
        <f t="shared" si="14"/>
        <v>0</v>
      </c>
      <c r="AL7" s="58">
        <f t="array" ref="AL7">_xlfn.IFS(R7=0,AE7,R7&lt;0,AE7/-R7,R7&gt;0,AE7/R7)</f>
        <v>556.33000000000004</v>
      </c>
      <c r="AM7" s="59">
        <f t="shared" si="15"/>
        <v>0.36219401041666671</v>
      </c>
      <c r="AN7" s="60">
        <f t="shared" si="16"/>
        <v>4.7452234732173322</v>
      </c>
      <c r="AP7" s="62">
        <f t="shared" si="17"/>
        <v>472324.17000000004</v>
      </c>
    </row>
    <row r="8" spans="1:42">
      <c r="A8" s="39">
        <v>3064334128</v>
      </c>
      <c r="B8" s="40" t="s">
        <v>1054</v>
      </c>
      <c r="C8" s="41">
        <v>594</v>
      </c>
      <c r="D8" s="42"/>
      <c r="E8" s="42"/>
      <c r="F8" s="42"/>
      <c r="G8" s="43"/>
      <c r="H8" s="44">
        <v>123</v>
      </c>
      <c r="I8" s="63">
        <f t="shared" si="0"/>
        <v>73062</v>
      </c>
      <c r="J8" s="45"/>
      <c r="K8" s="41">
        <v>2</v>
      </c>
      <c r="L8" s="45"/>
      <c r="M8" s="45"/>
      <c r="N8" s="46">
        <f t="shared" si="1"/>
        <v>0.2857142857142857</v>
      </c>
      <c r="O8" s="47">
        <f t="shared" si="2"/>
        <v>0.2857142857142857</v>
      </c>
      <c r="P8" s="48">
        <f>SUMIFS('Отчет 08-14.12'!H:H,'Отчет 08-14.12'!D:D,"Выручка",'Отчет 08-14.12'!E:E,B8)</f>
        <v>2</v>
      </c>
      <c r="Q8" s="48">
        <f>SUMIFS('Отчет 08-14.12'!H:H,'Отчет 08-14.12'!D:D,"Возврат выручки",'Отчет 08-14.12'!E:E,B8)</f>
        <v>0</v>
      </c>
      <c r="R8" s="49">
        <f t="shared" si="3"/>
        <v>2</v>
      </c>
      <c r="S8" s="50">
        <f>SUMIFS('Отчет 08-14.12'!P:P,'Отчет 08-14.12'!C:C,"Продажи",'Отчет 08-14.12'!E:E,B8)</f>
        <v>3275.9999999999995</v>
      </c>
      <c r="T8" s="51">
        <f>SUMIFS('Отчет 08-14.12'!P:P,'Отчет 08-14.12'!C:C,"Возвраты",'Отчет 08-14.12'!E:E,B8)</f>
        <v>0</v>
      </c>
      <c r="U8" s="49">
        <f t="shared" si="4"/>
        <v>3275.9999999999995</v>
      </c>
      <c r="V8" s="52">
        <f t="shared" si="5"/>
        <v>0.38486842105263153</v>
      </c>
      <c r="W8" s="53">
        <f t="shared" si="6"/>
        <v>246</v>
      </c>
      <c r="X8" s="51">
        <f>-SUMIFS('Отчет 08-14.12'!P:P,'Отчет 08-14.12'!C:C,"Вознаграждение Ozon",'Отчет 08-14.12'!E:E,B8)</f>
        <v>1408.68</v>
      </c>
      <c r="Y8" s="54">
        <f t="shared" si="7"/>
        <v>0.4300000000000001</v>
      </c>
      <c r="Z8" s="51">
        <f>-SUMIFS('Отчет 08-14.12'!P:P,'Отчет 08-14.12'!C:C,"Услуги доставки",'Отчет 08-14.12'!E:E,B8)</f>
        <v>204.55</v>
      </c>
      <c r="AA8" s="41">
        <v>1906.4607209999999</v>
      </c>
      <c r="AB8" s="64"/>
      <c r="AC8" s="51"/>
      <c r="AD8" s="55">
        <f t="shared" si="8"/>
        <v>196.55999999999997</v>
      </c>
      <c r="AE8" s="56">
        <f t="shared" si="9"/>
        <v>-686.25072100000034</v>
      </c>
      <c r="AF8" s="55"/>
      <c r="AG8" s="57">
        <f t="shared" si="10"/>
        <v>1637.9999999999998</v>
      </c>
      <c r="AH8" s="58">
        <f t="shared" si="11"/>
        <v>123</v>
      </c>
      <c r="AI8" s="58">
        <f t="shared" si="12"/>
        <v>704.34</v>
      </c>
      <c r="AJ8" s="58">
        <f t="shared" si="13"/>
        <v>102.27500000000001</v>
      </c>
      <c r="AK8" s="58">
        <f t="shared" si="14"/>
        <v>953.23036049999996</v>
      </c>
      <c r="AL8" s="58">
        <f t="array" ref="AL8">_xlfn.IFS(R8=0,AE8,R8&lt;0,AE8/-R8,R8&gt;0,AE8/R8)</f>
        <v>-343.12536050000017</v>
      </c>
      <c r="AM8" s="59">
        <f t="shared" si="15"/>
        <v>-0.20947824206349219</v>
      </c>
      <c r="AN8" s="60">
        <f t="shared" si="16"/>
        <v>-2.7896370772357737</v>
      </c>
      <c r="AP8" s="62">
        <f t="shared" si="17"/>
        <v>-203816.46413700009</v>
      </c>
    </row>
    <row r="9" spans="1:42">
      <c r="A9" s="39">
        <v>3064334311</v>
      </c>
      <c r="B9" s="40" t="s">
        <v>1055</v>
      </c>
      <c r="C9" s="41">
        <v>590</v>
      </c>
      <c r="D9" s="42"/>
      <c r="E9" s="42"/>
      <c r="F9" s="42"/>
      <c r="G9" s="43"/>
      <c r="H9" s="44">
        <v>123</v>
      </c>
      <c r="I9" s="63">
        <f t="shared" si="0"/>
        <v>72570</v>
      </c>
      <c r="J9" s="45"/>
      <c r="K9" s="41">
        <v>2</v>
      </c>
      <c r="L9" s="45"/>
      <c r="M9" s="45"/>
      <c r="N9" s="46">
        <f t="shared" si="1"/>
        <v>0.2857142857142857</v>
      </c>
      <c r="O9" s="47">
        <f t="shared" si="2"/>
        <v>0.14285714285714285</v>
      </c>
      <c r="P9" s="48">
        <f>SUMIFS('Отчет 08-14.12'!H:H,'Отчет 08-14.12'!D:D,"Выручка",'Отчет 08-14.12'!E:E,B9)</f>
        <v>1</v>
      </c>
      <c r="Q9" s="48">
        <f>SUMIFS('Отчет 08-14.12'!H:H,'Отчет 08-14.12'!D:D,"Возврат выручки",'Отчет 08-14.12'!E:E,B9)</f>
        <v>0</v>
      </c>
      <c r="R9" s="49">
        <f t="shared" si="3"/>
        <v>1</v>
      </c>
      <c r="S9" s="50">
        <f>SUMIFS('Отчет 08-14.12'!P:P,'Отчет 08-14.12'!C:C,"Продажи",'Отчет 08-14.12'!E:E,B9)</f>
        <v>1815</v>
      </c>
      <c r="T9" s="51">
        <f>SUMIFS('Отчет 08-14.12'!P:P,'Отчет 08-14.12'!C:C,"Возвраты",'Отчет 08-14.12'!E:E,B9)</f>
        <v>0</v>
      </c>
      <c r="U9" s="49">
        <f t="shared" si="4"/>
        <v>1815</v>
      </c>
      <c r="V9" s="52">
        <f t="shared" si="5"/>
        <v>0.21322838345864661</v>
      </c>
      <c r="W9" s="53">
        <f t="shared" si="6"/>
        <v>123</v>
      </c>
      <c r="X9" s="51">
        <f>-SUMIFS('Отчет 08-14.12'!P:P,'Отчет 08-14.12'!C:C,"Вознаграждение Ozon",'Отчет 08-14.12'!E:E,B9)</f>
        <v>780.45</v>
      </c>
      <c r="Y9" s="54">
        <f t="shared" si="7"/>
        <v>0.43000000000000005</v>
      </c>
      <c r="Z9" s="51">
        <f>-SUMIFS('Отчет 08-14.12'!P:P,'Отчет 08-14.12'!C:C,"Услуги доставки",'Отчет 08-14.12'!E:E,B9)</f>
        <v>295.64</v>
      </c>
      <c r="AA9" s="41">
        <v>1167.02</v>
      </c>
      <c r="AB9" s="64"/>
      <c r="AC9" s="51"/>
      <c r="AD9" s="55">
        <f t="shared" si="8"/>
        <v>108.89999999999999</v>
      </c>
      <c r="AE9" s="56">
        <f t="shared" si="9"/>
        <v>-660.01</v>
      </c>
      <c r="AF9" s="55"/>
      <c r="AG9" s="57">
        <f t="shared" si="10"/>
        <v>1815</v>
      </c>
      <c r="AH9" s="58">
        <f t="shared" si="11"/>
        <v>123</v>
      </c>
      <c r="AI9" s="58">
        <f t="shared" si="12"/>
        <v>780.45</v>
      </c>
      <c r="AJ9" s="58">
        <f t="shared" si="13"/>
        <v>295.64</v>
      </c>
      <c r="AK9" s="58">
        <f t="shared" si="14"/>
        <v>1167.02</v>
      </c>
      <c r="AL9" s="58">
        <f t="array" ref="AL9">_xlfn.IFS(R9=0,AE9,R9&lt;0,AE9/-R9,R9&gt;0,AE9/R9)</f>
        <v>-660.01</v>
      </c>
      <c r="AM9" s="59">
        <f t="shared" si="15"/>
        <v>-0.36364187327823688</v>
      </c>
      <c r="AN9" s="60">
        <f t="shared" si="16"/>
        <v>-5.3659349593495937</v>
      </c>
      <c r="AP9" s="62">
        <f t="shared" si="17"/>
        <v>-389405.9</v>
      </c>
    </row>
    <row r="10" spans="1:42">
      <c r="A10" s="39">
        <v>2638291563</v>
      </c>
      <c r="B10" s="40" t="s">
        <v>88</v>
      </c>
      <c r="C10" s="41">
        <v>392</v>
      </c>
      <c r="D10" s="42"/>
      <c r="E10" s="42"/>
      <c r="F10" s="42"/>
      <c r="G10" s="43"/>
      <c r="H10" s="44">
        <v>169.89</v>
      </c>
      <c r="I10" s="63">
        <f t="shared" si="0"/>
        <v>66596.87999999999</v>
      </c>
      <c r="J10" s="45"/>
      <c r="K10" s="41">
        <v>1</v>
      </c>
      <c r="L10" s="45"/>
      <c r="M10" s="45"/>
      <c r="N10" s="46">
        <f t="shared" si="1"/>
        <v>0.14285714285714285</v>
      </c>
      <c r="O10" s="47">
        <f t="shared" si="2"/>
        <v>0.14285714285714285</v>
      </c>
      <c r="P10" s="48">
        <f>SUMIFS('Отчет 08-14.12'!H:H,'Отчет 08-14.12'!D:D,"Выручка",'Отчет 08-14.12'!E:E,B10)</f>
        <v>1</v>
      </c>
      <c r="Q10" s="48">
        <f>SUMIFS('Отчет 08-14.12'!H:H,'Отчет 08-14.12'!D:D,"Возврат выручки",'Отчет 08-14.12'!E:E,B10)</f>
        <v>0</v>
      </c>
      <c r="R10" s="49">
        <f t="shared" si="3"/>
        <v>1</v>
      </c>
      <c r="S10" s="50">
        <f>SUMIFS('Отчет 08-14.12'!P:P,'Отчет 08-14.12'!C:C,"Продажи",'Отчет 08-14.12'!E:E,B10)</f>
        <v>1269</v>
      </c>
      <c r="T10" s="51">
        <f>SUMIFS('Отчет 08-14.12'!P:P,'Отчет 08-14.12'!C:C,"Возвраты",'Отчет 08-14.12'!E:E,B10)</f>
        <v>0</v>
      </c>
      <c r="U10" s="49">
        <f t="shared" si="4"/>
        <v>1269</v>
      </c>
      <c r="V10" s="52">
        <f t="shared" si="5"/>
        <v>0.14908364661654136</v>
      </c>
      <c r="W10" s="53">
        <f t="shared" si="6"/>
        <v>169.89</v>
      </c>
      <c r="X10" s="51">
        <f>-SUMIFS('Отчет 08-14.12'!P:P,'Отчет 08-14.12'!C:C,"Вознаграждение Ozon",'Отчет 08-14.12'!E:E,B10)</f>
        <v>545.66999999999996</v>
      </c>
      <c r="Y10" s="54">
        <f t="shared" si="7"/>
        <v>0.43</v>
      </c>
      <c r="Z10" s="51">
        <f>-SUMIFS('Отчет 08-14.12'!P:P,'Отчет 08-14.12'!C:C,"Услуги доставки",'Отчет 08-14.12'!E:E,B10)</f>
        <v>102.98</v>
      </c>
      <c r="AA10" s="41">
        <v>0</v>
      </c>
      <c r="AB10" s="64"/>
      <c r="AC10" s="51"/>
      <c r="AD10" s="55">
        <f t="shared" si="8"/>
        <v>76.14</v>
      </c>
      <c r="AE10" s="56">
        <f t="shared" si="9"/>
        <v>374.32000000000016</v>
      </c>
      <c r="AF10" s="55"/>
      <c r="AG10" s="57">
        <f t="shared" si="10"/>
        <v>1269</v>
      </c>
      <c r="AH10" s="58">
        <f t="shared" si="11"/>
        <v>169.89</v>
      </c>
      <c r="AI10" s="58">
        <f t="shared" si="12"/>
        <v>545.66999999999996</v>
      </c>
      <c r="AJ10" s="58">
        <f t="shared" si="13"/>
        <v>102.98</v>
      </c>
      <c r="AK10" s="58">
        <f t="shared" si="14"/>
        <v>0</v>
      </c>
      <c r="AL10" s="58">
        <f t="array" ref="AL10">_xlfn.IFS(R10=0,AE10,R10&lt;0,AE10/-R10,R10&gt;0,AE10/R10)</f>
        <v>374.32000000000016</v>
      </c>
      <c r="AM10" s="59">
        <f t="shared" si="15"/>
        <v>0.29497241922773848</v>
      </c>
      <c r="AN10" s="60">
        <f t="shared" si="16"/>
        <v>2.2033080228383084</v>
      </c>
      <c r="AP10" s="62">
        <f t="shared" si="17"/>
        <v>146733.44000000006</v>
      </c>
    </row>
    <row r="11" spans="1:42">
      <c r="A11" s="39">
        <v>2730130733</v>
      </c>
      <c r="B11" s="40" t="s">
        <v>224</v>
      </c>
      <c r="C11" s="41">
        <v>47</v>
      </c>
      <c r="D11" s="42"/>
      <c r="E11" s="42"/>
      <c r="F11" s="42"/>
      <c r="G11" s="43"/>
      <c r="H11" s="44">
        <v>169.89</v>
      </c>
      <c r="I11" s="63">
        <f t="shared" si="0"/>
        <v>7984.829999999999</v>
      </c>
      <c r="J11" s="45"/>
      <c r="K11" s="41">
        <v>0</v>
      </c>
      <c r="L11" s="45"/>
      <c r="M11" s="45"/>
      <c r="N11" s="46">
        <f t="shared" si="1"/>
        <v>0</v>
      </c>
      <c r="O11" s="47">
        <f t="shared" si="2"/>
        <v>0</v>
      </c>
      <c r="P11" s="48">
        <f>SUMIFS('Отчет 08-14.12'!H:H,'Отчет 08-14.12'!D:D,"Выручка",'Отчет 08-14.12'!E:E,B11)</f>
        <v>0</v>
      </c>
      <c r="Q11" s="48">
        <f>SUMIFS('Отчет 08-14.12'!H:H,'Отчет 08-14.12'!D:D,"Возврат выручки",'Отчет 08-14.12'!E:E,B11)</f>
        <v>0</v>
      </c>
      <c r="R11" s="49">
        <f t="shared" si="3"/>
        <v>0</v>
      </c>
      <c r="S11" s="50">
        <f>SUMIFS('Отчет 08-14.12'!P:P,'Отчет 08-14.12'!C:C,"Продажи",'Отчет 08-14.12'!E:E,B11)</f>
        <v>0</v>
      </c>
      <c r="T11" s="51">
        <f>SUMIFS('Отчет 08-14.12'!P:P,'Отчет 08-14.12'!C:C,"Возвраты",'Отчет 08-14.12'!E:E,B11)</f>
        <v>0</v>
      </c>
      <c r="U11" s="49">
        <f t="shared" si="4"/>
        <v>0</v>
      </c>
      <c r="V11" s="52">
        <f t="shared" si="5"/>
        <v>0</v>
      </c>
      <c r="W11" s="53">
        <f t="shared" si="6"/>
        <v>0</v>
      </c>
      <c r="X11" s="51">
        <f>-SUMIFS('Отчет 08-14.12'!P:P,'Отчет 08-14.12'!C:C,"Вознаграждение Ozon",'Отчет 08-14.12'!E:E,B11)</f>
        <v>0</v>
      </c>
      <c r="Y11" s="54">
        <f t="shared" si="7"/>
        <v>0</v>
      </c>
      <c r="Z11" s="51">
        <f>-SUMIFS('Отчет 08-14.12'!P:P,'Отчет 08-14.12'!C:C,"Услуги доставки",'Отчет 08-14.12'!E:E,B11)</f>
        <v>0</v>
      </c>
      <c r="AA11" s="41">
        <v>0</v>
      </c>
      <c r="AB11" s="64"/>
      <c r="AC11" s="51"/>
      <c r="AD11" s="55">
        <f t="shared" si="8"/>
        <v>0</v>
      </c>
      <c r="AE11" s="56">
        <f t="shared" si="9"/>
        <v>0</v>
      </c>
      <c r="AF11" s="55"/>
      <c r="AG11" s="57">
        <f t="shared" si="10"/>
        <v>0</v>
      </c>
      <c r="AH11" s="58">
        <f t="shared" si="11"/>
        <v>169.89</v>
      </c>
      <c r="AI11" s="58">
        <f t="shared" si="12"/>
        <v>0</v>
      </c>
      <c r="AJ11" s="58">
        <f t="shared" si="13"/>
        <v>0</v>
      </c>
      <c r="AK11" s="58">
        <f t="shared" si="14"/>
        <v>0</v>
      </c>
      <c r="AL11" s="58">
        <f t="array" ref="AL11">_xlfn.IFS(R11=0,AE11,R11&lt;0,AE11/-R11,R11&gt;0,AE11/R11)</f>
        <v>0</v>
      </c>
      <c r="AM11" s="59">
        <f t="shared" si="15"/>
        <v>0</v>
      </c>
      <c r="AN11" s="60">
        <f t="shared" si="16"/>
        <v>0</v>
      </c>
      <c r="AP11" s="62">
        <f t="shared" si="17"/>
        <v>0</v>
      </c>
    </row>
    <row r="12" spans="1:42">
      <c r="A12" s="39">
        <v>2730131249</v>
      </c>
      <c r="B12" s="40" t="s">
        <v>225</v>
      </c>
      <c r="C12" s="41">
        <v>46</v>
      </c>
      <c r="D12" s="42"/>
      <c r="E12" s="42"/>
      <c r="F12" s="42"/>
      <c r="G12" s="43"/>
      <c r="H12" s="44">
        <v>169.89</v>
      </c>
      <c r="I12" s="63">
        <f t="shared" si="0"/>
        <v>7814.94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08-14.12'!H:H,'Отчет 08-14.12'!D:D,"Выручка",'Отчет 08-14.12'!E:E,B12)</f>
        <v>0</v>
      </c>
      <c r="Q12" s="48">
        <f>SUMIFS('Отчет 08-14.12'!H:H,'Отчет 08-14.12'!D:D,"Возврат выручки",'Отчет 08-14.12'!E:E,B12)</f>
        <v>0</v>
      </c>
      <c r="R12" s="49">
        <f t="shared" si="3"/>
        <v>0</v>
      </c>
      <c r="S12" s="50">
        <f>SUMIFS('Отчет 08-14.12'!P:P,'Отчет 08-14.12'!C:C,"Продажи",'Отчет 08-14.12'!E:E,B12)</f>
        <v>0</v>
      </c>
      <c r="T12" s="51">
        <f>SUMIFS('Отчет 08-14.12'!P:P,'Отчет 08-14.12'!C:C,"Возвраты",'Отчет 08-14.12'!E:E,B12)</f>
        <v>0</v>
      </c>
      <c r="U12" s="49">
        <f t="shared" si="4"/>
        <v>0</v>
      </c>
      <c r="V12" s="52">
        <f t="shared" si="5"/>
        <v>0</v>
      </c>
      <c r="W12" s="53">
        <f t="shared" si="6"/>
        <v>0</v>
      </c>
      <c r="X12" s="51">
        <f>-SUMIFS('Отчет 08-14.12'!P:P,'Отчет 08-14.12'!C:C,"Вознаграждение Ozon",'Отчет 08-14.12'!E:E,B12)</f>
        <v>0</v>
      </c>
      <c r="Y12" s="54">
        <f t="shared" si="7"/>
        <v>0</v>
      </c>
      <c r="Z12" s="51">
        <f>-SUMIFS('Отчет 08-14.12'!P:P,'Отчет 08-14.12'!C:C,"Услуги доставки",'Отчет 08-14.12'!E:E,B12)</f>
        <v>0</v>
      </c>
      <c r="AA12" s="41">
        <v>0</v>
      </c>
      <c r="AB12" s="64"/>
      <c r="AC12" s="51"/>
      <c r="AD12" s="55">
        <f t="shared" si="8"/>
        <v>0</v>
      </c>
      <c r="AE12" s="56">
        <f t="shared" si="9"/>
        <v>0</v>
      </c>
      <c r="AF12" s="55"/>
      <c r="AG12" s="57">
        <f t="shared" si="10"/>
        <v>0</v>
      </c>
      <c r="AH12" s="58">
        <f t="shared" si="11"/>
        <v>169.89</v>
      </c>
      <c r="AI12" s="58">
        <f t="shared" si="12"/>
        <v>0</v>
      </c>
      <c r="AJ12" s="58">
        <f t="shared" si="13"/>
        <v>0</v>
      </c>
      <c r="AK12" s="58">
        <f t="shared" si="14"/>
        <v>0</v>
      </c>
      <c r="AL12" s="58">
        <f t="array" ref="AL12">_xlfn.IFS(R12=0,AE12,R12&lt;0,AE12/-R12,R12&gt;0,AE12/R12)</f>
        <v>0</v>
      </c>
      <c r="AM12" s="59">
        <f t="shared" si="15"/>
        <v>0</v>
      </c>
      <c r="AN12" s="60">
        <f t="shared" si="16"/>
        <v>0</v>
      </c>
      <c r="AP12" s="62">
        <f t="shared" si="17"/>
        <v>0</v>
      </c>
    </row>
    <row r="13" spans="1:42">
      <c r="A13" s="39">
        <v>2730130553</v>
      </c>
      <c r="B13" s="40" t="s">
        <v>226</v>
      </c>
      <c r="C13" s="41">
        <v>36</v>
      </c>
      <c r="D13" s="42"/>
      <c r="E13" s="42"/>
      <c r="F13" s="42"/>
      <c r="G13" s="43"/>
      <c r="H13" s="44">
        <v>169.89</v>
      </c>
      <c r="I13" s="63">
        <f t="shared" si="0"/>
        <v>6116.0399999999991</v>
      </c>
      <c r="J13" s="45"/>
      <c r="K13" s="41">
        <v>0</v>
      </c>
      <c r="L13" s="45"/>
      <c r="M13" s="45"/>
      <c r="N13" s="46">
        <f t="shared" si="1"/>
        <v>0</v>
      </c>
      <c r="O13" s="47">
        <f t="shared" si="2"/>
        <v>0.14285714285714285</v>
      </c>
      <c r="P13" s="48">
        <f>SUMIFS('Отчет 08-14.12'!H:H,'Отчет 08-14.12'!D:D,"Выручка",'Отчет 08-14.12'!E:E,B13)</f>
        <v>1</v>
      </c>
      <c r="Q13" s="48">
        <f>SUMIFS('Отчет 08-14.12'!H:H,'Отчет 08-14.12'!D:D,"Возврат выручки",'Отчет 08-14.12'!E:E,B13)</f>
        <v>0</v>
      </c>
      <c r="R13" s="49">
        <f t="shared" si="3"/>
        <v>1</v>
      </c>
      <c r="S13" s="50">
        <f>SUMIFS('Отчет 08-14.12'!P:P,'Отчет 08-14.12'!C:C,"Продажи",'Отчет 08-14.12'!E:E,B13)</f>
        <v>1800</v>
      </c>
      <c r="T13" s="51">
        <f>SUMIFS('Отчет 08-14.12'!P:P,'Отчет 08-14.12'!C:C,"Возвраты",'Отчет 08-14.12'!E:E,B13)</f>
        <v>0</v>
      </c>
      <c r="U13" s="49">
        <f t="shared" si="4"/>
        <v>1800</v>
      </c>
      <c r="V13" s="52">
        <f t="shared" si="5"/>
        <v>0.21146616541353383</v>
      </c>
      <c r="W13" s="53">
        <f t="shared" si="6"/>
        <v>169.89</v>
      </c>
      <c r="X13" s="51">
        <f>-SUMIFS('Отчет 08-14.12'!P:P,'Отчет 08-14.12'!C:C,"Вознаграждение Ozon",'Отчет 08-14.12'!E:E,B13)</f>
        <v>774</v>
      </c>
      <c r="Y13" s="54">
        <f t="shared" si="7"/>
        <v>0.43</v>
      </c>
      <c r="Z13" s="51">
        <f>-SUMIFS('Отчет 08-14.12'!P:P,'Отчет 08-14.12'!C:C,"Услуги доставки",'Отчет 08-14.12'!E:E,B13)</f>
        <v>219.6</v>
      </c>
      <c r="AA13" s="41">
        <v>0</v>
      </c>
      <c r="AB13" s="64"/>
      <c r="AC13" s="51"/>
      <c r="AD13" s="55">
        <f t="shared" si="8"/>
        <v>108</v>
      </c>
      <c r="AE13" s="56">
        <f t="shared" si="9"/>
        <v>528.5100000000001</v>
      </c>
      <c r="AF13" s="55"/>
      <c r="AG13" s="57">
        <f t="shared" si="10"/>
        <v>1800</v>
      </c>
      <c r="AH13" s="58">
        <f t="shared" si="11"/>
        <v>169.89</v>
      </c>
      <c r="AI13" s="58">
        <f t="shared" si="12"/>
        <v>774</v>
      </c>
      <c r="AJ13" s="58">
        <f t="shared" si="13"/>
        <v>219.6</v>
      </c>
      <c r="AK13" s="58">
        <f t="shared" si="14"/>
        <v>0</v>
      </c>
      <c r="AL13" s="58">
        <f t="array" ref="AL13">_xlfn.IFS(R13=0,AE13,R13&lt;0,AE13/-R13,R13&gt;0,AE13/R13)</f>
        <v>528.5100000000001</v>
      </c>
      <c r="AM13" s="59">
        <f t="shared" si="15"/>
        <v>0.29361666666666675</v>
      </c>
      <c r="AN13" s="60">
        <f t="shared" si="16"/>
        <v>3.1108952851845322</v>
      </c>
      <c r="AP13" s="62">
        <f t="shared" si="17"/>
        <v>19026.360000000004</v>
      </c>
    </row>
    <row r="14" spans="1:42" ht="13.75" customHeight="1">
      <c r="A14" s="39">
        <v>2730129638</v>
      </c>
      <c r="B14" s="40" t="s">
        <v>227</v>
      </c>
      <c r="C14" s="41">
        <v>9</v>
      </c>
      <c r="D14" s="42"/>
      <c r="E14" s="42"/>
      <c r="F14" s="42"/>
      <c r="G14" s="43"/>
      <c r="H14" s="44">
        <v>169.89</v>
      </c>
      <c r="I14" s="63">
        <f t="shared" si="0"/>
        <v>1529.0099999999998</v>
      </c>
      <c r="J14" s="45"/>
      <c r="K14" s="41">
        <v>1</v>
      </c>
      <c r="L14" s="45"/>
      <c r="M14" s="45"/>
      <c r="N14" s="46">
        <f t="shared" si="1"/>
        <v>0.14285714285714285</v>
      </c>
      <c r="O14" s="47">
        <f t="shared" si="2"/>
        <v>0.14285714285714285</v>
      </c>
      <c r="P14" s="48">
        <f>SUMIFS('Отчет 08-14.12'!H:H,'Отчет 08-14.12'!D:D,"Выручка",'Отчет 08-14.12'!E:E,B14)</f>
        <v>1</v>
      </c>
      <c r="Q14" s="48">
        <f>SUMIFS('Отчет 08-14.12'!H:H,'Отчет 08-14.12'!D:D,"Возврат выручки",'Отчет 08-14.12'!E:E,B14)</f>
        <v>0</v>
      </c>
      <c r="R14" s="49">
        <f t="shared" si="3"/>
        <v>1</v>
      </c>
      <c r="S14" s="50">
        <f>SUMIFS('Отчет 08-14.12'!P:P,'Отчет 08-14.12'!C:C,"Продажи",'Отчет 08-14.12'!E:E,B14)</f>
        <v>1800</v>
      </c>
      <c r="T14" s="51">
        <f>SUMIFS('Отчет 08-14.12'!P:P,'Отчет 08-14.12'!C:C,"Возвраты",'Отчет 08-14.12'!E:E,B14)</f>
        <v>0</v>
      </c>
      <c r="U14" s="49">
        <f t="shared" si="4"/>
        <v>1800</v>
      </c>
      <c r="V14" s="52">
        <f t="shared" si="5"/>
        <v>0.21146616541353383</v>
      </c>
      <c r="W14" s="53">
        <f t="shared" si="6"/>
        <v>169.89</v>
      </c>
      <c r="X14" s="51">
        <f>-SUMIFS('Отчет 08-14.12'!P:P,'Отчет 08-14.12'!C:C,"Вознаграждение Ozon",'Отчет 08-14.12'!E:E,B14)</f>
        <v>774</v>
      </c>
      <c r="Y14" s="54">
        <f t="shared" si="7"/>
        <v>0.43</v>
      </c>
      <c r="Z14" s="51">
        <f>-SUMIFS('Отчет 08-14.12'!P:P,'Отчет 08-14.12'!C:C,"Услуги доставки",'Отчет 08-14.12'!E:E,B14)</f>
        <v>100.4</v>
      </c>
      <c r="AA14" s="41">
        <v>307.05</v>
      </c>
      <c r="AB14" s="64"/>
      <c r="AC14" s="51"/>
      <c r="AD14" s="55">
        <f t="shared" si="8"/>
        <v>108</v>
      </c>
      <c r="AE14" s="56">
        <f t="shared" si="9"/>
        <v>340.66000000000014</v>
      </c>
      <c r="AF14" s="55"/>
      <c r="AG14" s="57">
        <f t="shared" si="10"/>
        <v>1800</v>
      </c>
      <c r="AH14" s="58">
        <f t="shared" si="11"/>
        <v>169.89</v>
      </c>
      <c r="AI14" s="58">
        <f t="shared" si="12"/>
        <v>774</v>
      </c>
      <c r="AJ14" s="58">
        <f t="shared" si="13"/>
        <v>100.4</v>
      </c>
      <c r="AK14" s="58">
        <f t="shared" si="14"/>
        <v>307.05</v>
      </c>
      <c r="AL14" s="58">
        <f t="array" ref="AL14">_xlfn.IFS(R14=0,AE14,R14&lt;0,AE14/-R14,R14&gt;0,AE14/R14)</f>
        <v>340.66000000000014</v>
      </c>
      <c r="AM14" s="59">
        <f t="shared" si="15"/>
        <v>0.18925555555555562</v>
      </c>
      <c r="AN14" s="60">
        <f t="shared" si="16"/>
        <v>2.0051798222379196</v>
      </c>
      <c r="AP14" s="62">
        <f t="shared" si="17"/>
        <v>3065.9400000000014</v>
      </c>
    </row>
    <row r="15" spans="1:42" ht="13.75" customHeight="1">
      <c r="A15" s="39">
        <v>2730130141</v>
      </c>
      <c r="B15" s="40" t="s">
        <v>228</v>
      </c>
      <c r="C15" s="41">
        <v>38</v>
      </c>
      <c r="D15" s="42"/>
      <c r="E15" s="42"/>
      <c r="F15" s="42"/>
      <c r="G15" s="43"/>
      <c r="H15" s="44">
        <v>169.89</v>
      </c>
      <c r="I15" s="63">
        <f t="shared" si="0"/>
        <v>6455.82</v>
      </c>
      <c r="J15" s="45"/>
      <c r="K15" s="41">
        <v>2</v>
      </c>
      <c r="L15" s="45"/>
      <c r="M15" s="45"/>
      <c r="N15" s="46">
        <f t="shared" si="1"/>
        <v>0.2857142857142857</v>
      </c>
      <c r="O15" s="47">
        <f t="shared" si="2"/>
        <v>0</v>
      </c>
      <c r="P15" s="48">
        <f>SUMIFS('Отчет 08-14.12'!H:H,'Отчет 08-14.12'!D:D,"Выручка",'Отчет 08-14.12'!E:E,B15)</f>
        <v>0</v>
      </c>
      <c r="Q15" s="48">
        <f>SUMIFS('Отчет 08-14.12'!H:H,'Отчет 08-14.12'!D:D,"Возврат выручки",'Отчет 08-14.12'!E:E,B15)</f>
        <v>0</v>
      </c>
      <c r="R15" s="49">
        <f t="shared" si="3"/>
        <v>0</v>
      </c>
      <c r="S15" s="50">
        <f>SUMIFS('Отчет 08-14.12'!P:P,'Отчет 08-14.12'!C:C,"Продажи",'Отчет 08-14.12'!E:E,B15)</f>
        <v>0</v>
      </c>
      <c r="T15" s="51">
        <f>SUMIFS('Отчет 08-14.12'!P:P,'Отчет 08-14.12'!C:C,"Возвраты",'Отчет 08-14.12'!E:E,B15)</f>
        <v>0</v>
      </c>
      <c r="U15" s="49">
        <f t="shared" si="4"/>
        <v>0</v>
      </c>
      <c r="V15" s="52">
        <f t="shared" si="5"/>
        <v>0</v>
      </c>
      <c r="W15" s="53">
        <f t="shared" si="6"/>
        <v>0</v>
      </c>
      <c r="X15" s="51">
        <f>-SUMIFS('Отчет 08-14.12'!P:P,'Отчет 08-14.12'!C:C,"Вознаграждение Ozon",'Отчет 08-14.12'!E:E,B15)</f>
        <v>0</v>
      </c>
      <c r="Y15" s="54">
        <f t="shared" si="7"/>
        <v>0</v>
      </c>
      <c r="Z15" s="51">
        <f>-SUMIFS('Отчет 08-14.12'!P:P,'Отчет 08-14.12'!C:C,"Услуги доставки",'Отчет 08-14.12'!E:E,B15)</f>
        <v>276</v>
      </c>
      <c r="AA15" s="41">
        <v>283.58999999999997</v>
      </c>
      <c r="AB15" s="64"/>
      <c r="AC15" s="51"/>
      <c r="AD15" s="55">
        <f t="shared" si="8"/>
        <v>0</v>
      </c>
      <c r="AE15" s="56">
        <f t="shared" si="9"/>
        <v>-559.58999999999992</v>
      </c>
      <c r="AF15" s="55"/>
      <c r="AG15" s="57">
        <f t="shared" si="10"/>
        <v>0</v>
      </c>
      <c r="AH15" s="58">
        <f t="shared" si="11"/>
        <v>169.89</v>
      </c>
      <c r="AI15" s="58">
        <f t="shared" si="12"/>
        <v>0</v>
      </c>
      <c r="AJ15" s="58">
        <f t="shared" si="13"/>
        <v>276</v>
      </c>
      <c r="AK15" s="58">
        <f t="shared" si="14"/>
        <v>0</v>
      </c>
      <c r="AL15" s="58">
        <f t="array" ref="AL15">_xlfn.IFS(R15=0,AE15,R15&lt;0,AE15/-R15,R15&gt;0,AE15/R15)</f>
        <v>-559.58999999999992</v>
      </c>
      <c r="AM15" s="59">
        <f t="shared" si="15"/>
        <v>0</v>
      </c>
      <c r="AN15" s="60">
        <f t="shared" si="16"/>
        <v>-3.2938371887692033</v>
      </c>
      <c r="AP15" s="62">
        <f t="shared" si="17"/>
        <v>-21264.42</v>
      </c>
    </row>
    <row r="16" spans="1:42" ht="13.75" customHeight="1">
      <c r="A16" s="39">
        <v>2730129805</v>
      </c>
      <c r="B16" s="40" t="s">
        <v>19</v>
      </c>
      <c r="C16" s="41">
        <v>25</v>
      </c>
      <c r="D16" s="42"/>
      <c r="E16" s="42"/>
      <c r="F16" s="42"/>
      <c r="G16" s="43"/>
      <c r="H16" s="44">
        <v>169.89</v>
      </c>
      <c r="I16" s="63">
        <f t="shared" si="0"/>
        <v>4247.25</v>
      </c>
      <c r="J16" s="45"/>
      <c r="K16" s="41">
        <v>1</v>
      </c>
      <c r="L16" s="45"/>
      <c r="M16" s="45"/>
      <c r="N16" s="46">
        <f t="shared" si="1"/>
        <v>0.14285714285714285</v>
      </c>
      <c r="O16" s="47">
        <f t="shared" si="2"/>
        <v>0.14285714285714285</v>
      </c>
      <c r="P16" s="48">
        <f>SUMIFS('Отчет 08-14.12'!H:H,'Отчет 08-14.12'!D:D,"Выручка",'Отчет 08-14.12'!E:E,B16)</f>
        <v>1</v>
      </c>
      <c r="Q16" s="48">
        <f>SUMIFS('Отчет 08-14.12'!H:H,'Отчет 08-14.12'!D:D,"Возврат выручки",'Отчет 08-14.12'!E:E,B16)</f>
        <v>0</v>
      </c>
      <c r="R16" s="49">
        <f t="shared" si="3"/>
        <v>1</v>
      </c>
      <c r="S16" s="50">
        <f>SUMIFS('Отчет 08-14.12'!P:P,'Отчет 08-14.12'!C:C,"Продажи",'Отчет 08-14.12'!E:E,B16)</f>
        <v>1233</v>
      </c>
      <c r="T16" s="51">
        <f>SUMIFS('Отчет 08-14.12'!P:P,'Отчет 08-14.12'!C:C,"Возвраты",'Отчет 08-14.12'!E:E,B16)</f>
        <v>0</v>
      </c>
      <c r="U16" s="49">
        <f t="shared" si="4"/>
        <v>1233</v>
      </c>
      <c r="V16" s="52">
        <f t="shared" si="5"/>
        <v>0.14485432330827067</v>
      </c>
      <c r="W16" s="53">
        <f t="shared" si="6"/>
        <v>169.89</v>
      </c>
      <c r="X16" s="51">
        <f>-SUMIFS('Отчет 08-14.12'!P:P,'Отчет 08-14.12'!C:C,"Вознаграждение Ozon",'Отчет 08-14.12'!E:E,B16)</f>
        <v>530.19000000000005</v>
      </c>
      <c r="Y16" s="54">
        <f t="shared" si="7"/>
        <v>0.43000000000000005</v>
      </c>
      <c r="Z16" s="51">
        <f>-SUMIFS('Отчет 08-14.12'!P:P,'Отчет 08-14.12'!C:C,"Услуги доставки",'Отчет 08-14.12'!E:E,B16)</f>
        <v>102.06</v>
      </c>
      <c r="AA16" s="41">
        <v>0</v>
      </c>
      <c r="AB16" s="64"/>
      <c r="AC16" s="51"/>
      <c r="AD16" s="55">
        <f t="shared" si="8"/>
        <v>73.98</v>
      </c>
      <c r="AE16" s="56">
        <f t="shared" si="9"/>
        <v>356.88000000000005</v>
      </c>
      <c r="AF16" s="55"/>
      <c r="AG16" s="57">
        <f t="shared" si="10"/>
        <v>1233</v>
      </c>
      <c r="AH16" s="58">
        <f t="shared" si="11"/>
        <v>169.89</v>
      </c>
      <c r="AI16" s="58">
        <f t="shared" si="12"/>
        <v>530.19000000000005</v>
      </c>
      <c r="AJ16" s="58">
        <f t="shared" si="13"/>
        <v>102.06</v>
      </c>
      <c r="AK16" s="58">
        <f t="shared" si="14"/>
        <v>0</v>
      </c>
      <c r="AL16" s="58">
        <f t="array" ref="AL16">_xlfn.IFS(R16=0,AE16,R16&lt;0,AE16/-R16,R16&gt;0,AE16/R16)</f>
        <v>356.88000000000005</v>
      </c>
      <c r="AM16" s="59">
        <f t="shared" si="15"/>
        <v>0.28944038929440391</v>
      </c>
      <c r="AN16" s="60">
        <f t="shared" si="16"/>
        <v>2.1006533639413743</v>
      </c>
      <c r="AP16" s="62">
        <f t="shared" si="17"/>
        <v>8922.0000000000018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</v>
      </c>
      <c r="P17" s="48">
        <f>SUMIFS('Отчет 08-14.12'!H:H,'Отчет 08-14.12'!D:D,"Выручка",'Отчет 08-14.12'!E:E,B17)</f>
        <v>0</v>
      </c>
      <c r="Q17" s="48">
        <f>SUMIFS('Отчет 08-14.12'!H:H,'Отчет 08-14.12'!D:D,"Возврат выручки",'Отчет 08-14.12'!E:E,B17)</f>
        <v>0</v>
      </c>
      <c r="R17" s="49">
        <f t="shared" si="3"/>
        <v>0</v>
      </c>
      <c r="S17" s="50">
        <f>SUMIFS('Отчет 08-14.12'!P:P,'Отчет 08-14.12'!C:C,"Продажи",'Отчет 08-14.12'!E:E,B17)</f>
        <v>0</v>
      </c>
      <c r="T17" s="51">
        <f>SUMIFS('Отчет 08-14.12'!P:P,'Отчет 08-14.12'!C:C,"Возвраты",'Отчет 08-14.12'!E:E,B17)</f>
        <v>0</v>
      </c>
      <c r="U17" s="49">
        <f t="shared" si="4"/>
        <v>0</v>
      </c>
      <c r="V17" s="52">
        <f t="shared" si="5"/>
        <v>0</v>
      </c>
      <c r="W17" s="53">
        <f t="shared" si="6"/>
        <v>0</v>
      </c>
      <c r="X17" s="51">
        <f>-SUMIFS('Отчет 08-14.12'!P:P,'Отчет 08-14.12'!C:C,"Вознаграждение Ozon",'Отчет 08-14.12'!E:E,B17)</f>
        <v>0</v>
      </c>
      <c r="Y17" s="54">
        <f t="shared" si="7"/>
        <v>0</v>
      </c>
      <c r="Z17" s="51">
        <f>-SUMIFS('Отчет 08-14.12'!P:P,'Отчет 08-14.12'!C:C,"Услуги доставки",'Отчет 08-14.12'!E:E,B17)</f>
        <v>0</v>
      </c>
      <c r="AA17" s="41">
        <v>0</v>
      </c>
      <c r="AB17" s="64"/>
      <c r="AC17" s="51"/>
      <c r="AD17" s="55">
        <f t="shared" si="8"/>
        <v>0</v>
      </c>
      <c r="AE17" s="56">
        <f t="shared" si="9"/>
        <v>0</v>
      </c>
      <c r="AF17" s="55"/>
      <c r="AG17" s="57">
        <f t="shared" si="10"/>
        <v>0</v>
      </c>
      <c r="AH17" s="58">
        <f t="shared" si="11"/>
        <v>1002.82</v>
      </c>
      <c r="AI17" s="58">
        <f t="shared" si="12"/>
        <v>0</v>
      </c>
      <c r="AJ17" s="58">
        <f t="shared" si="13"/>
        <v>0</v>
      </c>
      <c r="AK17" s="58">
        <f t="shared" si="14"/>
        <v>0</v>
      </c>
      <c r="AL17" s="58">
        <f t="array" ref="AL17">_xlfn.IFS(R17=0,AE17,R17&lt;0,AE17/-R17,R17&gt;0,AE17/R17)</f>
        <v>0</v>
      </c>
      <c r="AM17" s="59">
        <f t="shared" si="15"/>
        <v>0</v>
      </c>
      <c r="AN17" s="60">
        <f t="shared" si="16"/>
        <v>0</v>
      </c>
      <c r="AP17" s="62">
        <f t="shared" si="17"/>
        <v>0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08-14.12'!H:H,'Отчет 08-14.12'!D:D,"Выручка",'Отчет 08-14.12'!E:E,B18)</f>
        <v>0</v>
      </c>
      <c r="Q18" s="48">
        <f>SUMIFS('Отчет 08-14.12'!H:H,'Отчет 08-14.12'!D:D,"Возврат выручки",'Отчет 08-14.12'!E:E,B18)</f>
        <v>0</v>
      </c>
      <c r="R18" s="49">
        <f t="shared" si="3"/>
        <v>0</v>
      </c>
      <c r="S18" s="50">
        <f>SUMIFS('Отчет 08-14.12'!P:P,'Отчет 08-14.12'!C:C,"Продажи",'Отчет 08-14.12'!E:E,B18)</f>
        <v>0</v>
      </c>
      <c r="T18" s="51">
        <f>SUMIFS('Отчет 08-14.12'!P:P,'Отчет 08-14.12'!C:C,"Возвраты",'Отчет 08-14.12'!E:E,B18)</f>
        <v>0</v>
      </c>
      <c r="U18" s="49">
        <f t="shared" si="4"/>
        <v>0</v>
      </c>
      <c r="V18" s="52">
        <f t="shared" si="5"/>
        <v>0</v>
      </c>
      <c r="W18" s="53">
        <f t="shared" si="6"/>
        <v>0</v>
      </c>
      <c r="X18" s="51">
        <f>-SUMIFS('Отчет 08-14.12'!P:P,'Отчет 08-14.12'!C:C,"Вознаграждение Ozon",'Отчет 08-14.12'!E:E,B18)</f>
        <v>0</v>
      </c>
      <c r="Y18" s="54">
        <f t="shared" si="7"/>
        <v>0</v>
      </c>
      <c r="Z18" s="51">
        <f>-SUMIFS('Отчет 08-14.12'!P:P,'Отчет 08-14.12'!C:C,"Услуги доставки",'Отчет 08-14.12'!E:E,B18)</f>
        <v>0</v>
      </c>
      <c r="AA18" s="41">
        <v>0</v>
      </c>
      <c r="AB18" s="64"/>
      <c r="AC18" s="51"/>
      <c r="AD18" s="55">
        <f t="shared" si="8"/>
        <v>0</v>
      </c>
      <c r="AE18" s="56">
        <f t="shared" si="9"/>
        <v>0</v>
      </c>
      <c r="AF18" s="55"/>
      <c r="AG18" s="57">
        <f t="shared" si="10"/>
        <v>0</v>
      </c>
      <c r="AH18" s="58">
        <f t="shared" si="11"/>
        <v>909.22</v>
      </c>
      <c r="AI18" s="58">
        <f t="shared" si="12"/>
        <v>0</v>
      </c>
      <c r="AJ18" s="58">
        <f t="shared" si="13"/>
        <v>0</v>
      </c>
      <c r="AK18" s="58">
        <f t="shared" si="14"/>
        <v>0</v>
      </c>
      <c r="AL18" s="58">
        <f t="array" ref="AL18">_xlfn.IFS(R18=0,AE18,R18&lt;0,AE18/-R18,R18&gt;0,AE18/R18)</f>
        <v>0</v>
      </c>
      <c r="AM18" s="59">
        <f t="shared" si="15"/>
        <v>0</v>
      </c>
      <c r="AN18" s="60">
        <f t="shared" si="16"/>
        <v>0</v>
      </c>
      <c r="AP18" s="62">
        <f t="shared" si="17"/>
        <v>0</v>
      </c>
    </row>
    <row r="19" spans="1:52" ht="13.75" customHeight="1">
      <c r="A19" s="39">
        <v>2807226016</v>
      </c>
      <c r="B19" s="40" t="s">
        <v>231</v>
      </c>
      <c r="C19" s="41"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08-14.12'!H:H,'Отчет 08-14.12'!D:D,"Выручка",'Отчет 08-14.12'!E:E,B19)</f>
        <v>0</v>
      </c>
      <c r="Q19" s="48">
        <f>SUMIFS('Отчет 08-14.12'!H:H,'Отчет 08-14.12'!D:D,"Возврат выручки",'Отчет 08-14.12'!E:E,B19)</f>
        <v>0</v>
      </c>
      <c r="R19" s="49">
        <f t="shared" si="3"/>
        <v>0</v>
      </c>
      <c r="S19" s="50">
        <f>SUMIFS('Отчет 08-14.12'!P:P,'Отчет 08-14.12'!C:C,"Продажи",'Отчет 08-14.12'!E:E,B19)</f>
        <v>0</v>
      </c>
      <c r="T19" s="51">
        <f>SUMIFS('Отчет 08-14.12'!P:P,'Отчет 08-14.12'!C:C,"Возвраты",'Отчет 08-14.12'!E:E,B19)</f>
        <v>0</v>
      </c>
      <c r="U19" s="49">
        <f t="shared" si="4"/>
        <v>0</v>
      </c>
      <c r="V19" s="52">
        <f t="shared" si="5"/>
        <v>0</v>
      </c>
      <c r="W19" s="53">
        <f t="shared" si="6"/>
        <v>0</v>
      </c>
      <c r="X19" s="51">
        <f>-SUMIFS('Отчет 08-14.12'!P:P,'Отчет 08-14.12'!C:C,"Вознаграждение Ozon",'Отчет 08-14.12'!E:E,B19)</f>
        <v>0</v>
      </c>
      <c r="Y19" s="54">
        <f t="shared" si="7"/>
        <v>0</v>
      </c>
      <c r="Z19" s="51">
        <f>-SUMIFS('Отчет 08-14.12'!P:P,'Отчет 08-14.12'!C:C,"Услуги доставки",'Отчет 08-14.12'!E:E,B19)</f>
        <v>0</v>
      </c>
      <c r="AA19" s="41">
        <v>0</v>
      </c>
      <c r="AB19" s="64"/>
      <c r="AC19" s="51"/>
      <c r="AD19" s="55">
        <f t="shared" si="8"/>
        <v>0</v>
      </c>
      <c r="AE19" s="56">
        <f t="shared" si="9"/>
        <v>0</v>
      </c>
      <c r="AF19" s="55"/>
      <c r="AG19" s="57">
        <f t="shared" si="10"/>
        <v>0</v>
      </c>
      <c r="AH19" s="58">
        <f t="shared" si="11"/>
        <v>909.22</v>
      </c>
      <c r="AI19" s="58">
        <f t="shared" si="12"/>
        <v>0</v>
      </c>
      <c r="AJ19" s="58">
        <f t="shared" si="13"/>
        <v>0</v>
      </c>
      <c r="AK19" s="58">
        <f t="shared" si="14"/>
        <v>0</v>
      </c>
      <c r="AL19" s="58">
        <f t="array" ref="AL19">_xlfn.IFS(R19=0,AE19,R19&lt;0,AE19/-R19,R19&gt;0,AE19/R19)</f>
        <v>0</v>
      </c>
      <c r="AM19" s="59">
        <f t="shared" si="15"/>
        <v>0</v>
      </c>
      <c r="AN19" s="60">
        <f t="shared" si="16"/>
        <v>0</v>
      </c>
      <c r="AP19" s="62">
        <f t="shared" si="17"/>
        <v>0</v>
      </c>
    </row>
    <row r="20" spans="1:52" ht="13.75" customHeight="1">
      <c r="A20" s="39">
        <v>2807226072</v>
      </c>
      <c r="B20" s="40" t="s">
        <v>111</v>
      </c>
      <c r="C20" s="41">
        <v>2</v>
      </c>
      <c r="D20" s="42"/>
      <c r="E20" s="42"/>
      <c r="F20" s="42"/>
      <c r="G20" s="43"/>
      <c r="H20" s="44">
        <v>932.62</v>
      </c>
      <c r="I20" s="63">
        <f t="shared" si="0"/>
        <v>1865.24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08-14.12'!H:H,'Отчет 08-14.12'!D:D,"Выручка",'Отчет 08-14.12'!E:E,B20)</f>
        <v>0</v>
      </c>
      <c r="Q20" s="48">
        <f>SUMIFS('Отчет 08-14.12'!H:H,'Отчет 08-14.12'!D:D,"Возврат выручки",'Отчет 08-14.12'!E:E,B20)</f>
        <v>0</v>
      </c>
      <c r="R20" s="49">
        <f t="shared" si="3"/>
        <v>0</v>
      </c>
      <c r="S20" s="50">
        <f>SUMIFS('Отчет 08-14.12'!P:P,'Отчет 08-14.12'!C:C,"Продажи",'Отчет 08-14.12'!E:E,B20)</f>
        <v>0</v>
      </c>
      <c r="T20" s="51">
        <f>SUMIFS('Отчет 08-14.12'!P:P,'Отчет 08-14.12'!C:C,"Возвраты",'Отчет 08-14.12'!E:E,B20)</f>
        <v>0</v>
      </c>
      <c r="U20" s="49">
        <f t="shared" si="4"/>
        <v>0</v>
      </c>
      <c r="V20" s="52">
        <f t="shared" si="5"/>
        <v>0</v>
      </c>
      <c r="W20" s="53">
        <f t="shared" si="6"/>
        <v>0</v>
      </c>
      <c r="X20" s="51">
        <f>-SUMIFS('Отчет 08-14.12'!P:P,'Отчет 08-14.12'!C:C,"Вознаграждение Ozon",'Отчет 08-14.12'!E:E,B20)</f>
        <v>0</v>
      </c>
      <c r="Y20" s="54">
        <f t="shared" si="7"/>
        <v>0</v>
      </c>
      <c r="Z20" s="51">
        <f>-SUMIFS('Отчет 08-14.12'!P:P,'Отчет 08-14.12'!C:C,"Услуги доставки",'Отчет 08-14.12'!E:E,B20)</f>
        <v>0</v>
      </c>
      <c r="AA20" s="41">
        <v>0</v>
      </c>
      <c r="AB20" s="64"/>
      <c r="AC20" s="51"/>
      <c r="AD20" s="55">
        <f t="shared" si="8"/>
        <v>0</v>
      </c>
      <c r="AE20" s="56">
        <f t="shared" si="9"/>
        <v>0</v>
      </c>
      <c r="AF20" s="55"/>
      <c r="AG20" s="57">
        <f t="shared" si="10"/>
        <v>0</v>
      </c>
      <c r="AH20" s="58">
        <f t="shared" si="11"/>
        <v>932.62</v>
      </c>
      <c r="AI20" s="58">
        <f t="shared" si="12"/>
        <v>0</v>
      </c>
      <c r="AJ20" s="58">
        <f t="shared" si="13"/>
        <v>0</v>
      </c>
      <c r="AK20" s="58">
        <f t="shared" si="14"/>
        <v>0</v>
      </c>
      <c r="AL20" s="58">
        <f t="array" ref="AL20">_xlfn.IFS(R20=0,AE20,R20&lt;0,AE20/-R20,R20&gt;0,AE20/R20)</f>
        <v>0</v>
      </c>
      <c r="AM20" s="59">
        <f t="shared" si="15"/>
        <v>0</v>
      </c>
      <c r="AN20" s="60">
        <f t="shared" si="16"/>
        <v>0</v>
      </c>
      <c r="AP20" s="62">
        <f t="shared" si="17"/>
        <v>0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08-14.12'!H:H,'Отчет 08-14.12'!D:D,"Выручка",'Отчет 08-14.12'!E:E,B21)</f>
        <v>0</v>
      </c>
      <c r="Q21" s="48">
        <f>SUMIFS('Отчет 08-14.12'!H:H,'Отчет 08-14.12'!D:D,"Возврат выручки",'Отчет 08-14.12'!E:E,B21)</f>
        <v>0</v>
      </c>
      <c r="R21" s="49">
        <f t="shared" si="3"/>
        <v>0</v>
      </c>
      <c r="S21" s="50">
        <f>SUMIFS('Отчет 08-14.12'!P:P,'Отчет 08-14.12'!C:C,"Продажи",'Отчет 08-14.12'!E:E,B21)</f>
        <v>0</v>
      </c>
      <c r="T21" s="51">
        <f>SUMIFS('Отчет 08-14.12'!P:P,'Отчет 08-14.12'!C:C,"Возвраты",'Отчет 08-14.12'!E:E,B21)</f>
        <v>0</v>
      </c>
      <c r="U21" s="49">
        <f t="shared" si="4"/>
        <v>0</v>
      </c>
      <c r="V21" s="52">
        <f t="shared" si="5"/>
        <v>0</v>
      </c>
      <c r="W21" s="53">
        <f t="shared" si="6"/>
        <v>0</v>
      </c>
      <c r="X21" s="51">
        <f>-SUMIFS('Отчет 08-14.12'!P:P,'Отчет 08-14.12'!C:C,"Вознаграждение Ozon",'Отчет 08-14.12'!E:E,B21)</f>
        <v>0</v>
      </c>
      <c r="Y21" s="54">
        <f t="shared" si="7"/>
        <v>0</v>
      </c>
      <c r="Z21" s="51">
        <f>-SUMIFS('Отчет 08-14.12'!P:P,'Отчет 08-14.12'!C:C,"Услуги доставки",'Отчет 08-14.12'!E:E,B21)</f>
        <v>0</v>
      </c>
      <c r="AA21" s="41">
        <v>0</v>
      </c>
      <c r="AB21" s="64"/>
      <c r="AC21" s="51"/>
      <c r="AD21" s="55">
        <f t="shared" si="8"/>
        <v>0</v>
      </c>
      <c r="AE21" s="56">
        <f t="shared" si="9"/>
        <v>0</v>
      </c>
      <c r="AF21" s="55"/>
      <c r="AG21" s="57">
        <f t="shared" si="10"/>
        <v>0</v>
      </c>
      <c r="AH21" s="58">
        <f t="shared" si="11"/>
        <v>1014.52</v>
      </c>
      <c r="AI21" s="58">
        <f t="shared" si="12"/>
        <v>0</v>
      </c>
      <c r="AJ21" s="58">
        <f t="shared" si="13"/>
        <v>0</v>
      </c>
      <c r="AK21" s="58">
        <f t="shared" si="14"/>
        <v>0</v>
      </c>
      <c r="AL21" s="58">
        <f t="array" ref="AL21">_xlfn.IFS(R21=0,AE21,R21&lt;0,AE21/-R21,R21&gt;0,AE21/R21)</f>
        <v>0</v>
      </c>
      <c r="AM21" s="59">
        <f t="shared" si="15"/>
        <v>0</v>
      </c>
      <c r="AN21" s="60">
        <f t="shared" si="16"/>
        <v>0</v>
      </c>
      <c r="AP21" s="62">
        <f t="shared" si="17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08-14.12'!H:H,'Отчет 08-14.12'!D:D,"Выручка",'Отчет 08-14.12'!E:E,B22)</f>
        <v>0</v>
      </c>
      <c r="Q22" s="48">
        <f>SUMIFS('Отчет 08-14.12'!H:H,'Отчет 08-14.12'!D:D,"Возврат выручки",'Отчет 08-14.12'!E:E,B22)</f>
        <v>0</v>
      </c>
      <c r="R22" s="49">
        <f t="shared" si="3"/>
        <v>0</v>
      </c>
      <c r="S22" s="50">
        <f>SUMIFS('Отчет 08-14.12'!P:P,'Отчет 08-14.12'!C:C,"Продажи",'Отчет 08-14.12'!E:E,B22)</f>
        <v>0</v>
      </c>
      <c r="T22" s="51">
        <f>SUMIFS('Отчет 08-14.12'!P:P,'Отчет 08-14.12'!C:C,"Возвраты",'Отчет 08-14.12'!E:E,B22)</f>
        <v>0</v>
      </c>
      <c r="U22" s="49">
        <f t="shared" si="4"/>
        <v>0</v>
      </c>
      <c r="V22" s="52">
        <f t="shared" si="5"/>
        <v>0</v>
      </c>
      <c r="W22" s="53">
        <f t="shared" si="6"/>
        <v>0</v>
      </c>
      <c r="X22" s="51">
        <f>-SUMIFS('Отчет 08-14.12'!P:P,'Отчет 08-14.12'!C:C,"Вознаграждение Ozon",'Отчет 08-14.12'!E:E,B22)</f>
        <v>0</v>
      </c>
      <c r="Y22" s="54">
        <f t="shared" si="7"/>
        <v>0</v>
      </c>
      <c r="Z22" s="51">
        <f>-SUMIFS('Отчет 08-14.12'!P:P,'Отчет 08-14.12'!C:C,"Услуги доставки",'Отчет 08-14.12'!E:E,B22)</f>
        <v>0</v>
      </c>
      <c r="AA22" s="41">
        <v>0</v>
      </c>
      <c r="AB22" s="64"/>
      <c r="AC22" s="51"/>
      <c r="AD22" s="55">
        <f t="shared" si="8"/>
        <v>0</v>
      </c>
      <c r="AE22" s="56">
        <f t="shared" si="9"/>
        <v>0</v>
      </c>
      <c r="AF22" s="55"/>
      <c r="AG22" s="57">
        <f t="shared" si="10"/>
        <v>0</v>
      </c>
      <c r="AH22" s="58">
        <f t="shared" si="11"/>
        <v>1014.52</v>
      </c>
      <c r="AI22" s="58">
        <f t="shared" si="12"/>
        <v>0</v>
      </c>
      <c r="AJ22" s="58">
        <f t="shared" si="13"/>
        <v>0</v>
      </c>
      <c r="AK22" s="58">
        <f t="shared" si="14"/>
        <v>0</v>
      </c>
      <c r="AL22" s="58">
        <f t="array" ref="AL22">_xlfn.IFS(R22=0,AE22,R22&lt;0,AE22/-R22,R22&gt;0,AE22/R22)</f>
        <v>0</v>
      </c>
      <c r="AM22" s="59">
        <f t="shared" si="15"/>
        <v>0</v>
      </c>
      <c r="AN22" s="60">
        <f t="shared" si="16"/>
        <v>0</v>
      </c>
      <c r="AP22" s="62">
        <f t="shared" si="17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"/>
        <v>0</v>
      </c>
      <c r="O23" s="47">
        <f t="shared" si="2"/>
        <v>0</v>
      </c>
      <c r="P23" s="48">
        <f>SUMIFS('Отчет 08-14.12'!H:H,'Отчет 08-14.12'!D:D,"Выручка",'Отчет 08-14.12'!E:E,B23)</f>
        <v>0</v>
      </c>
      <c r="Q23" s="48">
        <f>SUMIFS('Отчет 08-14.12'!H:H,'Отчет 08-14.12'!D:D,"Возврат выручки",'Отчет 08-14.12'!E:E,B23)</f>
        <v>0</v>
      </c>
      <c r="R23" s="49">
        <f t="shared" si="3"/>
        <v>0</v>
      </c>
      <c r="S23" s="50">
        <f>SUMIFS('Отчет 08-14.12'!P:P,'Отчет 08-14.12'!C:C,"Продажи",'Отчет 08-14.12'!E:E,B23)</f>
        <v>0</v>
      </c>
      <c r="T23" s="51">
        <f>SUMIFS('Отчет 08-14.12'!P:P,'Отчет 08-14.12'!C:C,"Возвраты",'Отчет 08-14.12'!E:E,B23)</f>
        <v>0</v>
      </c>
      <c r="U23" s="49">
        <f t="shared" si="4"/>
        <v>0</v>
      </c>
      <c r="V23" s="52">
        <f t="shared" si="5"/>
        <v>0</v>
      </c>
      <c r="W23" s="53">
        <f t="shared" si="6"/>
        <v>0</v>
      </c>
      <c r="X23" s="51">
        <f>-SUMIFS('Отчет 08-14.12'!P:P,'Отчет 08-14.12'!C:C,"Вознаграждение Ozon",'Отчет 08-14.12'!E:E,B23)</f>
        <v>0</v>
      </c>
      <c r="Y23" s="54">
        <f t="shared" si="7"/>
        <v>0</v>
      </c>
      <c r="Z23" s="51">
        <f>-SUMIFS('Отчет 08-14.12'!P:P,'Отчет 08-14.12'!C:C,"Услуги доставки",'Отчет 08-14.12'!E:E,B23)</f>
        <v>0</v>
      </c>
      <c r="AA23" s="41">
        <v>0</v>
      </c>
      <c r="AB23" s="64"/>
      <c r="AC23" s="51"/>
      <c r="AD23" s="55">
        <f t="shared" si="8"/>
        <v>0</v>
      </c>
      <c r="AE23" s="56">
        <f t="shared" si="9"/>
        <v>0</v>
      </c>
      <c r="AF23" s="55"/>
      <c r="AG23" s="57">
        <f t="shared" si="10"/>
        <v>0</v>
      </c>
      <c r="AH23" s="58">
        <f t="shared" si="11"/>
        <v>1014.52</v>
      </c>
      <c r="AI23" s="58">
        <f t="shared" si="12"/>
        <v>0</v>
      </c>
      <c r="AJ23" s="58">
        <f t="shared" si="13"/>
        <v>0</v>
      </c>
      <c r="AK23" s="58">
        <f t="shared" si="14"/>
        <v>0</v>
      </c>
      <c r="AL23" s="58">
        <f t="array" ref="AL23">_xlfn.IFS(R23=0,AE23,R23&lt;0,AE23/-R23,R23&gt;0,AE23/R23)</f>
        <v>0</v>
      </c>
      <c r="AM23" s="59">
        <f t="shared" si="15"/>
        <v>0</v>
      </c>
      <c r="AN23" s="60">
        <f t="shared" si="16"/>
        <v>0</v>
      </c>
      <c r="AP23" s="62">
        <f t="shared" si="17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"/>
        <v>0</v>
      </c>
      <c r="O24" s="47">
        <f t="shared" si="2"/>
        <v>0</v>
      </c>
      <c r="P24" s="48">
        <f>SUMIFS('Отчет 08-14.12'!H:H,'Отчет 08-14.12'!D:D,"Выручка",'Отчет 08-14.12'!E:E,B24)</f>
        <v>0</v>
      </c>
      <c r="Q24" s="48">
        <f>SUMIFS('Отчет 08-14.12'!H:H,'Отчет 08-14.12'!D:D,"Возврат выручки",'Отчет 08-14.12'!E:E,B24)</f>
        <v>0</v>
      </c>
      <c r="R24" s="49">
        <f t="shared" si="3"/>
        <v>0</v>
      </c>
      <c r="S24" s="50">
        <f>SUMIFS('Отчет 08-14.12'!P:P,'Отчет 08-14.12'!C:C,"Продажи",'Отчет 08-14.12'!E:E,B24)</f>
        <v>0</v>
      </c>
      <c r="T24" s="51">
        <f>SUMIFS('Отчет 08-14.12'!P:P,'Отчет 08-14.12'!C:C,"Возвраты",'Отчет 08-14.12'!E:E,B24)</f>
        <v>0</v>
      </c>
      <c r="U24" s="49">
        <f t="shared" si="4"/>
        <v>0</v>
      </c>
      <c r="V24" s="52">
        <f t="shared" si="5"/>
        <v>0</v>
      </c>
      <c r="W24" s="53">
        <f t="shared" si="6"/>
        <v>0</v>
      </c>
      <c r="X24" s="51">
        <f>-SUMIFS('Отчет 08-14.12'!P:P,'Отчет 08-14.12'!C:C,"Вознаграждение Ozon",'Отчет 08-14.12'!E:E,B24)</f>
        <v>0</v>
      </c>
      <c r="Y24" s="54">
        <f t="shared" si="7"/>
        <v>0</v>
      </c>
      <c r="Z24" s="51">
        <f>-SUMIFS('Отчет 08-14.12'!P:P,'Отчет 08-14.12'!C:C,"Услуги доставки",'Отчет 08-14.12'!E:E,B24)</f>
        <v>0</v>
      </c>
      <c r="AA24" s="41">
        <v>0</v>
      </c>
      <c r="AB24" s="64"/>
      <c r="AC24" s="51"/>
      <c r="AD24" s="55">
        <f t="shared" si="8"/>
        <v>0</v>
      </c>
      <c r="AE24" s="56">
        <f t="shared" si="9"/>
        <v>0</v>
      </c>
      <c r="AF24" s="55"/>
      <c r="AG24" s="57">
        <f t="shared" si="10"/>
        <v>0</v>
      </c>
      <c r="AH24" s="58">
        <f t="shared" si="11"/>
        <v>991.12</v>
      </c>
      <c r="AI24" s="58">
        <f t="shared" si="12"/>
        <v>0</v>
      </c>
      <c r="AJ24" s="58">
        <f t="shared" si="13"/>
        <v>0</v>
      </c>
      <c r="AK24" s="58">
        <f t="shared" si="14"/>
        <v>0</v>
      </c>
      <c r="AL24" s="58">
        <f t="array" ref="AL24">_xlfn.IFS(R24=0,AE24,R24&lt;0,AE24/-R24,R24&gt;0,AE24/R24)</f>
        <v>0</v>
      </c>
      <c r="AM24" s="59">
        <f t="shared" si="15"/>
        <v>0</v>
      </c>
      <c r="AN24" s="60">
        <f t="shared" si="16"/>
        <v>0</v>
      </c>
      <c r="AP24" s="62">
        <f t="shared" si="17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8">AVERAGEIF(AG3:AG24,"&lt;&gt;0",AG3:AG24)</f>
        <v>1474.1193473193473</v>
      </c>
      <c r="AH25" s="247">
        <f t="shared" si="18"/>
        <v>447.87636363636369</v>
      </c>
      <c r="AI25" s="247">
        <f t="shared" si="18"/>
        <v>633.8713193473194</v>
      </c>
      <c r="AJ25" s="247">
        <f t="shared" si="18"/>
        <v>155.27117708333333</v>
      </c>
      <c r="AK25" s="247">
        <f t="shared" si="18"/>
        <v>559.43544090486114</v>
      </c>
      <c r="AL25" s="247">
        <f t="shared" si="18"/>
        <v>91.976431458333408</v>
      </c>
      <c r="AM25" s="249">
        <f t="shared" si="18"/>
        <v>0.11730371276514617</v>
      </c>
      <c r="AN25" s="249">
        <f t="shared" si="18"/>
        <v>0.56383469028096378</v>
      </c>
      <c r="AO25" s="240"/>
      <c r="AP25" s="241"/>
    </row>
    <row r="26" spans="1:52">
      <c r="A26" s="216" t="s">
        <v>305</v>
      </c>
      <c r="B26" s="209"/>
      <c r="C26" s="217">
        <f>SUM(C3:C24)</f>
        <v>4696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612035.82999999984</v>
      </c>
      <c r="J26" s="212"/>
      <c r="K26" s="217">
        <f>SUM(K3:K24)</f>
        <v>58</v>
      </c>
      <c r="L26" s="212"/>
      <c r="M26" s="212"/>
      <c r="N26" s="213"/>
      <c r="O26" s="214"/>
      <c r="P26" s="217">
        <f>SUM(P3:P24)</f>
        <v>41</v>
      </c>
      <c r="Q26" s="217">
        <f t="shared" ref="Q26:AE26" si="19">SUM(Q3:Q24)</f>
        <v>3</v>
      </c>
      <c r="R26" s="217">
        <f t="shared" si="19"/>
        <v>38</v>
      </c>
      <c r="S26" s="237">
        <f>SUM(S3:S24)</f>
        <v>59828</v>
      </c>
      <c r="T26" s="217">
        <f t="shared" si="19"/>
        <v>-4044</v>
      </c>
      <c r="U26" s="217">
        <f t="shared" si="19"/>
        <v>55784</v>
      </c>
      <c r="V26" s="256">
        <f t="shared" si="19"/>
        <v>6.5535714285714306</v>
      </c>
      <c r="W26" s="217">
        <f t="shared" si="19"/>
        <v>5156.8500000000013</v>
      </c>
      <c r="X26" s="217">
        <f t="shared" si="19"/>
        <v>23987.119999999995</v>
      </c>
      <c r="Y26" s="215">
        <f>IF(U26=0,0,X26/U26)</f>
        <v>0.42999999999999994</v>
      </c>
      <c r="Z26" s="217">
        <f t="shared" si="19"/>
        <v>6498.4000000000015</v>
      </c>
      <c r="AA26" s="217">
        <f>IFERROR(P26*AA51/P51,0)</f>
        <v>10153.333181818183</v>
      </c>
      <c r="AB26" s="217">
        <f t="shared" si="19"/>
        <v>0</v>
      </c>
      <c r="AC26" s="217">
        <f t="shared" si="19"/>
        <v>0</v>
      </c>
      <c r="AD26" s="238">
        <f t="shared" si="19"/>
        <v>3347.04</v>
      </c>
      <c r="AE26" s="239">
        <f t="shared" si="19"/>
        <v>2445.5156510000052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252542.92541500024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14349.074348999999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17</v>
      </c>
      <c r="D28" s="42"/>
      <c r="E28" s="42"/>
      <c r="F28" s="42"/>
      <c r="G28" s="43"/>
      <c r="H28" s="65">
        <v>672</v>
      </c>
      <c r="I28" s="63">
        <f t="shared" ref="I28:I46" si="20">C28*H28</f>
        <v>11424</v>
      </c>
      <c r="J28" s="45"/>
      <c r="K28" s="41">
        <v>0</v>
      </c>
      <c r="L28" s="45"/>
      <c r="M28" s="45"/>
      <c r="N28" s="46">
        <f t="shared" ref="N28:N47" si="21">K28/7</f>
        <v>0</v>
      </c>
      <c r="O28" s="47">
        <f t="shared" ref="O28:O47" si="22">R28/7</f>
        <v>0</v>
      </c>
      <c r="P28" s="48">
        <f>SUMIFS('Отчет 08-14.12'!H:H,'Отчет 08-14.12'!D:D,"Выручка",'Отчет 08-14.12'!E:E,B28)</f>
        <v>0</v>
      </c>
      <c r="Q28" s="48">
        <f>SUMIFS('Отчет 08-14.12'!H:H,'Отчет 08-14.12'!D:D,"Возврат выручки",'Отчет 08-14.12'!E:E,B28)</f>
        <v>0</v>
      </c>
      <c r="R28" s="49">
        <f t="shared" ref="R28:R47" si="23">P28-Q28</f>
        <v>0</v>
      </c>
      <c r="S28" s="50">
        <f>SUMIFS('Отчет 08-14.12'!P:P,'Отчет 08-14.12'!C:C,"Продажи",'Отчет 08-14.12'!E:E,B28)</f>
        <v>0</v>
      </c>
      <c r="T28" s="51">
        <f>SUMIFS('Отчет 08-14.12'!P:P,'Отчет 08-14.12'!C:C,"Возвраты",'Отчет 08-14.12'!E:E,B28)</f>
        <v>0</v>
      </c>
      <c r="U28" s="49">
        <f t="shared" ref="U28:U47" si="24">S28+T28</f>
        <v>0</v>
      </c>
      <c r="V28" s="52">
        <f t="shared" ref="V28:V47" si="25">U28/$U$49</f>
        <v>0</v>
      </c>
      <c r="W28" s="53">
        <f t="shared" ref="W28:W47" si="26">R28*H28</f>
        <v>0</v>
      </c>
      <c r="X28" s="51">
        <f>-SUMIFS('Отчет 08-14.12'!P:P,'Отчет 08-14.12'!C:C,"Вознаграждение Ozon",'Отчет 08-14.12'!E:E,B28)</f>
        <v>0</v>
      </c>
      <c r="Y28" s="54">
        <f t="shared" ref="Y28:Y47" si="27">IF(U28=0,0,X28/U28)</f>
        <v>0</v>
      </c>
      <c r="Z28" s="51">
        <f>-SUMIFS('Отчет 08-14.12'!P:P,'Отчет 08-14.12'!C:C,"Услуги доставки",'Отчет 08-14.12'!E:E,B28)</f>
        <v>0</v>
      </c>
      <c r="AA28" s="41">
        <v>0</v>
      </c>
      <c r="AB28" s="64"/>
      <c r="AC28" s="51"/>
      <c r="AD28" s="55">
        <f t="shared" ref="AD28:AD47" si="28">U28*6%</f>
        <v>0</v>
      </c>
      <c r="AE28" s="56">
        <f t="shared" ref="AE28:AE47" si="29">U28-W28-X28-Z28-AA28-AB28-AC28-AD28</f>
        <v>0</v>
      </c>
      <c r="AF28" s="55"/>
      <c r="AG28" s="57">
        <f t="shared" ref="AG28:AG47" si="30">IF(R28=0,0,U28/R28)</f>
        <v>0</v>
      </c>
      <c r="AH28" s="58">
        <f t="shared" ref="AH28:AH47" si="31">H28</f>
        <v>672</v>
      </c>
      <c r="AI28" s="58">
        <f t="shared" ref="AI28:AI47" si="32">IF(R28=0,0,X28/R28)</f>
        <v>0</v>
      </c>
      <c r="AJ28" s="58">
        <f t="shared" ref="AJ28:AJ47" si="33">IF(P28=0,Z28/1,Z28/P28)</f>
        <v>0</v>
      </c>
      <c r="AK28" s="58">
        <f t="shared" ref="AK28:AK47" si="34">IF(P28=0,0,AA28/P28)</f>
        <v>0</v>
      </c>
      <c r="AL28" s="58">
        <f t="array" ref="AL28">_xlfn.IFS(R28=0,AE28,R28&lt;0,AE28/-R28,R28&gt;0,AE28/R28)</f>
        <v>0</v>
      </c>
      <c r="AM28" s="59">
        <f t="shared" ref="AM28:AM47" si="35">IF(AG28=0,0,AL28/AG28)</f>
        <v>0</v>
      </c>
      <c r="AN28" s="60">
        <f t="shared" ref="AN28:AN47" si="36">IF(AH28=0,0,AL28/AH28)</f>
        <v>0</v>
      </c>
      <c r="AP28" s="62">
        <f t="shared" ref="AP28:AP47" si="37">AL28*C28</f>
        <v>0</v>
      </c>
    </row>
    <row r="29" spans="1:52">
      <c r="A29" s="39">
        <v>2774708622</v>
      </c>
      <c r="B29" s="40" t="s">
        <v>43</v>
      </c>
      <c r="C29" s="41">
        <v>18</v>
      </c>
      <c r="D29" s="42"/>
      <c r="E29" s="42"/>
      <c r="F29" s="42"/>
      <c r="G29" s="43"/>
      <c r="H29" s="65">
        <v>627</v>
      </c>
      <c r="I29" s="63">
        <f t="shared" si="20"/>
        <v>11286</v>
      </c>
      <c r="J29" s="45"/>
      <c r="K29" s="41">
        <v>0</v>
      </c>
      <c r="L29" s="45"/>
      <c r="M29" s="45"/>
      <c r="N29" s="46">
        <f t="shared" si="21"/>
        <v>0</v>
      </c>
      <c r="O29" s="47">
        <f t="shared" si="22"/>
        <v>0</v>
      </c>
      <c r="P29" s="48">
        <f>SUMIFS('Отчет 08-14.12'!H:H,'Отчет 08-14.12'!D:D,"Выручка",'Отчет 08-14.12'!E:E,B29)</f>
        <v>0</v>
      </c>
      <c r="Q29" s="48">
        <f>SUMIFS('Отчет 08-14.12'!H:H,'Отчет 08-14.12'!D:D,"Возврат выручки",'Отчет 08-14.12'!E:E,B29)</f>
        <v>0</v>
      </c>
      <c r="R29" s="49">
        <f t="shared" si="23"/>
        <v>0</v>
      </c>
      <c r="S29" s="50">
        <f>SUMIFS('Отчет 08-14.12'!P:P,'Отчет 08-14.12'!C:C,"Продажи",'Отчет 08-14.12'!E:E,B29)</f>
        <v>0</v>
      </c>
      <c r="T29" s="51">
        <f>SUMIFS('Отчет 08-14.12'!P:P,'Отчет 08-14.12'!C:C,"Возвраты",'Отчет 08-14.12'!E:E,B29)</f>
        <v>0</v>
      </c>
      <c r="U29" s="49">
        <f t="shared" si="24"/>
        <v>0</v>
      </c>
      <c r="V29" s="52">
        <f t="shared" si="25"/>
        <v>0</v>
      </c>
      <c r="W29" s="53">
        <f t="shared" si="26"/>
        <v>0</v>
      </c>
      <c r="X29" s="51">
        <f>-SUMIFS('Отчет 08-14.12'!P:P,'Отчет 08-14.12'!C:C,"Вознаграждение Ozon",'Отчет 08-14.12'!E:E,B29)</f>
        <v>0</v>
      </c>
      <c r="Y29" s="54">
        <f t="shared" si="27"/>
        <v>0</v>
      </c>
      <c r="Z29" s="51">
        <f>-SUMIFS('Отчет 08-14.12'!P:P,'Отчет 08-14.12'!C:C,"Услуги доставки",'Отчет 08-14.12'!E:E,B29)</f>
        <v>0</v>
      </c>
      <c r="AA29" s="41">
        <v>0</v>
      </c>
      <c r="AB29" s="64"/>
      <c r="AC29" s="51"/>
      <c r="AD29" s="55">
        <f t="shared" si="28"/>
        <v>0</v>
      </c>
      <c r="AE29" s="56">
        <f t="shared" si="29"/>
        <v>0</v>
      </c>
      <c r="AF29" s="55"/>
      <c r="AG29" s="57">
        <f t="shared" si="30"/>
        <v>0</v>
      </c>
      <c r="AH29" s="58">
        <f t="shared" si="31"/>
        <v>627</v>
      </c>
      <c r="AI29" s="58">
        <f t="shared" si="32"/>
        <v>0</v>
      </c>
      <c r="AJ29" s="58">
        <f t="shared" si="33"/>
        <v>0</v>
      </c>
      <c r="AK29" s="58">
        <f t="shared" si="34"/>
        <v>0</v>
      </c>
      <c r="AL29" s="58">
        <f t="array" ref="AL29">_xlfn.IFS(R29=0,AE29,R29&lt;0,AE29/-R29,R29&gt;0,AE29/R29)</f>
        <v>0</v>
      </c>
      <c r="AM29" s="59">
        <f t="shared" si="35"/>
        <v>0</v>
      </c>
      <c r="AN29" s="60">
        <f t="shared" si="36"/>
        <v>0</v>
      </c>
      <c r="AP29" s="62">
        <f t="shared" si="37"/>
        <v>0</v>
      </c>
    </row>
    <row r="30" spans="1:52">
      <c r="A30" s="39">
        <v>2774709606</v>
      </c>
      <c r="B30" s="40" t="s">
        <v>235</v>
      </c>
      <c r="C30" s="41">
        <v>17</v>
      </c>
      <c r="D30" s="42"/>
      <c r="E30" s="42"/>
      <c r="F30" s="42"/>
      <c r="G30" s="43"/>
      <c r="H30" s="65">
        <v>627</v>
      </c>
      <c r="I30" s="63">
        <f t="shared" si="20"/>
        <v>10659</v>
      </c>
      <c r="J30" s="45"/>
      <c r="K30" s="41">
        <v>0</v>
      </c>
      <c r="L30" s="45"/>
      <c r="M30" s="45"/>
      <c r="N30" s="46">
        <f t="shared" si="21"/>
        <v>0</v>
      </c>
      <c r="O30" s="47">
        <f t="shared" si="22"/>
        <v>0</v>
      </c>
      <c r="P30" s="48">
        <f>SUMIFS('Отчет 08-14.12'!H:H,'Отчет 08-14.12'!D:D,"Выручка",'Отчет 08-14.12'!E:E,B30)</f>
        <v>0</v>
      </c>
      <c r="Q30" s="48">
        <f>SUMIFS('Отчет 08-14.12'!H:H,'Отчет 08-14.12'!D:D,"Возврат выручки",'Отчет 08-14.12'!E:E,B30)</f>
        <v>0</v>
      </c>
      <c r="R30" s="49">
        <f t="shared" si="23"/>
        <v>0</v>
      </c>
      <c r="S30" s="50">
        <f>SUMIFS('Отчет 08-14.12'!P:P,'Отчет 08-14.12'!C:C,"Продажи",'Отчет 08-14.12'!E:E,B30)</f>
        <v>0</v>
      </c>
      <c r="T30" s="51">
        <f>SUMIFS('Отчет 08-14.12'!P:P,'Отчет 08-14.12'!C:C,"Возвраты",'Отчет 08-14.12'!E:E,B30)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08-14.12'!P:P,'Отчет 08-14.12'!C:C,"Вознаграждение Ozon",'Отчет 08-14.12'!E:E,B30)</f>
        <v>0</v>
      </c>
      <c r="Y30" s="54">
        <f t="shared" si="27"/>
        <v>0</v>
      </c>
      <c r="Z30" s="51">
        <f>-SUMIFS('Отчет 08-14.12'!P:P,'Отчет 08-14.12'!C:C,"Услуги доставки",'Отчет 08-14.12'!E:E,B30)</f>
        <v>0</v>
      </c>
      <c r="AA30" s="41">
        <v>0</v>
      </c>
      <c r="AB30" s="64"/>
      <c r="AC30" s="51"/>
      <c r="AD30" s="55">
        <f t="shared" si="28"/>
        <v>0</v>
      </c>
      <c r="AE30" s="56">
        <f t="shared" si="29"/>
        <v>0</v>
      </c>
      <c r="AF30" s="55"/>
      <c r="AG30" s="57">
        <f t="shared" si="30"/>
        <v>0</v>
      </c>
      <c r="AH30" s="58">
        <f t="shared" si="31"/>
        <v>627</v>
      </c>
      <c r="AI30" s="58">
        <f t="shared" si="32"/>
        <v>0</v>
      </c>
      <c r="AJ30" s="58">
        <f t="shared" si="33"/>
        <v>0</v>
      </c>
      <c r="AK30" s="58">
        <f t="shared" si="34"/>
        <v>0</v>
      </c>
      <c r="AL30" s="58">
        <f t="array" ref="AL30">_xlfn.IFS(R30=0,AE30,R30&lt;0,AE30/-R30,R30&gt;0,AE30/R30)</f>
        <v>0</v>
      </c>
      <c r="AM30" s="59">
        <f t="shared" si="35"/>
        <v>0</v>
      </c>
      <c r="AN30" s="60">
        <f t="shared" si="36"/>
        <v>0</v>
      </c>
      <c r="AP30" s="62">
        <f t="shared" si="37"/>
        <v>0</v>
      </c>
    </row>
    <row r="31" spans="1:52">
      <c r="A31" s="39">
        <v>2774720465</v>
      </c>
      <c r="B31" s="40" t="s">
        <v>171</v>
      </c>
      <c r="C31" s="41">
        <v>18</v>
      </c>
      <c r="D31" s="42"/>
      <c r="E31" s="42"/>
      <c r="F31" s="42"/>
      <c r="G31" s="43"/>
      <c r="H31" s="65">
        <v>567</v>
      </c>
      <c r="I31" s="63">
        <f t="shared" si="20"/>
        <v>10206</v>
      </c>
      <c r="J31" s="45"/>
      <c r="K31" s="41">
        <v>0</v>
      </c>
      <c r="L31" s="45"/>
      <c r="M31" s="45"/>
      <c r="N31" s="46">
        <f t="shared" si="21"/>
        <v>0</v>
      </c>
      <c r="O31" s="47">
        <f t="shared" si="22"/>
        <v>0</v>
      </c>
      <c r="P31" s="48">
        <f>SUMIFS('Отчет 08-14.12'!H:H,'Отчет 08-14.12'!D:D,"Выручка",'Отчет 08-14.12'!E:E,B31)</f>
        <v>0</v>
      </c>
      <c r="Q31" s="48">
        <f>SUMIFS('Отчет 08-14.12'!H:H,'Отчет 08-14.12'!D:D,"Возврат выручки",'Отчет 08-14.12'!E:E,B31)</f>
        <v>0</v>
      </c>
      <c r="R31" s="49">
        <f t="shared" si="23"/>
        <v>0</v>
      </c>
      <c r="S31" s="50">
        <f>SUMIFS('Отчет 08-14.12'!P:P,'Отчет 08-14.12'!C:C,"Продажи",'Отчет 08-14.12'!E:E,B31)</f>
        <v>0</v>
      </c>
      <c r="T31" s="51">
        <f>SUMIFS('Отчет 08-14.12'!P:P,'Отчет 08-14.12'!C:C,"Возвраты",'Отчет 08-14.12'!E:E,B31)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08-14.12'!P:P,'Отчет 08-14.12'!C:C,"Вознаграждение Ozon",'Отчет 08-14.12'!E:E,B31)</f>
        <v>0</v>
      </c>
      <c r="Y31" s="54">
        <f t="shared" si="27"/>
        <v>0</v>
      </c>
      <c r="Z31" s="51">
        <f>-SUMIFS('Отчет 08-14.12'!P:P,'Отчет 08-14.12'!C:C,"Услуги доставки",'Отчет 08-14.12'!E:E,B31)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567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20"/>
        <v>10773</v>
      </c>
      <c r="J32" s="45"/>
      <c r="K32" s="41">
        <v>0</v>
      </c>
      <c r="L32" s="45"/>
      <c r="M32" s="45"/>
      <c r="N32" s="46">
        <f t="shared" si="21"/>
        <v>0</v>
      </c>
      <c r="O32" s="47">
        <f t="shared" si="22"/>
        <v>0</v>
      </c>
      <c r="P32" s="48">
        <f>SUMIFS('Отчет 08-14.12'!H:H,'Отчет 08-14.12'!D:D,"Выручка",'Отчет 08-14.12'!E:E,B32)</f>
        <v>0</v>
      </c>
      <c r="Q32" s="48">
        <f>SUMIFS('Отчет 08-14.12'!H:H,'Отчет 08-14.12'!D:D,"Возврат выручки",'Отчет 08-14.12'!E:E,B32)</f>
        <v>0</v>
      </c>
      <c r="R32" s="49">
        <f t="shared" si="23"/>
        <v>0</v>
      </c>
      <c r="S32" s="50">
        <f>SUMIFS('Отчет 08-14.12'!P:P,'Отчет 08-14.12'!C:C,"Продажи",'Отчет 08-14.12'!E:E,B32)</f>
        <v>0</v>
      </c>
      <c r="T32" s="51">
        <f>SUMIFS('Отчет 08-14.12'!P:P,'Отчет 08-14.12'!C:C,"Возвраты",'Отчет 08-14.12'!E:E,B32)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08-14.12'!P:P,'Отчет 08-14.12'!C:C,"Вознаграждение Ozon",'Отчет 08-14.12'!E:E,B32)</f>
        <v>0</v>
      </c>
      <c r="Y32" s="54">
        <f t="shared" si="27"/>
        <v>0</v>
      </c>
      <c r="Z32" s="51">
        <f>-SUMIFS('Отчет 08-14.12'!P:P,'Отчет 08-14.12'!C:C,"Услуги доставки",'Отчет 08-14.12'!E:E,B32)</f>
        <v>0</v>
      </c>
      <c r="AA32" s="41">
        <v>0</v>
      </c>
      <c r="AB32" s="64"/>
      <c r="AC32" s="51"/>
      <c r="AD32" s="55">
        <f t="shared" si="28"/>
        <v>0</v>
      </c>
      <c r="AE32" s="56">
        <f t="shared" si="29"/>
        <v>0</v>
      </c>
      <c r="AF32" s="55"/>
      <c r="AG32" s="57">
        <f t="shared" si="30"/>
        <v>0</v>
      </c>
      <c r="AH32" s="58">
        <f t="shared" si="31"/>
        <v>567</v>
      </c>
      <c r="AI32" s="58">
        <f t="shared" si="32"/>
        <v>0</v>
      </c>
      <c r="AJ32" s="58">
        <f t="shared" si="33"/>
        <v>0</v>
      </c>
      <c r="AK32" s="58">
        <f t="shared" si="34"/>
        <v>0</v>
      </c>
      <c r="AL32" s="58">
        <f t="array" ref="AL32">_xlfn.IFS(R32=0,AE32,R32&lt;0,AE32/-R32,R32&gt;0,AE32/R32)</f>
        <v>0</v>
      </c>
      <c r="AM32" s="59">
        <f t="shared" si="35"/>
        <v>0</v>
      </c>
      <c r="AN32" s="60">
        <f t="shared" si="36"/>
        <v>0</v>
      </c>
      <c r="AP32" s="62">
        <f t="shared" si="37"/>
        <v>0</v>
      </c>
    </row>
    <row r="33" spans="1:42">
      <c r="A33" s="39">
        <v>2774719022</v>
      </c>
      <c r="B33" s="40" t="s">
        <v>236</v>
      </c>
      <c r="C33" s="41">
        <v>14</v>
      </c>
      <c r="D33" s="42"/>
      <c r="E33" s="42"/>
      <c r="F33" s="42"/>
      <c r="G33" s="43"/>
      <c r="H33" s="65">
        <v>657</v>
      </c>
      <c r="I33" s="63">
        <f t="shared" si="20"/>
        <v>9198</v>
      </c>
      <c r="J33" s="45"/>
      <c r="K33" s="41">
        <v>2</v>
      </c>
      <c r="L33" s="45"/>
      <c r="M33" s="45"/>
      <c r="N33" s="46">
        <f t="shared" si="21"/>
        <v>0.2857142857142857</v>
      </c>
      <c r="O33" s="47">
        <f t="shared" si="22"/>
        <v>0.2857142857142857</v>
      </c>
      <c r="P33" s="48">
        <f>SUMIFS('Отчет 08-14.12'!H:H,'Отчет 08-14.12'!D:D,"Выручка",'Отчет 08-14.12'!E:E,B33)</f>
        <v>2</v>
      </c>
      <c r="Q33" s="48">
        <f>SUMIFS('Отчет 08-14.12'!H:H,'Отчет 08-14.12'!D:D,"Возврат выручки",'Отчет 08-14.12'!E:E,B33)</f>
        <v>0</v>
      </c>
      <c r="R33" s="49">
        <f t="shared" si="23"/>
        <v>2</v>
      </c>
      <c r="S33" s="50">
        <f>SUMIFS('Отчет 08-14.12'!P:P,'Отчет 08-14.12'!C:C,"Продажи",'Отчет 08-14.12'!E:E,B33)</f>
        <v>6192</v>
      </c>
      <c r="T33" s="51">
        <f>SUMIFS('Отчет 08-14.12'!P:P,'Отчет 08-14.12'!C:C,"Возвраты",'Отчет 08-14.12'!E:E,B33)</f>
        <v>0</v>
      </c>
      <c r="U33" s="49">
        <f t="shared" si="24"/>
        <v>6192</v>
      </c>
      <c r="V33" s="52">
        <f t="shared" si="25"/>
        <v>0.72744360902255634</v>
      </c>
      <c r="W33" s="53">
        <f t="shared" si="26"/>
        <v>1314</v>
      </c>
      <c r="X33" s="51">
        <f>-SUMIFS('Отчет 08-14.12'!P:P,'Отчет 08-14.12'!C:C,"Вознаграждение Ozon",'Отчет 08-14.12'!E:E,B33)</f>
        <v>2662.5600000000004</v>
      </c>
      <c r="Y33" s="54">
        <f t="shared" si="27"/>
        <v>0.43000000000000005</v>
      </c>
      <c r="Z33" s="51">
        <f>-SUMIFS('Отчет 08-14.12'!P:P,'Отчет 08-14.12'!C:C,"Услуги доставки",'Отчет 08-14.12'!E:E,B33)</f>
        <v>425.62</v>
      </c>
      <c r="AA33" s="41">
        <v>0</v>
      </c>
      <c r="AB33" s="64"/>
      <c r="AC33" s="51"/>
      <c r="AD33" s="55">
        <f t="shared" si="28"/>
        <v>371.52</v>
      </c>
      <c r="AE33" s="56">
        <f t="shared" si="29"/>
        <v>1418.2999999999997</v>
      </c>
      <c r="AF33" s="55"/>
      <c r="AG33" s="57">
        <f t="shared" si="30"/>
        <v>3096</v>
      </c>
      <c r="AH33" s="58">
        <f t="shared" si="31"/>
        <v>657</v>
      </c>
      <c r="AI33" s="58">
        <f t="shared" si="32"/>
        <v>1331.2800000000002</v>
      </c>
      <c r="AJ33" s="58">
        <f t="shared" si="33"/>
        <v>212.81</v>
      </c>
      <c r="AK33" s="58">
        <f t="shared" si="34"/>
        <v>0</v>
      </c>
      <c r="AL33" s="58">
        <f t="array" ref="AL33">_xlfn.IFS(R33=0,AE33,R33&lt;0,AE33/-R33,R33&gt;0,AE33/R33)</f>
        <v>709.14999999999986</v>
      </c>
      <c r="AM33" s="59">
        <f t="shared" si="35"/>
        <v>0.22905361757105938</v>
      </c>
      <c r="AN33" s="60">
        <f t="shared" si="36"/>
        <v>1.0793759512937593</v>
      </c>
      <c r="AP33" s="62">
        <f t="shared" si="37"/>
        <v>9928.0999999999985</v>
      </c>
    </row>
    <row r="34" spans="1:42">
      <c r="A34" s="39">
        <v>2774719501</v>
      </c>
      <c r="B34" s="40" t="s">
        <v>237</v>
      </c>
      <c r="C34" s="41">
        <v>18</v>
      </c>
      <c r="D34" s="42"/>
      <c r="E34" s="42"/>
      <c r="F34" s="42"/>
      <c r="G34" s="43"/>
      <c r="H34" s="65">
        <v>597</v>
      </c>
      <c r="I34" s="63">
        <f t="shared" si="20"/>
        <v>10746</v>
      </c>
      <c r="J34" s="45"/>
      <c r="K34" s="41">
        <v>0</v>
      </c>
      <c r="L34" s="45"/>
      <c r="M34" s="45"/>
      <c r="N34" s="46">
        <f t="shared" si="21"/>
        <v>0</v>
      </c>
      <c r="O34" s="47">
        <f t="shared" si="22"/>
        <v>0</v>
      </c>
      <c r="P34" s="48">
        <f>SUMIFS('Отчет 08-14.12'!H:H,'Отчет 08-14.12'!D:D,"Выручка",'Отчет 08-14.12'!E:E,B34)</f>
        <v>0</v>
      </c>
      <c r="Q34" s="48">
        <f>SUMIFS('Отчет 08-14.12'!H:H,'Отчет 08-14.12'!D:D,"Возврат выручки",'Отчет 08-14.12'!E:E,B34)</f>
        <v>0</v>
      </c>
      <c r="R34" s="49">
        <f t="shared" si="23"/>
        <v>0</v>
      </c>
      <c r="S34" s="50">
        <f>SUMIFS('Отчет 08-14.12'!P:P,'Отчет 08-14.12'!C:C,"Продажи",'Отчет 08-14.12'!E:E,B34)</f>
        <v>0</v>
      </c>
      <c r="T34" s="51">
        <f>SUMIFS('Отчет 08-14.12'!P:P,'Отчет 08-14.12'!C:C,"Возвраты",'Отчет 08-14.12'!E:E,B34)</f>
        <v>0</v>
      </c>
      <c r="U34" s="49">
        <f t="shared" si="24"/>
        <v>0</v>
      </c>
      <c r="V34" s="52">
        <f t="shared" si="25"/>
        <v>0</v>
      </c>
      <c r="W34" s="53">
        <f t="shared" si="26"/>
        <v>0</v>
      </c>
      <c r="X34" s="51">
        <f>-SUMIFS('Отчет 08-14.12'!P:P,'Отчет 08-14.12'!C:C,"Вознаграждение Ozon",'Отчет 08-14.12'!E:E,B34)</f>
        <v>0</v>
      </c>
      <c r="Y34" s="54">
        <f t="shared" si="27"/>
        <v>0</v>
      </c>
      <c r="Z34" s="51">
        <f>-SUMIFS('Отчет 08-14.12'!P:P,'Отчет 08-14.12'!C:C,"Услуги доставки",'Отчет 08-14.12'!E:E,B34)</f>
        <v>0</v>
      </c>
      <c r="AA34" s="41">
        <v>0</v>
      </c>
      <c r="AB34" s="64"/>
      <c r="AC34" s="51"/>
      <c r="AD34" s="55">
        <f t="shared" si="28"/>
        <v>0</v>
      </c>
      <c r="AE34" s="56">
        <f t="shared" si="29"/>
        <v>0</v>
      </c>
      <c r="AF34" s="55"/>
      <c r="AG34" s="57">
        <f t="shared" si="30"/>
        <v>0</v>
      </c>
      <c r="AH34" s="58">
        <f t="shared" si="31"/>
        <v>597</v>
      </c>
      <c r="AI34" s="58">
        <f t="shared" si="32"/>
        <v>0</v>
      </c>
      <c r="AJ34" s="58">
        <f t="shared" si="33"/>
        <v>0</v>
      </c>
      <c r="AK34" s="58">
        <f t="shared" si="34"/>
        <v>0</v>
      </c>
      <c r="AL34" s="58">
        <f t="array" ref="AL34">_xlfn.IFS(R34=0,AE34,R34&lt;0,AE34/-R34,R34&gt;0,AE34/R34)</f>
        <v>0</v>
      </c>
      <c r="AM34" s="59">
        <f t="shared" si="35"/>
        <v>0</v>
      </c>
      <c r="AN34" s="60">
        <f t="shared" si="36"/>
        <v>0</v>
      </c>
      <c r="AP34" s="62">
        <f t="shared" si="37"/>
        <v>0</v>
      </c>
    </row>
    <row r="35" spans="1:42">
      <c r="A35" s="39">
        <v>2774714412</v>
      </c>
      <c r="B35" s="40" t="s">
        <v>142</v>
      </c>
      <c r="C35" s="41">
        <v>17</v>
      </c>
      <c r="D35" s="42"/>
      <c r="E35" s="42"/>
      <c r="F35" s="42"/>
      <c r="G35" s="43"/>
      <c r="H35" s="65">
        <v>552</v>
      </c>
      <c r="I35" s="63">
        <f t="shared" si="20"/>
        <v>9384</v>
      </c>
      <c r="J35" s="45"/>
      <c r="K35" s="41">
        <v>0</v>
      </c>
      <c r="L35" s="45"/>
      <c r="M35" s="45"/>
      <c r="N35" s="46">
        <f t="shared" si="21"/>
        <v>0</v>
      </c>
      <c r="O35" s="47">
        <f t="shared" si="22"/>
        <v>0</v>
      </c>
      <c r="P35" s="48">
        <f>SUMIFS('Отчет 08-14.12'!H:H,'Отчет 08-14.12'!D:D,"Выручка",'Отчет 08-14.12'!E:E,B35)</f>
        <v>0</v>
      </c>
      <c r="Q35" s="48">
        <f>SUMIFS('Отчет 08-14.12'!H:H,'Отчет 08-14.12'!D:D,"Возврат выручки",'Отчет 08-14.12'!E:E,B35)</f>
        <v>0</v>
      </c>
      <c r="R35" s="49">
        <f t="shared" si="23"/>
        <v>0</v>
      </c>
      <c r="S35" s="50">
        <f>SUMIFS('Отчет 08-14.12'!P:P,'Отчет 08-14.12'!C:C,"Продажи",'Отчет 08-14.12'!E:E,B35)</f>
        <v>0</v>
      </c>
      <c r="T35" s="51">
        <f>SUMIFS('Отчет 08-14.12'!P:P,'Отчет 08-14.12'!C:C,"Возвраты",'Отчет 08-14.12'!E:E,B35)</f>
        <v>0</v>
      </c>
      <c r="U35" s="49">
        <f t="shared" si="24"/>
        <v>0</v>
      </c>
      <c r="V35" s="52">
        <f t="shared" si="25"/>
        <v>0</v>
      </c>
      <c r="W35" s="53">
        <f t="shared" si="26"/>
        <v>0</v>
      </c>
      <c r="X35" s="51">
        <f>-SUMIFS('Отчет 08-14.12'!P:P,'Отчет 08-14.12'!C:C,"Вознаграждение Ozon",'Отчет 08-14.12'!E:E,B35)</f>
        <v>0</v>
      </c>
      <c r="Y35" s="54">
        <f t="shared" si="27"/>
        <v>0</v>
      </c>
      <c r="Z35" s="51">
        <f>-SUMIFS('Отчет 08-14.12'!P:P,'Отчет 08-14.12'!C:C,"Услуги доставки",'Отчет 08-14.12'!E:E,B35)</f>
        <v>0</v>
      </c>
      <c r="AA35" s="41">
        <v>0</v>
      </c>
      <c r="AB35" s="64"/>
      <c r="AC35" s="51"/>
      <c r="AD35" s="55">
        <f t="shared" si="28"/>
        <v>0</v>
      </c>
      <c r="AE35" s="56">
        <f t="shared" si="29"/>
        <v>0</v>
      </c>
      <c r="AF35" s="55"/>
      <c r="AG35" s="57">
        <f t="shared" si="30"/>
        <v>0</v>
      </c>
      <c r="AH35" s="58">
        <f t="shared" si="31"/>
        <v>552</v>
      </c>
      <c r="AI35" s="58">
        <f t="shared" si="32"/>
        <v>0</v>
      </c>
      <c r="AJ35" s="58">
        <f t="shared" si="33"/>
        <v>0</v>
      </c>
      <c r="AK35" s="58">
        <f t="shared" si="34"/>
        <v>0</v>
      </c>
      <c r="AL35" s="58">
        <f t="array" ref="AL35">_xlfn.IFS(R35=0,AE35,R35&lt;0,AE35/-R35,R35&gt;0,AE35/R35)</f>
        <v>0</v>
      </c>
      <c r="AM35" s="59">
        <f t="shared" si="35"/>
        <v>0</v>
      </c>
      <c r="AN35" s="60">
        <f t="shared" si="36"/>
        <v>0</v>
      </c>
      <c r="AP35" s="62">
        <f t="shared" si="37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20"/>
        <v>9936</v>
      </c>
      <c r="J36" s="45"/>
      <c r="K36" s="41">
        <v>1</v>
      </c>
      <c r="L36" s="45"/>
      <c r="M36" s="45"/>
      <c r="N36" s="46">
        <f t="shared" si="21"/>
        <v>0.14285714285714285</v>
      </c>
      <c r="O36" s="47">
        <f t="shared" si="22"/>
        <v>0</v>
      </c>
      <c r="P36" s="48">
        <f>SUMIFS('Отчет 08-14.12'!H:H,'Отчет 08-14.12'!D:D,"Выручка",'Отчет 08-14.12'!E:E,B36)</f>
        <v>0</v>
      </c>
      <c r="Q36" s="48">
        <f>SUMIFS('Отчет 08-14.12'!H:H,'Отчет 08-14.12'!D:D,"Возврат выручки",'Отчет 08-14.12'!E:E,B36)</f>
        <v>0</v>
      </c>
      <c r="R36" s="49">
        <f t="shared" si="23"/>
        <v>0</v>
      </c>
      <c r="S36" s="50">
        <f>SUMIFS('Отчет 08-14.12'!P:P,'Отчет 08-14.12'!C:C,"Продажи",'Отчет 08-14.12'!E:E,B36)</f>
        <v>0</v>
      </c>
      <c r="T36" s="51">
        <f>SUMIFS('Отчет 08-14.12'!P:P,'Отчет 08-14.12'!C:C,"Возвраты",'Отчет 08-14.12'!E:E,B36)</f>
        <v>0</v>
      </c>
      <c r="U36" s="49">
        <f t="shared" si="24"/>
        <v>0</v>
      </c>
      <c r="V36" s="52">
        <f t="shared" si="25"/>
        <v>0</v>
      </c>
      <c r="W36" s="53">
        <f t="shared" si="26"/>
        <v>0</v>
      </c>
      <c r="X36" s="51">
        <f>-SUMIFS('Отчет 08-14.12'!P:P,'Отчет 08-14.12'!C:C,"Вознаграждение Ozon",'Отчет 08-14.12'!E:E,B36)</f>
        <v>0</v>
      </c>
      <c r="Y36" s="54">
        <f t="shared" si="27"/>
        <v>0</v>
      </c>
      <c r="Z36" s="51">
        <f>-SUMIFS('Отчет 08-14.12'!P:P,'Отчет 08-14.12'!C:C,"Услуги доставки",'Отчет 08-14.12'!E:E,B36)</f>
        <v>0</v>
      </c>
      <c r="AA36" s="41">
        <v>0</v>
      </c>
      <c r="AB36" s="64"/>
      <c r="AC36" s="51"/>
      <c r="AD36" s="55">
        <f t="shared" si="28"/>
        <v>0</v>
      </c>
      <c r="AE36" s="56">
        <f t="shared" si="29"/>
        <v>0</v>
      </c>
      <c r="AF36" s="55"/>
      <c r="AG36" s="57">
        <f t="shared" si="30"/>
        <v>0</v>
      </c>
      <c r="AH36" s="58">
        <f t="shared" si="31"/>
        <v>552</v>
      </c>
      <c r="AI36" s="58">
        <f t="shared" si="32"/>
        <v>0</v>
      </c>
      <c r="AJ36" s="58">
        <f t="shared" si="33"/>
        <v>0</v>
      </c>
      <c r="AK36" s="58">
        <f t="shared" si="34"/>
        <v>0</v>
      </c>
      <c r="AL36" s="58">
        <f t="array" ref="AL36">_xlfn.IFS(R36=0,AE36,R36&lt;0,AE36/-R36,R36&gt;0,AE36/R36)</f>
        <v>0</v>
      </c>
      <c r="AM36" s="59">
        <f t="shared" si="35"/>
        <v>0</v>
      </c>
      <c r="AN36" s="60">
        <f t="shared" si="36"/>
        <v>0</v>
      </c>
      <c r="AP36" s="62">
        <f t="shared" si="37"/>
        <v>0</v>
      </c>
    </row>
    <row r="37" spans="1:42">
      <c r="A37" s="39">
        <v>2774712116</v>
      </c>
      <c r="B37" s="40" t="s">
        <v>62</v>
      </c>
      <c r="C37" s="41">
        <v>15</v>
      </c>
      <c r="D37" s="42"/>
      <c r="E37" s="42"/>
      <c r="F37" s="42"/>
      <c r="G37" s="43"/>
      <c r="H37" s="65">
        <v>687</v>
      </c>
      <c r="I37" s="63">
        <f t="shared" si="20"/>
        <v>10305</v>
      </c>
      <c r="J37" s="45"/>
      <c r="K37" s="41">
        <v>0</v>
      </c>
      <c r="L37" s="45"/>
      <c r="M37" s="45"/>
      <c r="N37" s="46">
        <f t="shared" si="21"/>
        <v>0</v>
      </c>
      <c r="O37" s="47">
        <f t="shared" si="22"/>
        <v>0</v>
      </c>
      <c r="P37" s="48">
        <f>SUMIFS('Отчет 08-14.12'!H:H,'Отчет 08-14.12'!D:D,"Выручка",'Отчет 08-14.12'!E:E,B37)</f>
        <v>0</v>
      </c>
      <c r="Q37" s="48">
        <f>SUMIFS('Отчет 08-14.12'!H:H,'Отчет 08-14.12'!D:D,"Возврат выручки",'Отчет 08-14.12'!E:E,B37)</f>
        <v>0</v>
      </c>
      <c r="R37" s="49">
        <f t="shared" si="23"/>
        <v>0</v>
      </c>
      <c r="S37" s="50">
        <f>SUMIFS('Отчет 08-14.12'!P:P,'Отчет 08-14.12'!C:C,"Продажи",'Отчет 08-14.12'!E:E,B37)</f>
        <v>0</v>
      </c>
      <c r="T37" s="51">
        <f>SUMIFS('Отчет 08-14.12'!P:P,'Отчет 08-14.12'!C:C,"Возвраты",'Отчет 08-14.12'!E:E,B37)</f>
        <v>0</v>
      </c>
      <c r="U37" s="49">
        <f t="shared" si="24"/>
        <v>0</v>
      </c>
      <c r="V37" s="52">
        <f t="shared" si="25"/>
        <v>0</v>
      </c>
      <c r="W37" s="53">
        <f t="shared" si="26"/>
        <v>0</v>
      </c>
      <c r="X37" s="51">
        <f>-SUMIFS('Отчет 08-14.12'!P:P,'Отчет 08-14.12'!C:C,"Вознаграждение Ozon",'Отчет 08-14.12'!E:E,B37)</f>
        <v>0</v>
      </c>
      <c r="Y37" s="54">
        <f t="shared" si="27"/>
        <v>0</v>
      </c>
      <c r="Z37" s="51">
        <f>-SUMIFS('Отчет 08-14.12'!P:P,'Отчет 08-14.12'!C:C,"Услуги доставки",'Отчет 08-14.12'!E:E,B37)</f>
        <v>0</v>
      </c>
      <c r="AA37" s="41">
        <v>0</v>
      </c>
      <c r="AB37" s="64"/>
      <c r="AC37" s="51"/>
      <c r="AD37" s="55">
        <f t="shared" si="28"/>
        <v>0</v>
      </c>
      <c r="AE37" s="56">
        <f t="shared" si="29"/>
        <v>0</v>
      </c>
      <c r="AF37" s="55"/>
      <c r="AG37" s="57">
        <f t="shared" si="30"/>
        <v>0</v>
      </c>
      <c r="AH37" s="58">
        <f t="shared" si="31"/>
        <v>687</v>
      </c>
      <c r="AI37" s="58">
        <f t="shared" si="32"/>
        <v>0</v>
      </c>
      <c r="AJ37" s="58">
        <f t="shared" si="33"/>
        <v>0</v>
      </c>
      <c r="AK37" s="58">
        <f t="shared" si="34"/>
        <v>0</v>
      </c>
      <c r="AL37" s="58">
        <f t="array" ref="AL37">_xlfn.IFS(R37=0,AE37,R37&lt;0,AE37/-R37,R37&gt;0,AE37/R37)</f>
        <v>0</v>
      </c>
      <c r="AM37" s="59">
        <f t="shared" si="35"/>
        <v>0</v>
      </c>
      <c r="AN37" s="60">
        <f t="shared" si="36"/>
        <v>0</v>
      </c>
      <c r="AP37" s="62">
        <f t="shared" si="37"/>
        <v>0</v>
      </c>
    </row>
    <row r="38" spans="1:42">
      <c r="A38" s="39">
        <v>2774719012</v>
      </c>
      <c r="B38" s="40" t="s">
        <v>239</v>
      </c>
      <c r="C38" s="41">
        <v>6</v>
      </c>
      <c r="D38" s="42"/>
      <c r="E38" s="42"/>
      <c r="F38" s="42"/>
      <c r="G38" s="43"/>
      <c r="H38" s="65">
        <v>687</v>
      </c>
      <c r="I38" s="63">
        <f t="shared" si="20"/>
        <v>4122</v>
      </c>
      <c r="J38" s="45"/>
      <c r="K38" s="41">
        <v>1</v>
      </c>
      <c r="L38" s="45"/>
      <c r="M38" s="45"/>
      <c r="N38" s="46">
        <f t="shared" si="21"/>
        <v>0.14285714285714285</v>
      </c>
      <c r="O38" s="47">
        <f t="shared" si="22"/>
        <v>0</v>
      </c>
      <c r="P38" s="48">
        <f>SUMIFS('Отчет 08-14.12'!H:H,'Отчет 08-14.12'!D:D,"Выручка",'Отчет 08-14.12'!E:E,B38)</f>
        <v>0</v>
      </c>
      <c r="Q38" s="48">
        <f>SUMIFS('Отчет 08-14.12'!H:H,'Отчет 08-14.12'!D:D,"Возврат выручки",'Отчет 08-14.12'!E:E,B38)</f>
        <v>0</v>
      </c>
      <c r="R38" s="49">
        <f t="shared" si="23"/>
        <v>0</v>
      </c>
      <c r="S38" s="50">
        <f>SUMIFS('Отчет 08-14.12'!P:P,'Отчет 08-14.12'!C:C,"Продажи",'Отчет 08-14.12'!E:E,B38)</f>
        <v>0</v>
      </c>
      <c r="T38" s="51">
        <f>SUMIFS('Отчет 08-14.12'!P:P,'Отчет 08-14.12'!C:C,"Возвраты",'Отчет 08-14.12'!E:E,B38)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08-14.12'!P:P,'Отчет 08-14.12'!C:C,"Вознаграждение Ozon",'Отчет 08-14.12'!E:E,B38)</f>
        <v>0</v>
      </c>
      <c r="Y38" s="54">
        <f t="shared" si="27"/>
        <v>0</v>
      </c>
      <c r="Z38" s="51">
        <f>-SUMIFS('Отчет 08-14.12'!P:P,'Отчет 08-14.12'!C:C,"Услуги доставки",'Отчет 08-14.12'!E:E,B38)</f>
        <v>0</v>
      </c>
      <c r="AA38" s="41">
        <v>0</v>
      </c>
      <c r="AB38" s="64"/>
      <c r="AC38" s="51"/>
      <c r="AD38" s="55">
        <f t="shared" si="28"/>
        <v>0</v>
      </c>
      <c r="AE38" s="56">
        <f t="shared" si="29"/>
        <v>0</v>
      </c>
      <c r="AF38" s="55"/>
      <c r="AG38" s="57">
        <f t="shared" si="30"/>
        <v>0</v>
      </c>
      <c r="AH38" s="58">
        <f t="shared" si="31"/>
        <v>687</v>
      </c>
      <c r="AI38" s="58">
        <f t="shared" si="32"/>
        <v>0</v>
      </c>
      <c r="AJ38" s="58">
        <f t="shared" si="33"/>
        <v>0</v>
      </c>
      <c r="AK38" s="58">
        <f t="shared" si="34"/>
        <v>0</v>
      </c>
      <c r="AL38" s="58">
        <f t="array" ref="AL38">_xlfn.IFS(R38=0,AE38,R38&lt;0,AE38/-R38,R38&gt;0,AE38/R38)</f>
        <v>0</v>
      </c>
      <c r="AM38" s="59">
        <f t="shared" si="35"/>
        <v>0</v>
      </c>
      <c r="AN38" s="60">
        <f t="shared" si="36"/>
        <v>0</v>
      </c>
      <c r="AP38" s="62">
        <f t="shared" si="37"/>
        <v>0</v>
      </c>
    </row>
    <row r="39" spans="1:42">
      <c r="A39" s="39">
        <v>2774719433</v>
      </c>
      <c r="B39" s="40" t="s">
        <v>240</v>
      </c>
      <c r="C39" s="41">
        <v>16</v>
      </c>
      <c r="D39" s="42"/>
      <c r="E39" s="42"/>
      <c r="F39" s="42"/>
      <c r="G39" s="43"/>
      <c r="H39" s="65">
        <v>597</v>
      </c>
      <c r="I39" s="63">
        <f t="shared" si="20"/>
        <v>9552</v>
      </c>
      <c r="J39" s="45"/>
      <c r="K39" s="41">
        <v>0</v>
      </c>
      <c r="L39" s="45"/>
      <c r="M39" s="45"/>
      <c r="N39" s="46">
        <f t="shared" si="21"/>
        <v>0</v>
      </c>
      <c r="O39" s="47">
        <f t="shared" si="22"/>
        <v>0</v>
      </c>
      <c r="P39" s="48">
        <f>SUMIFS('Отчет 08-14.12'!H:H,'Отчет 08-14.12'!D:D,"Выручка",'Отчет 08-14.12'!E:E,B39)</f>
        <v>0</v>
      </c>
      <c r="Q39" s="48">
        <f>SUMIFS('Отчет 08-14.12'!H:H,'Отчет 08-14.12'!D:D,"Возврат выручки",'Отчет 08-14.12'!E:E,B39)</f>
        <v>0</v>
      </c>
      <c r="R39" s="49">
        <f t="shared" si="23"/>
        <v>0</v>
      </c>
      <c r="S39" s="50">
        <f>SUMIFS('Отчет 08-14.12'!P:P,'Отчет 08-14.12'!C:C,"Продажи",'Отчет 08-14.12'!E:E,B39)</f>
        <v>0</v>
      </c>
      <c r="T39" s="51">
        <f>SUMIFS('Отчет 08-14.12'!P:P,'Отчет 08-14.12'!C:C,"Возвраты",'Отчет 08-14.12'!E:E,B39)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51">
        <f>-SUMIFS('Отчет 08-14.12'!P:P,'Отчет 08-14.12'!C:C,"Вознаграждение Ozon",'Отчет 08-14.12'!E:E,B39)</f>
        <v>0</v>
      </c>
      <c r="Y39" s="54">
        <f t="shared" si="27"/>
        <v>0</v>
      </c>
      <c r="Z39" s="51">
        <f>-SUMIFS('Отчет 08-14.12'!P:P,'Отчет 08-14.12'!C:C,"Услуги доставки",'Отчет 08-14.12'!E:E,B39)</f>
        <v>112</v>
      </c>
      <c r="AA39" s="41">
        <v>0</v>
      </c>
      <c r="AB39" s="64"/>
      <c r="AC39" s="51"/>
      <c r="AD39" s="55">
        <f t="shared" si="28"/>
        <v>0</v>
      </c>
      <c r="AE39" s="56">
        <f t="shared" si="29"/>
        <v>-112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112</v>
      </c>
      <c r="AK39" s="58">
        <f t="shared" si="34"/>
        <v>0</v>
      </c>
      <c r="AL39" s="58">
        <f t="array" ref="AL39">_xlfn.IFS(R39=0,AE39,R39&lt;0,AE39/-R39,R39&gt;0,AE39/R39)</f>
        <v>-112</v>
      </c>
      <c r="AM39" s="59">
        <f t="shared" si="35"/>
        <v>0</v>
      </c>
      <c r="AN39" s="60">
        <f t="shared" si="36"/>
        <v>-0.18760469011725292</v>
      </c>
      <c r="AP39" s="62">
        <f t="shared" si="37"/>
        <v>-1792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20"/>
        <v>10746</v>
      </c>
      <c r="J40" s="45"/>
      <c r="K40" s="41">
        <v>0</v>
      </c>
      <c r="L40" s="45"/>
      <c r="M40" s="45"/>
      <c r="N40" s="46">
        <f t="shared" si="21"/>
        <v>0</v>
      </c>
      <c r="O40" s="47">
        <f t="shared" si="22"/>
        <v>0</v>
      </c>
      <c r="P40" s="48">
        <f>SUMIFS('Отчет 08-14.12'!H:H,'Отчет 08-14.12'!D:D,"Выручка",'Отчет 08-14.12'!E:E,B40)</f>
        <v>0</v>
      </c>
      <c r="Q40" s="48">
        <f>SUMIFS('Отчет 08-14.12'!H:H,'Отчет 08-14.12'!D:D,"Возврат выручки",'Отчет 08-14.12'!E:E,B40)</f>
        <v>0</v>
      </c>
      <c r="R40" s="49">
        <f t="shared" si="23"/>
        <v>0</v>
      </c>
      <c r="S40" s="50">
        <f>SUMIFS('Отчет 08-14.12'!P:P,'Отчет 08-14.12'!C:C,"Продажи",'Отчет 08-14.12'!E:E,B40)</f>
        <v>0</v>
      </c>
      <c r="T40" s="51">
        <f>SUMIFS('Отчет 08-14.12'!P:P,'Отчет 08-14.12'!C:C,"Возвраты",'Отчет 08-14.12'!E:E,B40)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08-14.12'!P:P,'Отчет 08-14.12'!C:C,"Вознаграждение Ozon",'Отчет 08-14.12'!E:E,B40)</f>
        <v>0</v>
      </c>
      <c r="Y40" s="54">
        <f t="shared" si="27"/>
        <v>0</v>
      </c>
      <c r="Z40" s="51">
        <f>-SUMIFS('Отчет 08-14.12'!P:P,'Отчет 08-14.12'!C:C,"Услуги доставки",'Отчет 08-14.12'!E:E,B40)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597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2774719553</v>
      </c>
      <c r="B41" s="40" t="s">
        <v>242</v>
      </c>
      <c r="C41" s="41">
        <v>18</v>
      </c>
      <c r="D41" s="42"/>
      <c r="E41" s="42"/>
      <c r="F41" s="42"/>
      <c r="G41" s="43"/>
      <c r="H41" s="65">
        <v>597</v>
      </c>
      <c r="I41" s="63">
        <f t="shared" si="20"/>
        <v>10746</v>
      </c>
      <c r="J41" s="45"/>
      <c r="K41" s="41">
        <v>0</v>
      </c>
      <c r="L41" s="45"/>
      <c r="M41" s="45"/>
      <c r="N41" s="46">
        <f t="shared" si="21"/>
        <v>0</v>
      </c>
      <c r="O41" s="47">
        <f t="shared" si="22"/>
        <v>0.14285714285714285</v>
      </c>
      <c r="P41" s="48">
        <f>SUMIFS('Отчет 08-14.12'!H:H,'Отчет 08-14.12'!D:D,"Выручка",'Отчет 08-14.12'!E:E,B41)</f>
        <v>1</v>
      </c>
      <c r="Q41" s="48">
        <f>SUMIFS('Отчет 08-14.12'!H:H,'Отчет 08-14.12'!D:D,"Возврат выручки",'Отчет 08-14.12'!E:E,B41)</f>
        <v>0</v>
      </c>
      <c r="R41" s="49">
        <f t="shared" si="23"/>
        <v>1</v>
      </c>
      <c r="S41" s="50">
        <f>SUMIFS('Отчет 08-14.12'!P:P,'Отчет 08-14.12'!C:C,"Продажи",'Отчет 08-14.12'!E:E,B41)</f>
        <v>2320</v>
      </c>
      <c r="T41" s="51">
        <f>SUMIFS('Отчет 08-14.12'!P:P,'Отчет 08-14.12'!C:C,"Возвраты",'Отчет 08-14.12'!E:E,B41)</f>
        <v>0</v>
      </c>
      <c r="U41" s="49">
        <f t="shared" si="24"/>
        <v>2320</v>
      </c>
      <c r="V41" s="52">
        <f t="shared" si="25"/>
        <v>0.27255639097744361</v>
      </c>
      <c r="W41" s="53">
        <f t="shared" si="26"/>
        <v>597</v>
      </c>
      <c r="X41" s="51">
        <f>-SUMIFS('Отчет 08-14.12'!P:P,'Отчет 08-14.12'!C:C,"Вознаграждение Ozon",'Отчет 08-14.12'!E:E,B41)</f>
        <v>997.6</v>
      </c>
      <c r="Y41" s="54">
        <f t="shared" si="27"/>
        <v>0.43</v>
      </c>
      <c r="Z41" s="51">
        <f>-SUMIFS('Отчет 08-14.12'!P:P,'Отчет 08-14.12'!C:C,"Услуги доставки",'Отчет 08-14.12'!E:E,B41)</f>
        <v>154.04</v>
      </c>
      <c r="AA41" s="41">
        <v>0</v>
      </c>
      <c r="AB41" s="64"/>
      <c r="AC41" s="51"/>
      <c r="AD41" s="55">
        <f t="shared" si="28"/>
        <v>139.19999999999999</v>
      </c>
      <c r="AE41" s="56">
        <f t="shared" si="29"/>
        <v>432.16</v>
      </c>
      <c r="AF41" s="55"/>
      <c r="AG41" s="57">
        <f t="shared" si="30"/>
        <v>2320</v>
      </c>
      <c r="AH41" s="58">
        <f t="shared" si="31"/>
        <v>597</v>
      </c>
      <c r="AI41" s="58">
        <f t="shared" si="32"/>
        <v>997.6</v>
      </c>
      <c r="AJ41" s="58">
        <f t="shared" si="33"/>
        <v>154.04</v>
      </c>
      <c r="AK41" s="58">
        <f t="shared" si="34"/>
        <v>0</v>
      </c>
      <c r="AL41" s="58">
        <f t="array" ref="AL41">_xlfn.IFS(R41=0,AE41,R41&lt;0,AE41/-R41,R41&gt;0,AE41/R41)</f>
        <v>432.16</v>
      </c>
      <c r="AM41" s="59">
        <f t="shared" si="35"/>
        <v>0.18627586206896551</v>
      </c>
      <c r="AN41" s="60">
        <f t="shared" si="36"/>
        <v>0.7238860971524288</v>
      </c>
      <c r="AP41" s="62">
        <f t="shared" si="37"/>
        <v>7778.88</v>
      </c>
    </row>
    <row r="42" spans="1:42">
      <c r="A42" s="39">
        <v>2774710913</v>
      </c>
      <c r="B42" s="40" t="s">
        <v>243</v>
      </c>
      <c r="C42" s="41">
        <v>17</v>
      </c>
      <c r="D42" s="42"/>
      <c r="E42" s="42"/>
      <c r="F42" s="42"/>
      <c r="G42" s="43"/>
      <c r="H42" s="65">
        <v>642</v>
      </c>
      <c r="I42" s="63">
        <f t="shared" si="20"/>
        <v>10914</v>
      </c>
      <c r="J42" s="45"/>
      <c r="K42" s="41">
        <v>2</v>
      </c>
      <c r="L42" s="45"/>
      <c r="M42" s="45"/>
      <c r="N42" s="46">
        <f t="shared" si="21"/>
        <v>0.2857142857142857</v>
      </c>
      <c r="O42" s="47">
        <f t="shared" si="22"/>
        <v>0</v>
      </c>
      <c r="P42" s="48">
        <f>SUMIFS('Отчет 08-14.12'!H:H,'Отчет 08-14.12'!D:D,"Выручка",'Отчет 08-14.12'!E:E,B42)</f>
        <v>0</v>
      </c>
      <c r="Q42" s="48">
        <f>SUMIFS('Отчет 08-14.12'!H:H,'Отчет 08-14.12'!D:D,"Возврат выручки",'Отчет 08-14.12'!E:E,B42)</f>
        <v>0</v>
      </c>
      <c r="R42" s="49">
        <f t="shared" si="23"/>
        <v>0</v>
      </c>
      <c r="S42" s="50">
        <f>SUMIFS('Отчет 08-14.12'!P:P,'Отчет 08-14.12'!C:C,"Продажи",'Отчет 08-14.12'!E:E,B42)</f>
        <v>0</v>
      </c>
      <c r="T42" s="51">
        <f>SUMIFS('Отчет 08-14.12'!P:P,'Отчет 08-14.12'!C:C,"Возвраты",'Отчет 08-14.12'!E:E,B42)</f>
        <v>0</v>
      </c>
      <c r="U42" s="49">
        <f t="shared" si="24"/>
        <v>0</v>
      </c>
      <c r="V42" s="52">
        <f t="shared" si="25"/>
        <v>0</v>
      </c>
      <c r="W42" s="53">
        <f t="shared" si="26"/>
        <v>0</v>
      </c>
      <c r="X42" s="51">
        <f>-SUMIFS('Отчет 08-14.12'!P:P,'Отчет 08-14.12'!C:C,"Вознаграждение Ozon",'Отчет 08-14.12'!E:E,B42)</f>
        <v>0</v>
      </c>
      <c r="Y42" s="54">
        <f t="shared" si="27"/>
        <v>0</v>
      </c>
      <c r="Z42" s="51">
        <f>-SUMIFS('Отчет 08-14.12'!P:P,'Отчет 08-14.12'!C:C,"Услуги доставки",'Отчет 08-14.12'!E:E,B42)</f>
        <v>0</v>
      </c>
      <c r="AA42" s="41">
        <v>925.52</v>
      </c>
      <c r="AB42" s="64"/>
      <c r="AC42" s="51"/>
      <c r="AD42" s="55">
        <f t="shared" si="28"/>
        <v>0</v>
      </c>
      <c r="AE42" s="56">
        <f t="shared" si="29"/>
        <v>-925.52</v>
      </c>
      <c r="AF42" s="55"/>
      <c r="AG42" s="57">
        <f t="shared" si="30"/>
        <v>0</v>
      </c>
      <c r="AH42" s="58">
        <f t="shared" si="31"/>
        <v>642</v>
      </c>
      <c r="AI42" s="58">
        <f t="shared" si="32"/>
        <v>0</v>
      </c>
      <c r="AJ42" s="58">
        <f t="shared" si="33"/>
        <v>0</v>
      </c>
      <c r="AK42" s="58">
        <f t="shared" si="34"/>
        <v>0</v>
      </c>
      <c r="AL42" s="58">
        <f t="array" ref="AL42">_xlfn.IFS(R42=0,AE42,R42&lt;0,AE42/-R42,R42&gt;0,AE42/R42)</f>
        <v>-925.52</v>
      </c>
      <c r="AM42" s="59">
        <f t="shared" si="35"/>
        <v>0</v>
      </c>
      <c r="AN42" s="60">
        <f t="shared" si="36"/>
        <v>-1.4416199376947041</v>
      </c>
      <c r="AP42" s="62">
        <f t="shared" si="37"/>
        <v>-15733.84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20"/>
        <v>12198</v>
      </c>
      <c r="J43" s="45"/>
      <c r="K43" s="41">
        <v>0</v>
      </c>
      <c r="L43" s="45"/>
      <c r="M43" s="45"/>
      <c r="N43" s="46">
        <f t="shared" si="21"/>
        <v>0</v>
      </c>
      <c r="O43" s="47">
        <f t="shared" si="22"/>
        <v>0</v>
      </c>
      <c r="P43" s="48">
        <f>SUMIFS('Отчет 08-14.12'!H:H,'Отчет 08-14.12'!D:D,"Выручка",'Отчет 08-14.12'!E:E,B43)</f>
        <v>0</v>
      </c>
      <c r="Q43" s="48">
        <f>SUMIFS('Отчет 08-14.12'!H:H,'Отчет 08-14.12'!D:D,"Возврат выручки",'Отчет 08-14.12'!E:E,B43)</f>
        <v>0</v>
      </c>
      <c r="R43" s="49">
        <f t="shared" si="23"/>
        <v>0</v>
      </c>
      <c r="S43" s="50">
        <f>SUMIFS('Отчет 08-14.12'!P:P,'Отчет 08-14.12'!C:C,"Продажи",'Отчет 08-14.12'!E:E,B43)</f>
        <v>0</v>
      </c>
      <c r="T43" s="51">
        <f>SUMIFS('Отчет 08-14.12'!P:P,'Отчет 08-14.12'!C:C,"Возвраты",'Отчет 08-14.12'!E:E,B43)</f>
        <v>0</v>
      </c>
      <c r="U43" s="49">
        <f t="shared" si="24"/>
        <v>0</v>
      </c>
      <c r="V43" s="52">
        <f t="shared" si="25"/>
        <v>0</v>
      </c>
      <c r="W43" s="53">
        <f t="shared" si="26"/>
        <v>0</v>
      </c>
      <c r="X43" s="51">
        <f>-SUMIFS('Отчет 08-14.12'!P:P,'Отчет 08-14.12'!C:C,"Вознаграждение Ozon",'Отчет 08-14.12'!E:E,B43)</f>
        <v>0</v>
      </c>
      <c r="Y43" s="54">
        <f t="shared" si="27"/>
        <v>0</v>
      </c>
      <c r="Z43" s="51">
        <f>-SUMIFS('Отчет 08-14.12'!P:P,'Отчет 08-14.12'!C:C,"Услуги доставки",'Отчет 08-14.12'!E:E,B43)</f>
        <v>0</v>
      </c>
      <c r="AA43" s="41">
        <v>0</v>
      </c>
      <c r="AB43" s="64"/>
      <c r="AC43" s="51"/>
      <c r="AD43" s="55">
        <f t="shared" si="28"/>
        <v>0</v>
      </c>
      <c r="AE43" s="56">
        <f t="shared" si="29"/>
        <v>0</v>
      </c>
      <c r="AF43" s="55"/>
      <c r="AG43" s="57">
        <f t="shared" si="30"/>
        <v>0</v>
      </c>
      <c r="AH43" s="58">
        <f t="shared" si="31"/>
        <v>642</v>
      </c>
      <c r="AI43" s="58">
        <f t="shared" si="32"/>
        <v>0</v>
      </c>
      <c r="AJ43" s="58">
        <f t="shared" si="33"/>
        <v>0</v>
      </c>
      <c r="AK43" s="58">
        <f t="shared" si="34"/>
        <v>0</v>
      </c>
      <c r="AL43" s="58">
        <f t="array" ref="AL43">_xlfn.IFS(R43=0,AE43,R43&lt;0,AE43/-R43,R43&gt;0,AE43/R43)</f>
        <v>0</v>
      </c>
      <c r="AM43" s="59">
        <f t="shared" si="35"/>
        <v>0</v>
      </c>
      <c r="AN43" s="60">
        <f t="shared" si="36"/>
        <v>0</v>
      </c>
      <c r="AP43" s="62">
        <f t="shared" si="37"/>
        <v>0</v>
      </c>
    </row>
    <row r="44" spans="1:42">
      <c r="A44" s="39">
        <v>2774722656</v>
      </c>
      <c r="B44" s="40" t="s">
        <v>51</v>
      </c>
      <c r="C44" s="41">
        <v>7</v>
      </c>
      <c r="D44" s="42"/>
      <c r="E44" s="42"/>
      <c r="F44" s="42"/>
      <c r="G44" s="43"/>
      <c r="H44" s="65">
        <v>687</v>
      </c>
      <c r="I44" s="63">
        <f t="shared" si="20"/>
        <v>4809</v>
      </c>
      <c r="J44" s="45"/>
      <c r="K44" s="41">
        <v>0</v>
      </c>
      <c r="L44" s="45"/>
      <c r="M44" s="45"/>
      <c r="N44" s="46">
        <f t="shared" si="21"/>
        <v>0</v>
      </c>
      <c r="O44" s="47">
        <f t="shared" si="22"/>
        <v>0</v>
      </c>
      <c r="P44" s="48">
        <f>SUMIFS('Отчет 08-14.12'!H:H,'Отчет 08-14.12'!D:D,"Выручка",'Отчет 08-14.12'!E:E,B44)</f>
        <v>0</v>
      </c>
      <c r="Q44" s="48">
        <f>SUMIFS('Отчет 08-14.12'!H:H,'Отчет 08-14.12'!D:D,"Возврат выручки",'Отчет 08-14.12'!E:E,B44)</f>
        <v>0</v>
      </c>
      <c r="R44" s="49">
        <f t="shared" si="23"/>
        <v>0</v>
      </c>
      <c r="S44" s="50">
        <f>SUMIFS('Отчет 08-14.12'!P:P,'Отчет 08-14.12'!C:C,"Продажи",'Отчет 08-14.12'!E:E,B44)</f>
        <v>0</v>
      </c>
      <c r="T44" s="51">
        <f>SUMIFS('Отчет 08-14.12'!P:P,'Отчет 08-14.12'!C:C,"Возвраты",'Отчет 08-14.12'!E:E,B44)</f>
        <v>0</v>
      </c>
      <c r="U44" s="49">
        <f t="shared" si="24"/>
        <v>0</v>
      </c>
      <c r="V44" s="52">
        <f t="shared" si="25"/>
        <v>0</v>
      </c>
      <c r="W44" s="53">
        <f t="shared" si="26"/>
        <v>0</v>
      </c>
      <c r="X44" s="51">
        <f>-SUMIFS('Отчет 08-14.12'!P:P,'Отчет 08-14.12'!C:C,"Вознаграждение Ozon",'Отчет 08-14.12'!E:E,B44)</f>
        <v>0</v>
      </c>
      <c r="Y44" s="54">
        <f t="shared" si="27"/>
        <v>0</v>
      </c>
      <c r="Z44" s="51">
        <f>-SUMIFS('Отчет 08-14.12'!P:P,'Отчет 08-14.12'!C:C,"Услуги доставки",'Отчет 08-14.12'!E:E,B44)</f>
        <v>0</v>
      </c>
      <c r="AA44" s="41">
        <v>0</v>
      </c>
      <c r="AB44" s="64"/>
      <c r="AC44" s="51"/>
      <c r="AD44" s="55">
        <f t="shared" si="28"/>
        <v>0</v>
      </c>
      <c r="AE44" s="56">
        <f t="shared" si="29"/>
        <v>0</v>
      </c>
      <c r="AF44" s="55"/>
      <c r="AG44" s="57">
        <f t="shared" si="30"/>
        <v>0</v>
      </c>
      <c r="AH44" s="58">
        <f t="shared" si="31"/>
        <v>687</v>
      </c>
      <c r="AI44" s="58">
        <f t="shared" si="32"/>
        <v>0</v>
      </c>
      <c r="AJ44" s="58">
        <f t="shared" si="33"/>
        <v>0</v>
      </c>
      <c r="AK44" s="58">
        <f t="shared" si="34"/>
        <v>0</v>
      </c>
      <c r="AL44" s="58">
        <f t="array" ref="AL44">_xlfn.IFS(R44=0,AE44,R44&lt;0,AE44/-R44,R44&gt;0,AE44/R44)</f>
        <v>0</v>
      </c>
      <c r="AM44" s="59">
        <f t="shared" si="35"/>
        <v>0</v>
      </c>
      <c r="AN44" s="60">
        <f t="shared" si="36"/>
        <v>0</v>
      </c>
      <c r="AP44" s="62">
        <f t="shared" si="37"/>
        <v>0</v>
      </c>
    </row>
    <row r="45" spans="1:42">
      <c r="A45" s="39">
        <v>2774721190</v>
      </c>
      <c r="B45" s="40" t="s">
        <v>70</v>
      </c>
      <c r="C45" s="41">
        <v>6</v>
      </c>
      <c r="D45" s="42"/>
      <c r="E45" s="42"/>
      <c r="F45" s="42"/>
      <c r="G45" s="43"/>
      <c r="H45" s="65">
        <v>687</v>
      </c>
      <c r="I45" s="63">
        <f t="shared" si="20"/>
        <v>4122</v>
      </c>
      <c r="J45" s="45"/>
      <c r="K45" s="41">
        <v>0</v>
      </c>
      <c r="L45" s="45"/>
      <c r="M45" s="45"/>
      <c r="N45" s="46">
        <f t="shared" si="21"/>
        <v>0</v>
      </c>
      <c r="O45" s="47">
        <f t="shared" si="22"/>
        <v>0</v>
      </c>
      <c r="P45" s="48">
        <f>SUMIFS('Отчет 08-14.12'!H:H,'Отчет 08-14.12'!D:D,"Выручка",'Отчет 08-14.12'!E:E,B45)</f>
        <v>0</v>
      </c>
      <c r="Q45" s="48">
        <f>SUMIFS('Отчет 08-14.12'!H:H,'Отчет 08-14.12'!D:D,"Возврат выручки",'Отчет 08-14.12'!E:E,B45)</f>
        <v>0</v>
      </c>
      <c r="R45" s="49">
        <f t="shared" si="23"/>
        <v>0</v>
      </c>
      <c r="S45" s="50">
        <f>SUMIFS('Отчет 08-14.12'!P:P,'Отчет 08-14.12'!C:C,"Продажи",'Отчет 08-14.12'!E:E,B45)</f>
        <v>0</v>
      </c>
      <c r="T45" s="51">
        <f>SUMIFS('Отчет 08-14.12'!P:P,'Отчет 08-14.12'!C:C,"Возвраты",'Отчет 08-14.12'!E:E,B45)</f>
        <v>0</v>
      </c>
      <c r="U45" s="49">
        <f t="shared" si="24"/>
        <v>0</v>
      </c>
      <c r="V45" s="52">
        <f t="shared" si="25"/>
        <v>0</v>
      </c>
      <c r="W45" s="53">
        <f t="shared" si="26"/>
        <v>0</v>
      </c>
      <c r="X45" s="51">
        <f>-SUMIFS('Отчет 08-14.12'!P:P,'Отчет 08-14.12'!C:C,"Вознаграждение Ozon",'Отчет 08-14.12'!E:E,B45)</f>
        <v>0</v>
      </c>
      <c r="Y45" s="54">
        <f t="shared" si="27"/>
        <v>0</v>
      </c>
      <c r="Z45" s="51">
        <f>-SUMIFS('Отчет 08-14.12'!P:P,'Отчет 08-14.12'!C:C,"Услуги доставки",'Отчет 08-14.12'!E:E,B45)</f>
        <v>112</v>
      </c>
      <c r="AA45" s="41">
        <v>0</v>
      </c>
      <c r="AB45" s="64"/>
      <c r="AC45" s="51"/>
      <c r="AD45" s="55">
        <f t="shared" si="28"/>
        <v>0</v>
      </c>
      <c r="AE45" s="56">
        <f t="shared" si="29"/>
        <v>-112</v>
      </c>
      <c r="AF45" s="55"/>
      <c r="AG45" s="57">
        <f t="shared" si="30"/>
        <v>0</v>
      </c>
      <c r="AH45" s="58">
        <f t="shared" si="31"/>
        <v>687</v>
      </c>
      <c r="AI45" s="58">
        <f t="shared" si="32"/>
        <v>0</v>
      </c>
      <c r="AJ45" s="58">
        <f t="shared" si="33"/>
        <v>112</v>
      </c>
      <c r="AK45" s="58">
        <f t="shared" si="34"/>
        <v>0</v>
      </c>
      <c r="AL45" s="58">
        <f t="array" ref="AL45">_xlfn.IFS(R45=0,AE45,R45&lt;0,AE45/-R45,R45&gt;0,AE45/R45)</f>
        <v>-112</v>
      </c>
      <c r="AM45" s="59">
        <f t="shared" si="35"/>
        <v>0</v>
      </c>
      <c r="AN45" s="60">
        <f t="shared" si="36"/>
        <v>-0.16302765647743814</v>
      </c>
      <c r="AP45" s="62">
        <f t="shared" si="37"/>
        <v>-672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20"/>
        <v>3312</v>
      </c>
      <c r="J46" s="45"/>
      <c r="K46" s="41">
        <v>0</v>
      </c>
      <c r="L46" s="45"/>
      <c r="M46" s="45"/>
      <c r="N46" s="46">
        <f t="shared" si="21"/>
        <v>0</v>
      </c>
      <c r="O46" s="47">
        <f t="shared" si="22"/>
        <v>0</v>
      </c>
      <c r="P46" s="48">
        <f>SUMIFS('Отчет 08-14.12'!H:H,'Отчет 08-14.12'!D:D,"Выручка",'Отчет 08-14.12'!E:E,B46)</f>
        <v>0</v>
      </c>
      <c r="Q46" s="48">
        <f>SUMIFS('Отчет 08-14.12'!H:H,'Отчет 08-14.12'!D:D,"Возврат выручки",'Отчет 08-14.12'!E:E,B46)</f>
        <v>0</v>
      </c>
      <c r="R46" s="49">
        <f t="shared" si="23"/>
        <v>0</v>
      </c>
      <c r="S46" s="50">
        <f>SUMIFS('Отчет 08-14.12'!P:P,'Отчет 08-14.12'!C:C,"Продажи",'Отчет 08-14.12'!E:E,B46)</f>
        <v>0</v>
      </c>
      <c r="T46" s="51">
        <f>SUMIFS('Отчет 08-14.12'!P:P,'Отчет 08-14.12'!C:C,"Возвраты",'Отчет 08-14.12'!E:E,B46)</f>
        <v>0</v>
      </c>
      <c r="U46" s="49">
        <f t="shared" si="24"/>
        <v>0</v>
      </c>
      <c r="V46" s="52">
        <f t="shared" si="25"/>
        <v>0</v>
      </c>
      <c r="W46" s="53">
        <f t="shared" si="26"/>
        <v>0</v>
      </c>
      <c r="X46" s="51">
        <f>-SUMIFS('Отчет 08-14.12'!P:P,'Отчет 08-14.12'!C:C,"Вознаграждение Ozon",'Отчет 08-14.12'!E:E,B46)</f>
        <v>0</v>
      </c>
      <c r="Y46" s="54">
        <f t="shared" si="27"/>
        <v>0</v>
      </c>
      <c r="Z46" s="51">
        <f>-SUMIFS('Отчет 08-14.12'!P:P,'Отчет 08-14.12'!C:C,"Услуги доставки",'Отчет 08-14.12'!E:E,B46)</f>
        <v>0</v>
      </c>
      <c r="AA46" s="41">
        <v>0</v>
      </c>
      <c r="AB46" s="64"/>
      <c r="AC46" s="51"/>
      <c r="AD46" s="55">
        <f t="shared" si="28"/>
        <v>0</v>
      </c>
      <c r="AE46" s="56">
        <f t="shared" si="29"/>
        <v>0</v>
      </c>
      <c r="AF46" s="55"/>
      <c r="AG46" s="57">
        <f t="shared" si="30"/>
        <v>0</v>
      </c>
      <c r="AH46" s="58">
        <f t="shared" si="31"/>
        <v>552</v>
      </c>
      <c r="AI46" s="58">
        <f t="shared" si="32"/>
        <v>0</v>
      </c>
      <c r="AJ46" s="58">
        <f t="shared" si="33"/>
        <v>0</v>
      </c>
      <c r="AK46" s="58">
        <f t="shared" si="34"/>
        <v>0</v>
      </c>
      <c r="AL46" s="58">
        <f t="array" ref="AL46">_xlfn.IFS(R46=0,AE46,R46&lt;0,AE46/-R46,R46&gt;0,AE46/R46)</f>
        <v>0</v>
      </c>
      <c r="AM46" s="59">
        <f t="shared" si="35"/>
        <v>0</v>
      </c>
      <c r="AN46" s="60">
        <f t="shared" si="36"/>
        <v>0</v>
      </c>
      <c r="AP46" s="62">
        <f t="shared" si="37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21"/>
        <v>0</v>
      </c>
      <c r="O47" s="47">
        <f t="shared" si="22"/>
        <v>0</v>
      </c>
      <c r="P47" s="48">
        <f>SUMIFS('Отчет 08-14.12'!H:H,'Отчет 08-14.12'!D:D,"Выручка",'Отчет 08-14.12'!E:E,B47)</f>
        <v>0</v>
      </c>
      <c r="Q47" s="48">
        <f>SUMIFS('Отчет 08-14.12'!H:H,'Отчет 08-14.12'!D:D,"Возврат выручки",'Отчет 08-14.12'!E:E,B47)</f>
        <v>0</v>
      </c>
      <c r="R47" s="49">
        <f t="shared" si="23"/>
        <v>0</v>
      </c>
      <c r="S47" s="50">
        <f>SUMIFS('Отчет 08-14.12'!P:P,'Отчет 08-14.12'!C:C,"Продажи",'Отчет 08-14.12'!E:E,B47)</f>
        <v>0</v>
      </c>
      <c r="T47" s="51">
        <f>SUMIFS('Отчет 08-14.12'!P:P,'Отчет 08-14.12'!C:C,"Возвраты",'Отчет 08-14.12'!E:E,B47)</f>
        <v>0</v>
      </c>
      <c r="U47" s="49">
        <f t="shared" si="24"/>
        <v>0</v>
      </c>
      <c r="V47" s="52">
        <f t="shared" si="25"/>
        <v>0</v>
      </c>
      <c r="W47" s="53">
        <f t="shared" si="26"/>
        <v>0</v>
      </c>
      <c r="X47" s="51">
        <f>-SUMIFS('Отчет 08-14.12'!P:P,'Отчет 08-14.12'!C:C,"Вознаграждение Ozon",'Отчет 08-14.12'!E:E,B47)</f>
        <v>0</v>
      </c>
      <c r="Y47" s="54">
        <f t="shared" si="27"/>
        <v>0</v>
      </c>
      <c r="Z47" s="51">
        <f>-SUMIFS('Отчет 08-14.12'!P:P,'Отчет 08-14.12'!C:C,"Услуги доставки",'Отчет 08-14.12'!E:E,B47)</f>
        <v>0</v>
      </c>
      <c r="AA47" s="41">
        <v>0</v>
      </c>
      <c r="AB47" s="64"/>
      <c r="AC47" s="51"/>
      <c r="AD47" s="55">
        <f t="shared" si="28"/>
        <v>0</v>
      </c>
      <c r="AE47" s="56">
        <f t="shared" si="29"/>
        <v>0</v>
      </c>
      <c r="AF47" s="55"/>
      <c r="AG47" s="57">
        <f t="shared" si="30"/>
        <v>0</v>
      </c>
      <c r="AH47" s="58">
        <f t="shared" si="31"/>
        <v>552</v>
      </c>
      <c r="AI47" s="58">
        <f t="shared" si="32"/>
        <v>0</v>
      </c>
      <c r="AJ47" s="58">
        <f t="shared" si="33"/>
        <v>0</v>
      </c>
      <c r="AK47" s="58">
        <f t="shared" si="34"/>
        <v>0</v>
      </c>
      <c r="AL47" s="58">
        <f t="array" ref="AL47">_xlfn.IFS(R47=0,AE47,R47&lt;0,AE47/-R47,R47&gt;0,AE47/R47)</f>
        <v>0</v>
      </c>
      <c r="AM47" s="59">
        <f t="shared" si="35"/>
        <v>0</v>
      </c>
      <c r="AN47" s="60">
        <f t="shared" si="36"/>
        <v>0</v>
      </c>
      <c r="AP47" s="62">
        <f t="shared" si="37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38">AVERAGEIF(AG28:AG47,"&lt;&gt;0",AG28:AG47)</f>
        <v>2708</v>
      </c>
      <c r="AH48" s="259">
        <f t="shared" si="38"/>
        <v>617.25</v>
      </c>
      <c r="AI48" s="259">
        <f t="shared" si="38"/>
        <v>1164.44</v>
      </c>
      <c r="AJ48" s="259">
        <f t="shared" si="38"/>
        <v>147.71250000000001</v>
      </c>
      <c r="AK48" s="259" t="e">
        <f t="shared" si="38"/>
        <v>#DIV/0!</v>
      </c>
      <c r="AL48" s="259">
        <f t="shared" si="38"/>
        <v>-1.6420000000000072</v>
      </c>
      <c r="AM48" s="260">
        <f t="shared" si="38"/>
        <v>0.20766473982001243</v>
      </c>
      <c r="AN48" s="260">
        <f t="shared" si="38"/>
        <v>2.2019528313585723E-3</v>
      </c>
      <c r="AO48" s="240"/>
      <c r="AP48" s="241"/>
    </row>
    <row r="49" spans="1:42">
      <c r="A49" s="218" t="s">
        <v>306</v>
      </c>
      <c r="B49" s="219"/>
      <c r="C49" s="220">
        <f>SUM(C28:C47)</f>
        <v>303</v>
      </c>
      <c r="D49" s="221"/>
      <c r="E49" s="221"/>
      <c r="F49" s="221"/>
      <c r="G49" s="221"/>
      <c r="H49" s="222"/>
      <c r="I49" s="220">
        <f>SUM(I28:I47)</f>
        <v>184926</v>
      </c>
      <c r="J49" s="223"/>
      <c r="K49" s="220">
        <f>SUM(K28:K47)</f>
        <v>6</v>
      </c>
      <c r="L49" s="223"/>
      <c r="M49" s="223"/>
      <c r="N49" s="224"/>
      <c r="O49" s="225"/>
      <c r="P49" s="220">
        <f t="shared" ref="P49:X49" si="39">SUM(P28:P47)</f>
        <v>3</v>
      </c>
      <c r="Q49" s="220">
        <f t="shared" si="39"/>
        <v>0</v>
      </c>
      <c r="R49" s="250">
        <f t="shared" si="39"/>
        <v>3</v>
      </c>
      <c r="S49" s="220">
        <f t="shared" si="39"/>
        <v>8512</v>
      </c>
      <c r="T49" s="220">
        <f t="shared" si="39"/>
        <v>0</v>
      </c>
      <c r="U49" s="250">
        <f t="shared" si="39"/>
        <v>8512</v>
      </c>
      <c r="V49" s="253">
        <f t="shared" si="39"/>
        <v>1</v>
      </c>
      <c r="W49" s="220">
        <f t="shared" si="39"/>
        <v>1911</v>
      </c>
      <c r="X49" s="220">
        <f t="shared" si="39"/>
        <v>3660.1600000000003</v>
      </c>
      <c r="Y49" s="226">
        <f>IF(U49=0,0,X49/U49)</f>
        <v>0.43000000000000005</v>
      </c>
      <c r="Z49" s="220">
        <f>SUM(Z28:Z47)</f>
        <v>803.66</v>
      </c>
      <c r="AA49" s="220">
        <f>IFERROR(P49*AA51/P51,0)</f>
        <v>742.92681818181813</v>
      </c>
      <c r="AB49" s="220">
        <f>SUM(AB28:AB47)</f>
        <v>0</v>
      </c>
      <c r="AC49" s="220">
        <f>SUM(AC28:AC47)</f>
        <v>0</v>
      </c>
      <c r="AD49" s="250">
        <f>SUM(AD28:AD47)</f>
        <v>510.71999999999997</v>
      </c>
      <c r="AE49" s="220">
        <f>SUM(AE28:AE47)</f>
        <v>700.93999999999983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-490.86000000000058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925.52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4999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796961.82999999984</v>
      </c>
      <c r="J51" s="229">
        <f>J26+J49</f>
        <v>0</v>
      </c>
      <c r="K51" s="229">
        <f>K26+K49</f>
        <v>64</v>
      </c>
      <c r="L51" s="230"/>
      <c r="M51" s="230"/>
      <c r="N51" s="230"/>
      <c r="O51" s="230"/>
      <c r="P51" s="269">
        <f t="shared" ref="P51:X51" si="40">P26+P49</f>
        <v>44</v>
      </c>
      <c r="Q51" s="229">
        <f t="shared" si="40"/>
        <v>3</v>
      </c>
      <c r="R51" s="252">
        <f>R26-R49</f>
        <v>35</v>
      </c>
      <c r="S51" s="229">
        <f t="shared" si="40"/>
        <v>68340</v>
      </c>
      <c r="T51" s="229">
        <f t="shared" si="40"/>
        <v>-4044</v>
      </c>
      <c r="U51" s="252">
        <f t="shared" si="40"/>
        <v>64296</v>
      </c>
      <c r="V51" s="255">
        <f t="shared" si="40"/>
        <v>7.5535714285714306</v>
      </c>
      <c r="W51" s="229">
        <f t="shared" si="40"/>
        <v>7067.8500000000013</v>
      </c>
      <c r="X51" s="229">
        <f t="shared" si="40"/>
        <v>27647.279999999995</v>
      </c>
      <c r="Y51" s="232">
        <f>X51/U51</f>
        <v>0.42999999999999994</v>
      </c>
      <c r="Z51" s="229">
        <f>Z26+Z49</f>
        <v>7302.0600000000013</v>
      </c>
      <c r="AA51" s="75">
        <v>10896.26</v>
      </c>
      <c r="AB51" s="74"/>
      <c r="AC51" s="74">
        <f>SUM(AC3:AC47)</f>
        <v>0</v>
      </c>
      <c r="AD51" s="229">
        <f>AD26+AD49</f>
        <v>3857.7599999999998</v>
      </c>
      <c r="AE51" s="233">
        <f>AE26+AE49</f>
        <v>3146.4556510000048</v>
      </c>
      <c r="AF51" s="76"/>
      <c r="AG51" s="234"/>
      <c r="AH51" s="235"/>
      <c r="AI51" s="235"/>
      <c r="AJ51" s="235"/>
      <c r="AK51" s="235">
        <f>AA52/P51</f>
        <v>247.64227272727277</v>
      </c>
      <c r="AL51" s="235"/>
      <c r="AM51" s="235"/>
      <c r="AN51" s="236"/>
      <c r="AP51" s="233">
        <f>SUM(AP3:AP47)</f>
        <v>504594.99083000043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10896.260000000002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15274.594348999999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796961.82999999984</v>
      </c>
      <c r="J59" s="109">
        <f>I59/I51</f>
        <v>1</v>
      </c>
      <c r="K59" s="105">
        <f>AP51-K58-K60</f>
        <v>504594.99083000043</v>
      </c>
      <c r="L59" s="106">
        <f>K59/I59</f>
        <v>0.63314825357445359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227" priority="28" operator="greaterThan">
      <formula>120</formula>
    </cfRule>
  </conditionalFormatting>
  <conditionalFormatting sqref="N50">
    <cfRule type="cellIs" dxfId="226" priority="27" operator="between">
      <formula>0.000001</formula>
      <formula>25</formula>
    </cfRule>
  </conditionalFormatting>
  <conditionalFormatting sqref="V1 V52:V55 V57:V1048576">
    <cfRule type="cellIs" dxfId="22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{DF4BF467-E76B-45E1-B859-5EE484D94D58}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{2F08A8D2-3197-4254-93DC-EB0F8CD38412}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{FEE67990-F39B-48E2-9794-813B7367CEEF}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{67EE18F3-2D99-4AA0-951F-DE3D6306CB7B}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{DE60915D-4AB3-41FF-AADA-2B1F3288AA60}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{93693654-FFA0-4BE7-9DD6-FA0FC66BED99}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{1597BD78-A7AE-4A56-B249-53C76DE4CDBD}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{D8A327F5-36C6-45B3-9FEF-32958E97926B}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{459D7552-BDA0-4E1B-9ECF-6C1BB40A8E97}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{8CBEAC92-7E2B-4996-ABB1-D1972EE40DB8}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{FB705D97-DFF8-438B-B229-EE0F525408DF}</x14:id>
        </ext>
      </extLst>
    </cfRule>
  </conditionalFormatting>
  <conditionalFormatting sqref="P50">
    <cfRule type="cellIs" dxfId="224" priority="23" operator="greaterThan">
      <formula>120</formula>
    </cfRule>
  </conditionalFormatting>
  <conditionalFormatting sqref="Q50">
    <cfRule type="cellIs" dxfId="223" priority="22" operator="greaterThan">
      <formula>120</formula>
    </cfRule>
  </conditionalFormatting>
  <conditionalFormatting sqref="R50">
    <cfRule type="cellIs" dxfId="222" priority="21" operator="greaterThan">
      <formula>120</formula>
    </cfRule>
  </conditionalFormatting>
  <conditionalFormatting sqref="S50">
    <cfRule type="cellIs" dxfId="221" priority="20" operator="greaterThan">
      <formula>120</formula>
    </cfRule>
  </conditionalFormatting>
  <conditionalFormatting sqref="T50">
    <cfRule type="cellIs" dxfId="220" priority="19" operator="greaterThan">
      <formula>120</formula>
    </cfRule>
  </conditionalFormatting>
  <conditionalFormatting sqref="U50">
    <cfRule type="cellIs" dxfId="219" priority="18" operator="greaterThan">
      <formula>120</formula>
    </cfRule>
  </conditionalFormatting>
  <conditionalFormatting sqref="V50">
    <cfRule type="cellIs" dxfId="218" priority="17" operator="greaterThan">
      <formula>120</formula>
    </cfRule>
  </conditionalFormatting>
  <conditionalFormatting sqref="W50">
    <cfRule type="cellIs" dxfId="217" priority="16" operator="greaterThan">
      <formula>120</formula>
    </cfRule>
  </conditionalFormatting>
  <conditionalFormatting sqref="X50">
    <cfRule type="cellIs" dxfId="216" priority="15" operator="greaterThan">
      <formula>120</formula>
    </cfRule>
  </conditionalFormatting>
  <conditionalFormatting sqref="Z50">
    <cfRule type="cellIs" dxfId="21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{454E6D10-7A8B-4842-AF3B-30A359769ED4}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{817ABB16-E188-4E76-8F36-D848912C07BE}</x14:id>
        </ext>
      </extLst>
    </cfRule>
  </conditionalFormatting>
  <conditionalFormatting sqref="J8:J9">
    <cfRule type="cellIs" dxfId="21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{1A05CE55-F033-449A-A76E-D730F52372E3}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{784347BF-3CAC-4D90-9B48-7A5A814D851E}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{E5857FD7-0863-4F8D-9BA5-FCABAD2EFE4D}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{908855EE-87DE-4ADA-B317-B569A4666EDE}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{27A2A161-F4D0-422C-B824-AD1153BC4137}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{A5F9BC09-9AD8-4A89-A495-0782ED9CC2CF}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{4A9DD0DB-2CD6-4458-91D3-D90C971C24A0}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{AA162913-D23C-45C0-95E8-F7AE7DDE29B5}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{587E01CC-F9ED-42D5-B423-B78EE91D4695}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{3809686C-AF4A-43F7-A959-EE35F5048BEB}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4BF467-E76B-45E1-B859-5EE484D94D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F08A8D2-3197-4254-93DC-EB0F8CD384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EE67990-F39B-48E2-9794-813B7367CE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67EE18F3-2D99-4AA0-951F-DE3D6306C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E60915D-4AB3-41FF-AADA-2B1F3288AA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3693654-FFA0-4BE7-9DD6-FA0FC66BE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597BD78-A7AE-4A56-B249-53C76DE4CD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8A327F5-36C6-45B3-9FEF-32958E9792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459D7552-BDA0-4E1B-9ECF-6C1BB40A8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CBEAC92-7E2B-4996-ABB1-D1972EE40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B705D97-DFF8-438B-B229-EE0F525408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54E6D10-7A8B-4842-AF3B-30A359769E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7ABB16-E188-4E76-8F36-D848912C07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A05CE55-F033-449A-A76E-D730F5237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84347BF-3CAC-4D90-9B48-7A5A814D85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5857FD7-0863-4F8D-9BA5-FCABAD2EFE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08855EE-87DE-4ADA-B317-B569A4666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27A2A161-F4D0-422C-B824-AD1153BC4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5F9BC09-9AD8-4A89-A495-0782ED9CC2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A9DD0DB-2CD6-4458-91D3-D90C971C24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AA162913-D23C-45C0-95E8-F7AE7DDE2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87E01CC-F9ED-42D5-B423-B78EE91D46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809686C-AF4A-43F7-A959-EE35F5048B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D3DA-F8E7-42A4-BA62-FCDEDD70F9CD}">
  <dimension ref="A1:AZ64"/>
  <sheetViews>
    <sheetView zoomScale="70" zoomScaleNormal="70" workbookViewId="0">
      <pane xSplit="2" ySplit="2" topLeftCell="C45" activePane="bottomRight" state="frozen"/>
      <selection pane="topRight" activeCell="C1" sqref="C1"/>
      <selection pane="bottomLeft" activeCell="A3" sqref="A3"/>
      <selection pane="bottomRight" activeCell="W28" sqref="W28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1332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1432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270</v>
      </c>
      <c r="D3" s="42"/>
      <c r="E3" s="42"/>
      <c r="F3" s="42"/>
      <c r="G3" s="43"/>
      <c r="H3" s="44">
        <v>142.97999999999999</v>
      </c>
      <c r="I3" s="42">
        <f t="shared" ref="I3:I24" si="0">C3*H3</f>
        <v>38604.6</v>
      </c>
      <c r="J3" s="45"/>
      <c r="K3" s="41">
        <v>38</v>
      </c>
      <c r="L3" s="45"/>
      <c r="M3" s="45"/>
      <c r="N3" s="46">
        <f t="shared" ref="N3:N24" si="1">K3/7</f>
        <v>5.4285714285714288</v>
      </c>
      <c r="O3" s="47">
        <f t="shared" ref="O3:O24" si="2">R3/7</f>
        <v>3.2857142857142856</v>
      </c>
      <c r="P3" s="48">
        <f>SUMIFS('Отчет 01-07.12'!H:H,'Отчет 01-07.12'!D:D,"Выручка",'Отчет 01-07.12'!E:E,B3)</f>
        <v>23</v>
      </c>
      <c r="Q3" s="48">
        <f>SUMIFS('Отчет 01-07.12'!H:H,'Отчет 01-07.12'!D:D,"Возврат выручки",'Отчет 01-07.12'!E:E,B3)</f>
        <v>0</v>
      </c>
      <c r="R3" s="49">
        <f t="shared" ref="R3:R24" si="3">P3-Q3</f>
        <v>23</v>
      </c>
      <c r="S3" s="50">
        <f>SUMIFS('Отчет 01-07.12'!P:P,'Отчет 01-07.12'!C:C,"Продажи",'Отчет 01-07.12'!E:E,B3)</f>
        <v>33613</v>
      </c>
      <c r="T3" s="51">
        <f>SUMIFS('Отчет 01-07.12'!P:P,'Отчет 01-07.12'!C:C,"Возвраты",'Отчет 01-07.12'!E:E,B3)</f>
        <v>0</v>
      </c>
      <c r="U3" s="49">
        <f t="shared" ref="U3:U24" si="4">S3+T3</f>
        <v>33613</v>
      </c>
      <c r="V3" s="52">
        <f t="shared" ref="V3:V24" si="5">U3/$U$49</f>
        <v>-6.1114545454545457</v>
      </c>
      <c r="W3" s="53">
        <f t="shared" ref="W3:W24" si="6">R3*H3</f>
        <v>3288.54</v>
      </c>
      <c r="X3" s="51">
        <f>-SUMIFS('Отчет 01-07.12'!P:P,'Отчет 01-07.12'!C:C,"Вознаграждение Ozon",'Отчет 01-07.12'!E:E,B3)</f>
        <v>14453.59</v>
      </c>
      <c r="Y3" s="54">
        <f t="shared" ref="Y3:Y24" si="7">IF(U3=0,0,X3/U3)</f>
        <v>0.43</v>
      </c>
      <c r="Z3" s="51">
        <f>-SUMIFS('Отчет 01-07.12'!P:P,'Отчет 01-07.12'!C:C,"Услуги доставки",'Отчет 01-07.12'!E:E,B3)</f>
        <v>3111.0200000000004</v>
      </c>
      <c r="AA3" s="41">
        <v>8589.0441289999999</v>
      </c>
      <c r="AB3" s="51"/>
      <c r="AC3" s="51"/>
      <c r="AD3" s="55">
        <f t="shared" ref="AD3:AD24" si="8">U3*6%</f>
        <v>2016.78</v>
      </c>
      <c r="AE3" s="56">
        <f t="shared" ref="AE3:AE24" si="9">U3-W3-X3-Z3-AA3-AB3-AC3-AD3</f>
        <v>2154.0258709999989</v>
      </c>
      <c r="AF3" s="55"/>
      <c r="AG3" s="57">
        <f t="shared" ref="AG3:AG24" si="10">IF(R3=0,0,U3/R3)</f>
        <v>1461.4347826086957</v>
      </c>
      <c r="AH3" s="58">
        <f t="shared" ref="AH3:AH24" si="11">H3</f>
        <v>142.97999999999999</v>
      </c>
      <c r="AI3" s="58">
        <f t="shared" ref="AI3:AI24" si="12">IF(R3=0,0,X3/R3)</f>
        <v>628.41695652173917</v>
      </c>
      <c r="AJ3" s="58">
        <f t="shared" ref="AJ3:AJ24" si="13">IF(P3=0,Z3/1,Z3/P3)</f>
        <v>135.26173913043479</v>
      </c>
      <c r="AK3" s="58">
        <f t="shared" ref="AK3:AK24" si="14">IF(P3=0,0,AA3/P3)</f>
        <v>373.43670126086954</v>
      </c>
      <c r="AL3" s="58">
        <f>_xlfn.IFS(R3=0,AE3,R3&lt;0,AE3/-R3,R3&gt;0,AE3/R3)</f>
        <v>93.653298739130392</v>
      </c>
      <c r="AM3" s="59">
        <f t="shared" ref="AM3:AM24" si="15">IF(AG3=0,0,AL3/AG3)</f>
        <v>6.4083118763573588E-2</v>
      </c>
      <c r="AN3" s="60">
        <f t="shared" ref="AN3:AN24" si="16">IF(AH3=0,0,AL3/AH3)</f>
        <v>0.65500978276073851</v>
      </c>
      <c r="AP3" s="62">
        <f t="shared" ref="AP3:AP24" si="17">AL3*C3</f>
        <v>25286.390659565204</v>
      </c>
    </row>
    <row r="4" spans="1:42">
      <c r="A4" s="39">
        <v>2638638550</v>
      </c>
      <c r="B4" s="40" t="s">
        <v>92</v>
      </c>
      <c r="C4" s="41">
        <v>387</v>
      </c>
      <c r="D4" s="42"/>
      <c r="E4" s="42"/>
      <c r="F4" s="42"/>
      <c r="G4" s="43"/>
      <c r="H4" s="44">
        <v>123.09</v>
      </c>
      <c r="I4" s="42">
        <f t="shared" si="0"/>
        <v>47635.83</v>
      </c>
      <c r="J4" s="45"/>
      <c r="K4" s="41">
        <v>2</v>
      </c>
      <c r="L4" s="45"/>
      <c r="M4" s="45"/>
      <c r="N4" s="46">
        <f t="shared" si="1"/>
        <v>0.2857142857142857</v>
      </c>
      <c r="O4" s="47">
        <f t="shared" si="2"/>
        <v>0.14285714285714285</v>
      </c>
      <c r="P4" s="48">
        <f>SUMIFS('Отчет 01-07.12'!H:H,'Отчет 01-07.12'!D:D,"Выручка",'Отчет 01-07.12'!E:E,B4)</f>
        <v>1</v>
      </c>
      <c r="Q4" s="48">
        <f>SUMIFS('Отчет 01-07.12'!H:H,'Отчет 01-07.12'!D:D,"Возврат выручки",'Отчет 01-07.12'!E:E,B4)</f>
        <v>0</v>
      </c>
      <c r="R4" s="49">
        <f t="shared" si="3"/>
        <v>1</v>
      </c>
      <c r="S4" s="50">
        <f>SUMIFS('Отчет 01-07.12'!P:P,'Отчет 01-07.12'!C:C,"Продажи",'Отчет 01-07.12'!E:E,B4)</f>
        <v>1172</v>
      </c>
      <c r="T4" s="51">
        <f>SUMIFS('Отчет 01-07.12'!P:P,'Отчет 01-07.12'!C:C,"Возвраты",'Отчет 01-07.12'!E:E,B4)</f>
        <v>0</v>
      </c>
      <c r="U4" s="49">
        <f t="shared" si="4"/>
        <v>1172</v>
      </c>
      <c r="V4" s="52">
        <f t="shared" si="5"/>
        <v>-0.21309090909090908</v>
      </c>
      <c r="W4" s="53">
        <f t="shared" si="6"/>
        <v>123.09</v>
      </c>
      <c r="X4" s="51">
        <f>-SUMIFS('Отчет 01-07.12'!P:P,'Отчет 01-07.12'!C:C,"Вознаграждение Ozon",'Отчет 01-07.12'!E:E,B4)</f>
        <v>503.96</v>
      </c>
      <c r="Y4" s="54">
        <f t="shared" si="7"/>
        <v>0.43</v>
      </c>
      <c r="Z4" s="51">
        <f>-SUMIFS('Отчет 01-07.12'!P:P,'Отчет 01-07.12'!C:C,"Услуги доставки",'Отчет 01-07.12'!E:E,B4)</f>
        <v>289.62</v>
      </c>
      <c r="AA4" s="41">
        <v>0</v>
      </c>
      <c r="AB4" s="51"/>
      <c r="AC4" s="51"/>
      <c r="AD4" s="55">
        <f t="shared" si="8"/>
        <v>70.319999999999993</v>
      </c>
      <c r="AE4" s="56">
        <f t="shared" si="9"/>
        <v>185.01000000000005</v>
      </c>
      <c r="AF4" s="55"/>
      <c r="AG4" s="57">
        <f t="shared" si="10"/>
        <v>1172</v>
      </c>
      <c r="AH4" s="58">
        <f t="shared" si="11"/>
        <v>123.09</v>
      </c>
      <c r="AI4" s="58">
        <f t="shared" si="12"/>
        <v>503.96</v>
      </c>
      <c r="AJ4" s="58">
        <f t="shared" si="13"/>
        <v>289.62</v>
      </c>
      <c r="AK4" s="58">
        <f t="shared" si="14"/>
        <v>0</v>
      </c>
      <c r="AL4" s="58">
        <f t="array" ref="AL4">_xlfn.IFS(R4=0,AE4,R4&lt;0,AE4/-R4,R4&gt;0,AE4/R4)</f>
        <v>185.01000000000005</v>
      </c>
      <c r="AM4" s="59">
        <f t="shared" si="15"/>
        <v>0.15785836177474408</v>
      </c>
      <c r="AN4" s="60">
        <f t="shared" si="16"/>
        <v>1.5030465513039244</v>
      </c>
      <c r="AP4" s="62">
        <f t="shared" si="17"/>
        <v>71598.870000000024</v>
      </c>
    </row>
    <row r="5" spans="1:42">
      <c r="A5" s="39">
        <v>2638691131</v>
      </c>
      <c r="B5" s="40" t="s">
        <v>222</v>
      </c>
      <c r="C5" s="41"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1">
        <v>0</v>
      </c>
      <c r="L5" s="45"/>
      <c r="M5" s="45"/>
      <c r="N5" s="46">
        <f t="shared" si="1"/>
        <v>0</v>
      </c>
      <c r="O5" s="47">
        <f t="shared" si="2"/>
        <v>0</v>
      </c>
      <c r="P5" s="48">
        <f>SUMIFS('Отчет 01-07.12'!H:H,'Отчет 01-07.12'!D:D,"Выручка",'Отчет 01-07.12'!E:E,B5)</f>
        <v>0</v>
      </c>
      <c r="Q5" s="48">
        <f>SUMIFS('Отчет 01-07.12'!H:H,'Отчет 01-07.12'!D:D,"Возврат выручки",'Отчет 01-07.12'!E:E,B5)</f>
        <v>0</v>
      </c>
      <c r="R5" s="49">
        <f t="shared" si="3"/>
        <v>0</v>
      </c>
      <c r="S5" s="50">
        <f>SUMIFS('Отчет 01-07.12'!P:P,'Отчет 01-07.12'!C:C,"Продажи",'Отчет 01-07.12'!E:E,B5)</f>
        <v>0</v>
      </c>
      <c r="T5" s="51">
        <f>SUMIFS('Отчет 01-07.12'!P:P,'Отчет 01-07.12'!C:C,"Возвраты",'Отчет 01-07.12'!E:E,B5)</f>
        <v>0</v>
      </c>
      <c r="U5" s="49">
        <f t="shared" si="4"/>
        <v>0</v>
      </c>
      <c r="V5" s="52">
        <f t="shared" si="5"/>
        <v>0</v>
      </c>
      <c r="W5" s="53">
        <f t="shared" si="6"/>
        <v>0</v>
      </c>
      <c r="X5" s="51">
        <f>-SUMIFS('Отчет 01-07.12'!P:P,'Отчет 01-07.12'!C:C,"Вознаграждение Ozon",'Отчет 01-07.12'!E:E,B5)</f>
        <v>0</v>
      </c>
      <c r="Y5" s="54">
        <f t="shared" si="7"/>
        <v>0</v>
      </c>
      <c r="Z5" s="51">
        <f>-SUMIFS('Отчет 01-07.12'!P:P,'Отчет 01-07.12'!C:C,"Услуги доставки",'Отчет 01-07.12'!E:E,B5)</f>
        <v>0</v>
      </c>
      <c r="AA5" s="41">
        <v>0</v>
      </c>
      <c r="AB5" s="64"/>
      <c r="AC5" s="51"/>
      <c r="AD5" s="55">
        <f t="shared" si="8"/>
        <v>0</v>
      </c>
      <c r="AE5" s="56">
        <f t="shared" si="9"/>
        <v>0</v>
      </c>
      <c r="AF5" s="55"/>
      <c r="AG5" s="57">
        <f t="shared" si="10"/>
        <v>0</v>
      </c>
      <c r="AH5" s="58">
        <f t="shared" si="11"/>
        <v>123.09</v>
      </c>
      <c r="AI5" s="58">
        <f t="shared" si="12"/>
        <v>0</v>
      </c>
      <c r="AJ5" s="58">
        <f t="shared" si="13"/>
        <v>0</v>
      </c>
      <c r="AK5" s="58">
        <f t="shared" si="14"/>
        <v>0</v>
      </c>
      <c r="AL5" s="58">
        <f t="array" ref="AL5">_xlfn.IFS(R5=0,AE5,R5&lt;0,AE5/-R5,R5&gt;0,AE5/R5)</f>
        <v>0</v>
      </c>
      <c r="AM5" s="59">
        <f t="shared" si="15"/>
        <v>0</v>
      </c>
      <c r="AN5" s="60">
        <f t="shared" si="16"/>
        <v>0</v>
      </c>
      <c r="AP5" s="62">
        <f t="shared" si="17"/>
        <v>0</v>
      </c>
    </row>
    <row r="6" spans="1:42">
      <c r="A6" s="39">
        <v>2638382749</v>
      </c>
      <c r="B6" s="40" t="s">
        <v>223</v>
      </c>
      <c r="C6" s="41">
        <v>866</v>
      </c>
      <c r="D6" s="42"/>
      <c r="E6" s="42"/>
      <c r="F6" s="42"/>
      <c r="G6" s="43"/>
      <c r="H6" s="44">
        <v>123.09</v>
      </c>
      <c r="I6" s="63">
        <f t="shared" si="0"/>
        <v>106595.94</v>
      </c>
      <c r="J6" s="45"/>
      <c r="K6" s="41">
        <v>30</v>
      </c>
      <c r="L6" s="45"/>
      <c r="M6" s="45"/>
      <c r="N6" s="46">
        <f t="shared" si="1"/>
        <v>4.2857142857142856</v>
      </c>
      <c r="O6" s="47">
        <f t="shared" si="2"/>
        <v>3.1428571428571428</v>
      </c>
      <c r="P6" s="48">
        <f>SUMIFS('Отчет 01-07.12'!H:H,'Отчет 01-07.12'!D:D,"Выручка",'Отчет 01-07.12'!E:E,B6)</f>
        <v>22</v>
      </c>
      <c r="Q6" s="48">
        <f>SUMIFS('Отчет 01-07.12'!H:H,'Отчет 01-07.12'!D:D,"Возврат выручки",'Отчет 01-07.12'!E:E,B6)</f>
        <v>0</v>
      </c>
      <c r="R6" s="49">
        <f t="shared" si="3"/>
        <v>22</v>
      </c>
      <c r="S6" s="50">
        <f>SUMIFS('Отчет 01-07.12'!P:P,'Отчет 01-07.12'!C:C,"Продажи",'Отчет 01-07.12'!E:E,B6)</f>
        <v>30923.999999999996</v>
      </c>
      <c r="T6" s="51">
        <f>SUMIFS('Отчет 01-07.12'!P:P,'Отчет 01-07.12'!C:C,"Возвраты",'Отчет 01-07.12'!E:E,B6)</f>
        <v>0</v>
      </c>
      <c r="U6" s="49">
        <f t="shared" si="4"/>
        <v>30923.999999999996</v>
      </c>
      <c r="V6" s="52">
        <f t="shared" si="5"/>
        <v>-5.6225454545454543</v>
      </c>
      <c r="W6" s="53">
        <f t="shared" si="6"/>
        <v>2707.98</v>
      </c>
      <c r="X6" s="51">
        <f>-SUMIFS('Отчет 01-07.12'!P:P,'Отчет 01-07.12'!C:C,"Вознаграждение Ozon",'Отчет 01-07.12'!E:E,B6)</f>
        <v>13297.319999999996</v>
      </c>
      <c r="Y6" s="54">
        <f t="shared" si="7"/>
        <v>0.42999999999999994</v>
      </c>
      <c r="Z6" s="51">
        <f>-SUMIFS('Отчет 01-07.12'!P:P,'Отчет 01-07.12'!C:C,"Услуги доставки",'Отчет 01-07.12'!E:E,B6)</f>
        <v>3465.7999999999993</v>
      </c>
      <c r="AA6" s="41">
        <v>7315.8716379999996</v>
      </c>
      <c r="AB6" s="64"/>
      <c r="AC6" s="51"/>
      <c r="AD6" s="55">
        <f t="shared" si="8"/>
        <v>1855.4399999999996</v>
      </c>
      <c r="AE6" s="56">
        <f t="shared" si="9"/>
        <v>2281.5883620000022</v>
      </c>
      <c r="AF6" s="55"/>
      <c r="AG6" s="57">
        <f t="shared" si="10"/>
        <v>1405.6363636363635</v>
      </c>
      <c r="AH6" s="58">
        <f t="shared" si="11"/>
        <v>123.09</v>
      </c>
      <c r="AI6" s="58">
        <f t="shared" si="12"/>
        <v>604.42363636363621</v>
      </c>
      <c r="AJ6" s="58">
        <f t="shared" si="13"/>
        <v>157.5363636363636</v>
      </c>
      <c r="AK6" s="58">
        <f t="shared" si="14"/>
        <v>332.5396199090909</v>
      </c>
      <c r="AL6" s="58">
        <f t="array" ref="AL6">_xlfn.IFS(R6=0,AE6,R6&lt;0,AE6/-R6,R6&gt;0,AE6/R6)</f>
        <v>103.70856190909102</v>
      </c>
      <c r="AM6" s="59">
        <f t="shared" si="15"/>
        <v>7.3780505820721848E-2</v>
      </c>
      <c r="AN6" s="60">
        <f t="shared" si="16"/>
        <v>0.84254254536591933</v>
      </c>
      <c r="AP6" s="62">
        <f t="shared" si="17"/>
        <v>89811.614613272817</v>
      </c>
    </row>
    <row r="7" spans="1:42">
      <c r="A7" s="39">
        <v>2638569317</v>
      </c>
      <c r="B7" s="40" t="s">
        <v>54</v>
      </c>
      <c r="C7" s="41">
        <v>850</v>
      </c>
      <c r="D7" s="42"/>
      <c r="E7" s="42"/>
      <c r="F7" s="42"/>
      <c r="G7" s="43"/>
      <c r="H7" s="44">
        <v>117.24</v>
      </c>
      <c r="I7" s="63">
        <f t="shared" si="0"/>
        <v>99654</v>
      </c>
      <c r="J7" s="45"/>
      <c r="K7" s="41">
        <v>0</v>
      </c>
      <c r="L7" s="45"/>
      <c r="M7" s="45"/>
      <c r="N7" s="46">
        <f t="shared" si="1"/>
        <v>0</v>
      </c>
      <c r="O7" s="47">
        <f t="shared" si="2"/>
        <v>0.5714285714285714</v>
      </c>
      <c r="P7" s="48">
        <f>SUMIFS('Отчет 01-07.12'!H:H,'Отчет 01-07.12'!D:D,"Выручка",'Отчет 01-07.12'!E:E,B7)</f>
        <v>4</v>
      </c>
      <c r="Q7" s="48">
        <f>SUMIFS('Отчет 01-07.12'!H:H,'Отчет 01-07.12'!D:D,"Возврат выручки",'Отчет 01-07.12'!E:E,B7)</f>
        <v>0</v>
      </c>
      <c r="R7" s="49">
        <f t="shared" si="3"/>
        <v>4</v>
      </c>
      <c r="S7" s="50">
        <f>SUMIFS('Отчет 01-07.12'!P:P,'Отчет 01-07.12'!C:C,"Продажи",'Отчет 01-07.12'!E:E,B7)</f>
        <v>6272</v>
      </c>
      <c r="T7" s="51">
        <f>SUMIFS('Отчет 01-07.12'!P:P,'Отчет 01-07.12'!C:C,"Возвраты",'Отчет 01-07.12'!E:E,B7)</f>
        <v>0</v>
      </c>
      <c r="U7" s="49">
        <f t="shared" si="4"/>
        <v>6272</v>
      </c>
      <c r="V7" s="52">
        <f t="shared" si="5"/>
        <v>-1.1403636363636365</v>
      </c>
      <c r="W7" s="53">
        <f t="shared" si="6"/>
        <v>468.96</v>
      </c>
      <c r="X7" s="51">
        <f>-SUMIFS('Отчет 01-07.12'!P:P,'Отчет 01-07.12'!C:C,"Вознаграждение Ozon",'Отчет 01-07.12'!E:E,B7)</f>
        <v>2696.96</v>
      </c>
      <c r="Y7" s="54">
        <f t="shared" si="7"/>
        <v>0.43</v>
      </c>
      <c r="Z7" s="51">
        <f>-SUMIFS('Отчет 01-07.12'!P:P,'Отчет 01-07.12'!C:C,"Услуги доставки",'Отчет 01-07.12'!E:E,B7)</f>
        <v>532.30999999999995</v>
      </c>
      <c r="AA7" s="41">
        <v>0</v>
      </c>
      <c r="AB7" s="64"/>
      <c r="AC7" s="51"/>
      <c r="AD7" s="55">
        <f t="shared" si="8"/>
        <v>376.32</v>
      </c>
      <c r="AE7" s="56">
        <f t="shared" si="9"/>
        <v>2197.4499999999998</v>
      </c>
      <c r="AF7" s="55"/>
      <c r="AG7" s="57">
        <f t="shared" si="10"/>
        <v>1568</v>
      </c>
      <c r="AH7" s="58">
        <f t="shared" si="11"/>
        <v>117.24</v>
      </c>
      <c r="AI7" s="58">
        <f t="shared" si="12"/>
        <v>674.24</v>
      </c>
      <c r="AJ7" s="58">
        <f t="shared" si="13"/>
        <v>133.07749999999999</v>
      </c>
      <c r="AK7" s="58">
        <f t="shared" si="14"/>
        <v>0</v>
      </c>
      <c r="AL7" s="58">
        <f t="array" ref="AL7">_xlfn.IFS(R7=0,AE7,R7&lt;0,AE7/-R7,R7&gt;0,AE7/R7)</f>
        <v>549.36249999999995</v>
      </c>
      <c r="AM7" s="59">
        <f t="shared" si="15"/>
        <v>0.35035873724489791</v>
      </c>
      <c r="AN7" s="60">
        <f t="shared" si="16"/>
        <v>4.6857940975776184</v>
      </c>
      <c r="AP7" s="62">
        <f t="shared" si="17"/>
        <v>466958.12499999994</v>
      </c>
    </row>
    <row r="8" spans="1:42">
      <c r="A8" s="39">
        <v>3064334128</v>
      </c>
      <c r="B8" s="40" t="s">
        <v>1054</v>
      </c>
      <c r="C8" s="41">
        <v>446</v>
      </c>
      <c r="D8" s="42"/>
      <c r="E8" s="42"/>
      <c r="F8" s="42"/>
      <c r="G8" s="43"/>
      <c r="H8" s="44">
        <v>123</v>
      </c>
      <c r="I8" s="63">
        <f t="shared" si="0"/>
        <v>54858</v>
      </c>
      <c r="J8" s="45"/>
      <c r="K8" s="41">
        <v>2</v>
      </c>
      <c r="L8" s="45"/>
      <c r="M8" s="45"/>
      <c r="N8" s="46">
        <f t="shared" si="1"/>
        <v>0.2857142857142857</v>
      </c>
      <c r="O8" s="47">
        <f t="shared" si="2"/>
        <v>0.14285714285714285</v>
      </c>
      <c r="P8" s="48">
        <f>SUMIFS('Отчет 01-07.12'!H:H,'Отчет 01-07.12'!D:D,"Выручка",'Отчет 01-07.12'!E:E,B8)</f>
        <v>1</v>
      </c>
      <c r="Q8" s="48">
        <f>SUMIFS('Отчет 01-07.12'!H:H,'Отчет 01-07.12'!D:D,"Возврат выручки",'Отчет 01-07.12'!E:E,B8)</f>
        <v>0</v>
      </c>
      <c r="R8" s="49">
        <f t="shared" si="3"/>
        <v>1</v>
      </c>
      <c r="S8" s="50">
        <f>SUMIFS('Отчет 01-07.12'!P:P,'Отчет 01-07.12'!C:C,"Продажи",'Отчет 01-07.12'!E:E,B8)</f>
        <v>1800</v>
      </c>
      <c r="T8" s="51">
        <f>SUMIFS('Отчет 01-07.12'!P:P,'Отчет 01-07.12'!C:C,"Возвраты",'Отчет 01-07.12'!E:E,B8)</f>
        <v>0</v>
      </c>
      <c r="U8" s="49">
        <f t="shared" si="4"/>
        <v>1800</v>
      </c>
      <c r="V8" s="52">
        <f t="shared" si="5"/>
        <v>-0.32727272727272727</v>
      </c>
      <c r="W8" s="53">
        <f t="shared" si="6"/>
        <v>123</v>
      </c>
      <c r="X8" s="51">
        <f>-SUMIFS('Отчет 01-07.12'!P:P,'Отчет 01-07.12'!C:C,"Вознаграждение Ozon",'Отчет 01-07.12'!E:E,B8)</f>
        <v>774</v>
      </c>
      <c r="Y8" s="54">
        <f t="shared" si="7"/>
        <v>0.43</v>
      </c>
      <c r="Z8" s="51">
        <f>-SUMIFS('Отчет 01-07.12'!P:P,'Отчет 01-07.12'!C:C,"Услуги доставки",'Отчет 01-07.12'!E:E,B8)</f>
        <v>409.28</v>
      </c>
      <c r="AA8" s="41">
        <v>817.40093000000002</v>
      </c>
      <c r="AB8" s="64"/>
      <c r="AC8" s="51"/>
      <c r="AD8" s="55">
        <f t="shared" si="8"/>
        <v>108</v>
      </c>
      <c r="AE8" s="56">
        <f t="shared" si="9"/>
        <v>-431.68092999999999</v>
      </c>
      <c r="AF8" s="55"/>
      <c r="AG8" s="57">
        <f t="shared" si="10"/>
        <v>1800</v>
      </c>
      <c r="AH8" s="58">
        <f t="shared" si="11"/>
        <v>123</v>
      </c>
      <c r="AI8" s="58">
        <f t="shared" si="12"/>
        <v>774</v>
      </c>
      <c r="AJ8" s="58">
        <f t="shared" si="13"/>
        <v>409.28</v>
      </c>
      <c r="AK8" s="58">
        <f t="shared" si="14"/>
        <v>817.40093000000002</v>
      </c>
      <c r="AL8" s="58">
        <f t="array" ref="AL8">_xlfn.IFS(R8=0,AE8,R8&lt;0,AE8/-R8,R8&gt;0,AE8/R8)</f>
        <v>-431.68092999999999</v>
      </c>
      <c r="AM8" s="59">
        <f t="shared" si="15"/>
        <v>-0.23982273888888889</v>
      </c>
      <c r="AN8" s="60">
        <f t="shared" si="16"/>
        <v>-3.5096010569105691</v>
      </c>
      <c r="AP8" s="62">
        <f t="shared" si="17"/>
        <v>-192529.69477999999</v>
      </c>
    </row>
    <row r="9" spans="1:42">
      <c r="A9" s="39">
        <v>3064334311</v>
      </c>
      <c r="B9" s="40" t="s">
        <v>1055</v>
      </c>
      <c r="C9" s="41">
        <v>441</v>
      </c>
      <c r="D9" s="42"/>
      <c r="E9" s="42"/>
      <c r="F9" s="42"/>
      <c r="G9" s="43"/>
      <c r="H9" s="44">
        <v>123</v>
      </c>
      <c r="I9" s="63">
        <f t="shared" si="0"/>
        <v>54243</v>
      </c>
      <c r="J9" s="45"/>
      <c r="K9" s="41">
        <v>1</v>
      </c>
      <c r="L9" s="45"/>
      <c r="M9" s="45"/>
      <c r="N9" s="46">
        <f t="shared" si="1"/>
        <v>0.14285714285714285</v>
      </c>
      <c r="O9" s="47">
        <f t="shared" si="2"/>
        <v>0.5714285714285714</v>
      </c>
      <c r="P9" s="48">
        <f>SUMIFS('Отчет 01-07.12'!H:H,'Отчет 01-07.12'!D:D,"Выручка",'Отчет 01-07.12'!E:E,B9)</f>
        <v>4</v>
      </c>
      <c r="Q9" s="48">
        <f>SUMIFS('Отчет 01-07.12'!H:H,'Отчет 01-07.12'!D:D,"Возврат выручки",'Отчет 01-07.12'!E:E,B9)</f>
        <v>0</v>
      </c>
      <c r="R9" s="49">
        <f t="shared" si="3"/>
        <v>4</v>
      </c>
      <c r="S9" s="50">
        <f>SUMIFS('Отчет 01-07.12'!P:P,'Отчет 01-07.12'!C:C,"Продажи",'Отчет 01-07.12'!E:E,B9)</f>
        <v>8400</v>
      </c>
      <c r="T9" s="51">
        <f>SUMIFS('Отчет 01-07.12'!P:P,'Отчет 01-07.12'!C:C,"Возвраты",'Отчет 01-07.12'!E:E,B9)</f>
        <v>0</v>
      </c>
      <c r="U9" s="49">
        <f t="shared" si="4"/>
        <v>8400</v>
      </c>
      <c r="V9" s="52">
        <f t="shared" si="5"/>
        <v>-1.5272727272727273</v>
      </c>
      <c r="W9" s="53">
        <f t="shared" si="6"/>
        <v>492</v>
      </c>
      <c r="X9" s="51">
        <f>-SUMIFS('Отчет 01-07.12'!P:P,'Отчет 01-07.12'!C:C,"Вознаграждение Ozon",'Отчет 01-07.12'!E:E,B9)</f>
        <v>3612</v>
      </c>
      <c r="Y9" s="54">
        <f t="shared" si="7"/>
        <v>0.43</v>
      </c>
      <c r="Z9" s="51">
        <f>-SUMIFS('Отчет 01-07.12'!P:P,'Отчет 01-07.12'!C:C,"Услуги доставки",'Отчет 01-07.12'!E:E,B9)</f>
        <v>566.03</v>
      </c>
      <c r="AA9" s="41">
        <v>2324.1793820000003</v>
      </c>
      <c r="AB9" s="64"/>
      <c r="AC9" s="51"/>
      <c r="AD9" s="55">
        <f t="shared" si="8"/>
        <v>504</v>
      </c>
      <c r="AE9" s="56">
        <f t="shared" si="9"/>
        <v>901.79061799999999</v>
      </c>
      <c r="AF9" s="55"/>
      <c r="AG9" s="57">
        <f t="shared" si="10"/>
        <v>2100</v>
      </c>
      <c r="AH9" s="58">
        <f t="shared" si="11"/>
        <v>123</v>
      </c>
      <c r="AI9" s="58">
        <f t="shared" si="12"/>
        <v>903</v>
      </c>
      <c r="AJ9" s="58">
        <f t="shared" si="13"/>
        <v>141.50749999999999</v>
      </c>
      <c r="AK9" s="58">
        <f t="shared" si="14"/>
        <v>581.04484550000006</v>
      </c>
      <c r="AL9" s="58">
        <f t="array" ref="AL9">_xlfn.IFS(R9=0,AE9,R9&lt;0,AE9/-R9,R9&gt;0,AE9/R9)</f>
        <v>225.4476545</v>
      </c>
      <c r="AM9" s="59">
        <f t="shared" si="15"/>
        <v>0.10735602595238095</v>
      </c>
      <c r="AN9" s="60">
        <f t="shared" si="16"/>
        <v>1.8329077601626016</v>
      </c>
      <c r="AP9" s="62">
        <f t="shared" si="17"/>
        <v>99422.415634499994</v>
      </c>
    </row>
    <row r="10" spans="1:42">
      <c r="A10" s="39">
        <v>2638291563</v>
      </c>
      <c r="B10" s="40" t="s">
        <v>88</v>
      </c>
      <c r="C10" s="41">
        <v>393</v>
      </c>
      <c r="D10" s="42"/>
      <c r="E10" s="42"/>
      <c r="F10" s="42"/>
      <c r="G10" s="43"/>
      <c r="H10" s="44">
        <v>169.89</v>
      </c>
      <c r="I10" s="63">
        <f t="shared" si="0"/>
        <v>66766.76999999999</v>
      </c>
      <c r="J10" s="45"/>
      <c r="K10" s="41">
        <v>0</v>
      </c>
      <c r="L10" s="45"/>
      <c r="M10" s="45"/>
      <c r="N10" s="46">
        <f t="shared" si="1"/>
        <v>0</v>
      </c>
      <c r="O10" s="47">
        <f t="shared" si="2"/>
        <v>0</v>
      </c>
      <c r="P10" s="48">
        <f>SUMIFS('Отчет 01-07.12'!H:H,'Отчет 01-07.12'!D:D,"Выручка",'Отчет 01-07.12'!E:E,B10)</f>
        <v>0</v>
      </c>
      <c r="Q10" s="48">
        <f>SUMIFS('Отчет 01-07.12'!H:H,'Отчет 01-07.12'!D:D,"Возврат выручки",'Отчет 01-07.12'!E:E,B10)</f>
        <v>0</v>
      </c>
      <c r="R10" s="49">
        <f t="shared" si="3"/>
        <v>0</v>
      </c>
      <c r="S10" s="50">
        <f>SUMIFS('Отчет 01-07.12'!P:P,'Отчет 01-07.12'!C:C,"Продажи",'Отчет 01-07.12'!E:E,B10)</f>
        <v>0</v>
      </c>
      <c r="T10" s="51">
        <f>SUMIFS('Отчет 01-07.12'!P:P,'Отчет 01-07.12'!C:C,"Возвраты",'Отчет 01-07.12'!E:E,B10)</f>
        <v>0</v>
      </c>
      <c r="U10" s="49">
        <f t="shared" si="4"/>
        <v>0</v>
      </c>
      <c r="V10" s="52">
        <f t="shared" si="5"/>
        <v>0</v>
      </c>
      <c r="W10" s="53">
        <f t="shared" si="6"/>
        <v>0</v>
      </c>
      <c r="X10" s="51">
        <f>-SUMIFS('Отчет 01-07.12'!P:P,'Отчет 01-07.12'!C:C,"Вознаграждение Ozon",'Отчет 01-07.12'!E:E,B10)</f>
        <v>0</v>
      </c>
      <c r="Y10" s="54">
        <f t="shared" si="7"/>
        <v>0</v>
      </c>
      <c r="Z10" s="51">
        <f>-SUMIFS('Отчет 01-07.12'!P:P,'Отчет 01-07.12'!C:C,"Услуги доставки",'Отчет 01-07.12'!E:E,B10)</f>
        <v>0</v>
      </c>
      <c r="AA10" s="41">
        <v>0</v>
      </c>
      <c r="AB10" s="64"/>
      <c r="AC10" s="51"/>
      <c r="AD10" s="55">
        <f t="shared" si="8"/>
        <v>0</v>
      </c>
      <c r="AE10" s="56">
        <f t="shared" si="9"/>
        <v>0</v>
      </c>
      <c r="AF10" s="55"/>
      <c r="AG10" s="57">
        <f t="shared" si="10"/>
        <v>0</v>
      </c>
      <c r="AH10" s="58">
        <f t="shared" si="11"/>
        <v>169.89</v>
      </c>
      <c r="AI10" s="58">
        <f t="shared" si="12"/>
        <v>0</v>
      </c>
      <c r="AJ10" s="58">
        <f t="shared" si="13"/>
        <v>0</v>
      </c>
      <c r="AK10" s="58">
        <f t="shared" si="14"/>
        <v>0</v>
      </c>
      <c r="AL10" s="58">
        <f t="array" ref="AL10">_xlfn.IFS(R10=0,AE10,R10&lt;0,AE10/-R10,R10&gt;0,AE10/R10)</f>
        <v>0</v>
      </c>
      <c r="AM10" s="59">
        <f t="shared" si="15"/>
        <v>0</v>
      </c>
      <c r="AN10" s="60">
        <f t="shared" si="16"/>
        <v>0</v>
      </c>
      <c r="AP10" s="62">
        <f t="shared" si="17"/>
        <v>0</v>
      </c>
    </row>
    <row r="11" spans="1:42">
      <c r="A11" s="39">
        <v>2730130733</v>
      </c>
      <c r="B11" s="40" t="s">
        <v>224</v>
      </c>
      <c r="C11" s="41">
        <v>47</v>
      </c>
      <c r="D11" s="42"/>
      <c r="E11" s="42"/>
      <c r="F11" s="42"/>
      <c r="G11" s="43"/>
      <c r="H11" s="44">
        <v>169.89</v>
      </c>
      <c r="I11" s="63">
        <f t="shared" si="0"/>
        <v>7984.829999999999</v>
      </c>
      <c r="J11" s="45"/>
      <c r="K11" s="41">
        <v>0</v>
      </c>
      <c r="L11" s="45"/>
      <c r="M11" s="45"/>
      <c r="N11" s="46">
        <f t="shared" si="1"/>
        <v>0</v>
      </c>
      <c r="O11" s="47">
        <f t="shared" si="2"/>
        <v>0</v>
      </c>
      <c r="P11" s="48">
        <f>SUMIFS('Отчет 01-07.12'!H:H,'Отчет 01-07.12'!D:D,"Выручка",'Отчет 01-07.12'!E:E,B11)</f>
        <v>0</v>
      </c>
      <c r="Q11" s="48">
        <f>SUMIFS('Отчет 01-07.12'!H:H,'Отчет 01-07.12'!D:D,"Возврат выручки",'Отчет 01-07.12'!E:E,B11)</f>
        <v>0</v>
      </c>
      <c r="R11" s="49">
        <f t="shared" si="3"/>
        <v>0</v>
      </c>
      <c r="S11" s="50">
        <f>SUMIFS('Отчет 01-07.12'!P:P,'Отчет 01-07.12'!C:C,"Продажи",'Отчет 01-07.12'!E:E,B11)</f>
        <v>0</v>
      </c>
      <c r="T11" s="51">
        <f>SUMIFS('Отчет 01-07.12'!P:P,'Отчет 01-07.12'!C:C,"Возвраты",'Отчет 01-07.12'!E:E,B11)</f>
        <v>0</v>
      </c>
      <c r="U11" s="49">
        <f t="shared" si="4"/>
        <v>0</v>
      </c>
      <c r="V11" s="52">
        <f t="shared" si="5"/>
        <v>0</v>
      </c>
      <c r="W11" s="53">
        <f t="shared" si="6"/>
        <v>0</v>
      </c>
      <c r="X11" s="51">
        <f>-SUMIFS('Отчет 01-07.12'!P:P,'Отчет 01-07.12'!C:C,"Вознаграждение Ozon",'Отчет 01-07.12'!E:E,B11)</f>
        <v>0</v>
      </c>
      <c r="Y11" s="54">
        <f t="shared" si="7"/>
        <v>0</v>
      </c>
      <c r="Z11" s="51">
        <f>-SUMIFS('Отчет 01-07.12'!P:P,'Отчет 01-07.12'!C:C,"Услуги доставки",'Отчет 01-07.12'!E:E,B11)</f>
        <v>0</v>
      </c>
      <c r="AA11" s="41">
        <v>0</v>
      </c>
      <c r="AB11" s="64"/>
      <c r="AC11" s="51"/>
      <c r="AD11" s="55">
        <f t="shared" si="8"/>
        <v>0</v>
      </c>
      <c r="AE11" s="56">
        <f t="shared" si="9"/>
        <v>0</v>
      </c>
      <c r="AF11" s="55"/>
      <c r="AG11" s="57">
        <f t="shared" si="10"/>
        <v>0</v>
      </c>
      <c r="AH11" s="58">
        <f t="shared" si="11"/>
        <v>169.89</v>
      </c>
      <c r="AI11" s="58">
        <f t="shared" si="12"/>
        <v>0</v>
      </c>
      <c r="AJ11" s="58">
        <f t="shared" si="13"/>
        <v>0</v>
      </c>
      <c r="AK11" s="58">
        <f t="shared" si="14"/>
        <v>0</v>
      </c>
      <c r="AL11" s="58">
        <f t="array" ref="AL11">_xlfn.IFS(R11=0,AE11,R11&lt;0,AE11/-R11,R11&gt;0,AE11/R11)</f>
        <v>0</v>
      </c>
      <c r="AM11" s="59">
        <f t="shared" si="15"/>
        <v>0</v>
      </c>
      <c r="AN11" s="60">
        <f t="shared" si="16"/>
        <v>0</v>
      </c>
      <c r="AP11" s="62">
        <f t="shared" si="17"/>
        <v>0</v>
      </c>
    </row>
    <row r="12" spans="1:42">
      <c r="A12" s="39">
        <v>2730131249</v>
      </c>
      <c r="B12" s="40" t="s">
        <v>225</v>
      </c>
      <c r="C12" s="41">
        <v>46</v>
      </c>
      <c r="D12" s="42"/>
      <c r="E12" s="42"/>
      <c r="F12" s="42"/>
      <c r="G12" s="43"/>
      <c r="H12" s="44">
        <v>169.89</v>
      </c>
      <c r="I12" s="63">
        <f t="shared" si="0"/>
        <v>7814.94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01-07.12'!H:H,'Отчет 01-07.12'!D:D,"Выручка",'Отчет 01-07.12'!E:E,B12)</f>
        <v>0</v>
      </c>
      <c r="Q12" s="48">
        <f>SUMIFS('Отчет 01-07.12'!H:H,'Отчет 01-07.12'!D:D,"Возврат выручки",'Отчет 01-07.12'!E:E,B12)</f>
        <v>0</v>
      </c>
      <c r="R12" s="49">
        <f t="shared" si="3"/>
        <v>0</v>
      </c>
      <c r="S12" s="50">
        <f>SUMIFS('Отчет 01-07.12'!P:P,'Отчет 01-07.12'!C:C,"Продажи",'Отчет 01-07.12'!E:E,B12)</f>
        <v>0</v>
      </c>
      <c r="T12" s="51">
        <f>SUMIFS('Отчет 01-07.12'!P:P,'Отчет 01-07.12'!C:C,"Возвраты",'Отчет 01-07.12'!E:E,B12)</f>
        <v>0</v>
      </c>
      <c r="U12" s="49">
        <f t="shared" si="4"/>
        <v>0</v>
      </c>
      <c r="V12" s="52">
        <f t="shared" si="5"/>
        <v>0</v>
      </c>
      <c r="W12" s="53">
        <f t="shared" si="6"/>
        <v>0</v>
      </c>
      <c r="X12" s="51">
        <f>-SUMIFS('Отчет 01-07.12'!P:P,'Отчет 01-07.12'!C:C,"Вознаграждение Ozon",'Отчет 01-07.12'!E:E,B12)</f>
        <v>0</v>
      </c>
      <c r="Y12" s="54">
        <f t="shared" si="7"/>
        <v>0</v>
      </c>
      <c r="Z12" s="51">
        <f>-SUMIFS('Отчет 01-07.12'!P:P,'Отчет 01-07.12'!C:C,"Услуги доставки",'Отчет 01-07.12'!E:E,B12)</f>
        <v>0</v>
      </c>
      <c r="AA12" s="41">
        <v>0</v>
      </c>
      <c r="AB12" s="64"/>
      <c r="AC12" s="51"/>
      <c r="AD12" s="55">
        <f t="shared" si="8"/>
        <v>0</v>
      </c>
      <c r="AE12" s="56">
        <f t="shared" si="9"/>
        <v>0</v>
      </c>
      <c r="AF12" s="55"/>
      <c r="AG12" s="57">
        <f t="shared" si="10"/>
        <v>0</v>
      </c>
      <c r="AH12" s="58">
        <f t="shared" si="11"/>
        <v>169.89</v>
      </c>
      <c r="AI12" s="58">
        <f t="shared" si="12"/>
        <v>0</v>
      </c>
      <c r="AJ12" s="58">
        <f t="shared" si="13"/>
        <v>0</v>
      </c>
      <c r="AK12" s="58">
        <f t="shared" si="14"/>
        <v>0</v>
      </c>
      <c r="AL12" s="58">
        <f t="array" ref="AL12">_xlfn.IFS(R12=0,AE12,R12&lt;0,AE12/-R12,R12&gt;0,AE12/R12)</f>
        <v>0</v>
      </c>
      <c r="AM12" s="59">
        <f t="shared" si="15"/>
        <v>0</v>
      </c>
      <c r="AN12" s="60">
        <f t="shared" si="16"/>
        <v>0</v>
      </c>
      <c r="AP12" s="62">
        <f t="shared" si="17"/>
        <v>0</v>
      </c>
    </row>
    <row r="13" spans="1:42">
      <c r="A13" s="39">
        <v>2730130553</v>
      </c>
      <c r="B13" s="40" t="s">
        <v>226</v>
      </c>
      <c r="C13" s="41">
        <v>35</v>
      </c>
      <c r="D13" s="42"/>
      <c r="E13" s="42"/>
      <c r="F13" s="42"/>
      <c r="G13" s="43"/>
      <c r="H13" s="44">
        <v>169.89</v>
      </c>
      <c r="I13" s="63">
        <f t="shared" si="0"/>
        <v>5946.15</v>
      </c>
      <c r="J13" s="45"/>
      <c r="K13" s="41">
        <v>1</v>
      </c>
      <c r="L13" s="45"/>
      <c r="M13" s="45"/>
      <c r="N13" s="46">
        <f t="shared" si="1"/>
        <v>0.14285714285714285</v>
      </c>
      <c r="O13" s="47">
        <f t="shared" si="2"/>
        <v>0.14285714285714285</v>
      </c>
      <c r="P13" s="48">
        <f>SUMIFS('Отчет 01-07.12'!H:H,'Отчет 01-07.12'!D:D,"Выручка",'Отчет 01-07.12'!E:E,B13)</f>
        <v>1</v>
      </c>
      <c r="Q13" s="48">
        <f>SUMIFS('Отчет 01-07.12'!H:H,'Отчет 01-07.12'!D:D,"Возврат выручки",'Отчет 01-07.12'!E:E,B13)</f>
        <v>0</v>
      </c>
      <c r="R13" s="49">
        <f t="shared" si="3"/>
        <v>1</v>
      </c>
      <c r="S13" s="50">
        <f>SUMIFS('Отчет 01-07.12'!P:P,'Отчет 01-07.12'!C:C,"Продажи",'Отчет 01-07.12'!E:E,B13)</f>
        <v>1800</v>
      </c>
      <c r="T13" s="51">
        <f>SUMIFS('Отчет 01-07.12'!P:P,'Отчет 01-07.12'!C:C,"Возвраты",'Отчет 01-07.12'!E:E,B13)</f>
        <v>0</v>
      </c>
      <c r="U13" s="49">
        <f t="shared" si="4"/>
        <v>1800</v>
      </c>
      <c r="V13" s="52">
        <f t="shared" si="5"/>
        <v>-0.32727272727272727</v>
      </c>
      <c r="W13" s="53">
        <f t="shared" si="6"/>
        <v>169.89</v>
      </c>
      <c r="X13" s="51">
        <f>-SUMIFS('Отчет 01-07.12'!P:P,'Отчет 01-07.12'!C:C,"Вознаграждение Ozon",'Отчет 01-07.12'!E:E,B13)</f>
        <v>774</v>
      </c>
      <c r="Y13" s="54">
        <f t="shared" si="7"/>
        <v>0.43</v>
      </c>
      <c r="Z13" s="51">
        <f>-SUMIFS('Отчет 01-07.12'!P:P,'Отчет 01-07.12'!C:C,"Услуги доставки",'Отчет 01-07.12'!E:E,B13)</f>
        <v>119.44</v>
      </c>
      <c r="AA13" s="41">
        <v>0</v>
      </c>
      <c r="AB13" s="64"/>
      <c r="AC13" s="51"/>
      <c r="AD13" s="55">
        <f t="shared" si="8"/>
        <v>108</v>
      </c>
      <c r="AE13" s="56">
        <f t="shared" si="9"/>
        <v>628.67000000000007</v>
      </c>
      <c r="AF13" s="55"/>
      <c r="AG13" s="57">
        <f t="shared" si="10"/>
        <v>1800</v>
      </c>
      <c r="AH13" s="58">
        <f t="shared" si="11"/>
        <v>169.89</v>
      </c>
      <c r="AI13" s="58">
        <f t="shared" si="12"/>
        <v>774</v>
      </c>
      <c r="AJ13" s="58">
        <f t="shared" si="13"/>
        <v>119.44</v>
      </c>
      <c r="AK13" s="58">
        <f t="shared" si="14"/>
        <v>0</v>
      </c>
      <c r="AL13" s="58">
        <f t="array" ref="AL13">_xlfn.IFS(R13=0,AE13,R13&lt;0,AE13/-R13,R13&gt;0,AE13/R13)</f>
        <v>628.67000000000007</v>
      </c>
      <c r="AM13" s="59">
        <f t="shared" si="15"/>
        <v>0.34926111111111113</v>
      </c>
      <c r="AN13" s="60">
        <f t="shared" si="16"/>
        <v>3.7004532344458188</v>
      </c>
      <c r="AP13" s="62">
        <f t="shared" si="17"/>
        <v>22003.450000000004</v>
      </c>
    </row>
    <row r="14" spans="1:42" ht="13.75" customHeight="1">
      <c r="A14" s="39">
        <v>2730129638</v>
      </c>
      <c r="B14" s="40" t="s">
        <v>227</v>
      </c>
      <c r="C14" s="41">
        <v>10</v>
      </c>
      <c r="D14" s="42"/>
      <c r="E14" s="42"/>
      <c r="F14" s="42"/>
      <c r="G14" s="43"/>
      <c r="H14" s="44">
        <v>169.89</v>
      </c>
      <c r="I14" s="63">
        <f t="shared" si="0"/>
        <v>1698.8999999999999</v>
      </c>
      <c r="J14" s="45"/>
      <c r="K14" s="41">
        <v>1</v>
      </c>
      <c r="L14" s="45"/>
      <c r="M14" s="45"/>
      <c r="N14" s="46">
        <f t="shared" si="1"/>
        <v>0.14285714285714285</v>
      </c>
      <c r="O14" s="47">
        <f t="shared" si="2"/>
        <v>0</v>
      </c>
      <c r="P14" s="48">
        <f>SUMIFS('Отчет 01-07.12'!H:H,'Отчет 01-07.12'!D:D,"Выручка",'Отчет 01-07.12'!E:E,B14)</f>
        <v>0</v>
      </c>
      <c r="Q14" s="48">
        <f>SUMIFS('Отчет 01-07.12'!H:H,'Отчет 01-07.12'!D:D,"Возврат выручки",'Отчет 01-07.12'!E:E,B14)</f>
        <v>0</v>
      </c>
      <c r="R14" s="49">
        <f t="shared" si="3"/>
        <v>0</v>
      </c>
      <c r="S14" s="50">
        <f>SUMIFS('Отчет 01-07.12'!P:P,'Отчет 01-07.12'!C:C,"Продажи",'Отчет 01-07.12'!E:E,B14)</f>
        <v>0</v>
      </c>
      <c r="T14" s="51">
        <f>SUMIFS('Отчет 01-07.12'!P:P,'Отчет 01-07.12'!C:C,"Возвраты",'Отчет 01-07.12'!E:E,B14)</f>
        <v>0</v>
      </c>
      <c r="U14" s="49">
        <f t="shared" si="4"/>
        <v>0</v>
      </c>
      <c r="V14" s="52">
        <f t="shared" si="5"/>
        <v>0</v>
      </c>
      <c r="W14" s="53">
        <f t="shared" si="6"/>
        <v>0</v>
      </c>
      <c r="X14" s="51">
        <f>-SUMIFS('Отчет 01-07.12'!P:P,'Отчет 01-07.12'!C:C,"Вознаграждение Ozon",'Отчет 01-07.12'!E:E,B14)</f>
        <v>0</v>
      </c>
      <c r="Y14" s="54">
        <f t="shared" si="7"/>
        <v>0</v>
      </c>
      <c r="Z14" s="51">
        <f>-SUMIFS('Отчет 01-07.12'!P:P,'Отчет 01-07.12'!C:C,"Услуги доставки",'Отчет 01-07.12'!E:E,B14)</f>
        <v>0</v>
      </c>
      <c r="AA14" s="41">
        <v>0</v>
      </c>
      <c r="AB14" s="64"/>
      <c r="AC14" s="51"/>
      <c r="AD14" s="55">
        <f t="shared" si="8"/>
        <v>0</v>
      </c>
      <c r="AE14" s="56">
        <f t="shared" si="9"/>
        <v>0</v>
      </c>
      <c r="AF14" s="55"/>
      <c r="AG14" s="57">
        <f t="shared" si="10"/>
        <v>0</v>
      </c>
      <c r="AH14" s="58">
        <f t="shared" si="11"/>
        <v>169.89</v>
      </c>
      <c r="AI14" s="58">
        <f t="shared" si="12"/>
        <v>0</v>
      </c>
      <c r="AJ14" s="58">
        <f t="shared" si="13"/>
        <v>0</v>
      </c>
      <c r="AK14" s="58">
        <f t="shared" si="14"/>
        <v>0</v>
      </c>
      <c r="AL14" s="58">
        <f t="array" ref="AL14">_xlfn.IFS(R14=0,AE14,R14&lt;0,AE14/-R14,R14&gt;0,AE14/R14)</f>
        <v>0</v>
      </c>
      <c r="AM14" s="59">
        <f t="shared" si="15"/>
        <v>0</v>
      </c>
      <c r="AN14" s="60">
        <f t="shared" si="16"/>
        <v>0</v>
      </c>
      <c r="AP14" s="62">
        <f t="shared" si="17"/>
        <v>0</v>
      </c>
    </row>
    <row r="15" spans="1:42" ht="13.75" customHeight="1">
      <c r="A15" s="39">
        <v>2730130141</v>
      </c>
      <c r="B15" s="40" t="s">
        <v>228</v>
      </c>
      <c r="C15" s="41">
        <v>34</v>
      </c>
      <c r="D15" s="42"/>
      <c r="E15" s="42"/>
      <c r="F15" s="42"/>
      <c r="G15" s="43"/>
      <c r="H15" s="44">
        <v>169.89</v>
      </c>
      <c r="I15" s="63">
        <f t="shared" si="0"/>
        <v>5776.2599999999993</v>
      </c>
      <c r="J15" s="45"/>
      <c r="K15" s="41">
        <v>4</v>
      </c>
      <c r="L15" s="45"/>
      <c r="M15" s="45"/>
      <c r="N15" s="46">
        <f t="shared" si="1"/>
        <v>0.5714285714285714</v>
      </c>
      <c r="O15" s="47">
        <f t="shared" si="2"/>
        <v>0.2857142857142857</v>
      </c>
      <c r="P15" s="48">
        <f>SUMIFS('Отчет 01-07.12'!H:H,'Отчет 01-07.12'!D:D,"Выручка",'Отчет 01-07.12'!E:E,B15)</f>
        <v>2</v>
      </c>
      <c r="Q15" s="48">
        <f>SUMIFS('Отчет 01-07.12'!H:H,'Отчет 01-07.12'!D:D,"Возврат выручки",'Отчет 01-07.12'!E:E,B15)</f>
        <v>0</v>
      </c>
      <c r="R15" s="49">
        <f t="shared" si="3"/>
        <v>2</v>
      </c>
      <c r="S15" s="50">
        <f>SUMIFS('Отчет 01-07.12'!P:P,'Отчет 01-07.12'!C:C,"Продажи",'Отчет 01-07.12'!E:E,B15)</f>
        <v>2840</v>
      </c>
      <c r="T15" s="51">
        <f>SUMIFS('Отчет 01-07.12'!P:P,'Отчет 01-07.12'!C:C,"Возвраты",'Отчет 01-07.12'!E:E,B15)</f>
        <v>0</v>
      </c>
      <c r="U15" s="49">
        <f t="shared" si="4"/>
        <v>2840</v>
      </c>
      <c r="V15" s="52">
        <f t="shared" si="5"/>
        <v>-0.51636363636363636</v>
      </c>
      <c r="W15" s="53">
        <f t="shared" si="6"/>
        <v>339.78</v>
      </c>
      <c r="X15" s="51">
        <f>-SUMIFS('Отчет 01-07.12'!P:P,'Отчет 01-07.12'!C:C,"Вознаграждение Ozon",'Отчет 01-07.12'!E:E,B15)</f>
        <v>1221.2</v>
      </c>
      <c r="Y15" s="54">
        <f t="shared" si="7"/>
        <v>0.43</v>
      </c>
      <c r="Z15" s="51">
        <f>-SUMIFS('Отчет 01-07.12'!P:P,'Отчет 01-07.12'!C:C,"Услуги доставки",'Отчет 01-07.12'!E:E,B15)</f>
        <v>398.85</v>
      </c>
      <c r="AA15" s="41">
        <v>326.60000000000002</v>
      </c>
      <c r="AB15" s="64"/>
      <c r="AC15" s="51"/>
      <c r="AD15" s="55">
        <f t="shared" si="8"/>
        <v>170.4</v>
      </c>
      <c r="AE15" s="56">
        <f t="shared" si="9"/>
        <v>383.17000000000019</v>
      </c>
      <c r="AF15" s="55"/>
      <c r="AG15" s="57">
        <f t="shared" si="10"/>
        <v>1420</v>
      </c>
      <c r="AH15" s="58">
        <f t="shared" si="11"/>
        <v>169.89</v>
      </c>
      <c r="AI15" s="58">
        <f t="shared" si="12"/>
        <v>610.6</v>
      </c>
      <c r="AJ15" s="58">
        <f t="shared" si="13"/>
        <v>199.42500000000001</v>
      </c>
      <c r="AK15" s="58">
        <f t="shared" si="14"/>
        <v>163.30000000000001</v>
      </c>
      <c r="AL15" s="58">
        <f t="array" ref="AL15">_xlfn.IFS(R15=0,AE15,R15&lt;0,AE15/-R15,R15&gt;0,AE15/R15)</f>
        <v>191.58500000000009</v>
      </c>
      <c r="AM15" s="59">
        <f t="shared" si="15"/>
        <v>0.1349190140845071</v>
      </c>
      <c r="AN15" s="60">
        <f t="shared" si="16"/>
        <v>1.1277002766495974</v>
      </c>
      <c r="AP15" s="62">
        <f t="shared" si="17"/>
        <v>6513.8900000000031</v>
      </c>
    </row>
    <row r="16" spans="1:42" ht="13.75" customHeight="1">
      <c r="A16" s="39">
        <v>2730129805</v>
      </c>
      <c r="B16" s="40" t="s">
        <v>19</v>
      </c>
      <c r="C16" s="41">
        <v>26</v>
      </c>
      <c r="D16" s="42"/>
      <c r="E16" s="42"/>
      <c r="F16" s="42"/>
      <c r="G16" s="43"/>
      <c r="H16" s="44">
        <v>169.89</v>
      </c>
      <c r="I16" s="63">
        <f t="shared" si="0"/>
        <v>4417.1399999999994</v>
      </c>
      <c r="J16" s="45"/>
      <c r="K16" s="41">
        <v>0</v>
      </c>
      <c r="L16" s="45"/>
      <c r="M16" s="45"/>
      <c r="N16" s="46">
        <f t="shared" si="1"/>
        <v>0</v>
      </c>
      <c r="O16" s="47">
        <f t="shared" si="2"/>
        <v>0</v>
      </c>
      <c r="P16" s="48">
        <f>SUMIFS('Отчет 01-07.12'!H:H,'Отчет 01-07.12'!D:D,"Выручка",'Отчет 01-07.12'!E:E,B16)</f>
        <v>0</v>
      </c>
      <c r="Q16" s="48">
        <f>SUMIFS('Отчет 01-07.12'!H:H,'Отчет 01-07.12'!D:D,"Возврат выручки",'Отчет 01-07.12'!E:E,B16)</f>
        <v>0</v>
      </c>
      <c r="R16" s="49">
        <f t="shared" si="3"/>
        <v>0</v>
      </c>
      <c r="S16" s="50">
        <f>SUMIFS('Отчет 01-07.12'!P:P,'Отчет 01-07.12'!C:C,"Продажи",'Отчет 01-07.12'!E:E,B16)</f>
        <v>0</v>
      </c>
      <c r="T16" s="51">
        <f>SUMIFS('Отчет 01-07.12'!P:P,'Отчет 01-07.12'!C:C,"Возвраты",'Отчет 01-07.12'!E:E,B16)</f>
        <v>0</v>
      </c>
      <c r="U16" s="49">
        <f t="shared" si="4"/>
        <v>0</v>
      </c>
      <c r="V16" s="52">
        <f t="shared" si="5"/>
        <v>0</v>
      </c>
      <c r="W16" s="53">
        <f t="shared" si="6"/>
        <v>0</v>
      </c>
      <c r="X16" s="51">
        <f>-SUMIFS('Отчет 01-07.12'!P:P,'Отчет 01-07.12'!C:C,"Вознаграждение Ozon",'Отчет 01-07.12'!E:E,B16)</f>
        <v>0</v>
      </c>
      <c r="Y16" s="54">
        <f t="shared" si="7"/>
        <v>0</v>
      </c>
      <c r="Z16" s="51">
        <f>-SUMIFS('Отчет 01-07.12'!P:P,'Отчет 01-07.12'!C:C,"Услуги доставки",'Отчет 01-07.12'!E:E,B16)</f>
        <v>0</v>
      </c>
      <c r="AA16" s="41">
        <v>0</v>
      </c>
      <c r="AB16" s="64"/>
      <c r="AC16" s="51"/>
      <c r="AD16" s="55">
        <f t="shared" si="8"/>
        <v>0</v>
      </c>
      <c r="AE16" s="56">
        <f t="shared" si="9"/>
        <v>0</v>
      </c>
      <c r="AF16" s="55"/>
      <c r="AG16" s="57">
        <f t="shared" si="10"/>
        <v>0</v>
      </c>
      <c r="AH16" s="58">
        <f t="shared" si="11"/>
        <v>169.89</v>
      </c>
      <c r="AI16" s="58">
        <f t="shared" si="12"/>
        <v>0</v>
      </c>
      <c r="AJ16" s="58">
        <f t="shared" si="13"/>
        <v>0</v>
      </c>
      <c r="AK16" s="58">
        <f t="shared" si="14"/>
        <v>0</v>
      </c>
      <c r="AL16" s="58">
        <f t="array" ref="AL16">_xlfn.IFS(R16=0,AE16,R16&lt;0,AE16/-R16,R16&gt;0,AE16/R16)</f>
        <v>0</v>
      </c>
      <c r="AM16" s="59">
        <f t="shared" si="15"/>
        <v>0</v>
      </c>
      <c r="AN16" s="60">
        <f t="shared" si="16"/>
        <v>0</v>
      </c>
      <c r="AP16" s="62">
        <f t="shared" si="17"/>
        <v>0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</v>
      </c>
      <c r="P17" s="48">
        <f>SUMIFS('Отчет 01-07.12'!H:H,'Отчет 01-07.12'!D:D,"Выручка",'Отчет 01-07.12'!E:E,B17)</f>
        <v>0</v>
      </c>
      <c r="Q17" s="48">
        <f>SUMIFS('Отчет 01-07.12'!H:H,'Отчет 01-07.12'!D:D,"Возврат выручки",'Отчет 01-07.12'!E:E,B17)</f>
        <v>0</v>
      </c>
      <c r="R17" s="49">
        <f t="shared" si="3"/>
        <v>0</v>
      </c>
      <c r="S17" s="50">
        <f>SUMIFS('Отчет 01-07.12'!P:P,'Отчет 01-07.12'!C:C,"Продажи",'Отчет 01-07.12'!E:E,B17)</f>
        <v>0</v>
      </c>
      <c r="T17" s="51">
        <f>SUMIFS('Отчет 01-07.12'!P:P,'Отчет 01-07.12'!C:C,"Возвраты",'Отчет 01-07.12'!E:E,B17)</f>
        <v>0</v>
      </c>
      <c r="U17" s="49">
        <f t="shared" si="4"/>
        <v>0</v>
      </c>
      <c r="V17" s="52">
        <f t="shared" si="5"/>
        <v>0</v>
      </c>
      <c r="W17" s="53">
        <f t="shared" si="6"/>
        <v>0</v>
      </c>
      <c r="X17" s="51">
        <f>-SUMIFS('Отчет 01-07.12'!P:P,'Отчет 01-07.12'!C:C,"Вознаграждение Ozon",'Отчет 01-07.12'!E:E,B17)</f>
        <v>0</v>
      </c>
      <c r="Y17" s="54">
        <f t="shared" si="7"/>
        <v>0</v>
      </c>
      <c r="Z17" s="51">
        <f>-SUMIFS('Отчет 01-07.12'!P:P,'Отчет 01-07.12'!C:C,"Услуги доставки",'Отчет 01-07.12'!E:E,B17)</f>
        <v>0</v>
      </c>
      <c r="AA17" s="41">
        <v>0</v>
      </c>
      <c r="AB17" s="64"/>
      <c r="AC17" s="51"/>
      <c r="AD17" s="55">
        <f t="shared" si="8"/>
        <v>0</v>
      </c>
      <c r="AE17" s="56">
        <f t="shared" si="9"/>
        <v>0</v>
      </c>
      <c r="AF17" s="55"/>
      <c r="AG17" s="57">
        <f t="shared" si="10"/>
        <v>0</v>
      </c>
      <c r="AH17" s="58">
        <f t="shared" si="11"/>
        <v>1002.82</v>
      </c>
      <c r="AI17" s="58">
        <f t="shared" si="12"/>
        <v>0</v>
      </c>
      <c r="AJ17" s="58">
        <f t="shared" si="13"/>
        <v>0</v>
      </c>
      <c r="AK17" s="58">
        <f t="shared" si="14"/>
        <v>0</v>
      </c>
      <c r="AL17" s="58">
        <f t="array" ref="AL17">_xlfn.IFS(R17=0,AE17,R17&lt;0,AE17/-R17,R17&gt;0,AE17/R17)</f>
        <v>0</v>
      </c>
      <c r="AM17" s="59">
        <f t="shared" si="15"/>
        <v>0</v>
      </c>
      <c r="AN17" s="60">
        <f t="shared" si="16"/>
        <v>0</v>
      </c>
      <c r="AP17" s="62">
        <f t="shared" si="17"/>
        <v>0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01-07.12'!H:H,'Отчет 01-07.12'!D:D,"Выручка",'Отчет 01-07.12'!E:E,B18)</f>
        <v>0</v>
      </c>
      <c r="Q18" s="48">
        <f>SUMIFS('Отчет 01-07.12'!H:H,'Отчет 01-07.12'!D:D,"Возврат выручки",'Отчет 01-07.12'!E:E,B18)</f>
        <v>0</v>
      </c>
      <c r="R18" s="49">
        <f t="shared" si="3"/>
        <v>0</v>
      </c>
      <c r="S18" s="50">
        <f>SUMIFS('Отчет 01-07.12'!P:P,'Отчет 01-07.12'!C:C,"Продажи",'Отчет 01-07.12'!E:E,B18)</f>
        <v>0</v>
      </c>
      <c r="T18" s="51">
        <f>SUMIFS('Отчет 01-07.12'!P:P,'Отчет 01-07.12'!C:C,"Возвраты",'Отчет 01-07.12'!E:E,B18)</f>
        <v>0</v>
      </c>
      <c r="U18" s="49">
        <f t="shared" si="4"/>
        <v>0</v>
      </c>
      <c r="V18" s="52">
        <f t="shared" si="5"/>
        <v>0</v>
      </c>
      <c r="W18" s="53">
        <f t="shared" si="6"/>
        <v>0</v>
      </c>
      <c r="X18" s="51">
        <f>-SUMIFS('Отчет 01-07.12'!P:P,'Отчет 01-07.12'!C:C,"Вознаграждение Ozon",'Отчет 01-07.12'!E:E,B18)</f>
        <v>0</v>
      </c>
      <c r="Y18" s="54">
        <f t="shared" si="7"/>
        <v>0</v>
      </c>
      <c r="Z18" s="51">
        <f>-SUMIFS('Отчет 01-07.12'!P:P,'Отчет 01-07.12'!C:C,"Услуги доставки",'Отчет 01-07.12'!E:E,B18)</f>
        <v>0</v>
      </c>
      <c r="AA18" s="41">
        <v>0</v>
      </c>
      <c r="AB18" s="64"/>
      <c r="AC18" s="51"/>
      <c r="AD18" s="55">
        <f t="shared" si="8"/>
        <v>0</v>
      </c>
      <c r="AE18" s="56">
        <f t="shared" si="9"/>
        <v>0</v>
      </c>
      <c r="AF18" s="55"/>
      <c r="AG18" s="57">
        <f t="shared" si="10"/>
        <v>0</v>
      </c>
      <c r="AH18" s="58">
        <f t="shared" si="11"/>
        <v>909.22</v>
      </c>
      <c r="AI18" s="58">
        <f t="shared" si="12"/>
        <v>0</v>
      </c>
      <c r="AJ18" s="58">
        <f t="shared" si="13"/>
        <v>0</v>
      </c>
      <c r="AK18" s="58">
        <f t="shared" si="14"/>
        <v>0</v>
      </c>
      <c r="AL18" s="58">
        <f t="array" ref="AL18">_xlfn.IFS(R18=0,AE18,R18&lt;0,AE18/-R18,R18&gt;0,AE18/R18)</f>
        <v>0</v>
      </c>
      <c r="AM18" s="59">
        <f t="shared" si="15"/>
        <v>0</v>
      </c>
      <c r="AN18" s="60">
        <f t="shared" si="16"/>
        <v>0</v>
      </c>
      <c r="AP18" s="62">
        <f t="shared" si="17"/>
        <v>0</v>
      </c>
    </row>
    <row r="19" spans="1:52" ht="13.75" customHeight="1">
      <c r="A19" s="39">
        <v>2807226016</v>
      </c>
      <c r="B19" s="40" t="s">
        <v>231</v>
      </c>
      <c r="C19" s="41"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01-07.12'!H:H,'Отчет 01-07.12'!D:D,"Выручка",'Отчет 01-07.12'!E:E,B19)</f>
        <v>0</v>
      </c>
      <c r="Q19" s="48">
        <f>SUMIFS('Отчет 01-07.12'!H:H,'Отчет 01-07.12'!D:D,"Возврат выручки",'Отчет 01-07.12'!E:E,B19)</f>
        <v>0</v>
      </c>
      <c r="R19" s="49">
        <f t="shared" si="3"/>
        <v>0</v>
      </c>
      <c r="S19" s="50">
        <f>SUMIFS('Отчет 01-07.12'!P:P,'Отчет 01-07.12'!C:C,"Продажи",'Отчет 01-07.12'!E:E,B19)</f>
        <v>0</v>
      </c>
      <c r="T19" s="51">
        <f>SUMIFS('Отчет 01-07.12'!P:P,'Отчет 01-07.12'!C:C,"Возвраты",'Отчет 01-07.12'!E:E,B19)</f>
        <v>0</v>
      </c>
      <c r="U19" s="49">
        <f t="shared" si="4"/>
        <v>0</v>
      </c>
      <c r="V19" s="52">
        <f t="shared" si="5"/>
        <v>0</v>
      </c>
      <c r="W19" s="53">
        <f t="shared" si="6"/>
        <v>0</v>
      </c>
      <c r="X19" s="51">
        <f>-SUMIFS('Отчет 01-07.12'!P:P,'Отчет 01-07.12'!C:C,"Вознаграждение Ozon",'Отчет 01-07.12'!E:E,B19)</f>
        <v>0</v>
      </c>
      <c r="Y19" s="54">
        <f t="shared" si="7"/>
        <v>0</v>
      </c>
      <c r="Z19" s="51">
        <f>-SUMIFS('Отчет 01-07.12'!P:P,'Отчет 01-07.12'!C:C,"Услуги доставки",'Отчет 01-07.12'!E:E,B19)</f>
        <v>0</v>
      </c>
      <c r="AA19" s="41">
        <v>0</v>
      </c>
      <c r="AB19" s="64"/>
      <c r="AC19" s="51"/>
      <c r="AD19" s="55">
        <f t="shared" si="8"/>
        <v>0</v>
      </c>
      <c r="AE19" s="56">
        <f t="shared" si="9"/>
        <v>0</v>
      </c>
      <c r="AF19" s="55"/>
      <c r="AG19" s="57">
        <f t="shared" si="10"/>
        <v>0</v>
      </c>
      <c r="AH19" s="58">
        <f t="shared" si="11"/>
        <v>909.22</v>
      </c>
      <c r="AI19" s="58">
        <f t="shared" si="12"/>
        <v>0</v>
      </c>
      <c r="AJ19" s="58">
        <f t="shared" si="13"/>
        <v>0</v>
      </c>
      <c r="AK19" s="58">
        <f t="shared" si="14"/>
        <v>0</v>
      </c>
      <c r="AL19" s="58">
        <f t="array" ref="AL19">_xlfn.IFS(R19=0,AE19,R19&lt;0,AE19/-R19,R19&gt;0,AE19/R19)</f>
        <v>0</v>
      </c>
      <c r="AM19" s="59">
        <f t="shared" si="15"/>
        <v>0</v>
      </c>
      <c r="AN19" s="60">
        <f t="shared" si="16"/>
        <v>0</v>
      </c>
      <c r="AP19" s="62">
        <f t="shared" si="17"/>
        <v>0</v>
      </c>
    </row>
    <row r="20" spans="1:52" ht="13.75" customHeight="1">
      <c r="A20" s="39">
        <v>2807226072</v>
      </c>
      <c r="B20" s="40" t="s">
        <v>111</v>
      </c>
      <c r="C20" s="41">
        <v>2</v>
      </c>
      <c r="D20" s="42"/>
      <c r="E20" s="42"/>
      <c r="F20" s="42"/>
      <c r="G20" s="43"/>
      <c r="H20" s="44">
        <v>932.62</v>
      </c>
      <c r="I20" s="63">
        <f t="shared" si="0"/>
        <v>1865.24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01-07.12'!H:H,'Отчет 01-07.12'!D:D,"Выручка",'Отчет 01-07.12'!E:E,B20)</f>
        <v>0</v>
      </c>
      <c r="Q20" s="48">
        <f>SUMIFS('Отчет 01-07.12'!H:H,'Отчет 01-07.12'!D:D,"Возврат выручки",'Отчет 01-07.12'!E:E,B20)</f>
        <v>0</v>
      </c>
      <c r="R20" s="49">
        <f t="shared" si="3"/>
        <v>0</v>
      </c>
      <c r="S20" s="50">
        <f>SUMIFS('Отчет 01-07.12'!P:P,'Отчет 01-07.12'!C:C,"Продажи",'Отчет 01-07.12'!E:E,B20)</f>
        <v>0</v>
      </c>
      <c r="T20" s="51">
        <f>SUMIFS('Отчет 01-07.12'!P:P,'Отчет 01-07.12'!C:C,"Возвраты",'Отчет 01-07.12'!E:E,B20)</f>
        <v>0</v>
      </c>
      <c r="U20" s="49">
        <f t="shared" si="4"/>
        <v>0</v>
      </c>
      <c r="V20" s="52">
        <f t="shared" si="5"/>
        <v>0</v>
      </c>
      <c r="W20" s="53">
        <f t="shared" si="6"/>
        <v>0</v>
      </c>
      <c r="X20" s="51">
        <f>-SUMIFS('Отчет 01-07.12'!P:P,'Отчет 01-07.12'!C:C,"Вознаграждение Ozon",'Отчет 01-07.12'!E:E,B20)</f>
        <v>0</v>
      </c>
      <c r="Y20" s="54">
        <f t="shared" si="7"/>
        <v>0</v>
      </c>
      <c r="Z20" s="51">
        <f>-SUMIFS('Отчет 01-07.12'!P:P,'Отчет 01-07.12'!C:C,"Услуги доставки",'Отчет 01-07.12'!E:E,B20)</f>
        <v>0</v>
      </c>
      <c r="AA20" s="41">
        <v>0</v>
      </c>
      <c r="AB20" s="64"/>
      <c r="AC20" s="51"/>
      <c r="AD20" s="55">
        <f t="shared" si="8"/>
        <v>0</v>
      </c>
      <c r="AE20" s="56">
        <f t="shared" si="9"/>
        <v>0</v>
      </c>
      <c r="AF20" s="55"/>
      <c r="AG20" s="57">
        <f t="shared" si="10"/>
        <v>0</v>
      </c>
      <c r="AH20" s="58">
        <f t="shared" si="11"/>
        <v>932.62</v>
      </c>
      <c r="AI20" s="58">
        <f t="shared" si="12"/>
        <v>0</v>
      </c>
      <c r="AJ20" s="58">
        <f t="shared" si="13"/>
        <v>0</v>
      </c>
      <c r="AK20" s="58">
        <f t="shared" si="14"/>
        <v>0</v>
      </c>
      <c r="AL20" s="58">
        <f t="array" ref="AL20">_xlfn.IFS(R20=0,AE20,R20&lt;0,AE20/-R20,R20&gt;0,AE20/R20)</f>
        <v>0</v>
      </c>
      <c r="AM20" s="59">
        <f t="shared" si="15"/>
        <v>0</v>
      </c>
      <c r="AN20" s="60">
        <f t="shared" si="16"/>
        <v>0</v>
      </c>
      <c r="AP20" s="62">
        <f t="shared" si="17"/>
        <v>0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01-07.12'!H:H,'Отчет 01-07.12'!D:D,"Выручка",'Отчет 01-07.12'!E:E,B21)</f>
        <v>0</v>
      </c>
      <c r="Q21" s="48">
        <f>SUMIFS('Отчет 01-07.12'!H:H,'Отчет 01-07.12'!D:D,"Возврат выручки",'Отчет 01-07.12'!E:E,B21)</f>
        <v>0</v>
      </c>
      <c r="R21" s="49">
        <f t="shared" si="3"/>
        <v>0</v>
      </c>
      <c r="S21" s="50">
        <f>SUMIFS('Отчет 01-07.12'!P:P,'Отчет 01-07.12'!C:C,"Продажи",'Отчет 01-07.12'!E:E,B21)</f>
        <v>0</v>
      </c>
      <c r="T21" s="51">
        <f>SUMIFS('Отчет 01-07.12'!P:P,'Отчет 01-07.12'!C:C,"Возвраты",'Отчет 01-07.12'!E:E,B21)</f>
        <v>0</v>
      </c>
      <c r="U21" s="49">
        <f t="shared" si="4"/>
        <v>0</v>
      </c>
      <c r="V21" s="52">
        <f t="shared" si="5"/>
        <v>0</v>
      </c>
      <c r="W21" s="53">
        <f t="shared" si="6"/>
        <v>0</v>
      </c>
      <c r="X21" s="51">
        <f>-SUMIFS('Отчет 01-07.12'!P:P,'Отчет 01-07.12'!C:C,"Вознаграждение Ozon",'Отчет 01-07.12'!E:E,B21)</f>
        <v>0</v>
      </c>
      <c r="Y21" s="54">
        <f t="shared" si="7"/>
        <v>0</v>
      </c>
      <c r="Z21" s="51">
        <f>-SUMIFS('Отчет 01-07.12'!P:P,'Отчет 01-07.12'!C:C,"Услуги доставки",'Отчет 01-07.12'!E:E,B21)</f>
        <v>0</v>
      </c>
      <c r="AA21" s="41">
        <v>0</v>
      </c>
      <c r="AB21" s="64"/>
      <c r="AC21" s="51"/>
      <c r="AD21" s="55">
        <f t="shared" si="8"/>
        <v>0</v>
      </c>
      <c r="AE21" s="56">
        <f t="shared" si="9"/>
        <v>0</v>
      </c>
      <c r="AF21" s="55"/>
      <c r="AG21" s="57">
        <f t="shared" si="10"/>
        <v>0</v>
      </c>
      <c r="AH21" s="58">
        <f t="shared" si="11"/>
        <v>1014.52</v>
      </c>
      <c r="AI21" s="58">
        <f t="shared" si="12"/>
        <v>0</v>
      </c>
      <c r="AJ21" s="58">
        <f t="shared" si="13"/>
        <v>0</v>
      </c>
      <c r="AK21" s="58">
        <f t="shared" si="14"/>
        <v>0</v>
      </c>
      <c r="AL21" s="58">
        <f t="array" ref="AL21">_xlfn.IFS(R21=0,AE21,R21&lt;0,AE21/-R21,R21&gt;0,AE21/R21)</f>
        <v>0</v>
      </c>
      <c r="AM21" s="59">
        <f t="shared" si="15"/>
        <v>0</v>
      </c>
      <c r="AN21" s="60">
        <f t="shared" si="16"/>
        <v>0</v>
      </c>
      <c r="AP21" s="62">
        <f t="shared" si="17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01-07.12'!H:H,'Отчет 01-07.12'!D:D,"Выручка",'Отчет 01-07.12'!E:E,B22)</f>
        <v>0</v>
      </c>
      <c r="Q22" s="48">
        <f>SUMIFS('Отчет 01-07.12'!H:H,'Отчет 01-07.12'!D:D,"Возврат выручки",'Отчет 01-07.12'!E:E,B22)</f>
        <v>0</v>
      </c>
      <c r="R22" s="49">
        <f t="shared" si="3"/>
        <v>0</v>
      </c>
      <c r="S22" s="50">
        <f>SUMIFS('Отчет 01-07.12'!P:P,'Отчет 01-07.12'!C:C,"Продажи",'Отчет 01-07.12'!E:E,B22)</f>
        <v>0</v>
      </c>
      <c r="T22" s="51">
        <f>SUMIFS('Отчет 01-07.12'!P:P,'Отчет 01-07.12'!C:C,"Возвраты",'Отчет 01-07.12'!E:E,B22)</f>
        <v>0</v>
      </c>
      <c r="U22" s="49">
        <f t="shared" si="4"/>
        <v>0</v>
      </c>
      <c r="V22" s="52">
        <f t="shared" si="5"/>
        <v>0</v>
      </c>
      <c r="W22" s="53">
        <f t="shared" si="6"/>
        <v>0</v>
      </c>
      <c r="X22" s="51">
        <f>-SUMIFS('Отчет 01-07.12'!P:P,'Отчет 01-07.12'!C:C,"Вознаграждение Ozon",'Отчет 01-07.12'!E:E,B22)</f>
        <v>0</v>
      </c>
      <c r="Y22" s="54">
        <f t="shared" si="7"/>
        <v>0</v>
      </c>
      <c r="Z22" s="51">
        <f>-SUMIFS('Отчет 01-07.12'!P:P,'Отчет 01-07.12'!C:C,"Услуги доставки",'Отчет 01-07.12'!E:E,B22)</f>
        <v>0</v>
      </c>
      <c r="AA22" s="41">
        <v>0</v>
      </c>
      <c r="AB22" s="64"/>
      <c r="AC22" s="51"/>
      <c r="AD22" s="55">
        <f t="shared" si="8"/>
        <v>0</v>
      </c>
      <c r="AE22" s="56">
        <f t="shared" si="9"/>
        <v>0</v>
      </c>
      <c r="AF22" s="55"/>
      <c r="AG22" s="57">
        <f t="shared" si="10"/>
        <v>0</v>
      </c>
      <c r="AH22" s="58">
        <f t="shared" si="11"/>
        <v>1014.52</v>
      </c>
      <c r="AI22" s="58">
        <f t="shared" si="12"/>
        <v>0</v>
      </c>
      <c r="AJ22" s="58">
        <f t="shared" si="13"/>
        <v>0</v>
      </c>
      <c r="AK22" s="58">
        <f t="shared" si="14"/>
        <v>0</v>
      </c>
      <c r="AL22" s="58">
        <f t="array" ref="AL22">_xlfn.IFS(R22=0,AE22,R22&lt;0,AE22/-R22,R22&gt;0,AE22/R22)</f>
        <v>0</v>
      </c>
      <c r="AM22" s="59">
        <f t="shared" si="15"/>
        <v>0</v>
      </c>
      <c r="AN22" s="60">
        <f t="shared" si="16"/>
        <v>0</v>
      </c>
      <c r="AP22" s="62">
        <f t="shared" si="17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"/>
        <v>0</v>
      </c>
      <c r="O23" s="47">
        <f t="shared" si="2"/>
        <v>0</v>
      </c>
      <c r="P23" s="48">
        <f>SUMIFS('Отчет 01-07.12'!H:H,'Отчет 01-07.12'!D:D,"Выручка",'Отчет 01-07.12'!E:E,B23)</f>
        <v>0</v>
      </c>
      <c r="Q23" s="48">
        <f>SUMIFS('Отчет 01-07.12'!H:H,'Отчет 01-07.12'!D:D,"Возврат выручки",'Отчет 01-07.12'!E:E,B23)</f>
        <v>0</v>
      </c>
      <c r="R23" s="49">
        <f t="shared" si="3"/>
        <v>0</v>
      </c>
      <c r="S23" s="50">
        <f>SUMIFS('Отчет 01-07.12'!P:P,'Отчет 01-07.12'!C:C,"Продажи",'Отчет 01-07.12'!E:E,B23)</f>
        <v>0</v>
      </c>
      <c r="T23" s="51">
        <f>SUMIFS('Отчет 01-07.12'!P:P,'Отчет 01-07.12'!C:C,"Возвраты",'Отчет 01-07.12'!E:E,B23)</f>
        <v>0</v>
      </c>
      <c r="U23" s="49">
        <f t="shared" si="4"/>
        <v>0</v>
      </c>
      <c r="V23" s="52">
        <f t="shared" si="5"/>
        <v>0</v>
      </c>
      <c r="W23" s="53">
        <f t="shared" si="6"/>
        <v>0</v>
      </c>
      <c r="X23" s="51">
        <f>-SUMIFS('Отчет 01-07.12'!P:P,'Отчет 01-07.12'!C:C,"Вознаграждение Ozon",'Отчет 01-07.12'!E:E,B23)</f>
        <v>0</v>
      </c>
      <c r="Y23" s="54">
        <f t="shared" si="7"/>
        <v>0</v>
      </c>
      <c r="Z23" s="51">
        <f>-SUMIFS('Отчет 01-07.12'!P:P,'Отчет 01-07.12'!C:C,"Услуги доставки",'Отчет 01-07.12'!E:E,B23)</f>
        <v>0</v>
      </c>
      <c r="AA23" s="41">
        <v>0</v>
      </c>
      <c r="AB23" s="64"/>
      <c r="AC23" s="51"/>
      <c r="AD23" s="55">
        <f t="shared" si="8"/>
        <v>0</v>
      </c>
      <c r="AE23" s="56">
        <f t="shared" si="9"/>
        <v>0</v>
      </c>
      <c r="AF23" s="55"/>
      <c r="AG23" s="57">
        <f t="shared" si="10"/>
        <v>0</v>
      </c>
      <c r="AH23" s="58">
        <f t="shared" si="11"/>
        <v>1014.52</v>
      </c>
      <c r="AI23" s="58">
        <f t="shared" si="12"/>
        <v>0</v>
      </c>
      <c r="AJ23" s="58">
        <f t="shared" si="13"/>
        <v>0</v>
      </c>
      <c r="AK23" s="58">
        <f t="shared" si="14"/>
        <v>0</v>
      </c>
      <c r="AL23" s="58">
        <f t="array" ref="AL23">_xlfn.IFS(R23=0,AE23,R23&lt;0,AE23/-R23,R23&gt;0,AE23/R23)</f>
        <v>0</v>
      </c>
      <c r="AM23" s="59">
        <f t="shared" si="15"/>
        <v>0</v>
      </c>
      <c r="AN23" s="60">
        <f t="shared" si="16"/>
        <v>0</v>
      </c>
      <c r="AP23" s="62">
        <f t="shared" si="17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"/>
        <v>0</v>
      </c>
      <c r="O24" s="47">
        <f t="shared" si="2"/>
        <v>0</v>
      </c>
      <c r="P24" s="48">
        <f>SUMIFS('Отчет 01-07.12'!H:H,'Отчет 01-07.12'!D:D,"Выручка",'Отчет 01-07.12'!E:E,B24)</f>
        <v>0</v>
      </c>
      <c r="Q24" s="48">
        <f>SUMIFS('Отчет 01-07.12'!H:H,'Отчет 01-07.12'!D:D,"Возврат выручки",'Отчет 01-07.12'!E:E,B24)</f>
        <v>0</v>
      </c>
      <c r="R24" s="49">
        <f t="shared" si="3"/>
        <v>0</v>
      </c>
      <c r="S24" s="50">
        <f>SUMIFS('Отчет 01-07.12'!P:P,'Отчет 01-07.12'!C:C,"Продажи",'Отчет 01-07.12'!E:E,B24)</f>
        <v>0</v>
      </c>
      <c r="T24" s="51">
        <f>SUMIFS('Отчет 01-07.12'!P:P,'Отчет 01-07.12'!C:C,"Возвраты",'Отчет 01-07.12'!E:E,B24)</f>
        <v>0</v>
      </c>
      <c r="U24" s="49">
        <f t="shared" si="4"/>
        <v>0</v>
      </c>
      <c r="V24" s="52">
        <f t="shared" si="5"/>
        <v>0</v>
      </c>
      <c r="W24" s="53">
        <f t="shared" si="6"/>
        <v>0</v>
      </c>
      <c r="X24" s="51">
        <f>-SUMIFS('Отчет 01-07.12'!P:P,'Отчет 01-07.12'!C:C,"Вознаграждение Ozon",'Отчет 01-07.12'!E:E,B24)</f>
        <v>0</v>
      </c>
      <c r="Y24" s="54">
        <f t="shared" si="7"/>
        <v>0</v>
      </c>
      <c r="Z24" s="51">
        <f>-SUMIFS('Отчет 01-07.12'!P:P,'Отчет 01-07.12'!C:C,"Услуги доставки",'Отчет 01-07.12'!E:E,B24)</f>
        <v>0</v>
      </c>
      <c r="AA24" s="41">
        <v>0</v>
      </c>
      <c r="AB24" s="64"/>
      <c r="AC24" s="51"/>
      <c r="AD24" s="55">
        <f t="shared" si="8"/>
        <v>0</v>
      </c>
      <c r="AE24" s="56">
        <f t="shared" si="9"/>
        <v>0</v>
      </c>
      <c r="AF24" s="55"/>
      <c r="AG24" s="57">
        <f t="shared" si="10"/>
        <v>0</v>
      </c>
      <c r="AH24" s="58">
        <f t="shared" si="11"/>
        <v>991.12</v>
      </c>
      <c r="AI24" s="58">
        <f t="shared" si="12"/>
        <v>0</v>
      </c>
      <c r="AJ24" s="58">
        <f t="shared" si="13"/>
        <v>0</v>
      </c>
      <c r="AK24" s="58">
        <f t="shared" si="14"/>
        <v>0</v>
      </c>
      <c r="AL24" s="58">
        <f t="array" ref="AL24">_xlfn.IFS(R24=0,AE24,R24&lt;0,AE24/-R24,R24&gt;0,AE24/R24)</f>
        <v>0</v>
      </c>
      <c r="AM24" s="59">
        <f t="shared" si="15"/>
        <v>0</v>
      </c>
      <c r="AN24" s="60">
        <f t="shared" si="16"/>
        <v>0</v>
      </c>
      <c r="AP24" s="62">
        <f t="shared" si="17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8">AVERAGEIF(AG3:AG24,"&lt;&gt;0",AG3:AG24)</f>
        <v>1590.8838932806325</v>
      </c>
      <c r="AH25" s="247">
        <f t="shared" si="18"/>
        <v>447.87636363636369</v>
      </c>
      <c r="AI25" s="247">
        <f t="shared" si="18"/>
        <v>684.08007411067194</v>
      </c>
      <c r="AJ25" s="247">
        <f t="shared" si="18"/>
        <v>198.14351284584978</v>
      </c>
      <c r="AK25" s="247">
        <f t="shared" si="18"/>
        <v>453.5444193339921</v>
      </c>
      <c r="AL25" s="247">
        <f t="shared" si="18"/>
        <v>193.21951064352768</v>
      </c>
      <c r="AM25" s="249">
        <f t="shared" si="18"/>
        <v>0.12472426698288097</v>
      </c>
      <c r="AN25" s="249">
        <f t="shared" si="18"/>
        <v>1.3547316489194561</v>
      </c>
      <c r="AO25" s="240"/>
      <c r="AP25" s="241"/>
    </row>
    <row r="26" spans="1:52">
      <c r="A26" s="216" t="s">
        <v>305</v>
      </c>
      <c r="B26" s="209"/>
      <c r="C26" s="217">
        <f>SUM(C3:C24)</f>
        <v>4249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556723.08999999985</v>
      </c>
      <c r="J26" s="212"/>
      <c r="K26" s="217">
        <f>SUM(K3:K24)</f>
        <v>79</v>
      </c>
      <c r="L26" s="212"/>
      <c r="M26" s="212"/>
      <c r="N26" s="213"/>
      <c r="O26" s="214"/>
      <c r="P26" s="217">
        <f>SUM(P3:P24)</f>
        <v>58</v>
      </c>
      <c r="Q26" s="217">
        <f t="shared" ref="Q26:AE26" si="19">SUM(Q3:Q24)</f>
        <v>0</v>
      </c>
      <c r="R26" s="217">
        <f t="shared" si="19"/>
        <v>58</v>
      </c>
      <c r="S26" s="237">
        <f>SUM(S3:S24)</f>
        <v>86821</v>
      </c>
      <c r="T26" s="217">
        <f t="shared" si="19"/>
        <v>0</v>
      </c>
      <c r="U26" s="217">
        <f t="shared" si="19"/>
        <v>86821</v>
      </c>
      <c r="V26" s="256">
        <f t="shared" si="19"/>
        <v>-15.785636363636366</v>
      </c>
      <c r="W26" s="217">
        <f t="shared" si="19"/>
        <v>7713.2400000000007</v>
      </c>
      <c r="X26" s="217">
        <f t="shared" si="19"/>
        <v>37333.029999999992</v>
      </c>
      <c r="Y26" s="215">
        <f>IF(U26=0,0,X26/U26)</f>
        <v>0.42999999999999988</v>
      </c>
      <c r="Z26" s="217">
        <f t="shared" si="19"/>
        <v>8892.35</v>
      </c>
      <c r="AA26" s="217">
        <f>IFERROR(P26*AA51/P51,0)</f>
        <v>13303.056949152542</v>
      </c>
      <c r="AB26" s="217">
        <f t="shared" si="19"/>
        <v>0</v>
      </c>
      <c r="AC26" s="217">
        <f t="shared" si="19"/>
        <v>0</v>
      </c>
      <c r="AD26" s="238">
        <f t="shared" si="19"/>
        <v>5209.2599999999993</v>
      </c>
      <c r="AE26" s="239">
        <f t="shared" si="19"/>
        <v>8300.0239210000018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589065.06112733786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19373.096078999995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17</v>
      </c>
      <c r="D28" s="42"/>
      <c r="E28" s="42"/>
      <c r="F28" s="42"/>
      <c r="G28" s="43"/>
      <c r="H28" s="65">
        <v>672</v>
      </c>
      <c r="I28" s="63">
        <f t="shared" ref="I28:I46" si="20">C28*H28</f>
        <v>11424</v>
      </c>
      <c r="J28" s="45"/>
      <c r="K28" s="41">
        <v>0</v>
      </c>
      <c r="L28" s="45"/>
      <c r="M28" s="45"/>
      <c r="N28" s="46">
        <f t="shared" ref="N28:N47" si="21">K28/7</f>
        <v>0</v>
      </c>
      <c r="O28" s="47">
        <f t="shared" ref="O28:O47" si="22">R28/7</f>
        <v>0</v>
      </c>
      <c r="P28" s="48">
        <f>SUMIFS('Отчет 01-07.12'!H:H,'Отчет 01-07.12'!D:D,"Выручка",'Отчет 01-07.12'!E:E,B28)</f>
        <v>1</v>
      </c>
      <c r="Q28" s="48">
        <f>SUMIFS('Отчет 01-07.12'!H:H,'Отчет 01-07.12'!D:D,"Возврат выручки",'Отчет 01-07.12'!E:E,B28)</f>
        <v>1</v>
      </c>
      <c r="R28" s="49">
        <f t="shared" ref="R28:R47" si="23">P28-Q28</f>
        <v>0</v>
      </c>
      <c r="S28" s="50">
        <f>SUMIFS('Отчет 01-07.12'!P:P,'Отчет 01-07.12'!C:C,"Продажи",'Отчет 01-07.12'!E:E,B28)</f>
        <v>6500</v>
      </c>
      <c r="T28" s="51">
        <f>SUMIFS('Отчет 01-07.12'!P:P,'Отчет 01-07.12'!C:C,"Возвраты",'Отчет 01-07.12'!E:E,B28)</f>
        <v>-6500</v>
      </c>
      <c r="U28" s="49">
        <f t="shared" ref="U28:U47" si="24">S28+T28</f>
        <v>0</v>
      </c>
      <c r="V28" s="52">
        <f t="shared" ref="V28:V47" si="25">U28/$U$49</f>
        <v>0</v>
      </c>
      <c r="W28" s="53">
        <f t="shared" ref="W28:W47" si="26">R28*H28</f>
        <v>0</v>
      </c>
      <c r="X28" s="51">
        <f>-SUMIFS('Отчет 01-07.12'!P:P,'Отчет 01-07.12'!C:C,"Вознаграждение Ozon",'Отчет 01-07.12'!E:E,B28)</f>
        <v>0</v>
      </c>
      <c r="Y28" s="54">
        <f t="shared" ref="Y28:Y47" si="27">IF(U28=0,0,X28/U28)</f>
        <v>0</v>
      </c>
      <c r="Z28" s="51">
        <f>-SUMIFS('Отчет 01-07.12'!P:P,'Отчет 01-07.12'!C:C,"Услуги доставки",'Отчет 01-07.12'!E:E,B28)</f>
        <v>352.03</v>
      </c>
      <c r="AA28" s="41">
        <v>0</v>
      </c>
      <c r="AB28" s="64"/>
      <c r="AC28" s="51"/>
      <c r="AD28" s="55">
        <f t="shared" ref="AD28:AD47" si="28">U28*6%</f>
        <v>0</v>
      </c>
      <c r="AE28" s="56">
        <f t="shared" ref="AE28:AE47" si="29">U28-W28-X28-Z28-AA28-AB28-AC28-AD28</f>
        <v>-352.03</v>
      </c>
      <c r="AF28" s="55"/>
      <c r="AG28" s="57">
        <f t="shared" ref="AG28:AG47" si="30">IF(R28=0,0,U28/R28)</f>
        <v>0</v>
      </c>
      <c r="AH28" s="58">
        <f t="shared" ref="AH28:AH47" si="31">H28</f>
        <v>672</v>
      </c>
      <c r="AI28" s="58">
        <f t="shared" ref="AI28:AI47" si="32">IF(R28=0,0,X28/R28)</f>
        <v>0</v>
      </c>
      <c r="AJ28" s="58">
        <f t="shared" ref="AJ28:AJ47" si="33">IF(P28=0,Z28/1,Z28/P28)</f>
        <v>352.03</v>
      </c>
      <c r="AK28" s="58">
        <f t="shared" ref="AK28:AK47" si="34">IF(P28=0,0,AA28/P28)</f>
        <v>0</v>
      </c>
      <c r="AL28" s="58">
        <f t="array" ref="AL28">_xlfn.IFS(R28=0,AE28,R28&lt;0,AE28/-R28,R28&gt;0,AE28/R28)</f>
        <v>-352.03</v>
      </c>
      <c r="AM28" s="59">
        <f t="shared" ref="AM28:AM47" si="35">IF(AG28=0,0,AL28/AG28)</f>
        <v>0</v>
      </c>
      <c r="AN28" s="60">
        <f t="shared" ref="AN28:AN47" si="36">IF(AH28=0,0,AL28/AH28)</f>
        <v>-0.52385416666666662</v>
      </c>
      <c r="AP28" s="62">
        <f t="shared" ref="AP28:AP47" si="37">AL28*C28</f>
        <v>-5984.5099999999993</v>
      </c>
    </row>
    <row r="29" spans="1:52">
      <c r="A29" s="39">
        <v>2774708622</v>
      </c>
      <c r="B29" s="40" t="s">
        <v>43</v>
      </c>
      <c r="C29" s="41">
        <v>18</v>
      </c>
      <c r="D29" s="42"/>
      <c r="E29" s="42"/>
      <c r="F29" s="42"/>
      <c r="G29" s="43"/>
      <c r="H29" s="65">
        <v>627</v>
      </c>
      <c r="I29" s="63">
        <f t="shared" si="20"/>
        <v>11286</v>
      </c>
      <c r="J29" s="45"/>
      <c r="K29" s="41">
        <v>0</v>
      </c>
      <c r="L29" s="45"/>
      <c r="M29" s="45"/>
      <c r="N29" s="46">
        <f t="shared" si="21"/>
        <v>0</v>
      </c>
      <c r="O29" s="47">
        <f t="shared" si="22"/>
        <v>0</v>
      </c>
      <c r="P29" s="48">
        <f>SUMIFS('Отчет 01-07.12'!H:H,'Отчет 01-07.12'!D:D,"Выручка",'Отчет 01-07.12'!E:E,B29)</f>
        <v>0</v>
      </c>
      <c r="Q29" s="48">
        <f>SUMIFS('Отчет 01-07.12'!H:H,'Отчет 01-07.12'!D:D,"Возврат выручки",'Отчет 01-07.12'!E:E,B29)</f>
        <v>0</v>
      </c>
      <c r="R29" s="49">
        <f t="shared" si="23"/>
        <v>0</v>
      </c>
      <c r="S29" s="50">
        <f>SUMIFS('Отчет 01-07.12'!P:P,'Отчет 01-07.12'!C:C,"Продажи",'Отчет 01-07.12'!E:E,B29)</f>
        <v>0</v>
      </c>
      <c r="T29" s="51">
        <f>SUMIFS('Отчет 01-07.12'!P:P,'Отчет 01-07.12'!C:C,"Возвраты",'Отчет 01-07.12'!E:E,B29)</f>
        <v>0</v>
      </c>
      <c r="U29" s="49">
        <f t="shared" si="24"/>
        <v>0</v>
      </c>
      <c r="V29" s="52">
        <f t="shared" si="25"/>
        <v>0</v>
      </c>
      <c r="W29" s="53">
        <f t="shared" si="26"/>
        <v>0</v>
      </c>
      <c r="X29" s="51">
        <f>-SUMIFS('Отчет 01-07.12'!P:P,'Отчет 01-07.12'!C:C,"Вознаграждение Ozon",'Отчет 01-07.12'!E:E,B29)</f>
        <v>0</v>
      </c>
      <c r="Y29" s="54">
        <f t="shared" si="27"/>
        <v>0</v>
      </c>
      <c r="Z29" s="51">
        <f>-SUMIFS('Отчет 01-07.12'!P:P,'Отчет 01-07.12'!C:C,"Услуги доставки",'Отчет 01-07.12'!E:E,B29)</f>
        <v>0</v>
      </c>
      <c r="AA29" s="41">
        <v>0</v>
      </c>
      <c r="AB29" s="64"/>
      <c r="AC29" s="51"/>
      <c r="AD29" s="55">
        <f t="shared" si="28"/>
        <v>0</v>
      </c>
      <c r="AE29" s="56">
        <f t="shared" si="29"/>
        <v>0</v>
      </c>
      <c r="AF29" s="55"/>
      <c r="AG29" s="57">
        <f t="shared" si="30"/>
        <v>0</v>
      </c>
      <c r="AH29" s="58">
        <f t="shared" si="31"/>
        <v>627</v>
      </c>
      <c r="AI29" s="58">
        <f t="shared" si="32"/>
        <v>0</v>
      </c>
      <c r="AJ29" s="58">
        <f t="shared" si="33"/>
        <v>0</v>
      </c>
      <c r="AK29" s="58">
        <f t="shared" si="34"/>
        <v>0</v>
      </c>
      <c r="AL29" s="58">
        <f t="array" ref="AL29">_xlfn.IFS(R29=0,AE29,R29&lt;0,AE29/-R29,R29&gt;0,AE29/R29)</f>
        <v>0</v>
      </c>
      <c r="AM29" s="59">
        <f t="shared" si="35"/>
        <v>0</v>
      </c>
      <c r="AN29" s="60">
        <f t="shared" si="36"/>
        <v>0</v>
      </c>
      <c r="AP29" s="62">
        <f t="shared" si="37"/>
        <v>0</v>
      </c>
    </row>
    <row r="30" spans="1:52">
      <c r="A30" s="39">
        <v>2774709606</v>
      </c>
      <c r="B30" s="40" t="s">
        <v>235</v>
      </c>
      <c r="C30" s="41">
        <v>17</v>
      </c>
      <c r="D30" s="42"/>
      <c r="E30" s="42"/>
      <c r="F30" s="42"/>
      <c r="G30" s="43"/>
      <c r="H30" s="65">
        <v>627</v>
      </c>
      <c r="I30" s="63">
        <f t="shared" si="20"/>
        <v>10659</v>
      </c>
      <c r="J30" s="45"/>
      <c r="K30" s="41">
        <v>0</v>
      </c>
      <c r="L30" s="45"/>
      <c r="M30" s="45"/>
      <c r="N30" s="46">
        <f t="shared" si="21"/>
        <v>0</v>
      </c>
      <c r="O30" s="47">
        <f t="shared" si="22"/>
        <v>0</v>
      </c>
      <c r="P30" s="48">
        <f>SUMIFS('Отчет 01-07.12'!H:H,'Отчет 01-07.12'!D:D,"Выручка",'Отчет 01-07.12'!E:E,B30)</f>
        <v>0</v>
      </c>
      <c r="Q30" s="48">
        <f>SUMIFS('Отчет 01-07.12'!H:H,'Отчет 01-07.12'!D:D,"Возврат выручки",'Отчет 01-07.12'!E:E,B30)</f>
        <v>0</v>
      </c>
      <c r="R30" s="49">
        <f t="shared" si="23"/>
        <v>0</v>
      </c>
      <c r="S30" s="50">
        <f>SUMIFS('Отчет 01-07.12'!P:P,'Отчет 01-07.12'!C:C,"Продажи",'Отчет 01-07.12'!E:E,B30)</f>
        <v>0</v>
      </c>
      <c r="T30" s="51">
        <f>SUMIFS('Отчет 01-07.12'!P:P,'Отчет 01-07.12'!C:C,"Возвраты",'Отчет 01-07.12'!E:E,B30)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01-07.12'!P:P,'Отчет 01-07.12'!C:C,"Вознаграждение Ozon",'Отчет 01-07.12'!E:E,B30)</f>
        <v>0</v>
      </c>
      <c r="Y30" s="54">
        <f t="shared" si="27"/>
        <v>0</v>
      </c>
      <c r="Z30" s="51">
        <f>-SUMIFS('Отчет 01-07.12'!P:P,'Отчет 01-07.12'!C:C,"Услуги доставки",'Отчет 01-07.12'!E:E,B30)</f>
        <v>0</v>
      </c>
      <c r="AA30" s="41">
        <v>0</v>
      </c>
      <c r="AB30" s="64"/>
      <c r="AC30" s="51"/>
      <c r="AD30" s="55">
        <f t="shared" si="28"/>
        <v>0</v>
      </c>
      <c r="AE30" s="56">
        <f t="shared" si="29"/>
        <v>0</v>
      </c>
      <c r="AF30" s="55"/>
      <c r="AG30" s="57">
        <f t="shared" si="30"/>
        <v>0</v>
      </c>
      <c r="AH30" s="58">
        <f t="shared" si="31"/>
        <v>627</v>
      </c>
      <c r="AI30" s="58">
        <f t="shared" si="32"/>
        <v>0</v>
      </c>
      <c r="AJ30" s="58">
        <f t="shared" si="33"/>
        <v>0</v>
      </c>
      <c r="AK30" s="58">
        <f t="shared" si="34"/>
        <v>0</v>
      </c>
      <c r="AL30" s="58">
        <f t="array" ref="AL30">_xlfn.IFS(R30=0,AE30,R30&lt;0,AE30/-R30,R30&gt;0,AE30/R30)</f>
        <v>0</v>
      </c>
      <c r="AM30" s="59">
        <f t="shared" si="35"/>
        <v>0</v>
      </c>
      <c r="AN30" s="60">
        <f t="shared" si="36"/>
        <v>0</v>
      </c>
      <c r="AP30" s="62">
        <f t="shared" si="37"/>
        <v>0</v>
      </c>
    </row>
    <row r="31" spans="1:52">
      <c r="A31" s="39">
        <v>2774720465</v>
      </c>
      <c r="B31" s="40" t="s">
        <v>171</v>
      </c>
      <c r="C31" s="41">
        <v>18</v>
      </c>
      <c r="D31" s="42"/>
      <c r="E31" s="42"/>
      <c r="F31" s="42"/>
      <c r="G31" s="43"/>
      <c r="H31" s="65">
        <v>567</v>
      </c>
      <c r="I31" s="63">
        <f t="shared" si="20"/>
        <v>10206</v>
      </c>
      <c r="J31" s="45"/>
      <c r="K31" s="41">
        <v>0</v>
      </c>
      <c r="L31" s="45"/>
      <c r="M31" s="45"/>
      <c r="N31" s="46">
        <f t="shared" si="21"/>
        <v>0</v>
      </c>
      <c r="O31" s="47">
        <f t="shared" si="22"/>
        <v>0</v>
      </c>
      <c r="P31" s="48">
        <f>SUMIFS('Отчет 01-07.12'!H:H,'Отчет 01-07.12'!D:D,"Выручка",'Отчет 01-07.12'!E:E,B31)</f>
        <v>0</v>
      </c>
      <c r="Q31" s="48">
        <f>SUMIFS('Отчет 01-07.12'!H:H,'Отчет 01-07.12'!D:D,"Возврат выручки",'Отчет 01-07.12'!E:E,B31)</f>
        <v>0</v>
      </c>
      <c r="R31" s="49">
        <f t="shared" si="23"/>
        <v>0</v>
      </c>
      <c r="S31" s="50">
        <f>SUMIFS('Отчет 01-07.12'!P:P,'Отчет 01-07.12'!C:C,"Продажи",'Отчет 01-07.12'!E:E,B31)</f>
        <v>0</v>
      </c>
      <c r="T31" s="51">
        <f>SUMIFS('Отчет 01-07.12'!P:P,'Отчет 01-07.12'!C:C,"Возвраты",'Отчет 01-07.12'!E:E,B31)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01-07.12'!P:P,'Отчет 01-07.12'!C:C,"Вознаграждение Ozon",'Отчет 01-07.12'!E:E,B31)</f>
        <v>0</v>
      </c>
      <c r="Y31" s="54">
        <f t="shared" si="27"/>
        <v>0</v>
      </c>
      <c r="Z31" s="51">
        <f>-SUMIFS('Отчет 01-07.12'!P:P,'Отчет 01-07.12'!C:C,"Услуги доставки",'Отчет 01-07.12'!E:E,B31)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567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20"/>
        <v>10773</v>
      </c>
      <c r="J32" s="45"/>
      <c r="K32" s="41">
        <v>0</v>
      </c>
      <c r="L32" s="45"/>
      <c r="M32" s="45"/>
      <c r="N32" s="46">
        <f t="shared" si="21"/>
        <v>0</v>
      </c>
      <c r="O32" s="47">
        <f t="shared" si="22"/>
        <v>0</v>
      </c>
      <c r="P32" s="48">
        <f>SUMIFS('Отчет 01-07.12'!H:H,'Отчет 01-07.12'!D:D,"Выручка",'Отчет 01-07.12'!E:E,B32)</f>
        <v>0</v>
      </c>
      <c r="Q32" s="48">
        <f>SUMIFS('Отчет 01-07.12'!H:H,'Отчет 01-07.12'!D:D,"Возврат выручки",'Отчет 01-07.12'!E:E,B32)</f>
        <v>0</v>
      </c>
      <c r="R32" s="49">
        <f t="shared" si="23"/>
        <v>0</v>
      </c>
      <c r="S32" s="50">
        <f>SUMIFS('Отчет 01-07.12'!P:P,'Отчет 01-07.12'!C:C,"Продажи",'Отчет 01-07.12'!E:E,B32)</f>
        <v>0</v>
      </c>
      <c r="T32" s="51">
        <f>SUMIFS('Отчет 01-07.12'!P:P,'Отчет 01-07.12'!C:C,"Возвраты",'Отчет 01-07.12'!E:E,B32)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01-07.12'!P:P,'Отчет 01-07.12'!C:C,"Вознаграждение Ozon",'Отчет 01-07.12'!E:E,B32)</f>
        <v>0</v>
      </c>
      <c r="Y32" s="54">
        <f t="shared" si="27"/>
        <v>0</v>
      </c>
      <c r="Z32" s="51">
        <f>-SUMIFS('Отчет 01-07.12'!P:P,'Отчет 01-07.12'!C:C,"Услуги доставки",'Отчет 01-07.12'!E:E,B32)</f>
        <v>0</v>
      </c>
      <c r="AA32" s="41">
        <v>0</v>
      </c>
      <c r="AB32" s="64"/>
      <c r="AC32" s="51"/>
      <c r="AD32" s="55">
        <f t="shared" si="28"/>
        <v>0</v>
      </c>
      <c r="AE32" s="56">
        <f t="shared" si="29"/>
        <v>0</v>
      </c>
      <c r="AF32" s="55"/>
      <c r="AG32" s="57">
        <f t="shared" si="30"/>
        <v>0</v>
      </c>
      <c r="AH32" s="58">
        <f t="shared" si="31"/>
        <v>567</v>
      </c>
      <c r="AI32" s="58">
        <f t="shared" si="32"/>
        <v>0</v>
      </c>
      <c r="AJ32" s="58">
        <f t="shared" si="33"/>
        <v>0</v>
      </c>
      <c r="AK32" s="58">
        <f t="shared" si="34"/>
        <v>0</v>
      </c>
      <c r="AL32" s="58">
        <f t="array" ref="AL32">_xlfn.IFS(R32=0,AE32,R32&lt;0,AE32/-R32,R32&gt;0,AE32/R32)</f>
        <v>0</v>
      </c>
      <c r="AM32" s="59">
        <f t="shared" si="35"/>
        <v>0</v>
      </c>
      <c r="AN32" s="60">
        <f t="shared" si="36"/>
        <v>0</v>
      </c>
      <c r="AP32" s="62">
        <f t="shared" si="37"/>
        <v>0</v>
      </c>
    </row>
    <row r="33" spans="1:42">
      <c r="A33" s="39">
        <v>2774719022</v>
      </c>
      <c r="B33" s="40" t="s">
        <v>236</v>
      </c>
      <c r="C33" s="41">
        <v>16</v>
      </c>
      <c r="D33" s="42"/>
      <c r="E33" s="42"/>
      <c r="F33" s="42"/>
      <c r="G33" s="43"/>
      <c r="H33" s="65">
        <v>657</v>
      </c>
      <c r="I33" s="63">
        <f t="shared" si="20"/>
        <v>10512</v>
      </c>
      <c r="J33" s="45"/>
      <c r="K33" s="41">
        <v>1</v>
      </c>
      <c r="L33" s="45"/>
      <c r="M33" s="45"/>
      <c r="N33" s="46">
        <f t="shared" si="21"/>
        <v>0.14285714285714285</v>
      </c>
      <c r="O33" s="47">
        <f t="shared" si="22"/>
        <v>0</v>
      </c>
      <c r="P33" s="48">
        <f>SUMIFS('Отчет 01-07.12'!H:H,'Отчет 01-07.12'!D:D,"Выручка",'Отчет 01-07.12'!E:E,B33)</f>
        <v>0</v>
      </c>
      <c r="Q33" s="48">
        <f>SUMIFS('Отчет 01-07.12'!H:H,'Отчет 01-07.12'!D:D,"Возврат выручки",'Отчет 01-07.12'!E:E,B33)</f>
        <v>0</v>
      </c>
      <c r="R33" s="49">
        <f t="shared" si="23"/>
        <v>0</v>
      </c>
      <c r="S33" s="50">
        <f>SUMIFS('Отчет 01-07.12'!P:P,'Отчет 01-07.12'!C:C,"Продажи",'Отчет 01-07.12'!E:E,B33)</f>
        <v>0</v>
      </c>
      <c r="T33" s="51">
        <f>SUMIFS('Отчет 01-07.12'!P:P,'Отчет 01-07.12'!C:C,"Возвраты",'Отчет 01-07.12'!E:E,B33)</f>
        <v>0</v>
      </c>
      <c r="U33" s="49">
        <f t="shared" si="24"/>
        <v>0</v>
      </c>
      <c r="V33" s="52">
        <f t="shared" si="25"/>
        <v>0</v>
      </c>
      <c r="W33" s="53">
        <f t="shared" si="26"/>
        <v>0</v>
      </c>
      <c r="X33" s="51">
        <f>-SUMIFS('Отчет 01-07.12'!P:P,'Отчет 01-07.12'!C:C,"Вознаграждение Ozon",'Отчет 01-07.12'!E:E,B33)</f>
        <v>0</v>
      </c>
      <c r="Y33" s="54">
        <f t="shared" si="27"/>
        <v>0</v>
      </c>
      <c r="Z33" s="51">
        <f>-SUMIFS('Отчет 01-07.12'!P:P,'Отчет 01-07.12'!C:C,"Услуги доставки",'Отчет 01-07.12'!E:E,B33)</f>
        <v>0</v>
      </c>
      <c r="AA33" s="41">
        <v>0</v>
      </c>
      <c r="AB33" s="64"/>
      <c r="AC33" s="51"/>
      <c r="AD33" s="55">
        <f t="shared" si="28"/>
        <v>0</v>
      </c>
      <c r="AE33" s="56">
        <f t="shared" si="29"/>
        <v>0</v>
      </c>
      <c r="AF33" s="55"/>
      <c r="AG33" s="57">
        <f t="shared" si="30"/>
        <v>0</v>
      </c>
      <c r="AH33" s="58">
        <f t="shared" si="31"/>
        <v>657</v>
      </c>
      <c r="AI33" s="58">
        <f t="shared" si="32"/>
        <v>0</v>
      </c>
      <c r="AJ33" s="58">
        <f t="shared" si="33"/>
        <v>0</v>
      </c>
      <c r="AK33" s="58">
        <f t="shared" si="34"/>
        <v>0</v>
      </c>
      <c r="AL33" s="58">
        <f t="array" ref="AL33">_xlfn.IFS(R33=0,AE33,R33&lt;0,AE33/-R33,R33&gt;0,AE33/R33)</f>
        <v>0</v>
      </c>
      <c r="AM33" s="59">
        <f t="shared" si="35"/>
        <v>0</v>
      </c>
      <c r="AN33" s="60">
        <f t="shared" si="36"/>
        <v>0</v>
      </c>
      <c r="AP33" s="62">
        <f t="shared" si="37"/>
        <v>0</v>
      </c>
    </row>
    <row r="34" spans="1:42">
      <c r="A34" s="39">
        <v>2774719501</v>
      </c>
      <c r="B34" s="40" t="s">
        <v>237</v>
      </c>
      <c r="C34" s="41">
        <v>18</v>
      </c>
      <c r="D34" s="42"/>
      <c r="E34" s="42"/>
      <c r="F34" s="42"/>
      <c r="G34" s="43"/>
      <c r="H34" s="65">
        <v>597</v>
      </c>
      <c r="I34" s="63">
        <f t="shared" si="20"/>
        <v>10746</v>
      </c>
      <c r="J34" s="45"/>
      <c r="K34" s="41">
        <v>0</v>
      </c>
      <c r="L34" s="45"/>
      <c r="M34" s="45"/>
      <c r="N34" s="46">
        <f t="shared" si="21"/>
        <v>0</v>
      </c>
      <c r="O34" s="47">
        <f t="shared" si="22"/>
        <v>0</v>
      </c>
      <c r="P34" s="48">
        <f>SUMIFS('Отчет 01-07.12'!H:H,'Отчет 01-07.12'!D:D,"Выручка",'Отчет 01-07.12'!E:E,B34)</f>
        <v>0</v>
      </c>
      <c r="Q34" s="48">
        <f>SUMIFS('Отчет 01-07.12'!H:H,'Отчет 01-07.12'!D:D,"Возврат выручки",'Отчет 01-07.12'!E:E,B34)</f>
        <v>0</v>
      </c>
      <c r="R34" s="49">
        <f t="shared" si="23"/>
        <v>0</v>
      </c>
      <c r="S34" s="50">
        <f>SUMIFS('Отчет 01-07.12'!P:P,'Отчет 01-07.12'!C:C,"Продажи",'Отчет 01-07.12'!E:E,B34)</f>
        <v>0</v>
      </c>
      <c r="T34" s="51">
        <f>SUMIFS('Отчет 01-07.12'!P:P,'Отчет 01-07.12'!C:C,"Возвраты",'Отчет 01-07.12'!E:E,B34)</f>
        <v>0</v>
      </c>
      <c r="U34" s="49">
        <f t="shared" si="24"/>
        <v>0</v>
      </c>
      <c r="V34" s="52">
        <f t="shared" si="25"/>
        <v>0</v>
      </c>
      <c r="W34" s="53">
        <f t="shared" si="26"/>
        <v>0</v>
      </c>
      <c r="X34" s="51">
        <f>-SUMIFS('Отчет 01-07.12'!P:P,'Отчет 01-07.12'!C:C,"Вознаграждение Ozon",'Отчет 01-07.12'!E:E,B34)</f>
        <v>0</v>
      </c>
      <c r="Y34" s="54">
        <f t="shared" si="27"/>
        <v>0</v>
      </c>
      <c r="Z34" s="51">
        <f>-SUMIFS('Отчет 01-07.12'!P:P,'Отчет 01-07.12'!C:C,"Услуги доставки",'Отчет 01-07.12'!E:E,B34)</f>
        <v>0</v>
      </c>
      <c r="AA34" s="41">
        <v>0</v>
      </c>
      <c r="AB34" s="64"/>
      <c r="AC34" s="51"/>
      <c r="AD34" s="55">
        <f t="shared" si="28"/>
        <v>0</v>
      </c>
      <c r="AE34" s="56">
        <f t="shared" si="29"/>
        <v>0</v>
      </c>
      <c r="AF34" s="55"/>
      <c r="AG34" s="57">
        <f t="shared" si="30"/>
        <v>0</v>
      </c>
      <c r="AH34" s="58">
        <f t="shared" si="31"/>
        <v>597</v>
      </c>
      <c r="AI34" s="58">
        <f t="shared" si="32"/>
        <v>0</v>
      </c>
      <c r="AJ34" s="58">
        <f t="shared" si="33"/>
        <v>0</v>
      </c>
      <c r="AK34" s="58">
        <f t="shared" si="34"/>
        <v>0</v>
      </c>
      <c r="AL34" s="58">
        <f t="array" ref="AL34">_xlfn.IFS(R34=0,AE34,R34&lt;0,AE34/-R34,R34&gt;0,AE34/R34)</f>
        <v>0</v>
      </c>
      <c r="AM34" s="59">
        <f t="shared" si="35"/>
        <v>0</v>
      </c>
      <c r="AN34" s="60">
        <f t="shared" si="36"/>
        <v>0</v>
      </c>
      <c r="AP34" s="62">
        <f t="shared" si="37"/>
        <v>0</v>
      </c>
    </row>
    <row r="35" spans="1:42">
      <c r="A35" s="39">
        <v>2774714412</v>
      </c>
      <c r="B35" s="40" t="s">
        <v>142</v>
      </c>
      <c r="C35" s="41">
        <v>17</v>
      </c>
      <c r="D35" s="42"/>
      <c r="E35" s="42"/>
      <c r="F35" s="42"/>
      <c r="G35" s="43"/>
      <c r="H35" s="65">
        <v>552</v>
      </c>
      <c r="I35" s="63">
        <f t="shared" si="20"/>
        <v>9384</v>
      </c>
      <c r="J35" s="45"/>
      <c r="K35" s="41">
        <v>0</v>
      </c>
      <c r="L35" s="45"/>
      <c r="M35" s="45"/>
      <c r="N35" s="46">
        <f t="shared" si="21"/>
        <v>0</v>
      </c>
      <c r="O35" s="47">
        <f t="shared" si="22"/>
        <v>0</v>
      </c>
      <c r="P35" s="48">
        <f>SUMIFS('Отчет 01-07.12'!H:H,'Отчет 01-07.12'!D:D,"Выручка",'Отчет 01-07.12'!E:E,B35)</f>
        <v>0</v>
      </c>
      <c r="Q35" s="48">
        <f>SUMIFS('Отчет 01-07.12'!H:H,'Отчет 01-07.12'!D:D,"Возврат выручки",'Отчет 01-07.12'!E:E,B35)</f>
        <v>0</v>
      </c>
      <c r="R35" s="49">
        <f t="shared" si="23"/>
        <v>0</v>
      </c>
      <c r="S35" s="50">
        <f>SUMIFS('Отчет 01-07.12'!P:P,'Отчет 01-07.12'!C:C,"Продажи",'Отчет 01-07.12'!E:E,B35)</f>
        <v>0</v>
      </c>
      <c r="T35" s="51">
        <f>SUMIFS('Отчет 01-07.12'!P:P,'Отчет 01-07.12'!C:C,"Возвраты",'Отчет 01-07.12'!E:E,B35)</f>
        <v>0</v>
      </c>
      <c r="U35" s="49">
        <f t="shared" si="24"/>
        <v>0</v>
      </c>
      <c r="V35" s="52">
        <f t="shared" si="25"/>
        <v>0</v>
      </c>
      <c r="W35" s="53">
        <f t="shared" si="26"/>
        <v>0</v>
      </c>
      <c r="X35" s="51">
        <f>-SUMIFS('Отчет 01-07.12'!P:P,'Отчет 01-07.12'!C:C,"Вознаграждение Ozon",'Отчет 01-07.12'!E:E,B35)</f>
        <v>0</v>
      </c>
      <c r="Y35" s="54">
        <f t="shared" si="27"/>
        <v>0</v>
      </c>
      <c r="Z35" s="51">
        <f>-SUMIFS('Отчет 01-07.12'!P:P,'Отчет 01-07.12'!C:C,"Услуги доставки",'Отчет 01-07.12'!E:E,B35)</f>
        <v>0</v>
      </c>
      <c r="AA35" s="41">
        <v>0</v>
      </c>
      <c r="AB35" s="64"/>
      <c r="AC35" s="51"/>
      <c r="AD35" s="55">
        <f t="shared" si="28"/>
        <v>0</v>
      </c>
      <c r="AE35" s="56">
        <f t="shared" si="29"/>
        <v>0</v>
      </c>
      <c r="AF35" s="55"/>
      <c r="AG35" s="57">
        <f t="shared" si="30"/>
        <v>0</v>
      </c>
      <c r="AH35" s="58">
        <f t="shared" si="31"/>
        <v>552</v>
      </c>
      <c r="AI35" s="58">
        <f t="shared" si="32"/>
        <v>0</v>
      </c>
      <c r="AJ35" s="58">
        <f t="shared" si="33"/>
        <v>0</v>
      </c>
      <c r="AK35" s="58">
        <f t="shared" si="34"/>
        <v>0</v>
      </c>
      <c r="AL35" s="58">
        <f t="array" ref="AL35">_xlfn.IFS(R35=0,AE35,R35&lt;0,AE35/-R35,R35&gt;0,AE35/R35)</f>
        <v>0</v>
      </c>
      <c r="AM35" s="59">
        <f t="shared" si="35"/>
        <v>0</v>
      </c>
      <c r="AN35" s="60">
        <f t="shared" si="36"/>
        <v>0</v>
      </c>
      <c r="AP35" s="62">
        <f t="shared" si="37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20"/>
        <v>9936</v>
      </c>
      <c r="J36" s="45"/>
      <c r="K36" s="41">
        <v>0</v>
      </c>
      <c r="L36" s="45"/>
      <c r="M36" s="45"/>
      <c r="N36" s="46">
        <f t="shared" si="21"/>
        <v>0</v>
      </c>
      <c r="O36" s="47">
        <f t="shared" si="22"/>
        <v>0</v>
      </c>
      <c r="P36" s="48">
        <f>SUMIFS('Отчет 01-07.12'!H:H,'Отчет 01-07.12'!D:D,"Выручка",'Отчет 01-07.12'!E:E,B36)</f>
        <v>0</v>
      </c>
      <c r="Q36" s="48">
        <f>SUMIFS('Отчет 01-07.12'!H:H,'Отчет 01-07.12'!D:D,"Возврат выручки",'Отчет 01-07.12'!E:E,B36)</f>
        <v>0</v>
      </c>
      <c r="R36" s="49">
        <f t="shared" si="23"/>
        <v>0</v>
      </c>
      <c r="S36" s="50">
        <f>SUMIFS('Отчет 01-07.12'!P:P,'Отчет 01-07.12'!C:C,"Продажи",'Отчет 01-07.12'!E:E,B36)</f>
        <v>0</v>
      </c>
      <c r="T36" s="51">
        <f>SUMIFS('Отчет 01-07.12'!P:P,'Отчет 01-07.12'!C:C,"Возвраты",'Отчет 01-07.12'!E:E,B36)</f>
        <v>0</v>
      </c>
      <c r="U36" s="49">
        <f t="shared" si="24"/>
        <v>0</v>
      </c>
      <c r="V36" s="52">
        <f t="shared" si="25"/>
        <v>0</v>
      </c>
      <c r="W36" s="53">
        <f t="shared" si="26"/>
        <v>0</v>
      </c>
      <c r="X36" s="51">
        <f>-SUMIFS('Отчет 01-07.12'!P:P,'Отчет 01-07.12'!C:C,"Вознаграждение Ozon",'Отчет 01-07.12'!E:E,B36)</f>
        <v>0</v>
      </c>
      <c r="Y36" s="54">
        <f t="shared" si="27"/>
        <v>0</v>
      </c>
      <c r="Z36" s="51">
        <f>-SUMIFS('Отчет 01-07.12'!P:P,'Отчет 01-07.12'!C:C,"Услуги доставки",'Отчет 01-07.12'!E:E,B36)</f>
        <v>0</v>
      </c>
      <c r="AA36" s="41">
        <v>0</v>
      </c>
      <c r="AB36" s="64"/>
      <c r="AC36" s="51"/>
      <c r="AD36" s="55">
        <f t="shared" si="28"/>
        <v>0</v>
      </c>
      <c r="AE36" s="56">
        <f t="shared" si="29"/>
        <v>0</v>
      </c>
      <c r="AF36" s="55"/>
      <c r="AG36" s="57">
        <f t="shared" si="30"/>
        <v>0</v>
      </c>
      <c r="AH36" s="58">
        <f t="shared" si="31"/>
        <v>552</v>
      </c>
      <c r="AI36" s="58">
        <f t="shared" si="32"/>
        <v>0</v>
      </c>
      <c r="AJ36" s="58">
        <f t="shared" si="33"/>
        <v>0</v>
      </c>
      <c r="AK36" s="58">
        <f t="shared" si="34"/>
        <v>0</v>
      </c>
      <c r="AL36" s="58">
        <f t="array" ref="AL36">_xlfn.IFS(R36=0,AE36,R36&lt;0,AE36/-R36,R36&gt;0,AE36/R36)</f>
        <v>0</v>
      </c>
      <c r="AM36" s="59">
        <f t="shared" si="35"/>
        <v>0</v>
      </c>
      <c r="AN36" s="60">
        <f t="shared" si="36"/>
        <v>0</v>
      </c>
      <c r="AP36" s="62">
        <f t="shared" si="37"/>
        <v>0</v>
      </c>
    </row>
    <row r="37" spans="1:42">
      <c r="A37" s="39">
        <v>2774712116</v>
      </c>
      <c r="B37" s="40" t="s">
        <v>62</v>
      </c>
      <c r="C37" s="41">
        <v>15</v>
      </c>
      <c r="D37" s="42"/>
      <c r="E37" s="42"/>
      <c r="F37" s="42"/>
      <c r="G37" s="43"/>
      <c r="H37" s="65">
        <v>687</v>
      </c>
      <c r="I37" s="63">
        <f t="shared" si="20"/>
        <v>10305</v>
      </c>
      <c r="J37" s="45"/>
      <c r="K37" s="41">
        <v>0</v>
      </c>
      <c r="L37" s="45"/>
      <c r="M37" s="45"/>
      <c r="N37" s="46">
        <f t="shared" si="21"/>
        <v>0</v>
      </c>
      <c r="O37" s="47">
        <f t="shared" si="22"/>
        <v>0</v>
      </c>
      <c r="P37" s="48">
        <f>SUMIFS('Отчет 01-07.12'!H:H,'Отчет 01-07.12'!D:D,"Выручка",'Отчет 01-07.12'!E:E,B37)</f>
        <v>0</v>
      </c>
      <c r="Q37" s="48">
        <f>SUMIFS('Отчет 01-07.12'!H:H,'Отчет 01-07.12'!D:D,"Возврат выручки",'Отчет 01-07.12'!E:E,B37)</f>
        <v>0</v>
      </c>
      <c r="R37" s="49">
        <f t="shared" si="23"/>
        <v>0</v>
      </c>
      <c r="S37" s="50">
        <f>SUMIFS('Отчет 01-07.12'!P:P,'Отчет 01-07.12'!C:C,"Продажи",'Отчет 01-07.12'!E:E,B37)</f>
        <v>0</v>
      </c>
      <c r="T37" s="51">
        <f>SUMIFS('Отчет 01-07.12'!P:P,'Отчет 01-07.12'!C:C,"Возвраты",'Отчет 01-07.12'!E:E,B37)</f>
        <v>0</v>
      </c>
      <c r="U37" s="49">
        <f t="shared" si="24"/>
        <v>0</v>
      </c>
      <c r="V37" s="52">
        <f t="shared" si="25"/>
        <v>0</v>
      </c>
      <c r="W37" s="53">
        <f t="shared" si="26"/>
        <v>0</v>
      </c>
      <c r="X37" s="51">
        <f>-SUMIFS('Отчет 01-07.12'!P:P,'Отчет 01-07.12'!C:C,"Вознаграждение Ozon",'Отчет 01-07.12'!E:E,B37)</f>
        <v>0</v>
      </c>
      <c r="Y37" s="54">
        <f t="shared" si="27"/>
        <v>0</v>
      </c>
      <c r="Z37" s="51">
        <f>-SUMIFS('Отчет 01-07.12'!P:P,'Отчет 01-07.12'!C:C,"Услуги доставки",'Отчет 01-07.12'!E:E,B37)</f>
        <v>0</v>
      </c>
      <c r="AA37" s="41">
        <v>0</v>
      </c>
      <c r="AB37" s="64"/>
      <c r="AC37" s="51"/>
      <c r="AD37" s="55">
        <f t="shared" si="28"/>
        <v>0</v>
      </c>
      <c r="AE37" s="56">
        <f t="shared" si="29"/>
        <v>0</v>
      </c>
      <c r="AF37" s="55"/>
      <c r="AG37" s="57">
        <f t="shared" si="30"/>
        <v>0</v>
      </c>
      <c r="AH37" s="58">
        <f t="shared" si="31"/>
        <v>687</v>
      </c>
      <c r="AI37" s="58">
        <f t="shared" si="32"/>
        <v>0</v>
      </c>
      <c r="AJ37" s="58">
        <f t="shared" si="33"/>
        <v>0</v>
      </c>
      <c r="AK37" s="58">
        <f t="shared" si="34"/>
        <v>0</v>
      </c>
      <c r="AL37" s="58">
        <f t="array" ref="AL37">_xlfn.IFS(R37=0,AE37,R37&lt;0,AE37/-R37,R37&gt;0,AE37/R37)</f>
        <v>0</v>
      </c>
      <c r="AM37" s="59">
        <f t="shared" si="35"/>
        <v>0</v>
      </c>
      <c r="AN37" s="60">
        <f t="shared" si="36"/>
        <v>0</v>
      </c>
      <c r="AP37" s="62">
        <f t="shared" si="37"/>
        <v>0</v>
      </c>
    </row>
    <row r="38" spans="1:42">
      <c r="A38" s="39">
        <v>2774719012</v>
      </c>
      <c r="B38" s="40" t="s">
        <v>239</v>
      </c>
      <c r="C38" s="41">
        <v>7</v>
      </c>
      <c r="D38" s="42"/>
      <c r="E38" s="42"/>
      <c r="F38" s="42"/>
      <c r="G38" s="43"/>
      <c r="H38" s="65">
        <v>687</v>
      </c>
      <c r="I38" s="63">
        <f t="shared" si="20"/>
        <v>4809</v>
      </c>
      <c r="J38" s="45"/>
      <c r="K38" s="41">
        <v>0</v>
      </c>
      <c r="L38" s="45"/>
      <c r="M38" s="45"/>
      <c r="N38" s="46">
        <f t="shared" si="21"/>
        <v>0</v>
      </c>
      <c r="O38" s="47">
        <f t="shared" si="22"/>
        <v>0</v>
      </c>
      <c r="P38" s="48">
        <f>SUMIFS('Отчет 01-07.12'!H:H,'Отчет 01-07.12'!D:D,"Выручка",'Отчет 01-07.12'!E:E,B38)</f>
        <v>0</v>
      </c>
      <c r="Q38" s="48">
        <f>SUMIFS('Отчет 01-07.12'!H:H,'Отчет 01-07.12'!D:D,"Возврат выручки",'Отчет 01-07.12'!E:E,B38)</f>
        <v>0</v>
      </c>
      <c r="R38" s="49">
        <f t="shared" si="23"/>
        <v>0</v>
      </c>
      <c r="S38" s="50">
        <f>SUMIFS('Отчет 01-07.12'!P:P,'Отчет 01-07.12'!C:C,"Продажи",'Отчет 01-07.12'!E:E,B38)</f>
        <v>0</v>
      </c>
      <c r="T38" s="51">
        <f>SUMIFS('Отчет 01-07.12'!P:P,'Отчет 01-07.12'!C:C,"Возвраты",'Отчет 01-07.12'!E:E,B38)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01-07.12'!P:P,'Отчет 01-07.12'!C:C,"Вознаграждение Ozon",'Отчет 01-07.12'!E:E,B38)</f>
        <v>0</v>
      </c>
      <c r="Y38" s="54">
        <f t="shared" si="27"/>
        <v>0</v>
      </c>
      <c r="Z38" s="51">
        <f>-SUMIFS('Отчет 01-07.12'!P:P,'Отчет 01-07.12'!C:C,"Услуги доставки",'Отчет 01-07.12'!E:E,B38)</f>
        <v>0</v>
      </c>
      <c r="AA38" s="41">
        <v>0</v>
      </c>
      <c r="AB38" s="64"/>
      <c r="AC38" s="51"/>
      <c r="AD38" s="55">
        <f t="shared" si="28"/>
        <v>0</v>
      </c>
      <c r="AE38" s="56">
        <f t="shared" si="29"/>
        <v>0</v>
      </c>
      <c r="AF38" s="55"/>
      <c r="AG38" s="57">
        <f t="shared" si="30"/>
        <v>0</v>
      </c>
      <c r="AH38" s="58">
        <f t="shared" si="31"/>
        <v>687</v>
      </c>
      <c r="AI38" s="58">
        <f t="shared" si="32"/>
        <v>0</v>
      </c>
      <c r="AJ38" s="58">
        <f t="shared" si="33"/>
        <v>0</v>
      </c>
      <c r="AK38" s="58">
        <f t="shared" si="34"/>
        <v>0</v>
      </c>
      <c r="AL38" s="58">
        <f t="array" ref="AL38">_xlfn.IFS(R38=0,AE38,R38&lt;0,AE38/-R38,R38&gt;0,AE38/R38)</f>
        <v>0</v>
      </c>
      <c r="AM38" s="59">
        <f t="shared" si="35"/>
        <v>0</v>
      </c>
      <c r="AN38" s="60">
        <f t="shared" si="36"/>
        <v>0</v>
      </c>
      <c r="AP38" s="62">
        <f t="shared" si="37"/>
        <v>0</v>
      </c>
    </row>
    <row r="39" spans="1:42">
      <c r="A39" s="39">
        <v>2774719433</v>
      </c>
      <c r="B39" s="40" t="s">
        <v>240</v>
      </c>
      <c r="C39" s="41">
        <v>16</v>
      </c>
      <c r="D39" s="42"/>
      <c r="E39" s="42"/>
      <c r="F39" s="42"/>
      <c r="G39" s="43"/>
      <c r="H39" s="65">
        <v>597</v>
      </c>
      <c r="I39" s="63">
        <f t="shared" si="20"/>
        <v>9552</v>
      </c>
      <c r="J39" s="45"/>
      <c r="K39" s="41">
        <v>0</v>
      </c>
      <c r="L39" s="45"/>
      <c r="M39" s="45"/>
      <c r="N39" s="46">
        <f t="shared" si="21"/>
        <v>0</v>
      </c>
      <c r="O39" s="47">
        <f t="shared" si="22"/>
        <v>-0.14285714285714285</v>
      </c>
      <c r="P39" s="48">
        <f>SUMIFS('Отчет 01-07.12'!H:H,'Отчет 01-07.12'!D:D,"Выручка",'Отчет 01-07.12'!E:E,B39)</f>
        <v>0</v>
      </c>
      <c r="Q39" s="48">
        <f>SUMIFS('Отчет 01-07.12'!H:H,'Отчет 01-07.12'!D:D,"Возврат выручки",'Отчет 01-07.12'!E:E,B39)</f>
        <v>1</v>
      </c>
      <c r="R39" s="49">
        <f t="shared" si="23"/>
        <v>-1</v>
      </c>
      <c r="S39" s="50">
        <f>SUMIFS('Отчет 01-07.12'!P:P,'Отчет 01-07.12'!C:C,"Продажи",'Отчет 01-07.12'!E:E,B39)</f>
        <v>0</v>
      </c>
      <c r="T39" s="51">
        <f>SUMIFS('Отчет 01-07.12'!P:P,'Отчет 01-07.12'!C:C,"Возвраты",'Отчет 01-07.12'!E:E,B39)</f>
        <v>-5500</v>
      </c>
      <c r="U39" s="49">
        <f t="shared" si="24"/>
        <v>-5500</v>
      </c>
      <c r="V39" s="52">
        <f t="shared" si="25"/>
        <v>1</v>
      </c>
      <c r="W39" s="53">
        <f t="shared" si="26"/>
        <v>-597</v>
      </c>
      <c r="X39" s="51">
        <f>-SUMIFS('Отчет 01-07.12'!P:P,'Отчет 01-07.12'!C:C,"Вознаграждение Ozon",'Отчет 01-07.12'!E:E,B39)</f>
        <v>-2365</v>
      </c>
      <c r="Y39" s="54">
        <f t="shared" si="27"/>
        <v>0.43</v>
      </c>
      <c r="Z39" s="51">
        <f>-SUMIFS('Отчет 01-07.12'!P:P,'Отчет 01-07.12'!C:C,"Услуги доставки",'Отчет 01-07.12'!E:E,B39)</f>
        <v>168</v>
      </c>
      <c r="AA39" s="41">
        <v>0</v>
      </c>
      <c r="AB39" s="64"/>
      <c r="AC39" s="51"/>
      <c r="AD39" s="55">
        <f t="shared" si="28"/>
        <v>-330</v>
      </c>
      <c r="AE39" s="56">
        <f>U39-W39-X39-Z39-AA39-AB39-AC39-AD39</f>
        <v>-2376</v>
      </c>
      <c r="AF39" s="55"/>
      <c r="AG39" s="57">
        <f t="shared" si="30"/>
        <v>5500</v>
      </c>
      <c r="AH39" s="58">
        <f t="shared" si="31"/>
        <v>597</v>
      </c>
      <c r="AI39" s="58">
        <f t="shared" si="32"/>
        <v>2365</v>
      </c>
      <c r="AJ39" s="58">
        <f t="shared" si="33"/>
        <v>168</v>
      </c>
      <c r="AK39" s="58">
        <f t="shared" si="34"/>
        <v>0</v>
      </c>
      <c r="AL39" s="58">
        <f t="array" ref="AL39">_xlfn.IFS(R39=0,AE39,R39&lt;0,AE39/-R39,R39&gt;0,AE39/R39)</f>
        <v>-2376</v>
      </c>
      <c r="AM39" s="59">
        <f t="shared" si="35"/>
        <v>-0.432</v>
      </c>
      <c r="AN39" s="60">
        <f t="shared" si="36"/>
        <v>-3.9798994974874371</v>
      </c>
      <c r="AP39" s="62">
        <f t="shared" si="37"/>
        <v>-38016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20"/>
        <v>10746</v>
      </c>
      <c r="J40" s="45"/>
      <c r="K40" s="41">
        <v>0</v>
      </c>
      <c r="L40" s="45"/>
      <c r="M40" s="45"/>
      <c r="N40" s="46">
        <f t="shared" si="21"/>
        <v>0</v>
      </c>
      <c r="O40" s="47">
        <f t="shared" si="22"/>
        <v>0</v>
      </c>
      <c r="P40" s="48">
        <f>SUMIFS('Отчет 01-07.12'!H:H,'Отчет 01-07.12'!D:D,"Выручка",'Отчет 01-07.12'!E:E,B40)</f>
        <v>0</v>
      </c>
      <c r="Q40" s="48">
        <f>SUMIFS('Отчет 01-07.12'!H:H,'Отчет 01-07.12'!D:D,"Возврат выручки",'Отчет 01-07.12'!E:E,B40)</f>
        <v>0</v>
      </c>
      <c r="R40" s="49">
        <f t="shared" si="23"/>
        <v>0</v>
      </c>
      <c r="S40" s="50">
        <f>SUMIFS('Отчет 01-07.12'!P:P,'Отчет 01-07.12'!C:C,"Продажи",'Отчет 01-07.12'!E:E,B40)</f>
        <v>0</v>
      </c>
      <c r="T40" s="51">
        <f>SUMIFS('Отчет 01-07.12'!P:P,'Отчет 01-07.12'!C:C,"Возвраты",'Отчет 01-07.12'!E:E,B40)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01-07.12'!P:P,'Отчет 01-07.12'!C:C,"Вознаграждение Ozon",'Отчет 01-07.12'!E:E,B40)</f>
        <v>0</v>
      </c>
      <c r="Y40" s="54">
        <f t="shared" si="27"/>
        <v>0</v>
      </c>
      <c r="Z40" s="51">
        <f>-SUMIFS('Отчет 01-07.12'!P:P,'Отчет 01-07.12'!C:C,"Услуги доставки",'Отчет 01-07.12'!E:E,B40)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597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2774719553</v>
      </c>
      <c r="B41" s="40" t="s">
        <v>242</v>
      </c>
      <c r="C41" s="41">
        <v>18</v>
      </c>
      <c r="D41" s="42"/>
      <c r="E41" s="42"/>
      <c r="F41" s="42"/>
      <c r="G41" s="43"/>
      <c r="H41" s="65">
        <v>597</v>
      </c>
      <c r="I41" s="63">
        <f t="shared" si="20"/>
        <v>10746</v>
      </c>
      <c r="J41" s="45"/>
      <c r="K41" s="41">
        <v>0</v>
      </c>
      <c r="L41" s="45"/>
      <c r="M41" s="45"/>
      <c r="N41" s="46">
        <f t="shared" si="21"/>
        <v>0</v>
      </c>
      <c r="O41" s="47">
        <f t="shared" si="22"/>
        <v>0</v>
      </c>
      <c r="P41" s="48">
        <f>SUMIFS('Отчет 01-07.12'!H:H,'Отчет 01-07.12'!D:D,"Выручка",'Отчет 01-07.12'!E:E,B41)</f>
        <v>0</v>
      </c>
      <c r="Q41" s="48">
        <f>SUMIFS('Отчет 01-07.12'!H:H,'Отчет 01-07.12'!D:D,"Возврат выручки",'Отчет 01-07.12'!E:E,B41)</f>
        <v>0</v>
      </c>
      <c r="R41" s="49">
        <f t="shared" si="23"/>
        <v>0</v>
      </c>
      <c r="S41" s="50">
        <f>SUMIFS('Отчет 01-07.12'!P:P,'Отчет 01-07.12'!C:C,"Продажи",'Отчет 01-07.12'!E:E,B41)</f>
        <v>0</v>
      </c>
      <c r="T41" s="51">
        <f>SUMIFS('Отчет 01-07.12'!P:P,'Отчет 01-07.12'!C:C,"Возвраты",'Отчет 01-07.12'!E:E,B41)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51">
        <f>-SUMIFS('Отчет 01-07.12'!P:P,'Отчет 01-07.12'!C:C,"Вознаграждение Ozon",'Отчет 01-07.12'!E:E,B41)</f>
        <v>0</v>
      </c>
      <c r="Y41" s="54">
        <f t="shared" si="27"/>
        <v>0</v>
      </c>
      <c r="Z41" s="51">
        <f>-SUMIFS('Отчет 01-07.12'!P:P,'Отчет 01-07.12'!C:C,"Услуги доставки",'Отчет 01-07.12'!E:E,B41)</f>
        <v>0</v>
      </c>
      <c r="AA41" s="41">
        <v>0</v>
      </c>
      <c r="AB41" s="64"/>
      <c r="AC41" s="51"/>
      <c r="AD41" s="55">
        <f t="shared" si="28"/>
        <v>0</v>
      </c>
      <c r="AE41" s="56">
        <f t="shared" si="29"/>
        <v>0</v>
      </c>
      <c r="AF41" s="55"/>
      <c r="AG41" s="57">
        <f t="shared" si="30"/>
        <v>0</v>
      </c>
      <c r="AH41" s="58">
        <f t="shared" si="31"/>
        <v>597</v>
      </c>
      <c r="AI41" s="58">
        <f t="shared" si="32"/>
        <v>0</v>
      </c>
      <c r="AJ41" s="58">
        <f t="shared" si="33"/>
        <v>0</v>
      </c>
      <c r="AK41" s="58">
        <f t="shared" si="34"/>
        <v>0</v>
      </c>
      <c r="AL41" s="58">
        <f t="array" ref="AL41">_xlfn.IFS(R41=0,AE41,R41&lt;0,AE41/-R41,R41&gt;0,AE41/R41)</f>
        <v>0</v>
      </c>
      <c r="AM41" s="59">
        <f t="shared" si="35"/>
        <v>0</v>
      </c>
      <c r="AN41" s="60">
        <f t="shared" si="36"/>
        <v>0</v>
      </c>
      <c r="AP41" s="62">
        <f t="shared" si="37"/>
        <v>0</v>
      </c>
    </row>
    <row r="42" spans="1:42">
      <c r="A42" s="39">
        <v>2774710913</v>
      </c>
      <c r="B42" s="40" t="s">
        <v>243</v>
      </c>
      <c r="C42" s="41">
        <v>19</v>
      </c>
      <c r="D42" s="42"/>
      <c r="E42" s="42"/>
      <c r="F42" s="42"/>
      <c r="G42" s="43"/>
      <c r="H42" s="65">
        <v>642</v>
      </c>
      <c r="I42" s="63">
        <f t="shared" si="20"/>
        <v>12198</v>
      </c>
      <c r="J42" s="45"/>
      <c r="K42" s="41">
        <v>0</v>
      </c>
      <c r="L42" s="45"/>
      <c r="M42" s="45"/>
      <c r="N42" s="46">
        <f t="shared" si="21"/>
        <v>0</v>
      </c>
      <c r="O42" s="47">
        <f t="shared" si="22"/>
        <v>0</v>
      </c>
      <c r="P42" s="48">
        <f>SUMIFS('Отчет 01-07.12'!H:H,'Отчет 01-07.12'!D:D,"Выручка",'Отчет 01-07.12'!E:E,B42)</f>
        <v>0</v>
      </c>
      <c r="Q42" s="48">
        <f>SUMIFS('Отчет 01-07.12'!H:H,'Отчет 01-07.12'!D:D,"Возврат выручки",'Отчет 01-07.12'!E:E,B42)</f>
        <v>0</v>
      </c>
      <c r="R42" s="49">
        <f t="shared" si="23"/>
        <v>0</v>
      </c>
      <c r="S42" s="50">
        <f>SUMIFS('Отчет 01-07.12'!P:P,'Отчет 01-07.12'!C:C,"Продажи",'Отчет 01-07.12'!E:E,B42)</f>
        <v>0</v>
      </c>
      <c r="T42" s="51">
        <f>SUMIFS('Отчет 01-07.12'!P:P,'Отчет 01-07.12'!C:C,"Возвраты",'Отчет 01-07.12'!E:E,B42)</f>
        <v>0</v>
      </c>
      <c r="U42" s="49">
        <f t="shared" si="24"/>
        <v>0</v>
      </c>
      <c r="V42" s="52">
        <f t="shared" si="25"/>
        <v>0</v>
      </c>
      <c r="W42" s="53">
        <f t="shared" si="26"/>
        <v>0</v>
      </c>
      <c r="X42" s="51">
        <f>-SUMIFS('Отчет 01-07.12'!P:P,'Отчет 01-07.12'!C:C,"Вознаграждение Ozon",'Отчет 01-07.12'!E:E,B42)</f>
        <v>0</v>
      </c>
      <c r="Y42" s="54">
        <f t="shared" si="27"/>
        <v>0</v>
      </c>
      <c r="Z42" s="51">
        <f>-SUMIFS('Отчет 01-07.12'!P:P,'Отчет 01-07.12'!C:C,"Услуги доставки",'Отчет 01-07.12'!E:E,B42)</f>
        <v>112</v>
      </c>
      <c r="AA42" s="41">
        <v>0</v>
      </c>
      <c r="AB42" s="64"/>
      <c r="AC42" s="51"/>
      <c r="AD42" s="55">
        <f t="shared" si="28"/>
        <v>0</v>
      </c>
      <c r="AE42" s="56">
        <f t="shared" si="29"/>
        <v>-112</v>
      </c>
      <c r="AF42" s="55"/>
      <c r="AG42" s="57">
        <f t="shared" si="30"/>
        <v>0</v>
      </c>
      <c r="AH42" s="58">
        <f t="shared" si="31"/>
        <v>642</v>
      </c>
      <c r="AI42" s="58">
        <f t="shared" si="32"/>
        <v>0</v>
      </c>
      <c r="AJ42" s="58">
        <f t="shared" si="33"/>
        <v>112</v>
      </c>
      <c r="AK42" s="58">
        <f t="shared" si="34"/>
        <v>0</v>
      </c>
      <c r="AL42" s="58">
        <f t="array" ref="AL42">_xlfn.IFS(R42=0,AE42,R42&lt;0,AE42/-R42,R42&gt;0,AE42/R42)</f>
        <v>-112</v>
      </c>
      <c r="AM42" s="59">
        <f t="shared" si="35"/>
        <v>0</v>
      </c>
      <c r="AN42" s="60">
        <f t="shared" si="36"/>
        <v>-0.17445482866043613</v>
      </c>
      <c r="AP42" s="62">
        <f t="shared" si="37"/>
        <v>-2128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20"/>
        <v>12198</v>
      </c>
      <c r="J43" s="45"/>
      <c r="K43" s="41">
        <v>0</v>
      </c>
      <c r="L43" s="45"/>
      <c r="M43" s="45"/>
      <c r="N43" s="46">
        <f t="shared" si="21"/>
        <v>0</v>
      </c>
      <c r="O43" s="47">
        <f t="shared" si="22"/>
        <v>0</v>
      </c>
      <c r="P43" s="48">
        <f>SUMIFS('Отчет 01-07.12'!H:H,'Отчет 01-07.12'!D:D,"Выручка",'Отчет 01-07.12'!E:E,B43)</f>
        <v>0</v>
      </c>
      <c r="Q43" s="48">
        <f>SUMIFS('Отчет 01-07.12'!H:H,'Отчет 01-07.12'!D:D,"Возврат выручки",'Отчет 01-07.12'!E:E,B43)</f>
        <v>0</v>
      </c>
      <c r="R43" s="49">
        <f t="shared" si="23"/>
        <v>0</v>
      </c>
      <c r="S43" s="50">
        <f>SUMIFS('Отчет 01-07.12'!P:P,'Отчет 01-07.12'!C:C,"Продажи",'Отчет 01-07.12'!E:E,B43)</f>
        <v>0</v>
      </c>
      <c r="T43" s="51">
        <f>SUMIFS('Отчет 01-07.12'!P:P,'Отчет 01-07.12'!C:C,"Возвраты",'Отчет 01-07.12'!E:E,B43)</f>
        <v>0</v>
      </c>
      <c r="U43" s="49">
        <f t="shared" si="24"/>
        <v>0</v>
      </c>
      <c r="V43" s="52">
        <f t="shared" si="25"/>
        <v>0</v>
      </c>
      <c r="W43" s="53">
        <f t="shared" si="26"/>
        <v>0</v>
      </c>
      <c r="X43" s="51">
        <f>-SUMIFS('Отчет 01-07.12'!P:P,'Отчет 01-07.12'!C:C,"Вознаграждение Ozon",'Отчет 01-07.12'!E:E,B43)</f>
        <v>0</v>
      </c>
      <c r="Y43" s="54">
        <f t="shared" si="27"/>
        <v>0</v>
      </c>
      <c r="Z43" s="51">
        <f>-SUMIFS('Отчет 01-07.12'!P:P,'Отчет 01-07.12'!C:C,"Услуги доставки",'Отчет 01-07.12'!E:E,B43)</f>
        <v>0</v>
      </c>
      <c r="AA43" s="41">
        <v>0</v>
      </c>
      <c r="AB43" s="64"/>
      <c r="AC43" s="51"/>
      <c r="AD43" s="55">
        <f t="shared" si="28"/>
        <v>0</v>
      </c>
      <c r="AE43" s="56">
        <f t="shared" si="29"/>
        <v>0</v>
      </c>
      <c r="AF43" s="55"/>
      <c r="AG43" s="57">
        <f t="shared" si="30"/>
        <v>0</v>
      </c>
      <c r="AH43" s="58">
        <f t="shared" si="31"/>
        <v>642</v>
      </c>
      <c r="AI43" s="58">
        <f t="shared" si="32"/>
        <v>0</v>
      </c>
      <c r="AJ43" s="58">
        <f t="shared" si="33"/>
        <v>0</v>
      </c>
      <c r="AK43" s="58">
        <f t="shared" si="34"/>
        <v>0</v>
      </c>
      <c r="AL43" s="58">
        <f t="array" ref="AL43">_xlfn.IFS(R43=0,AE43,R43&lt;0,AE43/-R43,R43&gt;0,AE43/R43)</f>
        <v>0</v>
      </c>
      <c r="AM43" s="59">
        <f t="shared" si="35"/>
        <v>0</v>
      </c>
      <c r="AN43" s="60">
        <f t="shared" si="36"/>
        <v>0</v>
      </c>
      <c r="AP43" s="62">
        <f t="shared" si="37"/>
        <v>0</v>
      </c>
    </row>
    <row r="44" spans="1:42">
      <c r="A44" s="39">
        <v>2774722656</v>
      </c>
      <c r="B44" s="40" t="s">
        <v>51</v>
      </c>
      <c r="C44" s="41">
        <v>7</v>
      </c>
      <c r="D44" s="42"/>
      <c r="E44" s="42"/>
      <c r="F44" s="42"/>
      <c r="G44" s="43"/>
      <c r="H44" s="65">
        <v>687</v>
      </c>
      <c r="I44" s="63">
        <f t="shared" si="20"/>
        <v>4809</v>
      </c>
      <c r="J44" s="45"/>
      <c r="K44" s="41">
        <v>0</v>
      </c>
      <c r="L44" s="45"/>
      <c r="M44" s="45"/>
      <c r="N44" s="46">
        <f t="shared" si="21"/>
        <v>0</v>
      </c>
      <c r="O44" s="47">
        <f t="shared" si="22"/>
        <v>0</v>
      </c>
      <c r="P44" s="48">
        <f>SUMIFS('Отчет 01-07.12'!H:H,'Отчет 01-07.12'!D:D,"Выручка",'Отчет 01-07.12'!E:E,B44)</f>
        <v>0</v>
      </c>
      <c r="Q44" s="48">
        <f>SUMIFS('Отчет 01-07.12'!H:H,'Отчет 01-07.12'!D:D,"Возврат выручки",'Отчет 01-07.12'!E:E,B44)</f>
        <v>0</v>
      </c>
      <c r="R44" s="49">
        <f t="shared" si="23"/>
        <v>0</v>
      </c>
      <c r="S44" s="50">
        <f>SUMIFS('Отчет 01-07.12'!P:P,'Отчет 01-07.12'!C:C,"Продажи",'Отчет 01-07.12'!E:E,B44)</f>
        <v>0</v>
      </c>
      <c r="T44" s="51">
        <f>SUMIFS('Отчет 01-07.12'!P:P,'Отчет 01-07.12'!C:C,"Возвраты",'Отчет 01-07.12'!E:E,B44)</f>
        <v>0</v>
      </c>
      <c r="U44" s="49">
        <f t="shared" si="24"/>
        <v>0</v>
      </c>
      <c r="V44" s="52">
        <f t="shared" si="25"/>
        <v>0</v>
      </c>
      <c r="W44" s="53">
        <f t="shared" si="26"/>
        <v>0</v>
      </c>
      <c r="X44" s="51">
        <f>-SUMIFS('Отчет 01-07.12'!P:P,'Отчет 01-07.12'!C:C,"Вознаграждение Ozon",'Отчет 01-07.12'!E:E,B44)</f>
        <v>0</v>
      </c>
      <c r="Y44" s="54">
        <f t="shared" si="27"/>
        <v>0</v>
      </c>
      <c r="Z44" s="51">
        <f>-SUMIFS('Отчет 01-07.12'!P:P,'Отчет 01-07.12'!C:C,"Услуги доставки",'Отчет 01-07.12'!E:E,B44)</f>
        <v>112</v>
      </c>
      <c r="AA44" s="41">
        <v>0</v>
      </c>
      <c r="AB44" s="64"/>
      <c r="AC44" s="51"/>
      <c r="AD44" s="55">
        <f t="shared" si="28"/>
        <v>0</v>
      </c>
      <c r="AE44" s="56">
        <f t="shared" si="29"/>
        <v>-112</v>
      </c>
      <c r="AF44" s="55"/>
      <c r="AG44" s="57">
        <f t="shared" si="30"/>
        <v>0</v>
      </c>
      <c r="AH44" s="58">
        <f t="shared" si="31"/>
        <v>687</v>
      </c>
      <c r="AI44" s="58">
        <f t="shared" si="32"/>
        <v>0</v>
      </c>
      <c r="AJ44" s="58">
        <f t="shared" si="33"/>
        <v>112</v>
      </c>
      <c r="AK44" s="58">
        <f t="shared" si="34"/>
        <v>0</v>
      </c>
      <c r="AL44" s="58">
        <f t="array" ref="AL44">_xlfn.IFS(R44=0,AE44,R44&lt;0,AE44/-R44,R44&gt;0,AE44/R44)</f>
        <v>-112</v>
      </c>
      <c r="AM44" s="59">
        <f t="shared" si="35"/>
        <v>0</v>
      </c>
      <c r="AN44" s="60">
        <f t="shared" si="36"/>
        <v>-0.16302765647743814</v>
      </c>
      <c r="AP44" s="62">
        <f t="shared" si="37"/>
        <v>-784</v>
      </c>
    </row>
    <row r="45" spans="1:42">
      <c r="A45" s="39">
        <v>2774721190</v>
      </c>
      <c r="B45" s="40" t="s">
        <v>70</v>
      </c>
      <c r="C45" s="41">
        <v>5</v>
      </c>
      <c r="D45" s="42"/>
      <c r="E45" s="42"/>
      <c r="F45" s="42"/>
      <c r="G45" s="43"/>
      <c r="H45" s="65">
        <v>687</v>
      </c>
      <c r="I45" s="63">
        <f t="shared" si="20"/>
        <v>3435</v>
      </c>
      <c r="J45" s="45"/>
      <c r="K45" s="41">
        <v>0</v>
      </c>
      <c r="L45" s="45"/>
      <c r="M45" s="45"/>
      <c r="N45" s="46">
        <f t="shared" si="21"/>
        <v>0</v>
      </c>
      <c r="O45" s="47">
        <f t="shared" si="22"/>
        <v>0</v>
      </c>
      <c r="P45" s="48">
        <f>SUMIFS('Отчет 01-07.12'!H:H,'Отчет 01-07.12'!D:D,"Выручка",'Отчет 01-07.12'!E:E,B45)</f>
        <v>0</v>
      </c>
      <c r="Q45" s="48">
        <f>SUMIFS('Отчет 01-07.12'!H:H,'Отчет 01-07.12'!D:D,"Возврат выручки",'Отчет 01-07.12'!E:E,B45)</f>
        <v>0</v>
      </c>
      <c r="R45" s="49">
        <f t="shared" si="23"/>
        <v>0</v>
      </c>
      <c r="S45" s="50">
        <f>SUMIFS('Отчет 01-07.12'!P:P,'Отчет 01-07.12'!C:C,"Продажи",'Отчет 01-07.12'!E:E,B45)</f>
        <v>0</v>
      </c>
      <c r="T45" s="51">
        <f>SUMIFS('Отчет 01-07.12'!P:P,'Отчет 01-07.12'!C:C,"Возвраты",'Отчет 01-07.12'!E:E,B45)</f>
        <v>0</v>
      </c>
      <c r="U45" s="49">
        <f t="shared" si="24"/>
        <v>0</v>
      </c>
      <c r="V45" s="52">
        <f t="shared" si="25"/>
        <v>0</v>
      </c>
      <c r="W45" s="53">
        <f t="shared" si="26"/>
        <v>0</v>
      </c>
      <c r="X45" s="51">
        <f>-SUMIFS('Отчет 01-07.12'!P:P,'Отчет 01-07.12'!C:C,"Вознаграждение Ozon",'Отчет 01-07.12'!E:E,B45)</f>
        <v>0</v>
      </c>
      <c r="Y45" s="54">
        <f t="shared" si="27"/>
        <v>0</v>
      </c>
      <c r="Z45" s="51">
        <f>-SUMIFS('Отчет 01-07.12'!P:P,'Отчет 01-07.12'!C:C,"Услуги доставки",'Отчет 01-07.12'!E:E,B45)</f>
        <v>224</v>
      </c>
      <c r="AA45" s="41">
        <v>1265</v>
      </c>
      <c r="AB45" s="64"/>
      <c r="AC45" s="51"/>
      <c r="AD45" s="55">
        <f t="shared" si="28"/>
        <v>0</v>
      </c>
      <c r="AE45" s="56">
        <f t="shared" si="29"/>
        <v>-1489</v>
      </c>
      <c r="AF45" s="55"/>
      <c r="AG45" s="57">
        <f t="shared" si="30"/>
        <v>0</v>
      </c>
      <c r="AH45" s="58">
        <f t="shared" si="31"/>
        <v>687</v>
      </c>
      <c r="AI45" s="58">
        <f t="shared" si="32"/>
        <v>0</v>
      </c>
      <c r="AJ45" s="58">
        <f t="shared" si="33"/>
        <v>224</v>
      </c>
      <c r="AK45" s="58">
        <f t="shared" si="34"/>
        <v>0</v>
      </c>
      <c r="AL45" s="58">
        <f t="array" ref="AL45">_xlfn.IFS(R45=0,AE45,R45&lt;0,AE45/-R45,R45&gt;0,AE45/R45)</f>
        <v>-1489</v>
      </c>
      <c r="AM45" s="59">
        <f t="shared" si="35"/>
        <v>0</v>
      </c>
      <c r="AN45" s="60">
        <f t="shared" si="36"/>
        <v>-2.1673944687045124</v>
      </c>
      <c r="AP45" s="62">
        <f t="shared" si="37"/>
        <v>-7445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20"/>
        <v>3312</v>
      </c>
      <c r="J46" s="45"/>
      <c r="K46" s="41">
        <v>0</v>
      </c>
      <c r="L46" s="45"/>
      <c r="M46" s="45"/>
      <c r="N46" s="46">
        <f t="shared" si="21"/>
        <v>0</v>
      </c>
      <c r="O46" s="47">
        <f t="shared" si="22"/>
        <v>0</v>
      </c>
      <c r="P46" s="48">
        <f>SUMIFS('Отчет 01-07.12'!H:H,'Отчет 01-07.12'!D:D,"Выручка",'Отчет 01-07.12'!E:E,B46)</f>
        <v>0</v>
      </c>
      <c r="Q46" s="48">
        <f>SUMIFS('Отчет 01-07.12'!H:H,'Отчет 01-07.12'!D:D,"Возврат выручки",'Отчет 01-07.12'!E:E,B46)</f>
        <v>0</v>
      </c>
      <c r="R46" s="49">
        <f t="shared" si="23"/>
        <v>0</v>
      </c>
      <c r="S46" s="50">
        <f>SUMIFS('Отчет 01-07.12'!P:P,'Отчет 01-07.12'!C:C,"Продажи",'Отчет 01-07.12'!E:E,B46)</f>
        <v>0</v>
      </c>
      <c r="T46" s="51">
        <f>SUMIFS('Отчет 01-07.12'!P:P,'Отчет 01-07.12'!C:C,"Возвраты",'Отчет 01-07.12'!E:E,B46)</f>
        <v>0</v>
      </c>
      <c r="U46" s="49">
        <f t="shared" si="24"/>
        <v>0</v>
      </c>
      <c r="V46" s="52">
        <f t="shared" si="25"/>
        <v>0</v>
      </c>
      <c r="W46" s="53">
        <f t="shared" si="26"/>
        <v>0</v>
      </c>
      <c r="X46" s="51">
        <f>-SUMIFS('Отчет 01-07.12'!P:P,'Отчет 01-07.12'!C:C,"Вознаграждение Ozon",'Отчет 01-07.12'!E:E,B46)</f>
        <v>0</v>
      </c>
      <c r="Y46" s="54">
        <f t="shared" si="27"/>
        <v>0</v>
      </c>
      <c r="Z46" s="51">
        <f>-SUMIFS('Отчет 01-07.12'!P:P,'Отчет 01-07.12'!C:C,"Услуги доставки",'Отчет 01-07.12'!E:E,B46)</f>
        <v>0</v>
      </c>
      <c r="AA46" s="41">
        <v>0</v>
      </c>
      <c r="AB46" s="64"/>
      <c r="AC46" s="51"/>
      <c r="AD46" s="55">
        <f t="shared" si="28"/>
        <v>0</v>
      </c>
      <c r="AE46" s="56">
        <f t="shared" si="29"/>
        <v>0</v>
      </c>
      <c r="AF46" s="55"/>
      <c r="AG46" s="57">
        <f t="shared" si="30"/>
        <v>0</v>
      </c>
      <c r="AH46" s="58">
        <f t="shared" si="31"/>
        <v>552</v>
      </c>
      <c r="AI46" s="58">
        <f t="shared" si="32"/>
        <v>0</v>
      </c>
      <c r="AJ46" s="58">
        <f t="shared" si="33"/>
        <v>0</v>
      </c>
      <c r="AK46" s="58">
        <f t="shared" si="34"/>
        <v>0</v>
      </c>
      <c r="AL46" s="58">
        <f t="array" ref="AL46">_xlfn.IFS(R46=0,AE46,R46&lt;0,AE46/-R46,R46&gt;0,AE46/R46)</f>
        <v>0</v>
      </c>
      <c r="AM46" s="59">
        <f t="shared" si="35"/>
        <v>0</v>
      </c>
      <c r="AN46" s="60">
        <f t="shared" si="36"/>
        <v>0</v>
      </c>
      <c r="AP46" s="62">
        <f t="shared" si="37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21"/>
        <v>0</v>
      </c>
      <c r="O47" s="47">
        <f t="shared" si="22"/>
        <v>0</v>
      </c>
      <c r="P47" s="48">
        <f>SUMIFS('Отчет 01-07.12'!H:H,'Отчет 01-07.12'!D:D,"Выручка",'Отчет 01-07.12'!E:E,B47)</f>
        <v>0</v>
      </c>
      <c r="Q47" s="48">
        <f>SUMIFS('Отчет 01-07.12'!H:H,'Отчет 01-07.12'!D:D,"Возврат выручки",'Отчет 01-07.12'!E:E,B47)</f>
        <v>0</v>
      </c>
      <c r="R47" s="49">
        <f t="shared" si="23"/>
        <v>0</v>
      </c>
      <c r="S47" s="50">
        <f>SUMIFS('Отчет 01-07.12'!P:P,'Отчет 01-07.12'!C:C,"Продажи",'Отчет 01-07.12'!E:E,B47)</f>
        <v>0</v>
      </c>
      <c r="T47" s="51">
        <f>SUMIFS('Отчет 01-07.12'!P:P,'Отчет 01-07.12'!C:C,"Возвраты",'Отчет 01-07.12'!E:E,B47)</f>
        <v>0</v>
      </c>
      <c r="U47" s="49">
        <f t="shared" si="24"/>
        <v>0</v>
      </c>
      <c r="V47" s="52">
        <f t="shared" si="25"/>
        <v>0</v>
      </c>
      <c r="W47" s="53">
        <f t="shared" si="26"/>
        <v>0</v>
      </c>
      <c r="X47" s="51">
        <f>-SUMIFS('Отчет 01-07.12'!P:P,'Отчет 01-07.12'!C:C,"Вознаграждение Ozon",'Отчет 01-07.12'!E:E,B47)</f>
        <v>0</v>
      </c>
      <c r="Y47" s="54">
        <f t="shared" si="27"/>
        <v>0</v>
      </c>
      <c r="Z47" s="51">
        <f>-SUMIFS('Отчет 01-07.12'!P:P,'Отчет 01-07.12'!C:C,"Услуги доставки",'Отчет 01-07.12'!E:E,B47)</f>
        <v>0</v>
      </c>
      <c r="AA47" s="41">
        <v>0</v>
      </c>
      <c r="AB47" s="64"/>
      <c r="AC47" s="51"/>
      <c r="AD47" s="55">
        <f t="shared" si="28"/>
        <v>0</v>
      </c>
      <c r="AE47" s="56">
        <f t="shared" si="29"/>
        <v>0</v>
      </c>
      <c r="AF47" s="55"/>
      <c r="AG47" s="57">
        <f t="shared" si="30"/>
        <v>0</v>
      </c>
      <c r="AH47" s="58">
        <f t="shared" si="31"/>
        <v>552</v>
      </c>
      <c r="AI47" s="58">
        <f t="shared" si="32"/>
        <v>0</v>
      </c>
      <c r="AJ47" s="58">
        <f t="shared" si="33"/>
        <v>0</v>
      </c>
      <c r="AK47" s="58">
        <f t="shared" si="34"/>
        <v>0</v>
      </c>
      <c r="AL47" s="58">
        <f t="array" ref="AL47">_xlfn.IFS(R47=0,AE47,R47&lt;0,AE47/-R47,R47&gt;0,AE47/R47)</f>
        <v>0</v>
      </c>
      <c r="AM47" s="59">
        <f t="shared" si="35"/>
        <v>0</v>
      </c>
      <c r="AN47" s="60">
        <f t="shared" si="36"/>
        <v>0</v>
      </c>
      <c r="AP47" s="62">
        <f t="shared" si="37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38">AVERAGEIF(AG28:AG47,"&lt;&gt;0",AG28:AG47)</f>
        <v>5500</v>
      </c>
      <c r="AH48" s="259">
        <f t="shared" si="38"/>
        <v>617.25</v>
      </c>
      <c r="AI48" s="259">
        <f t="shared" si="38"/>
        <v>2365</v>
      </c>
      <c r="AJ48" s="259">
        <f t="shared" si="38"/>
        <v>193.60599999999999</v>
      </c>
      <c r="AK48" s="259" t="e">
        <f t="shared" si="38"/>
        <v>#DIV/0!</v>
      </c>
      <c r="AL48" s="259">
        <f t="shared" si="38"/>
        <v>-888.2059999999999</v>
      </c>
      <c r="AM48" s="260">
        <f t="shared" si="38"/>
        <v>-0.432</v>
      </c>
      <c r="AN48" s="260">
        <f t="shared" si="38"/>
        <v>-1.4017261235992982</v>
      </c>
      <c r="AO48" s="240"/>
      <c r="AP48" s="241"/>
    </row>
    <row r="49" spans="1:42">
      <c r="A49" s="218" t="s">
        <v>306</v>
      </c>
      <c r="B49" s="219"/>
      <c r="C49" s="220">
        <f>SUM(C28:C47)</f>
        <v>307</v>
      </c>
      <c r="D49" s="221"/>
      <c r="E49" s="221"/>
      <c r="F49" s="221"/>
      <c r="G49" s="221"/>
      <c r="H49" s="222"/>
      <c r="I49" s="220">
        <f>SUM(I28:I47)</f>
        <v>187524</v>
      </c>
      <c r="J49" s="223"/>
      <c r="K49" s="220">
        <f>SUM(K28:K47)</f>
        <v>1</v>
      </c>
      <c r="L49" s="223"/>
      <c r="M49" s="223"/>
      <c r="N49" s="224"/>
      <c r="O49" s="225"/>
      <c r="P49" s="220">
        <f t="shared" ref="P49:X49" si="39">SUM(P28:P47)</f>
        <v>1</v>
      </c>
      <c r="Q49" s="220">
        <f t="shared" si="39"/>
        <v>2</v>
      </c>
      <c r="R49" s="250">
        <f t="shared" si="39"/>
        <v>-1</v>
      </c>
      <c r="S49" s="220">
        <f t="shared" si="39"/>
        <v>6500</v>
      </c>
      <c r="T49" s="220">
        <f t="shared" si="39"/>
        <v>-12000</v>
      </c>
      <c r="U49" s="250">
        <f t="shared" si="39"/>
        <v>-5500</v>
      </c>
      <c r="V49" s="253">
        <f t="shared" si="39"/>
        <v>1</v>
      </c>
      <c r="W49" s="220">
        <f t="shared" si="39"/>
        <v>-597</v>
      </c>
      <c r="X49" s="220">
        <f t="shared" si="39"/>
        <v>-2365</v>
      </c>
      <c r="Y49" s="226">
        <f>IF(U49=0,0,X49/U49)</f>
        <v>0.43</v>
      </c>
      <c r="Z49" s="220">
        <f>SUM(Z28:Z47)</f>
        <v>968.03</v>
      </c>
      <c r="AA49" s="220">
        <f>IFERROR(P49*AA51/P51,0)</f>
        <v>229.36305084745763</v>
      </c>
      <c r="AB49" s="220">
        <f>SUM(AB28:AB47)</f>
        <v>0</v>
      </c>
      <c r="AC49" s="220">
        <f>SUM(AC28:AC47)</f>
        <v>0</v>
      </c>
      <c r="AD49" s="250">
        <f>SUM(AD28:AD47)</f>
        <v>-330</v>
      </c>
      <c r="AE49" s="220">
        <f>SUM(AE28:AE47)</f>
        <v>-4441.03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-54357.51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1265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4556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744247.08999999985</v>
      </c>
      <c r="J51" s="229">
        <f>J26+J49</f>
        <v>0</v>
      </c>
      <c r="K51" s="229">
        <f>K26+K49</f>
        <v>80</v>
      </c>
      <c r="L51" s="230"/>
      <c r="M51" s="230"/>
      <c r="N51" s="230"/>
      <c r="O51" s="230"/>
      <c r="P51" s="269">
        <f t="shared" ref="P51:X51" si="40">P26+P49</f>
        <v>59</v>
      </c>
      <c r="Q51" s="229">
        <f t="shared" si="40"/>
        <v>2</v>
      </c>
      <c r="R51" s="252">
        <f>R26-R49</f>
        <v>59</v>
      </c>
      <c r="S51" s="229">
        <f t="shared" si="40"/>
        <v>93321</v>
      </c>
      <c r="T51" s="229">
        <f t="shared" si="40"/>
        <v>-12000</v>
      </c>
      <c r="U51" s="252">
        <f t="shared" si="40"/>
        <v>81321</v>
      </c>
      <c r="V51" s="255">
        <f t="shared" si="40"/>
        <v>-14.785636363636366</v>
      </c>
      <c r="W51" s="229">
        <f t="shared" si="40"/>
        <v>7116.2400000000007</v>
      </c>
      <c r="X51" s="229">
        <f t="shared" si="40"/>
        <v>34968.029999999992</v>
      </c>
      <c r="Y51" s="232">
        <f>X51/U51</f>
        <v>0.42999999999999988</v>
      </c>
      <c r="Z51" s="229">
        <f>Z26+Z49</f>
        <v>9860.380000000001</v>
      </c>
      <c r="AA51" s="75">
        <v>13532.42</v>
      </c>
      <c r="AB51" s="74"/>
      <c r="AC51" s="74">
        <f>SUM(AC3:AC47)</f>
        <v>0</v>
      </c>
      <c r="AD51" s="229">
        <f>AD26+AD49</f>
        <v>4879.2599999999993</v>
      </c>
      <c r="AE51" s="233">
        <f>AE26+AE49</f>
        <v>3858.993921000002</v>
      </c>
      <c r="AF51" s="76"/>
      <c r="AG51" s="234"/>
      <c r="AH51" s="235"/>
      <c r="AI51" s="235"/>
      <c r="AJ51" s="235"/>
      <c r="AK51" s="235">
        <f>AA52/P51</f>
        <v>229.36305084745763</v>
      </c>
      <c r="AL51" s="235"/>
      <c r="AM51" s="235"/>
      <c r="AN51" s="236"/>
      <c r="AP51" s="233">
        <f>SUM(AP3:AP47)</f>
        <v>1123772.6122546757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13532.42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20638.096078999995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744247.08999999985</v>
      </c>
      <c r="J59" s="109">
        <f>I59/I51</f>
        <v>1</v>
      </c>
      <c r="K59" s="105">
        <f>AP51-K58-K60</f>
        <v>1123772.6122546757</v>
      </c>
      <c r="L59" s="106">
        <f>K59/I59</f>
        <v>1.5099455911271027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213" priority="28" operator="greaterThan">
      <formula>120</formula>
    </cfRule>
  </conditionalFormatting>
  <conditionalFormatting sqref="N50">
    <cfRule type="cellIs" dxfId="212" priority="27" operator="between">
      <formula>0.000001</formula>
      <formula>25</formula>
    </cfRule>
  </conditionalFormatting>
  <conditionalFormatting sqref="V1 V52:V55 V57:V1048576">
    <cfRule type="cellIs" dxfId="21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{DD346B9F-F4D9-463B-9D2B-77B4D53118F8}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{151EFF5F-BB57-47E6-AA95-6BF3974E7315}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{4E25A2F8-1CF7-4454-ADEC-C4DCE612F14E}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{92D2AF95-8FA2-43AB-AFEA-481F190742BD}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{7EA4C4A4-640C-4E37-8F63-6B39450E1B74}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{8FE0F301-F164-4A3D-AA7F-4ECA6D78DDF4}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{5C068C78-B83B-42C0-AAA8-A98D6858CFB9}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{BE9D65FF-D7BC-444E-ABDA-A0C23BF60511}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{1606C1B7-053A-48F1-9740-9094DF4709EC}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{7AC9F018-D38E-4C43-9090-B8E2597D57E4}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{DF36E5C9-F436-40DB-A721-09B5533F8A1B}</x14:id>
        </ext>
      </extLst>
    </cfRule>
  </conditionalFormatting>
  <conditionalFormatting sqref="P50">
    <cfRule type="cellIs" dxfId="210" priority="23" operator="greaterThan">
      <formula>120</formula>
    </cfRule>
  </conditionalFormatting>
  <conditionalFormatting sqref="Q50">
    <cfRule type="cellIs" dxfId="209" priority="22" operator="greaterThan">
      <formula>120</formula>
    </cfRule>
  </conditionalFormatting>
  <conditionalFormatting sqref="R50">
    <cfRule type="cellIs" dxfId="208" priority="21" operator="greaterThan">
      <formula>120</formula>
    </cfRule>
  </conditionalFormatting>
  <conditionalFormatting sqref="S50">
    <cfRule type="cellIs" dxfId="207" priority="20" operator="greaterThan">
      <formula>120</formula>
    </cfRule>
  </conditionalFormatting>
  <conditionalFormatting sqref="T50">
    <cfRule type="cellIs" dxfId="206" priority="19" operator="greaterThan">
      <formula>120</formula>
    </cfRule>
  </conditionalFormatting>
  <conditionalFormatting sqref="U50">
    <cfRule type="cellIs" dxfId="205" priority="18" operator="greaterThan">
      <formula>120</formula>
    </cfRule>
  </conditionalFormatting>
  <conditionalFormatting sqref="V50">
    <cfRule type="cellIs" dxfId="204" priority="17" operator="greaterThan">
      <formula>120</formula>
    </cfRule>
  </conditionalFormatting>
  <conditionalFormatting sqref="W50">
    <cfRule type="cellIs" dxfId="203" priority="16" operator="greaterThan">
      <formula>120</formula>
    </cfRule>
  </conditionalFormatting>
  <conditionalFormatting sqref="X50">
    <cfRule type="cellIs" dxfId="202" priority="15" operator="greaterThan">
      <formula>120</formula>
    </cfRule>
  </conditionalFormatting>
  <conditionalFormatting sqref="Z50">
    <cfRule type="cellIs" dxfId="20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{5EE79199-D586-488B-AD4F-76B99BF4C40E}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{BC0DFAA7-9BC2-4B52-9192-3EC449F3BE01}</x14:id>
        </ext>
      </extLst>
    </cfRule>
  </conditionalFormatting>
  <conditionalFormatting sqref="J8:J9">
    <cfRule type="cellIs" dxfId="20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{05E68811-E98A-43C0-A559-1B13F7A61514}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{D81E49DB-AA18-4C20-9025-04ECDD69B7AE}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{FE3C77F4-F09B-4658-B7FA-817C25B2ED12}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{626DFE80-23BF-46C0-A61B-41C96174F9A1}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{731C23CD-9424-4252-9F1A-BB212A38F100}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{3D24AFD1-53E2-4271-8B12-ABC0AE637064}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{3371A4EB-F968-4E91-A9D7-62F7C8DE199E}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{50B6E257-DF91-4D71-A21D-E075537C64DC}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{7B2C80D4-C0CE-45FA-827A-EECD34C0C5FD}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{6B9F1320-7506-4B28-89B8-EFA9A8672E96}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346B9F-F4D9-463B-9D2B-77B4D53118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51EFF5F-BB57-47E6-AA95-6BF3974E7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4E25A2F8-1CF7-4454-ADEC-C4DCE612F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2D2AF95-8FA2-43AB-AFEA-481F19074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7EA4C4A4-640C-4E37-8F63-6B39450E1B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8FE0F301-F164-4A3D-AA7F-4ECA6D78D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C068C78-B83B-42C0-AAA8-A98D6858CF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BE9D65FF-D7BC-444E-ABDA-A0C23BF605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1606C1B7-053A-48F1-9740-9094DF4709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AC9F018-D38E-4C43-9090-B8E2597D57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F36E5C9-F436-40DB-A721-09B5533F8A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EE79199-D586-488B-AD4F-76B99BF4C4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C0DFAA7-9BC2-4B52-9192-3EC449F3BE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5E68811-E98A-43C0-A559-1B13F7A615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81E49DB-AA18-4C20-9025-04ECDD69B7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E3C77F4-F09B-4658-B7FA-817C25B2ED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26DFE80-23BF-46C0-A61B-41C96174F9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731C23CD-9424-4252-9F1A-BB212A38F1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D24AFD1-53E2-4271-8B12-ABC0AE637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3371A4EB-F968-4E91-A9D7-62F7C8DE1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50B6E257-DF91-4D71-A21D-E075537C64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7B2C80D4-C0CE-45FA-827A-EECD34C0C5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B9F1320-7506-4B28-89B8-EFA9A8672E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B3224-7163-4B37-BBED-FDFBCE9A029E}">
  <dimension ref="A1:AZ64"/>
  <sheetViews>
    <sheetView zoomScale="70" zoomScaleNormal="70" workbookViewId="0">
      <pane xSplit="2" ySplit="2" topLeftCell="N39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1336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1337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1338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1996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f>'Юнит 24-30.11'!C3</f>
        <v>288</v>
      </c>
      <c r="D3" s="42"/>
      <c r="E3" s="42"/>
      <c r="F3" s="42"/>
      <c r="G3" s="43"/>
      <c r="H3" s="44">
        <v>142.97999999999999</v>
      </c>
      <c r="I3" s="42">
        <f t="shared" ref="I3:I24" si="0">C3*H3</f>
        <v>41178.239999999998</v>
      </c>
      <c r="J3" s="45"/>
      <c r="K3" s="48">
        <f>'Юнит 24-30.11'!K3+'Юнит 17-23.11'!K3+'Юнит 10-16.11'!K3+'Юнит 03-09.11'!K3+'Юнит 01-02.11'!K3</f>
        <v>58</v>
      </c>
      <c r="L3" s="45"/>
      <c r="M3" s="45"/>
      <c r="N3" s="46">
        <f>K3/30</f>
        <v>1.9333333333333333</v>
      </c>
      <c r="O3" s="47">
        <f>R3/30</f>
        <v>0.8666666666666667</v>
      </c>
      <c r="P3" s="48">
        <f>'Юнит 24-30.11'!P3+'Юнит 17-23.11'!P3+'Юнит 10-16.11'!P3+'Юнит 03-09.11'!P3+'Юнит 01-02.11'!P3</f>
        <v>26</v>
      </c>
      <c r="Q3" s="48">
        <f>'Юнит 24-30.11'!Q3+'Юнит 17-23.11'!Q3+'Юнит 10-16.11'!Q3+'Юнит 03-09.11'!Q3+'Юнит 01-02.11'!Q3</f>
        <v>0</v>
      </c>
      <c r="R3" s="49">
        <f>P3-Q3</f>
        <v>26</v>
      </c>
      <c r="S3" s="48">
        <f>'Юнит 24-30.11'!S3+'Юнит 17-23.11'!S3+'Юнит 10-16.11'!S3+'Юнит 03-09.11'!S3+'Юнит 01-02.11'!S3</f>
        <v>38368</v>
      </c>
      <c r="T3" s="48">
        <f>'Юнит 24-30.11'!T3+'Юнит 17-23.11'!T3+'Юнит 10-16.11'!T3+'Юнит 03-09.11'!T3+'Юнит 01-02.11'!T3</f>
        <v>0</v>
      </c>
      <c r="U3" s="49">
        <f t="shared" ref="U3" si="1">S3+T3</f>
        <v>38368</v>
      </c>
      <c r="V3" s="52">
        <f t="shared" ref="V3" si="2">U3/$U$49</f>
        <v>0.60666624501929034</v>
      </c>
      <c r="W3" s="48">
        <f>R3*H3</f>
        <v>3717.4799999999996</v>
      </c>
      <c r="X3" s="48">
        <f>'Юнит 24-30.11'!X3+'Юнит 17-23.11'!X3+'Юнит 10-16.11'!X3+'Юнит 03-09.11'!X3+'Юнит 01-02.11'!X3</f>
        <v>16223.91</v>
      </c>
      <c r="Y3" s="54">
        <f t="shared" ref="Y3" si="3">IF(U3=0,0,X3/U3)</f>
        <v>0.42285003127606341</v>
      </c>
      <c r="Z3" s="48">
        <f>'Юнит 24-30.11'!Z3+'Юнит 17-23.11'!Z3+'Юнит 10-16.11'!Z3+'Юнит 03-09.11'!Z3+'Юнит 01-02.11'!Z3</f>
        <v>3704.0400000000004</v>
      </c>
      <c r="AA3" s="48">
        <f>'Юнит 24-30.11'!AA3+'Юнит 17-23.11'!AA3+'Юнит 10-16.11'!AA3+'Юнит 03-09.11'!AA3+'Юнит 01-02.11'!AA3</f>
        <v>12973.867843</v>
      </c>
      <c r="AB3" s="51"/>
      <c r="AC3" s="51"/>
      <c r="AD3" s="55">
        <f>U3*1%</f>
        <v>383.68</v>
      </c>
      <c r="AE3" s="56">
        <f t="shared" ref="AE3:AE24" si="4">U3-W3-X3-Z3-AA3-AB3-AC3-AD3</f>
        <v>1365.0221570000033</v>
      </c>
      <c r="AF3" s="55"/>
      <c r="AG3" s="57">
        <f t="shared" ref="AG3:AG24" si="5">IF(R3=0,0,U3/R3)</f>
        <v>1475.6923076923076</v>
      </c>
      <c r="AH3" s="58">
        <f t="shared" ref="AH3:AH24" si="6">H3</f>
        <v>142.97999999999999</v>
      </c>
      <c r="AI3" s="58">
        <f t="shared" ref="AI3:AI24" si="7">IF(R3=0,0,X3/R3)</f>
        <v>623.99653846153842</v>
      </c>
      <c r="AJ3" s="58">
        <f t="shared" ref="AJ3:AJ24" si="8">IF(P3=0,Z3/1,Z3/P3)</f>
        <v>142.46307692307693</v>
      </c>
      <c r="AK3" s="58">
        <f t="shared" ref="AK3:AK24" si="9">IF(P3=0,0,AA3/P3)</f>
        <v>498.99491703846155</v>
      </c>
      <c r="AL3" s="58">
        <f>_xlfn.IFS(R3=0,AE3,R3&lt;0,AE3/-R3,R3&gt;0,AE3/R3)</f>
        <v>52.500852192307818</v>
      </c>
      <c r="AM3" s="59">
        <f t="shared" ref="AM3:AM24" si="10">IF(AG3=0,0,AL3/AG3)</f>
        <v>3.5577099588198588E-2</v>
      </c>
      <c r="AN3" s="60">
        <f t="shared" ref="AN3:AN24" si="11">IF(AH3=0,0,AL3/AH3)</f>
        <v>0.3671901817898155</v>
      </c>
      <c r="AP3" s="62">
        <f t="shared" ref="AP3:AP24" si="12">AL3*C3</f>
        <v>15120.245431384652</v>
      </c>
    </row>
    <row r="4" spans="1:42">
      <c r="A4" s="39">
        <v>2638638550</v>
      </c>
      <c r="B4" s="40" t="s">
        <v>92</v>
      </c>
      <c r="C4" s="41">
        <f>'Юнит 24-30.11'!C4</f>
        <v>387</v>
      </c>
      <c r="D4" s="42"/>
      <c r="E4" s="42"/>
      <c r="F4" s="42"/>
      <c r="G4" s="43"/>
      <c r="H4" s="44">
        <v>123.09</v>
      </c>
      <c r="I4" s="42">
        <f t="shared" si="0"/>
        <v>47635.83</v>
      </c>
      <c r="J4" s="45"/>
      <c r="K4" s="48">
        <f>'Юнит 24-30.11'!K4+'Юнит 17-23.11'!K4+'Юнит 10-16.11'!K4+'Юнит 03-09.11'!K4+'Юнит 01-02.11'!K4</f>
        <v>2</v>
      </c>
      <c r="L4" s="45"/>
      <c r="M4" s="45"/>
      <c r="N4" s="46">
        <f t="shared" ref="N4:N24" si="13">K4/30</f>
        <v>6.6666666666666666E-2</v>
      </c>
      <c r="O4" s="47">
        <f t="shared" ref="O4:O24" si="14">R4/30</f>
        <v>0</v>
      </c>
      <c r="P4" s="48">
        <f>'Юнит 24-30.11'!P4+'Юнит 17-23.11'!P4+'Юнит 10-16.11'!P4+'Юнит 03-09.11'!P4+'Юнит 01-02.11'!P4</f>
        <v>0</v>
      </c>
      <c r="Q4" s="48">
        <f>'Юнит 24-30.11'!Q4+'Юнит 17-23.11'!Q4+'Юнит 10-16.11'!Q4+'Юнит 03-09.11'!Q4+'Юнит 01-02.11'!Q4</f>
        <v>0</v>
      </c>
      <c r="R4" s="49">
        <f t="shared" ref="R4:R24" si="15">P4-Q4</f>
        <v>0</v>
      </c>
      <c r="S4" s="48">
        <f>'Юнит 24-30.11'!S4+'Юнит 17-23.11'!S4+'Юнит 10-16.11'!S4+'Юнит 03-09.11'!S4+'Юнит 01-02.11'!S4</f>
        <v>0</v>
      </c>
      <c r="T4" s="48">
        <f>'Юнит 24-30.11'!T4+'Юнит 17-23.11'!T4+'Юнит 10-16.11'!T4+'Юнит 03-09.11'!T4+'Юнит 01-02.11'!T4</f>
        <v>0</v>
      </c>
      <c r="U4" s="49">
        <f t="shared" ref="U4:U24" si="16">S4+T4</f>
        <v>0</v>
      </c>
      <c r="V4" s="52">
        <f t="shared" ref="V4:V24" si="17">U4/$U$49</f>
        <v>0</v>
      </c>
      <c r="W4" s="48">
        <f t="shared" ref="W4:W23" si="18">R4*H4</f>
        <v>0</v>
      </c>
      <c r="X4" s="48">
        <f>'Юнит 24-30.11'!X4+'Юнит 17-23.11'!X4+'Юнит 10-16.11'!X4+'Юнит 03-09.11'!X4+'Юнит 01-02.11'!X4</f>
        <v>0</v>
      </c>
      <c r="Y4" s="54">
        <f t="shared" ref="Y4:Y24" si="19">IF(U4=0,0,X4/U4)</f>
        <v>0</v>
      </c>
      <c r="Z4" s="48">
        <f>'Юнит 24-30.11'!Z4+'Юнит 17-23.11'!Z4+'Юнит 10-16.11'!Z4+'Юнит 03-09.11'!Z4+'Юнит 01-02.11'!Z4</f>
        <v>92</v>
      </c>
      <c r="AA4" s="48">
        <f>'Юнит 24-30.11'!AA4+'Юнит 17-23.11'!AA4+'Юнит 10-16.11'!AA4+'Юнит 03-09.11'!AA4+'Юнит 01-02.11'!AA4</f>
        <v>0</v>
      </c>
      <c r="AB4" s="51"/>
      <c r="AC4" s="51"/>
      <c r="AD4" s="55">
        <f>U4*1%</f>
        <v>0</v>
      </c>
      <c r="AE4" s="56">
        <f t="shared" si="4"/>
        <v>-92</v>
      </c>
      <c r="AF4" s="55"/>
      <c r="AG4" s="57">
        <f t="shared" si="5"/>
        <v>0</v>
      </c>
      <c r="AH4" s="58">
        <f t="shared" si="6"/>
        <v>123.09</v>
      </c>
      <c r="AI4" s="58">
        <f t="shared" si="7"/>
        <v>0</v>
      </c>
      <c r="AJ4" s="58">
        <f t="shared" si="8"/>
        <v>92</v>
      </c>
      <c r="AK4" s="58">
        <f t="shared" si="9"/>
        <v>0</v>
      </c>
      <c r="AL4" s="58">
        <f t="array" ref="AL4">_xlfn.IFS(R4=0,AE4,R4&lt;0,AE4/-R4,R4&gt;0,AE4/R4)</f>
        <v>-92</v>
      </c>
      <c r="AM4" s="59">
        <f t="shared" si="10"/>
        <v>0</v>
      </c>
      <c r="AN4" s="60">
        <f t="shared" si="11"/>
        <v>-0.74742058656267774</v>
      </c>
      <c r="AP4" s="62">
        <f t="shared" si="12"/>
        <v>-35604</v>
      </c>
    </row>
    <row r="5" spans="1:42">
      <c r="A5" s="39">
        <v>2638691131</v>
      </c>
      <c r="B5" s="40" t="s">
        <v>222</v>
      </c>
      <c r="C5" s="41">
        <f>'Юнит 24-30.11'!C5</f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8">
        <f>'Юнит 24-30.11'!K5+'Юнит 17-23.11'!K5+'Юнит 10-16.11'!K5+'Юнит 03-09.11'!K5+'Юнит 01-02.11'!K5</f>
        <v>1</v>
      </c>
      <c r="L5" s="45"/>
      <c r="M5" s="45"/>
      <c r="N5" s="46">
        <f t="shared" si="13"/>
        <v>3.3333333333333333E-2</v>
      </c>
      <c r="O5" s="47">
        <f t="shared" si="14"/>
        <v>3.3333333333333333E-2</v>
      </c>
      <c r="P5" s="48">
        <f>'Юнит 24-30.11'!P5+'Юнит 17-23.11'!P5+'Юнит 10-16.11'!P5+'Юнит 03-09.11'!P5+'Юнит 01-02.11'!P5</f>
        <v>2</v>
      </c>
      <c r="Q5" s="48">
        <f>'Юнит 24-30.11'!Q5+'Юнит 17-23.11'!Q5+'Юнит 10-16.11'!Q5+'Юнит 03-09.11'!Q5+'Юнит 01-02.11'!Q5</f>
        <v>1</v>
      </c>
      <c r="R5" s="49">
        <f t="shared" si="15"/>
        <v>1</v>
      </c>
      <c r="S5" s="48">
        <f>'Юнит 24-30.11'!S5+'Юнит 17-23.11'!S5+'Юнит 10-16.11'!S5+'Юнит 03-09.11'!S5+'Юнит 01-02.11'!S5</f>
        <v>2097</v>
      </c>
      <c r="T5" s="48">
        <f>'Юнит 24-30.11'!T5+'Юнит 17-23.11'!T5+'Юнит 10-16.11'!T5+'Юнит 03-09.11'!T5+'Юнит 01-02.11'!T5</f>
        <v>-1183</v>
      </c>
      <c r="U5" s="49">
        <f t="shared" si="16"/>
        <v>914</v>
      </c>
      <c r="V5" s="52">
        <f t="shared" si="17"/>
        <v>1.4451963822655114E-2</v>
      </c>
      <c r="W5" s="48">
        <f t="shared" si="18"/>
        <v>123.09</v>
      </c>
      <c r="X5" s="48">
        <f>'Юнит 24-30.11'!X5+'Юнит 17-23.11'!X5+'Юнит 10-16.11'!X5+'Юнит 03-09.11'!X5+'Юнит 01-02.11'!X5</f>
        <v>347.32</v>
      </c>
      <c r="Y5" s="54">
        <f t="shared" si="19"/>
        <v>0.38</v>
      </c>
      <c r="Z5" s="48">
        <f>'Юнит 24-30.11'!Z5+'Юнит 17-23.11'!Z5+'Юнит 10-16.11'!Z5+'Юнит 03-09.11'!Z5+'Юнит 01-02.11'!Z5</f>
        <v>155.09</v>
      </c>
      <c r="AA5" s="48">
        <f>'Юнит 24-30.11'!AA5+'Юнит 17-23.11'!AA5+'Юнит 10-16.11'!AA5+'Юнит 03-09.11'!AA5+'Юнит 01-02.11'!AA5</f>
        <v>0</v>
      </c>
      <c r="AB5" s="64"/>
      <c r="AC5" s="51"/>
      <c r="AD5" s="55">
        <f>U5*1%</f>
        <v>9.14</v>
      </c>
      <c r="AE5" s="56">
        <f t="shared" si="4"/>
        <v>279.36</v>
      </c>
      <c r="AF5" s="55"/>
      <c r="AG5" s="57">
        <f t="shared" si="5"/>
        <v>914</v>
      </c>
      <c r="AH5" s="58">
        <f t="shared" si="6"/>
        <v>123.09</v>
      </c>
      <c r="AI5" s="58">
        <f t="shared" si="7"/>
        <v>347.32</v>
      </c>
      <c r="AJ5" s="58">
        <f t="shared" si="8"/>
        <v>77.545000000000002</v>
      </c>
      <c r="AK5" s="58">
        <f t="shared" si="9"/>
        <v>0</v>
      </c>
      <c r="AL5" s="58">
        <f t="array" ref="AL5">_xlfn.IFS(R5=0,AE5,R5&lt;0,AE5/-R5,R5&gt;0,AE5/R5)</f>
        <v>279.36</v>
      </c>
      <c r="AM5" s="59">
        <f t="shared" si="10"/>
        <v>0.30564551422319475</v>
      </c>
      <c r="AN5" s="60">
        <f t="shared" si="11"/>
        <v>2.269558859371192</v>
      </c>
      <c r="AP5" s="62">
        <f t="shared" si="12"/>
        <v>109229.76000000001</v>
      </c>
    </row>
    <row r="6" spans="1:42">
      <c r="A6" s="39">
        <v>2638382749</v>
      </c>
      <c r="B6" s="40" t="s">
        <v>223</v>
      </c>
      <c r="C6" s="41">
        <f>'Юнит 24-30.11'!C6</f>
        <v>834</v>
      </c>
      <c r="D6" s="42"/>
      <c r="E6" s="42"/>
      <c r="F6" s="42"/>
      <c r="G6" s="43"/>
      <c r="H6" s="44">
        <v>123.09</v>
      </c>
      <c r="I6" s="63">
        <f t="shared" si="0"/>
        <v>102657.06</v>
      </c>
      <c r="J6" s="45"/>
      <c r="K6" s="48">
        <f>'Юнит 24-30.11'!K6+'Юнит 17-23.11'!K6+'Юнит 10-16.11'!K6+'Юнит 03-09.11'!K6+'Юнит 01-02.11'!K6</f>
        <v>99</v>
      </c>
      <c r="L6" s="45"/>
      <c r="M6" s="45"/>
      <c r="N6" s="46">
        <f t="shared" si="13"/>
        <v>3.3</v>
      </c>
      <c r="O6" s="47">
        <f t="shared" si="14"/>
        <v>1.7</v>
      </c>
      <c r="P6" s="48">
        <f>'Юнит 24-30.11'!P6+'Юнит 17-23.11'!P6+'Юнит 10-16.11'!P6+'Юнит 03-09.11'!P6+'Юнит 01-02.11'!P6</f>
        <v>53</v>
      </c>
      <c r="Q6" s="48">
        <f>'Юнит 24-30.11'!Q6+'Юнит 17-23.11'!Q6+'Юнит 10-16.11'!Q6+'Юнит 03-09.11'!Q6+'Юнит 01-02.11'!Q6</f>
        <v>2</v>
      </c>
      <c r="R6" s="49">
        <f t="shared" si="15"/>
        <v>51</v>
      </c>
      <c r="S6" s="48">
        <f>'Юнит 24-30.11'!S6+'Юнит 17-23.11'!S6+'Юнит 10-16.11'!S6+'Юнит 03-09.11'!S6+'Юнит 01-02.11'!S6</f>
        <v>81264</v>
      </c>
      <c r="T6" s="48">
        <f>'Юнит 24-30.11'!T6+'Юнит 17-23.11'!T6+'Юнит 10-16.11'!T6+'Юнит 03-09.11'!T6+'Юнит 01-02.11'!T6</f>
        <v>-3051</v>
      </c>
      <c r="U6" s="49">
        <f t="shared" si="16"/>
        <v>78213</v>
      </c>
      <c r="V6" s="52">
        <f t="shared" si="17"/>
        <v>1.2366864840933527</v>
      </c>
      <c r="W6" s="48">
        <f t="shared" si="18"/>
        <v>6277.59</v>
      </c>
      <c r="X6" s="48">
        <f>'Юнит 24-30.11'!X6+'Юнит 17-23.11'!X6+'Юнит 10-16.11'!X6+'Юнит 03-09.11'!X6+'Юнит 01-02.11'!X6</f>
        <v>32960.79</v>
      </c>
      <c r="Y6" s="54">
        <f t="shared" si="19"/>
        <v>0.42142342065896976</v>
      </c>
      <c r="Z6" s="48">
        <f>'Юнит 24-30.11'!Z6+'Юнит 17-23.11'!Z6+'Юнит 10-16.11'!Z6+'Юнит 03-09.11'!Z6+'Юнит 01-02.11'!Z6</f>
        <v>7706.72</v>
      </c>
      <c r="AA6" s="48">
        <f>'Юнит 24-30.11'!AA6+'Юнит 17-23.11'!AA6+'Юнит 10-16.11'!AA6+'Юнит 03-09.11'!AA6+'Юнит 01-02.11'!AA6</f>
        <v>26662.12384</v>
      </c>
      <c r="AB6" s="64"/>
      <c r="AC6" s="51"/>
      <c r="AD6" s="55">
        <f>U6*1%</f>
        <v>782.13</v>
      </c>
      <c r="AE6" s="56">
        <f t="shared" si="4"/>
        <v>3823.6461600000011</v>
      </c>
      <c r="AF6" s="55"/>
      <c r="AG6" s="57">
        <f t="shared" si="5"/>
        <v>1533.5882352941176</v>
      </c>
      <c r="AH6" s="58">
        <f t="shared" si="6"/>
        <v>123.09</v>
      </c>
      <c r="AI6" s="58">
        <f t="shared" si="7"/>
        <v>646.29</v>
      </c>
      <c r="AJ6" s="58">
        <f t="shared" si="8"/>
        <v>145.40981132075473</v>
      </c>
      <c r="AK6" s="58">
        <f t="shared" si="9"/>
        <v>503.05894037735851</v>
      </c>
      <c r="AL6" s="58">
        <f t="array" ref="AL6">_xlfn.IFS(R6=0,AE6,R6&lt;0,AE6/-R6,R6&gt;0,AE6/R6)</f>
        <v>74.97345411764708</v>
      </c>
      <c r="AM6" s="59">
        <f t="shared" si="10"/>
        <v>4.8887603851022227E-2</v>
      </c>
      <c r="AN6" s="60">
        <f t="shared" si="11"/>
        <v>0.60909459840480196</v>
      </c>
      <c r="AP6" s="62">
        <f t="shared" si="12"/>
        <v>62527.860734117661</v>
      </c>
    </row>
    <row r="7" spans="1:42">
      <c r="A7" s="39">
        <v>2638569317</v>
      </c>
      <c r="B7" s="40" t="s">
        <v>54</v>
      </c>
      <c r="C7" s="41">
        <f>'Юнит 24-30.11'!C7</f>
        <v>850</v>
      </c>
      <c r="D7" s="42"/>
      <c r="E7" s="42"/>
      <c r="F7" s="42"/>
      <c r="G7" s="43"/>
      <c r="H7" s="44">
        <v>117.24</v>
      </c>
      <c r="I7" s="63">
        <f t="shared" si="0"/>
        <v>99654</v>
      </c>
      <c r="J7" s="45"/>
      <c r="K7" s="48">
        <f>'Юнит 24-30.11'!K7+'Юнит 17-23.11'!K7+'Юнит 10-16.11'!K7+'Юнит 03-09.11'!K7+'Юнит 01-02.11'!K7</f>
        <v>7</v>
      </c>
      <c r="L7" s="45"/>
      <c r="M7" s="45"/>
      <c r="N7" s="46">
        <f t="shared" si="13"/>
        <v>0.23333333333333334</v>
      </c>
      <c r="O7" s="47">
        <f t="shared" si="14"/>
        <v>3.3333333333333333E-2</v>
      </c>
      <c r="P7" s="48">
        <f>'Юнит 24-30.11'!P7+'Юнит 17-23.11'!P7+'Юнит 10-16.11'!P7+'Юнит 03-09.11'!P7+'Юнит 01-02.11'!P7</f>
        <v>1</v>
      </c>
      <c r="Q7" s="48">
        <f>'Юнит 24-30.11'!Q7+'Юнит 17-23.11'!Q7+'Юнит 10-16.11'!Q7+'Юнит 03-09.11'!Q7+'Юнит 01-02.11'!Q7</f>
        <v>0</v>
      </c>
      <c r="R7" s="49">
        <f t="shared" si="15"/>
        <v>1</v>
      </c>
      <c r="S7" s="48">
        <f>'Юнит 24-30.11'!S7+'Юнит 17-23.11'!S7+'Юнит 10-16.11'!S7+'Юнит 03-09.11'!S7+'Юнит 01-02.11'!S7</f>
        <v>1568</v>
      </c>
      <c r="T7" s="48">
        <f>'Юнит 24-30.11'!T7+'Юнит 17-23.11'!T7+'Юнит 10-16.11'!T7+'Юнит 03-09.11'!T7+'Юнит 01-02.11'!T7</f>
        <v>0</v>
      </c>
      <c r="U7" s="49">
        <f t="shared" si="16"/>
        <v>1568</v>
      </c>
      <c r="V7" s="52">
        <f t="shared" si="17"/>
        <v>2.4792865726393016E-2</v>
      </c>
      <c r="W7" s="48">
        <f t="shared" si="18"/>
        <v>117.24</v>
      </c>
      <c r="X7" s="48">
        <f>'Юнит 24-30.11'!X7+'Юнит 17-23.11'!X7+'Юнит 10-16.11'!X7+'Юнит 03-09.11'!X7+'Юнит 01-02.11'!X7</f>
        <v>674.24</v>
      </c>
      <c r="Y7" s="54">
        <f t="shared" si="19"/>
        <v>0.43</v>
      </c>
      <c r="Z7" s="48">
        <f>'Юнит 24-30.11'!Z7+'Юнит 17-23.11'!Z7+'Юнит 10-16.11'!Z7+'Юнит 03-09.11'!Z7+'Юнит 01-02.11'!Z7</f>
        <v>308.37</v>
      </c>
      <c r="AA7" s="48">
        <f>'Юнит 24-30.11'!AA7+'Юнит 17-23.11'!AA7+'Юнит 10-16.11'!AA7+'Юнит 03-09.11'!AA7+'Юнит 01-02.11'!AA7</f>
        <v>401.24765600000001</v>
      </c>
      <c r="AB7" s="64"/>
      <c r="AC7" s="51"/>
      <c r="AD7" s="55">
        <f>U7*1%</f>
        <v>15.68</v>
      </c>
      <c r="AE7" s="56">
        <f t="shared" si="4"/>
        <v>51.222343999999971</v>
      </c>
      <c r="AF7" s="55"/>
      <c r="AG7" s="57">
        <f t="shared" si="5"/>
        <v>1568</v>
      </c>
      <c r="AH7" s="58">
        <f t="shared" si="6"/>
        <v>117.24</v>
      </c>
      <c r="AI7" s="58">
        <f t="shared" si="7"/>
        <v>674.24</v>
      </c>
      <c r="AJ7" s="58">
        <f t="shared" si="8"/>
        <v>308.37</v>
      </c>
      <c r="AK7" s="58">
        <f t="shared" si="9"/>
        <v>401.24765600000001</v>
      </c>
      <c r="AL7" s="58">
        <f t="array" ref="AL7">_xlfn.IFS(R7=0,AE7,R7&lt;0,AE7/-R7,R7&gt;0,AE7/R7)</f>
        <v>51.222343999999971</v>
      </c>
      <c r="AM7" s="59">
        <f t="shared" si="10"/>
        <v>3.2667311224489778E-2</v>
      </c>
      <c r="AN7" s="60">
        <f t="shared" si="11"/>
        <v>0.43690160354827678</v>
      </c>
      <c r="AP7" s="62">
        <f t="shared" si="12"/>
        <v>43538.992399999974</v>
      </c>
    </row>
    <row r="8" spans="1:42">
      <c r="A8" s="39">
        <v>3064334128</v>
      </c>
      <c r="B8" s="40" t="s">
        <v>1054</v>
      </c>
      <c r="C8" s="41">
        <f>'Юнит 24-30.11'!C8</f>
        <v>397</v>
      </c>
      <c r="D8" s="42"/>
      <c r="E8" s="42"/>
      <c r="F8" s="42"/>
      <c r="G8" s="43"/>
      <c r="H8" s="44">
        <v>123</v>
      </c>
      <c r="I8" s="63">
        <f t="shared" si="0"/>
        <v>48831</v>
      </c>
      <c r="J8" s="45"/>
      <c r="K8" s="48">
        <f>'Юнит 24-30.11'!K8+'Юнит 17-23.11'!K8+'Юнит 10-16.11'!K8+'Юнит 03-09.11'!K8</f>
        <v>5</v>
      </c>
      <c r="L8" s="45"/>
      <c r="M8" s="45"/>
      <c r="N8" s="46">
        <f t="shared" si="13"/>
        <v>0.16666666666666666</v>
      </c>
      <c r="O8" s="47">
        <f t="shared" si="14"/>
        <v>0</v>
      </c>
      <c r="P8" s="48">
        <f>'Юнит 03-09.11'!P8+'Юнит 10-16.11'!P8+'Юнит 17-23.11'!P8+'Юнит 24-30.11'!P8</f>
        <v>1</v>
      </c>
      <c r="Q8" s="48">
        <f>'Юнит 03-09.11'!Q8+'Юнит 10-16.11'!Q8+'Юнит 17-23.11'!Q8+'Юнит 24-30.11'!Q8</f>
        <v>1</v>
      </c>
      <c r="R8" s="49">
        <f t="shared" si="15"/>
        <v>0</v>
      </c>
      <c r="S8" s="48">
        <f>'Юнит 03-09.11'!S8+'Юнит 10-16.11'!S8+'Юнит 17-23.11'!S8+'Юнит 24-30.11'!S8</f>
        <v>1800</v>
      </c>
      <c r="T8" s="48">
        <f>'Юнит 03-09.11'!T8+'Юнит 10-16.11'!T8+'Юнит 17-23.11'!T8+'Юнит 24-30.11'!T8</f>
        <v>-1800</v>
      </c>
      <c r="U8" s="49">
        <f t="shared" si="16"/>
        <v>0</v>
      </c>
      <c r="V8" s="52">
        <f t="shared" si="17"/>
        <v>0</v>
      </c>
      <c r="W8" s="48">
        <f t="shared" si="18"/>
        <v>0</v>
      </c>
      <c r="X8" s="48">
        <f>'Юнит 03-09.11'!X8+'Юнит 10-16.11'!X8+'Юнит 17-23.11'!X8+'Юнит 24-30.11'!X8</f>
        <v>0</v>
      </c>
      <c r="Y8" s="54">
        <f t="shared" si="19"/>
        <v>0</v>
      </c>
      <c r="Z8" s="48">
        <f>'Юнит 03-09.11'!Z8+'Юнит 10-16.11'!Z8+'Юнит 17-23.11'!Z8+'Юнит 24-30.11'!Z8</f>
        <v>223.68</v>
      </c>
      <c r="AA8" s="48">
        <f>'Юнит 03-09.11'!AA8+'Юнит 10-16.11'!AA8+'Юнит 17-23.11'!AA8+'Юнит 24-30.11'!AA8</f>
        <v>2045.7717700000001</v>
      </c>
      <c r="AB8" s="64"/>
      <c r="AC8" s="51"/>
      <c r="AD8" s="55">
        <f>U8*1%</f>
        <v>0</v>
      </c>
      <c r="AE8" s="56">
        <f t="shared" si="4"/>
        <v>-2269.4517700000001</v>
      </c>
      <c r="AF8" s="55"/>
      <c r="AG8" s="57">
        <f t="shared" si="5"/>
        <v>0</v>
      </c>
      <c r="AH8" s="58">
        <f t="shared" si="6"/>
        <v>123</v>
      </c>
      <c r="AI8" s="58">
        <f t="shared" si="7"/>
        <v>0</v>
      </c>
      <c r="AJ8" s="58">
        <f t="shared" si="8"/>
        <v>223.68</v>
      </c>
      <c r="AK8" s="58">
        <f t="shared" si="9"/>
        <v>2045.7717700000001</v>
      </c>
      <c r="AL8" s="58">
        <f t="array" ref="AL8">_xlfn.IFS(R8=0,AE8,R8&lt;0,AE8/-R8,R8&gt;0,AE8/R8)</f>
        <v>-2269.4517700000001</v>
      </c>
      <c r="AM8" s="59">
        <f t="shared" si="10"/>
        <v>0</v>
      </c>
      <c r="AN8" s="60">
        <f t="shared" si="11"/>
        <v>-18.450827398373985</v>
      </c>
      <c r="AP8" s="62">
        <f t="shared" si="12"/>
        <v>-900972.35269000009</v>
      </c>
    </row>
    <row r="9" spans="1:42">
      <c r="A9" s="39">
        <v>3064334311</v>
      </c>
      <c r="B9" s="40" t="s">
        <v>1055</v>
      </c>
      <c r="C9" s="41">
        <f>'Юнит 24-30.11'!C9</f>
        <v>391</v>
      </c>
      <c r="D9" s="42"/>
      <c r="E9" s="42"/>
      <c r="F9" s="42"/>
      <c r="G9" s="43"/>
      <c r="H9" s="44">
        <v>123</v>
      </c>
      <c r="I9" s="63">
        <f t="shared" si="0"/>
        <v>48093</v>
      </c>
      <c r="J9" s="45"/>
      <c r="K9" s="48">
        <f>'Юнит 24-30.11'!K9+'Юнит 17-23.11'!K9+'Юнит 10-16.11'!K9+'Юнит 03-09.11'!K9</f>
        <v>10</v>
      </c>
      <c r="L9" s="45"/>
      <c r="M9" s="45"/>
      <c r="N9" s="46">
        <f t="shared" si="13"/>
        <v>0.33333333333333331</v>
      </c>
      <c r="O9" s="47">
        <f t="shared" si="14"/>
        <v>0.1</v>
      </c>
      <c r="P9" s="48">
        <f>'Юнит 03-09.11'!P9+'Юнит 10-16.11'!P9+'Юнит 17-23.11'!P9+'Юнит 24-30.11'!P9</f>
        <v>3</v>
      </c>
      <c r="Q9" s="48">
        <f>'Юнит 03-09.11'!Q9+'Юнит 10-16.11'!Q9+'Юнит 17-23.11'!Q9+'Юнит 24-30.11'!Q9</f>
        <v>0</v>
      </c>
      <c r="R9" s="49">
        <f t="shared" si="15"/>
        <v>3</v>
      </c>
      <c r="S9" s="48">
        <f>'Юнит 03-09.11'!S9+'Юнит 10-16.11'!S9+'Юнит 17-23.11'!S9+'Юнит 24-30.11'!S9</f>
        <v>6299.9999999999991</v>
      </c>
      <c r="T9" s="48">
        <f>'Юнит 03-09.11'!T9+'Юнит 10-16.11'!T9+'Юнит 17-23.11'!T9+'Юнит 24-30.11'!T9</f>
        <v>0</v>
      </c>
      <c r="U9" s="49">
        <f t="shared" si="16"/>
        <v>6299.9999999999991</v>
      </c>
      <c r="V9" s="52">
        <f t="shared" si="17"/>
        <v>9.9614192650686217E-2</v>
      </c>
      <c r="W9" s="48">
        <f t="shared" si="18"/>
        <v>369</v>
      </c>
      <c r="X9" s="48">
        <f>'Юнит 03-09.11'!X9+'Юнит 10-16.11'!X9+'Юнит 17-23.11'!X9+'Юнит 24-30.11'!X9</f>
        <v>2709</v>
      </c>
      <c r="Y9" s="54">
        <f t="shared" si="19"/>
        <v>0.43000000000000005</v>
      </c>
      <c r="Z9" s="48">
        <f>'Юнит 03-09.11'!Z9+'Юнит 10-16.11'!Z9+'Юнит 17-23.11'!Z9+'Юнит 24-30.11'!Z9</f>
        <v>593.79999999999995</v>
      </c>
      <c r="AA9" s="48">
        <f>'Юнит 03-09.11'!AA9+'Юнит 10-16.11'!AA9+'Юнит 17-23.11'!AA9+'Юнит 24-30.11'!AA9</f>
        <v>7234.5563819999998</v>
      </c>
      <c r="AB9" s="64"/>
      <c r="AC9" s="51"/>
      <c r="AD9" s="55">
        <f>U9*1%</f>
        <v>62.999999999999993</v>
      </c>
      <c r="AE9" s="56">
        <f t="shared" si="4"/>
        <v>-4669.3563820000008</v>
      </c>
      <c r="AF9" s="55"/>
      <c r="AG9" s="57">
        <f t="shared" si="5"/>
        <v>2099.9999999999995</v>
      </c>
      <c r="AH9" s="58">
        <f t="shared" si="6"/>
        <v>123</v>
      </c>
      <c r="AI9" s="58">
        <f t="shared" si="7"/>
        <v>903</v>
      </c>
      <c r="AJ9" s="58">
        <f t="shared" si="8"/>
        <v>197.93333333333331</v>
      </c>
      <c r="AK9" s="58">
        <f t="shared" si="9"/>
        <v>2411.5187940000001</v>
      </c>
      <c r="AL9" s="58">
        <f t="array" ref="AL9">_xlfn.IFS(R9=0,AE9,R9&lt;0,AE9/-R9,R9&gt;0,AE9/R9)</f>
        <v>-1556.4521273333337</v>
      </c>
      <c r="AM9" s="59">
        <f t="shared" si="10"/>
        <v>-0.74116767968254005</v>
      </c>
      <c r="AN9" s="60">
        <f t="shared" si="11"/>
        <v>-12.654082336043363</v>
      </c>
      <c r="AP9" s="62">
        <f t="shared" si="12"/>
        <v>-608572.78178733343</v>
      </c>
    </row>
    <row r="10" spans="1:42">
      <c r="A10" s="39">
        <v>2638291563</v>
      </c>
      <c r="B10" s="40" t="s">
        <v>88</v>
      </c>
      <c r="C10" s="41">
        <f>'Юнит 24-30.11'!C10</f>
        <v>393</v>
      </c>
      <c r="D10" s="42"/>
      <c r="E10" s="42"/>
      <c r="F10" s="42"/>
      <c r="G10" s="43"/>
      <c r="H10" s="44">
        <v>169.89</v>
      </c>
      <c r="I10" s="63">
        <f t="shared" si="0"/>
        <v>66766.76999999999</v>
      </c>
      <c r="J10" s="45"/>
      <c r="K10" s="48">
        <f>'Юнит 24-30.11'!K10+'Юнит 17-23.11'!K10+'Юнит 10-16.11'!K10+'Юнит 03-09.11'!K10+'Юнит 01-02.11'!K8</f>
        <v>7</v>
      </c>
      <c r="L10" s="45"/>
      <c r="M10" s="45"/>
      <c r="N10" s="46">
        <f t="shared" si="13"/>
        <v>0.23333333333333334</v>
      </c>
      <c r="O10" s="47">
        <f t="shared" si="14"/>
        <v>0.13333333333333333</v>
      </c>
      <c r="P10" s="48">
        <f>'Юнит 01-02.11'!P8+'Юнит 03-09.11'!P10+'Юнит 10-16.11'!P10+'Юнит 17-23.11'!P10+'Юнит 24-30.11'!P10</f>
        <v>5</v>
      </c>
      <c r="Q10" s="48">
        <f>'Юнит 01-02.11'!Q8+'Юнит 03-09.11'!Q10+'Юнит 10-16.11'!Q10+'Юнит 17-23.11'!Q10+'Юнит 24-30.11'!Q10</f>
        <v>1</v>
      </c>
      <c r="R10" s="49">
        <f t="shared" si="15"/>
        <v>4</v>
      </c>
      <c r="S10" s="48">
        <f>'Юнит 01-02.11'!S8+'Юнит 03-09.11'!S10+'Юнит 10-16.11'!S10+'Юнит 17-23.11'!S10+'Юнит 24-30.11'!S10</f>
        <v>6736</v>
      </c>
      <c r="T10" s="48">
        <f>'Юнит 01-02.11'!T8+'Юнит 03-09.11'!T10+'Юнит 10-16.11'!T10+'Юнит 17-23.11'!T10+'Юнит 24-30.11'!T10</f>
        <v>-1364</v>
      </c>
      <c r="U10" s="49">
        <f t="shared" si="16"/>
        <v>5372</v>
      </c>
      <c r="V10" s="52">
        <f t="shared" si="17"/>
        <v>8.4940863955474039E-2</v>
      </c>
      <c r="W10" s="48">
        <f t="shared" si="18"/>
        <v>679.56</v>
      </c>
      <c r="X10" s="48">
        <f>'Юнит 01-02.11'!X8+'Юнит 03-09.11'!X10+'Юнит 10-16.11'!X10+'Юнит 17-23.11'!X10+'Юнит 24-30.11'!X10</f>
        <v>2241.7600000000002</v>
      </c>
      <c r="Y10" s="54">
        <f t="shared" si="19"/>
        <v>0.41730454206999257</v>
      </c>
      <c r="Z10" s="48">
        <f>'Юнит 01-02.11'!Z8+'Юнит 03-09.11'!Z10+'Юнит 10-16.11'!Z10+'Юнит 17-23.11'!Z10+'Юнит 24-30.11'!Z10</f>
        <v>616.29999999999995</v>
      </c>
      <c r="AA10" s="48">
        <f>'Юнит 01-02.11'!AA8+'Юнит 03-09.11'!AA10+'Юнит 10-16.11'!AA10+'Юнит 17-23.11'!AA10+'Юнит 24-30.11'!AA10</f>
        <v>2658.3751169999996</v>
      </c>
      <c r="AB10" s="64"/>
      <c r="AC10" s="51"/>
      <c r="AD10" s="55">
        <f>U10*1%</f>
        <v>53.72</v>
      </c>
      <c r="AE10" s="56">
        <f t="shared" si="4"/>
        <v>-877.71511699999928</v>
      </c>
      <c r="AF10" s="55"/>
      <c r="AG10" s="57">
        <f t="shared" si="5"/>
        <v>1343</v>
      </c>
      <c r="AH10" s="58">
        <f t="shared" si="6"/>
        <v>169.89</v>
      </c>
      <c r="AI10" s="58">
        <f t="shared" si="7"/>
        <v>560.44000000000005</v>
      </c>
      <c r="AJ10" s="58">
        <f t="shared" si="8"/>
        <v>123.25999999999999</v>
      </c>
      <c r="AK10" s="58">
        <f t="shared" si="9"/>
        <v>531.67502339999987</v>
      </c>
      <c r="AL10" s="58">
        <f t="array" ref="AL10">_xlfn.IFS(R10=0,AE10,R10&lt;0,AE10/-R10,R10&gt;0,AE10/R10)</f>
        <v>-219.42877924999982</v>
      </c>
      <c r="AM10" s="59">
        <f t="shared" si="10"/>
        <v>-0.16338702848101253</v>
      </c>
      <c r="AN10" s="60">
        <f t="shared" si="11"/>
        <v>-1.2915932618164685</v>
      </c>
      <c r="AP10" s="62">
        <f t="shared" si="12"/>
        <v>-86235.510245249927</v>
      </c>
    </row>
    <row r="11" spans="1:42">
      <c r="A11" s="39">
        <v>2730130733</v>
      </c>
      <c r="B11" s="40" t="s">
        <v>224</v>
      </c>
      <c r="C11" s="41">
        <f>'Юнит 24-30.11'!C11</f>
        <v>47</v>
      </c>
      <c r="D11" s="42"/>
      <c r="E11" s="42"/>
      <c r="F11" s="42"/>
      <c r="G11" s="43"/>
      <c r="H11" s="44">
        <v>169.89</v>
      </c>
      <c r="I11" s="63">
        <f t="shared" si="0"/>
        <v>7984.829999999999</v>
      </c>
      <c r="J11" s="45"/>
      <c r="K11" s="48">
        <f>'Юнит 24-30.11'!K11+'Юнит 17-23.11'!K11+'Юнит 10-16.11'!K11+'Юнит 03-09.11'!K11+'Юнит 01-02.11'!K9</f>
        <v>2</v>
      </c>
      <c r="L11" s="45"/>
      <c r="M11" s="45"/>
      <c r="N11" s="46">
        <f t="shared" si="13"/>
        <v>6.6666666666666666E-2</v>
      </c>
      <c r="O11" s="47">
        <f t="shared" si="14"/>
        <v>3.3333333333333333E-2</v>
      </c>
      <c r="P11" s="48">
        <f>'Юнит 01-02.11'!P9+'Юнит 03-09.11'!P11+'Юнит 10-16.11'!P11+'Юнит 17-23.11'!P11+'Юнит 24-30.11'!P11</f>
        <v>1</v>
      </c>
      <c r="Q11" s="48">
        <f>'Юнит 01-02.11'!Q9+'Юнит 03-09.11'!Q11+'Юнит 10-16.11'!Q11+'Юнит 17-23.11'!Q11+'Юнит 24-30.11'!Q11</f>
        <v>0</v>
      </c>
      <c r="R11" s="49">
        <f t="shared" si="15"/>
        <v>1</v>
      </c>
      <c r="S11" s="48">
        <f>'Юнит 01-02.11'!S9+'Юнит 03-09.11'!S11+'Юнит 10-16.11'!S11+'Юнит 17-23.11'!S11+'Юнит 24-30.11'!S11</f>
        <v>1800</v>
      </c>
      <c r="T11" s="48">
        <f>'Юнит 01-02.11'!T9+'Юнит 03-09.11'!T11+'Юнит 10-16.11'!T11+'Юнит 17-23.11'!T11+'Юнит 24-30.11'!T11</f>
        <v>0</v>
      </c>
      <c r="U11" s="49">
        <f t="shared" si="16"/>
        <v>1800</v>
      </c>
      <c r="V11" s="52">
        <f t="shared" si="17"/>
        <v>2.8461197900196068E-2</v>
      </c>
      <c r="W11" s="48">
        <f t="shared" si="18"/>
        <v>169.89</v>
      </c>
      <c r="X11" s="48">
        <f>'Юнит 01-02.11'!X9+'Юнит 03-09.11'!X11+'Юнит 10-16.11'!X11+'Юнит 17-23.11'!X11+'Юнит 24-30.11'!X11</f>
        <v>774</v>
      </c>
      <c r="Y11" s="54">
        <f t="shared" si="19"/>
        <v>0.43</v>
      </c>
      <c r="Z11" s="48">
        <f>'Юнит 01-02.11'!Z9+'Юнит 03-09.11'!Z11+'Юнит 10-16.11'!Z11+'Юнит 17-23.11'!Z11+'Юнит 24-30.11'!Z11</f>
        <v>46</v>
      </c>
      <c r="AA11" s="48">
        <f>'Юнит 01-02.11'!AA9+'Юнит 03-09.11'!AA11+'Юнит 10-16.11'!AA11+'Юнит 17-23.11'!AA11+'Юнит 24-30.11'!AA11</f>
        <v>0</v>
      </c>
      <c r="AB11" s="64"/>
      <c r="AC11" s="51"/>
      <c r="AD11" s="55">
        <f>U11*1%</f>
        <v>18</v>
      </c>
      <c r="AE11" s="56">
        <f t="shared" si="4"/>
        <v>792.11000000000013</v>
      </c>
      <c r="AF11" s="55"/>
      <c r="AG11" s="57">
        <f t="shared" si="5"/>
        <v>1800</v>
      </c>
      <c r="AH11" s="58">
        <f t="shared" si="6"/>
        <v>169.89</v>
      </c>
      <c r="AI11" s="58">
        <f t="shared" si="7"/>
        <v>774</v>
      </c>
      <c r="AJ11" s="58">
        <f t="shared" si="8"/>
        <v>46</v>
      </c>
      <c r="AK11" s="58">
        <f t="shared" si="9"/>
        <v>0</v>
      </c>
      <c r="AL11" s="58">
        <f t="array" ref="AL11">_xlfn.IFS(R11=0,AE11,R11&lt;0,AE11/-R11,R11&gt;0,AE11/R11)</f>
        <v>792.11000000000013</v>
      </c>
      <c r="AM11" s="59">
        <f t="shared" si="10"/>
        <v>0.44006111111111118</v>
      </c>
      <c r="AN11" s="60">
        <f t="shared" si="11"/>
        <v>4.6624874919065284</v>
      </c>
      <c r="AP11" s="62">
        <f t="shared" si="12"/>
        <v>37229.170000000006</v>
      </c>
    </row>
    <row r="12" spans="1:42">
      <c r="A12" s="39">
        <v>2730131249</v>
      </c>
      <c r="B12" s="40" t="s">
        <v>225</v>
      </c>
      <c r="C12" s="41">
        <f>'Юнит 24-30.11'!C12</f>
        <v>46</v>
      </c>
      <c r="D12" s="42"/>
      <c r="E12" s="42"/>
      <c r="F12" s="42"/>
      <c r="G12" s="43"/>
      <c r="H12" s="44">
        <v>169.89</v>
      </c>
      <c r="I12" s="63">
        <f t="shared" si="0"/>
        <v>7814.94</v>
      </c>
      <c r="J12" s="45"/>
      <c r="K12" s="48">
        <f>'Юнит 24-30.11'!K12+'Юнит 17-23.11'!K12+'Юнит 10-16.11'!K12+'Юнит 03-09.11'!K12+'Юнит 01-02.11'!K10</f>
        <v>0</v>
      </c>
      <c r="L12" s="45"/>
      <c r="M12" s="45"/>
      <c r="N12" s="46">
        <f t="shared" si="13"/>
        <v>0</v>
      </c>
      <c r="O12" s="47">
        <f t="shared" si="14"/>
        <v>0</v>
      </c>
      <c r="P12" s="48">
        <f>'Юнит 01-02.11'!P10+'Юнит 03-09.11'!P12+'Юнит 10-16.11'!P12+'Юнит 17-23.11'!P12+'Юнит 24-30.11'!P12</f>
        <v>0</v>
      </c>
      <c r="Q12" s="48">
        <f>'Юнит 01-02.11'!Q10+'Юнит 03-09.11'!Q12+'Юнит 10-16.11'!Q12+'Юнит 17-23.11'!Q12+'Юнит 24-30.11'!Q12</f>
        <v>0</v>
      </c>
      <c r="R12" s="49">
        <f t="shared" si="15"/>
        <v>0</v>
      </c>
      <c r="S12" s="48">
        <f>'Юнит 01-02.11'!S10+'Юнит 03-09.11'!S12+'Юнит 10-16.11'!S12+'Юнит 17-23.11'!S12+'Юнит 24-30.11'!S12</f>
        <v>0</v>
      </c>
      <c r="T12" s="48">
        <f>'Юнит 01-02.11'!T10+'Юнит 03-09.11'!T12+'Юнит 10-16.11'!T12+'Юнит 17-23.11'!T12+'Юнит 24-30.11'!T12</f>
        <v>0</v>
      </c>
      <c r="U12" s="49">
        <f t="shared" si="16"/>
        <v>0</v>
      </c>
      <c r="V12" s="52">
        <f t="shared" si="17"/>
        <v>0</v>
      </c>
      <c r="W12" s="48">
        <f t="shared" si="18"/>
        <v>0</v>
      </c>
      <c r="X12" s="48">
        <f>'Юнит 01-02.11'!X10+'Юнит 03-09.11'!X12+'Юнит 10-16.11'!X12+'Юнит 17-23.11'!X12+'Юнит 24-30.11'!X12</f>
        <v>0</v>
      </c>
      <c r="Y12" s="54">
        <f t="shared" si="19"/>
        <v>0</v>
      </c>
      <c r="Z12" s="48">
        <f>'Юнит 01-02.11'!Z10+'Юнит 03-09.11'!Z12+'Юнит 10-16.11'!Z12+'Юнит 17-23.11'!Z12+'Юнит 24-30.11'!Z12</f>
        <v>0</v>
      </c>
      <c r="AA12" s="48">
        <f>'Юнит 01-02.11'!AA10+'Юнит 03-09.11'!AA12+'Юнит 10-16.11'!AA12+'Юнит 17-23.11'!AA12+'Юнит 24-30.11'!AA12</f>
        <v>0</v>
      </c>
      <c r="AB12" s="64"/>
      <c r="AC12" s="51"/>
      <c r="AD12" s="55">
        <f>U12*1%</f>
        <v>0</v>
      </c>
      <c r="AE12" s="56">
        <f t="shared" si="4"/>
        <v>0</v>
      </c>
      <c r="AF12" s="55"/>
      <c r="AG12" s="57">
        <f t="shared" si="5"/>
        <v>0</v>
      </c>
      <c r="AH12" s="58">
        <f t="shared" si="6"/>
        <v>169.89</v>
      </c>
      <c r="AI12" s="58">
        <f t="shared" si="7"/>
        <v>0</v>
      </c>
      <c r="AJ12" s="58">
        <f t="shared" si="8"/>
        <v>0</v>
      </c>
      <c r="AK12" s="58">
        <f t="shared" si="9"/>
        <v>0</v>
      </c>
      <c r="AL12" s="58">
        <f t="array" ref="AL12">_xlfn.IFS(R12=0,AE12,R12&lt;0,AE12/-R12,R12&gt;0,AE12/R12)</f>
        <v>0</v>
      </c>
      <c r="AM12" s="59">
        <f t="shared" si="10"/>
        <v>0</v>
      </c>
      <c r="AN12" s="60">
        <f t="shared" si="11"/>
        <v>0</v>
      </c>
      <c r="AP12" s="62">
        <f t="shared" si="12"/>
        <v>0</v>
      </c>
    </row>
    <row r="13" spans="1:42">
      <c r="A13" s="39">
        <v>2730130553</v>
      </c>
      <c r="B13" s="40" t="s">
        <v>226</v>
      </c>
      <c r="C13" s="41">
        <f>'Юнит 24-30.11'!C13</f>
        <v>35</v>
      </c>
      <c r="D13" s="42"/>
      <c r="E13" s="42"/>
      <c r="F13" s="42"/>
      <c r="G13" s="43"/>
      <c r="H13" s="44">
        <v>169.89</v>
      </c>
      <c r="I13" s="63">
        <f t="shared" si="0"/>
        <v>5946.15</v>
      </c>
      <c r="J13" s="45"/>
      <c r="K13" s="48">
        <f>'Юнит 24-30.11'!K13+'Юнит 17-23.11'!K13+'Юнит 10-16.11'!K13+'Юнит 03-09.11'!K13+'Юнит 01-02.11'!K11</f>
        <v>9</v>
      </c>
      <c r="L13" s="45"/>
      <c r="M13" s="45"/>
      <c r="N13" s="46">
        <f t="shared" si="13"/>
        <v>0.3</v>
      </c>
      <c r="O13" s="47">
        <f t="shared" si="14"/>
        <v>0.16666666666666666</v>
      </c>
      <c r="P13" s="48">
        <f>'Юнит 01-02.11'!P11+'Юнит 03-09.11'!P13+'Юнит 10-16.11'!P13+'Юнит 17-23.11'!P13+'Юнит 24-30.11'!P13</f>
        <v>6</v>
      </c>
      <c r="Q13" s="48">
        <f>'Юнит 01-02.11'!Q11+'Юнит 03-09.11'!Q13+'Юнит 10-16.11'!Q13+'Юнит 17-23.11'!Q13+'Юнит 24-30.11'!Q13</f>
        <v>1</v>
      </c>
      <c r="R13" s="49">
        <f t="shared" si="15"/>
        <v>5</v>
      </c>
      <c r="S13" s="48">
        <f>'Юнит 01-02.11'!S11+'Юнит 03-09.11'!S13+'Юнит 10-16.11'!S13+'Юнит 17-23.11'!S13+'Юнит 24-30.11'!S13</f>
        <v>10338</v>
      </c>
      <c r="T13" s="48">
        <f>'Юнит 01-02.11'!T11+'Юнит 03-09.11'!T13+'Юнит 10-16.11'!T13+'Юнит 17-23.11'!T13+'Юнит 24-30.11'!T13</f>
        <v>-1800</v>
      </c>
      <c r="U13" s="49">
        <f t="shared" si="16"/>
        <v>8538</v>
      </c>
      <c r="V13" s="52">
        <f t="shared" si="17"/>
        <v>0.13500094870659668</v>
      </c>
      <c r="W13" s="48">
        <f t="shared" si="18"/>
        <v>849.44999999999993</v>
      </c>
      <c r="X13" s="48">
        <f>'Юнит 01-02.11'!X11+'Юнит 03-09.11'!X13+'Юнит 10-16.11'!X13+'Юнит 17-23.11'!X13+'Юнит 24-30.11'!X13</f>
        <v>3514.44</v>
      </c>
      <c r="Y13" s="54">
        <f t="shared" si="19"/>
        <v>0.4116233309908644</v>
      </c>
      <c r="Z13" s="48">
        <f>'Юнит 01-02.11'!Z11+'Юнит 03-09.11'!Z13+'Юнит 10-16.11'!Z13+'Юнит 17-23.11'!Z13+'Юнит 24-30.11'!Z13</f>
        <v>756.72</v>
      </c>
      <c r="AA13" s="48">
        <f>'Юнит 01-02.11'!AA11+'Юнит 03-09.11'!AA13+'Юнит 10-16.11'!AA13+'Юнит 17-23.11'!AA13+'Юнит 24-30.11'!AA13</f>
        <v>932.49</v>
      </c>
      <c r="AB13" s="64"/>
      <c r="AC13" s="51"/>
      <c r="AD13" s="55">
        <f>U13*1%</f>
        <v>85.38</v>
      </c>
      <c r="AE13" s="56">
        <f t="shared" si="4"/>
        <v>2399.5200000000004</v>
      </c>
      <c r="AF13" s="55"/>
      <c r="AG13" s="57">
        <f t="shared" si="5"/>
        <v>1707.6</v>
      </c>
      <c r="AH13" s="58">
        <f t="shared" si="6"/>
        <v>169.89</v>
      </c>
      <c r="AI13" s="58">
        <f t="shared" si="7"/>
        <v>702.88800000000003</v>
      </c>
      <c r="AJ13" s="58">
        <f t="shared" si="8"/>
        <v>126.12</v>
      </c>
      <c r="AK13" s="58">
        <f t="shared" si="9"/>
        <v>155.41499999999999</v>
      </c>
      <c r="AL13" s="58">
        <f t="array" ref="AL13">_xlfn.IFS(R13=0,AE13,R13&lt;0,AE13/-R13,R13&gt;0,AE13/R13)</f>
        <v>479.90400000000011</v>
      </c>
      <c r="AM13" s="59">
        <f t="shared" si="10"/>
        <v>0.28104005621925515</v>
      </c>
      <c r="AN13" s="60">
        <f t="shared" si="11"/>
        <v>2.8247925128024023</v>
      </c>
      <c r="AP13" s="62">
        <f t="shared" si="12"/>
        <v>16796.640000000003</v>
      </c>
    </row>
    <row r="14" spans="1:42" ht="13.75" customHeight="1">
      <c r="A14" s="39">
        <v>2730129638</v>
      </c>
      <c r="B14" s="40" t="s">
        <v>227</v>
      </c>
      <c r="C14" s="41">
        <f>'Юнит 24-30.11'!C14</f>
        <v>11</v>
      </c>
      <c r="D14" s="42"/>
      <c r="E14" s="42"/>
      <c r="F14" s="42"/>
      <c r="G14" s="43"/>
      <c r="H14" s="44">
        <v>169.89</v>
      </c>
      <c r="I14" s="63">
        <f t="shared" si="0"/>
        <v>1868.79</v>
      </c>
      <c r="J14" s="45"/>
      <c r="K14" s="48">
        <f>'Юнит 24-30.11'!K14+'Юнит 17-23.11'!K14+'Юнит 10-16.11'!K14+'Юнит 03-09.11'!K14+'Юнит 01-02.11'!K12</f>
        <v>1</v>
      </c>
      <c r="L14" s="45"/>
      <c r="M14" s="45"/>
      <c r="N14" s="46">
        <f t="shared" si="13"/>
        <v>3.3333333333333333E-2</v>
      </c>
      <c r="O14" s="47">
        <f t="shared" si="14"/>
        <v>0.1</v>
      </c>
      <c r="P14" s="48">
        <f>'Юнит 01-02.11'!P12+'Юнит 03-09.11'!P14+'Юнит 10-16.11'!P14+'Юнит 17-23.11'!P14+'Юнит 24-30.11'!P14</f>
        <v>3</v>
      </c>
      <c r="Q14" s="48">
        <f>'Юнит 01-02.11'!Q12+'Юнит 03-09.11'!Q14+'Юнит 10-16.11'!Q14+'Юнит 17-23.11'!Q14+'Юнит 24-30.11'!Q14</f>
        <v>0</v>
      </c>
      <c r="R14" s="49">
        <f>P14-Q14</f>
        <v>3</v>
      </c>
      <c r="S14" s="48">
        <f>'Юнит 01-02.11'!S12+'Юнит 03-09.11'!S14+'Юнит 10-16.11'!S14+'Юнит 17-23.11'!S14+'Юнит 24-30.11'!S14</f>
        <v>5400</v>
      </c>
      <c r="T14" s="48">
        <f>'Юнит 01-02.11'!T12+'Юнит 03-09.11'!T14+'Юнит 10-16.11'!T14+'Юнит 17-23.11'!T14+'Юнит 24-30.11'!T14</f>
        <v>0</v>
      </c>
      <c r="U14" s="49">
        <f t="shared" si="16"/>
        <v>5400</v>
      </c>
      <c r="V14" s="52">
        <f t="shared" si="17"/>
        <v>8.5383593700588192E-2</v>
      </c>
      <c r="W14" s="48">
        <f t="shared" si="18"/>
        <v>509.66999999999996</v>
      </c>
      <c r="X14" s="48">
        <f>'Юнит 01-02.11'!X12+'Юнит 03-09.11'!X14+'Юнит 10-16.11'!X14+'Юнит 17-23.11'!X14+'Юнит 24-30.11'!X14</f>
        <v>2142</v>
      </c>
      <c r="Y14" s="54">
        <f t="shared" si="19"/>
        <v>0.39666666666666667</v>
      </c>
      <c r="Z14" s="48">
        <f>'Юнит 01-02.11'!Z12+'Юнит 03-09.11'!Z14+'Юнит 10-16.11'!Z14+'Юнит 17-23.11'!Z14+'Юнит 24-30.11'!Z14</f>
        <v>138</v>
      </c>
      <c r="AA14" s="48">
        <f>'Юнит 01-02.11'!AA12+'Юнит 03-09.11'!AA14+'Юнит 10-16.11'!AA14+'Юнит 17-23.11'!AA14+'Юнит 24-30.11'!AA14</f>
        <v>1637.9268050000001</v>
      </c>
      <c r="AB14" s="64"/>
      <c r="AC14" s="51"/>
      <c r="AD14" s="55">
        <f>U14*1%</f>
        <v>54</v>
      </c>
      <c r="AE14" s="56">
        <f t="shared" si="4"/>
        <v>918.40319499999987</v>
      </c>
      <c r="AF14" s="55"/>
      <c r="AG14" s="57">
        <f t="shared" si="5"/>
        <v>1800</v>
      </c>
      <c r="AH14" s="58">
        <f t="shared" si="6"/>
        <v>169.89</v>
      </c>
      <c r="AI14" s="58">
        <f t="shared" si="7"/>
        <v>714</v>
      </c>
      <c r="AJ14" s="58">
        <f t="shared" si="8"/>
        <v>46</v>
      </c>
      <c r="AK14" s="58">
        <f t="shared" si="9"/>
        <v>545.97560166666665</v>
      </c>
      <c r="AL14" s="58">
        <f t="array" ref="AL14">_xlfn.IFS(R14=0,AE14,R14&lt;0,AE14/-R14,R14&gt;0,AE14/R14)</f>
        <v>306.13439833333331</v>
      </c>
      <c r="AM14" s="59">
        <f t="shared" si="10"/>
        <v>0.17007466574074073</v>
      </c>
      <c r="AN14" s="60">
        <f t="shared" si="11"/>
        <v>1.8019565503168717</v>
      </c>
      <c r="AP14" s="62">
        <f t="shared" si="12"/>
        <v>3367.4783816666663</v>
      </c>
    </row>
    <row r="15" spans="1:42" ht="13.75" customHeight="1">
      <c r="A15" s="39">
        <v>2730130141</v>
      </c>
      <c r="B15" s="40" t="s">
        <v>228</v>
      </c>
      <c r="C15" s="41">
        <f>'Юнит 24-30.11'!C15</f>
        <v>37</v>
      </c>
      <c r="D15" s="42"/>
      <c r="E15" s="42"/>
      <c r="F15" s="42"/>
      <c r="G15" s="43"/>
      <c r="H15" s="44">
        <v>169.89</v>
      </c>
      <c r="I15" s="63">
        <f t="shared" si="0"/>
        <v>6285.9299999999994</v>
      </c>
      <c r="J15" s="45"/>
      <c r="K15" s="48">
        <f>'Юнит 24-30.11'!K15+'Юнит 17-23.11'!K15+'Юнит 10-16.11'!K15+'Юнит 03-09.11'!K15+'Юнит 01-02.11'!K13</f>
        <v>10</v>
      </c>
      <c r="L15" s="45"/>
      <c r="M15" s="45"/>
      <c r="N15" s="46">
        <f t="shared" si="13"/>
        <v>0.33333333333333331</v>
      </c>
      <c r="O15" s="47">
        <f t="shared" si="14"/>
        <v>0.16666666666666666</v>
      </c>
      <c r="P15" s="48">
        <f>'Юнит 01-02.11'!P13+'Юнит 03-09.11'!P15+'Юнит 10-16.11'!P15+'Юнит 17-23.11'!P15+'Юнит 24-30.11'!P15</f>
        <v>5</v>
      </c>
      <c r="Q15" s="48">
        <f>'Юнит 01-02.11'!Q13+'Юнит 03-09.11'!Q15+'Юнит 10-16.11'!Q15+'Юнит 17-23.11'!Q15+'Юнит 24-30.11'!Q15</f>
        <v>0</v>
      </c>
      <c r="R15" s="49">
        <f t="shared" si="15"/>
        <v>5</v>
      </c>
      <c r="S15" s="48">
        <f>'Юнит 01-02.11'!S13+'Юнит 03-09.11'!S15+'Юнит 10-16.11'!S15+'Юнит 17-23.11'!S15+'Юнит 24-30.11'!S15</f>
        <v>7480</v>
      </c>
      <c r="T15" s="48">
        <f>'Юнит 01-02.11'!T13+'Юнит 03-09.11'!T15+'Юнит 10-16.11'!T15+'Юнит 17-23.11'!T15+'Юнит 24-30.11'!T15</f>
        <v>0</v>
      </c>
      <c r="U15" s="49">
        <f t="shared" si="16"/>
        <v>7480</v>
      </c>
      <c r="V15" s="52">
        <f t="shared" si="17"/>
        <v>0.11827208905192588</v>
      </c>
      <c r="W15" s="48">
        <f t="shared" si="18"/>
        <v>849.44999999999993</v>
      </c>
      <c r="X15" s="48">
        <f>'Юнит 01-02.11'!X13+'Юнит 03-09.11'!X15+'Юнит 10-16.11'!X15+'Юнит 17-23.11'!X15+'Юнит 24-30.11'!X15</f>
        <v>3126.4</v>
      </c>
      <c r="Y15" s="54">
        <f t="shared" si="19"/>
        <v>0.41796791443850267</v>
      </c>
      <c r="Z15" s="48">
        <f>'Юнит 01-02.11'!Z13+'Юнит 03-09.11'!Z15+'Юнит 10-16.11'!Z15+'Юнит 17-23.11'!Z15+'Юнит 24-30.11'!Z15</f>
        <v>613.32999999999993</v>
      </c>
      <c r="AA15" s="48">
        <f>'Юнит 01-02.11'!AA13+'Юнит 03-09.11'!AA15+'Юнит 10-16.11'!AA15+'Юнит 17-23.11'!AA15+'Юнит 24-30.11'!AA15</f>
        <v>6624.2264030000006</v>
      </c>
      <c r="AB15" s="64"/>
      <c r="AC15" s="51"/>
      <c r="AD15" s="55">
        <f>U15*1%</f>
        <v>74.8</v>
      </c>
      <c r="AE15" s="56">
        <f t="shared" si="4"/>
        <v>-3808.2064030000006</v>
      </c>
      <c r="AF15" s="55"/>
      <c r="AG15" s="57">
        <f t="shared" si="5"/>
        <v>1496</v>
      </c>
      <c r="AH15" s="58">
        <f t="shared" si="6"/>
        <v>169.89</v>
      </c>
      <c r="AI15" s="58">
        <f t="shared" si="7"/>
        <v>625.28</v>
      </c>
      <c r="AJ15" s="58">
        <f t="shared" si="8"/>
        <v>122.66599999999998</v>
      </c>
      <c r="AK15" s="58">
        <f t="shared" si="9"/>
        <v>1324.8452806</v>
      </c>
      <c r="AL15" s="58">
        <f t="array" ref="AL15">_xlfn.IFS(R15=0,AE15,R15&lt;0,AE15/-R15,R15&gt;0,AE15/R15)</f>
        <v>-761.64128060000007</v>
      </c>
      <c r="AM15" s="59">
        <f t="shared" si="10"/>
        <v>-0.50911850307486639</v>
      </c>
      <c r="AN15" s="60">
        <f t="shared" si="11"/>
        <v>-4.4831436847371835</v>
      </c>
      <c r="AP15" s="62">
        <f t="shared" si="12"/>
        <v>-28180.727382200002</v>
      </c>
    </row>
    <row r="16" spans="1:42" ht="13.75" customHeight="1">
      <c r="A16" s="39">
        <v>2730129805</v>
      </c>
      <c r="B16" s="40" t="s">
        <v>19</v>
      </c>
      <c r="C16" s="41">
        <f>'Юнит 24-30.11'!C16</f>
        <v>26</v>
      </c>
      <c r="D16" s="42"/>
      <c r="E16" s="42"/>
      <c r="F16" s="42"/>
      <c r="G16" s="43"/>
      <c r="H16" s="44">
        <v>169.89</v>
      </c>
      <c r="I16" s="63">
        <f t="shared" si="0"/>
        <v>4417.1399999999994</v>
      </c>
      <c r="J16" s="45"/>
      <c r="K16" s="48">
        <f>'Юнит 24-30.11'!K16+'Юнит 17-23.11'!K16+'Юнит 10-16.11'!K16+'Юнит 03-09.11'!K16+'Юнит 01-02.11'!K14</f>
        <v>3</v>
      </c>
      <c r="L16" s="45"/>
      <c r="M16" s="45"/>
      <c r="N16" s="46">
        <f t="shared" si="13"/>
        <v>0.1</v>
      </c>
      <c r="O16" s="47">
        <f t="shared" si="14"/>
        <v>3.3333333333333333E-2</v>
      </c>
      <c r="P16" s="48">
        <f>'Юнит 01-02.11'!P14+'Юнит 03-09.11'!P16+'Юнит 10-16.11'!P16+'Юнит 17-23.11'!P16+'Юнит 24-30.11'!P16</f>
        <v>2</v>
      </c>
      <c r="Q16" s="48">
        <f>'Юнит 01-02.11'!Q14+'Юнит 03-09.11'!Q16+'Юнит 10-16.11'!Q16+'Юнит 17-23.11'!Q16+'Юнит 24-30.11'!Q16</f>
        <v>1</v>
      </c>
      <c r="R16" s="49">
        <f t="shared" si="15"/>
        <v>1</v>
      </c>
      <c r="S16" s="48">
        <f>'Юнит 01-02.11'!S14+'Юнит 03-09.11'!S16+'Юнит 10-16.11'!S16+'Юнит 17-23.11'!S16+'Юнит 24-30.11'!S16</f>
        <v>2596</v>
      </c>
      <c r="T16" s="48">
        <f>'Юнит 01-02.11'!T14+'Юнит 03-09.11'!T16+'Юнит 10-16.11'!T16+'Юнит 17-23.11'!T16+'Юнит 24-30.11'!T16</f>
        <v>-1298</v>
      </c>
      <c r="U16" s="49">
        <f t="shared" si="16"/>
        <v>1298</v>
      </c>
      <c r="V16" s="52">
        <f t="shared" si="17"/>
        <v>2.0523686041363606E-2</v>
      </c>
      <c r="W16" s="48">
        <f t="shared" si="18"/>
        <v>169.89</v>
      </c>
      <c r="X16" s="48">
        <f>'Юнит 01-02.11'!X14+'Юнит 03-09.11'!X16+'Юнит 10-16.11'!X16+'Юнит 17-23.11'!X16+'Юнит 24-30.11'!X16</f>
        <v>558.14</v>
      </c>
      <c r="Y16" s="54">
        <f t="shared" si="19"/>
        <v>0.43</v>
      </c>
      <c r="Z16" s="48">
        <f>'Юнит 01-02.11'!Z14+'Юнит 03-09.11'!Z16+'Юнит 10-16.11'!Z16+'Юнит 17-23.11'!Z16+'Юнит 24-30.11'!Z16</f>
        <v>320.41000000000003</v>
      </c>
      <c r="AA16" s="48">
        <f>'Юнит 01-02.11'!AA14+'Юнит 03-09.11'!AA16+'Юнит 10-16.11'!AA16+'Юнит 17-23.11'!AA16+'Юнит 24-30.11'!AA16</f>
        <v>414</v>
      </c>
      <c r="AB16" s="64"/>
      <c r="AC16" s="51"/>
      <c r="AD16" s="55">
        <f>U16*1%</f>
        <v>12.98</v>
      </c>
      <c r="AE16" s="56">
        <f t="shared" si="4"/>
        <v>-177.41999999999987</v>
      </c>
      <c r="AF16" s="55"/>
      <c r="AG16" s="57">
        <f t="shared" si="5"/>
        <v>1298</v>
      </c>
      <c r="AH16" s="58">
        <f t="shared" si="6"/>
        <v>169.89</v>
      </c>
      <c r="AI16" s="58">
        <f t="shared" si="7"/>
        <v>558.14</v>
      </c>
      <c r="AJ16" s="58">
        <f t="shared" si="8"/>
        <v>160.20500000000001</v>
      </c>
      <c r="AK16" s="58">
        <f t="shared" si="9"/>
        <v>207</v>
      </c>
      <c r="AL16" s="58">
        <f t="array" ref="AL16">_xlfn.IFS(R16=0,AE16,R16&lt;0,AE16/-R16,R16&gt;0,AE16/R16)</f>
        <v>-177.41999999999987</v>
      </c>
      <c r="AM16" s="59">
        <f t="shared" si="10"/>
        <v>-0.13668721109399065</v>
      </c>
      <c r="AN16" s="60">
        <f t="shared" si="11"/>
        <v>-1.0443227971040079</v>
      </c>
      <c r="AP16" s="62">
        <f t="shared" si="12"/>
        <v>-4612.9199999999964</v>
      </c>
    </row>
    <row r="17" spans="1:52" ht="13.75" customHeight="1">
      <c r="A17" s="39">
        <v>2807226201</v>
      </c>
      <c r="B17" s="40" t="s">
        <v>229</v>
      </c>
      <c r="C17" s="41">
        <f>'Юнит 24-30.11'!C17</f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8">
        <f>'Юнит 24-30.11'!K17+'Юнит 17-23.11'!K17+'Юнит 10-16.11'!K17+'Юнит 03-09.11'!K17+'Юнит 01-02.11'!K15</f>
        <v>0</v>
      </c>
      <c r="L17" s="45"/>
      <c r="M17" s="45"/>
      <c r="N17" s="46">
        <f t="shared" si="13"/>
        <v>0</v>
      </c>
      <c r="O17" s="47">
        <f t="shared" si="14"/>
        <v>0</v>
      </c>
      <c r="P17" s="48">
        <f>'Юнит 01-02.11'!P15+'Юнит 03-09.11'!P17+'Юнит 10-16.11'!P17+'Юнит 17-23.11'!P17+'Юнит 24-30.11'!P17</f>
        <v>0</v>
      </c>
      <c r="Q17" s="48">
        <f>'Юнит 01-02.11'!Q15+'Юнит 03-09.11'!Q17+'Юнит 10-16.11'!Q17+'Юнит 17-23.11'!Q17+'Юнит 24-30.11'!Q17</f>
        <v>0</v>
      </c>
      <c r="R17" s="49">
        <f t="shared" si="15"/>
        <v>0</v>
      </c>
      <c r="S17" s="48">
        <f>'Юнит 01-02.11'!S15+'Юнит 03-09.11'!S17+'Юнит 10-16.11'!S17+'Юнит 17-23.11'!S17+'Юнит 24-30.11'!S17</f>
        <v>0</v>
      </c>
      <c r="T17" s="48">
        <f>'Юнит 01-02.11'!T15+'Юнит 03-09.11'!T17+'Юнит 10-16.11'!T17+'Юнит 17-23.11'!T17+'Юнит 24-30.11'!T17</f>
        <v>0</v>
      </c>
      <c r="U17" s="49">
        <f t="shared" si="16"/>
        <v>0</v>
      </c>
      <c r="V17" s="52">
        <f t="shared" si="17"/>
        <v>0</v>
      </c>
      <c r="W17" s="48">
        <f t="shared" si="18"/>
        <v>0</v>
      </c>
      <c r="X17" s="48">
        <f>'Юнит 01-02.11'!X15+'Юнит 03-09.11'!X17+'Юнит 10-16.11'!X17+'Юнит 17-23.11'!X17+'Юнит 24-30.11'!X17</f>
        <v>0</v>
      </c>
      <c r="Y17" s="54">
        <f t="shared" si="19"/>
        <v>0</v>
      </c>
      <c r="Z17" s="48">
        <f>'Юнит 01-02.11'!Z15+'Юнит 03-09.11'!Z17+'Юнит 10-16.11'!Z17+'Юнит 17-23.11'!Z17+'Юнит 24-30.11'!Z17</f>
        <v>112</v>
      </c>
      <c r="AA17" s="48">
        <f>'Юнит 01-02.11'!AA15+'Юнит 03-09.11'!AA17+'Юнит 10-16.11'!AA17+'Юнит 17-23.11'!AA17+'Юнит 24-30.11'!AA17</f>
        <v>987.23654899999997</v>
      </c>
      <c r="AB17" s="64"/>
      <c r="AC17" s="51"/>
      <c r="AD17" s="55">
        <f>U17*1%</f>
        <v>0</v>
      </c>
      <c r="AE17" s="56">
        <f t="shared" si="4"/>
        <v>-1099.236549</v>
      </c>
      <c r="AF17" s="55"/>
      <c r="AG17" s="57">
        <f t="shared" si="5"/>
        <v>0</v>
      </c>
      <c r="AH17" s="58">
        <f t="shared" si="6"/>
        <v>1002.82</v>
      </c>
      <c r="AI17" s="58">
        <f t="shared" si="7"/>
        <v>0</v>
      </c>
      <c r="AJ17" s="58">
        <f t="shared" si="8"/>
        <v>112</v>
      </c>
      <c r="AK17" s="58">
        <f t="shared" si="9"/>
        <v>0</v>
      </c>
      <c r="AL17" s="58">
        <f t="array" ref="AL17">_xlfn.IFS(R17=0,AE17,R17&lt;0,AE17/-R17,R17&gt;0,AE17/R17)</f>
        <v>-1099.236549</v>
      </c>
      <c r="AM17" s="59">
        <f t="shared" si="10"/>
        <v>0</v>
      </c>
      <c r="AN17" s="60">
        <f t="shared" si="11"/>
        <v>-1.0961454189186493</v>
      </c>
      <c r="AP17" s="62">
        <f t="shared" si="12"/>
        <v>-2198.4730979999999</v>
      </c>
    </row>
    <row r="18" spans="1:52" ht="13.75" customHeight="1">
      <c r="A18" s="39">
        <v>2807226228</v>
      </c>
      <c r="B18" s="40" t="s">
        <v>230</v>
      </c>
      <c r="C18" s="41">
        <f>'Юнит 24-30.11'!C18</f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8">
        <f>'Юнит 24-30.11'!K18+'Юнит 17-23.11'!K18+'Юнит 10-16.11'!K18+'Юнит 03-09.11'!K18+'Юнит 01-02.11'!K16</f>
        <v>0</v>
      </c>
      <c r="L18" s="45"/>
      <c r="M18" s="45"/>
      <c r="N18" s="46">
        <f t="shared" si="13"/>
        <v>0</v>
      </c>
      <c r="O18" s="47">
        <f t="shared" si="14"/>
        <v>0</v>
      </c>
      <c r="P18" s="48">
        <f>'Юнит 01-02.11'!P16+'Юнит 03-09.11'!P18+'Юнит 10-16.11'!P18+'Юнит 17-23.11'!P18+'Юнит 24-30.11'!P18</f>
        <v>0</v>
      </c>
      <c r="Q18" s="48">
        <f>'Юнит 01-02.11'!Q16+'Юнит 03-09.11'!Q18+'Юнит 10-16.11'!Q18+'Юнит 17-23.11'!Q18+'Юнит 24-30.11'!Q18</f>
        <v>0</v>
      </c>
      <c r="R18" s="49">
        <f t="shared" si="15"/>
        <v>0</v>
      </c>
      <c r="S18" s="48">
        <f>'Юнит 01-02.11'!S16+'Юнит 03-09.11'!S18+'Юнит 10-16.11'!S18+'Юнит 17-23.11'!S18+'Юнит 24-30.11'!S18</f>
        <v>0</v>
      </c>
      <c r="T18" s="48">
        <f>'Юнит 01-02.11'!T16+'Юнит 03-09.11'!T18+'Юнит 10-16.11'!T18+'Юнит 17-23.11'!T18+'Юнит 24-30.11'!T18</f>
        <v>0</v>
      </c>
      <c r="U18" s="49">
        <f t="shared" si="16"/>
        <v>0</v>
      </c>
      <c r="V18" s="52">
        <f t="shared" si="17"/>
        <v>0</v>
      </c>
      <c r="W18" s="48">
        <f t="shared" si="18"/>
        <v>0</v>
      </c>
      <c r="X18" s="48">
        <f>'Юнит 01-02.11'!X16+'Юнит 03-09.11'!X18+'Юнит 10-16.11'!X18+'Юнит 17-23.11'!X18+'Юнит 24-30.11'!X18</f>
        <v>0</v>
      </c>
      <c r="Y18" s="54">
        <f t="shared" si="19"/>
        <v>0</v>
      </c>
      <c r="Z18" s="48">
        <f>'Юнит 01-02.11'!Z16+'Юнит 03-09.11'!Z18+'Юнит 10-16.11'!Z18+'Юнит 17-23.11'!Z18+'Юнит 24-30.11'!Z18</f>
        <v>0</v>
      </c>
      <c r="AA18" s="48">
        <f>'Юнит 01-02.11'!AA16+'Юнит 03-09.11'!AA18+'Юнит 10-16.11'!AA18+'Юнит 17-23.11'!AA18+'Юнит 24-30.11'!AA18</f>
        <v>0</v>
      </c>
      <c r="AB18" s="64"/>
      <c r="AC18" s="51"/>
      <c r="AD18" s="55">
        <f>U18*1%</f>
        <v>0</v>
      </c>
      <c r="AE18" s="56">
        <f t="shared" si="4"/>
        <v>0</v>
      </c>
      <c r="AF18" s="55"/>
      <c r="AG18" s="57">
        <f t="shared" si="5"/>
        <v>0</v>
      </c>
      <c r="AH18" s="58">
        <f t="shared" si="6"/>
        <v>909.22</v>
      </c>
      <c r="AI18" s="58">
        <f t="shared" si="7"/>
        <v>0</v>
      </c>
      <c r="AJ18" s="58">
        <f t="shared" si="8"/>
        <v>0</v>
      </c>
      <c r="AK18" s="58">
        <f t="shared" si="9"/>
        <v>0</v>
      </c>
      <c r="AL18" s="58">
        <f t="array" ref="AL18">_xlfn.IFS(R18=0,AE18,R18&lt;0,AE18/-R18,R18&gt;0,AE18/R18)</f>
        <v>0</v>
      </c>
      <c r="AM18" s="59">
        <f t="shared" si="10"/>
        <v>0</v>
      </c>
      <c r="AN18" s="60">
        <f t="shared" si="11"/>
        <v>0</v>
      </c>
      <c r="AP18" s="62">
        <f t="shared" si="12"/>
        <v>0</v>
      </c>
    </row>
    <row r="19" spans="1:52" ht="13.75" customHeight="1">
      <c r="A19" s="39">
        <v>2807226016</v>
      </c>
      <c r="B19" s="40" t="s">
        <v>231</v>
      </c>
      <c r="C19" s="41">
        <f>'Юнит 24-30.11'!C19</f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8">
        <f>'Юнит 24-30.11'!K19+'Юнит 17-23.11'!K19+'Юнит 10-16.11'!K19+'Юнит 03-09.11'!K19+'Юнит 01-02.11'!K17</f>
        <v>0</v>
      </c>
      <c r="L19" s="45"/>
      <c r="M19" s="45"/>
      <c r="N19" s="46">
        <f t="shared" si="13"/>
        <v>0</v>
      </c>
      <c r="O19" s="47">
        <f t="shared" si="14"/>
        <v>0</v>
      </c>
      <c r="P19" s="48">
        <f>'Юнит 01-02.11'!P17+'Юнит 03-09.11'!P19+'Юнит 10-16.11'!P19+'Юнит 17-23.11'!P19+'Юнит 24-30.11'!P19</f>
        <v>0</v>
      </c>
      <c r="Q19" s="48">
        <f>'Юнит 01-02.11'!Q17+'Юнит 03-09.11'!Q19+'Юнит 10-16.11'!Q19+'Юнит 17-23.11'!Q19+'Юнит 24-30.11'!Q19</f>
        <v>0</v>
      </c>
      <c r="R19" s="49">
        <f t="shared" si="15"/>
        <v>0</v>
      </c>
      <c r="S19" s="48">
        <f>'Юнит 01-02.11'!S17+'Юнит 03-09.11'!S19+'Юнит 10-16.11'!S19+'Юнит 17-23.11'!S19+'Юнит 24-30.11'!S19</f>
        <v>0</v>
      </c>
      <c r="T19" s="48">
        <f>'Юнит 01-02.11'!T17+'Юнит 03-09.11'!T19+'Юнит 10-16.11'!T19+'Юнит 17-23.11'!T19+'Юнит 24-30.11'!T19</f>
        <v>0</v>
      </c>
      <c r="U19" s="49">
        <f t="shared" si="16"/>
        <v>0</v>
      </c>
      <c r="V19" s="52">
        <f t="shared" si="17"/>
        <v>0</v>
      </c>
      <c r="W19" s="48">
        <f t="shared" si="18"/>
        <v>0</v>
      </c>
      <c r="X19" s="48">
        <f>'Юнит 01-02.11'!X17+'Юнит 03-09.11'!X19+'Юнит 10-16.11'!X19+'Юнит 17-23.11'!X19+'Юнит 24-30.11'!X19</f>
        <v>0</v>
      </c>
      <c r="Y19" s="54">
        <f t="shared" si="19"/>
        <v>0</v>
      </c>
      <c r="Z19" s="48">
        <f>'Юнит 01-02.11'!Z17+'Юнит 03-09.11'!Z19+'Юнит 10-16.11'!Z19+'Юнит 17-23.11'!Z19+'Юнит 24-30.11'!Z19</f>
        <v>164</v>
      </c>
      <c r="AA19" s="48">
        <f>'Юнит 01-02.11'!AA17+'Юнит 03-09.11'!AA19+'Юнит 10-16.11'!AA19+'Юнит 17-23.11'!AA19+'Юнит 24-30.11'!AA19</f>
        <v>1206.17959</v>
      </c>
      <c r="AB19" s="64"/>
      <c r="AC19" s="51"/>
      <c r="AD19" s="55">
        <f>U19*1%</f>
        <v>0</v>
      </c>
      <c r="AE19" s="56">
        <f t="shared" si="4"/>
        <v>-1370.17959</v>
      </c>
      <c r="AF19" s="55"/>
      <c r="AG19" s="57">
        <f t="shared" si="5"/>
        <v>0</v>
      </c>
      <c r="AH19" s="58">
        <f t="shared" si="6"/>
        <v>909.22</v>
      </c>
      <c r="AI19" s="58">
        <f t="shared" si="7"/>
        <v>0</v>
      </c>
      <c r="AJ19" s="58">
        <f t="shared" si="8"/>
        <v>164</v>
      </c>
      <c r="AK19" s="58">
        <f t="shared" si="9"/>
        <v>0</v>
      </c>
      <c r="AL19" s="58">
        <f t="array" ref="AL19">_xlfn.IFS(R19=0,AE19,R19&lt;0,AE19/-R19,R19&gt;0,AE19/R19)</f>
        <v>-1370.17959</v>
      </c>
      <c r="AM19" s="59">
        <f t="shared" si="10"/>
        <v>0</v>
      </c>
      <c r="AN19" s="60">
        <f t="shared" si="11"/>
        <v>-1.5069835573348584</v>
      </c>
      <c r="AP19" s="62">
        <f t="shared" si="12"/>
        <v>-2740.3591799999999</v>
      </c>
    </row>
    <row r="20" spans="1:52" ht="13.75" customHeight="1">
      <c r="A20" s="39">
        <v>2807226072</v>
      </c>
      <c r="B20" s="40" t="s">
        <v>111</v>
      </c>
      <c r="C20" s="41">
        <f>'Юнит 24-30.11'!C20</f>
        <v>2</v>
      </c>
      <c r="D20" s="42"/>
      <c r="E20" s="42"/>
      <c r="F20" s="42"/>
      <c r="G20" s="43"/>
      <c r="H20" s="44">
        <v>932.62</v>
      </c>
      <c r="I20" s="63">
        <f t="shared" si="0"/>
        <v>1865.24</v>
      </c>
      <c r="J20" s="45"/>
      <c r="K20" s="48">
        <f>'Юнит 24-30.11'!K20+'Юнит 17-23.11'!K20+'Юнит 10-16.11'!K20+'Юнит 03-09.11'!K20+'Юнит 01-02.11'!K18</f>
        <v>0</v>
      </c>
      <c r="L20" s="45"/>
      <c r="M20" s="45"/>
      <c r="N20" s="46">
        <f t="shared" si="13"/>
        <v>0</v>
      </c>
      <c r="O20" s="47">
        <f t="shared" si="14"/>
        <v>0</v>
      </c>
      <c r="P20" s="48">
        <f>'Юнит 01-02.11'!P18+'Юнит 03-09.11'!P20+'Юнит 10-16.11'!P20+'Юнит 17-23.11'!P20+'Юнит 24-30.11'!P20</f>
        <v>0</v>
      </c>
      <c r="Q20" s="48">
        <f>'Юнит 01-02.11'!Q18+'Юнит 03-09.11'!Q20+'Юнит 10-16.11'!Q20+'Юнит 17-23.11'!Q20+'Юнит 24-30.11'!Q20</f>
        <v>0</v>
      </c>
      <c r="R20" s="49">
        <f t="shared" si="15"/>
        <v>0</v>
      </c>
      <c r="S20" s="48">
        <f>'Юнит 01-02.11'!S18+'Юнит 03-09.11'!S20+'Юнит 10-16.11'!S20+'Юнит 17-23.11'!S20+'Юнит 24-30.11'!S20</f>
        <v>0</v>
      </c>
      <c r="T20" s="48">
        <f>'Юнит 01-02.11'!T18+'Юнит 03-09.11'!T20+'Юнит 10-16.11'!T20+'Юнит 17-23.11'!T20+'Юнит 24-30.11'!T20</f>
        <v>0</v>
      </c>
      <c r="U20" s="49">
        <f t="shared" si="16"/>
        <v>0</v>
      </c>
      <c r="V20" s="52">
        <f t="shared" si="17"/>
        <v>0</v>
      </c>
      <c r="W20" s="48">
        <f t="shared" si="18"/>
        <v>0</v>
      </c>
      <c r="X20" s="48">
        <f>'Юнит 01-02.11'!X18+'Юнит 03-09.11'!X20+'Юнит 10-16.11'!X20+'Юнит 17-23.11'!X20+'Юнит 24-30.11'!X20</f>
        <v>0</v>
      </c>
      <c r="Y20" s="54">
        <f t="shared" si="19"/>
        <v>0</v>
      </c>
      <c r="Z20" s="48">
        <f>'Юнит 01-02.11'!Z18+'Юнит 03-09.11'!Z20+'Юнит 10-16.11'!Z20+'Юнит 17-23.11'!Z20+'Юнит 24-30.11'!Z20</f>
        <v>0</v>
      </c>
      <c r="AA20" s="48">
        <f>'Юнит 01-02.11'!AA18+'Юнит 03-09.11'!AA20+'Юнит 10-16.11'!AA20+'Юнит 17-23.11'!AA20+'Юнит 24-30.11'!AA20</f>
        <v>377.96732400000002</v>
      </c>
      <c r="AB20" s="64"/>
      <c r="AC20" s="51"/>
      <c r="AD20" s="55">
        <f>U20*1%</f>
        <v>0</v>
      </c>
      <c r="AE20" s="56">
        <f t="shared" si="4"/>
        <v>-377.96732400000002</v>
      </c>
      <c r="AF20" s="55"/>
      <c r="AG20" s="57">
        <f t="shared" si="5"/>
        <v>0</v>
      </c>
      <c r="AH20" s="58">
        <f t="shared" si="6"/>
        <v>932.62</v>
      </c>
      <c r="AI20" s="58">
        <f t="shared" si="7"/>
        <v>0</v>
      </c>
      <c r="AJ20" s="58">
        <f t="shared" si="8"/>
        <v>0</v>
      </c>
      <c r="AK20" s="58">
        <f t="shared" si="9"/>
        <v>0</v>
      </c>
      <c r="AL20" s="58">
        <f t="array" ref="AL20">_xlfn.IFS(R20=0,AE20,R20&lt;0,AE20/-R20,R20&gt;0,AE20/R20)</f>
        <v>-377.96732400000002</v>
      </c>
      <c r="AM20" s="59">
        <f t="shared" si="10"/>
        <v>0</v>
      </c>
      <c r="AN20" s="60">
        <f t="shared" si="11"/>
        <v>-0.40527473569084943</v>
      </c>
      <c r="AP20" s="62">
        <f t="shared" si="12"/>
        <v>-755.93464800000004</v>
      </c>
    </row>
    <row r="21" spans="1:52" ht="13.75" customHeight="1">
      <c r="A21" s="39">
        <v>2807226223</v>
      </c>
      <c r="B21" s="40" t="s">
        <v>232</v>
      </c>
      <c r="C21" s="41">
        <f>'Юнит 24-30.11'!C21</f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8">
        <f>'Юнит 24-30.11'!K21+'Юнит 17-23.11'!K21+'Юнит 10-16.11'!K21+'Юнит 03-09.11'!K21+'Юнит 01-02.11'!K19</f>
        <v>0</v>
      </c>
      <c r="L21" s="45"/>
      <c r="M21" s="45"/>
      <c r="N21" s="46">
        <f t="shared" si="13"/>
        <v>0</v>
      </c>
      <c r="O21" s="47">
        <f t="shared" si="14"/>
        <v>0</v>
      </c>
      <c r="P21" s="48">
        <f>'Юнит 01-02.11'!P19+'Юнит 03-09.11'!P21+'Юнит 10-16.11'!P21+'Юнит 17-23.11'!P21+'Юнит 24-30.11'!P21</f>
        <v>0</v>
      </c>
      <c r="Q21" s="48">
        <f>'Юнит 01-02.11'!Q19+'Юнит 03-09.11'!Q21+'Юнит 10-16.11'!Q21+'Юнит 17-23.11'!Q21+'Юнит 24-30.11'!Q21</f>
        <v>0</v>
      </c>
      <c r="R21" s="49">
        <f t="shared" si="15"/>
        <v>0</v>
      </c>
      <c r="S21" s="48">
        <f>'Юнит 01-02.11'!S19+'Юнит 03-09.11'!S21+'Юнит 10-16.11'!S21+'Юнит 17-23.11'!S21+'Юнит 24-30.11'!S21</f>
        <v>0</v>
      </c>
      <c r="T21" s="48">
        <f>'Юнит 01-02.11'!T19+'Юнит 03-09.11'!T21+'Юнит 10-16.11'!T21+'Юнит 17-23.11'!T21+'Юнит 24-30.11'!T21</f>
        <v>0</v>
      </c>
      <c r="U21" s="49">
        <f t="shared" si="16"/>
        <v>0</v>
      </c>
      <c r="V21" s="52">
        <f t="shared" si="17"/>
        <v>0</v>
      </c>
      <c r="W21" s="48">
        <f t="shared" si="18"/>
        <v>0</v>
      </c>
      <c r="X21" s="48">
        <f>'Юнит 01-02.11'!X19+'Юнит 03-09.11'!X21+'Юнит 10-16.11'!X21+'Юнит 17-23.11'!X21+'Юнит 24-30.11'!X21</f>
        <v>0</v>
      </c>
      <c r="Y21" s="54">
        <f t="shared" si="19"/>
        <v>0</v>
      </c>
      <c r="Z21" s="48">
        <f>'Юнит 01-02.11'!Z19+'Юнит 03-09.11'!Z21+'Юнит 10-16.11'!Z21+'Юнит 17-23.11'!Z21+'Юнит 24-30.11'!Z21</f>
        <v>0</v>
      </c>
      <c r="AA21" s="48">
        <f>'Юнит 01-02.11'!AA19+'Юнит 03-09.11'!AA21+'Юнит 10-16.11'!AA21+'Юнит 17-23.11'!AA21+'Юнит 24-30.11'!AA21</f>
        <v>1259.968691</v>
      </c>
      <c r="AB21" s="64"/>
      <c r="AC21" s="51"/>
      <c r="AD21" s="55">
        <f>U21*1%</f>
        <v>0</v>
      </c>
      <c r="AE21" s="56">
        <f t="shared" si="4"/>
        <v>-1259.968691</v>
      </c>
      <c r="AF21" s="55"/>
      <c r="AG21" s="57">
        <f t="shared" si="5"/>
        <v>0</v>
      </c>
      <c r="AH21" s="58">
        <f t="shared" si="6"/>
        <v>1014.52</v>
      </c>
      <c r="AI21" s="58">
        <f t="shared" si="7"/>
        <v>0</v>
      </c>
      <c r="AJ21" s="58">
        <f t="shared" si="8"/>
        <v>0</v>
      </c>
      <c r="AK21" s="58">
        <f t="shared" si="9"/>
        <v>0</v>
      </c>
      <c r="AL21" s="58">
        <f t="array" ref="AL21">_xlfn.IFS(R21=0,AE21,R21&lt;0,AE21/-R21,R21&gt;0,AE21/R21)</f>
        <v>-1259.968691</v>
      </c>
      <c r="AM21" s="59">
        <f t="shared" si="10"/>
        <v>0</v>
      </c>
      <c r="AN21" s="60">
        <f t="shared" si="11"/>
        <v>-1.2419357834246738</v>
      </c>
      <c r="AP21" s="62">
        <f t="shared" si="12"/>
        <v>0</v>
      </c>
    </row>
    <row r="22" spans="1:52" ht="13.75" customHeight="1">
      <c r="A22" s="39">
        <v>2807226341</v>
      </c>
      <c r="B22" s="40" t="s">
        <v>136</v>
      </c>
      <c r="C22" s="41">
        <f>'Юнит 24-30.11'!C22</f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8">
        <f>'Юнит 24-30.11'!K22+'Юнит 17-23.11'!K22+'Юнит 10-16.11'!K22+'Юнит 03-09.11'!K22+'Юнит 01-02.11'!K20</f>
        <v>0</v>
      </c>
      <c r="L22" s="45"/>
      <c r="M22" s="45"/>
      <c r="N22" s="46">
        <f t="shared" si="13"/>
        <v>0</v>
      </c>
      <c r="O22" s="47">
        <f t="shared" si="14"/>
        <v>3.3333333333333333E-2</v>
      </c>
      <c r="P22" s="48">
        <f>'Юнит 01-02.11'!P20+'Юнит 03-09.11'!P22+'Юнит 10-16.11'!P22+'Юнит 17-23.11'!P22+'Юнит 24-30.11'!P22</f>
        <v>1</v>
      </c>
      <c r="Q22" s="48">
        <f>'Юнит 01-02.11'!Q20+'Юнит 03-09.11'!Q22+'Юнит 10-16.11'!Q22+'Юнит 17-23.11'!Q22+'Юнит 24-30.11'!Q22</f>
        <v>0</v>
      </c>
      <c r="R22" s="49">
        <f t="shared" si="15"/>
        <v>1</v>
      </c>
      <c r="S22" s="48">
        <f>'Юнит 01-02.11'!S20+'Юнит 03-09.11'!S22+'Юнит 10-16.11'!S22+'Юнит 17-23.11'!S22+'Юнит 24-30.11'!S22</f>
        <v>4000</v>
      </c>
      <c r="T22" s="48">
        <f>'Юнит 01-02.11'!T20+'Юнит 03-09.11'!T22+'Юнит 10-16.11'!T22+'Юнит 17-23.11'!T22+'Юнит 24-30.11'!T22</f>
        <v>0</v>
      </c>
      <c r="U22" s="49">
        <f t="shared" si="16"/>
        <v>4000</v>
      </c>
      <c r="V22" s="52">
        <f t="shared" si="17"/>
        <v>6.3247106444880144E-2</v>
      </c>
      <c r="W22" s="48">
        <f t="shared" si="18"/>
        <v>1014.52</v>
      </c>
      <c r="X22" s="48">
        <f>'Юнит 01-02.11'!X20+'Юнит 03-09.11'!X22+'Юнит 10-16.11'!X22+'Юнит 17-23.11'!X22+'Юнит 24-30.11'!X22</f>
        <v>1520</v>
      </c>
      <c r="Y22" s="54">
        <f t="shared" si="19"/>
        <v>0.38</v>
      </c>
      <c r="Z22" s="48">
        <f>'Юнит 01-02.11'!Z20+'Юнит 03-09.11'!Z22+'Юнит 10-16.11'!Z22+'Юнит 17-23.11'!Z22+'Юнит 24-30.11'!Z22</f>
        <v>56</v>
      </c>
      <c r="AA22" s="48">
        <f>'Юнит 01-02.11'!AA20+'Юнит 03-09.11'!AA22+'Юнит 10-16.11'!AA22+'Юнит 17-23.11'!AA22+'Юнит 24-30.11'!AA22</f>
        <v>0</v>
      </c>
      <c r="AB22" s="64"/>
      <c r="AC22" s="51"/>
      <c r="AD22" s="55">
        <f>U22*1%</f>
        <v>40</v>
      </c>
      <c r="AE22" s="56">
        <f t="shared" si="4"/>
        <v>1369.48</v>
      </c>
      <c r="AF22" s="55"/>
      <c r="AG22" s="57">
        <f t="shared" si="5"/>
        <v>4000</v>
      </c>
      <c r="AH22" s="58">
        <f t="shared" si="6"/>
        <v>1014.52</v>
      </c>
      <c r="AI22" s="58">
        <f t="shared" si="7"/>
        <v>1520</v>
      </c>
      <c r="AJ22" s="58">
        <f t="shared" si="8"/>
        <v>56</v>
      </c>
      <c r="AK22" s="58">
        <f t="shared" si="9"/>
        <v>0</v>
      </c>
      <c r="AL22" s="58">
        <f t="array" ref="AL22">_xlfn.IFS(R22=0,AE22,R22&lt;0,AE22/-R22,R22&gt;0,AE22/R22)</f>
        <v>1369.48</v>
      </c>
      <c r="AM22" s="59">
        <f t="shared" si="10"/>
        <v>0.34237000000000001</v>
      </c>
      <c r="AN22" s="60">
        <f t="shared" si="11"/>
        <v>1.3498797460868195</v>
      </c>
      <c r="AP22" s="62">
        <f t="shared" si="12"/>
        <v>0</v>
      </c>
    </row>
    <row r="23" spans="1:52" ht="13.75" customHeight="1">
      <c r="A23" s="39">
        <v>2807226351</v>
      </c>
      <c r="B23" s="40" t="s">
        <v>233</v>
      </c>
      <c r="C23" s="41">
        <f>'Юнит 24-30.11'!C23</f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8">
        <f>'Юнит 24-30.11'!K23+'Юнит 17-23.11'!K23+'Юнит 10-16.11'!K23+'Юнит 03-09.11'!K23+'Юнит 01-02.11'!K21</f>
        <v>0</v>
      </c>
      <c r="L23" s="45"/>
      <c r="M23" s="45"/>
      <c r="N23" s="46">
        <f t="shared" si="13"/>
        <v>0</v>
      </c>
      <c r="O23" s="47">
        <f t="shared" si="14"/>
        <v>0</v>
      </c>
      <c r="P23" s="48">
        <f>'Юнит 01-02.11'!P21+'Юнит 03-09.11'!P23+'Юнит 10-16.11'!P23+'Юнит 17-23.11'!P23+'Юнит 24-30.11'!P23</f>
        <v>0</v>
      </c>
      <c r="Q23" s="48">
        <f>'Юнит 01-02.11'!Q21+'Юнит 03-09.11'!Q23+'Юнит 10-16.11'!Q23+'Юнит 17-23.11'!Q23+'Юнит 24-30.11'!Q23</f>
        <v>0</v>
      </c>
      <c r="R23" s="49">
        <f t="shared" si="15"/>
        <v>0</v>
      </c>
      <c r="S23" s="48">
        <f>'Юнит 01-02.11'!S21+'Юнит 03-09.11'!S23+'Юнит 10-16.11'!S23+'Юнит 17-23.11'!S23+'Юнит 24-30.11'!S23</f>
        <v>0</v>
      </c>
      <c r="T23" s="48">
        <f>'Юнит 01-02.11'!T21+'Юнит 03-09.11'!T23+'Юнит 10-16.11'!T23+'Юнит 17-23.11'!T23+'Юнит 24-30.11'!T23</f>
        <v>0</v>
      </c>
      <c r="U23" s="49">
        <f t="shared" si="16"/>
        <v>0</v>
      </c>
      <c r="V23" s="52">
        <f t="shared" si="17"/>
        <v>0</v>
      </c>
      <c r="W23" s="48">
        <f t="shared" si="18"/>
        <v>0</v>
      </c>
      <c r="X23" s="48">
        <f>'Юнит 01-02.11'!X21+'Юнит 03-09.11'!X23+'Юнит 10-16.11'!X23+'Юнит 17-23.11'!X23+'Юнит 24-30.11'!X23</f>
        <v>0</v>
      </c>
      <c r="Y23" s="54">
        <f t="shared" si="19"/>
        <v>0</v>
      </c>
      <c r="Z23" s="48">
        <f>'Юнит 01-02.11'!Z21+'Юнит 03-09.11'!Z23+'Юнит 10-16.11'!Z23+'Юнит 17-23.11'!Z23+'Юнит 24-30.11'!Z23</f>
        <v>0</v>
      </c>
      <c r="AA23" s="48">
        <f>'Юнит 01-02.11'!AA21+'Юнит 03-09.11'!AA23+'Юнит 10-16.11'!AA23+'Юнит 17-23.11'!AA23+'Юнит 24-30.11'!AA23</f>
        <v>322.66627299999999</v>
      </c>
      <c r="AB23" s="64"/>
      <c r="AC23" s="51"/>
      <c r="AD23" s="55">
        <f>U23*1%</f>
        <v>0</v>
      </c>
      <c r="AE23" s="56">
        <f t="shared" si="4"/>
        <v>-322.66627299999999</v>
      </c>
      <c r="AF23" s="55"/>
      <c r="AG23" s="57">
        <f t="shared" si="5"/>
        <v>0</v>
      </c>
      <c r="AH23" s="58">
        <f t="shared" si="6"/>
        <v>1014.52</v>
      </c>
      <c r="AI23" s="58">
        <f t="shared" si="7"/>
        <v>0</v>
      </c>
      <c r="AJ23" s="58">
        <f t="shared" si="8"/>
        <v>0</v>
      </c>
      <c r="AK23" s="58">
        <f t="shared" si="9"/>
        <v>0</v>
      </c>
      <c r="AL23" s="58">
        <f t="array" ref="AL23">_xlfn.IFS(R23=0,AE23,R23&lt;0,AE23/-R23,R23&gt;0,AE23/R23)</f>
        <v>-322.66627299999999</v>
      </c>
      <c r="AM23" s="59">
        <f t="shared" si="10"/>
        <v>0</v>
      </c>
      <c r="AN23" s="60">
        <f t="shared" si="11"/>
        <v>-0.31804821294799512</v>
      </c>
      <c r="AP23" s="62">
        <f t="shared" si="12"/>
        <v>0</v>
      </c>
    </row>
    <row r="24" spans="1:52" ht="13.75" customHeight="1">
      <c r="A24" s="39">
        <v>2807226146</v>
      </c>
      <c r="B24" s="40" t="s">
        <v>234</v>
      </c>
      <c r="C24" s="41">
        <f>'Юнит 24-30.11'!C24</f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8">
        <f>'Юнит 24-30.11'!K24+'Юнит 17-23.11'!K24+'Юнит 10-16.11'!K24+'Юнит 03-09.11'!K24+'Юнит 01-02.11'!K22</f>
        <v>0</v>
      </c>
      <c r="L24" s="45"/>
      <c r="M24" s="45"/>
      <c r="N24" s="46">
        <f t="shared" si="13"/>
        <v>0</v>
      </c>
      <c r="O24" s="47">
        <f t="shared" si="14"/>
        <v>0</v>
      </c>
      <c r="P24" s="48">
        <f>'Юнит 01-02.11'!P22+'Юнит 03-09.11'!P24+'Юнит 10-16.11'!P24+'Юнит 17-23.11'!P24+'Юнит 24-30.11'!P24</f>
        <v>0</v>
      </c>
      <c r="Q24" s="48">
        <f>'Юнит 01-02.11'!Q22+'Юнит 03-09.11'!Q24+'Юнит 10-16.11'!Q24+'Юнит 17-23.11'!Q24+'Юнит 24-30.11'!Q24</f>
        <v>0</v>
      </c>
      <c r="R24" s="49">
        <f t="shared" si="15"/>
        <v>0</v>
      </c>
      <c r="S24" s="48">
        <f>'Юнит 01-02.11'!S22+'Юнит 03-09.11'!S24+'Юнит 10-16.11'!S24+'Юнит 17-23.11'!S24+'Юнит 24-30.11'!S24</f>
        <v>0</v>
      </c>
      <c r="T24" s="48">
        <f>'Юнит 01-02.11'!T22+'Юнит 03-09.11'!T24+'Юнит 10-16.11'!T24+'Юнит 17-23.11'!T24+'Юнит 24-30.11'!T24</f>
        <v>0</v>
      </c>
      <c r="U24" s="49">
        <f t="shared" si="16"/>
        <v>0</v>
      </c>
      <c r="V24" s="52">
        <f t="shared" si="17"/>
        <v>0</v>
      </c>
      <c r="W24" s="48">
        <f>R24*H24</f>
        <v>0</v>
      </c>
      <c r="X24" s="48">
        <f>'Юнит 01-02.11'!X22+'Юнит 03-09.11'!X24+'Юнит 10-16.11'!X24+'Юнит 17-23.11'!X24+'Юнит 24-30.11'!X24</f>
        <v>0</v>
      </c>
      <c r="Y24" s="54">
        <f t="shared" si="19"/>
        <v>0</v>
      </c>
      <c r="Z24" s="48">
        <f>'Юнит 01-02.11'!Z22+'Юнит 03-09.11'!Z24+'Юнит 10-16.11'!Z24+'Юнит 17-23.11'!Z24+'Юнит 24-30.11'!Z24</f>
        <v>0</v>
      </c>
      <c r="AA24" s="48">
        <f>'Юнит 01-02.11'!AA22+'Юнит 03-09.11'!AA24+'Юнит 10-16.11'!AA24+'Юнит 17-23.11'!AA24+'Юнит 24-30.11'!AA24</f>
        <v>0</v>
      </c>
      <c r="AB24" s="64"/>
      <c r="AC24" s="51"/>
      <c r="AD24" s="55">
        <f>U24*1%</f>
        <v>0</v>
      </c>
      <c r="AE24" s="56">
        <f t="shared" si="4"/>
        <v>0</v>
      </c>
      <c r="AF24" s="55"/>
      <c r="AG24" s="57">
        <f t="shared" si="5"/>
        <v>0</v>
      </c>
      <c r="AH24" s="58">
        <f t="shared" si="6"/>
        <v>991.12</v>
      </c>
      <c r="AI24" s="58">
        <f t="shared" si="7"/>
        <v>0</v>
      </c>
      <c r="AJ24" s="58">
        <f t="shared" si="8"/>
        <v>0</v>
      </c>
      <c r="AK24" s="58">
        <f t="shared" si="9"/>
        <v>0</v>
      </c>
      <c r="AL24" s="58">
        <f t="array" ref="AL24">_xlfn.IFS(R24=0,AE24,R24&lt;0,AE24/-R24,R24&gt;0,AE24/R24)</f>
        <v>0</v>
      </c>
      <c r="AM24" s="59">
        <f t="shared" si="10"/>
        <v>0</v>
      </c>
      <c r="AN24" s="60">
        <f t="shared" si="11"/>
        <v>0</v>
      </c>
      <c r="AP24" s="62">
        <f t="shared" si="12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1"/>
      <c r="Q25" s="41"/>
      <c r="R25" s="49"/>
      <c r="S25" s="41"/>
      <c r="T25" s="41"/>
      <c r="U25" s="49"/>
      <c r="V25" s="52"/>
      <c r="W25" s="41"/>
      <c r="X25" s="41"/>
      <c r="Y25" s="54"/>
      <c r="Z25" s="41"/>
      <c r="AA25" s="41"/>
      <c r="AB25" s="64"/>
      <c r="AC25" s="51"/>
      <c r="AD25" s="55"/>
      <c r="AE25" s="56"/>
      <c r="AF25" s="55"/>
      <c r="AG25" s="248">
        <f t="shared" ref="AG25:AN25" si="20">AVERAGEIF(AG3:AG24,"&lt;&gt;0",AG3:AG24)</f>
        <v>1752.9900452488689</v>
      </c>
      <c r="AH25" s="247">
        <f t="shared" si="20"/>
        <v>447.87636363636369</v>
      </c>
      <c r="AI25" s="247">
        <f t="shared" si="20"/>
        <v>720.79954487179475</v>
      </c>
      <c r="AJ25" s="247">
        <f t="shared" si="20"/>
        <v>133.97826384857279</v>
      </c>
      <c r="AK25" s="247">
        <f t="shared" si="20"/>
        <v>862.55029830824878</v>
      </c>
      <c r="AL25" s="247">
        <f t="shared" si="20"/>
        <v>-321.09091239684449</v>
      </c>
      <c r="AM25" s="249">
        <f t="shared" si="20"/>
        <v>8.8302449688002337E-3</v>
      </c>
      <c r="AN25" s="249">
        <f t="shared" si="20"/>
        <v>-1.5219955909856842</v>
      </c>
      <c r="AO25" s="240"/>
      <c r="AP25" s="241"/>
    </row>
    <row r="26" spans="1:52">
      <c r="A26" s="216" t="s">
        <v>305</v>
      </c>
      <c r="B26" s="209"/>
      <c r="C26" s="217">
        <f>SUM(C3:C24)</f>
        <v>4140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543860.41</v>
      </c>
      <c r="J26" s="212"/>
      <c r="K26" s="217">
        <f>SUM(K3:K24)</f>
        <v>214</v>
      </c>
      <c r="L26" s="212"/>
      <c r="M26" s="212"/>
      <c r="N26" s="213"/>
      <c r="O26" s="214"/>
      <c r="P26" s="217">
        <f>SUM(P3:P24)</f>
        <v>109</v>
      </c>
      <c r="Q26" s="217">
        <f>SUM(Q3:Q24)</f>
        <v>7</v>
      </c>
      <c r="R26" s="217">
        <f t="shared" ref="R26:AE26" si="21">SUM(R3:R24)</f>
        <v>102</v>
      </c>
      <c r="S26" s="217">
        <f>SUM(S3:S24)</f>
        <v>169747</v>
      </c>
      <c r="T26" s="217">
        <f>SUM(T3:T24)</f>
        <v>-10496</v>
      </c>
      <c r="U26" s="217">
        <f t="shared" si="21"/>
        <v>159251</v>
      </c>
      <c r="V26" s="256">
        <f t="shared" si="21"/>
        <v>2.5180412371134016</v>
      </c>
      <c r="W26" s="217">
        <f>SUM(W3:W24)</f>
        <v>14846.83</v>
      </c>
      <c r="X26" s="217">
        <f>SUM(X3:X24)</f>
        <v>66792</v>
      </c>
      <c r="Y26" s="215">
        <f>IF(U26=0,0,X26/U26)</f>
        <v>0.41941337887988145</v>
      </c>
      <c r="Z26" s="217">
        <f>SUM(Z3:Z24)</f>
        <v>15606.46</v>
      </c>
      <c r="AA26" s="217">
        <f>SUM(AA3:AA24)</f>
        <v>65738.604242999994</v>
      </c>
      <c r="AB26" s="217">
        <f t="shared" si="21"/>
        <v>0</v>
      </c>
      <c r="AC26" s="217">
        <f t="shared" si="21"/>
        <v>0</v>
      </c>
      <c r="AD26" s="238">
        <f t="shared" si="21"/>
        <v>1592.51</v>
      </c>
      <c r="AE26" s="239">
        <f t="shared" si="21"/>
        <v>-5325.4042429999963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-1382062.9120836146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1"/>
      <c r="Q27" s="41"/>
      <c r="R27" s="49"/>
      <c r="S27" s="41"/>
      <c r="T27" s="41"/>
      <c r="U27" s="49"/>
      <c r="V27" s="52"/>
      <c r="W27" s="41"/>
      <c r="X27" s="41"/>
      <c r="Y27" s="54"/>
      <c r="Z27" s="41"/>
      <c r="AA27" s="41"/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f>'Юнит 24-30.11'!C28</f>
        <v>16</v>
      </c>
      <c r="D28" s="42"/>
      <c r="E28" s="42"/>
      <c r="F28" s="42"/>
      <c r="G28" s="43"/>
      <c r="H28" s="65">
        <v>672</v>
      </c>
      <c r="I28" s="63">
        <f t="shared" ref="I28:I46" si="22">C28*H28</f>
        <v>10752</v>
      </c>
      <c r="J28" s="45"/>
      <c r="K28" s="48">
        <f>'Юнит 24-30.11'!K28+'Юнит 17-23.11'!K28+'Юнит 10-16.11'!K28+'Юнит 03-09.11'!K28+'Юнит 01-02.11'!K26</f>
        <v>1</v>
      </c>
      <c r="L28" s="45"/>
      <c r="M28" s="45"/>
      <c r="N28" s="46">
        <f t="shared" ref="N28" si="23">K28/30</f>
        <v>3.3333333333333333E-2</v>
      </c>
      <c r="O28" s="47">
        <f t="shared" ref="O28" si="24">R28/30</f>
        <v>0</v>
      </c>
      <c r="P28" s="48">
        <f>'Юнит 01-02.11'!P26+'Юнит 03-09.11'!P28+'Юнит 10-16.11'!P28+'Юнит 17-23.11'!P28+'Юнит 24-30.11'!P28</f>
        <v>0</v>
      </c>
      <c r="Q28" s="48">
        <f>'Юнит 01-02.11'!Q26+'Юнит 03-09.11'!Q28+'Юнит 10-16.11'!Q28+'Юнит 17-23.11'!Q28+'Юнит 24-30.11'!Q28</f>
        <v>0</v>
      </c>
      <c r="R28" s="49">
        <f>P28-Q28</f>
        <v>0</v>
      </c>
      <c r="S28" s="48">
        <f>'Юнит 01-02.11'!S26+'Юнит 03-09.11'!S28+'Юнит 10-16.11'!S28+'Юнит 17-23.11'!S28+'Юнит 24-30.11'!S28</f>
        <v>0</v>
      </c>
      <c r="T28" s="48">
        <f>'Юнит 01-02.11'!T26+'Юнит 03-09.11'!T28+'Юнит 10-16.11'!T28+'Юнит 17-23.11'!T28+'Юнит 24-30.11'!T28</f>
        <v>0</v>
      </c>
      <c r="U28" s="49">
        <f t="shared" ref="U28" si="25">S28+T28</f>
        <v>0</v>
      </c>
      <c r="V28" s="52">
        <f t="shared" ref="V28" si="26">U28/$U$49</f>
        <v>0</v>
      </c>
      <c r="W28" s="48">
        <f>R28*H28</f>
        <v>0</v>
      </c>
      <c r="X28" s="48">
        <f>'Юнит 01-02.11'!X26+'Юнит 03-09.11'!X28+'Юнит 10-16.11'!X28+'Юнит 17-23.11'!X28+'Юнит 24-30.11'!X28</f>
        <v>0</v>
      </c>
      <c r="Y28" s="54">
        <f t="shared" ref="Y28" si="27">IF(U28=0,0,X28/U28)</f>
        <v>0</v>
      </c>
      <c r="Z28" s="48">
        <f>'Юнит 01-02.11'!Z26+'Юнит 03-09.11'!Z28+'Юнит 10-16.11'!Z28+'Юнит 17-23.11'!Z28+'Юнит 24-30.11'!Z28</f>
        <v>0</v>
      </c>
      <c r="AA28" s="48">
        <f>'Юнит 01-02.11'!AA26+'Юнит 03-09.11'!AA28+'Юнит 10-16.11'!AA28+'Юнит 17-23.11'!AA28+'Юнит 24-30.11'!AA28</f>
        <v>2614.6171469999999</v>
      </c>
      <c r="AB28" s="64"/>
      <c r="AC28" s="51"/>
      <c r="AD28" s="55">
        <f>U28*1%</f>
        <v>0</v>
      </c>
      <c r="AE28" s="56">
        <f t="shared" ref="AE28:AE47" si="28">U28-W28-X28-Z28-AA28-AB28-AC28-AD28</f>
        <v>-2614.6171469999999</v>
      </c>
      <c r="AF28" s="55"/>
      <c r="AG28" s="57">
        <f t="shared" ref="AG28:AG47" si="29">IF(R28=0,0,U28/R28)</f>
        <v>0</v>
      </c>
      <c r="AH28" s="58">
        <f t="shared" ref="AH28:AH47" si="30">H28</f>
        <v>672</v>
      </c>
      <c r="AI28" s="58">
        <f t="shared" ref="AI28:AI47" si="31">IF(R28=0,0,X28/R28)</f>
        <v>0</v>
      </c>
      <c r="AJ28" s="58">
        <f t="shared" ref="AJ28:AJ47" si="32">IF(P28=0,Z28/1,Z28/P28)</f>
        <v>0</v>
      </c>
      <c r="AK28" s="58">
        <f t="shared" ref="AK28:AK47" si="33">IF(P28=0,0,AA28/P28)</f>
        <v>0</v>
      </c>
      <c r="AL28" s="58">
        <f t="array" ref="AL28">_xlfn.IFS(R28=0,AE28,R28&lt;0,AE28/-R28,R28&gt;0,AE28/R28)</f>
        <v>-2614.6171469999999</v>
      </c>
      <c r="AM28" s="59">
        <f t="shared" ref="AM28:AM47" si="34">IF(AG28=0,0,AL28/AG28)</f>
        <v>0</v>
      </c>
      <c r="AN28" s="60">
        <f t="shared" ref="AN28:AN47" si="35">IF(AH28=0,0,AL28/AH28)</f>
        <v>-3.890799325892857</v>
      </c>
      <c r="AP28" s="62">
        <f t="shared" ref="AP28:AP47" si="36">AL28*C28</f>
        <v>-41833.874351999999</v>
      </c>
    </row>
    <row r="29" spans="1:52">
      <c r="A29" s="39">
        <v>2774708622</v>
      </c>
      <c r="B29" s="40" t="s">
        <v>43</v>
      </c>
      <c r="C29" s="41">
        <f>'Юнит 24-30.11'!C29</f>
        <v>18</v>
      </c>
      <c r="D29" s="42"/>
      <c r="E29" s="42"/>
      <c r="F29" s="42"/>
      <c r="G29" s="43"/>
      <c r="H29" s="65">
        <v>627</v>
      </c>
      <c r="I29" s="63">
        <f t="shared" si="22"/>
        <v>11286</v>
      </c>
      <c r="J29" s="45"/>
      <c r="K29" s="48">
        <f>'Юнит 24-30.11'!K29+'Юнит 17-23.11'!K29+'Юнит 10-16.11'!K29+'Юнит 03-09.11'!K29+'Юнит 01-02.11'!K27</f>
        <v>2</v>
      </c>
      <c r="L29" s="45"/>
      <c r="M29" s="45"/>
      <c r="N29" s="46">
        <f t="shared" ref="N29:N47" si="37">K29/30</f>
        <v>6.6666666666666666E-2</v>
      </c>
      <c r="O29" s="47">
        <f t="shared" ref="O29:O47" si="38">R29/30</f>
        <v>0</v>
      </c>
      <c r="P29" s="48">
        <f>'Юнит 01-02.11'!P27+'Юнит 03-09.11'!P29+'Юнит 10-16.11'!P29+'Юнит 17-23.11'!P29+'Юнит 24-30.11'!P29</f>
        <v>2</v>
      </c>
      <c r="Q29" s="48">
        <f>'Юнит 01-02.11'!Q27+'Юнит 03-09.11'!Q29+'Юнит 10-16.11'!Q29+'Юнит 17-23.11'!Q29+'Юнит 24-30.11'!Q29</f>
        <v>2</v>
      </c>
      <c r="R29" s="49">
        <f>P29-Q29</f>
        <v>0</v>
      </c>
      <c r="S29" s="48">
        <f>'Юнит 01-02.11'!S27+'Юнит 03-09.11'!S29+'Юнит 10-16.11'!S29+'Юнит 17-23.11'!S29+'Юнит 24-30.11'!S29</f>
        <v>11500</v>
      </c>
      <c r="T29" s="48">
        <f>'Юнит 01-02.11'!T27+'Юнит 03-09.11'!T29+'Юнит 10-16.11'!T29+'Юнит 17-23.11'!T29+'Юнит 24-30.11'!T29</f>
        <v>-11000</v>
      </c>
      <c r="U29" s="49">
        <f t="shared" ref="U29:U47" si="39">S29+T29</f>
        <v>500</v>
      </c>
      <c r="V29" s="52">
        <f t="shared" ref="V29:V47" si="40">U29/$U$49</f>
        <v>7.905888305610018E-3</v>
      </c>
      <c r="W29" s="48">
        <f t="shared" ref="W29:W47" si="41">R29*H29</f>
        <v>0</v>
      </c>
      <c r="X29" s="48">
        <f>'Юнит 01-02.11'!X27+'Юнит 03-09.11'!X29+'Юнит 10-16.11'!X29+'Юнит 17-23.11'!X29+'Юнит 24-30.11'!X29</f>
        <v>490</v>
      </c>
      <c r="Y29" s="54">
        <f t="shared" ref="Y29:Y47" si="42">IF(U29=0,0,X29/U29)</f>
        <v>0.98</v>
      </c>
      <c r="Z29" s="48">
        <f>'Юнит 01-02.11'!Z27+'Юнит 03-09.11'!Z29+'Юнит 10-16.11'!Z29+'Юнит 17-23.11'!Z29+'Юнит 24-30.11'!Z29</f>
        <v>605.6</v>
      </c>
      <c r="AA29" s="48">
        <f>'Юнит 01-02.11'!AA27+'Юнит 03-09.11'!AA29+'Юнит 10-16.11'!AA29+'Юнит 17-23.11'!AA29+'Юнит 24-30.11'!AA29</f>
        <v>2272.4100079999998</v>
      </c>
      <c r="AB29" s="64"/>
      <c r="AC29" s="51"/>
      <c r="AD29" s="55">
        <f>U29*1%</f>
        <v>5</v>
      </c>
      <c r="AE29" s="56">
        <f t="shared" si="28"/>
        <v>-2873.0100079999997</v>
      </c>
      <c r="AF29" s="55"/>
      <c r="AG29" s="57">
        <f t="shared" si="29"/>
        <v>0</v>
      </c>
      <c r="AH29" s="58">
        <f t="shared" si="30"/>
        <v>627</v>
      </c>
      <c r="AI29" s="58">
        <f t="shared" si="31"/>
        <v>0</v>
      </c>
      <c r="AJ29" s="58">
        <f t="shared" si="32"/>
        <v>302.8</v>
      </c>
      <c r="AK29" s="58">
        <f t="shared" si="33"/>
        <v>1136.2050039999999</v>
      </c>
      <c r="AL29" s="58">
        <f t="array" ref="AL29">_xlfn.IFS(R29=0,AE29,R29&lt;0,AE29/-R29,R29&gt;0,AE29/R29)</f>
        <v>-2873.0100079999997</v>
      </c>
      <c r="AM29" s="59">
        <f t="shared" si="34"/>
        <v>0</v>
      </c>
      <c r="AN29" s="60">
        <f t="shared" si="35"/>
        <v>-4.5821531228070169</v>
      </c>
      <c r="AP29" s="62">
        <f t="shared" si="36"/>
        <v>-51714.180143999998</v>
      </c>
    </row>
    <row r="30" spans="1:52">
      <c r="A30" s="39">
        <v>2774709606</v>
      </c>
      <c r="B30" s="40" t="s">
        <v>235</v>
      </c>
      <c r="C30" s="41">
        <f>'Юнит 24-30.11'!C30</f>
        <v>17</v>
      </c>
      <c r="D30" s="42"/>
      <c r="E30" s="42"/>
      <c r="F30" s="42"/>
      <c r="G30" s="43"/>
      <c r="H30" s="65">
        <v>627</v>
      </c>
      <c r="I30" s="63">
        <f t="shared" si="22"/>
        <v>10659</v>
      </c>
      <c r="J30" s="45"/>
      <c r="K30" s="48">
        <f>'Юнит 24-30.11'!K30+'Юнит 17-23.11'!K30+'Юнит 10-16.11'!K30+'Юнит 03-09.11'!K30+'Юнит 01-02.11'!K28</f>
        <v>5</v>
      </c>
      <c r="L30" s="45"/>
      <c r="M30" s="45"/>
      <c r="N30" s="46">
        <f t="shared" si="37"/>
        <v>0.16666666666666666</v>
      </c>
      <c r="O30" s="47">
        <f t="shared" si="38"/>
        <v>3.3333333333333333E-2</v>
      </c>
      <c r="P30" s="48">
        <f>'Юнит 01-02.11'!P28+'Юнит 03-09.11'!P30+'Юнит 10-16.11'!P30+'Юнит 17-23.11'!P30+'Юнит 24-30.11'!P30</f>
        <v>2</v>
      </c>
      <c r="Q30" s="48">
        <f>'Юнит 01-02.11'!Q28+'Юнит 03-09.11'!Q30+'Юнит 10-16.11'!Q30+'Юнит 17-23.11'!Q30+'Юнит 24-30.11'!Q30</f>
        <v>1</v>
      </c>
      <c r="R30" s="49">
        <f t="shared" ref="R30:R47" si="43">P30-Q30</f>
        <v>1</v>
      </c>
      <c r="S30" s="48">
        <f>'Юнит 01-02.11'!S28+'Юнит 03-09.11'!S30+'Юнит 10-16.11'!S30+'Юнит 17-23.11'!S30+'Юнит 24-30.11'!S30</f>
        <v>11000</v>
      </c>
      <c r="T30" s="48">
        <f>'Юнит 01-02.11'!T28+'Юнит 03-09.11'!T30+'Юнит 10-16.11'!T30+'Юнит 17-23.11'!T30+'Юнит 24-30.11'!T30</f>
        <v>-6000</v>
      </c>
      <c r="U30" s="49">
        <f t="shared" si="39"/>
        <v>5000</v>
      </c>
      <c r="V30" s="52">
        <f t="shared" si="40"/>
        <v>7.9058883056100177E-2</v>
      </c>
      <c r="W30" s="48">
        <f t="shared" si="41"/>
        <v>627</v>
      </c>
      <c r="X30" s="48">
        <f>'Юнит 01-02.11'!X28+'Юнит 03-09.11'!X30+'Юнит 10-16.11'!X30+'Юнит 17-23.11'!X30+'Юнит 24-30.11'!X30</f>
        <v>1900</v>
      </c>
      <c r="Y30" s="54">
        <f t="shared" si="42"/>
        <v>0.38</v>
      </c>
      <c r="Z30" s="48">
        <f>'Юнит 01-02.11'!Z28+'Юнит 03-09.11'!Z30+'Юнит 10-16.11'!Z30+'Юнит 17-23.11'!Z30+'Юнит 24-30.11'!Z30</f>
        <v>930.92000000000007</v>
      </c>
      <c r="AA30" s="48">
        <f>'Юнит 01-02.11'!AA28+'Юнит 03-09.11'!AA30+'Юнит 10-16.11'!AA30+'Юнит 17-23.11'!AA30+'Юнит 24-30.11'!AA30</f>
        <v>0</v>
      </c>
      <c r="AB30" s="64"/>
      <c r="AC30" s="51"/>
      <c r="AD30" s="55">
        <f>U30*1%</f>
        <v>50</v>
      </c>
      <c r="AE30" s="56">
        <f t="shared" si="28"/>
        <v>1492.08</v>
      </c>
      <c r="AF30" s="55"/>
      <c r="AG30" s="57">
        <f t="shared" si="29"/>
        <v>5000</v>
      </c>
      <c r="AH30" s="58">
        <f t="shared" si="30"/>
        <v>627</v>
      </c>
      <c r="AI30" s="58">
        <f t="shared" si="31"/>
        <v>1900</v>
      </c>
      <c r="AJ30" s="58">
        <f t="shared" si="32"/>
        <v>465.46000000000004</v>
      </c>
      <c r="AK30" s="58">
        <f t="shared" si="33"/>
        <v>0</v>
      </c>
      <c r="AL30" s="58">
        <f t="array" ref="AL30">_xlfn.IFS(R30=0,AE30,R30&lt;0,AE30/-R30,R30&gt;0,AE30/R30)</f>
        <v>1492.08</v>
      </c>
      <c r="AM30" s="59">
        <f t="shared" si="34"/>
        <v>0.29841599999999996</v>
      </c>
      <c r="AN30" s="60">
        <f t="shared" si="35"/>
        <v>2.379712918660287</v>
      </c>
      <c r="AP30" s="62">
        <f t="shared" si="36"/>
        <v>25365.360000000001</v>
      </c>
    </row>
    <row r="31" spans="1:52">
      <c r="A31" s="39">
        <v>2774720465</v>
      </c>
      <c r="B31" s="40" t="s">
        <v>171</v>
      </c>
      <c r="C31" s="41">
        <f>'Юнит 24-30.11'!C31</f>
        <v>18</v>
      </c>
      <c r="D31" s="42"/>
      <c r="E31" s="42"/>
      <c r="F31" s="42"/>
      <c r="G31" s="43"/>
      <c r="H31" s="65">
        <v>567</v>
      </c>
      <c r="I31" s="63">
        <f t="shared" si="22"/>
        <v>10206</v>
      </c>
      <c r="J31" s="45"/>
      <c r="K31" s="48">
        <f>'Юнит 24-30.11'!K31+'Юнит 17-23.11'!K31+'Юнит 10-16.11'!K31+'Юнит 03-09.11'!K31+'Юнит 01-02.11'!K29</f>
        <v>0</v>
      </c>
      <c r="L31" s="45"/>
      <c r="M31" s="45"/>
      <c r="N31" s="46">
        <f t="shared" si="37"/>
        <v>0</v>
      </c>
      <c r="O31" s="47">
        <f t="shared" si="38"/>
        <v>0</v>
      </c>
      <c r="P31" s="48">
        <f>'Юнит 01-02.11'!P29+'Юнит 03-09.11'!P31+'Юнит 10-16.11'!P31+'Юнит 17-23.11'!P31+'Юнит 24-30.11'!P31</f>
        <v>0</v>
      </c>
      <c r="Q31" s="48">
        <f>'Юнит 01-02.11'!Q29+'Юнит 03-09.11'!Q31+'Юнит 10-16.11'!Q31+'Юнит 17-23.11'!Q31+'Юнит 24-30.11'!Q31</f>
        <v>0</v>
      </c>
      <c r="R31" s="49">
        <f t="shared" si="43"/>
        <v>0</v>
      </c>
      <c r="S31" s="48">
        <f>'Юнит 01-02.11'!S29+'Юнит 03-09.11'!S31+'Юнит 10-16.11'!S31+'Юнит 17-23.11'!S31+'Юнит 24-30.11'!S31</f>
        <v>0</v>
      </c>
      <c r="T31" s="48">
        <f>'Юнит 01-02.11'!T29+'Юнит 03-09.11'!T31+'Юнит 10-16.11'!T31+'Юнит 17-23.11'!T31+'Юнит 24-30.11'!T31</f>
        <v>0</v>
      </c>
      <c r="U31" s="49">
        <f t="shared" si="39"/>
        <v>0</v>
      </c>
      <c r="V31" s="52">
        <f t="shared" si="40"/>
        <v>0</v>
      </c>
      <c r="W31" s="48">
        <f t="shared" si="41"/>
        <v>0</v>
      </c>
      <c r="X31" s="48">
        <f>'Юнит 01-02.11'!X29+'Юнит 03-09.11'!X31+'Юнит 10-16.11'!X31+'Юнит 17-23.11'!X31+'Юнит 24-30.11'!X31</f>
        <v>0</v>
      </c>
      <c r="Y31" s="54">
        <f t="shared" si="42"/>
        <v>0</v>
      </c>
      <c r="Z31" s="48">
        <f>'Юнит 01-02.11'!Z29+'Юнит 03-09.11'!Z31+'Юнит 10-16.11'!Z31+'Юнит 17-23.11'!Z31+'Юнит 24-30.11'!Z31</f>
        <v>224</v>
      </c>
      <c r="AA31" s="48">
        <f>'Юнит 01-02.11'!AA29+'Юнит 03-09.11'!AA31+'Юнит 10-16.11'!AA31+'Юнит 17-23.11'!AA31+'Юнит 24-30.11'!AA31</f>
        <v>0</v>
      </c>
      <c r="AB31" s="64"/>
      <c r="AC31" s="51"/>
      <c r="AD31" s="55">
        <f>U31*1%</f>
        <v>0</v>
      </c>
      <c r="AE31" s="56">
        <f t="shared" si="28"/>
        <v>-224</v>
      </c>
      <c r="AF31" s="55"/>
      <c r="AG31" s="57">
        <f t="shared" si="29"/>
        <v>0</v>
      </c>
      <c r="AH31" s="58">
        <f t="shared" si="30"/>
        <v>567</v>
      </c>
      <c r="AI31" s="58">
        <f t="shared" si="31"/>
        <v>0</v>
      </c>
      <c r="AJ31" s="58">
        <f t="shared" si="32"/>
        <v>224</v>
      </c>
      <c r="AK31" s="58">
        <f t="shared" si="33"/>
        <v>0</v>
      </c>
      <c r="AL31" s="58">
        <f t="array" ref="AL31">_xlfn.IFS(R31=0,AE31,R31&lt;0,AE31/-R31,R31&gt;0,AE31/R31)</f>
        <v>-224</v>
      </c>
      <c r="AM31" s="59">
        <f t="shared" si="34"/>
        <v>0</v>
      </c>
      <c r="AN31" s="60">
        <f t="shared" si="35"/>
        <v>-0.39506172839506171</v>
      </c>
      <c r="AP31" s="62">
        <f t="shared" si="36"/>
        <v>-4032</v>
      </c>
    </row>
    <row r="32" spans="1:52">
      <c r="A32" s="39">
        <v>2774718470</v>
      </c>
      <c r="B32" s="40" t="s">
        <v>39</v>
      </c>
      <c r="C32" s="41">
        <f>'Юнит 24-30.11'!C32</f>
        <v>19</v>
      </c>
      <c r="D32" s="42"/>
      <c r="E32" s="42"/>
      <c r="F32" s="42"/>
      <c r="G32" s="43"/>
      <c r="H32" s="65">
        <v>567</v>
      </c>
      <c r="I32" s="63">
        <f t="shared" si="22"/>
        <v>10773</v>
      </c>
      <c r="J32" s="45"/>
      <c r="K32" s="48">
        <f>'Юнит 24-30.11'!K32+'Юнит 17-23.11'!K32+'Юнит 10-16.11'!K32+'Юнит 03-09.11'!K32+'Юнит 01-02.11'!K30</f>
        <v>0</v>
      </c>
      <c r="L32" s="45"/>
      <c r="M32" s="45"/>
      <c r="N32" s="46">
        <f t="shared" si="37"/>
        <v>0</v>
      </c>
      <c r="O32" s="47">
        <f t="shared" si="38"/>
        <v>0</v>
      </c>
      <c r="P32" s="48">
        <f>'Юнит 01-02.11'!P30+'Юнит 03-09.11'!P32+'Юнит 10-16.11'!P32+'Юнит 17-23.11'!P32+'Юнит 24-30.11'!P32</f>
        <v>0</v>
      </c>
      <c r="Q32" s="48">
        <f>'Юнит 01-02.11'!Q30+'Юнит 03-09.11'!Q32+'Юнит 10-16.11'!Q32+'Юнит 17-23.11'!Q32+'Юнит 24-30.11'!Q32</f>
        <v>0</v>
      </c>
      <c r="R32" s="49">
        <f t="shared" si="43"/>
        <v>0</v>
      </c>
      <c r="S32" s="48">
        <f>'Юнит 01-02.11'!S30+'Юнит 03-09.11'!S32+'Юнит 10-16.11'!S32+'Юнит 17-23.11'!S32+'Юнит 24-30.11'!S32</f>
        <v>0</v>
      </c>
      <c r="T32" s="48">
        <f>'Юнит 01-02.11'!T30+'Юнит 03-09.11'!T32+'Юнит 10-16.11'!T32+'Юнит 17-23.11'!T32+'Юнит 24-30.11'!T32</f>
        <v>0</v>
      </c>
      <c r="U32" s="49">
        <f t="shared" si="39"/>
        <v>0</v>
      </c>
      <c r="V32" s="52">
        <f t="shared" si="40"/>
        <v>0</v>
      </c>
      <c r="W32" s="48">
        <f t="shared" si="41"/>
        <v>0</v>
      </c>
      <c r="X32" s="48">
        <f>'Юнит 01-02.11'!X30+'Юнит 03-09.11'!X32+'Юнит 10-16.11'!X32+'Юнит 17-23.11'!X32+'Юнит 24-30.11'!X32</f>
        <v>0</v>
      </c>
      <c r="Y32" s="54">
        <f t="shared" si="42"/>
        <v>0</v>
      </c>
      <c r="Z32" s="48">
        <f>'Юнит 01-02.11'!Z30+'Юнит 03-09.11'!Z32+'Юнит 10-16.11'!Z32+'Юнит 17-23.11'!Z32+'Юнит 24-30.11'!Z32</f>
        <v>0</v>
      </c>
      <c r="AA32" s="48">
        <f>'Юнит 01-02.11'!AA30+'Юнит 03-09.11'!AA32+'Юнит 10-16.11'!AA32+'Юнит 17-23.11'!AA32+'Юнит 24-30.11'!AA32</f>
        <v>0</v>
      </c>
      <c r="AB32" s="64"/>
      <c r="AC32" s="51"/>
      <c r="AD32" s="55">
        <f>U32*1%</f>
        <v>0</v>
      </c>
      <c r="AE32" s="56">
        <f t="shared" si="28"/>
        <v>0</v>
      </c>
      <c r="AF32" s="55"/>
      <c r="AG32" s="57">
        <f t="shared" si="29"/>
        <v>0</v>
      </c>
      <c r="AH32" s="58">
        <f t="shared" si="30"/>
        <v>567</v>
      </c>
      <c r="AI32" s="58">
        <f t="shared" si="31"/>
        <v>0</v>
      </c>
      <c r="AJ32" s="58">
        <f t="shared" si="32"/>
        <v>0</v>
      </c>
      <c r="AK32" s="58">
        <f t="shared" si="33"/>
        <v>0</v>
      </c>
      <c r="AL32" s="58">
        <f t="array" ref="AL32">_xlfn.IFS(R32=0,AE32,R32&lt;0,AE32/-R32,R32&gt;0,AE32/R32)</f>
        <v>0</v>
      </c>
      <c r="AM32" s="59">
        <f t="shared" si="34"/>
        <v>0</v>
      </c>
      <c r="AN32" s="60">
        <f t="shared" si="35"/>
        <v>0</v>
      </c>
      <c r="AP32" s="62">
        <f t="shared" si="36"/>
        <v>0</v>
      </c>
    </row>
    <row r="33" spans="1:42">
      <c r="A33" s="39">
        <v>2774719022</v>
      </c>
      <c r="B33" s="40" t="s">
        <v>236</v>
      </c>
      <c r="C33" s="41">
        <f>'Юнит 24-30.11'!C33</f>
        <v>16</v>
      </c>
      <c r="D33" s="42"/>
      <c r="E33" s="42"/>
      <c r="F33" s="42"/>
      <c r="G33" s="43"/>
      <c r="H33" s="65">
        <v>657</v>
      </c>
      <c r="I33" s="63">
        <f t="shared" si="22"/>
        <v>10512</v>
      </c>
      <c r="J33" s="45"/>
      <c r="K33" s="48">
        <f>'Юнит 24-30.11'!K33+'Юнит 17-23.11'!K33+'Юнит 10-16.11'!K33+'Юнит 03-09.11'!K33+'Юнит 01-02.11'!K31</f>
        <v>3</v>
      </c>
      <c r="L33" s="45"/>
      <c r="M33" s="45"/>
      <c r="N33" s="46">
        <f t="shared" si="37"/>
        <v>0.1</v>
      </c>
      <c r="O33" s="47">
        <f t="shared" si="38"/>
        <v>6.6666666666666666E-2</v>
      </c>
      <c r="P33" s="48">
        <f>'Юнит 01-02.11'!P31+'Юнит 03-09.11'!P33+'Юнит 10-16.11'!P33+'Юнит 17-23.11'!P33+'Юнит 24-30.11'!P33</f>
        <v>2</v>
      </c>
      <c r="Q33" s="48">
        <f>'Юнит 01-02.11'!Q31+'Юнит 03-09.11'!Q33+'Юнит 10-16.11'!Q33+'Юнит 17-23.11'!Q33+'Юнит 24-30.11'!Q33</f>
        <v>0</v>
      </c>
      <c r="R33" s="49">
        <f t="shared" si="43"/>
        <v>2</v>
      </c>
      <c r="S33" s="48">
        <f>'Юнит 01-02.11'!S31+'Юнит 03-09.11'!S33+'Юнит 10-16.11'!S33+'Юнит 17-23.11'!S33+'Юнит 24-30.11'!S33</f>
        <v>6552</v>
      </c>
      <c r="T33" s="48">
        <f>'Юнит 01-02.11'!T31+'Юнит 03-09.11'!T33+'Юнит 10-16.11'!T33+'Юнит 17-23.11'!T33+'Юнит 24-30.11'!T33</f>
        <v>0</v>
      </c>
      <c r="U33" s="49">
        <f t="shared" si="39"/>
        <v>6552</v>
      </c>
      <c r="V33" s="52">
        <f t="shared" si="40"/>
        <v>0.10359876035671368</v>
      </c>
      <c r="W33" s="48">
        <f t="shared" si="41"/>
        <v>1314</v>
      </c>
      <c r="X33" s="48">
        <f>'Юнит 01-02.11'!X31+'Юнит 03-09.11'!X33+'Юнит 10-16.11'!X33+'Юнит 17-23.11'!X33+'Юнит 24-30.11'!X33</f>
        <v>2817.36</v>
      </c>
      <c r="Y33" s="54">
        <f t="shared" si="42"/>
        <v>0.43</v>
      </c>
      <c r="Z33" s="48">
        <f>'Юнит 01-02.11'!Z31+'Юнит 03-09.11'!Z33+'Юнит 10-16.11'!Z33+'Юнит 17-23.11'!Z33+'Юнит 24-30.11'!Z33</f>
        <v>224</v>
      </c>
      <c r="AA33" s="48">
        <f>'Юнит 01-02.11'!AA31+'Юнит 03-09.11'!AA33+'Юнит 10-16.11'!AA33+'Юнит 17-23.11'!AA33+'Юнит 24-30.11'!AA33</f>
        <v>0</v>
      </c>
      <c r="AB33" s="64"/>
      <c r="AC33" s="51"/>
      <c r="AD33" s="55">
        <f>U33*1%</f>
        <v>65.52</v>
      </c>
      <c r="AE33" s="56">
        <f t="shared" si="28"/>
        <v>2131.12</v>
      </c>
      <c r="AF33" s="55"/>
      <c r="AG33" s="57">
        <f t="shared" si="29"/>
        <v>3276</v>
      </c>
      <c r="AH33" s="58">
        <f t="shared" si="30"/>
        <v>657</v>
      </c>
      <c r="AI33" s="58">
        <f t="shared" si="31"/>
        <v>1408.68</v>
      </c>
      <c r="AJ33" s="58">
        <f t="shared" si="32"/>
        <v>112</v>
      </c>
      <c r="AK33" s="58">
        <f t="shared" si="33"/>
        <v>0</v>
      </c>
      <c r="AL33" s="58">
        <f t="array" ref="AL33">_xlfn.IFS(R33=0,AE33,R33&lt;0,AE33/-R33,R33&gt;0,AE33/R33)</f>
        <v>1065.56</v>
      </c>
      <c r="AM33" s="59">
        <f t="shared" si="34"/>
        <v>0.32526251526251526</v>
      </c>
      <c r="AN33" s="60">
        <f t="shared" si="35"/>
        <v>1.6218569254185691</v>
      </c>
      <c r="AP33" s="62">
        <f t="shared" si="36"/>
        <v>17048.96</v>
      </c>
    </row>
    <row r="34" spans="1:42">
      <c r="A34" s="39">
        <v>2774719501</v>
      </c>
      <c r="B34" s="40" t="s">
        <v>237</v>
      </c>
      <c r="C34" s="41">
        <f>'Юнит 24-30.11'!C34</f>
        <v>18</v>
      </c>
      <c r="D34" s="42"/>
      <c r="E34" s="42"/>
      <c r="F34" s="42"/>
      <c r="G34" s="43"/>
      <c r="H34" s="65">
        <v>597</v>
      </c>
      <c r="I34" s="63">
        <f t="shared" si="22"/>
        <v>10746</v>
      </c>
      <c r="J34" s="45"/>
      <c r="K34" s="48">
        <f>'Юнит 24-30.11'!K34+'Юнит 17-23.11'!K34+'Юнит 10-16.11'!K34+'Юнит 03-09.11'!K34+'Юнит 01-02.11'!K32</f>
        <v>1</v>
      </c>
      <c r="L34" s="45"/>
      <c r="M34" s="45"/>
      <c r="N34" s="46">
        <f t="shared" si="37"/>
        <v>3.3333333333333333E-2</v>
      </c>
      <c r="O34" s="47">
        <f t="shared" si="38"/>
        <v>3.3333333333333333E-2</v>
      </c>
      <c r="P34" s="48">
        <f>'Юнит 01-02.11'!P32+'Юнит 03-09.11'!P34+'Юнит 10-16.11'!P34+'Юнит 17-23.11'!P34+'Юнит 24-30.11'!P34</f>
        <v>1</v>
      </c>
      <c r="Q34" s="48">
        <f>'Юнит 01-02.11'!Q32+'Юнит 03-09.11'!Q34+'Юнит 10-16.11'!Q34+'Юнит 17-23.11'!Q34+'Юнит 24-30.11'!Q34</f>
        <v>0</v>
      </c>
      <c r="R34" s="49">
        <f t="shared" si="43"/>
        <v>1</v>
      </c>
      <c r="S34" s="48">
        <f>'Юнит 01-02.11'!S32+'Юнит 03-09.11'!S34+'Юнит 10-16.11'!S34+'Юнит 17-23.11'!S34+'Юнит 24-30.11'!S34</f>
        <v>4548</v>
      </c>
      <c r="T34" s="48">
        <f>'Юнит 01-02.11'!T32+'Юнит 03-09.11'!T34+'Юнит 10-16.11'!T34+'Юнит 17-23.11'!T34+'Юнит 24-30.11'!T34</f>
        <v>0</v>
      </c>
      <c r="U34" s="49">
        <f t="shared" si="39"/>
        <v>4548</v>
      </c>
      <c r="V34" s="52">
        <f t="shared" si="40"/>
        <v>7.1911960027828722E-2</v>
      </c>
      <c r="W34" s="48">
        <f t="shared" si="41"/>
        <v>597</v>
      </c>
      <c r="X34" s="48">
        <f>'Юнит 01-02.11'!X32+'Юнит 03-09.11'!X34+'Юнит 10-16.11'!X34+'Юнит 17-23.11'!X34+'Юнит 24-30.11'!X34</f>
        <v>1955.64</v>
      </c>
      <c r="Y34" s="54">
        <f t="shared" si="42"/>
        <v>0.43000000000000005</v>
      </c>
      <c r="Z34" s="48">
        <f>'Юнит 01-02.11'!Z32+'Юнит 03-09.11'!Z34+'Юнит 10-16.11'!Z34+'Юнит 17-23.11'!Z34+'Юнит 24-30.11'!Z34</f>
        <v>226.04</v>
      </c>
      <c r="AA34" s="48">
        <f>'Юнит 01-02.11'!AA32+'Юнит 03-09.11'!AA34+'Юнит 10-16.11'!AA34+'Юнит 17-23.11'!AA34+'Юнит 24-30.11'!AA34</f>
        <v>0</v>
      </c>
      <c r="AB34" s="64"/>
      <c r="AC34" s="51"/>
      <c r="AD34" s="55">
        <f>U34*1%</f>
        <v>45.480000000000004</v>
      </c>
      <c r="AE34" s="56">
        <f t="shared" si="28"/>
        <v>1723.84</v>
      </c>
      <c r="AF34" s="55"/>
      <c r="AG34" s="57">
        <f t="shared" si="29"/>
        <v>4548</v>
      </c>
      <c r="AH34" s="58">
        <f t="shared" si="30"/>
        <v>597</v>
      </c>
      <c r="AI34" s="58">
        <f t="shared" si="31"/>
        <v>1955.64</v>
      </c>
      <c r="AJ34" s="58">
        <f t="shared" si="32"/>
        <v>226.04</v>
      </c>
      <c r="AK34" s="58">
        <f t="shared" si="33"/>
        <v>0</v>
      </c>
      <c r="AL34" s="58">
        <f t="array" ref="AL34">_xlfn.IFS(R34=0,AE34,R34&lt;0,AE34/-R34,R34&gt;0,AE34/R34)</f>
        <v>1723.84</v>
      </c>
      <c r="AM34" s="59">
        <f t="shared" si="34"/>
        <v>0.37903254177660506</v>
      </c>
      <c r="AN34" s="60">
        <f t="shared" si="35"/>
        <v>2.8875041876046899</v>
      </c>
      <c r="AP34" s="62">
        <f t="shared" si="36"/>
        <v>31029.119999999999</v>
      </c>
    </row>
    <row r="35" spans="1:42">
      <c r="A35" s="39">
        <v>2774714412</v>
      </c>
      <c r="B35" s="40" t="s">
        <v>142</v>
      </c>
      <c r="C35" s="41">
        <f>'Юнит 24-30.11'!C35</f>
        <v>17</v>
      </c>
      <c r="D35" s="42"/>
      <c r="E35" s="42"/>
      <c r="F35" s="42"/>
      <c r="G35" s="43"/>
      <c r="H35" s="65">
        <v>552</v>
      </c>
      <c r="I35" s="63">
        <f t="shared" si="22"/>
        <v>9384</v>
      </c>
      <c r="J35" s="45"/>
      <c r="K35" s="48">
        <f>'Юнит 24-30.11'!K35+'Юнит 17-23.11'!K35+'Юнит 10-16.11'!K35+'Юнит 03-09.11'!K35+'Юнит 01-02.11'!K33</f>
        <v>0</v>
      </c>
      <c r="L35" s="45"/>
      <c r="M35" s="45"/>
      <c r="N35" s="46">
        <f t="shared" si="37"/>
        <v>0</v>
      </c>
      <c r="O35" s="47">
        <f t="shared" si="38"/>
        <v>0</v>
      </c>
      <c r="P35" s="48">
        <f>'Юнит 01-02.11'!P33+'Юнит 03-09.11'!P35+'Юнит 10-16.11'!P35+'Юнит 17-23.11'!P35+'Юнит 24-30.11'!P35</f>
        <v>0</v>
      </c>
      <c r="Q35" s="48">
        <f>'Юнит 01-02.11'!Q33+'Юнит 03-09.11'!Q35+'Юнит 10-16.11'!Q35+'Юнит 17-23.11'!Q35+'Юнит 24-30.11'!Q35</f>
        <v>0</v>
      </c>
      <c r="R35" s="49">
        <f t="shared" si="43"/>
        <v>0</v>
      </c>
      <c r="S35" s="48">
        <f>'Юнит 01-02.11'!S33+'Юнит 03-09.11'!S35+'Юнит 10-16.11'!S35+'Юнит 17-23.11'!S35+'Юнит 24-30.11'!S35</f>
        <v>0</v>
      </c>
      <c r="T35" s="48">
        <f>'Юнит 01-02.11'!T33+'Юнит 03-09.11'!T35+'Юнит 10-16.11'!T35+'Юнит 17-23.11'!T35+'Юнит 24-30.11'!T35</f>
        <v>0</v>
      </c>
      <c r="U35" s="49">
        <f t="shared" si="39"/>
        <v>0</v>
      </c>
      <c r="V35" s="52">
        <f t="shared" si="40"/>
        <v>0</v>
      </c>
      <c r="W35" s="48">
        <f t="shared" si="41"/>
        <v>0</v>
      </c>
      <c r="X35" s="48">
        <f>'Юнит 01-02.11'!X33+'Юнит 03-09.11'!X35+'Юнит 10-16.11'!X35+'Юнит 17-23.11'!X35+'Юнит 24-30.11'!X35</f>
        <v>0</v>
      </c>
      <c r="Y35" s="54">
        <f t="shared" si="42"/>
        <v>0</v>
      </c>
      <c r="Z35" s="48">
        <f>'Юнит 01-02.11'!Z33+'Юнит 03-09.11'!Z35+'Юнит 10-16.11'!Z35+'Юнит 17-23.11'!Z35+'Юнит 24-30.11'!Z35</f>
        <v>0</v>
      </c>
      <c r="AA35" s="48">
        <f>'Юнит 01-02.11'!AA33+'Юнит 03-09.11'!AA35+'Юнит 10-16.11'!AA35+'Юнит 17-23.11'!AA35+'Юнит 24-30.11'!AA35</f>
        <v>0</v>
      </c>
      <c r="AB35" s="64"/>
      <c r="AC35" s="51"/>
      <c r="AD35" s="55">
        <f>U35*1%</f>
        <v>0</v>
      </c>
      <c r="AE35" s="56">
        <f t="shared" si="28"/>
        <v>0</v>
      </c>
      <c r="AF35" s="55"/>
      <c r="AG35" s="57">
        <f t="shared" si="29"/>
        <v>0</v>
      </c>
      <c r="AH35" s="58">
        <f t="shared" si="30"/>
        <v>552</v>
      </c>
      <c r="AI35" s="58">
        <f t="shared" si="31"/>
        <v>0</v>
      </c>
      <c r="AJ35" s="58">
        <f t="shared" si="32"/>
        <v>0</v>
      </c>
      <c r="AK35" s="58">
        <f t="shared" si="33"/>
        <v>0</v>
      </c>
      <c r="AL35" s="58">
        <f t="array" ref="AL35">_xlfn.IFS(R35=0,AE35,R35&lt;0,AE35/-R35,R35&gt;0,AE35/R35)</f>
        <v>0</v>
      </c>
      <c r="AM35" s="59">
        <f t="shared" si="34"/>
        <v>0</v>
      </c>
      <c r="AN35" s="60">
        <f t="shared" si="35"/>
        <v>0</v>
      </c>
      <c r="AP35" s="62">
        <f t="shared" si="36"/>
        <v>0</v>
      </c>
    </row>
    <row r="36" spans="1:42">
      <c r="A36" s="39">
        <v>2774710430</v>
      </c>
      <c r="B36" s="40" t="s">
        <v>238</v>
      </c>
      <c r="C36" s="41">
        <f>'Юнит 24-30.11'!C36</f>
        <v>18</v>
      </c>
      <c r="D36" s="42"/>
      <c r="E36" s="42"/>
      <c r="F36" s="42"/>
      <c r="G36" s="43"/>
      <c r="H36" s="65">
        <v>552</v>
      </c>
      <c r="I36" s="63">
        <f t="shared" si="22"/>
        <v>9936</v>
      </c>
      <c r="J36" s="45"/>
      <c r="K36" s="48">
        <f>'Юнит 24-30.11'!K36+'Юнит 17-23.11'!K36+'Юнит 10-16.11'!K36+'Юнит 03-09.11'!K36+'Юнит 01-02.11'!K34</f>
        <v>0</v>
      </c>
      <c r="L36" s="45"/>
      <c r="M36" s="45"/>
      <c r="N36" s="46">
        <f t="shared" si="37"/>
        <v>0</v>
      </c>
      <c r="O36" s="47">
        <f t="shared" si="38"/>
        <v>0</v>
      </c>
      <c r="P36" s="48">
        <f>'Юнит 01-02.11'!P34+'Юнит 03-09.11'!P36+'Юнит 10-16.11'!P36+'Юнит 17-23.11'!P36+'Юнит 24-30.11'!P36</f>
        <v>0</v>
      </c>
      <c r="Q36" s="48">
        <f>'Юнит 01-02.11'!Q34+'Юнит 03-09.11'!Q36+'Юнит 10-16.11'!Q36+'Юнит 17-23.11'!Q36+'Юнит 24-30.11'!Q36</f>
        <v>0</v>
      </c>
      <c r="R36" s="49">
        <f t="shared" si="43"/>
        <v>0</v>
      </c>
      <c r="S36" s="48">
        <f>'Юнит 01-02.11'!S34+'Юнит 03-09.11'!S36+'Юнит 10-16.11'!S36+'Юнит 17-23.11'!S36+'Юнит 24-30.11'!S36</f>
        <v>0</v>
      </c>
      <c r="T36" s="48">
        <f>'Юнит 01-02.11'!T34+'Юнит 03-09.11'!T36+'Юнит 10-16.11'!T36+'Юнит 17-23.11'!T36+'Юнит 24-30.11'!T36</f>
        <v>0</v>
      </c>
      <c r="U36" s="49">
        <f t="shared" si="39"/>
        <v>0</v>
      </c>
      <c r="V36" s="52">
        <f t="shared" si="40"/>
        <v>0</v>
      </c>
      <c r="W36" s="48">
        <f t="shared" si="41"/>
        <v>0</v>
      </c>
      <c r="X36" s="48">
        <f>'Юнит 01-02.11'!X34+'Юнит 03-09.11'!X36+'Юнит 10-16.11'!X36+'Юнит 17-23.11'!X36+'Юнит 24-30.11'!X36</f>
        <v>0</v>
      </c>
      <c r="Y36" s="54">
        <f t="shared" si="42"/>
        <v>0</v>
      </c>
      <c r="Z36" s="48">
        <f>'Юнит 01-02.11'!Z34+'Юнит 03-09.11'!Z36+'Юнит 10-16.11'!Z36+'Юнит 17-23.11'!Z36+'Юнит 24-30.11'!Z36</f>
        <v>0</v>
      </c>
      <c r="AA36" s="48">
        <f>'Юнит 01-02.11'!AA34+'Юнит 03-09.11'!AA36+'Юнит 10-16.11'!AA36+'Юнит 17-23.11'!AA36+'Юнит 24-30.11'!AA36</f>
        <v>1709.0556700000002</v>
      </c>
      <c r="AB36" s="64"/>
      <c r="AC36" s="51"/>
      <c r="AD36" s="55">
        <f>U36*1%</f>
        <v>0</v>
      </c>
      <c r="AE36" s="56">
        <f t="shared" si="28"/>
        <v>-1709.0556700000002</v>
      </c>
      <c r="AF36" s="55"/>
      <c r="AG36" s="57">
        <f t="shared" si="29"/>
        <v>0</v>
      </c>
      <c r="AH36" s="58">
        <f t="shared" si="30"/>
        <v>552</v>
      </c>
      <c r="AI36" s="58">
        <f t="shared" si="31"/>
        <v>0</v>
      </c>
      <c r="AJ36" s="58">
        <f t="shared" si="32"/>
        <v>0</v>
      </c>
      <c r="AK36" s="58">
        <f t="shared" si="33"/>
        <v>0</v>
      </c>
      <c r="AL36" s="58">
        <f t="array" ref="AL36">_xlfn.IFS(R36=0,AE36,R36&lt;0,AE36/-R36,R36&gt;0,AE36/R36)</f>
        <v>-1709.0556700000002</v>
      </c>
      <c r="AM36" s="59">
        <f t="shared" si="34"/>
        <v>0</v>
      </c>
      <c r="AN36" s="60">
        <f t="shared" si="35"/>
        <v>-3.0961153442028988</v>
      </c>
      <c r="AP36" s="62">
        <f t="shared" si="36"/>
        <v>-30763.002060000003</v>
      </c>
    </row>
    <row r="37" spans="1:42">
      <c r="A37" s="39">
        <v>2774712116</v>
      </c>
      <c r="B37" s="40" t="s">
        <v>62</v>
      </c>
      <c r="C37" s="41">
        <f>'Юнит 24-30.11'!C37</f>
        <v>15</v>
      </c>
      <c r="D37" s="42"/>
      <c r="E37" s="42"/>
      <c r="F37" s="42"/>
      <c r="G37" s="43"/>
      <c r="H37" s="65">
        <v>687</v>
      </c>
      <c r="I37" s="63">
        <f t="shared" si="22"/>
        <v>10305</v>
      </c>
      <c r="J37" s="45"/>
      <c r="K37" s="48">
        <f>'Юнит 24-30.11'!K37+'Юнит 17-23.11'!K37+'Юнит 10-16.11'!K37+'Юнит 03-09.11'!K37+'Юнит 01-02.11'!K35</f>
        <v>3</v>
      </c>
      <c r="L37" s="45"/>
      <c r="M37" s="45"/>
      <c r="N37" s="46">
        <f t="shared" si="37"/>
        <v>0.1</v>
      </c>
      <c r="O37" s="47">
        <f t="shared" si="38"/>
        <v>0</v>
      </c>
      <c r="P37" s="48">
        <f>'Юнит 01-02.11'!P35+'Юнит 03-09.11'!P37+'Юнит 10-16.11'!P37+'Юнит 17-23.11'!P37+'Юнит 24-30.11'!P37</f>
        <v>1</v>
      </c>
      <c r="Q37" s="48">
        <f>'Юнит 01-02.11'!Q35+'Юнит 03-09.11'!Q37+'Юнит 10-16.11'!Q37+'Юнит 17-23.11'!Q37+'Юнит 24-30.11'!Q37</f>
        <v>1</v>
      </c>
      <c r="R37" s="49">
        <f t="shared" si="43"/>
        <v>0</v>
      </c>
      <c r="S37" s="48">
        <f>'Юнит 01-02.11'!S35+'Юнит 03-09.11'!S37+'Юнит 10-16.11'!S37+'Юнит 17-23.11'!S37+'Юнит 24-30.11'!S37</f>
        <v>5500</v>
      </c>
      <c r="T37" s="48">
        <f>'Юнит 01-02.11'!T35+'Юнит 03-09.11'!T37+'Юнит 10-16.11'!T37+'Юнит 17-23.11'!T37+'Юнит 24-30.11'!T37</f>
        <v>-5500</v>
      </c>
      <c r="U37" s="49">
        <f t="shared" si="39"/>
        <v>0</v>
      </c>
      <c r="V37" s="52">
        <f t="shared" si="40"/>
        <v>0</v>
      </c>
      <c r="W37" s="48">
        <f t="shared" si="41"/>
        <v>0</v>
      </c>
      <c r="X37" s="48">
        <f>'Юнит 01-02.11'!X35+'Юнит 03-09.11'!X37+'Юнит 10-16.11'!X37+'Юнит 17-23.11'!X37+'Юнит 24-30.11'!X37</f>
        <v>0</v>
      </c>
      <c r="Y37" s="54">
        <f t="shared" si="42"/>
        <v>0</v>
      </c>
      <c r="Z37" s="48">
        <f>'Юнит 01-02.11'!Z35+'Юнит 03-09.11'!Z37+'Юнит 10-16.11'!Z37+'Юнит 17-23.11'!Z37+'Юнит 24-30.11'!Z37</f>
        <v>560</v>
      </c>
      <c r="AA37" s="48">
        <f>'Юнит 01-02.11'!AA35+'Юнит 03-09.11'!AA37+'Юнит 10-16.11'!AA37+'Юнит 17-23.11'!AA37+'Юнит 24-30.11'!AA37</f>
        <v>0</v>
      </c>
      <c r="AB37" s="64"/>
      <c r="AC37" s="51"/>
      <c r="AD37" s="55">
        <f>U37*1%</f>
        <v>0</v>
      </c>
      <c r="AE37" s="56">
        <f t="shared" si="28"/>
        <v>-560</v>
      </c>
      <c r="AF37" s="55"/>
      <c r="AG37" s="57">
        <f t="shared" si="29"/>
        <v>0</v>
      </c>
      <c r="AH37" s="58">
        <f t="shared" si="30"/>
        <v>687</v>
      </c>
      <c r="AI37" s="58">
        <f t="shared" si="31"/>
        <v>0</v>
      </c>
      <c r="AJ37" s="58">
        <f t="shared" si="32"/>
        <v>560</v>
      </c>
      <c r="AK37" s="58">
        <f t="shared" si="33"/>
        <v>0</v>
      </c>
      <c r="AL37" s="58">
        <f t="array" ref="AL37">_xlfn.IFS(R37=0,AE37,R37&lt;0,AE37/-R37,R37&gt;0,AE37/R37)</f>
        <v>-560</v>
      </c>
      <c r="AM37" s="59">
        <f t="shared" si="34"/>
        <v>0</v>
      </c>
      <c r="AN37" s="60">
        <f t="shared" si="35"/>
        <v>-0.81513828238719066</v>
      </c>
      <c r="AP37" s="62">
        <f t="shared" si="36"/>
        <v>-8400</v>
      </c>
    </row>
    <row r="38" spans="1:42">
      <c r="A38" s="39">
        <v>2774719012</v>
      </c>
      <c r="B38" s="40" t="s">
        <v>239</v>
      </c>
      <c r="C38" s="41">
        <f>'Юнит 24-30.11'!C38</f>
        <v>7</v>
      </c>
      <c r="D38" s="42"/>
      <c r="E38" s="42"/>
      <c r="F38" s="42"/>
      <c r="G38" s="43"/>
      <c r="H38" s="65">
        <v>687</v>
      </c>
      <c r="I38" s="63">
        <f t="shared" si="22"/>
        <v>4809</v>
      </c>
      <c r="J38" s="45"/>
      <c r="K38" s="48">
        <f>'Юнит 24-30.11'!K38+'Юнит 17-23.11'!K38+'Юнит 10-16.11'!K38+'Юнит 03-09.11'!K38+'Юнит 01-02.11'!K36</f>
        <v>4</v>
      </c>
      <c r="L38" s="45"/>
      <c r="M38" s="45"/>
      <c r="N38" s="46">
        <f t="shared" si="37"/>
        <v>0.13333333333333333</v>
      </c>
      <c r="O38" s="47">
        <f t="shared" si="38"/>
        <v>0.1</v>
      </c>
      <c r="P38" s="48">
        <f>'Юнит 01-02.11'!P36+'Юнит 03-09.11'!P38+'Юнит 10-16.11'!P38+'Юнит 17-23.11'!P38+'Юнит 24-30.11'!P38</f>
        <v>3</v>
      </c>
      <c r="Q38" s="48">
        <f>'Юнит 01-02.11'!Q36+'Юнит 03-09.11'!Q38+'Юнит 10-16.11'!Q38+'Юнит 17-23.11'!Q38+'Юнит 24-30.11'!Q38</f>
        <v>0</v>
      </c>
      <c r="R38" s="49">
        <f t="shared" si="43"/>
        <v>3</v>
      </c>
      <c r="S38" s="48">
        <f>'Юнит 01-02.11'!S36+'Юнит 03-09.11'!S38+'Юнит 10-16.11'!S38+'Юнит 17-23.11'!S38+'Юнит 24-30.11'!S38</f>
        <v>13644</v>
      </c>
      <c r="T38" s="48">
        <f>'Юнит 01-02.11'!T36+'Юнит 03-09.11'!T38+'Юнит 10-16.11'!T38+'Юнит 17-23.11'!T38+'Юнит 24-30.11'!T38</f>
        <v>0</v>
      </c>
      <c r="U38" s="49">
        <f t="shared" si="39"/>
        <v>13644</v>
      </c>
      <c r="V38" s="52">
        <f t="shared" si="40"/>
        <v>0.21573588008348618</v>
      </c>
      <c r="W38" s="48">
        <f t="shared" si="41"/>
        <v>2061</v>
      </c>
      <c r="X38" s="48">
        <f>'Юнит 01-02.11'!X36+'Юнит 03-09.11'!X38+'Юнит 10-16.11'!X38+'Юнит 17-23.11'!X38+'Юнит 24-30.11'!X38</f>
        <v>5184.72</v>
      </c>
      <c r="Y38" s="54">
        <f t="shared" si="42"/>
        <v>0.38</v>
      </c>
      <c r="Z38" s="48">
        <f>'Юнит 01-02.11'!Z36+'Юнит 03-09.11'!Z38+'Юнит 10-16.11'!Z38+'Юнит 17-23.11'!Z38+'Юнит 24-30.11'!Z38</f>
        <v>616</v>
      </c>
      <c r="AA38" s="48">
        <f>'Юнит 01-02.11'!AA36+'Юнит 03-09.11'!AA38+'Юнит 10-16.11'!AA38+'Юнит 17-23.11'!AA38+'Юнит 24-30.11'!AA38</f>
        <v>4278.7550549999996</v>
      </c>
      <c r="AB38" s="64"/>
      <c r="AC38" s="51"/>
      <c r="AD38" s="55">
        <f>U38*1%</f>
        <v>136.44</v>
      </c>
      <c r="AE38" s="56">
        <f t="shared" si="28"/>
        <v>1367.0849450000001</v>
      </c>
      <c r="AF38" s="55"/>
      <c r="AG38" s="57">
        <f t="shared" si="29"/>
        <v>4548</v>
      </c>
      <c r="AH38" s="58">
        <f t="shared" si="30"/>
        <v>687</v>
      </c>
      <c r="AI38" s="58">
        <f t="shared" si="31"/>
        <v>1728.24</v>
      </c>
      <c r="AJ38" s="58">
        <f t="shared" si="32"/>
        <v>205.33333333333334</v>
      </c>
      <c r="AK38" s="58">
        <f t="shared" si="33"/>
        <v>1426.251685</v>
      </c>
      <c r="AL38" s="58">
        <f t="array" ref="AL38">_xlfn.IFS(R38=0,AE38,R38&lt;0,AE38/-R38,R38&gt;0,AE38/R38)</f>
        <v>455.69498166666671</v>
      </c>
      <c r="AM38" s="59">
        <f t="shared" si="34"/>
        <v>0.10019678576663736</v>
      </c>
      <c r="AN38" s="60">
        <f t="shared" si="35"/>
        <v>0.66331147258612333</v>
      </c>
      <c r="AP38" s="62">
        <f t="shared" si="36"/>
        <v>3189.8648716666671</v>
      </c>
    </row>
    <row r="39" spans="1:42">
      <c r="A39" s="39">
        <v>2774719433</v>
      </c>
      <c r="B39" s="40" t="s">
        <v>240</v>
      </c>
      <c r="C39" s="41">
        <f>'Юнит 24-30.11'!C39</f>
        <v>14</v>
      </c>
      <c r="D39" s="42"/>
      <c r="E39" s="42"/>
      <c r="F39" s="42"/>
      <c r="G39" s="43"/>
      <c r="H39" s="65">
        <v>597</v>
      </c>
      <c r="I39" s="63">
        <f t="shared" si="22"/>
        <v>8358</v>
      </c>
      <c r="J39" s="45"/>
      <c r="K39" s="48">
        <f>'Юнит 24-30.11'!K39+'Юнит 17-23.11'!K39+'Юнит 10-16.11'!K39+'Юнит 03-09.11'!K39+'Юнит 01-02.11'!K37</f>
        <v>7</v>
      </c>
      <c r="L39" s="45"/>
      <c r="M39" s="45"/>
      <c r="N39" s="46">
        <f t="shared" si="37"/>
        <v>0.23333333333333334</v>
      </c>
      <c r="O39" s="47">
        <f t="shared" si="38"/>
        <v>0.1</v>
      </c>
      <c r="P39" s="48">
        <f>'Юнит 01-02.11'!P37+'Юнит 03-09.11'!P39+'Юнит 10-16.11'!P39+'Юнит 17-23.11'!P39+'Юнит 24-30.11'!P39</f>
        <v>3</v>
      </c>
      <c r="Q39" s="48">
        <f>'Юнит 01-02.11'!Q37+'Юнит 03-09.11'!Q39+'Юнит 10-16.11'!Q39+'Юнит 17-23.11'!Q39+'Юнит 24-30.11'!Q39</f>
        <v>0</v>
      </c>
      <c r="R39" s="49">
        <f t="shared" si="43"/>
        <v>3</v>
      </c>
      <c r="S39" s="48">
        <f>'Юнит 01-02.11'!S37+'Юнит 03-09.11'!S39+'Юнит 10-16.11'!S39+'Юнит 17-23.11'!S39+'Юнит 24-30.11'!S39</f>
        <v>16500</v>
      </c>
      <c r="T39" s="48">
        <f>'Юнит 01-02.11'!T37+'Юнит 03-09.11'!T39+'Юнит 10-16.11'!T39+'Юнит 17-23.11'!T39+'Юнит 24-30.11'!T39</f>
        <v>0</v>
      </c>
      <c r="U39" s="49">
        <f t="shared" si="39"/>
        <v>16500</v>
      </c>
      <c r="V39" s="52">
        <f t="shared" si="40"/>
        <v>0.26089431408513059</v>
      </c>
      <c r="W39" s="48">
        <f t="shared" si="41"/>
        <v>1791</v>
      </c>
      <c r="X39" s="48">
        <f>'Юнит 01-02.11'!X37+'Юнит 03-09.11'!X39+'Юнит 10-16.11'!X39+'Юнит 17-23.11'!X39+'Юнит 24-30.11'!X39</f>
        <v>7095</v>
      </c>
      <c r="Y39" s="54">
        <f t="shared" si="42"/>
        <v>0.43</v>
      </c>
      <c r="Z39" s="48">
        <f>'Юнит 01-02.11'!Z37+'Юнит 03-09.11'!Z39+'Юнит 10-16.11'!Z39+'Юнит 17-23.11'!Z39+'Юнит 24-30.11'!Z39</f>
        <v>921.06</v>
      </c>
      <c r="AA39" s="48">
        <f>'Юнит 01-02.11'!AA37+'Юнит 03-09.11'!AA39+'Юнит 10-16.11'!AA39+'Юнит 17-23.11'!AA39+'Юнит 24-30.11'!AA39</f>
        <v>6761.8646669999998</v>
      </c>
      <c r="AB39" s="64"/>
      <c r="AC39" s="51"/>
      <c r="AD39" s="55">
        <f>U39*1%</f>
        <v>165</v>
      </c>
      <c r="AE39" s="56">
        <f t="shared" si="28"/>
        <v>-233.92466699999932</v>
      </c>
      <c r="AF39" s="55"/>
      <c r="AG39" s="57">
        <f t="shared" si="29"/>
        <v>5500</v>
      </c>
      <c r="AH39" s="58">
        <f t="shared" si="30"/>
        <v>597</v>
      </c>
      <c r="AI39" s="58">
        <f t="shared" si="31"/>
        <v>2365</v>
      </c>
      <c r="AJ39" s="58">
        <f t="shared" si="32"/>
        <v>307.02</v>
      </c>
      <c r="AK39" s="58">
        <f t="shared" si="33"/>
        <v>2253.9548890000001</v>
      </c>
      <c r="AL39" s="58">
        <f t="array" ref="AL39">_xlfn.IFS(R39=0,AE39,R39&lt;0,AE39/-R39,R39&gt;0,AE39/R39)</f>
        <v>-77.974888999999777</v>
      </c>
      <c r="AM39" s="59">
        <f t="shared" si="34"/>
        <v>-1.4177252545454506E-2</v>
      </c>
      <c r="AN39" s="60">
        <f t="shared" si="35"/>
        <v>-0.13061120435510851</v>
      </c>
      <c r="AP39" s="62">
        <f t="shared" si="36"/>
        <v>-1091.648445999997</v>
      </c>
    </row>
    <row r="40" spans="1:42">
      <c r="A40" s="39">
        <v>2774719029</v>
      </c>
      <c r="B40" s="40" t="s">
        <v>241</v>
      </c>
      <c r="C40" s="41">
        <f>'Юнит 24-30.11'!C40</f>
        <v>18</v>
      </c>
      <c r="D40" s="42"/>
      <c r="E40" s="42"/>
      <c r="F40" s="42"/>
      <c r="G40" s="43"/>
      <c r="H40" s="65">
        <v>597</v>
      </c>
      <c r="I40" s="63">
        <f t="shared" si="22"/>
        <v>10746</v>
      </c>
      <c r="J40" s="45"/>
      <c r="K40" s="48">
        <f>'Юнит 24-30.11'!K40+'Юнит 17-23.11'!K40+'Юнит 10-16.11'!K40+'Юнит 03-09.11'!K40+'Юнит 01-02.11'!K38</f>
        <v>0</v>
      </c>
      <c r="L40" s="45"/>
      <c r="M40" s="45"/>
      <c r="N40" s="46">
        <f t="shared" si="37"/>
        <v>0</v>
      </c>
      <c r="O40" s="47">
        <f t="shared" si="38"/>
        <v>0</v>
      </c>
      <c r="P40" s="48">
        <f>'Юнит 01-02.11'!P38+'Юнит 03-09.11'!P40+'Юнит 10-16.11'!P40+'Юнит 17-23.11'!P40+'Юнит 24-30.11'!P40</f>
        <v>0</v>
      </c>
      <c r="Q40" s="48">
        <f>'Юнит 01-02.11'!Q38+'Юнит 03-09.11'!Q40+'Юнит 10-16.11'!Q40+'Юнит 17-23.11'!Q40+'Юнит 24-30.11'!Q40</f>
        <v>0</v>
      </c>
      <c r="R40" s="49">
        <f t="shared" si="43"/>
        <v>0</v>
      </c>
      <c r="S40" s="48">
        <f>'Юнит 01-02.11'!S38+'Юнит 03-09.11'!S40+'Юнит 10-16.11'!S40+'Юнит 17-23.11'!S40+'Юнит 24-30.11'!S40</f>
        <v>0</v>
      </c>
      <c r="T40" s="48">
        <f>'Юнит 01-02.11'!T38+'Юнит 03-09.11'!T40+'Юнит 10-16.11'!T40+'Юнит 17-23.11'!T40+'Юнит 24-30.11'!T40</f>
        <v>0</v>
      </c>
      <c r="U40" s="49">
        <f t="shared" si="39"/>
        <v>0</v>
      </c>
      <c r="V40" s="52">
        <f t="shared" si="40"/>
        <v>0</v>
      </c>
      <c r="W40" s="48">
        <f t="shared" si="41"/>
        <v>0</v>
      </c>
      <c r="X40" s="48">
        <f>'Юнит 01-02.11'!X38+'Юнит 03-09.11'!X40+'Юнит 10-16.11'!X40+'Юнит 17-23.11'!X40+'Юнит 24-30.11'!X40</f>
        <v>0</v>
      </c>
      <c r="Y40" s="54">
        <f t="shared" si="42"/>
        <v>0</v>
      </c>
      <c r="Z40" s="48">
        <f>'Юнит 01-02.11'!Z38+'Юнит 03-09.11'!Z40+'Юнит 10-16.11'!Z40+'Юнит 17-23.11'!Z40+'Юнит 24-30.11'!Z40</f>
        <v>224</v>
      </c>
      <c r="AA40" s="48">
        <f>'Юнит 01-02.11'!AA38+'Юнит 03-09.11'!AA40+'Юнит 10-16.11'!AA40+'Юнит 17-23.11'!AA40+'Юнит 24-30.11'!AA40</f>
        <v>0</v>
      </c>
      <c r="AB40" s="64"/>
      <c r="AC40" s="51"/>
      <c r="AD40" s="55">
        <f>U40*1%</f>
        <v>0</v>
      </c>
      <c r="AE40" s="56">
        <f t="shared" si="28"/>
        <v>-224</v>
      </c>
      <c r="AF40" s="55"/>
      <c r="AG40" s="57">
        <f t="shared" si="29"/>
        <v>0</v>
      </c>
      <c r="AH40" s="58">
        <f t="shared" si="30"/>
        <v>597</v>
      </c>
      <c r="AI40" s="58">
        <f t="shared" si="31"/>
        <v>0</v>
      </c>
      <c r="AJ40" s="58">
        <f t="shared" si="32"/>
        <v>224</v>
      </c>
      <c r="AK40" s="58">
        <f t="shared" si="33"/>
        <v>0</v>
      </c>
      <c r="AL40" s="58">
        <f t="array" ref="AL40">_xlfn.IFS(R40=0,AE40,R40&lt;0,AE40/-R40,R40&gt;0,AE40/R40)</f>
        <v>-224</v>
      </c>
      <c r="AM40" s="59">
        <f t="shared" si="34"/>
        <v>0</v>
      </c>
      <c r="AN40" s="60">
        <f t="shared" si="35"/>
        <v>-0.37520938023450584</v>
      </c>
      <c r="AP40" s="62">
        <f t="shared" si="36"/>
        <v>-4032</v>
      </c>
    </row>
    <row r="41" spans="1:42">
      <c r="A41" s="39">
        <v>2774719553</v>
      </c>
      <c r="B41" s="40" t="s">
        <v>242</v>
      </c>
      <c r="C41" s="41">
        <f>'Юнит 24-30.11'!C41</f>
        <v>18</v>
      </c>
      <c r="D41" s="42"/>
      <c r="E41" s="42"/>
      <c r="F41" s="42"/>
      <c r="G41" s="43"/>
      <c r="H41" s="65">
        <v>597</v>
      </c>
      <c r="I41" s="63">
        <f t="shared" si="22"/>
        <v>10746</v>
      </c>
      <c r="J41" s="45"/>
      <c r="K41" s="48">
        <f>'Юнит 24-30.11'!K41+'Юнит 17-23.11'!K41+'Юнит 10-16.11'!K41+'Юнит 03-09.11'!K41+'Юнит 01-02.11'!K39</f>
        <v>3</v>
      </c>
      <c r="L41" s="45"/>
      <c r="M41" s="45"/>
      <c r="N41" s="46">
        <f t="shared" si="37"/>
        <v>0.1</v>
      </c>
      <c r="O41" s="47">
        <f t="shared" si="38"/>
        <v>0</v>
      </c>
      <c r="P41" s="48">
        <f>'Юнит 01-02.11'!P39+'Юнит 03-09.11'!P41+'Юнит 10-16.11'!P41+'Юнит 17-23.11'!P41+'Юнит 24-30.11'!P41</f>
        <v>1</v>
      </c>
      <c r="Q41" s="48">
        <f>'Юнит 01-02.11'!Q39+'Юнит 03-09.11'!Q41+'Юнит 10-16.11'!Q41+'Юнит 17-23.11'!Q41+'Юнит 24-30.11'!Q41</f>
        <v>1</v>
      </c>
      <c r="R41" s="49">
        <f t="shared" si="43"/>
        <v>0</v>
      </c>
      <c r="S41" s="48">
        <f>'Юнит 01-02.11'!S39+'Юнит 03-09.11'!S41+'Юнит 10-16.11'!S41+'Юнит 17-23.11'!S41+'Юнит 24-30.11'!S41</f>
        <v>4549</v>
      </c>
      <c r="T41" s="48">
        <f>'Юнит 01-02.11'!T39+'Юнит 03-09.11'!T41+'Юнит 10-16.11'!T41+'Юнит 17-23.11'!T41+'Юнит 24-30.11'!T41</f>
        <v>-4549</v>
      </c>
      <c r="U41" s="49">
        <f t="shared" si="39"/>
        <v>0</v>
      </c>
      <c r="V41" s="52">
        <f t="shared" si="40"/>
        <v>0</v>
      </c>
      <c r="W41" s="48">
        <f t="shared" si="41"/>
        <v>0</v>
      </c>
      <c r="X41" s="48">
        <f>'Юнит 01-02.11'!X39+'Юнит 03-09.11'!X41+'Юнит 10-16.11'!X41+'Юнит 17-23.11'!X41+'Юнит 24-30.11'!X41</f>
        <v>0</v>
      </c>
      <c r="Y41" s="54">
        <f t="shared" si="42"/>
        <v>0</v>
      </c>
      <c r="Z41" s="48">
        <f>'Юнит 01-02.11'!Z39+'Юнит 03-09.11'!Z41+'Юнит 10-16.11'!Z41+'Юнит 17-23.11'!Z41+'Юнит 24-30.11'!Z41</f>
        <v>224</v>
      </c>
      <c r="AA41" s="48">
        <f>'Юнит 01-02.11'!AA39+'Юнит 03-09.11'!AA41+'Юнит 10-16.11'!AA41+'Юнит 17-23.11'!AA41+'Юнит 24-30.11'!AA41</f>
        <v>0</v>
      </c>
      <c r="AB41" s="64"/>
      <c r="AC41" s="51"/>
      <c r="AD41" s="55">
        <f>U41*1%</f>
        <v>0</v>
      </c>
      <c r="AE41" s="56">
        <f t="shared" si="28"/>
        <v>-224</v>
      </c>
      <c r="AF41" s="55"/>
      <c r="AG41" s="57">
        <f t="shared" si="29"/>
        <v>0</v>
      </c>
      <c r="AH41" s="58">
        <f t="shared" si="30"/>
        <v>597</v>
      </c>
      <c r="AI41" s="58">
        <f t="shared" si="31"/>
        <v>0</v>
      </c>
      <c r="AJ41" s="58">
        <f t="shared" si="32"/>
        <v>224</v>
      </c>
      <c r="AK41" s="58">
        <f t="shared" si="33"/>
        <v>0</v>
      </c>
      <c r="AL41" s="58">
        <f t="array" ref="AL41">_xlfn.IFS(R41=0,AE41,R41&lt;0,AE41/-R41,R41&gt;0,AE41/R41)</f>
        <v>-224</v>
      </c>
      <c r="AM41" s="59">
        <f t="shared" si="34"/>
        <v>0</v>
      </c>
      <c r="AN41" s="60">
        <f t="shared" si="35"/>
        <v>-0.37520938023450584</v>
      </c>
      <c r="AP41" s="62">
        <f t="shared" si="36"/>
        <v>-4032</v>
      </c>
    </row>
    <row r="42" spans="1:42">
      <c r="A42" s="39">
        <v>2774710913</v>
      </c>
      <c r="B42" s="40" t="s">
        <v>243</v>
      </c>
      <c r="C42" s="41">
        <f>'Юнит 24-30.11'!C42</f>
        <v>18</v>
      </c>
      <c r="D42" s="42"/>
      <c r="E42" s="42"/>
      <c r="F42" s="42"/>
      <c r="G42" s="43"/>
      <c r="H42" s="65">
        <v>642</v>
      </c>
      <c r="I42" s="63">
        <f t="shared" si="22"/>
        <v>11556</v>
      </c>
      <c r="J42" s="45"/>
      <c r="K42" s="48">
        <f>'Юнит 24-30.11'!K42+'Юнит 17-23.11'!K42+'Юнит 10-16.11'!K42+'Юнит 03-09.11'!K42+'Юнит 01-02.11'!K40</f>
        <v>2</v>
      </c>
      <c r="L42" s="45"/>
      <c r="M42" s="45"/>
      <c r="N42" s="46">
        <f t="shared" si="37"/>
        <v>6.6666666666666666E-2</v>
      </c>
      <c r="O42" s="47">
        <f t="shared" si="38"/>
        <v>0</v>
      </c>
      <c r="P42" s="48">
        <f>'Юнит 01-02.11'!P40+'Юнит 03-09.11'!P42+'Юнит 10-16.11'!P42+'Юнит 17-23.11'!P42+'Юнит 24-30.11'!P42</f>
        <v>0</v>
      </c>
      <c r="Q42" s="48">
        <f>'Юнит 01-02.11'!Q40+'Юнит 03-09.11'!Q42+'Юнит 10-16.11'!Q42+'Юнит 17-23.11'!Q42+'Юнит 24-30.11'!Q42</f>
        <v>0</v>
      </c>
      <c r="R42" s="49">
        <f t="shared" si="43"/>
        <v>0</v>
      </c>
      <c r="S42" s="48">
        <f>'Юнит 01-02.11'!S40+'Юнит 03-09.11'!S42+'Юнит 10-16.11'!S42+'Юнит 17-23.11'!S42+'Юнит 24-30.11'!S42</f>
        <v>0</v>
      </c>
      <c r="T42" s="48">
        <f>'Юнит 01-02.11'!T40+'Юнит 03-09.11'!T42+'Юнит 10-16.11'!T42+'Юнит 17-23.11'!T42+'Юнит 24-30.11'!T42</f>
        <v>0</v>
      </c>
      <c r="U42" s="49">
        <f t="shared" si="39"/>
        <v>0</v>
      </c>
      <c r="V42" s="52">
        <f t="shared" si="40"/>
        <v>0</v>
      </c>
      <c r="W42" s="48">
        <f t="shared" si="41"/>
        <v>0</v>
      </c>
      <c r="X42" s="48">
        <f>'Юнит 01-02.11'!X40+'Юнит 03-09.11'!X42+'Юнит 10-16.11'!X42+'Юнит 17-23.11'!X42+'Юнит 24-30.11'!X42</f>
        <v>0</v>
      </c>
      <c r="Y42" s="54">
        <f t="shared" si="42"/>
        <v>0</v>
      </c>
      <c r="Z42" s="48">
        <f>'Юнит 01-02.11'!Z40+'Юнит 03-09.11'!Z42+'Юнит 10-16.11'!Z42+'Юнит 17-23.11'!Z42+'Юнит 24-30.11'!Z42</f>
        <v>112</v>
      </c>
      <c r="AA42" s="48">
        <f>'Юнит 01-02.11'!AA40+'Юнит 03-09.11'!AA42+'Юнит 10-16.11'!AA42+'Юнит 17-23.11'!AA42+'Юнит 24-30.11'!AA42</f>
        <v>864.42566599999998</v>
      </c>
      <c r="AB42" s="64"/>
      <c r="AC42" s="51"/>
      <c r="AD42" s="55">
        <f>U42*1%</f>
        <v>0</v>
      </c>
      <c r="AE42" s="56">
        <f t="shared" si="28"/>
        <v>-976.42566599999998</v>
      </c>
      <c r="AF42" s="55"/>
      <c r="AG42" s="57">
        <f t="shared" si="29"/>
        <v>0</v>
      </c>
      <c r="AH42" s="58">
        <f t="shared" si="30"/>
        <v>642</v>
      </c>
      <c r="AI42" s="58">
        <f t="shared" si="31"/>
        <v>0</v>
      </c>
      <c r="AJ42" s="58">
        <f t="shared" si="32"/>
        <v>112</v>
      </c>
      <c r="AK42" s="58">
        <f t="shared" si="33"/>
        <v>0</v>
      </c>
      <c r="AL42" s="58">
        <f t="array" ref="AL42">_xlfn.IFS(R42=0,AE42,R42&lt;0,AE42/-R42,R42&gt;0,AE42/R42)</f>
        <v>-976.42566599999998</v>
      </c>
      <c r="AM42" s="59">
        <f t="shared" si="34"/>
        <v>0</v>
      </c>
      <c r="AN42" s="60">
        <f t="shared" si="35"/>
        <v>-1.5209122523364487</v>
      </c>
      <c r="AP42" s="62">
        <f t="shared" si="36"/>
        <v>-17575.661988</v>
      </c>
    </row>
    <row r="43" spans="1:42">
      <c r="A43" s="39">
        <v>2774721668</v>
      </c>
      <c r="B43" s="40" t="s">
        <v>771</v>
      </c>
      <c r="C43" s="41">
        <f>'Юнит 24-30.11'!C43</f>
        <v>19</v>
      </c>
      <c r="D43" s="42"/>
      <c r="E43" s="42"/>
      <c r="F43" s="42"/>
      <c r="G43" s="43"/>
      <c r="H43" s="65">
        <v>642</v>
      </c>
      <c r="I43" s="63">
        <f t="shared" si="22"/>
        <v>12198</v>
      </c>
      <c r="J43" s="45"/>
      <c r="K43" s="48">
        <f>'Юнит 24-30.11'!K43+'Юнит 17-23.11'!K43+'Юнит 10-16.11'!K43+'Юнит 03-09.11'!K43+'Юнит 01-02.11'!K41</f>
        <v>0</v>
      </c>
      <c r="L43" s="45"/>
      <c r="M43" s="45"/>
      <c r="N43" s="46">
        <f t="shared" si="37"/>
        <v>0</v>
      </c>
      <c r="O43" s="47">
        <f t="shared" si="38"/>
        <v>0</v>
      </c>
      <c r="P43" s="48">
        <f>'Юнит 01-02.11'!P41+'Юнит 03-09.11'!P43+'Юнит 10-16.11'!P43+'Юнит 17-23.11'!P43+'Юнит 24-30.11'!P43</f>
        <v>0</v>
      </c>
      <c r="Q43" s="48">
        <f>'Юнит 01-02.11'!Q41+'Юнит 03-09.11'!Q43+'Юнит 10-16.11'!Q43+'Юнит 17-23.11'!Q43+'Юнит 24-30.11'!Q43</f>
        <v>0</v>
      </c>
      <c r="R43" s="49">
        <f t="shared" si="43"/>
        <v>0</v>
      </c>
      <c r="S43" s="48">
        <f>'Юнит 01-02.11'!S41+'Юнит 03-09.11'!S43+'Юнит 10-16.11'!S43+'Юнит 17-23.11'!S43+'Юнит 24-30.11'!S43</f>
        <v>0</v>
      </c>
      <c r="T43" s="48">
        <f>'Юнит 01-02.11'!T41+'Юнит 03-09.11'!T43+'Юнит 10-16.11'!T43+'Юнит 17-23.11'!T43+'Юнит 24-30.11'!T43</f>
        <v>0</v>
      </c>
      <c r="U43" s="49">
        <f t="shared" si="39"/>
        <v>0</v>
      </c>
      <c r="V43" s="52">
        <f t="shared" si="40"/>
        <v>0</v>
      </c>
      <c r="W43" s="48">
        <f t="shared" si="41"/>
        <v>0</v>
      </c>
      <c r="X43" s="48">
        <f>'Юнит 01-02.11'!X41+'Юнит 03-09.11'!X43+'Юнит 10-16.11'!X43+'Юнит 17-23.11'!X43+'Юнит 24-30.11'!X43</f>
        <v>0</v>
      </c>
      <c r="Y43" s="54">
        <f t="shared" si="42"/>
        <v>0</v>
      </c>
      <c r="Z43" s="48">
        <f>'Юнит 01-02.11'!Z41+'Юнит 03-09.11'!Z43+'Юнит 10-16.11'!Z43+'Юнит 17-23.11'!Z43+'Юнит 24-30.11'!Z43</f>
        <v>112</v>
      </c>
      <c r="AA43" s="48">
        <f>'Юнит 01-02.11'!AA41+'Юнит 03-09.11'!AA43+'Юнит 10-16.11'!AA43+'Юнит 17-23.11'!AA43+'Юнит 24-30.11'!AA43</f>
        <v>0</v>
      </c>
      <c r="AB43" s="64"/>
      <c r="AC43" s="51"/>
      <c r="AD43" s="55">
        <f>U43*1%</f>
        <v>0</v>
      </c>
      <c r="AE43" s="56">
        <f t="shared" si="28"/>
        <v>-112</v>
      </c>
      <c r="AF43" s="55"/>
      <c r="AG43" s="57">
        <f t="shared" si="29"/>
        <v>0</v>
      </c>
      <c r="AH43" s="58">
        <f t="shared" si="30"/>
        <v>642</v>
      </c>
      <c r="AI43" s="58">
        <f t="shared" si="31"/>
        <v>0</v>
      </c>
      <c r="AJ43" s="58">
        <f t="shared" si="32"/>
        <v>112</v>
      </c>
      <c r="AK43" s="58">
        <f t="shared" si="33"/>
        <v>0</v>
      </c>
      <c r="AL43" s="58">
        <f t="array" ref="AL43">_xlfn.IFS(R43=0,AE43,R43&lt;0,AE43/-R43,R43&gt;0,AE43/R43)</f>
        <v>-112</v>
      </c>
      <c r="AM43" s="59">
        <f t="shared" si="34"/>
        <v>0</v>
      </c>
      <c r="AN43" s="60">
        <f t="shared" si="35"/>
        <v>-0.17445482866043613</v>
      </c>
      <c r="AP43" s="62">
        <f t="shared" si="36"/>
        <v>-2128</v>
      </c>
    </row>
    <row r="44" spans="1:42">
      <c r="A44" s="39">
        <v>2774722656</v>
      </c>
      <c r="B44" s="40" t="s">
        <v>51</v>
      </c>
      <c r="C44" s="41">
        <f>'Юнит 24-30.11'!C44</f>
        <v>7</v>
      </c>
      <c r="D44" s="42"/>
      <c r="E44" s="42"/>
      <c r="F44" s="42"/>
      <c r="G44" s="43"/>
      <c r="H44" s="65">
        <v>687</v>
      </c>
      <c r="I44" s="63">
        <f t="shared" si="22"/>
        <v>4809</v>
      </c>
      <c r="J44" s="45"/>
      <c r="K44" s="48">
        <f>'Юнит 24-30.11'!K44+'Юнит 17-23.11'!K44+'Юнит 10-16.11'!K44+'Юнит 03-09.11'!K44+'Юнит 01-02.11'!K42</f>
        <v>7</v>
      </c>
      <c r="L44" s="45"/>
      <c r="M44" s="45"/>
      <c r="N44" s="46">
        <f t="shared" si="37"/>
        <v>0.23333333333333334</v>
      </c>
      <c r="O44" s="47">
        <f t="shared" si="38"/>
        <v>3.3333333333333333E-2</v>
      </c>
      <c r="P44" s="48">
        <f>'Юнит 01-02.11'!P42+'Юнит 03-09.11'!P44+'Юнит 10-16.11'!P44+'Юнит 17-23.11'!P44+'Юнит 24-30.11'!P44</f>
        <v>1</v>
      </c>
      <c r="Q44" s="48">
        <f>'Юнит 01-02.11'!Q42+'Юнит 03-09.11'!Q44+'Юнит 10-16.11'!Q44+'Юнит 17-23.11'!Q44+'Юнит 24-30.11'!Q44</f>
        <v>0</v>
      </c>
      <c r="R44" s="49">
        <f t="shared" si="43"/>
        <v>1</v>
      </c>
      <c r="S44" s="48">
        <f>'Юнит 01-02.11'!S42+'Юнит 03-09.11'!S44+'Юнит 10-16.11'!S44+'Юнит 17-23.11'!S44+'Юнит 24-30.11'!S44</f>
        <v>5500</v>
      </c>
      <c r="T44" s="48">
        <f>'Юнит 01-02.11'!T42+'Юнит 03-09.11'!T44+'Юнит 10-16.11'!T44+'Юнит 17-23.11'!T44+'Юнит 24-30.11'!T44</f>
        <v>0</v>
      </c>
      <c r="U44" s="49">
        <f t="shared" si="39"/>
        <v>5500</v>
      </c>
      <c r="V44" s="52">
        <f t="shared" si="40"/>
        <v>8.69647713617102E-2</v>
      </c>
      <c r="W44" s="48">
        <f t="shared" si="41"/>
        <v>687</v>
      </c>
      <c r="X44" s="48">
        <f>'Юнит 01-02.11'!X42+'Юнит 03-09.11'!X44+'Юнит 10-16.11'!X44+'Юнит 17-23.11'!X44+'Юнит 24-30.11'!X44</f>
        <v>2365</v>
      </c>
      <c r="Y44" s="54">
        <f t="shared" si="42"/>
        <v>0.43</v>
      </c>
      <c r="Z44" s="48">
        <f>'Юнит 01-02.11'!Z42+'Юнит 03-09.11'!Z44+'Юнит 10-16.11'!Z44+'Юнит 17-23.11'!Z44+'Юнит 24-30.11'!Z44</f>
        <v>840</v>
      </c>
      <c r="AA44" s="48">
        <f>'Юнит 01-02.11'!AA42+'Юнит 03-09.11'!AA44+'Юнит 10-16.11'!AA44+'Юнит 17-23.11'!AA44+'Юнит 24-30.11'!AA44</f>
        <v>1810.338401</v>
      </c>
      <c r="AB44" s="64"/>
      <c r="AC44" s="51"/>
      <c r="AD44" s="55">
        <f>U44*1%</f>
        <v>55</v>
      </c>
      <c r="AE44" s="56">
        <f t="shared" si="28"/>
        <v>-257.33840099999998</v>
      </c>
      <c r="AF44" s="55"/>
      <c r="AG44" s="57">
        <f t="shared" si="29"/>
        <v>5500</v>
      </c>
      <c r="AH44" s="58">
        <f t="shared" si="30"/>
        <v>687</v>
      </c>
      <c r="AI44" s="58">
        <f t="shared" si="31"/>
        <v>2365</v>
      </c>
      <c r="AJ44" s="58">
        <f t="shared" si="32"/>
        <v>840</v>
      </c>
      <c r="AK44" s="58">
        <f t="shared" si="33"/>
        <v>1810.338401</v>
      </c>
      <c r="AL44" s="58">
        <f t="array" ref="AL44">_xlfn.IFS(R44=0,AE44,R44&lt;0,AE44/-R44,R44&gt;0,AE44/R44)</f>
        <v>-257.33840099999998</v>
      </c>
      <c r="AM44" s="59">
        <f t="shared" si="34"/>
        <v>-4.6788800181818177E-2</v>
      </c>
      <c r="AN44" s="60">
        <f t="shared" si="35"/>
        <v>-0.37458282532751086</v>
      </c>
      <c r="AP44" s="62">
        <f t="shared" si="36"/>
        <v>-1801.3688069999998</v>
      </c>
    </row>
    <row r="45" spans="1:42">
      <c r="A45" s="39">
        <v>2774721190</v>
      </c>
      <c r="B45" s="40" t="s">
        <v>70</v>
      </c>
      <c r="C45" s="41">
        <f>'Юнит 24-30.11'!C45</f>
        <v>4</v>
      </c>
      <c r="D45" s="42"/>
      <c r="E45" s="42"/>
      <c r="F45" s="42"/>
      <c r="G45" s="43"/>
      <c r="H45" s="65">
        <v>687</v>
      </c>
      <c r="I45" s="63">
        <f t="shared" si="22"/>
        <v>2748</v>
      </c>
      <c r="J45" s="45"/>
      <c r="K45" s="48">
        <f>'Юнит 24-30.11'!K45+'Юнит 17-23.11'!K45+'Юнит 10-16.11'!K45+'Юнит 03-09.11'!K45+'Юнит 01-02.11'!K43</f>
        <v>11</v>
      </c>
      <c r="L45" s="45"/>
      <c r="M45" s="45"/>
      <c r="N45" s="46">
        <f t="shared" si="37"/>
        <v>0.36666666666666664</v>
      </c>
      <c r="O45" s="47">
        <f t="shared" si="38"/>
        <v>6.6666666666666666E-2</v>
      </c>
      <c r="P45" s="48">
        <f>'Юнит 01-02.11'!P43+'Юнит 03-09.11'!P45+'Юнит 10-16.11'!P45+'Юнит 17-23.11'!P45+'Юнит 24-30.11'!P45</f>
        <v>3</v>
      </c>
      <c r="Q45" s="48">
        <f>'Юнит 01-02.11'!Q43+'Юнит 03-09.11'!Q45+'Юнит 10-16.11'!Q45+'Юнит 17-23.11'!Q45+'Юнит 24-30.11'!Q45</f>
        <v>1</v>
      </c>
      <c r="R45" s="49">
        <f t="shared" si="43"/>
        <v>2</v>
      </c>
      <c r="S45" s="48">
        <f>'Юнит 01-02.11'!S43+'Юнит 03-09.11'!S45+'Юнит 10-16.11'!S45+'Юнит 17-23.11'!S45+'Юнит 24-30.11'!S45</f>
        <v>16500</v>
      </c>
      <c r="T45" s="48">
        <f>'Юнит 01-02.11'!T43+'Юнит 03-09.11'!T45+'Юнит 10-16.11'!T45+'Юнит 17-23.11'!T45+'Юнит 24-30.11'!T45</f>
        <v>-5500</v>
      </c>
      <c r="U45" s="49">
        <f t="shared" si="39"/>
        <v>11000</v>
      </c>
      <c r="V45" s="52">
        <f t="shared" si="40"/>
        <v>0.1739295427234204</v>
      </c>
      <c r="W45" s="48">
        <f t="shared" si="41"/>
        <v>1374</v>
      </c>
      <c r="X45" s="48">
        <f>'Юнит 01-02.11'!X43+'Юнит 03-09.11'!X45+'Юнит 10-16.11'!X45+'Юнит 17-23.11'!X45+'Юнит 24-30.11'!X45</f>
        <v>4180</v>
      </c>
      <c r="Y45" s="54">
        <f t="shared" si="42"/>
        <v>0.38</v>
      </c>
      <c r="Z45" s="48">
        <f>'Юнит 01-02.11'!Z43+'Юнит 03-09.11'!Z45+'Юнит 10-16.11'!Z45+'Юнит 17-23.11'!Z45+'Юнит 24-30.11'!Z45</f>
        <v>1120</v>
      </c>
      <c r="AA45" s="48">
        <f>'Юнит 01-02.11'!AA43+'Юнит 03-09.11'!AA45+'Юнит 10-16.11'!AA45+'Юнит 17-23.11'!AA45+'Юнит 24-30.11'!AA45</f>
        <v>6267.6038160000007</v>
      </c>
      <c r="AB45" s="64"/>
      <c r="AC45" s="51"/>
      <c r="AD45" s="55">
        <f>U45*1%</f>
        <v>110</v>
      </c>
      <c r="AE45" s="56">
        <f t="shared" si="28"/>
        <v>-2051.6038160000007</v>
      </c>
      <c r="AF45" s="55"/>
      <c r="AG45" s="57">
        <f t="shared" si="29"/>
        <v>5500</v>
      </c>
      <c r="AH45" s="58">
        <f t="shared" si="30"/>
        <v>687</v>
      </c>
      <c r="AI45" s="58">
        <f t="shared" si="31"/>
        <v>2090</v>
      </c>
      <c r="AJ45" s="58">
        <f t="shared" si="32"/>
        <v>373.33333333333331</v>
      </c>
      <c r="AK45" s="58">
        <f t="shared" si="33"/>
        <v>2089.2012720000002</v>
      </c>
      <c r="AL45" s="58">
        <f t="array" ref="AL45">_xlfn.IFS(R45=0,AE45,R45&lt;0,AE45/-R45,R45&gt;0,AE45/R45)</f>
        <v>-1025.8019080000004</v>
      </c>
      <c r="AM45" s="59">
        <f t="shared" si="34"/>
        <v>-0.18650943781818188</v>
      </c>
      <c r="AN45" s="60">
        <f t="shared" si="35"/>
        <v>-1.4931614381368272</v>
      </c>
      <c r="AP45" s="62">
        <f t="shared" si="36"/>
        <v>-4103.2076320000015</v>
      </c>
    </row>
    <row r="46" spans="1:42">
      <c r="A46" s="39">
        <v>2774718796</v>
      </c>
      <c r="B46" s="40" t="s">
        <v>66</v>
      </c>
      <c r="C46" s="41">
        <f>'Юнит 24-30.11'!C46</f>
        <v>6</v>
      </c>
      <c r="D46" s="42"/>
      <c r="E46" s="42"/>
      <c r="F46" s="42"/>
      <c r="G46" s="43"/>
      <c r="H46" s="65">
        <v>552</v>
      </c>
      <c r="I46" s="63">
        <f t="shared" si="22"/>
        <v>3312</v>
      </c>
      <c r="J46" s="45"/>
      <c r="K46" s="48">
        <f>'Юнит 24-30.11'!K46+'Юнит 17-23.11'!K46+'Юнит 10-16.11'!K46+'Юнит 03-09.11'!K46+'Юнит 01-02.11'!K44</f>
        <v>0</v>
      </c>
      <c r="L46" s="45"/>
      <c r="M46" s="45"/>
      <c r="N46" s="46">
        <f t="shared" si="37"/>
        <v>0</v>
      </c>
      <c r="O46" s="47">
        <f t="shared" si="38"/>
        <v>0</v>
      </c>
      <c r="P46" s="48">
        <f>'Юнит 01-02.11'!P44+'Юнит 03-09.11'!P46+'Юнит 10-16.11'!P46+'Юнит 17-23.11'!P46+'Юнит 24-30.11'!P46</f>
        <v>0</v>
      </c>
      <c r="Q46" s="48">
        <f>'Юнит 01-02.11'!Q44+'Юнит 03-09.11'!Q46+'Юнит 10-16.11'!Q46+'Юнит 17-23.11'!Q46+'Юнит 24-30.11'!Q46</f>
        <v>0</v>
      </c>
      <c r="R46" s="49">
        <f t="shared" si="43"/>
        <v>0</v>
      </c>
      <c r="S46" s="48">
        <f>'Юнит 01-02.11'!S44+'Юнит 03-09.11'!S46+'Юнит 10-16.11'!S46+'Юнит 17-23.11'!S46+'Юнит 24-30.11'!S46</f>
        <v>0</v>
      </c>
      <c r="T46" s="48">
        <f>'Юнит 01-02.11'!T44+'Юнит 03-09.11'!T46+'Юнит 10-16.11'!T46+'Юнит 17-23.11'!T46+'Юнит 24-30.11'!T46</f>
        <v>0</v>
      </c>
      <c r="U46" s="49">
        <f t="shared" si="39"/>
        <v>0</v>
      </c>
      <c r="V46" s="52">
        <f t="shared" si="40"/>
        <v>0</v>
      </c>
      <c r="W46" s="48">
        <f t="shared" si="41"/>
        <v>0</v>
      </c>
      <c r="X46" s="48">
        <f>'Юнит 01-02.11'!X44+'Юнит 03-09.11'!X46+'Юнит 10-16.11'!X46+'Юнит 17-23.11'!X46+'Юнит 24-30.11'!X46</f>
        <v>0</v>
      </c>
      <c r="Y46" s="54">
        <f t="shared" si="42"/>
        <v>0</v>
      </c>
      <c r="Z46" s="48">
        <f>'Юнит 01-02.11'!Z44+'Юнит 03-09.11'!Z46+'Юнит 10-16.11'!Z46+'Юнит 17-23.11'!Z46+'Юнит 24-30.11'!Z46</f>
        <v>0</v>
      </c>
      <c r="AA46" s="48">
        <f>'Юнит 01-02.11'!AA44+'Юнит 03-09.11'!AA46+'Юнит 10-16.11'!AA46+'Юнит 17-23.11'!AA46+'Юнит 24-30.11'!AA46</f>
        <v>0</v>
      </c>
      <c r="AB46" s="64"/>
      <c r="AC46" s="51"/>
      <c r="AD46" s="55">
        <f>U46*1%</f>
        <v>0</v>
      </c>
      <c r="AE46" s="56">
        <f t="shared" si="28"/>
        <v>0</v>
      </c>
      <c r="AF46" s="55"/>
      <c r="AG46" s="57">
        <f t="shared" si="29"/>
        <v>0</v>
      </c>
      <c r="AH46" s="58">
        <f t="shared" si="30"/>
        <v>552</v>
      </c>
      <c r="AI46" s="58">
        <f t="shared" si="31"/>
        <v>0</v>
      </c>
      <c r="AJ46" s="58">
        <f t="shared" si="32"/>
        <v>0</v>
      </c>
      <c r="AK46" s="58">
        <f t="shared" si="33"/>
        <v>0</v>
      </c>
      <c r="AL46" s="58">
        <f t="array" ref="AL46">_xlfn.IFS(R46=0,AE46,R46&lt;0,AE46/-R46,R46&gt;0,AE46/R46)</f>
        <v>0</v>
      </c>
      <c r="AM46" s="59">
        <f t="shared" si="34"/>
        <v>0</v>
      </c>
      <c r="AN46" s="60">
        <f t="shared" si="35"/>
        <v>0</v>
      </c>
      <c r="AP46" s="62">
        <f t="shared" si="36"/>
        <v>0</v>
      </c>
    </row>
    <row r="47" spans="1:42">
      <c r="A47" s="39">
        <v>2774719500</v>
      </c>
      <c r="B47" s="40" t="s">
        <v>245</v>
      </c>
      <c r="C47" s="41">
        <f>'Юнит 24-30.11'!C47</f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8">
        <f>'Юнит 24-30.11'!K47+'Юнит 17-23.11'!K47+'Юнит 10-16.11'!K47+'Юнит 03-09.11'!K47+'Юнит 01-02.11'!K45</f>
        <v>0</v>
      </c>
      <c r="L47" s="45"/>
      <c r="M47" s="45"/>
      <c r="N47" s="46">
        <f t="shared" si="37"/>
        <v>0</v>
      </c>
      <c r="O47" s="47">
        <f t="shared" si="38"/>
        <v>0</v>
      </c>
      <c r="P47" s="48">
        <f>'Юнит 01-02.11'!P45+'Юнит 03-09.11'!P47+'Юнит 10-16.11'!P47+'Юнит 17-23.11'!P47+'Юнит 24-30.11'!P47</f>
        <v>0</v>
      </c>
      <c r="Q47" s="48">
        <f>'Юнит 01-02.11'!Q45+'Юнит 03-09.11'!Q47+'Юнит 10-16.11'!Q47+'Юнит 17-23.11'!Q47+'Юнит 24-30.11'!Q47</f>
        <v>0</v>
      </c>
      <c r="R47" s="49">
        <f t="shared" si="43"/>
        <v>0</v>
      </c>
      <c r="S47" s="48">
        <f>'Юнит 01-02.11'!S45+'Юнит 03-09.11'!S47+'Юнит 10-16.11'!S47+'Юнит 17-23.11'!S47+'Юнит 24-30.11'!S47</f>
        <v>0</v>
      </c>
      <c r="T47" s="48">
        <f>'Юнит 01-02.11'!T45+'Юнит 03-09.11'!T47+'Юнит 10-16.11'!T47+'Юнит 17-23.11'!T47+'Юнит 24-30.11'!T47</f>
        <v>0</v>
      </c>
      <c r="U47" s="49">
        <f t="shared" si="39"/>
        <v>0</v>
      </c>
      <c r="V47" s="52">
        <f t="shared" si="40"/>
        <v>0</v>
      </c>
      <c r="W47" s="48">
        <f t="shared" si="41"/>
        <v>0</v>
      </c>
      <c r="X47" s="48">
        <f>'Юнит 01-02.11'!X45+'Юнит 03-09.11'!X47+'Юнит 10-16.11'!X47+'Юнит 17-23.11'!X47+'Юнит 24-30.11'!X47</f>
        <v>0</v>
      </c>
      <c r="Y47" s="54">
        <f t="shared" si="42"/>
        <v>0</v>
      </c>
      <c r="Z47" s="48">
        <f>'Юнит 01-02.11'!Z45+'Юнит 03-09.11'!Z47+'Юнит 10-16.11'!Z47+'Юнит 17-23.11'!Z47+'Юнит 24-30.11'!Z47</f>
        <v>0</v>
      </c>
      <c r="AA47" s="48">
        <f>'Юнит 01-02.11'!AA45+'Юнит 03-09.11'!AA47+'Юнит 10-16.11'!AA47+'Юнит 17-23.11'!AA47+'Юнит 24-30.11'!AA47</f>
        <v>1150</v>
      </c>
      <c r="AB47" s="64"/>
      <c r="AC47" s="51"/>
      <c r="AD47" s="55">
        <f>U47*1%</f>
        <v>0</v>
      </c>
      <c r="AE47" s="56">
        <f t="shared" si="28"/>
        <v>-1150</v>
      </c>
      <c r="AF47" s="55"/>
      <c r="AG47" s="57">
        <f t="shared" si="29"/>
        <v>0</v>
      </c>
      <c r="AH47" s="58">
        <f t="shared" si="30"/>
        <v>552</v>
      </c>
      <c r="AI47" s="58">
        <f t="shared" si="31"/>
        <v>0</v>
      </c>
      <c r="AJ47" s="58">
        <f t="shared" si="32"/>
        <v>0</v>
      </c>
      <c r="AK47" s="58">
        <f t="shared" si="33"/>
        <v>0</v>
      </c>
      <c r="AL47" s="58">
        <f t="array" ref="AL47">_xlfn.IFS(R47=0,AE47,R47&lt;0,AE47/-R47,R47&gt;0,AE47/R47)</f>
        <v>-1150</v>
      </c>
      <c r="AM47" s="59">
        <f t="shared" si="34"/>
        <v>0</v>
      </c>
      <c r="AN47" s="60">
        <f t="shared" si="35"/>
        <v>-2.0833333333333335</v>
      </c>
      <c r="AP47" s="62">
        <f t="shared" si="36"/>
        <v>-21850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1"/>
      <c r="Q48" s="41"/>
      <c r="R48" s="49"/>
      <c r="S48" s="41"/>
      <c r="T48" s="41"/>
      <c r="U48" s="49"/>
      <c r="V48" s="52"/>
      <c r="W48" s="41"/>
      <c r="X48" s="41"/>
      <c r="Y48" s="54"/>
      <c r="Z48" s="41"/>
      <c r="AA48" s="41"/>
      <c r="AB48" s="64"/>
      <c r="AC48" s="51"/>
      <c r="AD48" s="55"/>
      <c r="AE48" s="56"/>
      <c r="AF48" s="55"/>
      <c r="AG48" s="258">
        <f t="shared" ref="AG48:AN48" si="44">AVERAGEIF(AG28:AG47,"&lt;&gt;0",AG28:AG47)</f>
        <v>4838.8571428571431</v>
      </c>
      <c r="AH48" s="259">
        <f t="shared" si="44"/>
        <v>617.25</v>
      </c>
      <c r="AI48" s="259">
        <f t="shared" si="44"/>
        <v>1973.2228571428573</v>
      </c>
      <c r="AJ48" s="259">
        <f t="shared" si="44"/>
        <v>306.28476190476192</v>
      </c>
      <c r="AK48" s="259">
        <f t="shared" si="44"/>
        <v>1743.1902501999998</v>
      </c>
      <c r="AL48" s="259">
        <f t="shared" si="44"/>
        <v>-428.88521807843136</v>
      </c>
      <c r="AM48" s="260">
        <f t="shared" si="44"/>
        <v>0.12220462175147186</v>
      </c>
      <c r="AN48" s="260">
        <f t="shared" si="44"/>
        <v>-0.69143276129611964</v>
      </c>
      <c r="AO48" s="240"/>
      <c r="AP48" s="241"/>
    </row>
    <row r="49" spans="1:42">
      <c r="A49" s="218" t="s">
        <v>306</v>
      </c>
      <c r="B49" s="219"/>
      <c r="C49" s="220">
        <f>SUM(C28:C47)</f>
        <v>302</v>
      </c>
      <c r="D49" s="221"/>
      <c r="E49" s="221"/>
      <c r="F49" s="221"/>
      <c r="G49" s="221"/>
      <c r="H49" s="222"/>
      <c r="I49" s="220">
        <f>SUM(I28:I47)</f>
        <v>184329</v>
      </c>
      <c r="J49" s="223"/>
      <c r="K49" s="220">
        <f>SUM(K28:K47)</f>
        <v>49</v>
      </c>
      <c r="L49" s="223"/>
      <c r="M49" s="223"/>
      <c r="N49" s="224"/>
      <c r="O49" s="225"/>
      <c r="P49" s="220">
        <f>SUM(P28:P47)</f>
        <v>19</v>
      </c>
      <c r="Q49" s="220">
        <f>SUM(Q28:Q47)</f>
        <v>6</v>
      </c>
      <c r="R49" s="250">
        <f t="shared" ref="R49:V49" si="45">SUM(R28:R47)</f>
        <v>13</v>
      </c>
      <c r="S49" s="220">
        <f>SUM(S28:S47)</f>
        <v>95793</v>
      </c>
      <c r="T49" s="220">
        <f>SUM(T28:T47)</f>
        <v>-32549</v>
      </c>
      <c r="U49" s="250">
        <f t="shared" si="45"/>
        <v>63244</v>
      </c>
      <c r="V49" s="253">
        <f t="shared" si="45"/>
        <v>1</v>
      </c>
      <c r="W49" s="220">
        <f>SUM(W28:W47)</f>
        <v>8451</v>
      </c>
      <c r="X49" s="220">
        <f>SUM(X28:X47)</f>
        <v>25987.72</v>
      </c>
      <c r="Y49" s="226">
        <f>IF(U49=0,0,X49/U49)</f>
        <v>0.4109120232749352</v>
      </c>
      <c r="Z49" s="220">
        <f>SUM(Z28:Z47)</f>
        <v>6939.62</v>
      </c>
      <c r="AA49" s="220">
        <f>SUM(AA28:AA47)</f>
        <v>27729.07043</v>
      </c>
      <c r="AB49" s="220">
        <f t="shared" ref="AB49:AE49" si="46">SUM(AB28:AB47)</f>
        <v>0</v>
      </c>
      <c r="AC49" s="220">
        <f t="shared" si="46"/>
        <v>0</v>
      </c>
      <c r="AD49" s="250">
        <f t="shared" si="46"/>
        <v>632.44000000000005</v>
      </c>
      <c r="AE49" s="220">
        <f t="shared" si="46"/>
        <v>-6495.8504300000004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-116723.63855733334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70"/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4442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728189.41</v>
      </c>
      <c r="J51" s="229">
        <f>J26+J49</f>
        <v>0</v>
      </c>
      <c r="K51" s="229">
        <f>K26+K49</f>
        <v>263</v>
      </c>
      <c r="L51" s="230"/>
      <c r="M51" s="230"/>
      <c r="N51" s="230"/>
      <c r="O51" s="230"/>
      <c r="P51" s="269">
        <f t="shared" ref="P51:X51" si="47">P26+P49</f>
        <v>128</v>
      </c>
      <c r="Q51" s="269">
        <f t="shared" ref="Q51" si="48">Q26+Q49</f>
        <v>13</v>
      </c>
      <c r="R51" s="252">
        <f t="shared" si="47"/>
        <v>115</v>
      </c>
      <c r="S51" s="269">
        <f t="shared" ref="S51:T51" si="49">S26+S49</f>
        <v>265540</v>
      </c>
      <c r="T51" s="269">
        <f t="shared" si="49"/>
        <v>-43045</v>
      </c>
      <c r="U51" s="252">
        <f t="shared" si="47"/>
        <v>222495</v>
      </c>
      <c r="V51" s="255">
        <f t="shared" si="47"/>
        <v>3.5180412371134016</v>
      </c>
      <c r="W51" s="269">
        <f t="shared" si="47"/>
        <v>23297.83</v>
      </c>
      <c r="X51" s="269">
        <f t="shared" si="47"/>
        <v>92779.72</v>
      </c>
      <c r="Y51" s="232">
        <f>X51/U51</f>
        <v>0.41699687633429966</v>
      </c>
      <c r="Z51" s="269">
        <f t="shared" ref="Z51" si="50">Z26+Z49</f>
        <v>22546.079999999998</v>
      </c>
      <c r="AA51" s="444">
        <f>'Юнит 01-02.11'!AA49+'Юнит 03-09.11'!AA51+'Юнит 10-16.11'!AA51+'Юнит 17-23.11'!AA51+'Юнит 24-30.11'!AA51</f>
        <v>105571.68</v>
      </c>
      <c r="AB51" s="74"/>
      <c r="AC51" s="74">
        <f>SUM(AC3:AC47)</f>
        <v>0</v>
      </c>
      <c r="AD51" s="229">
        <f>AD26+AD49</f>
        <v>2224.9499999999998</v>
      </c>
      <c r="AE51" s="233">
        <f>AE26+AE49</f>
        <v>-11821.254672999996</v>
      </c>
      <c r="AF51" s="76"/>
      <c r="AG51" s="234"/>
      <c r="AH51" s="235"/>
      <c r="AI51" s="235"/>
      <c r="AJ51" s="235"/>
      <c r="AK51" s="235">
        <f>AA52/P51</f>
        <v>730.21620838281251</v>
      </c>
      <c r="AL51" s="235"/>
      <c r="AM51" s="235"/>
      <c r="AN51" s="236"/>
      <c r="AP51" s="233">
        <f>SUM(AP3:AP47)</f>
        <v>-2880849.4627245627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93467.674673000001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0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728189.41</v>
      </c>
      <c r="J59" s="109">
        <f>I59/I51</f>
        <v>1</v>
      </c>
      <c r="K59" s="105">
        <f>AP51-K58-K60</f>
        <v>-2880849.4627245627</v>
      </c>
      <c r="L59" s="106">
        <f>K59/I59</f>
        <v>-3.9561814867982803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199" priority="40" operator="greaterThan">
      <formula>120</formula>
    </cfRule>
  </conditionalFormatting>
  <conditionalFormatting sqref="N50">
    <cfRule type="cellIs" dxfId="198" priority="39" operator="between">
      <formula>0.000001</formula>
      <formula>25</formula>
    </cfRule>
  </conditionalFormatting>
  <conditionalFormatting sqref="V1 V52:V55 V57:V1048576">
    <cfRule type="cellIs" dxfId="197" priority="41" operator="greaterThan">
      <formula>0.23</formula>
    </cfRule>
  </conditionalFormatting>
  <conditionalFormatting sqref="AM56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{E4CC90BD-8A4A-43A2-BD3A-28926CBDAE55}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{FE203529-07A1-4A5A-B3F4-5D670ADB8704}</x14:id>
        </ext>
      </extLst>
    </cfRule>
  </conditionalFormatting>
  <conditionalFormatting sqref="AE3:AE7 AE27:AE48 AE50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{76A789BA-F57E-4F9D-873C-4CCBEADB1CB6}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{F648F2BC-A751-49EC-93C2-D9818E16ECF4}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{23E70E37-73CD-4F1D-91C0-61086A69AF65}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{BC6AF5DF-4528-472C-82C7-F0BA50859D49}</x14:id>
        </ext>
      </extLst>
    </cfRule>
  </conditionalFormatting>
  <conditionalFormatting sqref="AE3:AE7 AE27:AE48 AE10:AE25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{51DC9FDD-BD48-4A87-BE13-9CE196D353BE}</x14:id>
        </ext>
      </extLst>
    </cfRule>
  </conditionalFormatting>
  <conditionalFormatting sqref="U27:V27 U48:V48 U25:V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{0F04E3E5-C3D7-4E31-B81D-ECB021AEED42}</x14:id>
        </ext>
      </extLst>
    </cfRule>
  </conditionalFormatting>
  <conditionalFormatting sqref="V27 V48 V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{13C0029C-D5B7-45BF-9108-786C4711EE9C}</x14:id>
        </ext>
      </extLst>
    </cfRule>
  </conditionalFormatting>
  <conditionalFormatting sqref="AP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{D2879B08-2A84-43CC-BE5C-9176C141AA1E}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{7F731A1F-43CA-44B6-9035-C5925A288DFA}</x14:id>
        </ext>
      </extLst>
    </cfRule>
  </conditionalFormatting>
  <conditionalFormatting sqref="P50">
    <cfRule type="cellIs" dxfId="196" priority="35" operator="greaterThan">
      <formula>120</formula>
    </cfRule>
  </conditionalFormatting>
  <conditionalFormatting sqref="R50">
    <cfRule type="cellIs" dxfId="195" priority="33" operator="greaterThan">
      <formula>120</formula>
    </cfRule>
  </conditionalFormatting>
  <conditionalFormatting sqref="U50">
    <cfRule type="cellIs" dxfId="194" priority="30" operator="greaterThan">
      <formula>120</formula>
    </cfRule>
  </conditionalFormatting>
  <conditionalFormatting sqref="V50">
    <cfRule type="cellIs" dxfId="193" priority="29" operator="greaterThan">
      <formula>120</formula>
    </cfRule>
  </conditionalFormatting>
  <conditionalFormatting sqref="AP4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{15E596DD-2C8B-40DF-BD1B-8F066F467DDE}</x14:id>
        </ext>
      </extLst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{69705833-E327-40C4-92B2-30897F98D62E}</x14:id>
        </ext>
      </extLst>
    </cfRule>
  </conditionalFormatting>
  <conditionalFormatting sqref="J8:J9">
    <cfRule type="cellIs" dxfId="192" priority="17" operator="greaterThan">
      <formula>120</formula>
    </cfRule>
  </conditionalFormatting>
  <conditionalFormatting sqref="AP8:AP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{9C9CD3AF-03AE-48C9-9125-3C479FEAD24C}</x14:id>
        </ext>
      </extLst>
    </cfRule>
  </conditionalFormatting>
  <conditionalFormatting sqref="AE8:AE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{31EABE42-D718-4391-8688-CD561BACC945}</x14:id>
        </ext>
      </extLst>
    </cfRule>
  </conditionalFormatting>
  <conditionalFormatting sqref="AL8:AL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{5F870DB2-6010-4820-9424-CDAD34592C5A}</x14:id>
        </ext>
      </extLst>
    </cfRule>
  </conditionalFormatting>
  <conditionalFormatting sqref="AM8:AN9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{A8138D34-469C-46A6-8A02-A1BC60D563A1}</x14:id>
        </ext>
      </extLst>
    </cfRule>
  </conditionalFormatting>
  <conditionalFormatting sqref="AP8:AP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{42D9B4B8-C5B7-483C-82D4-38A25FECCA72}</x14:id>
        </ext>
      </extLst>
    </cfRule>
  </conditionalFormatting>
  <conditionalFormatting sqref="AE8:AE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{F33350C6-947D-4784-B13B-B90E4854758B}</x14:id>
        </ext>
      </extLst>
    </cfRule>
  </conditionalFormatting>
  <conditionalFormatting sqref="U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{7963A419-D487-4B8A-8BFC-13F996CE27E4}</x14:id>
        </ext>
      </extLst>
    </cfRule>
  </conditionalFormatting>
  <conditionalFormatting sqref="V3:V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{A92F32E9-A876-4668-97B1-AFB702D5F209}</x14:id>
        </ext>
      </extLst>
    </cfRule>
  </conditionalFormatting>
  <conditionalFormatting sqref="U28:V4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{B122FDE2-EE6B-49D5-B195-2525FDD228B9}</x14:id>
        </ext>
      </extLst>
    </cfRule>
  </conditionalFormatting>
  <conditionalFormatting sqref="V28:V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{07C0ACE0-49EB-4143-856D-E2BB0EE43D48}</x14:id>
        </ext>
      </extLst>
    </cfRule>
  </conditionalFormatting>
  <conditionalFormatting sqref="Q50">
    <cfRule type="cellIs" dxfId="191" priority="10" operator="greaterThan">
      <formula>120</formula>
    </cfRule>
  </conditionalFormatting>
  <conditionalFormatting sqref="S50">
    <cfRule type="cellIs" dxfId="190" priority="9" operator="greaterThan">
      <formula>120</formula>
    </cfRule>
  </conditionalFormatting>
  <conditionalFormatting sqref="T50">
    <cfRule type="cellIs" dxfId="189" priority="8" operator="greaterThan">
      <formula>120</formula>
    </cfRule>
  </conditionalFormatting>
  <conditionalFormatting sqref="W50">
    <cfRule type="cellIs" dxfId="188" priority="4" operator="greaterThan">
      <formula>120</formula>
    </cfRule>
  </conditionalFormatting>
  <conditionalFormatting sqref="X50">
    <cfRule type="cellIs" dxfId="187" priority="3" operator="greaterThan">
      <formula>120</formula>
    </cfRule>
  </conditionalFormatting>
  <conditionalFormatting sqref="Z50">
    <cfRule type="cellIs" dxfId="186" priority="2" operator="greaterThan">
      <formula>120</formula>
    </cfRule>
  </conditionalFormatting>
  <conditionalFormatting sqref="AA50">
    <cfRule type="cellIs" dxfId="185" priority="1" operator="greaterThan">
      <formula>120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CC90BD-8A4A-43A2-BD3A-28926CBDAE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FE203529-07A1-4A5A-B3F4-5D670ADB87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76A789BA-F57E-4F9D-873C-4CCBEADB1C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F648F2BC-A751-49EC-93C2-D9818E16E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23E70E37-73CD-4F1D-91C0-61086A69AF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6AF5DF-4528-472C-82C7-F0BA50859D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1DC9FDD-BD48-4A87-BE13-9CE196D35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0F04E3E5-C3D7-4E31-B81D-ECB021AEED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13C0029C-D5B7-45BF-9108-786C4711E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D2879B08-2A84-43CC-BE5C-9176C141A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F731A1F-43CA-44B6-9035-C5925A288D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5E596DD-2C8B-40DF-BD1B-8F066F467D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705833-E327-40C4-92B2-30897F98D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9C9CD3AF-03AE-48C9-9125-3C479FEAD2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1EABE42-D718-4391-8688-CD561BACC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F870DB2-6010-4820-9424-CDAD34592C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8138D34-469C-46A6-8A02-A1BC60D563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42D9B4B8-C5B7-483C-82D4-38A25FECCA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33350C6-947D-4784-B13B-B90E485475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7963A419-D487-4B8A-8BFC-13F996CE2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A92F32E9-A876-4668-97B1-AFB702D5F2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122FDE2-EE6B-49D5-B195-2525FDD22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7C0ACE0-49EB-4143-856D-E2BB0EE43D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3376-CA3E-42EE-8D4A-2B37A5DDF684}">
  <dimension ref="A1:AZ64"/>
  <sheetViews>
    <sheetView zoomScale="70" zoomScaleNormal="70" workbookViewId="0">
      <pane xSplit="2" ySplit="2" topLeftCell="N39" activePane="bottomRight" state="frozen"/>
      <selection pane="topRight" activeCell="C1" sqref="C1"/>
      <selection pane="bottomLeft" activeCell="A3" sqref="A3"/>
      <selection pane="bottomRight" activeCell="AA51" sqref="AA51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1222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1053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288</v>
      </c>
      <c r="D3" s="42"/>
      <c r="E3" s="42"/>
      <c r="F3" s="42"/>
      <c r="G3" s="43"/>
      <c r="H3" s="44">
        <v>142.97999999999999</v>
      </c>
      <c r="I3" s="42">
        <f t="shared" ref="I3:I24" si="0">C3*H3</f>
        <v>41178.239999999998</v>
      </c>
      <c r="J3" s="45"/>
      <c r="K3" s="41">
        <v>23</v>
      </c>
      <c r="L3" s="45"/>
      <c r="M3" s="45"/>
      <c r="N3" s="46">
        <f t="shared" ref="N3:N24" si="1">K3/7</f>
        <v>3.2857142857142856</v>
      </c>
      <c r="O3" s="47">
        <f t="shared" ref="O3:O24" si="2">R3/7</f>
        <v>2</v>
      </c>
      <c r="P3" s="48">
        <f>SUMIFS('Отчет 24-30.11'!H:H,'Отчет 24-30.11'!D:D,"Выручка",'Отчет 24-30.11'!E:E,B3)</f>
        <v>14</v>
      </c>
      <c r="Q3" s="48">
        <f>SUMIFS('Отчет 24-30.11'!H:H,'Отчет 24-30.11'!D:D,"Возврат выручки",'Отчет 24-30.11'!E:E,B3)</f>
        <v>0</v>
      </c>
      <c r="R3" s="49">
        <f>P3-Q3</f>
        <v>14</v>
      </c>
      <c r="S3" s="50">
        <f>SUMIFS('Отчет 24-30.11'!P:P,'Отчет 24-30.11'!C:C,"Продажи",'Отчет 24-30.11'!E:E,B3)</f>
        <v>21859</v>
      </c>
      <c r="T3" s="51">
        <f>SUMIFS('Отчет 24-30.11'!P:P,'Отчет 24-30.11'!C:C,"Возвраты",'Отчет 24-30.11'!E:E,B3)</f>
        <v>0</v>
      </c>
      <c r="U3" s="49">
        <f t="shared" ref="U3:U24" si="3">S3+T3</f>
        <v>21859</v>
      </c>
      <c r="V3" s="52">
        <f t="shared" ref="V3:V24" si="4">U3/$U$49</f>
        <v>3.6431666666666667</v>
      </c>
      <c r="W3" s="53">
        <f t="shared" ref="W3:W24" si="5">R3*H3</f>
        <v>2001.7199999999998</v>
      </c>
      <c r="X3" s="51">
        <f>-SUMIFS('Отчет 24-30.11'!P:P,'Отчет 24-30.11'!C:C,"Вознаграждение Ozon",'Отчет 24-30.11'!E:E,B3)</f>
        <v>9399.3700000000008</v>
      </c>
      <c r="Y3" s="54">
        <f t="shared" ref="Y3:Y24" si="6">IF(U3=0,0,X3/U3)</f>
        <v>0.43000000000000005</v>
      </c>
      <c r="Z3" s="51">
        <f>-SUMIFS('Отчет 24-30.11'!P:P,'Отчет 24-30.11'!C:C,"Услуги доставки",'Отчет 24-30.11'!E:E,B3)</f>
        <v>1869.9600000000003</v>
      </c>
      <c r="AA3" s="41">
        <v>6830.1378430000004</v>
      </c>
      <c r="AB3" s="51"/>
      <c r="AC3" s="51"/>
      <c r="AD3" s="55">
        <f t="shared" ref="AD3:AD24" si="7">U3*6%</f>
        <v>1311.54</v>
      </c>
      <c r="AE3" s="56">
        <f t="shared" ref="AE3:AE24" si="8">U3-W3-X3-Z3-AA3-AB3-AC3-AD3</f>
        <v>446.2721569999967</v>
      </c>
      <c r="AF3" s="55"/>
      <c r="AG3" s="57">
        <f t="shared" ref="AG3:AG24" si="9">IF(R3=0,0,U3/R3)</f>
        <v>1561.3571428571429</v>
      </c>
      <c r="AH3" s="58">
        <f t="shared" ref="AH3:AH24" si="10">H3</f>
        <v>142.97999999999999</v>
      </c>
      <c r="AI3" s="58">
        <f t="shared" ref="AI3:AI24" si="11">IF(R3=0,0,X3/R3)</f>
        <v>671.38357142857149</v>
      </c>
      <c r="AJ3" s="58">
        <f t="shared" ref="AJ3:AJ24" si="12">IF(P3=0,Z3/1,Z3/P3)</f>
        <v>133.56857142857146</v>
      </c>
      <c r="AK3" s="58">
        <f t="shared" ref="AK3:AK24" si="13">IF(P3=0,0,AA3/P3)</f>
        <v>487.86698878571434</v>
      </c>
      <c r="AL3" s="58">
        <f>_xlfn.IFS(R3=0,AE3,R3&lt;0,AE3/-R3,R3&gt;0,AE3/R3)</f>
        <v>31.876582642856906</v>
      </c>
      <c r="AM3" s="59">
        <f t="shared" ref="AM3:AM24" si="14">IF(AG3=0,0,AL3/AG3)</f>
        <v>2.0415945697424252E-2</v>
      </c>
      <c r="AN3" s="60">
        <f t="shared" ref="AN3:AN24" si="15">IF(AH3=0,0,AL3/AH3)</f>
        <v>0.22294434636212693</v>
      </c>
      <c r="AP3" s="62">
        <f t="shared" ref="AP3:AP24" si="16">AL3*C3</f>
        <v>9180.4558011427889</v>
      </c>
    </row>
    <row r="4" spans="1:42">
      <c r="A4" s="39">
        <v>2638638550</v>
      </c>
      <c r="B4" s="40" t="s">
        <v>92</v>
      </c>
      <c r="C4" s="41">
        <v>387</v>
      </c>
      <c r="D4" s="42"/>
      <c r="E4" s="42"/>
      <c r="F4" s="42"/>
      <c r="G4" s="43"/>
      <c r="H4" s="44">
        <v>123.09</v>
      </c>
      <c r="I4" s="42">
        <f t="shared" si="0"/>
        <v>47635.83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</v>
      </c>
      <c r="P4" s="48">
        <f>SUMIFS('Отчет 24-30.11'!H:H,'Отчет 24-30.11'!D:D,"Выручка",'Отчет 24-30.11'!E:E,B4)</f>
        <v>0</v>
      </c>
      <c r="Q4" s="48">
        <f>SUMIFS('Отчет 24-30.11'!H:H,'Отчет 24-30.11'!D:D,"Возврат выручки",'Отчет 24-30.11'!E:E,B4)</f>
        <v>0</v>
      </c>
      <c r="R4" s="49">
        <f t="shared" ref="R4:R24" si="17">P4-Q4</f>
        <v>0</v>
      </c>
      <c r="S4" s="50">
        <f>SUMIFS('Отчет 24-30.11'!P:P,'Отчет 24-30.11'!C:C,"Продажи",'Отчет 24-30.11'!E:E,B4)</f>
        <v>0</v>
      </c>
      <c r="T4" s="51">
        <f>SUMIFS('Отчет 24-30.11'!P:P,'Отчет 24-30.11'!C:C,"Возвраты",'Отчет 24-30.11'!E:E,B4)</f>
        <v>0</v>
      </c>
      <c r="U4" s="49">
        <f t="shared" si="3"/>
        <v>0</v>
      </c>
      <c r="V4" s="52">
        <f t="shared" si="4"/>
        <v>0</v>
      </c>
      <c r="W4" s="53">
        <f t="shared" si="5"/>
        <v>0</v>
      </c>
      <c r="X4" s="51">
        <f>-SUMIFS('Отчет 24-30.11'!P:P,'Отчет 24-30.11'!C:C,"Вознаграждение Ozon",'Отчет 24-30.11'!E:E,B4)</f>
        <v>0</v>
      </c>
      <c r="Y4" s="54">
        <f t="shared" si="6"/>
        <v>0</v>
      </c>
      <c r="Z4" s="51">
        <f>-SUMIFS('Отчет 24-30.11'!P:P,'Отчет 24-30.11'!C:C,"Услуги доставки",'Отчет 24-30.11'!E:E,B4)</f>
        <v>0</v>
      </c>
      <c r="AA4" s="41">
        <v>0</v>
      </c>
      <c r="AB4" s="51"/>
      <c r="AC4" s="51"/>
      <c r="AD4" s="55">
        <f t="shared" si="7"/>
        <v>0</v>
      </c>
      <c r="AE4" s="56">
        <f t="shared" si="8"/>
        <v>0</v>
      </c>
      <c r="AF4" s="55"/>
      <c r="AG4" s="57">
        <f t="shared" si="9"/>
        <v>0</v>
      </c>
      <c r="AH4" s="58">
        <f t="shared" si="10"/>
        <v>123.09</v>
      </c>
      <c r="AI4" s="58">
        <f t="shared" si="11"/>
        <v>0</v>
      </c>
      <c r="AJ4" s="58">
        <f t="shared" si="12"/>
        <v>0</v>
      </c>
      <c r="AK4" s="58">
        <f t="shared" si="13"/>
        <v>0</v>
      </c>
      <c r="AL4" s="58">
        <f t="array" ref="AL4">_xlfn.IFS(R4=0,AE4,R4&lt;0,AE4/-R4,R4&gt;0,AE4/R4)</f>
        <v>0</v>
      </c>
      <c r="AM4" s="59">
        <f t="shared" si="14"/>
        <v>0</v>
      </c>
      <c r="AN4" s="60">
        <f t="shared" si="15"/>
        <v>0</v>
      </c>
      <c r="AP4" s="62">
        <f t="shared" si="16"/>
        <v>0</v>
      </c>
    </row>
    <row r="5" spans="1:42">
      <c r="A5" s="39">
        <v>2638691131</v>
      </c>
      <c r="B5" s="40" t="s">
        <v>222</v>
      </c>
      <c r="C5" s="41"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1">
        <v>1</v>
      </c>
      <c r="L5" s="45"/>
      <c r="M5" s="45"/>
      <c r="N5" s="46">
        <f t="shared" si="1"/>
        <v>0.14285714285714285</v>
      </c>
      <c r="O5" s="47">
        <f t="shared" si="2"/>
        <v>0</v>
      </c>
      <c r="P5" s="48">
        <f>SUMIFS('Отчет 24-30.11'!H:H,'Отчет 24-30.11'!D:D,"Выручка",'Отчет 24-30.11'!E:E,B5)</f>
        <v>1</v>
      </c>
      <c r="Q5" s="48">
        <f>SUMIFS('Отчет 24-30.11'!H:H,'Отчет 24-30.11'!D:D,"Возврат выручки",'Отчет 24-30.11'!E:E,B5)</f>
        <v>1</v>
      </c>
      <c r="R5" s="49">
        <f t="shared" si="17"/>
        <v>0</v>
      </c>
      <c r="S5" s="50">
        <f>SUMIFS('Отчет 24-30.11'!P:P,'Отчет 24-30.11'!C:C,"Продажи",'Отчет 24-30.11'!E:E,B5)</f>
        <v>1183</v>
      </c>
      <c r="T5" s="51">
        <f>SUMIFS('Отчет 24-30.11'!P:P,'Отчет 24-30.11'!C:C,"Возвраты",'Отчет 24-30.11'!E:E,B5)</f>
        <v>-1183</v>
      </c>
      <c r="U5" s="49">
        <f t="shared" si="3"/>
        <v>0</v>
      </c>
      <c r="V5" s="52">
        <f t="shared" si="4"/>
        <v>0</v>
      </c>
      <c r="W5" s="53">
        <f t="shared" si="5"/>
        <v>0</v>
      </c>
      <c r="X5" s="51">
        <f>-SUMIFS('Отчет 24-30.11'!P:P,'Отчет 24-30.11'!C:C,"Вознаграждение Ozon",'Отчет 24-30.11'!E:E,B5)</f>
        <v>0</v>
      </c>
      <c r="Y5" s="54">
        <f t="shared" si="6"/>
        <v>0</v>
      </c>
      <c r="Z5" s="51">
        <f>-SUMIFS('Отчет 24-30.11'!P:P,'Отчет 24-30.11'!C:C,"Услуги доставки",'Отчет 24-30.11'!E:E,B5)</f>
        <v>109.09</v>
      </c>
      <c r="AA5" s="41">
        <v>0</v>
      </c>
      <c r="AB5" s="64"/>
      <c r="AC5" s="51"/>
      <c r="AD5" s="55">
        <f t="shared" si="7"/>
        <v>0</v>
      </c>
      <c r="AE5" s="56">
        <f t="shared" si="8"/>
        <v>-109.09</v>
      </c>
      <c r="AF5" s="55"/>
      <c r="AG5" s="57">
        <f t="shared" si="9"/>
        <v>0</v>
      </c>
      <c r="AH5" s="58">
        <f t="shared" si="10"/>
        <v>123.09</v>
      </c>
      <c r="AI5" s="58">
        <f t="shared" si="11"/>
        <v>0</v>
      </c>
      <c r="AJ5" s="58">
        <f t="shared" si="12"/>
        <v>109.09</v>
      </c>
      <c r="AK5" s="58">
        <f t="shared" si="13"/>
        <v>0</v>
      </c>
      <c r="AL5" s="58">
        <f t="array" ref="AL5">_xlfn.IFS(R5=0,AE5,R5&lt;0,AE5/-R5,R5&gt;0,AE5/R5)</f>
        <v>-109.09</v>
      </c>
      <c r="AM5" s="59">
        <f t="shared" si="14"/>
        <v>0</v>
      </c>
      <c r="AN5" s="60">
        <f t="shared" si="15"/>
        <v>-0.88626208465350553</v>
      </c>
      <c r="AP5" s="62">
        <f t="shared" si="16"/>
        <v>-42654.19</v>
      </c>
    </row>
    <row r="6" spans="1:42">
      <c r="A6" s="39">
        <v>2638382749</v>
      </c>
      <c r="B6" s="40" t="s">
        <v>223</v>
      </c>
      <c r="C6" s="41">
        <v>834</v>
      </c>
      <c r="D6" s="42"/>
      <c r="E6" s="42"/>
      <c r="F6" s="42"/>
      <c r="G6" s="43"/>
      <c r="H6" s="44">
        <v>123.09</v>
      </c>
      <c r="I6" s="63">
        <f t="shared" si="0"/>
        <v>102657.06</v>
      </c>
      <c r="J6" s="45"/>
      <c r="K6" s="41">
        <v>24</v>
      </c>
      <c r="L6" s="45"/>
      <c r="M6" s="45"/>
      <c r="N6" s="46">
        <f t="shared" si="1"/>
        <v>3.4285714285714284</v>
      </c>
      <c r="O6" s="47">
        <f t="shared" si="2"/>
        <v>2</v>
      </c>
      <c r="P6" s="48">
        <f>SUMIFS('Отчет 24-30.11'!H:H,'Отчет 24-30.11'!D:D,"Выручка",'Отчет 24-30.11'!E:E,B6)</f>
        <v>14</v>
      </c>
      <c r="Q6" s="48">
        <f>SUMIFS('Отчет 24-30.11'!H:H,'Отчет 24-30.11'!D:D,"Возврат выручки",'Отчет 24-30.11'!E:E,B6)</f>
        <v>0</v>
      </c>
      <c r="R6" s="49">
        <f t="shared" si="17"/>
        <v>14</v>
      </c>
      <c r="S6" s="50">
        <f>SUMIFS('Отчет 24-30.11'!P:P,'Отчет 24-30.11'!C:C,"Продажи",'Отчет 24-30.11'!E:E,B6)</f>
        <v>21399.000000000004</v>
      </c>
      <c r="T6" s="51">
        <f>SUMIFS('Отчет 24-30.11'!P:P,'Отчет 24-30.11'!C:C,"Возвраты",'Отчет 24-30.11'!E:E,B6)</f>
        <v>0</v>
      </c>
      <c r="U6" s="49">
        <f t="shared" si="3"/>
        <v>21399.000000000004</v>
      </c>
      <c r="V6" s="52">
        <f t="shared" si="4"/>
        <v>3.5665000000000004</v>
      </c>
      <c r="W6" s="53">
        <f>R6*H6</f>
        <v>1723.26</v>
      </c>
      <c r="X6" s="51">
        <f>-SUMIFS('Отчет 24-30.11'!P:P,'Отчет 24-30.11'!C:C,"Вознаграждение Ozon",'Отчет 24-30.11'!E:E,B6)</f>
        <v>9201.57</v>
      </c>
      <c r="Y6" s="54">
        <f t="shared" si="6"/>
        <v>0.42999999999999994</v>
      </c>
      <c r="Z6" s="51">
        <f>-SUMIFS('Отчет 24-30.11'!P:P,'Отчет 24-30.11'!C:C,"Услуги доставки",'Отчет 24-30.11'!E:E,B6)</f>
        <v>2563.7400000000007</v>
      </c>
      <c r="AA6" s="41">
        <v>7163.2640910000009</v>
      </c>
      <c r="AB6" s="64"/>
      <c r="AC6" s="51"/>
      <c r="AD6" s="55">
        <f t="shared" si="7"/>
        <v>1283.9400000000003</v>
      </c>
      <c r="AE6" s="56">
        <f t="shared" si="8"/>
        <v>-536.77409099999636</v>
      </c>
      <c r="AF6" s="55"/>
      <c r="AG6" s="57">
        <f t="shared" si="9"/>
        <v>1528.5000000000002</v>
      </c>
      <c r="AH6" s="58">
        <f t="shared" si="10"/>
        <v>123.09</v>
      </c>
      <c r="AI6" s="58">
        <f t="shared" si="11"/>
        <v>657.255</v>
      </c>
      <c r="AJ6" s="58">
        <f t="shared" si="12"/>
        <v>183.12428571428578</v>
      </c>
      <c r="AK6" s="58">
        <f t="shared" si="13"/>
        <v>511.66172078571435</v>
      </c>
      <c r="AL6" s="58">
        <f t="array" ref="AL6">_xlfn.IFS(R6=0,AE6,R6&lt;0,AE6/-R6,R6&gt;0,AE6/R6)</f>
        <v>-38.341006499999743</v>
      </c>
      <c r="AM6" s="59">
        <f t="shared" si="14"/>
        <v>-2.5084073601569994E-2</v>
      </c>
      <c r="AN6" s="60">
        <f t="shared" si="15"/>
        <v>-0.31148758225688311</v>
      </c>
      <c r="AP6" s="62">
        <f t="shared" si="16"/>
        <v>-31976.399420999787</v>
      </c>
    </row>
    <row r="7" spans="1:42">
      <c r="A7" s="39">
        <v>2638569317</v>
      </c>
      <c r="B7" s="40" t="s">
        <v>54</v>
      </c>
      <c r="C7" s="41">
        <v>850</v>
      </c>
      <c r="D7" s="42"/>
      <c r="E7" s="42"/>
      <c r="F7" s="42"/>
      <c r="G7" s="43"/>
      <c r="H7" s="44">
        <v>117.24</v>
      </c>
      <c r="I7" s="63">
        <f t="shared" si="0"/>
        <v>99654</v>
      </c>
      <c r="J7" s="45"/>
      <c r="K7" s="41">
        <v>4</v>
      </c>
      <c r="L7" s="45"/>
      <c r="M7" s="45"/>
      <c r="N7" s="46">
        <f t="shared" si="1"/>
        <v>0.5714285714285714</v>
      </c>
      <c r="O7" s="47">
        <f t="shared" si="2"/>
        <v>0</v>
      </c>
      <c r="P7" s="48">
        <f>SUMIFS('Отчет 24-30.11'!H:H,'Отчет 24-30.11'!D:D,"Выручка",'Отчет 24-30.11'!E:E,B7)</f>
        <v>0</v>
      </c>
      <c r="Q7" s="48">
        <f>SUMIFS('Отчет 24-30.11'!H:H,'Отчет 24-30.11'!D:D,"Возврат выручки",'Отчет 24-30.11'!E:E,B7)</f>
        <v>0</v>
      </c>
      <c r="R7" s="49">
        <f t="shared" si="17"/>
        <v>0</v>
      </c>
      <c r="S7" s="50">
        <f>SUMIFS('Отчет 24-30.11'!P:P,'Отчет 24-30.11'!C:C,"Продажи",'Отчет 24-30.11'!E:E,B7)</f>
        <v>0</v>
      </c>
      <c r="T7" s="51">
        <f>SUMIFS('Отчет 24-30.11'!P:P,'Отчет 24-30.11'!C:C,"Возвраты",'Отчет 24-30.11'!E:E,B7)</f>
        <v>0</v>
      </c>
      <c r="U7" s="49">
        <f t="shared" si="3"/>
        <v>0</v>
      </c>
      <c r="V7" s="52">
        <f t="shared" si="4"/>
        <v>0</v>
      </c>
      <c r="W7" s="53">
        <f t="shared" si="5"/>
        <v>0</v>
      </c>
      <c r="X7" s="51">
        <f>-SUMIFS('Отчет 24-30.11'!P:P,'Отчет 24-30.11'!C:C,"Вознаграждение Ozon",'Отчет 24-30.11'!E:E,B7)</f>
        <v>0</v>
      </c>
      <c r="Y7" s="54">
        <f t="shared" si="6"/>
        <v>0</v>
      </c>
      <c r="Z7" s="51">
        <f>-SUMIFS('Отчет 24-30.11'!P:P,'Отчет 24-30.11'!C:C,"Услуги доставки",'Отчет 24-30.11'!E:E,B7)</f>
        <v>0</v>
      </c>
      <c r="AA7" s="41">
        <v>0</v>
      </c>
      <c r="AB7" s="64"/>
      <c r="AC7" s="51"/>
      <c r="AD7" s="55">
        <f t="shared" si="7"/>
        <v>0</v>
      </c>
      <c r="AE7" s="56">
        <f t="shared" si="8"/>
        <v>0</v>
      </c>
      <c r="AF7" s="55"/>
      <c r="AG7" s="57">
        <f t="shared" si="9"/>
        <v>0</v>
      </c>
      <c r="AH7" s="58">
        <f t="shared" si="10"/>
        <v>117.24</v>
      </c>
      <c r="AI7" s="58">
        <f t="shared" si="11"/>
        <v>0</v>
      </c>
      <c r="AJ7" s="58">
        <f t="shared" si="12"/>
        <v>0</v>
      </c>
      <c r="AK7" s="58">
        <f t="shared" si="13"/>
        <v>0</v>
      </c>
      <c r="AL7" s="58">
        <f t="array" ref="AL7">_xlfn.IFS(R7=0,AE7,R7&lt;0,AE7/-R7,R7&gt;0,AE7/R7)</f>
        <v>0</v>
      </c>
      <c r="AM7" s="59">
        <f t="shared" si="14"/>
        <v>0</v>
      </c>
      <c r="AN7" s="60">
        <f t="shared" si="15"/>
        <v>0</v>
      </c>
      <c r="AP7" s="62">
        <f t="shared" si="16"/>
        <v>0</v>
      </c>
    </row>
    <row r="8" spans="1:42">
      <c r="A8" s="39">
        <v>3064334128</v>
      </c>
      <c r="B8" s="40" t="s">
        <v>1054</v>
      </c>
      <c r="C8" s="41">
        <v>397</v>
      </c>
      <c r="D8" s="42"/>
      <c r="E8" s="42"/>
      <c r="F8" s="42"/>
      <c r="G8" s="43"/>
      <c r="H8" s="44">
        <v>123</v>
      </c>
      <c r="I8" s="63">
        <f t="shared" si="0"/>
        <v>48831</v>
      </c>
      <c r="J8" s="45"/>
      <c r="K8" s="41">
        <v>3</v>
      </c>
      <c r="L8" s="45"/>
      <c r="M8" s="45"/>
      <c r="N8" s="46">
        <f t="shared" si="1"/>
        <v>0.42857142857142855</v>
      </c>
      <c r="O8" s="47">
        <f t="shared" si="2"/>
        <v>-0.14285714285714285</v>
      </c>
      <c r="P8" s="48">
        <f>SUMIFS('Отчет 24-30.11'!H:H,'Отчет 24-30.11'!D:D,"Выручка",'Отчет 24-30.11'!E:E,B8)</f>
        <v>0</v>
      </c>
      <c r="Q8" s="48">
        <f>SUMIFS('Отчет 24-30.11'!H:H,'Отчет 24-30.11'!D:D,"Возврат выручки",'Отчет 24-30.11'!E:E,B8)</f>
        <v>1</v>
      </c>
      <c r="R8" s="49">
        <f t="shared" si="17"/>
        <v>-1</v>
      </c>
      <c r="S8" s="50">
        <f>SUMIFS('Отчет 24-30.11'!P:P,'Отчет 24-30.11'!C:C,"Продажи",'Отчет 24-30.11'!E:E,B8)</f>
        <v>0</v>
      </c>
      <c r="T8" s="51">
        <f>SUMIFS('Отчет 24-30.11'!P:P,'Отчет 24-30.11'!C:C,"Возвраты",'Отчет 24-30.11'!E:E,B8)</f>
        <v>-1800</v>
      </c>
      <c r="U8" s="49">
        <f t="shared" si="3"/>
        <v>-1800</v>
      </c>
      <c r="V8" s="52">
        <f t="shared" si="4"/>
        <v>-0.3</v>
      </c>
      <c r="W8" s="53">
        <f t="shared" si="5"/>
        <v>-123</v>
      </c>
      <c r="X8" s="51">
        <f>-SUMIFS('Отчет 24-30.11'!P:P,'Отчет 24-30.11'!C:C,"Вознаграждение Ozon",'Отчет 24-30.11'!E:E,B8)</f>
        <v>-774</v>
      </c>
      <c r="Y8" s="54">
        <f t="shared" si="6"/>
        <v>0.43</v>
      </c>
      <c r="Z8" s="51">
        <f>-SUMIFS('Отчет 24-30.11'!P:P,'Отчет 24-30.11'!C:C,"Услуги доставки",'Отчет 24-30.11'!E:E,B8)</f>
        <v>0</v>
      </c>
      <c r="AA8" s="41">
        <v>0</v>
      </c>
      <c r="AB8" s="64"/>
      <c r="AC8" s="51"/>
      <c r="AD8" s="55">
        <f t="shared" si="7"/>
        <v>-108</v>
      </c>
      <c r="AE8" s="56">
        <f t="shared" si="8"/>
        <v>-795</v>
      </c>
      <c r="AF8" s="55"/>
      <c r="AG8" s="57">
        <f t="shared" si="9"/>
        <v>1800</v>
      </c>
      <c r="AH8" s="58">
        <f t="shared" si="10"/>
        <v>123</v>
      </c>
      <c r="AI8" s="58">
        <f t="shared" si="11"/>
        <v>774</v>
      </c>
      <c r="AJ8" s="58">
        <f t="shared" si="12"/>
        <v>0</v>
      </c>
      <c r="AK8" s="58">
        <f t="shared" si="13"/>
        <v>0</v>
      </c>
      <c r="AL8" s="58">
        <f t="array" ref="AL8">_xlfn.IFS(R8=0,AE8,R8&lt;0,AE8/-R8,R8&gt;0,AE8/R8)</f>
        <v>-795</v>
      </c>
      <c r="AM8" s="59">
        <f t="shared" si="14"/>
        <v>-0.44166666666666665</v>
      </c>
      <c r="AN8" s="60">
        <f t="shared" si="15"/>
        <v>-6.4634146341463419</v>
      </c>
      <c r="AP8" s="62">
        <f t="shared" si="16"/>
        <v>-315615</v>
      </c>
    </row>
    <row r="9" spans="1:42">
      <c r="A9" s="39">
        <v>3064334311</v>
      </c>
      <c r="B9" s="40" t="s">
        <v>1055</v>
      </c>
      <c r="C9" s="41">
        <v>391</v>
      </c>
      <c r="D9" s="42"/>
      <c r="E9" s="42"/>
      <c r="F9" s="42"/>
      <c r="G9" s="43"/>
      <c r="H9" s="44">
        <v>123</v>
      </c>
      <c r="I9" s="63">
        <f t="shared" si="0"/>
        <v>48093</v>
      </c>
      <c r="J9" s="45"/>
      <c r="K9" s="41">
        <v>5</v>
      </c>
      <c r="L9" s="45"/>
      <c r="M9" s="45"/>
      <c r="N9" s="46">
        <f t="shared" si="1"/>
        <v>0.7142857142857143</v>
      </c>
      <c r="O9" s="47">
        <f t="shared" si="2"/>
        <v>0.42857142857142855</v>
      </c>
      <c r="P9" s="48">
        <f>SUMIFS('Отчет 24-30.11'!H:H,'Отчет 24-30.11'!D:D,"Выручка",'Отчет 24-30.11'!E:E,B9)</f>
        <v>3</v>
      </c>
      <c r="Q9" s="48">
        <f>SUMIFS('Отчет 24-30.11'!H:H,'Отчет 24-30.11'!D:D,"Возврат выручки",'Отчет 24-30.11'!E:E,B9)</f>
        <v>0</v>
      </c>
      <c r="R9" s="49">
        <f>P9-Q9</f>
        <v>3</v>
      </c>
      <c r="S9" s="50">
        <f>SUMIFS('Отчет 24-30.11'!P:P,'Отчет 24-30.11'!C:C,"Продажи",'Отчет 24-30.11'!E:E,B9)</f>
        <v>6299.9999999999991</v>
      </c>
      <c r="T9" s="51">
        <f>SUMIFS('Отчет 24-30.11'!P:P,'Отчет 24-30.11'!C:C,"Возвраты",'Отчет 24-30.11'!E:E,B9)</f>
        <v>0</v>
      </c>
      <c r="U9" s="49">
        <f t="shared" si="3"/>
        <v>6299.9999999999991</v>
      </c>
      <c r="V9" s="52">
        <f t="shared" si="4"/>
        <v>1.0499999999999998</v>
      </c>
      <c r="W9" s="53">
        <f t="shared" si="5"/>
        <v>369</v>
      </c>
      <c r="X9" s="51">
        <f>-SUMIFS('Отчет 24-30.11'!P:P,'Отчет 24-30.11'!C:C,"Вознаграждение Ozon",'Отчет 24-30.11'!E:E,B9)</f>
        <v>2709</v>
      </c>
      <c r="Y9" s="54">
        <f t="shared" si="6"/>
        <v>0.43000000000000005</v>
      </c>
      <c r="Z9" s="51">
        <f>-SUMIFS('Отчет 24-30.11'!P:P,'Отчет 24-30.11'!C:C,"Услуги доставки",'Отчет 24-30.11'!E:E,B9)</f>
        <v>593.79999999999995</v>
      </c>
      <c r="AA9" s="41">
        <v>3368.4233799999997</v>
      </c>
      <c r="AB9" s="64"/>
      <c r="AC9" s="51"/>
      <c r="AD9" s="55">
        <f t="shared" si="7"/>
        <v>377.99999999999994</v>
      </c>
      <c r="AE9" s="56">
        <f t="shared" si="8"/>
        <v>-1118.2233800000008</v>
      </c>
      <c r="AF9" s="55"/>
      <c r="AG9" s="57">
        <f t="shared" si="9"/>
        <v>2099.9999999999995</v>
      </c>
      <c r="AH9" s="58">
        <f t="shared" si="10"/>
        <v>123</v>
      </c>
      <c r="AI9" s="58">
        <f t="shared" si="11"/>
        <v>903</v>
      </c>
      <c r="AJ9" s="58">
        <f t="shared" si="12"/>
        <v>197.93333333333331</v>
      </c>
      <c r="AK9" s="58">
        <f t="shared" si="13"/>
        <v>1122.8077933333332</v>
      </c>
      <c r="AL9" s="58">
        <f t="array" ref="AL9">_xlfn.IFS(R9=0,AE9,R9&lt;0,AE9/-R9,R9&gt;0,AE9/R9)</f>
        <v>-372.74112666666696</v>
      </c>
      <c r="AM9" s="59">
        <f t="shared" si="14"/>
        <v>-0.17749577460317478</v>
      </c>
      <c r="AN9" s="60">
        <f t="shared" si="15"/>
        <v>-3.0304156639566417</v>
      </c>
      <c r="AP9" s="62">
        <f t="shared" si="16"/>
        <v>-145741.78052666679</v>
      </c>
    </row>
    <row r="10" spans="1:42">
      <c r="A10" s="39">
        <v>2638291563</v>
      </c>
      <c r="B10" s="40" t="s">
        <v>88</v>
      </c>
      <c r="C10" s="41">
        <v>393</v>
      </c>
      <c r="D10" s="42"/>
      <c r="E10" s="42"/>
      <c r="F10" s="42"/>
      <c r="G10" s="43"/>
      <c r="H10" s="44">
        <v>169.89</v>
      </c>
      <c r="I10" s="63">
        <f t="shared" si="0"/>
        <v>66766.76999999999</v>
      </c>
      <c r="J10" s="45"/>
      <c r="K10" s="41">
        <v>0</v>
      </c>
      <c r="L10" s="45"/>
      <c r="M10" s="45"/>
      <c r="N10" s="46">
        <f t="shared" si="1"/>
        <v>0</v>
      </c>
      <c r="O10" s="47">
        <f t="shared" si="2"/>
        <v>0</v>
      </c>
      <c r="P10" s="48">
        <f>SUMIFS('Отчет 24-30.11'!H:H,'Отчет 24-30.11'!D:D,"Выручка",'Отчет 24-30.11'!E:E,B10)</f>
        <v>0</v>
      </c>
      <c r="Q10" s="48">
        <f>SUMIFS('Отчет 24-30.11'!H:H,'Отчет 24-30.11'!D:D,"Возврат выручки",'Отчет 24-30.11'!E:E,B10)</f>
        <v>0</v>
      </c>
      <c r="R10" s="49">
        <f t="shared" si="17"/>
        <v>0</v>
      </c>
      <c r="S10" s="50">
        <f>SUMIFS('Отчет 24-30.11'!P:P,'Отчет 24-30.11'!C:C,"Продажи",'Отчет 24-30.11'!E:E,B10)</f>
        <v>0</v>
      </c>
      <c r="T10" s="51">
        <f>SUMIFS('Отчет 24-30.11'!P:P,'Отчет 24-30.11'!C:C,"Возвраты",'Отчет 24-30.11'!E:E,B10)</f>
        <v>0</v>
      </c>
      <c r="U10" s="49">
        <f t="shared" si="3"/>
        <v>0</v>
      </c>
      <c r="V10" s="52">
        <f t="shared" si="4"/>
        <v>0</v>
      </c>
      <c r="W10" s="53">
        <f t="shared" si="5"/>
        <v>0</v>
      </c>
      <c r="X10" s="51">
        <f>-SUMIFS('Отчет 24-30.11'!P:P,'Отчет 24-30.11'!C:C,"Вознаграждение Ozon",'Отчет 24-30.11'!E:E,B10)</f>
        <v>0</v>
      </c>
      <c r="Y10" s="54">
        <f t="shared" si="6"/>
        <v>0</v>
      </c>
      <c r="Z10" s="51">
        <f>-SUMIFS('Отчет 24-30.11'!P:P,'Отчет 24-30.11'!C:C,"Услуги доставки",'Отчет 24-30.11'!E:E,B10)</f>
        <v>0</v>
      </c>
      <c r="AA10" s="41">
        <v>0</v>
      </c>
      <c r="AB10" s="64"/>
      <c r="AC10" s="51"/>
      <c r="AD10" s="55">
        <f t="shared" si="7"/>
        <v>0</v>
      </c>
      <c r="AE10" s="56">
        <f t="shared" si="8"/>
        <v>0</v>
      </c>
      <c r="AF10" s="55"/>
      <c r="AG10" s="57">
        <f t="shared" si="9"/>
        <v>0</v>
      </c>
      <c r="AH10" s="58">
        <f t="shared" si="10"/>
        <v>169.89</v>
      </c>
      <c r="AI10" s="58">
        <f t="shared" si="11"/>
        <v>0</v>
      </c>
      <c r="AJ10" s="58">
        <f t="shared" si="12"/>
        <v>0</v>
      </c>
      <c r="AK10" s="58">
        <f t="shared" si="13"/>
        <v>0</v>
      </c>
      <c r="AL10" s="58">
        <f t="array" ref="AL10">_xlfn.IFS(R10=0,AE10,R10&lt;0,AE10/-R10,R10&gt;0,AE10/R10)</f>
        <v>0</v>
      </c>
      <c r="AM10" s="59">
        <f t="shared" si="14"/>
        <v>0</v>
      </c>
      <c r="AN10" s="60">
        <f t="shared" si="15"/>
        <v>0</v>
      </c>
      <c r="AP10" s="62">
        <f t="shared" si="16"/>
        <v>0</v>
      </c>
    </row>
    <row r="11" spans="1:42">
      <c r="A11" s="39">
        <v>2730130733</v>
      </c>
      <c r="B11" s="40" t="s">
        <v>224</v>
      </c>
      <c r="C11" s="41">
        <v>47</v>
      </c>
      <c r="D11" s="42"/>
      <c r="E11" s="42"/>
      <c r="F11" s="42"/>
      <c r="G11" s="43"/>
      <c r="H11" s="44">
        <v>169.89</v>
      </c>
      <c r="I11" s="63">
        <f t="shared" si="0"/>
        <v>7984.829999999999</v>
      </c>
      <c r="J11" s="45"/>
      <c r="K11" s="41">
        <v>0</v>
      </c>
      <c r="L11" s="45"/>
      <c r="M11" s="45"/>
      <c r="N11" s="46">
        <f t="shared" si="1"/>
        <v>0</v>
      </c>
      <c r="O11" s="47">
        <f t="shared" si="2"/>
        <v>0</v>
      </c>
      <c r="P11" s="48">
        <f>SUMIFS('Отчет 24-30.11'!H:H,'Отчет 24-30.11'!D:D,"Выручка",'Отчет 24-30.11'!E:E,B11)</f>
        <v>0</v>
      </c>
      <c r="Q11" s="48">
        <f>SUMIFS('Отчет 24-30.11'!H:H,'Отчет 24-30.11'!D:D,"Возврат выручки",'Отчет 24-30.11'!E:E,B11)</f>
        <v>0</v>
      </c>
      <c r="R11" s="49">
        <f t="shared" si="17"/>
        <v>0</v>
      </c>
      <c r="S11" s="50">
        <f>SUMIFS('Отчет 24-30.11'!P:P,'Отчет 24-30.11'!C:C,"Продажи",'Отчет 24-30.11'!E:E,B11)</f>
        <v>0</v>
      </c>
      <c r="T11" s="51">
        <f>SUMIFS('Отчет 24-30.11'!P:P,'Отчет 24-30.11'!C:C,"Возвраты",'Отчет 24-30.11'!E:E,B11)</f>
        <v>0</v>
      </c>
      <c r="U11" s="49">
        <f t="shared" si="3"/>
        <v>0</v>
      </c>
      <c r="V11" s="52">
        <f t="shared" si="4"/>
        <v>0</v>
      </c>
      <c r="W11" s="53">
        <f t="shared" si="5"/>
        <v>0</v>
      </c>
      <c r="X11" s="51">
        <f>-SUMIFS('Отчет 24-30.11'!P:P,'Отчет 24-30.11'!C:C,"Вознаграждение Ozon",'Отчет 24-30.11'!E:E,B11)</f>
        <v>0</v>
      </c>
      <c r="Y11" s="54">
        <f t="shared" si="6"/>
        <v>0</v>
      </c>
      <c r="Z11" s="51">
        <f>-SUMIFS('Отчет 24-30.11'!P:P,'Отчет 24-30.11'!C:C,"Услуги доставки",'Отчет 24-30.11'!E:E,B11)</f>
        <v>0</v>
      </c>
      <c r="AA11" s="41">
        <v>0</v>
      </c>
      <c r="AB11" s="64"/>
      <c r="AC11" s="51"/>
      <c r="AD11" s="55">
        <f t="shared" si="7"/>
        <v>0</v>
      </c>
      <c r="AE11" s="56">
        <f t="shared" si="8"/>
        <v>0</v>
      </c>
      <c r="AF11" s="55"/>
      <c r="AG11" s="57">
        <f t="shared" si="9"/>
        <v>0</v>
      </c>
      <c r="AH11" s="58">
        <f t="shared" si="10"/>
        <v>169.89</v>
      </c>
      <c r="AI11" s="58">
        <f t="shared" si="11"/>
        <v>0</v>
      </c>
      <c r="AJ11" s="58">
        <f t="shared" si="12"/>
        <v>0</v>
      </c>
      <c r="AK11" s="58">
        <f t="shared" si="13"/>
        <v>0</v>
      </c>
      <c r="AL11" s="58">
        <f t="array" ref="AL11">_xlfn.IFS(R11=0,AE11,R11&lt;0,AE11/-R11,R11&gt;0,AE11/R11)</f>
        <v>0</v>
      </c>
      <c r="AM11" s="59">
        <f t="shared" si="14"/>
        <v>0</v>
      </c>
      <c r="AN11" s="60">
        <f t="shared" si="15"/>
        <v>0</v>
      </c>
      <c r="AP11" s="62">
        <f t="shared" si="16"/>
        <v>0</v>
      </c>
    </row>
    <row r="12" spans="1:42">
      <c r="A12" s="39">
        <v>2730131249</v>
      </c>
      <c r="B12" s="40" t="s">
        <v>225</v>
      </c>
      <c r="C12" s="41">
        <v>46</v>
      </c>
      <c r="D12" s="42"/>
      <c r="E12" s="42"/>
      <c r="F12" s="42"/>
      <c r="G12" s="43"/>
      <c r="H12" s="44">
        <v>169.89</v>
      </c>
      <c r="I12" s="63">
        <f t="shared" si="0"/>
        <v>7814.94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24-30.11'!H:H,'Отчет 24-30.11'!D:D,"Выручка",'Отчет 24-30.11'!E:E,B12)</f>
        <v>0</v>
      </c>
      <c r="Q12" s="48">
        <f>SUMIFS('Отчет 24-30.11'!H:H,'Отчет 24-30.11'!D:D,"Возврат выручки",'Отчет 24-30.11'!E:E,B12)</f>
        <v>0</v>
      </c>
      <c r="R12" s="49">
        <f t="shared" si="17"/>
        <v>0</v>
      </c>
      <c r="S12" s="50">
        <f>SUMIFS('Отчет 24-30.11'!P:P,'Отчет 24-30.11'!C:C,"Продажи",'Отчет 24-30.11'!E:E,B12)</f>
        <v>0</v>
      </c>
      <c r="T12" s="51">
        <f>SUMIFS('Отчет 24-30.11'!P:P,'Отчет 24-30.11'!C:C,"Возвраты",'Отчет 24-30.11'!E:E,B12)</f>
        <v>0</v>
      </c>
      <c r="U12" s="49">
        <f t="shared" si="3"/>
        <v>0</v>
      </c>
      <c r="V12" s="52">
        <f t="shared" si="4"/>
        <v>0</v>
      </c>
      <c r="W12" s="53">
        <f t="shared" si="5"/>
        <v>0</v>
      </c>
      <c r="X12" s="51">
        <f>-SUMIFS('Отчет 24-30.11'!P:P,'Отчет 24-30.11'!C:C,"Вознаграждение Ozon",'Отчет 24-30.11'!E:E,B12)</f>
        <v>0</v>
      </c>
      <c r="Y12" s="54">
        <f t="shared" si="6"/>
        <v>0</v>
      </c>
      <c r="Z12" s="51">
        <f>-SUMIFS('Отчет 24-30.11'!P:P,'Отчет 24-30.11'!C:C,"Услуги доставки",'Отчет 24-30.11'!E:E,B12)</f>
        <v>0</v>
      </c>
      <c r="AA12" s="41">
        <v>0</v>
      </c>
      <c r="AB12" s="64"/>
      <c r="AC12" s="51"/>
      <c r="AD12" s="55">
        <f t="shared" si="7"/>
        <v>0</v>
      </c>
      <c r="AE12" s="56">
        <f t="shared" si="8"/>
        <v>0</v>
      </c>
      <c r="AF12" s="55"/>
      <c r="AG12" s="57">
        <f t="shared" si="9"/>
        <v>0</v>
      </c>
      <c r="AH12" s="58">
        <f t="shared" si="10"/>
        <v>169.89</v>
      </c>
      <c r="AI12" s="58">
        <f t="shared" si="11"/>
        <v>0</v>
      </c>
      <c r="AJ12" s="58">
        <f t="shared" si="12"/>
        <v>0</v>
      </c>
      <c r="AK12" s="58">
        <f t="shared" si="13"/>
        <v>0</v>
      </c>
      <c r="AL12" s="58">
        <f t="array" ref="AL12">_xlfn.IFS(R12=0,AE12,R12&lt;0,AE12/-R12,R12&gt;0,AE12/R12)</f>
        <v>0</v>
      </c>
      <c r="AM12" s="59">
        <f t="shared" si="14"/>
        <v>0</v>
      </c>
      <c r="AN12" s="60">
        <f t="shared" si="15"/>
        <v>0</v>
      </c>
      <c r="AP12" s="62">
        <f t="shared" si="16"/>
        <v>0</v>
      </c>
    </row>
    <row r="13" spans="1:42">
      <c r="A13" s="39">
        <v>2730130553</v>
      </c>
      <c r="B13" s="40" t="s">
        <v>226</v>
      </c>
      <c r="C13" s="41">
        <v>35</v>
      </c>
      <c r="D13" s="42"/>
      <c r="E13" s="42"/>
      <c r="F13" s="42"/>
      <c r="G13" s="43"/>
      <c r="H13" s="44">
        <v>169.89</v>
      </c>
      <c r="I13" s="63">
        <f t="shared" si="0"/>
        <v>5946.15</v>
      </c>
      <c r="J13" s="45"/>
      <c r="K13" s="41">
        <v>4</v>
      </c>
      <c r="L13" s="45"/>
      <c r="M13" s="45"/>
      <c r="N13" s="46">
        <f t="shared" si="1"/>
        <v>0.5714285714285714</v>
      </c>
      <c r="O13" s="47">
        <f t="shared" si="2"/>
        <v>0</v>
      </c>
      <c r="P13" s="48">
        <f>SUMIFS('Отчет 24-30.11'!H:H,'Отчет 24-30.11'!D:D,"Выручка",'Отчет 24-30.11'!E:E,B13)</f>
        <v>1</v>
      </c>
      <c r="Q13" s="48">
        <f>SUMIFS('Отчет 24-30.11'!H:H,'Отчет 24-30.11'!D:D,"Возврат выручки",'Отчет 24-30.11'!E:E,B13)</f>
        <v>1</v>
      </c>
      <c r="R13" s="49">
        <f t="shared" si="17"/>
        <v>0</v>
      </c>
      <c r="S13" s="50">
        <f>SUMIFS('Отчет 24-30.11'!P:P,'Отчет 24-30.11'!C:C,"Продажи",'Отчет 24-30.11'!E:E,B13)</f>
        <v>1800</v>
      </c>
      <c r="T13" s="51">
        <f>SUMIFS('Отчет 24-30.11'!P:P,'Отчет 24-30.11'!C:C,"Возвраты",'Отчет 24-30.11'!E:E,B13)</f>
        <v>-1800</v>
      </c>
      <c r="U13" s="49">
        <f t="shared" si="3"/>
        <v>0</v>
      </c>
      <c r="V13" s="52">
        <f t="shared" si="4"/>
        <v>0</v>
      </c>
      <c r="W13" s="53">
        <f t="shared" si="5"/>
        <v>0</v>
      </c>
      <c r="X13" s="51">
        <f>-SUMIFS('Отчет 24-30.11'!P:P,'Отчет 24-30.11'!C:C,"Вознаграждение Ozon",'Отчет 24-30.11'!E:E,B13)</f>
        <v>0</v>
      </c>
      <c r="Y13" s="54">
        <f t="shared" si="6"/>
        <v>0</v>
      </c>
      <c r="Z13" s="51">
        <f>-SUMIFS('Отчет 24-30.11'!P:P,'Отчет 24-30.11'!C:C,"Услуги доставки",'Отчет 24-30.11'!E:E,B13)</f>
        <v>269.68</v>
      </c>
      <c r="AA13" s="41">
        <v>0</v>
      </c>
      <c r="AB13" s="64"/>
      <c r="AC13" s="51"/>
      <c r="AD13" s="55">
        <f t="shared" si="7"/>
        <v>0</v>
      </c>
      <c r="AE13" s="56">
        <f t="shared" si="8"/>
        <v>-269.68</v>
      </c>
      <c r="AF13" s="55"/>
      <c r="AG13" s="57">
        <f t="shared" si="9"/>
        <v>0</v>
      </c>
      <c r="AH13" s="58">
        <f t="shared" si="10"/>
        <v>169.89</v>
      </c>
      <c r="AI13" s="58">
        <f t="shared" si="11"/>
        <v>0</v>
      </c>
      <c r="AJ13" s="58">
        <f t="shared" si="12"/>
        <v>269.68</v>
      </c>
      <c r="AK13" s="58">
        <f t="shared" si="13"/>
        <v>0</v>
      </c>
      <c r="AL13" s="58">
        <f t="array" ref="AL13">_xlfn.IFS(R13=0,AE13,R13&lt;0,AE13/-R13,R13&gt;0,AE13/R13)</f>
        <v>-269.68</v>
      </c>
      <c r="AM13" s="59">
        <f t="shared" si="14"/>
        <v>0</v>
      </c>
      <c r="AN13" s="60">
        <f t="shared" si="15"/>
        <v>-1.5873800694567075</v>
      </c>
      <c r="AP13" s="62">
        <f t="shared" si="16"/>
        <v>-9438.8000000000011</v>
      </c>
    </row>
    <row r="14" spans="1:42" ht="13.75" customHeight="1">
      <c r="A14" s="39">
        <v>2730129638</v>
      </c>
      <c r="B14" s="40" t="s">
        <v>227</v>
      </c>
      <c r="C14" s="41">
        <v>11</v>
      </c>
      <c r="D14" s="42"/>
      <c r="E14" s="42"/>
      <c r="F14" s="42"/>
      <c r="G14" s="43"/>
      <c r="H14" s="44">
        <v>169.89</v>
      </c>
      <c r="I14" s="63">
        <f t="shared" si="0"/>
        <v>1868.79</v>
      </c>
      <c r="J14" s="45"/>
      <c r="K14" s="41">
        <v>0</v>
      </c>
      <c r="L14" s="45"/>
      <c r="M14" s="45"/>
      <c r="N14" s="46">
        <f t="shared" si="1"/>
        <v>0</v>
      </c>
      <c r="O14" s="47">
        <f t="shared" si="2"/>
        <v>0</v>
      </c>
      <c r="P14" s="48">
        <f>SUMIFS('Отчет 24-30.11'!H:H,'Отчет 24-30.11'!D:D,"Выручка",'Отчет 24-30.11'!E:E,B14)</f>
        <v>0</v>
      </c>
      <c r="Q14" s="48">
        <f>SUMIFS('Отчет 24-30.11'!H:H,'Отчет 24-30.11'!D:D,"Возврат выручки",'Отчет 24-30.11'!E:E,B14)</f>
        <v>0</v>
      </c>
      <c r="R14" s="49">
        <f t="shared" si="17"/>
        <v>0</v>
      </c>
      <c r="S14" s="50">
        <f>SUMIFS('Отчет 24-30.11'!P:P,'Отчет 24-30.11'!C:C,"Продажи",'Отчет 24-30.11'!E:E,B14)</f>
        <v>0</v>
      </c>
      <c r="T14" s="51">
        <f>SUMIFS('Отчет 24-30.11'!P:P,'Отчет 24-30.11'!C:C,"Возвраты",'Отчет 24-30.11'!E:E,B14)</f>
        <v>0</v>
      </c>
      <c r="U14" s="49">
        <f t="shared" si="3"/>
        <v>0</v>
      </c>
      <c r="V14" s="52">
        <f t="shared" si="4"/>
        <v>0</v>
      </c>
      <c r="W14" s="53">
        <f t="shared" si="5"/>
        <v>0</v>
      </c>
      <c r="X14" s="51">
        <f>-SUMIFS('Отчет 24-30.11'!P:P,'Отчет 24-30.11'!C:C,"Вознаграждение Ozon",'Отчет 24-30.11'!E:E,B14)</f>
        <v>0</v>
      </c>
      <c r="Y14" s="54">
        <f t="shared" si="6"/>
        <v>0</v>
      </c>
      <c r="Z14" s="51">
        <f>-SUMIFS('Отчет 24-30.11'!P:P,'Отчет 24-30.11'!C:C,"Услуги доставки",'Отчет 24-30.11'!E:E,B14)</f>
        <v>0</v>
      </c>
      <c r="AA14" s="41">
        <v>0</v>
      </c>
      <c r="AB14" s="64"/>
      <c r="AC14" s="51"/>
      <c r="AD14" s="55">
        <f t="shared" si="7"/>
        <v>0</v>
      </c>
      <c r="AE14" s="56">
        <f t="shared" si="8"/>
        <v>0</v>
      </c>
      <c r="AF14" s="55"/>
      <c r="AG14" s="57">
        <f t="shared" si="9"/>
        <v>0</v>
      </c>
      <c r="AH14" s="58">
        <f t="shared" si="10"/>
        <v>169.89</v>
      </c>
      <c r="AI14" s="58">
        <f t="shared" si="11"/>
        <v>0</v>
      </c>
      <c r="AJ14" s="58">
        <f t="shared" si="12"/>
        <v>0</v>
      </c>
      <c r="AK14" s="58">
        <f t="shared" si="13"/>
        <v>0</v>
      </c>
      <c r="AL14" s="58">
        <f t="array" ref="AL14">_xlfn.IFS(R14=0,AE14,R14&lt;0,AE14/-R14,R14&gt;0,AE14/R14)</f>
        <v>0</v>
      </c>
      <c r="AM14" s="59">
        <f t="shared" si="14"/>
        <v>0</v>
      </c>
      <c r="AN14" s="60">
        <f t="shared" si="15"/>
        <v>0</v>
      </c>
      <c r="AP14" s="62">
        <f t="shared" si="16"/>
        <v>0</v>
      </c>
    </row>
    <row r="15" spans="1:42" ht="13.75" customHeight="1">
      <c r="A15" s="39">
        <v>2730130141</v>
      </c>
      <c r="B15" s="40" t="s">
        <v>228</v>
      </c>
      <c r="C15" s="41">
        <v>37</v>
      </c>
      <c r="D15" s="42"/>
      <c r="E15" s="42"/>
      <c r="F15" s="42"/>
      <c r="G15" s="43"/>
      <c r="H15" s="44">
        <v>169.89</v>
      </c>
      <c r="I15" s="63">
        <f t="shared" si="0"/>
        <v>6285.9299999999994</v>
      </c>
      <c r="J15" s="45"/>
      <c r="K15" s="41">
        <v>2</v>
      </c>
      <c r="L15" s="45"/>
      <c r="M15" s="45"/>
      <c r="N15" s="46">
        <f t="shared" si="1"/>
        <v>0.2857142857142857</v>
      </c>
      <c r="O15" s="47">
        <f t="shared" si="2"/>
        <v>0.14285714285714285</v>
      </c>
      <c r="P15" s="48">
        <f>SUMIFS('Отчет 24-30.11'!H:H,'Отчет 24-30.11'!D:D,"Выручка",'Отчет 24-30.11'!E:E,B15)</f>
        <v>1</v>
      </c>
      <c r="Q15" s="48">
        <f>SUMIFS('Отчет 24-30.11'!H:H,'Отчет 24-30.11'!D:D,"Возврат выручки",'Отчет 24-30.11'!E:E,B15)</f>
        <v>0</v>
      </c>
      <c r="R15" s="49">
        <f t="shared" si="17"/>
        <v>1</v>
      </c>
      <c r="S15" s="50">
        <f>SUMIFS('Отчет 24-30.11'!P:P,'Отчет 24-30.11'!C:C,"Продажи",'Отчет 24-30.11'!E:E,B15)</f>
        <v>1420</v>
      </c>
      <c r="T15" s="51">
        <f>SUMIFS('Отчет 24-30.11'!P:P,'Отчет 24-30.11'!C:C,"Возвраты",'Отчет 24-30.11'!E:E,B15)</f>
        <v>0</v>
      </c>
      <c r="U15" s="49">
        <f t="shared" si="3"/>
        <v>1420</v>
      </c>
      <c r="V15" s="52">
        <f t="shared" si="4"/>
        <v>0.23666666666666666</v>
      </c>
      <c r="W15" s="53">
        <f t="shared" si="5"/>
        <v>169.89</v>
      </c>
      <c r="X15" s="51">
        <f>-SUMIFS('Отчет 24-30.11'!P:P,'Отчет 24-30.11'!C:C,"Вознаграждение Ozon",'Отчет 24-30.11'!E:E,B15)</f>
        <v>610.6</v>
      </c>
      <c r="Y15" s="54">
        <f t="shared" si="6"/>
        <v>0.43</v>
      </c>
      <c r="Z15" s="51">
        <f>-SUMIFS('Отчет 24-30.11'!P:P,'Отчет 24-30.11'!C:C,"Услуги доставки",'Отчет 24-30.11'!E:E,B15)</f>
        <v>112.69</v>
      </c>
      <c r="AA15" s="41">
        <v>506.6</v>
      </c>
      <c r="AB15" s="64"/>
      <c r="AC15" s="51"/>
      <c r="AD15" s="55">
        <f t="shared" si="7"/>
        <v>85.2</v>
      </c>
      <c r="AE15" s="56">
        <f t="shared" si="8"/>
        <v>-64.979999999999862</v>
      </c>
      <c r="AF15" s="55"/>
      <c r="AG15" s="57">
        <f t="shared" si="9"/>
        <v>1420</v>
      </c>
      <c r="AH15" s="58">
        <f t="shared" si="10"/>
        <v>169.89</v>
      </c>
      <c r="AI15" s="58">
        <f t="shared" si="11"/>
        <v>610.6</v>
      </c>
      <c r="AJ15" s="58">
        <f t="shared" si="12"/>
        <v>112.69</v>
      </c>
      <c r="AK15" s="58">
        <f t="shared" si="13"/>
        <v>506.6</v>
      </c>
      <c r="AL15" s="58">
        <f t="array" ref="AL15">_xlfn.IFS(R15=0,AE15,R15&lt;0,AE15/-R15,R15&gt;0,AE15/R15)</f>
        <v>-64.979999999999862</v>
      </c>
      <c r="AM15" s="59">
        <f t="shared" si="14"/>
        <v>-4.5760563380281595E-2</v>
      </c>
      <c r="AN15" s="60">
        <f t="shared" si="15"/>
        <v>-0.38248278297721977</v>
      </c>
      <c r="AP15" s="62">
        <f t="shared" si="16"/>
        <v>-2404.2599999999948</v>
      </c>
    </row>
    <row r="16" spans="1:42" ht="13.75" customHeight="1">
      <c r="A16" s="39">
        <v>2730129805</v>
      </c>
      <c r="B16" s="40" t="s">
        <v>19</v>
      </c>
      <c r="C16" s="41">
        <v>26</v>
      </c>
      <c r="D16" s="42"/>
      <c r="E16" s="42"/>
      <c r="F16" s="42"/>
      <c r="G16" s="43"/>
      <c r="H16" s="44">
        <v>169.89</v>
      </c>
      <c r="I16" s="63">
        <f t="shared" si="0"/>
        <v>4417.1399999999994</v>
      </c>
      <c r="J16" s="45"/>
      <c r="K16" s="41">
        <v>2</v>
      </c>
      <c r="L16" s="45"/>
      <c r="M16" s="45"/>
      <c r="N16" s="46">
        <f t="shared" si="1"/>
        <v>0.2857142857142857</v>
      </c>
      <c r="O16" s="47">
        <f t="shared" si="2"/>
        <v>0.14285714285714285</v>
      </c>
      <c r="P16" s="48">
        <f>SUMIFS('Отчет 24-30.11'!H:H,'Отчет 24-30.11'!D:D,"Выручка",'Отчет 24-30.11'!E:E,B16)</f>
        <v>2</v>
      </c>
      <c r="Q16" s="48">
        <f>SUMIFS('Отчет 24-30.11'!H:H,'Отчет 24-30.11'!D:D,"Возврат выручки",'Отчет 24-30.11'!E:E,B16)</f>
        <v>1</v>
      </c>
      <c r="R16" s="49">
        <f t="shared" si="17"/>
        <v>1</v>
      </c>
      <c r="S16" s="50">
        <f>SUMIFS('Отчет 24-30.11'!P:P,'Отчет 24-30.11'!C:C,"Продажи",'Отчет 24-30.11'!E:E,B16)</f>
        <v>2596</v>
      </c>
      <c r="T16" s="51">
        <f>SUMIFS('Отчет 24-30.11'!P:P,'Отчет 24-30.11'!C:C,"Возвраты",'Отчет 24-30.11'!E:E,B16)</f>
        <v>-1298</v>
      </c>
      <c r="U16" s="49">
        <f t="shared" si="3"/>
        <v>1298</v>
      </c>
      <c r="V16" s="52">
        <f t="shared" si="4"/>
        <v>0.21633333333333332</v>
      </c>
      <c r="W16" s="53">
        <f t="shared" si="5"/>
        <v>169.89</v>
      </c>
      <c r="X16" s="51">
        <f>-SUMIFS('Отчет 24-30.11'!P:P,'Отчет 24-30.11'!C:C,"Вознаграждение Ozon",'Отчет 24-30.11'!E:E,B16)</f>
        <v>558.14</v>
      </c>
      <c r="Y16" s="54">
        <f t="shared" si="6"/>
        <v>0.43</v>
      </c>
      <c r="Z16" s="51">
        <f>-SUMIFS('Отчет 24-30.11'!P:P,'Отчет 24-30.11'!C:C,"Услуги доставки",'Отчет 24-30.11'!E:E,B16)</f>
        <v>228.41000000000003</v>
      </c>
      <c r="AA16" s="41">
        <v>0</v>
      </c>
      <c r="AB16" s="64"/>
      <c r="AC16" s="51"/>
      <c r="AD16" s="55">
        <f t="shared" si="7"/>
        <v>77.88</v>
      </c>
      <c r="AE16" s="56">
        <f t="shared" si="8"/>
        <v>263.68000000000012</v>
      </c>
      <c r="AF16" s="55"/>
      <c r="AG16" s="57">
        <f t="shared" si="9"/>
        <v>1298</v>
      </c>
      <c r="AH16" s="58">
        <f t="shared" si="10"/>
        <v>169.89</v>
      </c>
      <c r="AI16" s="58">
        <f t="shared" si="11"/>
        <v>558.14</v>
      </c>
      <c r="AJ16" s="58">
        <f t="shared" si="12"/>
        <v>114.20500000000001</v>
      </c>
      <c r="AK16" s="58">
        <f t="shared" si="13"/>
        <v>0</v>
      </c>
      <c r="AL16" s="58">
        <f t="array" ref="AL16">_xlfn.IFS(R16=0,AE16,R16&lt;0,AE16/-R16,R16&gt;0,AE16/R16)</f>
        <v>263.68000000000012</v>
      </c>
      <c r="AM16" s="59">
        <f t="shared" si="14"/>
        <v>0.20314329738058562</v>
      </c>
      <c r="AN16" s="60">
        <f t="shared" si="15"/>
        <v>1.5520630996527174</v>
      </c>
      <c r="AP16" s="62">
        <f t="shared" si="16"/>
        <v>6855.680000000003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</v>
      </c>
      <c r="P17" s="48">
        <f>SUMIFS('Отчет 24-30.11'!H:H,'Отчет 24-30.11'!D:D,"Выручка",'Отчет 24-30.11'!E:E,B17)</f>
        <v>0</v>
      </c>
      <c r="Q17" s="48">
        <f>SUMIFS('Отчет 24-30.11'!H:H,'Отчет 24-30.11'!D:D,"Возврат выручки",'Отчет 24-30.11'!E:E,B17)</f>
        <v>0</v>
      </c>
      <c r="R17" s="49">
        <f t="shared" si="17"/>
        <v>0</v>
      </c>
      <c r="S17" s="50">
        <f>SUMIFS('Отчет 24-30.11'!P:P,'Отчет 24-30.11'!C:C,"Продажи",'Отчет 24-30.11'!E:E,B17)</f>
        <v>0</v>
      </c>
      <c r="T17" s="51">
        <f>SUMIFS('Отчет 24-30.11'!P:P,'Отчет 24-30.11'!C:C,"Возвраты",'Отчет 24-30.11'!E:E,B17)</f>
        <v>0</v>
      </c>
      <c r="U17" s="49">
        <f t="shared" si="3"/>
        <v>0</v>
      </c>
      <c r="V17" s="52">
        <f t="shared" si="4"/>
        <v>0</v>
      </c>
      <c r="W17" s="53">
        <f t="shared" si="5"/>
        <v>0</v>
      </c>
      <c r="X17" s="51">
        <f>-SUMIFS('Отчет 24-30.11'!P:P,'Отчет 24-30.11'!C:C,"Вознаграждение Ozon",'Отчет 24-30.11'!E:E,B17)</f>
        <v>0</v>
      </c>
      <c r="Y17" s="54">
        <f t="shared" si="6"/>
        <v>0</v>
      </c>
      <c r="Z17" s="51">
        <f>-SUMIFS('Отчет 24-30.11'!P:P,'Отчет 24-30.11'!C:C,"Услуги доставки",'Отчет 24-30.11'!E:E,B17)</f>
        <v>0</v>
      </c>
      <c r="AA17" s="41">
        <v>0</v>
      </c>
      <c r="AB17" s="64"/>
      <c r="AC17" s="51"/>
      <c r="AD17" s="55">
        <f t="shared" si="7"/>
        <v>0</v>
      </c>
      <c r="AE17" s="56">
        <f t="shared" si="8"/>
        <v>0</v>
      </c>
      <c r="AF17" s="55"/>
      <c r="AG17" s="57">
        <f t="shared" si="9"/>
        <v>0</v>
      </c>
      <c r="AH17" s="58">
        <f t="shared" si="10"/>
        <v>1002.82</v>
      </c>
      <c r="AI17" s="58">
        <f t="shared" si="11"/>
        <v>0</v>
      </c>
      <c r="AJ17" s="58">
        <f t="shared" si="12"/>
        <v>0</v>
      </c>
      <c r="AK17" s="58">
        <f t="shared" si="13"/>
        <v>0</v>
      </c>
      <c r="AL17" s="58">
        <f t="array" ref="AL17">_xlfn.IFS(R17=0,AE17,R17&lt;0,AE17/-R17,R17&gt;0,AE17/R17)</f>
        <v>0</v>
      </c>
      <c r="AM17" s="59">
        <f t="shared" si="14"/>
        <v>0</v>
      </c>
      <c r="AN17" s="60">
        <f t="shared" si="15"/>
        <v>0</v>
      </c>
      <c r="AP17" s="62">
        <f t="shared" si="16"/>
        <v>0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24-30.11'!H:H,'Отчет 24-30.11'!D:D,"Выручка",'Отчет 24-30.11'!E:E,B18)</f>
        <v>0</v>
      </c>
      <c r="Q18" s="48">
        <f>SUMIFS('Отчет 24-30.11'!H:H,'Отчет 24-30.11'!D:D,"Возврат выручки",'Отчет 24-30.11'!E:E,B18)</f>
        <v>0</v>
      </c>
      <c r="R18" s="49">
        <f t="shared" si="17"/>
        <v>0</v>
      </c>
      <c r="S18" s="50">
        <f>SUMIFS('Отчет 24-30.11'!P:P,'Отчет 24-30.11'!C:C,"Продажи",'Отчет 24-30.11'!E:E,B18)</f>
        <v>0</v>
      </c>
      <c r="T18" s="51">
        <f>SUMIFS('Отчет 24-30.11'!P:P,'Отчет 24-30.11'!C:C,"Возвраты",'Отчет 24-30.11'!E:E,B18)</f>
        <v>0</v>
      </c>
      <c r="U18" s="49">
        <f t="shared" si="3"/>
        <v>0</v>
      </c>
      <c r="V18" s="52">
        <f t="shared" si="4"/>
        <v>0</v>
      </c>
      <c r="W18" s="53">
        <f t="shared" si="5"/>
        <v>0</v>
      </c>
      <c r="X18" s="51">
        <f>-SUMIFS('Отчет 24-30.11'!P:P,'Отчет 24-30.11'!C:C,"Вознаграждение Ozon",'Отчет 24-30.11'!E:E,B18)</f>
        <v>0</v>
      </c>
      <c r="Y18" s="54">
        <f t="shared" si="6"/>
        <v>0</v>
      </c>
      <c r="Z18" s="51">
        <f>-SUMIFS('Отчет 24-30.11'!P:P,'Отчет 24-30.11'!C:C,"Услуги доставки",'Отчет 24-30.11'!E:E,B18)</f>
        <v>0</v>
      </c>
      <c r="AA18" s="41">
        <v>0</v>
      </c>
      <c r="AB18" s="64"/>
      <c r="AC18" s="51"/>
      <c r="AD18" s="55">
        <f t="shared" si="7"/>
        <v>0</v>
      </c>
      <c r="AE18" s="56">
        <f t="shared" si="8"/>
        <v>0</v>
      </c>
      <c r="AF18" s="55"/>
      <c r="AG18" s="57">
        <f t="shared" si="9"/>
        <v>0</v>
      </c>
      <c r="AH18" s="58">
        <f t="shared" si="10"/>
        <v>909.22</v>
      </c>
      <c r="AI18" s="58">
        <f t="shared" si="11"/>
        <v>0</v>
      </c>
      <c r="AJ18" s="58">
        <f t="shared" si="12"/>
        <v>0</v>
      </c>
      <c r="AK18" s="58">
        <f t="shared" si="13"/>
        <v>0</v>
      </c>
      <c r="AL18" s="58">
        <f t="array" ref="AL18">_xlfn.IFS(R18=0,AE18,R18&lt;0,AE18/-R18,R18&gt;0,AE18/R18)</f>
        <v>0</v>
      </c>
      <c r="AM18" s="59">
        <f t="shared" si="14"/>
        <v>0</v>
      </c>
      <c r="AN18" s="60">
        <f t="shared" si="15"/>
        <v>0</v>
      </c>
      <c r="AP18" s="62">
        <f t="shared" si="16"/>
        <v>0</v>
      </c>
    </row>
    <row r="19" spans="1:52" ht="13.75" customHeight="1">
      <c r="A19" s="39">
        <v>2807226016</v>
      </c>
      <c r="B19" s="40" t="s">
        <v>231</v>
      </c>
      <c r="C19" s="41"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24-30.11'!H:H,'Отчет 24-30.11'!D:D,"Выручка",'Отчет 24-30.11'!E:E,B19)</f>
        <v>0</v>
      </c>
      <c r="Q19" s="48">
        <f>SUMIFS('Отчет 24-30.11'!H:H,'Отчет 24-30.11'!D:D,"Возврат выручки",'Отчет 24-30.11'!E:E,B19)</f>
        <v>0</v>
      </c>
      <c r="R19" s="49">
        <f t="shared" si="17"/>
        <v>0</v>
      </c>
      <c r="S19" s="50">
        <f>SUMIFS('Отчет 24-30.11'!P:P,'Отчет 24-30.11'!C:C,"Продажи",'Отчет 24-30.11'!E:E,B19)</f>
        <v>0</v>
      </c>
      <c r="T19" s="51">
        <f>SUMIFS('Отчет 24-30.11'!P:P,'Отчет 24-30.11'!C:C,"Возвраты",'Отчет 24-30.11'!E:E,B19)</f>
        <v>0</v>
      </c>
      <c r="U19" s="49">
        <f t="shared" si="3"/>
        <v>0</v>
      </c>
      <c r="V19" s="52">
        <f t="shared" si="4"/>
        <v>0</v>
      </c>
      <c r="W19" s="53">
        <f t="shared" si="5"/>
        <v>0</v>
      </c>
      <c r="X19" s="51">
        <f>-SUMIFS('Отчет 24-30.11'!P:P,'Отчет 24-30.11'!C:C,"Вознаграждение Ozon",'Отчет 24-30.11'!E:E,B19)</f>
        <v>0</v>
      </c>
      <c r="Y19" s="54">
        <f t="shared" si="6"/>
        <v>0</v>
      </c>
      <c r="Z19" s="51">
        <f>-SUMIFS('Отчет 24-30.11'!P:P,'Отчет 24-30.11'!C:C,"Услуги доставки",'Отчет 24-30.11'!E:E,B19)</f>
        <v>0</v>
      </c>
      <c r="AA19" s="41">
        <v>0</v>
      </c>
      <c r="AB19" s="64"/>
      <c r="AC19" s="51"/>
      <c r="AD19" s="55">
        <f t="shared" si="7"/>
        <v>0</v>
      </c>
      <c r="AE19" s="56">
        <f t="shared" si="8"/>
        <v>0</v>
      </c>
      <c r="AF19" s="55"/>
      <c r="AG19" s="57">
        <f t="shared" si="9"/>
        <v>0</v>
      </c>
      <c r="AH19" s="58">
        <f t="shared" si="10"/>
        <v>909.22</v>
      </c>
      <c r="AI19" s="58">
        <f t="shared" si="11"/>
        <v>0</v>
      </c>
      <c r="AJ19" s="58">
        <f t="shared" si="12"/>
        <v>0</v>
      </c>
      <c r="AK19" s="58">
        <f t="shared" si="13"/>
        <v>0</v>
      </c>
      <c r="AL19" s="58">
        <f t="array" ref="AL19">_xlfn.IFS(R19=0,AE19,R19&lt;0,AE19/-R19,R19&gt;0,AE19/R19)</f>
        <v>0</v>
      </c>
      <c r="AM19" s="59">
        <f t="shared" si="14"/>
        <v>0</v>
      </c>
      <c r="AN19" s="60">
        <f t="shared" si="15"/>
        <v>0</v>
      </c>
      <c r="AP19" s="62">
        <f t="shared" si="16"/>
        <v>0</v>
      </c>
    </row>
    <row r="20" spans="1:52" ht="13.75" customHeight="1">
      <c r="A20" s="39">
        <v>2807226072</v>
      </c>
      <c r="B20" s="40" t="s">
        <v>111</v>
      </c>
      <c r="C20" s="41">
        <v>2</v>
      </c>
      <c r="D20" s="42"/>
      <c r="E20" s="42"/>
      <c r="F20" s="42"/>
      <c r="G20" s="43"/>
      <c r="H20" s="44">
        <v>932.62</v>
      </c>
      <c r="I20" s="63">
        <f t="shared" si="0"/>
        <v>1865.24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24-30.11'!H:H,'Отчет 24-30.11'!D:D,"Выручка",'Отчет 24-30.11'!E:E,B20)</f>
        <v>0</v>
      </c>
      <c r="Q20" s="48">
        <f>SUMIFS('Отчет 24-30.11'!H:H,'Отчет 24-30.11'!D:D,"Возврат выручки",'Отчет 24-30.11'!E:E,B20)</f>
        <v>0</v>
      </c>
      <c r="R20" s="49">
        <f t="shared" si="17"/>
        <v>0</v>
      </c>
      <c r="S20" s="50">
        <f>SUMIFS('Отчет 24-30.11'!P:P,'Отчет 24-30.11'!C:C,"Продажи",'Отчет 24-30.11'!E:E,B20)</f>
        <v>0</v>
      </c>
      <c r="T20" s="51">
        <f>SUMIFS('Отчет 24-30.11'!P:P,'Отчет 24-30.11'!C:C,"Возвраты",'Отчет 24-30.11'!E:E,B20)</f>
        <v>0</v>
      </c>
      <c r="U20" s="49">
        <f t="shared" si="3"/>
        <v>0</v>
      </c>
      <c r="V20" s="52">
        <f t="shared" si="4"/>
        <v>0</v>
      </c>
      <c r="W20" s="53">
        <f t="shared" si="5"/>
        <v>0</v>
      </c>
      <c r="X20" s="51">
        <f>-SUMIFS('Отчет 24-30.11'!P:P,'Отчет 24-30.11'!C:C,"Вознаграждение Ozon",'Отчет 24-30.11'!E:E,B20)</f>
        <v>0</v>
      </c>
      <c r="Y20" s="54">
        <f t="shared" si="6"/>
        <v>0</v>
      </c>
      <c r="Z20" s="51">
        <f>-SUMIFS('Отчет 24-30.11'!P:P,'Отчет 24-30.11'!C:C,"Услуги доставки",'Отчет 24-30.11'!E:E,B20)</f>
        <v>0</v>
      </c>
      <c r="AA20" s="41">
        <v>0</v>
      </c>
      <c r="AB20" s="64"/>
      <c r="AC20" s="51"/>
      <c r="AD20" s="55">
        <f t="shared" si="7"/>
        <v>0</v>
      </c>
      <c r="AE20" s="56">
        <f t="shared" si="8"/>
        <v>0</v>
      </c>
      <c r="AF20" s="55"/>
      <c r="AG20" s="57">
        <f t="shared" si="9"/>
        <v>0</v>
      </c>
      <c r="AH20" s="58">
        <f t="shared" si="10"/>
        <v>932.62</v>
      </c>
      <c r="AI20" s="58">
        <f t="shared" si="11"/>
        <v>0</v>
      </c>
      <c r="AJ20" s="58">
        <f t="shared" si="12"/>
        <v>0</v>
      </c>
      <c r="AK20" s="58">
        <f t="shared" si="13"/>
        <v>0</v>
      </c>
      <c r="AL20" s="58">
        <f t="array" ref="AL20">_xlfn.IFS(R20=0,AE20,R20&lt;0,AE20/-R20,R20&gt;0,AE20/R20)</f>
        <v>0</v>
      </c>
      <c r="AM20" s="59">
        <f t="shared" si="14"/>
        <v>0</v>
      </c>
      <c r="AN20" s="60">
        <f t="shared" si="15"/>
        <v>0</v>
      </c>
      <c r="AP20" s="62">
        <f t="shared" si="16"/>
        <v>0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24-30.11'!H:H,'Отчет 24-30.11'!D:D,"Выручка",'Отчет 24-30.11'!E:E,B21)</f>
        <v>0</v>
      </c>
      <c r="Q21" s="48">
        <f>SUMIFS('Отчет 24-30.11'!H:H,'Отчет 24-30.11'!D:D,"Возврат выручки",'Отчет 24-30.11'!E:E,B21)</f>
        <v>0</v>
      </c>
      <c r="R21" s="49">
        <f t="shared" si="17"/>
        <v>0</v>
      </c>
      <c r="S21" s="50">
        <f>SUMIFS('Отчет 24-30.11'!P:P,'Отчет 24-30.11'!C:C,"Продажи",'Отчет 24-30.11'!E:E,B21)</f>
        <v>0</v>
      </c>
      <c r="T21" s="51">
        <f>SUMIFS('Отчет 24-30.11'!P:P,'Отчет 24-30.11'!C:C,"Возвраты",'Отчет 24-30.11'!E:E,B21)</f>
        <v>0</v>
      </c>
      <c r="U21" s="49">
        <f t="shared" si="3"/>
        <v>0</v>
      </c>
      <c r="V21" s="52">
        <f t="shared" si="4"/>
        <v>0</v>
      </c>
      <c r="W21" s="53">
        <f t="shared" si="5"/>
        <v>0</v>
      </c>
      <c r="X21" s="51">
        <f>-SUMIFS('Отчет 24-30.11'!P:P,'Отчет 24-30.11'!C:C,"Вознаграждение Ozon",'Отчет 24-30.11'!E:E,B21)</f>
        <v>0</v>
      </c>
      <c r="Y21" s="54">
        <f t="shared" si="6"/>
        <v>0</v>
      </c>
      <c r="Z21" s="51">
        <f>-SUMIFS('Отчет 24-30.11'!P:P,'Отчет 24-30.11'!C:C,"Услуги доставки",'Отчет 24-30.11'!E:E,B21)</f>
        <v>0</v>
      </c>
      <c r="AA21" s="41">
        <v>0</v>
      </c>
      <c r="AB21" s="64"/>
      <c r="AC21" s="51"/>
      <c r="AD21" s="55">
        <f t="shared" si="7"/>
        <v>0</v>
      </c>
      <c r="AE21" s="56">
        <f t="shared" si="8"/>
        <v>0</v>
      </c>
      <c r="AF21" s="55"/>
      <c r="AG21" s="57">
        <f t="shared" si="9"/>
        <v>0</v>
      </c>
      <c r="AH21" s="58">
        <f t="shared" si="10"/>
        <v>1014.52</v>
      </c>
      <c r="AI21" s="58">
        <f t="shared" si="11"/>
        <v>0</v>
      </c>
      <c r="AJ21" s="58">
        <f t="shared" si="12"/>
        <v>0</v>
      </c>
      <c r="AK21" s="58">
        <f t="shared" si="13"/>
        <v>0</v>
      </c>
      <c r="AL21" s="58">
        <f t="array" ref="AL21">_xlfn.IFS(R21=0,AE21,R21&lt;0,AE21/-R21,R21&gt;0,AE21/R21)</f>
        <v>0</v>
      </c>
      <c r="AM21" s="59">
        <f t="shared" si="14"/>
        <v>0</v>
      </c>
      <c r="AN21" s="60">
        <f t="shared" si="15"/>
        <v>0</v>
      </c>
      <c r="AP21" s="62">
        <f t="shared" si="16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24-30.11'!H:H,'Отчет 24-30.11'!D:D,"Выручка",'Отчет 24-30.11'!E:E,B22)</f>
        <v>0</v>
      </c>
      <c r="Q22" s="48">
        <f>SUMIFS('Отчет 24-30.11'!H:H,'Отчет 24-30.11'!D:D,"Возврат выручки",'Отчет 24-30.11'!E:E,B22)</f>
        <v>0</v>
      </c>
      <c r="R22" s="49">
        <f t="shared" si="17"/>
        <v>0</v>
      </c>
      <c r="S22" s="50">
        <f>SUMIFS('Отчет 24-30.11'!P:P,'Отчет 24-30.11'!C:C,"Продажи",'Отчет 24-30.11'!E:E,B22)</f>
        <v>0</v>
      </c>
      <c r="T22" s="51">
        <f>SUMIFS('Отчет 24-30.11'!P:P,'Отчет 24-30.11'!C:C,"Возвраты",'Отчет 24-30.11'!E:E,B22)</f>
        <v>0</v>
      </c>
      <c r="U22" s="49">
        <f t="shared" si="3"/>
        <v>0</v>
      </c>
      <c r="V22" s="52">
        <f t="shared" si="4"/>
        <v>0</v>
      </c>
      <c r="W22" s="53">
        <f t="shared" si="5"/>
        <v>0</v>
      </c>
      <c r="X22" s="51">
        <f>-SUMIFS('Отчет 24-30.11'!P:P,'Отчет 24-30.11'!C:C,"Вознаграждение Ozon",'Отчет 24-30.11'!E:E,B22)</f>
        <v>0</v>
      </c>
      <c r="Y22" s="54">
        <f t="shared" si="6"/>
        <v>0</v>
      </c>
      <c r="Z22" s="51">
        <f>-SUMIFS('Отчет 24-30.11'!P:P,'Отчет 24-30.11'!C:C,"Услуги доставки",'Отчет 24-30.11'!E:E,B22)</f>
        <v>0</v>
      </c>
      <c r="AA22" s="41">
        <v>0</v>
      </c>
      <c r="AB22" s="64"/>
      <c r="AC22" s="51"/>
      <c r="AD22" s="55">
        <f t="shared" si="7"/>
        <v>0</v>
      </c>
      <c r="AE22" s="56">
        <f t="shared" si="8"/>
        <v>0</v>
      </c>
      <c r="AF22" s="55"/>
      <c r="AG22" s="57">
        <f t="shared" si="9"/>
        <v>0</v>
      </c>
      <c r="AH22" s="58">
        <f t="shared" si="10"/>
        <v>1014.52</v>
      </c>
      <c r="AI22" s="58">
        <f t="shared" si="11"/>
        <v>0</v>
      </c>
      <c r="AJ22" s="58">
        <f t="shared" si="12"/>
        <v>0</v>
      </c>
      <c r="AK22" s="58">
        <f t="shared" si="13"/>
        <v>0</v>
      </c>
      <c r="AL22" s="58">
        <f t="array" ref="AL22">_xlfn.IFS(R22=0,AE22,R22&lt;0,AE22/-R22,R22&gt;0,AE22/R22)</f>
        <v>0</v>
      </c>
      <c r="AM22" s="59">
        <f t="shared" si="14"/>
        <v>0</v>
      </c>
      <c r="AN22" s="60">
        <f t="shared" si="15"/>
        <v>0</v>
      </c>
      <c r="AP22" s="62">
        <f t="shared" si="16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"/>
        <v>0</v>
      </c>
      <c r="O23" s="47">
        <f t="shared" si="2"/>
        <v>0</v>
      </c>
      <c r="P23" s="48">
        <f>SUMIFS('Отчет 24-30.11'!H:H,'Отчет 24-30.11'!D:D,"Выручка",'Отчет 24-30.11'!E:E,B23)</f>
        <v>0</v>
      </c>
      <c r="Q23" s="48">
        <f>SUMIFS('Отчет 24-30.11'!H:H,'Отчет 24-30.11'!D:D,"Возврат выручки",'Отчет 24-30.11'!E:E,B23)</f>
        <v>0</v>
      </c>
      <c r="R23" s="49">
        <f t="shared" si="17"/>
        <v>0</v>
      </c>
      <c r="S23" s="50">
        <f>SUMIFS('Отчет 24-30.11'!P:P,'Отчет 24-30.11'!C:C,"Продажи",'Отчет 24-30.11'!E:E,B23)</f>
        <v>0</v>
      </c>
      <c r="T23" s="51">
        <f>SUMIFS('Отчет 24-30.11'!P:P,'Отчет 24-30.11'!C:C,"Возвраты",'Отчет 24-30.11'!E:E,B23)</f>
        <v>0</v>
      </c>
      <c r="U23" s="49">
        <f t="shared" si="3"/>
        <v>0</v>
      </c>
      <c r="V23" s="52">
        <f t="shared" si="4"/>
        <v>0</v>
      </c>
      <c r="W23" s="53">
        <f t="shared" si="5"/>
        <v>0</v>
      </c>
      <c r="X23" s="51">
        <f>-SUMIFS('Отчет 24-30.11'!P:P,'Отчет 24-30.11'!C:C,"Вознаграждение Ozon",'Отчет 24-30.11'!E:E,B23)</f>
        <v>0</v>
      </c>
      <c r="Y23" s="54">
        <f t="shared" si="6"/>
        <v>0</v>
      </c>
      <c r="Z23" s="51">
        <f>-SUMIFS('Отчет 24-30.11'!P:P,'Отчет 24-30.11'!C:C,"Услуги доставки",'Отчет 24-30.11'!E:E,B23)</f>
        <v>0</v>
      </c>
      <c r="AA23" s="41">
        <v>0</v>
      </c>
      <c r="AB23" s="64"/>
      <c r="AC23" s="51"/>
      <c r="AD23" s="55">
        <f t="shared" si="7"/>
        <v>0</v>
      </c>
      <c r="AE23" s="56">
        <f t="shared" si="8"/>
        <v>0</v>
      </c>
      <c r="AF23" s="55"/>
      <c r="AG23" s="57">
        <f t="shared" si="9"/>
        <v>0</v>
      </c>
      <c r="AH23" s="58">
        <f t="shared" si="10"/>
        <v>1014.52</v>
      </c>
      <c r="AI23" s="58">
        <f t="shared" si="11"/>
        <v>0</v>
      </c>
      <c r="AJ23" s="58">
        <f t="shared" si="12"/>
        <v>0</v>
      </c>
      <c r="AK23" s="58">
        <f t="shared" si="13"/>
        <v>0</v>
      </c>
      <c r="AL23" s="58">
        <f t="array" ref="AL23">_xlfn.IFS(R23=0,AE23,R23&lt;0,AE23/-R23,R23&gt;0,AE23/R23)</f>
        <v>0</v>
      </c>
      <c r="AM23" s="59">
        <f t="shared" si="14"/>
        <v>0</v>
      </c>
      <c r="AN23" s="60">
        <f t="shared" si="15"/>
        <v>0</v>
      </c>
      <c r="AP23" s="62">
        <f t="shared" si="16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"/>
        <v>0</v>
      </c>
      <c r="O24" s="47">
        <f t="shared" si="2"/>
        <v>0</v>
      </c>
      <c r="P24" s="48">
        <f>SUMIFS('Отчет 24-30.11'!H:H,'Отчет 24-30.11'!D:D,"Выручка",'Отчет 24-30.11'!E:E,B24)</f>
        <v>0</v>
      </c>
      <c r="Q24" s="48">
        <f>SUMIFS('Отчет 24-30.11'!H:H,'Отчет 24-30.11'!D:D,"Возврат выручки",'Отчет 24-30.11'!E:E,B24)</f>
        <v>0</v>
      </c>
      <c r="R24" s="49">
        <f t="shared" si="17"/>
        <v>0</v>
      </c>
      <c r="S24" s="50">
        <f>SUMIFS('Отчет 24-30.11'!P:P,'Отчет 24-30.11'!C:C,"Продажи",'Отчет 24-30.11'!E:E,B24)</f>
        <v>0</v>
      </c>
      <c r="T24" s="51">
        <f>SUMIFS('Отчет 24-30.11'!P:P,'Отчет 24-30.11'!C:C,"Возвраты",'Отчет 24-30.11'!E:E,B24)</f>
        <v>0</v>
      </c>
      <c r="U24" s="49">
        <f t="shared" si="3"/>
        <v>0</v>
      </c>
      <c r="V24" s="52">
        <f t="shared" si="4"/>
        <v>0</v>
      </c>
      <c r="W24" s="53">
        <f t="shared" si="5"/>
        <v>0</v>
      </c>
      <c r="X24" s="51">
        <f>-SUMIFS('Отчет 24-30.11'!P:P,'Отчет 24-30.11'!C:C,"Вознаграждение Ozon",'Отчет 24-30.11'!E:E,B24)</f>
        <v>0</v>
      </c>
      <c r="Y24" s="54">
        <f t="shared" si="6"/>
        <v>0</v>
      </c>
      <c r="Z24" s="51">
        <f>-SUMIFS('Отчет 24-30.11'!P:P,'Отчет 24-30.11'!C:C,"Услуги доставки",'Отчет 24-30.11'!E:E,B24)</f>
        <v>0</v>
      </c>
      <c r="AA24" s="41">
        <v>0</v>
      </c>
      <c r="AB24" s="64"/>
      <c r="AC24" s="51"/>
      <c r="AD24" s="55">
        <f t="shared" si="7"/>
        <v>0</v>
      </c>
      <c r="AE24" s="56">
        <f t="shared" si="8"/>
        <v>0</v>
      </c>
      <c r="AF24" s="55"/>
      <c r="AG24" s="57">
        <f t="shared" si="9"/>
        <v>0</v>
      </c>
      <c r="AH24" s="58">
        <f t="shared" si="10"/>
        <v>991.12</v>
      </c>
      <c r="AI24" s="58">
        <f t="shared" si="11"/>
        <v>0</v>
      </c>
      <c r="AJ24" s="58">
        <f t="shared" si="12"/>
        <v>0</v>
      </c>
      <c r="AK24" s="58">
        <f t="shared" si="13"/>
        <v>0</v>
      </c>
      <c r="AL24" s="58">
        <f t="array" ref="AL24">_xlfn.IFS(R24=0,AE24,R24&lt;0,AE24/-R24,R24&gt;0,AE24/R24)</f>
        <v>0</v>
      </c>
      <c r="AM24" s="59">
        <f t="shared" si="14"/>
        <v>0</v>
      </c>
      <c r="AN24" s="60">
        <f t="shared" si="15"/>
        <v>0</v>
      </c>
      <c r="AP24" s="62">
        <f t="shared" si="16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8">AVERAGEIF(AG3:AG24,"&lt;&gt;0",AG3:AG24)</f>
        <v>1617.9761904761906</v>
      </c>
      <c r="AH25" s="247">
        <f t="shared" si="18"/>
        <v>447.87636363636369</v>
      </c>
      <c r="AI25" s="247">
        <f t="shared" si="18"/>
        <v>695.72976190476186</v>
      </c>
      <c r="AJ25" s="247">
        <f t="shared" si="18"/>
        <v>160.04159863945577</v>
      </c>
      <c r="AK25" s="247">
        <f t="shared" si="18"/>
        <v>657.23412572619043</v>
      </c>
      <c r="AL25" s="247">
        <f t="shared" si="18"/>
        <v>-169.28444381547621</v>
      </c>
      <c r="AM25" s="249">
        <f t="shared" si="18"/>
        <v>-7.7741305862280521E-2</v>
      </c>
      <c r="AN25" s="249">
        <f t="shared" si="18"/>
        <v>-1.3608044214290569</v>
      </c>
      <c r="AO25" s="240"/>
      <c r="AP25" s="241"/>
    </row>
    <row r="26" spans="1:52">
      <c r="A26" s="216" t="s">
        <v>305</v>
      </c>
      <c r="B26" s="209"/>
      <c r="C26" s="217">
        <f>SUM(C3:C24)</f>
        <v>4140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543860.41</v>
      </c>
      <c r="J26" s="212"/>
      <c r="K26" s="217">
        <f>SUM(K3:K24)</f>
        <v>69</v>
      </c>
      <c r="L26" s="212"/>
      <c r="M26" s="212"/>
      <c r="N26" s="213"/>
      <c r="O26" s="214"/>
      <c r="P26" s="217">
        <f>SUM(P3:P24)</f>
        <v>36</v>
      </c>
      <c r="Q26" s="217">
        <f t="shared" ref="Q26:AE26" si="19">SUM(Q3:Q24)</f>
        <v>4</v>
      </c>
      <c r="R26" s="217">
        <f t="shared" si="19"/>
        <v>32</v>
      </c>
      <c r="S26" s="237">
        <f>SUM(S3:S24)</f>
        <v>56557</v>
      </c>
      <c r="T26" s="217">
        <f t="shared" si="19"/>
        <v>-6081</v>
      </c>
      <c r="U26" s="217">
        <f t="shared" si="19"/>
        <v>50476</v>
      </c>
      <c r="V26" s="256">
        <f t="shared" si="19"/>
        <v>8.4126666666666665</v>
      </c>
      <c r="W26" s="217">
        <f t="shared" si="19"/>
        <v>4310.76</v>
      </c>
      <c r="X26" s="217">
        <f t="shared" si="19"/>
        <v>21704.68</v>
      </c>
      <c r="Y26" s="215">
        <f>IF(U26=0,0,X26/U26)</f>
        <v>0.43</v>
      </c>
      <c r="Z26" s="217">
        <f t="shared" si="19"/>
        <v>5747.3700000000008</v>
      </c>
      <c r="AA26" s="217">
        <f>IFERROR(P26*AA51/P51,0)</f>
        <v>21570.101052631577</v>
      </c>
      <c r="AB26" s="217">
        <f t="shared" si="19"/>
        <v>0</v>
      </c>
      <c r="AC26" s="217">
        <f t="shared" si="19"/>
        <v>0</v>
      </c>
      <c r="AD26" s="238">
        <f t="shared" si="19"/>
        <v>3028.5600000000004</v>
      </c>
      <c r="AE26" s="239">
        <f t="shared" si="19"/>
        <v>-2183.795314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-531794.29414652381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17868.425314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16</v>
      </c>
      <c r="D28" s="42"/>
      <c r="E28" s="42"/>
      <c r="F28" s="42"/>
      <c r="G28" s="43"/>
      <c r="H28" s="65">
        <v>672</v>
      </c>
      <c r="I28" s="63">
        <f t="shared" ref="I28:I46" si="20">C28*H28</f>
        <v>10752</v>
      </c>
      <c r="J28" s="45"/>
      <c r="K28" s="41">
        <v>1</v>
      </c>
      <c r="L28" s="45"/>
      <c r="M28" s="45"/>
      <c r="N28" s="46">
        <f t="shared" ref="N28:N47" si="21">K28/7</f>
        <v>0.14285714285714285</v>
      </c>
      <c r="O28" s="47">
        <f t="shared" ref="O28:O47" si="22">R28/7</f>
        <v>0</v>
      </c>
      <c r="P28" s="48">
        <f>SUMIFS('Отчет 24-30.11'!H:H,'Отчет 24-30.11'!D:D,"Выручка",'Отчет 24-30.11'!E:E,B28)</f>
        <v>0</v>
      </c>
      <c r="Q28" s="48">
        <f>SUMIFS('Отчет 24-30.11'!H:H,'Отчет 24-30.11'!D:D,"Возврат выручки",'Отчет 24-30.11'!E:E,B28)</f>
        <v>0</v>
      </c>
      <c r="R28" s="49">
        <f t="shared" ref="R28:R47" si="23">P28-Q28</f>
        <v>0</v>
      </c>
      <c r="S28" s="50">
        <f>SUMIFS('Отчет 24-30.11'!P:P,'Отчет 24-30.11'!C:C,"Продажи",'Отчет 24-30.11'!E:E,B28)</f>
        <v>0</v>
      </c>
      <c r="T28" s="51">
        <f>SUMIFS('Отчет 24-30.11'!P:P,'Отчет 24-30.11'!C:C,"Возвраты",'Отчет 24-30.11'!E:E,B28)</f>
        <v>0</v>
      </c>
      <c r="U28" s="49">
        <f t="shared" ref="U28:U47" si="24">S28+T28</f>
        <v>0</v>
      </c>
      <c r="V28" s="52">
        <f t="shared" ref="V28:V47" si="25">U28/$U$49</f>
        <v>0</v>
      </c>
      <c r="W28" s="53">
        <f t="shared" ref="W28:W47" si="26">R28*H28</f>
        <v>0</v>
      </c>
      <c r="X28" s="51">
        <f>-SUMIFS('Отчет 24-30.11'!P:P,'Отчет 24-30.11'!C:C,"Вознаграждение Ozon",'Отчет 24-30.11'!E:E,B28)</f>
        <v>0</v>
      </c>
      <c r="Y28" s="54">
        <f t="shared" ref="Y28:Y47" si="27">IF(U28=0,0,X28/U28)</f>
        <v>0</v>
      </c>
      <c r="Z28" s="51">
        <f>-SUMIFS('Отчет 24-30.11'!P:P,'Отчет 24-30.11'!C:C,"Услуги доставки",'Отчет 24-30.11'!E:E,B28)</f>
        <v>0</v>
      </c>
      <c r="AA28" s="41">
        <v>0</v>
      </c>
      <c r="AB28" s="64"/>
      <c r="AC28" s="51"/>
      <c r="AD28" s="55">
        <f t="shared" ref="AD28:AD47" si="28">U28*6%</f>
        <v>0</v>
      </c>
      <c r="AE28" s="56">
        <f t="shared" ref="AE28:AE47" si="29">U28-W28-X28-Z28-AA28-AB28-AC28-AD28</f>
        <v>0</v>
      </c>
      <c r="AF28" s="55"/>
      <c r="AG28" s="57">
        <f t="shared" ref="AG28:AG47" si="30">IF(R28=0,0,U28/R28)</f>
        <v>0</v>
      </c>
      <c r="AH28" s="58">
        <f t="shared" ref="AH28:AH47" si="31">H28</f>
        <v>672</v>
      </c>
      <c r="AI28" s="58">
        <f t="shared" ref="AI28:AI47" si="32">IF(R28=0,0,X28/R28)</f>
        <v>0</v>
      </c>
      <c r="AJ28" s="58">
        <f t="shared" ref="AJ28:AJ47" si="33">IF(P28=0,Z28/1,Z28/P28)</f>
        <v>0</v>
      </c>
      <c r="AK28" s="58">
        <f t="shared" ref="AK28:AK47" si="34">IF(P28=0,0,AA28/P28)</f>
        <v>0</v>
      </c>
      <c r="AL28" s="58">
        <f t="array" ref="AL28">_xlfn.IFS(R28=0,AE28,R28&lt;0,AE28/-R28,R28&gt;0,AE28/R28)</f>
        <v>0</v>
      </c>
      <c r="AM28" s="59">
        <f t="shared" ref="AM28:AM47" si="35">IF(AG28=0,0,AL28/AG28)</f>
        <v>0</v>
      </c>
      <c r="AN28" s="60">
        <f t="shared" ref="AN28:AN47" si="36">IF(AH28=0,0,AL28/AH28)</f>
        <v>0</v>
      </c>
      <c r="AP28" s="62">
        <f t="shared" ref="AP28:AP47" si="37">AL28*C28</f>
        <v>0</v>
      </c>
    </row>
    <row r="29" spans="1:52">
      <c r="A29" s="39">
        <v>2774708622</v>
      </c>
      <c r="B29" s="40" t="s">
        <v>43</v>
      </c>
      <c r="C29" s="41">
        <v>18</v>
      </c>
      <c r="D29" s="42"/>
      <c r="E29" s="42"/>
      <c r="F29" s="42"/>
      <c r="G29" s="43"/>
      <c r="H29" s="65">
        <v>627</v>
      </c>
      <c r="I29" s="63">
        <f t="shared" si="20"/>
        <v>11286</v>
      </c>
      <c r="J29" s="45"/>
      <c r="K29" s="41">
        <v>0</v>
      </c>
      <c r="L29" s="45"/>
      <c r="M29" s="45"/>
      <c r="N29" s="46">
        <f t="shared" si="21"/>
        <v>0</v>
      </c>
      <c r="O29" s="47">
        <f t="shared" si="22"/>
        <v>0.14285714285714285</v>
      </c>
      <c r="P29" s="48">
        <f>SUMIFS('Отчет 24-30.11'!H:H,'Отчет 24-30.11'!D:D,"Выручка",'Отчет 24-30.11'!E:E,B29)</f>
        <v>1</v>
      </c>
      <c r="Q29" s="48">
        <f>SUMIFS('Отчет 24-30.11'!H:H,'Отчет 24-30.11'!D:D,"Возврат выручки",'Отчет 24-30.11'!E:E,B29)</f>
        <v>0</v>
      </c>
      <c r="R29" s="49">
        <f t="shared" si="23"/>
        <v>1</v>
      </c>
      <c r="S29" s="50">
        <f>SUMIFS('Отчет 24-30.11'!P:P,'Отчет 24-30.11'!C:C,"Продажи",'Отчет 24-30.11'!E:E,B29)</f>
        <v>6000</v>
      </c>
      <c r="T29" s="51">
        <f>SUMIFS('Отчет 24-30.11'!P:P,'Отчет 24-30.11'!C:C,"Возвраты",'Отчет 24-30.11'!E:E,B29)</f>
        <v>0</v>
      </c>
      <c r="U29" s="49">
        <f t="shared" si="24"/>
        <v>6000</v>
      </c>
      <c r="V29" s="52">
        <f t="shared" si="25"/>
        <v>1</v>
      </c>
      <c r="W29" s="53">
        <f t="shared" si="26"/>
        <v>627</v>
      </c>
      <c r="X29" s="51">
        <f>-SUMIFS('Отчет 24-30.11'!P:P,'Отчет 24-30.11'!C:C,"Вознаграждение Ozon",'Отчет 24-30.11'!E:E,B29)</f>
        <v>2580</v>
      </c>
      <c r="Y29" s="54">
        <f t="shared" si="27"/>
        <v>0.43</v>
      </c>
      <c r="Z29" s="51">
        <f>-SUMIFS('Отчет 24-30.11'!P:P,'Отчет 24-30.11'!C:C,"Услуги доставки",'Отчет 24-30.11'!E:E,B29)</f>
        <v>269.60000000000002</v>
      </c>
      <c r="AA29" s="41">
        <v>600</v>
      </c>
      <c r="AB29" s="64"/>
      <c r="AC29" s="51"/>
      <c r="AD29" s="55">
        <f t="shared" si="28"/>
        <v>360</v>
      </c>
      <c r="AE29" s="56">
        <f t="shared" si="29"/>
        <v>1563.4</v>
      </c>
      <c r="AF29" s="55"/>
      <c r="AG29" s="57">
        <f t="shared" si="30"/>
        <v>6000</v>
      </c>
      <c r="AH29" s="58">
        <f t="shared" si="31"/>
        <v>627</v>
      </c>
      <c r="AI29" s="58">
        <f t="shared" si="32"/>
        <v>2580</v>
      </c>
      <c r="AJ29" s="58">
        <f t="shared" si="33"/>
        <v>269.60000000000002</v>
      </c>
      <c r="AK29" s="58">
        <f t="shared" si="34"/>
        <v>600</v>
      </c>
      <c r="AL29" s="58">
        <f t="array" ref="AL29">_xlfn.IFS(R29=0,AE29,R29&lt;0,AE29/-R29,R29&gt;0,AE29/R29)</f>
        <v>1563.4</v>
      </c>
      <c r="AM29" s="59">
        <f t="shared" si="35"/>
        <v>0.26056666666666667</v>
      </c>
      <c r="AN29" s="60">
        <f t="shared" si="36"/>
        <v>2.4934609250398725</v>
      </c>
      <c r="AP29" s="62">
        <f t="shared" si="37"/>
        <v>28141.200000000001</v>
      </c>
    </row>
    <row r="30" spans="1:52">
      <c r="A30" s="39">
        <v>2774709606</v>
      </c>
      <c r="B30" s="40" t="s">
        <v>235</v>
      </c>
      <c r="C30" s="41">
        <v>17</v>
      </c>
      <c r="D30" s="42"/>
      <c r="E30" s="42"/>
      <c r="F30" s="42"/>
      <c r="G30" s="43"/>
      <c r="H30" s="65">
        <v>627</v>
      </c>
      <c r="I30" s="63">
        <f t="shared" si="20"/>
        <v>10659</v>
      </c>
      <c r="J30" s="45"/>
      <c r="K30" s="41">
        <v>0</v>
      </c>
      <c r="L30" s="45"/>
      <c r="M30" s="45"/>
      <c r="N30" s="46">
        <f t="shared" si="21"/>
        <v>0</v>
      </c>
      <c r="O30" s="47">
        <f t="shared" si="22"/>
        <v>0</v>
      </c>
      <c r="P30" s="48">
        <f>SUMIFS('Отчет 24-30.11'!H:H,'Отчет 24-30.11'!D:D,"Выручка",'Отчет 24-30.11'!E:E,B30)</f>
        <v>1</v>
      </c>
      <c r="Q30" s="48">
        <f>SUMIFS('Отчет 24-30.11'!H:H,'Отчет 24-30.11'!D:D,"Возврат выручки",'Отчет 24-30.11'!E:E,B30)</f>
        <v>1</v>
      </c>
      <c r="R30" s="49">
        <f t="shared" si="23"/>
        <v>0</v>
      </c>
      <c r="S30" s="50">
        <f>SUMIFS('Отчет 24-30.11'!P:P,'Отчет 24-30.11'!C:C,"Продажи",'Отчет 24-30.11'!E:E,B30)</f>
        <v>6000</v>
      </c>
      <c r="T30" s="51">
        <f>SUMIFS('Отчет 24-30.11'!P:P,'Отчет 24-30.11'!C:C,"Возвраты",'Отчет 24-30.11'!E:E,B30)</f>
        <v>-6000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24-30.11'!P:P,'Отчет 24-30.11'!C:C,"Вознаграждение Ozon",'Отчет 24-30.11'!E:E,B30)</f>
        <v>0</v>
      </c>
      <c r="Y30" s="54">
        <f t="shared" si="27"/>
        <v>0</v>
      </c>
      <c r="Z30" s="51">
        <f>-SUMIFS('Отчет 24-30.11'!P:P,'Отчет 24-30.11'!C:C,"Услуги доставки",'Отчет 24-30.11'!E:E,B30)</f>
        <v>538.92000000000007</v>
      </c>
      <c r="AA30" s="41">
        <v>0</v>
      </c>
      <c r="AB30" s="64"/>
      <c r="AC30" s="51"/>
      <c r="AD30" s="55">
        <f t="shared" si="28"/>
        <v>0</v>
      </c>
      <c r="AE30" s="56">
        <f t="shared" si="29"/>
        <v>-538.92000000000007</v>
      </c>
      <c r="AF30" s="55"/>
      <c r="AG30" s="57">
        <f t="shared" si="30"/>
        <v>0</v>
      </c>
      <c r="AH30" s="58">
        <f t="shared" si="31"/>
        <v>627</v>
      </c>
      <c r="AI30" s="58">
        <f t="shared" si="32"/>
        <v>0</v>
      </c>
      <c r="AJ30" s="58">
        <f t="shared" si="33"/>
        <v>538.92000000000007</v>
      </c>
      <c r="AK30" s="58">
        <f t="shared" si="34"/>
        <v>0</v>
      </c>
      <c r="AL30" s="58">
        <f t="array" ref="AL30">_xlfn.IFS(R30=0,AE30,R30&lt;0,AE30/-R30,R30&gt;0,AE30/R30)</f>
        <v>-538.92000000000007</v>
      </c>
      <c r="AM30" s="59">
        <f t="shared" si="35"/>
        <v>0</v>
      </c>
      <c r="AN30" s="60">
        <f t="shared" si="36"/>
        <v>-0.85952153110047858</v>
      </c>
      <c r="AP30" s="62">
        <f t="shared" si="37"/>
        <v>-9161.6400000000012</v>
      </c>
    </row>
    <row r="31" spans="1:52">
      <c r="A31" s="39">
        <v>2774720465</v>
      </c>
      <c r="B31" s="40" t="s">
        <v>171</v>
      </c>
      <c r="C31" s="41">
        <v>18</v>
      </c>
      <c r="D31" s="42"/>
      <c r="E31" s="42"/>
      <c r="F31" s="42"/>
      <c r="G31" s="43"/>
      <c r="H31" s="65">
        <v>567</v>
      </c>
      <c r="I31" s="63">
        <f t="shared" si="20"/>
        <v>10206</v>
      </c>
      <c r="J31" s="45"/>
      <c r="K31" s="41">
        <v>0</v>
      </c>
      <c r="L31" s="45"/>
      <c r="M31" s="45"/>
      <c r="N31" s="46">
        <f t="shared" si="21"/>
        <v>0</v>
      </c>
      <c r="O31" s="47">
        <f t="shared" si="22"/>
        <v>0</v>
      </c>
      <c r="P31" s="48">
        <f>SUMIFS('Отчет 24-30.11'!H:H,'Отчет 24-30.11'!D:D,"Выручка",'Отчет 24-30.11'!E:E,B31)</f>
        <v>0</v>
      </c>
      <c r="Q31" s="48">
        <f>SUMIFS('Отчет 24-30.11'!H:H,'Отчет 24-30.11'!D:D,"Возврат выручки",'Отчет 24-30.11'!E:E,B31)</f>
        <v>0</v>
      </c>
      <c r="R31" s="49">
        <f t="shared" si="23"/>
        <v>0</v>
      </c>
      <c r="S31" s="50">
        <f>SUMIFS('Отчет 24-30.11'!P:P,'Отчет 24-30.11'!C:C,"Продажи",'Отчет 24-30.11'!E:E,B31)</f>
        <v>0</v>
      </c>
      <c r="T31" s="51">
        <f>SUMIFS('Отчет 24-30.11'!P:P,'Отчет 24-30.11'!C:C,"Возвраты",'Отчет 24-30.11'!E:E,B31)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24-30.11'!P:P,'Отчет 24-30.11'!C:C,"Вознаграждение Ozon",'Отчет 24-30.11'!E:E,B31)</f>
        <v>0</v>
      </c>
      <c r="Y31" s="54">
        <f t="shared" si="27"/>
        <v>0</v>
      </c>
      <c r="Z31" s="51">
        <f>-SUMIFS('Отчет 24-30.11'!P:P,'Отчет 24-30.11'!C:C,"Услуги доставки",'Отчет 24-30.11'!E:E,B31)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567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20"/>
        <v>10773</v>
      </c>
      <c r="J32" s="45"/>
      <c r="K32" s="41">
        <v>0</v>
      </c>
      <c r="L32" s="45"/>
      <c r="M32" s="45"/>
      <c r="N32" s="46">
        <f t="shared" si="21"/>
        <v>0</v>
      </c>
      <c r="O32" s="47">
        <f t="shared" si="22"/>
        <v>0</v>
      </c>
      <c r="P32" s="48">
        <f>SUMIFS('Отчет 24-30.11'!H:H,'Отчет 24-30.11'!D:D,"Выручка",'Отчет 24-30.11'!E:E,B32)</f>
        <v>0</v>
      </c>
      <c r="Q32" s="48">
        <f>SUMIFS('Отчет 24-30.11'!H:H,'Отчет 24-30.11'!D:D,"Возврат выручки",'Отчет 24-30.11'!E:E,B32)</f>
        <v>0</v>
      </c>
      <c r="R32" s="49">
        <f t="shared" si="23"/>
        <v>0</v>
      </c>
      <c r="S32" s="50">
        <f>SUMIFS('Отчет 24-30.11'!P:P,'Отчет 24-30.11'!C:C,"Продажи",'Отчет 24-30.11'!E:E,B32)</f>
        <v>0</v>
      </c>
      <c r="T32" s="51">
        <f>SUMIFS('Отчет 24-30.11'!P:P,'Отчет 24-30.11'!C:C,"Возвраты",'Отчет 24-30.11'!E:E,B32)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24-30.11'!P:P,'Отчет 24-30.11'!C:C,"Вознаграждение Ozon",'Отчет 24-30.11'!E:E,B32)</f>
        <v>0</v>
      </c>
      <c r="Y32" s="54">
        <f t="shared" si="27"/>
        <v>0</v>
      </c>
      <c r="Z32" s="51">
        <f>-SUMIFS('Отчет 24-30.11'!P:P,'Отчет 24-30.11'!C:C,"Услуги доставки",'Отчет 24-30.11'!E:E,B32)</f>
        <v>0</v>
      </c>
      <c r="AA32" s="41">
        <v>0</v>
      </c>
      <c r="AB32" s="64"/>
      <c r="AC32" s="51"/>
      <c r="AD32" s="55">
        <f t="shared" si="28"/>
        <v>0</v>
      </c>
      <c r="AE32" s="56">
        <f t="shared" si="29"/>
        <v>0</v>
      </c>
      <c r="AF32" s="55"/>
      <c r="AG32" s="57">
        <f t="shared" si="30"/>
        <v>0</v>
      </c>
      <c r="AH32" s="58">
        <f t="shared" si="31"/>
        <v>567</v>
      </c>
      <c r="AI32" s="58">
        <f t="shared" si="32"/>
        <v>0</v>
      </c>
      <c r="AJ32" s="58">
        <f t="shared" si="33"/>
        <v>0</v>
      </c>
      <c r="AK32" s="58">
        <f t="shared" si="34"/>
        <v>0</v>
      </c>
      <c r="AL32" s="58">
        <f t="array" ref="AL32">_xlfn.IFS(R32=0,AE32,R32&lt;0,AE32/-R32,R32&gt;0,AE32/R32)</f>
        <v>0</v>
      </c>
      <c r="AM32" s="59">
        <f t="shared" si="35"/>
        <v>0</v>
      </c>
      <c r="AN32" s="60">
        <f t="shared" si="36"/>
        <v>0</v>
      </c>
      <c r="AP32" s="62">
        <f t="shared" si="37"/>
        <v>0</v>
      </c>
    </row>
    <row r="33" spans="1:42">
      <c r="A33" s="39">
        <v>2774719022</v>
      </c>
      <c r="B33" s="40" t="s">
        <v>236</v>
      </c>
      <c r="C33" s="41">
        <v>16</v>
      </c>
      <c r="D33" s="42"/>
      <c r="E33" s="42"/>
      <c r="F33" s="42"/>
      <c r="G33" s="43"/>
      <c r="H33" s="65">
        <v>657</v>
      </c>
      <c r="I33" s="63">
        <f t="shared" si="20"/>
        <v>10512</v>
      </c>
      <c r="J33" s="45"/>
      <c r="K33" s="41">
        <v>1</v>
      </c>
      <c r="L33" s="45"/>
      <c r="M33" s="45"/>
      <c r="N33" s="46">
        <f t="shared" si="21"/>
        <v>0.14285714285714285</v>
      </c>
      <c r="O33" s="47">
        <f t="shared" si="22"/>
        <v>0</v>
      </c>
      <c r="P33" s="48">
        <f>SUMIFS('Отчет 24-30.11'!H:H,'Отчет 24-30.11'!D:D,"Выручка",'Отчет 24-30.11'!E:E,B33)</f>
        <v>0</v>
      </c>
      <c r="Q33" s="48">
        <f>SUMIFS('Отчет 24-30.11'!H:H,'Отчет 24-30.11'!D:D,"Возврат выручки",'Отчет 24-30.11'!E:E,B33)</f>
        <v>0</v>
      </c>
      <c r="R33" s="49">
        <f t="shared" si="23"/>
        <v>0</v>
      </c>
      <c r="S33" s="50">
        <f>SUMIFS('Отчет 24-30.11'!P:P,'Отчет 24-30.11'!C:C,"Продажи",'Отчет 24-30.11'!E:E,B33)</f>
        <v>0</v>
      </c>
      <c r="T33" s="51">
        <f>SUMIFS('Отчет 24-30.11'!P:P,'Отчет 24-30.11'!C:C,"Возвраты",'Отчет 24-30.11'!E:E,B33)</f>
        <v>0</v>
      </c>
      <c r="U33" s="49">
        <f t="shared" si="24"/>
        <v>0</v>
      </c>
      <c r="V33" s="52">
        <f t="shared" si="25"/>
        <v>0</v>
      </c>
      <c r="W33" s="53">
        <f t="shared" si="26"/>
        <v>0</v>
      </c>
      <c r="X33" s="51">
        <f>-SUMIFS('Отчет 24-30.11'!P:P,'Отчет 24-30.11'!C:C,"Вознаграждение Ozon",'Отчет 24-30.11'!E:E,B33)</f>
        <v>0</v>
      </c>
      <c r="Y33" s="54">
        <f t="shared" si="27"/>
        <v>0</v>
      </c>
      <c r="Z33" s="51">
        <f>-SUMIFS('Отчет 24-30.11'!P:P,'Отчет 24-30.11'!C:C,"Услуги доставки",'Отчет 24-30.11'!E:E,B33)</f>
        <v>0</v>
      </c>
      <c r="AA33" s="41">
        <v>0</v>
      </c>
      <c r="AB33" s="64"/>
      <c r="AC33" s="51"/>
      <c r="AD33" s="55">
        <f t="shared" si="28"/>
        <v>0</v>
      </c>
      <c r="AE33" s="56">
        <f t="shared" si="29"/>
        <v>0</v>
      </c>
      <c r="AF33" s="55"/>
      <c r="AG33" s="57">
        <f t="shared" si="30"/>
        <v>0</v>
      </c>
      <c r="AH33" s="58">
        <f t="shared" si="31"/>
        <v>657</v>
      </c>
      <c r="AI33" s="58">
        <f t="shared" si="32"/>
        <v>0</v>
      </c>
      <c r="AJ33" s="58">
        <f t="shared" si="33"/>
        <v>0</v>
      </c>
      <c r="AK33" s="58">
        <f t="shared" si="34"/>
        <v>0</v>
      </c>
      <c r="AL33" s="58">
        <f t="array" ref="AL33">_xlfn.IFS(R33=0,AE33,R33&lt;0,AE33/-R33,R33&gt;0,AE33/R33)</f>
        <v>0</v>
      </c>
      <c r="AM33" s="59">
        <f t="shared" si="35"/>
        <v>0</v>
      </c>
      <c r="AN33" s="60">
        <f t="shared" si="36"/>
        <v>0</v>
      </c>
      <c r="AP33" s="62">
        <f t="shared" si="37"/>
        <v>0</v>
      </c>
    </row>
    <row r="34" spans="1:42">
      <c r="A34" s="39">
        <v>2774719501</v>
      </c>
      <c r="B34" s="40" t="s">
        <v>237</v>
      </c>
      <c r="C34" s="41">
        <v>18</v>
      </c>
      <c r="D34" s="42"/>
      <c r="E34" s="42"/>
      <c r="F34" s="42"/>
      <c r="G34" s="43"/>
      <c r="H34" s="65">
        <v>597</v>
      </c>
      <c r="I34" s="63">
        <f t="shared" si="20"/>
        <v>10746</v>
      </c>
      <c r="J34" s="45"/>
      <c r="K34" s="41">
        <v>0</v>
      </c>
      <c r="L34" s="45"/>
      <c r="M34" s="45"/>
      <c r="N34" s="46">
        <f t="shared" si="21"/>
        <v>0</v>
      </c>
      <c r="O34" s="47">
        <f t="shared" si="22"/>
        <v>0</v>
      </c>
      <c r="P34" s="48">
        <f>SUMIFS('Отчет 24-30.11'!H:H,'Отчет 24-30.11'!D:D,"Выручка",'Отчет 24-30.11'!E:E,B34)</f>
        <v>0</v>
      </c>
      <c r="Q34" s="48">
        <f>SUMIFS('Отчет 24-30.11'!H:H,'Отчет 24-30.11'!D:D,"Возврат выручки",'Отчет 24-30.11'!E:E,B34)</f>
        <v>0</v>
      </c>
      <c r="R34" s="49">
        <f t="shared" si="23"/>
        <v>0</v>
      </c>
      <c r="S34" s="50">
        <f>SUMIFS('Отчет 24-30.11'!P:P,'Отчет 24-30.11'!C:C,"Продажи",'Отчет 24-30.11'!E:E,B34)</f>
        <v>0</v>
      </c>
      <c r="T34" s="51">
        <f>SUMIFS('Отчет 24-30.11'!P:P,'Отчет 24-30.11'!C:C,"Возвраты",'Отчет 24-30.11'!E:E,B34)</f>
        <v>0</v>
      </c>
      <c r="U34" s="49">
        <f t="shared" si="24"/>
        <v>0</v>
      </c>
      <c r="V34" s="52">
        <f t="shared" si="25"/>
        <v>0</v>
      </c>
      <c r="W34" s="53">
        <f t="shared" si="26"/>
        <v>0</v>
      </c>
      <c r="X34" s="51">
        <f>-SUMIFS('Отчет 24-30.11'!P:P,'Отчет 24-30.11'!C:C,"Вознаграждение Ozon",'Отчет 24-30.11'!E:E,B34)</f>
        <v>0</v>
      </c>
      <c r="Y34" s="54">
        <f t="shared" si="27"/>
        <v>0</v>
      </c>
      <c r="Z34" s="51">
        <f>-SUMIFS('Отчет 24-30.11'!P:P,'Отчет 24-30.11'!C:C,"Услуги доставки",'Отчет 24-30.11'!E:E,B34)</f>
        <v>0</v>
      </c>
      <c r="AA34" s="41">
        <v>0</v>
      </c>
      <c r="AB34" s="64"/>
      <c r="AC34" s="51"/>
      <c r="AD34" s="55">
        <f t="shared" si="28"/>
        <v>0</v>
      </c>
      <c r="AE34" s="56">
        <f t="shared" si="29"/>
        <v>0</v>
      </c>
      <c r="AF34" s="55"/>
      <c r="AG34" s="57">
        <f t="shared" si="30"/>
        <v>0</v>
      </c>
      <c r="AH34" s="58">
        <f t="shared" si="31"/>
        <v>597</v>
      </c>
      <c r="AI34" s="58">
        <f t="shared" si="32"/>
        <v>0</v>
      </c>
      <c r="AJ34" s="58">
        <f t="shared" si="33"/>
        <v>0</v>
      </c>
      <c r="AK34" s="58">
        <f t="shared" si="34"/>
        <v>0</v>
      </c>
      <c r="AL34" s="58">
        <f t="array" ref="AL34">_xlfn.IFS(R34=0,AE34,R34&lt;0,AE34/-R34,R34&gt;0,AE34/R34)</f>
        <v>0</v>
      </c>
      <c r="AM34" s="59">
        <f t="shared" si="35"/>
        <v>0</v>
      </c>
      <c r="AN34" s="60">
        <f t="shared" si="36"/>
        <v>0</v>
      </c>
      <c r="AP34" s="62">
        <f t="shared" si="37"/>
        <v>0</v>
      </c>
    </row>
    <row r="35" spans="1:42">
      <c r="A35" s="39">
        <v>2774714412</v>
      </c>
      <c r="B35" s="40" t="s">
        <v>142</v>
      </c>
      <c r="C35" s="41">
        <v>17</v>
      </c>
      <c r="D35" s="42"/>
      <c r="E35" s="42"/>
      <c r="F35" s="42"/>
      <c r="G35" s="43"/>
      <c r="H35" s="65">
        <v>552</v>
      </c>
      <c r="I35" s="63">
        <f t="shared" si="20"/>
        <v>9384</v>
      </c>
      <c r="J35" s="45"/>
      <c r="K35" s="41">
        <v>0</v>
      </c>
      <c r="L35" s="45"/>
      <c r="M35" s="45"/>
      <c r="N35" s="46">
        <f t="shared" si="21"/>
        <v>0</v>
      </c>
      <c r="O35" s="47">
        <f t="shared" si="22"/>
        <v>0</v>
      </c>
      <c r="P35" s="48">
        <f>SUMIFS('Отчет 24-30.11'!H:H,'Отчет 24-30.11'!D:D,"Выручка",'Отчет 24-30.11'!E:E,B35)</f>
        <v>0</v>
      </c>
      <c r="Q35" s="48">
        <f>SUMIFS('Отчет 24-30.11'!H:H,'Отчет 24-30.11'!D:D,"Возврат выручки",'Отчет 24-30.11'!E:E,B35)</f>
        <v>0</v>
      </c>
      <c r="R35" s="49">
        <f t="shared" si="23"/>
        <v>0</v>
      </c>
      <c r="S35" s="50">
        <f>SUMIFS('Отчет 24-30.11'!P:P,'Отчет 24-30.11'!C:C,"Продажи",'Отчет 24-30.11'!E:E,B35)</f>
        <v>0</v>
      </c>
      <c r="T35" s="51">
        <f>SUMIFS('Отчет 24-30.11'!P:P,'Отчет 24-30.11'!C:C,"Возвраты",'Отчет 24-30.11'!E:E,B35)</f>
        <v>0</v>
      </c>
      <c r="U35" s="49">
        <f t="shared" si="24"/>
        <v>0</v>
      </c>
      <c r="V35" s="52">
        <f t="shared" si="25"/>
        <v>0</v>
      </c>
      <c r="W35" s="53">
        <f t="shared" si="26"/>
        <v>0</v>
      </c>
      <c r="X35" s="51">
        <f>-SUMIFS('Отчет 24-30.11'!P:P,'Отчет 24-30.11'!C:C,"Вознаграждение Ozon",'Отчет 24-30.11'!E:E,B35)</f>
        <v>0</v>
      </c>
      <c r="Y35" s="54">
        <f t="shared" si="27"/>
        <v>0</v>
      </c>
      <c r="Z35" s="51">
        <f>-SUMIFS('Отчет 24-30.11'!P:P,'Отчет 24-30.11'!C:C,"Услуги доставки",'Отчет 24-30.11'!E:E,B35)</f>
        <v>0</v>
      </c>
      <c r="AA35" s="41">
        <v>0</v>
      </c>
      <c r="AB35" s="64"/>
      <c r="AC35" s="51"/>
      <c r="AD35" s="55">
        <f t="shared" si="28"/>
        <v>0</v>
      </c>
      <c r="AE35" s="56">
        <f t="shared" si="29"/>
        <v>0</v>
      </c>
      <c r="AF35" s="55"/>
      <c r="AG35" s="57">
        <f t="shared" si="30"/>
        <v>0</v>
      </c>
      <c r="AH35" s="58">
        <f t="shared" si="31"/>
        <v>552</v>
      </c>
      <c r="AI35" s="58">
        <f t="shared" si="32"/>
        <v>0</v>
      </c>
      <c r="AJ35" s="58">
        <f t="shared" si="33"/>
        <v>0</v>
      </c>
      <c r="AK35" s="58">
        <f t="shared" si="34"/>
        <v>0</v>
      </c>
      <c r="AL35" s="58">
        <f t="array" ref="AL35">_xlfn.IFS(R35=0,AE35,R35&lt;0,AE35/-R35,R35&gt;0,AE35/R35)</f>
        <v>0</v>
      </c>
      <c r="AM35" s="59">
        <f t="shared" si="35"/>
        <v>0</v>
      </c>
      <c r="AN35" s="60">
        <f t="shared" si="36"/>
        <v>0</v>
      </c>
      <c r="AP35" s="62">
        <f t="shared" si="37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20"/>
        <v>9936</v>
      </c>
      <c r="J36" s="45"/>
      <c r="K36" s="41">
        <v>0</v>
      </c>
      <c r="L36" s="45"/>
      <c r="M36" s="45"/>
      <c r="N36" s="46">
        <f t="shared" si="21"/>
        <v>0</v>
      </c>
      <c r="O36" s="47">
        <f t="shared" si="22"/>
        <v>0</v>
      </c>
      <c r="P36" s="48">
        <f>SUMIFS('Отчет 24-30.11'!H:H,'Отчет 24-30.11'!D:D,"Выручка",'Отчет 24-30.11'!E:E,B36)</f>
        <v>0</v>
      </c>
      <c r="Q36" s="48">
        <f>SUMIFS('Отчет 24-30.11'!H:H,'Отчет 24-30.11'!D:D,"Возврат выручки",'Отчет 24-30.11'!E:E,B36)</f>
        <v>0</v>
      </c>
      <c r="R36" s="49">
        <f t="shared" si="23"/>
        <v>0</v>
      </c>
      <c r="S36" s="50">
        <f>SUMIFS('Отчет 24-30.11'!P:P,'Отчет 24-30.11'!C:C,"Продажи",'Отчет 24-30.11'!E:E,B36)</f>
        <v>0</v>
      </c>
      <c r="T36" s="51">
        <f>SUMIFS('Отчет 24-30.11'!P:P,'Отчет 24-30.11'!C:C,"Возвраты",'Отчет 24-30.11'!E:E,B36)</f>
        <v>0</v>
      </c>
      <c r="U36" s="49">
        <f t="shared" si="24"/>
        <v>0</v>
      </c>
      <c r="V36" s="52">
        <f t="shared" si="25"/>
        <v>0</v>
      </c>
      <c r="W36" s="53">
        <f t="shared" si="26"/>
        <v>0</v>
      </c>
      <c r="X36" s="51">
        <f>-SUMIFS('Отчет 24-30.11'!P:P,'Отчет 24-30.11'!C:C,"Вознаграждение Ozon",'Отчет 24-30.11'!E:E,B36)</f>
        <v>0</v>
      </c>
      <c r="Y36" s="54">
        <f t="shared" si="27"/>
        <v>0</v>
      </c>
      <c r="Z36" s="51">
        <f>-SUMIFS('Отчет 24-30.11'!P:P,'Отчет 24-30.11'!C:C,"Услуги доставки",'Отчет 24-30.11'!E:E,B36)</f>
        <v>0</v>
      </c>
      <c r="AA36" s="41">
        <v>0</v>
      </c>
      <c r="AB36" s="64"/>
      <c r="AC36" s="51"/>
      <c r="AD36" s="55">
        <f t="shared" si="28"/>
        <v>0</v>
      </c>
      <c r="AE36" s="56">
        <f t="shared" si="29"/>
        <v>0</v>
      </c>
      <c r="AF36" s="55"/>
      <c r="AG36" s="57">
        <f t="shared" si="30"/>
        <v>0</v>
      </c>
      <c r="AH36" s="58">
        <f t="shared" si="31"/>
        <v>552</v>
      </c>
      <c r="AI36" s="58">
        <f t="shared" si="32"/>
        <v>0</v>
      </c>
      <c r="AJ36" s="58">
        <f t="shared" si="33"/>
        <v>0</v>
      </c>
      <c r="AK36" s="58">
        <f t="shared" si="34"/>
        <v>0</v>
      </c>
      <c r="AL36" s="58">
        <f t="array" ref="AL36">_xlfn.IFS(R36=0,AE36,R36&lt;0,AE36/-R36,R36&gt;0,AE36/R36)</f>
        <v>0</v>
      </c>
      <c r="AM36" s="59">
        <f t="shared" si="35"/>
        <v>0</v>
      </c>
      <c r="AN36" s="60">
        <f t="shared" si="36"/>
        <v>0</v>
      </c>
      <c r="AP36" s="62">
        <f t="shared" si="37"/>
        <v>0</v>
      </c>
    </row>
    <row r="37" spans="1:42">
      <c r="A37" s="39">
        <v>2774712116</v>
      </c>
      <c r="B37" s="40" t="s">
        <v>62</v>
      </c>
      <c r="C37" s="41">
        <v>15</v>
      </c>
      <c r="D37" s="42"/>
      <c r="E37" s="42"/>
      <c r="F37" s="42"/>
      <c r="G37" s="43"/>
      <c r="H37" s="65">
        <v>687</v>
      </c>
      <c r="I37" s="63">
        <f t="shared" si="20"/>
        <v>10305</v>
      </c>
      <c r="J37" s="45"/>
      <c r="K37" s="41">
        <v>0</v>
      </c>
      <c r="L37" s="45"/>
      <c r="M37" s="45"/>
      <c r="N37" s="46">
        <f t="shared" si="21"/>
        <v>0</v>
      </c>
      <c r="O37" s="47">
        <f t="shared" si="22"/>
        <v>0</v>
      </c>
      <c r="P37" s="48">
        <f>SUMIFS('Отчет 24-30.11'!H:H,'Отчет 24-30.11'!D:D,"Выручка",'Отчет 24-30.11'!E:E,B37)</f>
        <v>0</v>
      </c>
      <c r="Q37" s="48">
        <f>SUMIFS('Отчет 24-30.11'!H:H,'Отчет 24-30.11'!D:D,"Возврат выручки",'Отчет 24-30.11'!E:E,B37)</f>
        <v>0</v>
      </c>
      <c r="R37" s="49">
        <f t="shared" si="23"/>
        <v>0</v>
      </c>
      <c r="S37" s="50">
        <f>SUMIFS('Отчет 24-30.11'!P:P,'Отчет 24-30.11'!C:C,"Продажи",'Отчет 24-30.11'!E:E,B37)</f>
        <v>0</v>
      </c>
      <c r="T37" s="51">
        <f>SUMIFS('Отчет 24-30.11'!P:P,'Отчет 24-30.11'!C:C,"Возвраты",'Отчет 24-30.11'!E:E,B37)</f>
        <v>0</v>
      </c>
      <c r="U37" s="49">
        <f t="shared" si="24"/>
        <v>0</v>
      </c>
      <c r="V37" s="52">
        <f t="shared" si="25"/>
        <v>0</v>
      </c>
      <c r="W37" s="53">
        <f t="shared" si="26"/>
        <v>0</v>
      </c>
      <c r="X37" s="51">
        <f>-SUMIFS('Отчет 24-30.11'!P:P,'Отчет 24-30.11'!C:C,"Вознаграждение Ozon",'Отчет 24-30.11'!E:E,B37)</f>
        <v>0</v>
      </c>
      <c r="Y37" s="54">
        <f t="shared" si="27"/>
        <v>0</v>
      </c>
      <c r="Z37" s="51">
        <f>-SUMIFS('Отчет 24-30.11'!P:P,'Отчет 24-30.11'!C:C,"Услуги доставки",'Отчет 24-30.11'!E:E,B37)</f>
        <v>0</v>
      </c>
      <c r="AA37" s="41">
        <v>0</v>
      </c>
      <c r="AB37" s="64"/>
      <c r="AC37" s="51"/>
      <c r="AD37" s="55">
        <f t="shared" si="28"/>
        <v>0</v>
      </c>
      <c r="AE37" s="56">
        <f t="shared" si="29"/>
        <v>0</v>
      </c>
      <c r="AF37" s="55"/>
      <c r="AG37" s="57">
        <f t="shared" si="30"/>
        <v>0</v>
      </c>
      <c r="AH37" s="58">
        <f t="shared" si="31"/>
        <v>687</v>
      </c>
      <c r="AI37" s="58">
        <f t="shared" si="32"/>
        <v>0</v>
      </c>
      <c r="AJ37" s="58">
        <f t="shared" si="33"/>
        <v>0</v>
      </c>
      <c r="AK37" s="58">
        <f t="shared" si="34"/>
        <v>0</v>
      </c>
      <c r="AL37" s="58">
        <f t="array" ref="AL37">_xlfn.IFS(R37=0,AE37,R37&lt;0,AE37/-R37,R37&gt;0,AE37/R37)</f>
        <v>0</v>
      </c>
      <c r="AM37" s="59">
        <f t="shared" si="35"/>
        <v>0</v>
      </c>
      <c r="AN37" s="60">
        <f t="shared" si="36"/>
        <v>0</v>
      </c>
      <c r="AP37" s="62">
        <f t="shared" si="37"/>
        <v>0</v>
      </c>
    </row>
    <row r="38" spans="1:42">
      <c r="A38" s="39">
        <v>2774719012</v>
      </c>
      <c r="B38" s="40" t="s">
        <v>239</v>
      </c>
      <c r="C38" s="41">
        <v>7</v>
      </c>
      <c r="D38" s="42"/>
      <c r="E38" s="42"/>
      <c r="F38" s="42"/>
      <c r="G38" s="43"/>
      <c r="H38" s="65">
        <v>687</v>
      </c>
      <c r="I38" s="63">
        <f t="shared" si="20"/>
        <v>4809</v>
      </c>
      <c r="J38" s="45"/>
      <c r="K38" s="41">
        <v>0</v>
      </c>
      <c r="L38" s="45"/>
      <c r="M38" s="45"/>
      <c r="N38" s="46">
        <f t="shared" si="21"/>
        <v>0</v>
      </c>
      <c r="O38" s="47">
        <f t="shared" si="22"/>
        <v>0</v>
      </c>
      <c r="P38" s="48">
        <f>SUMIFS('Отчет 24-30.11'!H:H,'Отчет 24-30.11'!D:D,"Выручка",'Отчет 24-30.11'!E:E,B38)</f>
        <v>0</v>
      </c>
      <c r="Q38" s="48">
        <f>SUMIFS('Отчет 24-30.11'!H:H,'Отчет 24-30.11'!D:D,"Возврат выручки",'Отчет 24-30.11'!E:E,B38)</f>
        <v>0</v>
      </c>
      <c r="R38" s="49">
        <f t="shared" si="23"/>
        <v>0</v>
      </c>
      <c r="S38" s="50">
        <f>SUMIFS('Отчет 24-30.11'!P:P,'Отчет 24-30.11'!C:C,"Продажи",'Отчет 24-30.11'!E:E,B38)</f>
        <v>0</v>
      </c>
      <c r="T38" s="51">
        <f>SUMIFS('Отчет 24-30.11'!P:P,'Отчет 24-30.11'!C:C,"Возвраты",'Отчет 24-30.11'!E:E,B38)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24-30.11'!P:P,'Отчет 24-30.11'!C:C,"Вознаграждение Ozon",'Отчет 24-30.11'!E:E,B38)</f>
        <v>0</v>
      </c>
      <c r="Y38" s="54">
        <f t="shared" si="27"/>
        <v>0</v>
      </c>
      <c r="Z38" s="51">
        <f>-SUMIFS('Отчет 24-30.11'!P:P,'Отчет 24-30.11'!C:C,"Услуги доставки",'Отчет 24-30.11'!E:E,B38)</f>
        <v>0</v>
      </c>
      <c r="AA38" s="41">
        <v>0</v>
      </c>
      <c r="AB38" s="64"/>
      <c r="AC38" s="51"/>
      <c r="AD38" s="55">
        <f t="shared" si="28"/>
        <v>0</v>
      </c>
      <c r="AE38" s="56">
        <f t="shared" si="29"/>
        <v>0</v>
      </c>
      <c r="AF38" s="55"/>
      <c r="AG38" s="57">
        <f t="shared" si="30"/>
        <v>0</v>
      </c>
      <c r="AH38" s="58">
        <f t="shared" si="31"/>
        <v>687</v>
      </c>
      <c r="AI38" s="58">
        <f t="shared" si="32"/>
        <v>0</v>
      </c>
      <c r="AJ38" s="58">
        <f t="shared" si="33"/>
        <v>0</v>
      </c>
      <c r="AK38" s="58">
        <f t="shared" si="34"/>
        <v>0</v>
      </c>
      <c r="AL38" s="58">
        <f t="array" ref="AL38">_xlfn.IFS(R38=0,AE38,R38&lt;0,AE38/-R38,R38&gt;0,AE38/R38)</f>
        <v>0</v>
      </c>
      <c r="AM38" s="59">
        <f t="shared" si="35"/>
        <v>0</v>
      </c>
      <c r="AN38" s="60">
        <f t="shared" si="36"/>
        <v>0</v>
      </c>
      <c r="AP38" s="62">
        <f t="shared" si="37"/>
        <v>0</v>
      </c>
    </row>
    <row r="39" spans="1:42">
      <c r="A39" s="39">
        <v>2774719433</v>
      </c>
      <c r="B39" s="40" t="s">
        <v>240</v>
      </c>
      <c r="C39" s="41">
        <v>14</v>
      </c>
      <c r="D39" s="42"/>
      <c r="E39" s="42"/>
      <c r="F39" s="42"/>
      <c r="G39" s="43"/>
      <c r="H39" s="65">
        <v>597</v>
      </c>
      <c r="I39" s="63">
        <f t="shared" si="20"/>
        <v>8358</v>
      </c>
      <c r="J39" s="45"/>
      <c r="K39" s="41">
        <v>2</v>
      </c>
      <c r="L39" s="45"/>
      <c r="M39" s="45"/>
      <c r="N39" s="46">
        <f t="shared" si="21"/>
        <v>0.2857142857142857</v>
      </c>
      <c r="O39" s="47">
        <f t="shared" si="22"/>
        <v>0</v>
      </c>
      <c r="P39" s="48">
        <f>SUMIFS('Отчет 24-30.11'!H:H,'Отчет 24-30.11'!D:D,"Выручка",'Отчет 24-30.11'!E:E,B39)</f>
        <v>0</v>
      </c>
      <c r="Q39" s="48">
        <f>SUMIFS('Отчет 24-30.11'!H:H,'Отчет 24-30.11'!D:D,"Возврат выручки",'Отчет 24-30.11'!E:E,B39)</f>
        <v>0</v>
      </c>
      <c r="R39" s="49">
        <f t="shared" si="23"/>
        <v>0</v>
      </c>
      <c r="S39" s="50">
        <f>SUMIFS('Отчет 24-30.11'!P:P,'Отчет 24-30.11'!C:C,"Продажи",'Отчет 24-30.11'!E:E,B39)</f>
        <v>0</v>
      </c>
      <c r="T39" s="51">
        <f>SUMIFS('Отчет 24-30.11'!P:P,'Отчет 24-30.11'!C:C,"Возвраты",'Отчет 24-30.11'!E:E,B39)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51">
        <f>-SUMIFS('Отчет 24-30.11'!P:P,'Отчет 24-30.11'!C:C,"Вознаграждение Ozon",'Отчет 24-30.11'!E:E,B39)</f>
        <v>0</v>
      </c>
      <c r="Y39" s="54">
        <f t="shared" si="27"/>
        <v>0</v>
      </c>
      <c r="Z39" s="51">
        <f>-SUMIFS('Отчет 24-30.11'!P:P,'Отчет 24-30.11'!C:C,"Услуги доставки",'Отчет 24-30.11'!E:E,B39)</f>
        <v>0</v>
      </c>
      <c r="AA39" s="41">
        <v>0</v>
      </c>
      <c r="AB39" s="64"/>
      <c r="AC39" s="51"/>
      <c r="AD39" s="55">
        <f t="shared" si="28"/>
        <v>0</v>
      </c>
      <c r="AE39" s="56">
        <f t="shared" si="29"/>
        <v>0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0</v>
      </c>
      <c r="AK39" s="58">
        <f t="shared" si="34"/>
        <v>0</v>
      </c>
      <c r="AL39" s="58">
        <f t="array" ref="AL39">_xlfn.IFS(R39=0,AE39,R39&lt;0,AE39/-R39,R39&gt;0,AE39/R39)</f>
        <v>0</v>
      </c>
      <c r="AM39" s="59">
        <f t="shared" si="35"/>
        <v>0</v>
      </c>
      <c r="AN39" s="60">
        <f t="shared" si="36"/>
        <v>0</v>
      </c>
      <c r="AP39" s="62">
        <f t="shared" si="37"/>
        <v>0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20"/>
        <v>10746</v>
      </c>
      <c r="J40" s="45"/>
      <c r="K40" s="41">
        <v>0</v>
      </c>
      <c r="L40" s="45"/>
      <c r="M40" s="45"/>
      <c r="N40" s="46">
        <f t="shared" si="21"/>
        <v>0</v>
      </c>
      <c r="O40" s="47">
        <f t="shared" si="22"/>
        <v>0</v>
      </c>
      <c r="P40" s="48">
        <f>SUMIFS('Отчет 24-30.11'!H:H,'Отчет 24-30.11'!D:D,"Выручка",'Отчет 24-30.11'!E:E,B40)</f>
        <v>0</v>
      </c>
      <c r="Q40" s="48">
        <f>SUMIFS('Отчет 24-30.11'!H:H,'Отчет 24-30.11'!D:D,"Возврат выручки",'Отчет 24-30.11'!E:E,B40)</f>
        <v>0</v>
      </c>
      <c r="R40" s="49">
        <f t="shared" si="23"/>
        <v>0</v>
      </c>
      <c r="S40" s="50">
        <f>SUMIFS('Отчет 24-30.11'!P:P,'Отчет 24-30.11'!C:C,"Продажи",'Отчет 24-30.11'!E:E,B40)</f>
        <v>0</v>
      </c>
      <c r="T40" s="51">
        <f>SUMIFS('Отчет 24-30.11'!P:P,'Отчет 24-30.11'!C:C,"Возвраты",'Отчет 24-30.11'!E:E,B40)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24-30.11'!P:P,'Отчет 24-30.11'!C:C,"Вознаграждение Ozon",'Отчет 24-30.11'!E:E,B40)</f>
        <v>0</v>
      </c>
      <c r="Y40" s="54">
        <f t="shared" si="27"/>
        <v>0</v>
      </c>
      <c r="Z40" s="51">
        <f>-SUMIFS('Отчет 24-30.11'!P:P,'Отчет 24-30.11'!C:C,"Услуги доставки",'Отчет 24-30.11'!E:E,B40)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597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2774719553</v>
      </c>
      <c r="B41" s="40" t="s">
        <v>242</v>
      </c>
      <c r="C41" s="41">
        <v>18</v>
      </c>
      <c r="D41" s="42"/>
      <c r="E41" s="42"/>
      <c r="F41" s="42"/>
      <c r="G41" s="43"/>
      <c r="H41" s="65">
        <v>597</v>
      </c>
      <c r="I41" s="63">
        <f t="shared" si="20"/>
        <v>10746</v>
      </c>
      <c r="J41" s="45"/>
      <c r="K41" s="41">
        <v>1</v>
      </c>
      <c r="L41" s="45"/>
      <c r="M41" s="45"/>
      <c r="N41" s="46">
        <f t="shared" si="21"/>
        <v>0.14285714285714285</v>
      </c>
      <c r="O41" s="47">
        <f t="shared" si="22"/>
        <v>0</v>
      </c>
      <c r="P41" s="48">
        <f>SUMIFS('Отчет 24-30.11'!H:H,'Отчет 24-30.11'!D:D,"Выручка",'Отчет 24-30.11'!E:E,B41)</f>
        <v>0</v>
      </c>
      <c r="Q41" s="48">
        <f>SUMIFS('Отчет 24-30.11'!H:H,'Отчет 24-30.11'!D:D,"Возврат выручки",'Отчет 24-30.11'!E:E,B41)</f>
        <v>0</v>
      </c>
      <c r="R41" s="49">
        <f t="shared" si="23"/>
        <v>0</v>
      </c>
      <c r="S41" s="50">
        <f>SUMIFS('Отчет 24-30.11'!P:P,'Отчет 24-30.11'!C:C,"Продажи",'Отчет 24-30.11'!E:E,B41)</f>
        <v>0</v>
      </c>
      <c r="T41" s="51">
        <f>SUMIFS('Отчет 24-30.11'!P:P,'Отчет 24-30.11'!C:C,"Возвраты",'Отчет 24-30.11'!E:E,B41)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51">
        <f>-SUMIFS('Отчет 24-30.11'!P:P,'Отчет 24-30.11'!C:C,"Вознаграждение Ozon",'Отчет 24-30.11'!E:E,B41)</f>
        <v>0</v>
      </c>
      <c r="Y41" s="54">
        <f t="shared" si="27"/>
        <v>0</v>
      </c>
      <c r="Z41" s="51">
        <f>-SUMIFS('Отчет 24-30.11'!P:P,'Отчет 24-30.11'!C:C,"Услуги доставки",'Отчет 24-30.11'!E:E,B41)</f>
        <v>0</v>
      </c>
      <c r="AA41" s="41">
        <v>0</v>
      </c>
      <c r="AB41" s="64"/>
      <c r="AC41" s="51"/>
      <c r="AD41" s="55">
        <f t="shared" si="28"/>
        <v>0</v>
      </c>
      <c r="AE41" s="56">
        <f t="shared" si="29"/>
        <v>0</v>
      </c>
      <c r="AF41" s="55"/>
      <c r="AG41" s="57">
        <f t="shared" si="30"/>
        <v>0</v>
      </c>
      <c r="AH41" s="58">
        <f t="shared" si="31"/>
        <v>597</v>
      </c>
      <c r="AI41" s="58">
        <f t="shared" si="32"/>
        <v>0</v>
      </c>
      <c r="AJ41" s="58">
        <f t="shared" si="33"/>
        <v>0</v>
      </c>
      <c r="AK41" s="58">
        <f t="shared" si="34"/>
        <v>0</v>
      </c>
      <c r="AL41" s="58">
        <f t="array" ref="AL41">_xlfn.IFS(R41=0,AE41,R41&lt;0,AE41/-R41,R41&gt;0,AE41/R41)</f>
        <v>0</v>
      </c>
      <c r="AM41" s="59">
        <f t="shared" si="35"/>
        <v>0</v>
      </c>
      <c r="AN41" s="60">
        <f t="shared" si="36"/>
        <v>0</v>
      </c>
      <c r="AP41" s="62">
        <f t="shared" si="37"/>
        <v>0</v>
      </c>
    </row>
    <row r="42" spans="1:42">
      <c r="A42" s="39">
        <v>2774710913</v>
      </c>
      <c r="B42" s="40" t="s">
        <v>243</v>
      </c>
      <c r="C42" s="41">
        <v>18</v>
      </c>
      <c r="D42" s="42"/>
      <c r="E42" s="42"/>
      <c r="F42" s="42"/>
      <c r="G42" s="43"/>
      <c r="H42" s="65">
        <v>642</v>
      </c>
      <c r="I42" s="63">
        <f t="shared" si="20"/>
        <v>11556</v>
      </c>
      <c r="J42" s="45"/>
      <c r="K42" s="41">
        <v>0</v>
      </c>
      <c r="L42" s="45"/>
      <c r="M42" s="45"/>
      <c r="N42" s="46">
        <f t="shared" si="21"/>
        <v>0</v>
      </c>
      <c r="O42" s="47">
        <f t="shared" si="22"/>
        <v>0</v>
      </c>
      <c r="P42" s="48">
        <f>SUMIFS('Отчет 24-30.11'!H:H,'Отчет 24-30.11'!D:D,"Выручка",'Отчет 24-30.11'!E:E,B42)</f>
        <v>0</v>
      </c>
      <c r="Q42" s="48">
        <f>SUMIFS('Отчет 24-30.11'!H:H,'Отчет 24-30.11'!D:D,"Возврат выручки",'Отчет 24-30.11'!E:E,B42)</f>
        <v>0</v>
      </c>
      <c r="R42" s="49">
        <f t="shared" si="23"/>
        <v>0</v>
      </c>
      <c r="S42" s="50">
        <f>SUMIFS('Отчет 24-30.11'!P:P,'Отчет 24-30.11'!C:C,"Продажи",'Отчет 24-30.11'!E:E,B42)</f>
        <v>0</v>
      </c>
      <c r="T42" s="51">
        <f>SUMIFS('Отчет 24-30.11'!P:P,'Отчет 24-30.11'!C:C,"Возвраты",'Отчет 24-30.11'!E:E,B42)</f>
        <v>0</v>
      </c>
      <c r="U42" s="49">
        <f t="shared" si="24"/>
        <v>0</v>
      </c>
      <c r="V42" s="52">
        <f t="shared" si="25"/>
        <v>0</v>
      </c>
      <c r="W42" s="53">
        <f t="shared" si="26"/>
        <v>0</v>
      </c>
      <c r="X42" s="51">
        <f>-SUMIFS('Отчет 24-30.11'!P:P,'Отчет 24-30.11'!C:C,"Вознаграждение Ozon",'Отчет 24-30.11'!E:E,B42)</f>
        <v>0</v>
      </c>
      <c r="Y42" s="54">
        <f t="shared" si="27"/>
        <v>0</v>
      </c>
      <c r="Z42" s="51">
        <f>-SUMIFS('Отчет 24-30.11'!P:P,'Отчет 24-30.11'!C:C,"Услуги доставки",'Отчет 24-30.11'!E:E,B42)</f>
        <v>0</v>
      </c>
      <c r="AA42" s="41">
        <v>0</v>
      </c>
      <c r="AB42" s="64"/>
      <c r="AC42" s="51"/>
      <c r="AD42" s="55">
        <f t="shared" si="28"/>
        <v>0</v>
      </c>
      <c r="AE42" s="56">
        <f t="shared" si="29"/>
        <v>0</v>
      </c>
      <c r="AF42" s="55"/>
      <c r="AG42" s="57">
        <f t="shared" si="30"/>
        <v>0</v>
      </c>
      <c r="AH42" s="58">
        <f t="shared" si="31"/>
        <v>642</v>
      </c>
      <c r="AI42" s="58">
        <f t="shared" si="32"/>
        <v>0</v>
      </c>
      <c r="AJ42" s="58">
        <f t="shared" si="33"/>
        <v>0</v>
      </c>
      <c r="AK42" s="58">
        <f t="shared" si="34"/>
        <v>0</v>
      </c>
      <c r="AL42" s="58">
        <f t="array" ref="AL42">_xlfn.IFS(R42=0,AE42,R42&lt;0,AE42/-R42,R42&gt;0,AE42/R42)</f>
        <v>0</v>
      </c>
      <c r="AM42" s="59">
        <f t="shared" si="35"/>
        <v>0</v>
      </c>
      <c r="AN42" s="60">
        <f t="shared" si="36"/>
        <v>0</v>
      </c>
      <c r="AP42" s="62">
        <f t="shared" si="37"/>
        <v>0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20"/>
        <v>12198</v>
      </c>
      <c r="J43" s="45"/>
      <c r="K43" s="41">
        <v>0</v>
      </c>
      <c r="L43" s="45"/>
      <c r="M43" s="45"/>
      <c r="N43" s="46">
        <f t="shared" si="21"/>
        <v>0</v>
      </c>
      <c r="O43" s="47">
        <f t="shared" si="22"/>
        <v>0</v>
      </c>
      <c r="P43" s="48">
        <f>SUMIFS('Отчет 24-30.11'!H:H,'Отчет 24-30.11'!D:D,"Выручка",'Отчет 24-30.11'!E:E,B43)</f>
        <v>0</v>
      </c>
      <c r="Q43" s="48">
        <f>SUMIFS('Отчет 24-30.11'!H:H,'Отчет 24-30.11'!D:D,"Возврат выручки",'Отчет 24-30.11'!E:E,B43)</f>
        <v>0</v>
      </c>
      <c r="R43" s="49">
        <f t="shared" si="23"/>
        <v>0</v>
      </c>
      <c r="S43" s="50">
        <f>SUMIFS('Отчет 24-30.11'!P:P,'Отчет 24-30.11'!C:C,"Продажи",'Отчет 24-30.11'!E:E,B43)</f>
        <v>0</v>
      </c>
      <c r="T43" s="51">
        <f>SUMIFS('Отчет 24-30.11'!P:P,'Отчет 24-30.11'!C:C,"Возвраты",'Отчет 24-30.11'!E:E,B43)</f>
        <v>0</v>
      </c>
      <c r="U43" s="49">
        <f t="shared" si="24"/>
        <v>0</v>
      </c>
      <c r="V43" s="52">
        <f t="shared" si="25"/>
        <v>0</v>
      </c>
      <c r="W43" s="53">
        <f t="shared" si="26"/>
        <v>0</v>
      </c>
      <c r="X43" s="51">
        <f>-SUMIFS('Отчет 24-30.11'!P:P,'Отчет 24-30.11'!C:C,"Вознаграждение Ozon",'Отчет 24-30.11'!E:E,B43)</f>
        <v>0</v>
      </c>
      <c r="Y43" s="54">
        <f t="shared" si="27"/>
        <v>0</v>
      </c>
      <c r="Z43" s="51">
        <f>-SUMIFS('Отчет 24-30.11'!P:P,'Отчет 24-30.11'!C:C,"Услуги доставки",'Отчет 24-30.11'!E:E,B43)</f>
        <v>0</v>
      </c>
      <c r="AA43" s="41">
        <v>0</v>
      </c>
      <c r="AB43" s="64"/>
      <c r="AC43" s="51"/>
      <c r="AD43" s="55">
        <f t="shared" si="28"/>
        <v>0</v>
      </c>
      <c r="AE43" s="56">
        <f t="shared" si="29"/>
        <v>0</v>
      </c>
      <c r="AF43" s="55"/>
      <c r="AG43" s="57">
        <f t="shared" si="30"/>
        <v>0</v>
      </c>
      <c r="AH43" s="58">
        <f t="shared" si="31"/>
        <v>642</v>
      </c>
      <c r="AI43" s="58">
        <f t="shared" si="32"/>
        <v>0</v>
      </c>
      <c r="AJ43" s="58">
        <f t="shared" si="33"/>
        <v>0</v>
      </c>
      <c r="AK43" s="58">
        <f t="shared" si="34"/>
        <v>0</v>
      </c>
      <c r="AL43" s="58">
        <f t="array" ref="AL43">_xlfn.IFS(R43=0,AE43,R43&lt;0,AE43/-R43,R43&gt;0,AE43/R43)</f>
        <v>0</v>
      </c>
      <c r="AM43" s="59">
        <f t="shared" si="35"/>
        <v>0</v>
      </c>
      <c r="AN43" s="60">
        <f t="shared" si="36"/>
        <v>0</v>
      </c>
      <c r="AP43" s="62">
        <f t="shared" si="37"/>
        <v>0</v>
      </c>
    </row>
    <row r="44" spans="1:42">
      <c r="A44" s="39">
        <v>2774722656</v>
      </c>
      <c r="B44" s="40" t="s">
        <v>51</v>
      </c>
      <c r="C44" s="41">
        <v>7</v>
      </c>
      <c r="D44" s="42"/>
      <c r="E44" s="42"/>
      <c r="F44" s="42"/>
      <c r="G44" s="43"/>
      <c r="H44" s="65">
        <v>687</v>
      </c>
      <c r="I44" s="63">
        <f t="shared" si="20"/>
        <v>4809</v>
      </c>
      <c r="J44" s="45"/>
      <c r="K44" s="41">
        <v>0</v>
      </c>
      <c r="L44" s="45"/>
      <c r="M44" s="45"/>
      <c r="N44" s="46">
        <f t="shared" si="21"/>
        <v>0</v>
      </c>
      <c r="O44" s="47">
        <f t="shared" si="22"/>
        <v>0</v>
      </c>
      <c r="P44" s="48">
        <f>SUMIFS('Отчет 24-30.11'!H:H,'Отчет 24-30.11'!D:D,"Выручка",'Отчет 24-30.11'!E:E,B44)</f>
        <v>0</v>
      </c>
      <c r="Q44" s="48">
        <f>SUMIFS('Отчет 24-30.11'!H:H,'Отчет 24-30.11'!D:D,"Возврат выручки",'Отчет 24-30.11'!E:E,B44)</f>
        <v>0</v>
      </c>
      <c r="R44" s="49">
        <f t="shared" si="23"/>
        <v>0</v>
      </c>
      <c r="S44" s="50">
        <f>SUMIFS('Отчет 24-30.11'!P:P,'Отчет 24-30.11'!C:C,"Продажи",'Отчет 24-30.11'!E:E,B44)</f>
        <v>0</v>
      </c>
      <c r="T44" s="51">
        <f>SUMIFS('Отчет 24-30.11'!P:P,'Отчет 24-30.11'!C:C,"Возвраты",'Отчет 24-30.11'!E:E,B44)</f>
        <v>0</v>
      </c>
      <c r="U44" s="49">
        <f t="shared" si="24"/>
        <v>0</v>
      </c>
      <c r="V44" s="52">
        <f t="shared" si="25"/>
        <v>0</v>
      </c>
      <c r="W44" s="53">
        <f t="shared" si="26"/>
        <v>0</v>
      </c>
      <c r="X44" s="51">
        <f>-SUMIFS('Отчет 24-30.11'!P:P,'Отчет 24-30.11'!C:C,"Вознаграждение Ozon",'Отчет 24-30.11'!E:E,B44)</f>
        <v>0</v>
      </c>
      <c r="Y44" s="54">
        <f t="shared" si="27"/>
        <v>0</v>
      </c>
      <c r="Z44" s="51">
        <f>-SUMIFS('Отчет 24-30.11'!P:P,'Отчет 24-30.11'!C:C,"Услуги доставки",'Отчет 24-30.11'!E:E,B44)</f>
        <v>0</v>
      </c>
      <c r="AA44" s="41">
        <v>0</v>
      </c>
      <c r="AB44" s="64"/>
      <c r="AC44" s="51"/>
      <c r="AD44" s="55">
        <f t="shared" si="28"/>
        <v>0</v>
      </c>
      <c r="AE44" s="56">
        <f t="shared" si="29"/>
        <v>0</v>
      </c>
      <c r="AF44" s="55"/>
      <c r="AG44" s="57">
        <f t="shared" si="30"/>
        <v>0</v>
      </c>
      <c r="AH44" s="58">
        <f t="shared" si="31"/>
        <v>687</v>
      </c>
      <c r="AI44" s="58">
        <f t="shared" si="32"/>
        <v>0</v>
      </c>
      <c r="AJ44" s="58">
        <f t="shared" si="33"/>
        <v>0</v>
      </c>
      <c r="AK44" s="58">
        <f t="shared" si="34"/>
        <v>0</v>
      </c>
      <c r="AL44" s="58">
        <f t="array" ref="AL44">_xlfn.IFS(R44=0,AE44,R44&lt;0,AE44/-R44,R44&gt;0,AE44/R44)</f>
        <v>0</v>
      </c>
      <c r="AM44" s="59">
        <f t="shared" si="35"/>
        <v>0</v>
      </c>
      <c r="AN44" s="60">
        <f t="shared" si="36"/>
        <v>0</v>
      </c>
      <c r="AP44" s="62">
        <f t="shared" si="37"/>
        <v>0</v>
      </c>
    </row>
    <row r="45" spans="1:42">
      <c r="A45" s="39">
        <v>2774721190</v>
      </c>
      <c r="B45" s="40" t="s">
        <v>70</v>
      </c>
      <c r="C45" s="41">
        <v>4</v>
      </c>
      <c r="D45" s="42"/>
      <c r="E45" s="42"/>
      <c r="F45" s="42"/>
      <c r="G45" s="43"/>
      <c r="H45" s="65">
        <v>687</v>
      </c>
      <c r="I45" s="63">
        <f t="shared" si="20"/>
        <v>2748</v>
      </c>
      <c r="J45" s="45"/>
      <c r="K45" s="41">
        <v>2</v>
      </c>
      <c r="L45" s="45"/>
      <c r="M45" s="45"/>
      <c r="N45" s="46">
        <f t="shared" si="21"/>
        <v>0.2857142857142857</v>
      </c>
      <c r="O45" s="47">
        <f t="shared" si="22"/>
        <v>0</v>
      </c>
      <c r="P45" s="48">
        <f>SUMIFS('Отчет 24-30.11'!H:H,'Отчет 24-30.11'!D:D,"Выручка",'Отчет 24-30.11'!E:E,B45)</f>
        <v>0</v>
      </c>
      <c r="Q45" s="48">
        <f>SUMIFS('Отчет 24-30.11'!H:H,'Отчет 24-30.11'!D:D,"Возврат выручки",'Отчет 24-30.11'!E:E,B45)</f>
        <v>0</v>
      </c>
      <c r="R45" s="49">
        <f t="shared" si="23"/>
        <v>0</v>
      </c>
      <c r="S45" s="50">
        <f>SUMIFS('Отчет 24-30.11'!P:P,'Отчет 24-30.11'!C:C,"Продажи",'Отчет 24-30.11'!E:E,B45)</f>
        <v>0</v>
      </c>
      <c r="T45" s="51">
        <f>SUMIFS('Отчет 24-30.11'!P:P,'Отчет 24-30.11'!C:C,"Возвраты",'Отчет 24-30.11'!E:E,B45)</f>
        <v>0</v>
      </c>
      <c r="U45" s="49">
        <f t="shared" si="24"/>
        <v>0</v>
      </c>
      <c r="V45" s="52">
        <f t="shared" si="25"/>
        <v>0</v>
      </c>
      <c r="W45" s="53">
        <f t="shared" si="26"/>
        <v>0</v>
      </c>
      <c r="X45" s="51">
        <f>-SUMIFS('Отчет 24-30.11'!P:P,'Отчет 24-30.11'!C:C,"Вознаграждение Ozon",'Отчет 24-30.11'!E:E,B45)</f>
        <v>0</v>
      </c>
      <c r="Y45" s="54">
        <f t="shared" si="27"/>
        <v>0</v>
      </c>
      <c r="Z45" s="51">
        <f>-SUMIFS('Отчет 24-30.11'!P:P,'Отчет 24-30.11'!C:C,"Услуги доставки",'Отчет 24-30.11'!E:E,B45)</f>
        <v>112</v>
      </c>
      <c r="AA45" s="41">
        <v>0</v>
      </c>
      <c r="AB45" s="64"/>
      <c r="AC45" s="51"/>
      <c r="AD45" s="55">
        <f t="shared" si="28"/>
        <v>0</v>
      </c>
      <c r="AE45" s="56">
        <f t="shared" si="29"/>
        <v>-112</v>
      </c>
      <c r="AF45" s="55"/>
      <c r="AG45" s="57">
        <f t="shared" si="30"/>
        <v>0</v>
      </c>
      <c r="AH45" s="58">
        <f t="shared" si="31"/>
        <v>687</v>
      </c>
      <c r="AI45" s="58">
        <f t="shared" si="32"/>
        <v>0</v>
      </c>
      <c r="AJ45" s="58">
        <f t="shared" si="33"/>
        <v>112</v>
      </c>
      <c r="AK45" s="58">
        <f t="shared" si="34"/>
        <v>0</v>
      </c>
      <c r="AL45" s="58">
        <f t="array" ref="AL45">_xlfn.IFS(R45=0,AE45,R45&lt;0,AE45/-R45,R45&gt;0,AE45/R45)</f>
        <v>-112</v>
      </c>
      <c r="AM45" s="59">
        <f t="shared" si="35"/>
        <v>0</v>
      </c>
      <c r="AN45" s="60">
        <f t="shared" si="36"/>
        <v>-0.16302765647743814</v>
      </c>
      <c r="AP45" s="62">
        <f t="shared" si="37"/>
        <v>-448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20"/>
        <v>3312</v>
      </c>
      <c r="J46" s="45"/>
      <c r="K46" s="41">
        <v>0</v>
      </c>
      <c r="L46" s="45"/>
      <c r="M46" s="45"/>
      <c r="N46" s="46">
        <f t="shared" si="21"/>
        <v>0</v>
      </c>
      <c r="O46" s="47">
        <f t="shared" si="22"/>
        <v>0</v>
      </c>
      <c r="P46" s="48">
        <f>SUMIFS('Отчет 24-30.11'!H:H,'Отчет 24-30.11'!D:D,"Выручка",'Отчет 24-30.11'!E:E,B46)</f>
        <v>0</v>
      </c>
      <c r="Q46" s="48">
        <f>SUMIFS('Отчет 24-30.11'!H:H,'Отчет 24-30.11'!D:D,"Возврат выручки",'Отчет 24-30.11'!E:E,B46)</f>
        <v>0</v>
      </c>
      <c r="R46" s="49">
        <f t="shared" si="23"/>
        <v>0</v>
      </c>
      <c r="S46" s="50">
        <f>SUMIFS('Отчет 24-30.11'!P:P,'Отчет 24-30.11'!C:C,"Продажи",'Отчет 24-30.11'!E:E,B46)</f>
        <v>0</v>
      </c>
      <c r="T46" s="51">
        <f>SUMIFS('Отчет 24-30.11'!P:P,'Отчет 24-30.11'!C:C,"Возвраты",'Отчет 24-30.11'!E:E,B46)</f>
        <v>0</v>
      </c>
      <c r="U46" s="49">
        <f t="shared" si="24"/>
        <v>0</v>
      </c>
      <c r="V46" s="52">
        <f t="shared" si="25"/>
        <v>0</v>
      </c>
      <c r="W46" s="53">
        <f t="shared" si="26"/>
        <v>0</v>
      </c>
      <c r="X46" s="51">
        <f>-SUMIFS('Отчет 24-30.11'!P:P,'Отчет 24-30.11'!C:C,"Вознаграждение Ozon",'Отчет 24-30.11'!E:E,B46)</f>
        <v>0</v>
      </c>
      <c r="Y46" s="54">
        <f t="shared" si="27"/>
        <v>0</v>
      </c>
      <c r="Z46" s="51">
        <f>-SUMIFS('Отчет 24-30.11'!P:P,'Отчет 24-30.11'!C:C,"Услуги доставки",'Отчет 24-30.11'!E:E,B46)</f>
        <v>0</v>
      </c>
      <c r="AA46" s="41">
        <v>0</v>
      </c>
      <c r="AB46" s="64"/>
      <c r="AC46" s="51"/>
      <c r="AD46" s="55">
        <f t="shared" si="28"/>
        <v>0</v>
      </c>
      <c r="AE46" s="56">
        <f t="shared" si="29"/>
        <v>0</v>
      </c>
      <c r="AF46" s="55"/>
      <c r="AG46" s="57">
        <f t="shared" si="30"/>
        <v>0</v>
      </c>
      <c r="AH46" s="58">
        <f t="shared" si="31"/>
        <v>552</v>
      </c>
      <c r="AI46" s="58">
        <f t="shared" si="32"/>
        <v>0</v>
      </c>
      <c r="AJ46" s="58">
        <f t="shared" si="33"/>
        <v>0</v>
      </c>
      <c r="AK46" s="58">
        <f t="shared" si="34"/>
        <v>0</v>
      </c>
      <c r="AL46" s="58">
        <f t="array" ref="AL46">_xlfn.IFS(R46=0,AE46,R46&lt;0,AE46/-R46,R46&gt;0,AE46/R46)</f>
        <v>0</v>
      </c>
      <c r="AM46" s="59">
        <f t="shared" si="35"/>
        <v>0</v>
      </c>
      <c r="AN46" s="60">
        <f t="shared" si="36"/>
        <v>0</v>
      </c>
      <c r="AP46" s="62">
        <f t="shared" si="37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21"/>
        <v>0</v>
      </c>
      <c r="O47" s="47">
        <f t="shared" si="22"/>
        <v>0</v>
      </c>
      <c r="P47" s="48">
        <f>SUMIFS('Отчет 24-30.11'!H:H,'Отчет 24-30.11'!D:D,"Выручка",'Отчет 24-30.11'!E:E,B47)</f>
        <v>0</v>
      </c>
      <c r="Q47" s="48">
        <f>SUMIFS('Отчет 24-30.11'!H:H,'Отчет 24-30.11'!D:D,"Возврат выручки",'Отчет 24-30.11'!E:E,B47)</f>
        <v>0</v>
      </c>
      <c r="R47" s="49">
        <f t="shared" si="23"/>
        <v>0</v>
      </c>
      <c r="S47" s="50">
        <f>SUMIFS('Отчет 24-30.11'!P:P,'Отчет 24-30.11'!C:C,"Продажи",'Отчет 24-30.11'!E:E,B47)</f>
        <v>0</v>
      </c>
      <c r="T47" s="51">
        <f>SUMIFS('Отчет 24-30.11'!P:P,'Отчет 24-30.11'!C:C,"Возвраты",'Отчет 24-30.11'!E:E,B47)</f>
        <v>0</v>
      </c>
      <c r="U47" s="49">
        <f t="shared" si="24"/>
        <v>0</v>
      </c>
      <c r="V47" s="52">
        <f t="shared" si="25"/>
        <v>0</v>
      </c>
      <c r="W47" s="53">
        <f t="shared" si="26"/>
        <v>0</v>
      </c>
      <c r="X47" s="51">
        <f>-SUMIFS('Отчет 24-30.11'!P:P,'Отчет 24-30.11'!C:C,"Вознаграждение Ozon",'Отчет 24-30.11'!E:E,B47)</f>
        <v>0</v>
      </c>
      <c r="Y47" s="54">
        <f t="shared" si="27"/>
        <v>0</v>
      </c>
      <c r="Z47" s="51">
        <f>-SUMIFS('Отчет 24-30.11'!P:P,'Отчет 24-30.11'!C:C,"Услуги доставки",'Отчет 24-30.11'!E:E,B47)</f>
        <v>0</v>
      </c>
      <c r="AA47" s="41">
        <v>1150</v>
      </c>
      <c r="AB47" s="64"/>
      <c r="AC47" s="51"/>
      <c r="AD47" s="55">
        <f t="shared" si="28"/>
        <v>0</v>
      </c>
      <c r="AE47" s="56">
        <f t="shared" si="29"/>
        <v>-1150</v>
      </c>
      <c r="AF47" s="55"/>
      <c r="AG47" s="57">
        <f t="shared" si="30"/>
        <v>0</v>
      </c>
      <c r="AH47" s="58">
        <f t="shared" si="31"/>
        <v>552</v>
      </c>
      <c r="AI47" s="58">
        <f t="shared" si="32"/>
        <v>0</v>
      </c>
      <c r="AJ47" s="58">
        <f t="shared" si="33"/>
        <v>0</v>
      </c>
      <c r="AK47" s="58">
        <f t="shared" si="34"/>
        <v>0</v>
      </c>
      <c r="AL47" s="58">
        <f t="array" ref="AL47">_xlfn.IFS(R47=0,AE47,R47&lt;0,AE47/-R47,R47&gt;0,AE47/R47)</f>
        <v>-1150</v>
      </c>
      <c r="AM47" s="59">
        <f t="shared" si="35"/>
        <v>0</v>
      </c>
      <c r="AN47" s="60">
        <f t="shared" si="36"/>
        <v>-2.0833333333333335</v>
      </c>
      <c r="AP47" s="62">
        <f t="shared" si="37"/>
        <v>-21850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38">AVERAGEIF(AG28:AG47,"&lt;&gt;0",AG28:AG47)</f>
        <v>6000</v>
      </c>
      <c r="AH48" s="259">
        <f t="shared" si="38"/>
        <v>617.25</v>
      </c>
      <c r="AI48" s="259">
        <f t="shared" si="38"/>
        <v>2580</v>
      </c>
      <c r="AJ48" s="259">
        <f t="shared" si="38"/>
        <v>306.84000000000003</v>
      </c>
      <c r="AK48" s="259">
        <f t="shared" si="38"/>
        <v>600</v>
      </c>
      <c r="AL48" s="259">
        <f t="shared" si="38"/>
        <v>-59.379999999999995</v>
      </c>
      <c r="AM48" s="260">
        <f t="shared" si="38"/>
        <v>0.26056666666666667</v>
      </c>
      <c r="AN48" s="260">
        <f t="shared" si="38"/>
        <v>-0.15310539896784447</v>
      </c>
      <c r="AO48" s="240"/>
      <c r="AP48" s="241"/>
    </row>
    <row r="49" spans="1:42">
      <c r="A49" s="218" t="s">
        <v>306</v>
      </c>
      <c r="B49" s="219"/>
      <c r="C49" s="220">
        <f>SUM(C28:C47)</f>
        <v>302</v>
      </c>
      <c r="D49" s="221"/>
      <c r="E49" s="221"/>
      <c r="F49" s="221"/>
      <c r="G49" s="221"/>
      <c r="H49" s="222"/>
      <c r="I49" s="220">
        <f>SUM(I28:I47)</f>
        <v>184329</v>
      </c>
      <c r="J49" s="223"/>
      <c r="K49" s="220">
        <f>SUM(K28:K47)</f>
        <v>7</v>
      </c>
      <c r="L49" s="223"/>
      <c r="M49" s="223"/>
      <c r="N49" s="224"/>
      <c r="O49" s="225"/>
      <c r="P49" s="220">
        <f t="shared" ref="P49:X49" si="39">SUM(P28:P47)</f>
        <v>2</v>
      </c>
      <c r="Q49" s="220">
        <f t="shared" si="39"/>
        <v>1</v>
      </c>
      <c r="R49" s="250">
        <f t="shared" si="39"/>
        <v>1</v>
      </c>
      <c r="S49" s="220">
        <f t="shared" si="39"/>
        <v>12000</v>
      </c>
      <c r="T49" s="220">
        <f t="shared" si="39"/>
        <v>-6000</v>
      </c>
      <c r="U49" s="250">
        <f t="shared" si="39"/>
        <v>6000</v>
      </c>
      <c r="V49" s="253">
        <f t="shared" si="39"/>
        <v>1</v>
      </c>
      <c r="W49" s="220">
        <f t="shared" si="39"/>
        <v>627</v>
      </c>
      <c r="X49" s="220">
        <f t="shared" si="39"/>
        <v>2580</v>
      </c>
      <c r="Y49" s="226">
        <f>IF(U49=0,0,X49/U49)</f>
        <v>0.43</v>
      </c>
      <c r="Z49" s="220">
        <f>SUM(Z28:Z47)</f>
        <v>920.5200000000001</v>
      </c>
      <c r="AA49" s="220">
        <f>IFERROR(P49*AA51/P51,0)</f>
        <v>1198.338947368421</v>
      </c>
      <c r="AB49" s="220">
        <f>SUM(AB28:AB47)</f>
        <v>0</v>
      </c>
      <c r="AC49" s="220">
        <f>SUM(AC28:AC47)</f>
        <v>0</v>
      </c>
      <c r="AD49" s="250">
        <f>SUM(AD28:AD47)</f>
        <v>360</v>
      </c>
      <c r="AE49" s="220">
        <f>SUM(AE28:AE47)</f>
        <v>-237.51999999999998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-3318.4400000000023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1750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4442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728189.41</v>
      </c>
      <c r="J51" s="229">
        <f>J26+J49</f>
        <v>0</v>
      </c>
      <c r="K51" s="229">
        <f>K26+K49</f>
        <v>76</v>
      </c>
      <c r="L51" s="230"/>
      <c r="M51" s="230"/>
      <c r="N51" s="230"/>
      <c r="O51" s="230"/>
      <c r="P51" s="269">
        <f t="shared" ref="P51:X51" si="40">P26+P49</f>
        <v>38</v>
      </c>
      <c r="Q51" s="229">
        <f t="shared" si="40"/>
        <v>5</v>
      </c>
      <c r="R51" s="252">
        <f>R26-R49</f>
        <v>31</v>
      </c>
      <c r="S51" s="229">
        <f t="shared" si="40"/>
        <v>68557</v>
      </c>
      <c r="T51" s="229">
        <f t="shared" si="40"/>
        <v>-12081</v>
      </c>
      <c r="U51" s="252">
        <f t="shared" si="40"/>
        <v>56476</v>
      </c>
      <c r="V51" s="255">
        <f t="shared" si="40"/>
        <v>9.4126666666666665</v>
      </c>
      <c r="W51" s="229">
        <f t="shared" si="40"/>
        <v>4937.76</v>
      </c>
      <c r="X51" s="229">
        <f t="shared" si="40"/>
        <v>24284.68</v>
      </c>
      <c r="Y51" s="232">
        <f>X51/U51</f>
        <v>0.43</v>
      </c>
      <c r="Z51" s="229">
        <f>Z26+Z49</f>
        <v>6667.8900000000012</v>
      </c>
      <c r="AA51" s="75">
        <v>22768.44</v>
      </c>
      <c r="AB51" s="74"/>
      <c r="AC51" s="74">
        <f>SUM(AC3:AC47)</f>
        <v>0</v>
      </c>
      <c r="AD51" s="229">
        <f>AD26+AD49</f>
        <v>3388.5600000000004</v>
      </c>
      <c r="AE51" s="233">
        <f>AE26+AE49</f>
        <v>-2421.3153139999999</v>
      </c>
      <c r="AF51" s="76"/>
      <c r="AG51" s="234"/>
      <c r="AH51" s="235"/>
      <c r="AI51" s="235"/>
      <c r="AJ51" s="235"/>
      <c r="AK51" s="235">
        <f>AA52/P51</f>
        <v>599.16947368421052</v>
      </c>
      <c r="AL51" s="235"/>
      <c r="AM51" s="235"/>
      <c r="AN51" s="236"/>
      <c r="AP51" s="233">
        <f>SUM(AP3:AP47)</f>
        <v>-1066907.0282930476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22768.44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19618.425314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728189.41</v>
      </c>
      <c r="J59" s="109">
        <f>I59/I51</f>
        <v>1</v>
      </c>
      <c r="K59" s="105">
        <f>AP51-K58-K60</f>
        <v>-1066907.0282930476</v>
      </c>
      <c r="L59" s="106">
        <f>K59/I59</f>
        <v>-1.4651504315244677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184" priority="28" operator="greaterThan">
      <formula>120</formula>
    </cfRule>
  </conditionalFormatting>
  <conditionalFormatting sqref="N50">
    <cfRule type="cellIs" dxfId="183" priority="27" operator="between">
      <formula>0.000001</formula>
      <formula>25</formula>
    </cfRule>
  </conditionalFormatting>
  <conditionalFormatting sqref="V1 V52:V55 V57:V1048576">
    <cfRule type="cellIs" dxfId="182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{66E93CDC-F06A-4205-A6ED-ADB493D20350}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{DD4B4B4C-2491-4545-AE8E-56F98D4002BD}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{63CCC51A-D6FB-40B6-A868-3B16CD7DBFC5}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{507FDB6D-DE58-43DF-8EA8-D63FBEFABB86}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{60B43CBB-0B14-4400-A32B-54482BF450EB}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{F02573FE-8B64-4493-A10B-903241FDBD14}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{2209A041-BD2E-47C5-BFA3-FCBC65E2C6A7}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{8BEE1E1B-5C8B-4DB3-90DF-1013795547B1}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{FC2B9660-2712-40C4-980A-9DEA29E58B3D}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{1907001C-3E4E-465F-AA0A-4ABA22540AEC}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{7802ADAA-5133-451C-A4CD-32D041CBE1F5}</x14:id>
        </ext>
      </extLst>
    </cfRule>
  </conditionalFormatting>
  <conditionalFormatting sqref="P50">
    <cfRule type="cellIs" dxfId="181" priority="23" operator="greaterThan">
      <formula>120</formula>
    </cfRule>
  </conditionalFormatting>
  <conditionalFormatting sqref="Q50">
    <cfRule type="cellIs" dxfId="180" priority="22" operator="greaterThan">
      <formula>120</formula>
    </cfRule>
  </conditionalFormatting>
  <conditionalFormatting sqref="R50">
    <cfRule type="cellIs" dxfId="179" priority="21" operator="greaterThan">
      <formula>120</formula>
    </cfRule>
  </conditionalFormatting>
  <conditionalFormatting sqref="S50">
    <cfRule type="cellIs" dxfId="178" priority="20" operator="greaterThan">
      <formula>120</formula>
    </cfRule>
  </conditionalFormatting>
  <conditionalFormatting sqref="T50">
    <cfRule type="cellIs" dxfId="177" priority="19" operator="greaterThan">
      <formula>120</formula>
    </cfRule>
  </conditionalFormatting>
  <conditionalFormatting sqref="U50">
    <cfRule type="cellIs" dxfId="176" priority="18" operator="greaterThan">
      <formula>120</formula>
    </cfRule>
  </conditionalFormatting>
  <conditionalFormatting sqref="V50">
    <cfRule type="cellIs" dxfId="175" priority="17" operator="greaterThan">
      <formula>120</formula>
    </cfRule>
  </conditionalFormatting>
  <conditionalFormatting sqref="W50">
    <cfRule type="cellIs" dxfId="174" priority="16" operator="greaterThan">
      <formula>120</formula>
    </cfRule>
  </conditionalFormatting>
  <conditionalFormatting sqref="X50">
    <cfRule type="cellIs" dxfId="173" priority="15" operator="greaterThan">
      <formula>120</formula>
    </cfRule>
  </conditionalFormatting>
  <conditionalFormatting sqref="Z50">
    <cfRule type="cellIs" dxfId="172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{7788E57D-4481-4E39-8FE3-494233B3C449}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{B13B6A85-43FD-4DB1-85F3-9EE3ABAF53E2}</x14:id>
        </ext>
      </extLst>
    </cfRule>
  </conditionalFormatting>
  <conditionalFormatting sqref="J8:J9">
    <cfRule type="cellIs" dxfId="171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{24FEECFE-482A-4A66-B545-AD7EFF103597}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{642EEC63-83F5-4D4E-99E9-C351E17455F9}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{E70D8C4D-244A-4587-A4BC-7C3024557E0C}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{48E7DB1D-2111-4C98-BCDD-D77C12D8AED8}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{4A2A505D-5F32-4E3F-A1A2-61A323F542C9}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{70006896-FC80-4E96-9F80-F1B40AC8A190}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{ED889E03-57DA-4033-978C-E7430533F605}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{B6196CE6-2830-4E71-B6F6-0B75F5527271}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{ADBB6961-1E55-4433-A487-E40F4BC4D8D6}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{7EA00703-BCE6-43E5-AD55-38828CB87B59}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E93CDC-F06A-4205-A6ED-ADB493D20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D4B4B4C-2491-4545-AE8E-56F98D400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3CCC51A-D6FB-40B6-A868-3B16CD7DB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507FDB6D-DE58-43DF-8EA8-D63FBEFABB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0B43CBB-0B14-4400-A32B-54482BF45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F02573FE-8B64-4493-A10B-903241FDBD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209A041-BD2E-47C5-BFA3-FCBC65E2C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BEE1E1B-5C8B-4DB3-90DF-101379554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C2B9660-2712-40C4-980A-9DEA29E58B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1907001C-3E4E-465F-AA0A-4ABA22540A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802ADAA-5133-451C-A4CD-32D041CBE1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788E57D-4481-4E39-8FE3-494233B3C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13B6A85-43FD-4DB1-85F3-9EE3ABAF53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4FEECFE-482A-4A66-B545-AD7EFF103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42EEC63-83F5-4D4E-99E9-C351E17455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70D8C4D-244A-4587-A4BC-7C3024557E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48E7DB1D-2111-4C98-BCDD-D77C12D8AE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4A2A505D-5F32-4E3F-A1A2-61A323F542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0006896-FC80-4E96-9F80-F1B40AC8A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D889E03-57DA-4033-978C-E7430533F6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B6196CE6-2830-4E71-B6F6-0B75F55272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ADBB6961-1E55-4433-A487-E40F4BC4D8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7EA00703-BCE6-43E5-AD55-38828CB87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7730-3850-4AF5-92A7-1E15C5163E9E}">
  <dimension ref="A1:AZ64"/>
  <sheetViews>
    <sheetView zoomScale="70" zoomScaleNormal="70" workbookViewId="0">
      <pane xSplit="2" ySplit="2" topLeftCell="N42" activePane="bottomRight" state="frozen"/>
      <selection pane="topRight" activeCell="C1" sqref="C1"/>
      <selection pane="bottomLeft" activeCell="A3" sqref="A3"/>
      <selection pane="bottomRight" activeCell="R28" sqref="R28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1223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1328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304</v>
      </c>
      <c r="D3" s="42"/>
      <c r="E3" s="42"/>
      <c r="F3" s="42"/>
      <c r="G3" s="43"/>
      <c r="H3" s="44">
        <v>142.97999999999999</v>
      </c>
      <c r="I3" s="42">
        <f t="shared" ref="I3:I24" si="0">C3*H3</f>
        <v>43465.919999999998</v>
      </c>
      <c r="J3" s="45"/>
      <c r="K3" s="41">
        <v>17</v>
      </c>
      <c r="L3" s="45"/>
      <c r="M3" s="45"/>
      <c r="N3" s="46">
        <f t="shared" ref="N3:N24" si="1">K3/7</f>
        <v>2.4285714285714284</v>
      </c>
      <c r="O3" s="47">
        <f t="shared" ref="O3:O24" si="2">R3/7</f>
        <v>1</v>
      </c>
      <c r="P3" s="48">
        <f>SUMIFS('Отчет 17-23.11'!H:H,'Отчет 17-23.11'!D:D,"Выручка",'Отчет 17-23.11'!E:E,B3)</f>
        <v>7</v>
      </c>
      <c r="Q3" s="48">
        <f>SUMIFS('Отчет 17-23.11'!H:H,'Отчет 17-23.11'!D:D,"Возврат выручки",'Отчет 17-23.11'!E:E,B3)</f>
        <v>0</v>
      </c>
      <c r="R3" s="49">
        <f>P3-Q3</f>
        <v>7</v>
      </c>
      <c r="S3" s="50">
        <f>SUMIFS('Отчет 17-23.11'!P:P,'Отчет 17-23.11'!C:C,"Продажи",'Отчет 17-23.11'!E:E,B3)</f>
        <v>9682</v>
      </c>
      <c r="T3" s="51">
        <f>SUMIFS('Отчет 17-23.11'!P:P,'Отчет 17-23.11'!C:C,"Возвраты",'Отчет 17-23.11'!E:E,B3)</f>
        <v>0</v>
      </c>
      <c r="U3" s="49">
        <f t="shared" ref="U3:U24" si="3">S3+T3</f>
        <v>9682</v>
      </c>
      <c r="V3" s="52">
        <f t="shared" ref="V3:V24" si="4">U3/$U$49</f>
        <v>1.237474437627812</v>
      </c>
      <c r="W3" s="53">
        <f t="shared" ref="W3:W24" si="5">R3*H3</f>
        <v>1000.8599999999999</v>
      </c>
      <c r="X3" s="391">
        <f>-SUMIFS('Отчет 17-23.11'!P:P,'Отчет 17-23.11'!C:C,"Вознаграждение Ozon",'Отчет 17-23.11'!E:E,B3)</f>
        <v>4062.73</v>
      </c>
      <c r="Y3" s="54">
        <f>IF(U3=0,0,X3/U3)</f>
        <v>0.41961681470770501</v>
      </c>
      <c r="Z3" s="51">
        <f>-SUMIFS('Отчет 17-23.11'!P:P,'Отчет 17-23.11'!C:C,"Услуги доставки",'Отчет 17-23.11'!E:E,B3)</f>
        <v>960.08</v>
      </c>
      <c r="AA3" s="41">
        <v>3426.08</v>
      </c>
      <c r="AB3" s="51"/>
      <c r="AC3" s="51"/>
      <c r="AD3" s="55">
        <f t="shared" ref="AD3:AD24" si="6">U3*6%</f>
        <v>580.91999999999996</v>
      </c>
      <c r="AE3" s="56">
        <f t="shared" ref="AE3:AE24" si="7">U3-W3-X3-Z3-AA3-AB3-AC3-AD3</f>
        <v>-348.66999999999996</v>
      </c>
      <c r="AF3" s="55"/>
      <c r="AG3" s="57">
        <f t="shared" ref="AG3:AG24" si="8">IF(R3=0,0,U3/R3)</f>
        <v>1383.1428571428571</v>
      </c>
      <c r="AH3" s="58">
        <f t="shared" ref="AH3:AH24" si="9">H3</f>
        <v>142.97999999999999</v>
      </c>
      <c r="AI3" s="58">
        <f t="shared" ref="AI3:AI24" si="10">IF(R3=0,0,X3/R3)</f>
        <v>580.39</v>
      </c>
      <c r="AJ3" s="58">
        <f t="shared" ref="AJ3:AJ24" si="11">IF(P3=0,Z3/1,Z3/P3)</f>
        <v>137.15428571428572</v>
      </c>
      <c r="AK3" s="58">
        <f t="shared" ref="AK3:AK24" si="12">IF(P3=0,0,AA3/P3)</f>
        <v>489.44</v>
      </c>
      <c r="AL3" s="58">
        <f>_xlfn.IFS(R3=0,AE3,R3&lt;0,AE3/-R3,R3&gt;0,AE3/R3)</f>
        <v>-49.809999999999995</v>
      </c>
      <c r="AM3" s="59">
        <f t="shared" ref="AM3:AM24" si="13">IF(AG3=0,0,AL3/AG3)</f>
        <v>-3.6012187564552774E-2</v>
      </c>
      <c r="AN3" s="60">
        <f t="shared" ref="AN3:AN24" si="14">IF(AH3=0,0,AL3/AH3)</f>
        <v>-0.3483704014547489</v>
      </c>
      <c r="AP3" s="62">
        <f t="shared" ref="AP3:AP24" si="15">AL3*C3</f>
        <v>-15142.239999999998</v>
      </c>
    </row>
    <row r="4" spans="1:42">
      <c r="A4" s="39">
        <v>2638638550</v>
      </c>
      <c r="B4" s="40" t="s">
        <v>92</v>
      </c>
      <c r="C4" s="41">
        <v>388</v>
      </c>
      <c r="D4" s="42"/>
      <c r="E4" s="42"/>
      <c r="F4" s="42"/>
      <c r="G4" s="43"/>
      <c r="H4" s="44">
        <v>123.09</v>
      </c>
      <c r="I4" s="42">
        <f t="shared" si="0"/>
        <v>47758.92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</v>
      </c>
      <c r="P4" s="48">
        <f>SUMIFS('Отчет 17-23.11'!H:H,'Отчет 17-23.11'!D:D,"Выручка",'Отчет 17-23.11'!E:E,B4)</f>
        <v>0</v>
      </c>
      <c r="Q4" s="48">
        <f>SUMIFS('Отчет 17-23.11'!H:H,'Отчет 17-23.11'!D:D,"Возврат выручки",'Отчет 17-23.11'!E:E,B4)</f>
        <v>0</v>
      </c>
      <c r="R4" s="49">
        <f t="shared" ref="R4:R24" si="16">P4-Q4</f>
        <v>0</v>
      </c>
      <c r="S4" s="50">
        <f>SUMIFS('Отчет 17-23.11'!P:P,'Отчет 17-23.11'!C:C,"Продажи",'Отчет 17-23.11'!E:E,B4)</f>
        <v>0</v>
      </c>
      <c r="T4" s="51">
        <f>SUMIFS('Отчет 17-23.11'!P:P,'Отчет 17-23.11'!C:C,"Возвраты",'Отчет 17-23.11'!E:E,B4)</f>
        <v>0</v>
      </c>
      <c r="U4" s="49">
        <f t="shared" si="3"/>
        <v>0</v>
      </c>
      <c r="V4" s="52">
        <f t="shared" si="4"/>
        <v>0</v>
      </c>
      <c r="W4" s="53">
        <f t="shared" si="5"/>
        <v>0</v>
      </c>
      <c r="X4" s="51">
        <f>-SUMIFS('Отчет 17-23.11'!P:P,'Отчет 17-23.11'!C:C,"Вознаграждение Ozon",'Отчет 17-23.11'!E:E,B4)</f>
        <v>0</v>
      </c>
      <c r="Y4" s="54">
        <f t="shared" ref="Y4:Y24" si="17">IF(U4=0,0,X4/U4)</f>
        <v>0</v>
      </c>
      <c r="Z4" s="51">
        <f>-SUMIFS('Отчет 17-23.11'!P:P,'Отчет 17-23.11'!C:C,"Услуги доставки",'Отчет 17-23.11'!E:E,B4)</f>
        <v>0</v>
      </c>
      <c r="AA4" s="41">
        <v>0</v>
      </c>
      <c r="AB4" s="51"/>
      <c r="AC4" s="51"/>
      <c r="AD4" s="55">
        <f t="shared" si="6"/>
        <v>0</v>
      </c>
      <c r="AE4" s="56">
        <f t="shared" si="7"/>
        <v>0</v>
      </c>
      <c r="AF4" s="55"/>
      <c r="AG4" s="57">
        <f t="shared" si="8"/>
        <v>0</v>
      </c>
      <c r="AH4" s="58">
        <f t="shared" si="9"/>
        <v>123.09</v>
      </c>
      <c r="AI4" s="58">
        <f t="shared" si="10"/>
        <v>0</v>
      </c>
      <c r="AJ4" s="58">
        <f t="shared" si="11"/>
        <v>0</v>
      </c>
      <c r="AK4" s="58">
        <f t="shared" si="12"/>
        <v>0</v>
      </c>
      <c r="AL4" s="58">
        <f t="array" ref="AL4">_xlfn.IFS(R4=0,AE4,R4&lt;0,AE4/-R4,R4&gt;0,AE4/R4)</f>
        <v>0</v>
      </c>
      <c r="AM4" s="59">
        <f t="shared" si="13"/>
        <v>0</v>
      </c>
      <c r="AN4" s="60">
        <f t="shared" si="14"/>
        <v>0</v>
      </c>
      <c r="AP4" s="62">
        <f t="shared" si="15"/>
        <v>0</v>
      </c>
    </row>
    <row r="5" spans="1:42">
      <c r="A5" s="39">
        <v>2638691131</v>
      </c>
      <c r="B5" s="40" t="s">
        <v>222</v>
      </c>
      <c r="C5" s="41"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1">
        <v>0</v>
      </c>
      <c r="L5" s="45"/>
      <c r="M5" s="45"/>
      <c r="N5" s="46">
        <f t="shared" si="1"/>
        <v>0</v>
      </c>
      <c r="O5" s="47">
        <f t="shared" si="2"/>
        <v>0</v>
      </c>
      <c r="P5" s="48">
        <f>SUMIFS('Отчет 17-23.11'!H:H,'Отчет 17-23.11'!D:D,"Выручка",'Отчет 17-23.11'!E:E,B5)</f>
        <v>0</v>
      </c>
      <c r="Q5" s="48">
        <f>SUMIFS('Отчет 17-23.11'!H:H,'Отчет 17-23.11'!D:D,"Возврат выручки",'Отчет 17-23.11'!E:E,B5)</f>
        <v>0</v>
      </c>
      <c r="R5" s="49">
        <f t="shared" si="16"/>
        <v>0</v>
      </c>
      <c r="S5" s="50">
        <f>SUMIFS('Отчет 17-23.11'!P:P,'Отчет 17-23.11'!C:C,"Продажи",'Отчет 17-23.11'!E:E,B5)</f>
        <v>0</v>
      </c>
      <c r="T5" s="51">
        <f>SUMIFS('Отчет 17-23.11'!P:P,'Отчет 17-23.11'!C:C,"Возвраты",'Отчет 17-23.11'!E:E,B5)</f>
        <v>0</v>
      </c>
      <c r="U5" s="49">
        <f t="shared" si="3"/>
        <v>0</v>
      </c>
      <c r="V5" s="52">
        <f t="shared" si="4"/>
        <v>0</v>
      </c>
      <c r="W5" s="53">
        <f t="shared" si="5"/>
        <v>0</v>
      </c>
      <c r="X5" s="51">
        <f>-SUMIFS('Отчет 17-23.11'!P:P,'Отчет 17-23.11'!C:C,"Вознаграждение Ozon",'Отчет 17-23.11'!E:E,B5)</f>
        <v>0</v>
      </c>
      <c r="Y5" s="54">
        <f t="shared" si="17"/>
        <v>0</v>
      </c>
      <c r="Z5" s="51">
        <f>-SUMIFS('Отчет 17-23.11'!P:P,'Отчет 17-23.11'!C:C,"Услуги доставки",'Отчет 17-23.11'!E:E,B5)</f>
        <v>0</v>
      </c>
      <c r="AA5" s="41">
        <v>0</v>
      </c>
      <c r="AB5" s="64"/>
      <c r="AC5" s="51"/>
      <c r="AD5" s="55">
        <f t="shared" si="6"/>
        <v>0</v>
      </c>
      <c r="AE5" s="56">
        <f t="shared" si="7"/>
        <v>0</v>
      </c>
      <c r="AF5" s="55"/>
      <c r="AG5" s="57">
        <f t="shared" si="8"/>
        <v>0</v>
      </c>
      <c r="AH5" s="58">
        <f t="shared" si="9"/>
        <v>123.09</v>
      </c>
      <c r="AI5" s="58">
        <f t="shared" si="10"/>
        <v>0</v>
      </c>
      <c r="AJ5" s="58">
        <f t="shared" si="11"/>
        <v>0</v>
      </c>
      <c r="AK5" s="58">
        <f t="shared" si="12"/>
        <v>0</v>
      </c>
      <c r="AL5" s="58">
        <f t="array" ref="AL5">_xlfn.IFS(R5=0,AE5,R5&lt;0,AE5/-R5,R5&gt;0,AE5/R5)</f>
        <v>0</v>
      </c>
      <c r="AM5" s="59">
        <f t="shared" si="13"/>
        <v>0</v>
      </c>
      <c r="AN5" s="60">
        <f t="shared" si="14"/>
        <v>0</v>
      </c>
      <c r="AP5" s="62">
        <f t="shared" si="15"/>
        <v>0</v>
      </c>
    </row>
    <row r="6" spans="1:42">
      <c r="A6" s="39">
        <v>2638382749</v>
      </c>
      <c r="B6" s="40" t="s">
        <v>223</v>
      </c>
      <c r="C6" s="41">
        <v>853</v>
      </c>
      <c r="D6" s="42"/>
      <c r="E6" s="42"/>
      <c r="F6" s="42"/>
      <c r="G6" s="43"/>
      <c r="H6" s="44">
        <v>123.09</v>
      </c>
      <c r="I6" s="63">
        <f t="shared" si="0"/>
        <v>104995.77</v>
      </c>
      <c r="J6" s="45"/>
      <c r="K6" s="41">
        <v>33</v>
      </c>
      <c r="L6" s="45"/>
      <c r="M6" s="45"/>
      <c r="N6" s="46">
        <f t="shared" si="1"/>
        <v>4.7142857142857144</v>
      </c>
      <c r="O6" s="47">
        <f t="shared" si="2"/>
        <v>2.2857142857142856</v>
      </c>
      <c r="P6" s="48">
        <f>SUMIFS('Отчет 17-23.11'!H:H,'Отчет 17-23.11'!D:D,"Выручка",'Отчет 17-23.11'!E:E,B6)</f>
        <v>18</v>
      </c>
      <c r="Q6" s="48">
        <f>SUMIFS('Отчет 17-23.11'!H:H,'Отчет 17-23.11'!D:D,"Возврат выручки",'Отчет 17-23.11'!E:E,B6)</f>
        <v>2</v>
      </c>
      <c r="R6" s="49">
        <f t="shared" si="16"/>
        <v>16</v>
      </c>
      <c r="S6" s="50">
        <f>SUMIFS('Отчет 17-23.11'!P:P,'Отчет 17-23.11'!C:C,"Продажи",'Отчет 17-23.11'!E:E,B6)</f>
        <v>29905.999999999996</v>
      </c>
      <c r="T6" s="51">
        <f>SUMIFS('Отчет 17-23.11'!P:P,'Отчет 17-23.11'!C:C,"Возвраты",'Отчет 17-23.11'!E:E,B6)</f>
        <v>-3051</v>
      </c>
      <c r="U6" s="49">
        <f t="shared" si="3"/>
        <v>26854.999999999996</v>
      </c>
      <c r="V6" s="52">
        <f t="shared" si="4"/>
        <v>3.4323875255623717</v>
      </c>
      <c r="W6" s="53">
        <f>R6*H6</f>
        <v>1969.44</v>
      </c>
      <c r="X6" s="51">
        <f>-SUMIFS('Отчет 17-23.11'!P:P,'Отчет 17-23.11'!C:C,"Вознаграждение Ozon",'Отчет 17-23.11'!E:E,B6)</f>
        <v>11547.649999999998</v>
      </c>
      <c r="Y6" s="54">
        <f t="shared" si="17"/>
        <v>0.43</v>
      </c>
      <c r="Z6" s="51">
        <f>-SUMIFS('Отчет 17-23.11'!P:P,'Отчет 17-23.11'!C:C,"Услуги доставки",'Отчет 17-23.11'!E:E,B6)</f>
        <v>3231.61</v>
      </c>
      <c r="AA6" s="41">
        <v>8418.6396769999992</v>
      </c>
      <c r="AB6" s="64"/>
      <c r="AC6" s="51"/>
      <c r="AD6" s="55">
        <f t="shared" si="6"/>
        <v>1611.2999999999997</v>
      </c>
      <c r="AE6" s="56">
        <f t="shared" si="7"/>
        <v>76.360323000000335</v>
      </c>
      <c r="AF6" s="55"/>
      <c r="AG6" s="57">
        <f t="shared" si="8"/>
        <v>1678.4374999999998</v>
      </c>
      <c r="AH6" s="58">
        <f t="shared" si="9"/>
        <v>123.09</v>
      </c>
      <c r="AI6" s="58">
        <f t="shared" si="10"/>
        <v>721.72812499999986</v>
      </c>
      <c r="AJ6" s="58">
        <f t="shared" si="11"/>
        <v>179.5338888888889</v>
      </c>
      <c r="AK6" s="58">
        <f t="shared" si="12"/>
        <v>467.70220427777775</v>
      </c>
      <c r="AL6" s="58">
        <f t="array" ref="AL6">_xlfn.IFS(R6=0,AE6,R6&lt;0,AE6/-R6,R6&gt;0,AE6/R6)</f>
        <v>4.7725201875000209</v>
      </c>
      <c r="AM6" s="59">
        <f t="shared" si="13"/>
        <v>2.8434303854031036E-3</v>
      </c>
      <c r="AN6" s="60">
        <f t="shared" si="14"/>
        <v>3.8772606933950939E-2</v>
      </c>
      <c r="AP6" s="62">
        <f t="shared" si="15"/>
        <v>4070.959719937518</v>
      </c>
    </row>
    <row r="7" spans="1:42">
      <c r="A7" s="39">
        <v>2638569317</v>
      </c>
      <c r="B7" s="40" t="s">
        <v>54</v>
      </c>
      <c r="C7" s="41">
        <v>854</v>
      </c>
      <c r="D7" s="42"/>
      <c r="E7" s="42"/>
      <c r="F7" s="42"/>
      <c r="G7" s="43"/>
      <c r="H7" s="44">
        <v>117.24</v>
      </c>
      <c r="I7" s="63">
        <f t="shared" si="0"/>
        <v>100122.95999999999</v>
      </c>
      <c r="J7" s="45"/>
      <c r="K7" s="41">
        <v>1</v>
      </c>
      <c r="L7" s="45"/>
      <c r="M7" s="45"/>
      <c r="N7" s="46">
        <f t="shared" si="1"/>
        <v>0.14285714285714285</v>
      </c>
      <c r="O7" s="47">
        <f t="shared" si="2"/>
        <v>0.14285714285714285</v>
      </c>
      <c r="P7" s="48">
        <f>SUMIFS('Отчет 17-23.11'!H:H,'Отчет 17-23.11'!D:D,"Выручка",'Отчет 17-23.11'!E:E,B7)</f>
        <v>1</v>
      </c>
      <c r="Q7" s="48">
        <f>SUMIFS('Отчет 17-23.11'!H:H,'Отчет 17-23.11'!D:D,"Возврат выручки",'Отчет 17-23.11'!E:E,B7)</f>
        <v>0</v>
      </c>
      <c r="R7" s="49">
        <f t="shared" si="16"/>
        <v>1</v>
      </c>
      <c r="S7" s="50">
        <f>SUMIFS('Отчет 17-23.11'!P:P,'Отчет 17-23.11'!C:C,"Продажи",'Отчет 17-23.11'!E:E,B7)</f>
        <v>1568</v>
      </c>
      <c r="T7" s="51">
        <f>SUMIFS('Отчет 17-23.11'!P:P,'Отчет 17-23.11'!C:C,"Возвраты",'Отчет 17-23.11'!E:E,B7)</f>
        <v>0</v>
      </c>
      <c r="U7" s="49">
        <f t="shared" si="3"/>
        <v>1568</v>
      </c>
      <c r="V7" s="52">
        <f t="shared" si="4"/>
        <v>0.20040899795501022</v>
      </c>
      <c r="W7" s="53">
        <f>R7*H7</f>
        <v>117.24</v>
      </c>
      <c r="X7" s="51">
        <f>-SUMIFS('Отчет 17-23.11'!P:P,'Отчет 17-23.11'!C:C,"Вознаграждение Ozon",'Отчет 17-23.11'!E:E,B7)</f>
        <v>674.24</v>
      </c>
      <c r="Y7" s="54">
        <f t="shared" si="17"/>
        <v>0.43</v>
      </c>
      <c r="Z7" s="51">
        <f>-SUMIFS('Отчет 17-23.11'!P:P,'Отчет 17-23.11'!C:C,"Услуги доставки",'Отчет 17-23.11'!E:E,B7)</f>
        <v>124.37</v>
      </c>
      <c r="AA7" s="41">
        <v>0</v>
      </c>
      <c r="AB7" s="64"/>
      <c r="AC7" s="51"/>
      <c r="AD7" s="55">
        <f t="shared" si="6"/>
        <v>94.08</v>
      </c>
      <c r="AE7" s="56">
        <f t="shared" si="7"/>
        <v>558.06999999999994</v>
      </c>
      <c r="AF7" s="55"/>
      <c r="AG7" s="57">
        <f t="shared" si="8"/>
        <v>1568</v>
      </c>
      <c r="AH7" s="58">
        <f t="shared" si="9"/>
        <v>117.24</v>
      </c>
      <c r="AI7" s="58">
        <f t="shared" si="10"/>
        <v>674.24</v>
      </c>
      <c r="AJ7" s="58">
        <f t="shared" si="11"/>
        <v>124.37</v>
      </c>
      <c r="AK7" s="58">
        <f t="shared" si="12"/>
        <v>0</v>
      </c>
      <c r="AL7" s="58">
        <f t="array" ref="AL7">_xlfn.IFS(R7=0,AE7,R7&lt;0,AE7/-R7,R7&gt;0,AE7/R7)</f>
        <v>558.06999999999994</v>
      </c>
      <c r="AM7" s="59">
        <f t="shared" si="13"/>
        <v>0.35591198979591832</v>
      </c>
      <c r="AN7" s="60">
        <f t="shared" si="14"/>
        <v>4.7600648242920505</v>
      </c>
      <c r="AP7" s="62">
        <f t="shared" si="15"/>
        <v>476591.77999999997</v>
      </c>
    </row>
    <row r="8" spans="1:42">
      <c r="A8" s="39">
        <v>3064334128</v>
      </c>
      <c r="B8" s="40" t="s">
        <v>1054</v>
      </c>
      <c r="C8" s="41">
        <v>399</v>
      </c>
      <c r="D8" s="42"/>
      <c r="E8" s="42"/>
      <c r="F8" s="42"/>
      <c r="G8" s="43"/>
      <c r="H8" s="44">
        <v>123</v>
      </c>
      <c r="I8" s="63">
        <f t="shared" si="0"/>
        <v>49077</v>
      </c>
      <c r="J8" s="45"/>
      <c r="K8" s="41">
        <v>2</v>
      </c>
      <c r="L8" s="45"/>
      <c r="M8" s="45"/>
      <c r="N8" s="46">
        <f t="shared" si="1"/>
        <v>0.2857142857142857</v>
      </c>
      <c r="O8" s="47">
        <f t="shared" si="2"/>
        <v>0.14285714285714285</v>
      </c>
      <c r="P8" s="48">
        <f>SUMIFS('Отчет 17-23.11'!H:H,'Отчет 17-23.11'!D:D,"Выручка",'Отчет 17-23.11'!E:E,B8)</f>
        <v>1</v>
      </c>
      <c r="Q8" s="48">
        <f>SUMIFS('Отчет 17-23.11'!H:H,'Отчет 17-23.11'!D:D,"Возврат выручки",'Отчет 17-23.11'!E:E,B8)</f>
        <v>0</v>
      </c>
      <c r="R8" s="49">
        <f t="shared" si="16"/>
        <v>1</v>
      </c>
      <c r="S8" s="50">
        <f>SUMIFS('Отчет 17-23.11'!P:P,'Отчет 17-23.11'!C:C,"Продажи",'Отчет 17-23.11'!E:E,B8)</f>
        <v>1800</v>
      </c>
      <c r="T8" s="51">
        <f>SUMIFS('Отчет 17-23.11'!P:P,'Отчет 17-23.11'!C:C,"Возвраты",'Отчет 17-23.11'!E:E,B8)</f>
        <v>0</v>
      </c>
      <c r="U8" s="49">
        <f t="shared" si="3"/>
        <v>1800</v>
      </c>
      <c r="V8" s="52">
        <f t="shared" si="4"/>
        <v>0.23006134969325154</v>
      </c>
      <c r="W8" s="53">
        <f t="shared" si="5"/>
        <v>123</v>
      </c>
      <c r="X8" s="51">
        <f>-SUMIFS('Отчет 17-23.11'!P:P,'Отчет 17-23.11'!C:C,"Вознаграждение Ozon",'Отчет 17-23.11'!E:E,B8)</f>
        <v>774</v>
      </c>
      <c r="Y8" s="54">
        <f t="shared" si="17"/>
        <v>0.43</v>
      </c>
      <c r="Z8" s="51">
        <f>-SUMIFS('Отчет 17-23.11'!P:P,'Отчет 17-23.11'!C:C,"Услуги доставки",'Отчет 17-23.11'!E:E,B8)</f>
        <v>223.68</v>
      </c>
      <c r="AA8" s="41">
        <v>632.61827300000004</v>
      </c>
      <c r="AB8" s="64"/>
      <c r="AC8" s="51"/>
      <c r="AD8" s="55">
        <f t="shared" si="6"/>
        <v>108</v>
      </c>
      <c r="AE8" s="56">
        <f t="shared" si="7"/>
        <v>-61.298273000000108</v>
      </c>
      <c r="AF8" s="55"/>
      <c r="AG8" s="57">
        <f t="shared" si="8"/>
        <v>1800</v>
      </c>
      <c r="AH8" s="58">
        <f t="shared" si="9"/>
        <v>123</v>
      </c>
      <c r="AI8" s="58">
        <f t="shared" si="10"/>
        <v>774</v>
      </c>
      <c r="AJ8" s="58">
        <f t="shared" si="11"/>
        <v>223.68</v>
      </c>
      <c r="AK8" s="58">
        <f t="shared" si="12"/>
        <v>632.61827300000004</v>
      </c>
      <c r="AL8" s="58">
        <f t="array" ref="AL8">_xlfn.IFS(R8=0,AE8,R8&lt;0,AE8/-R8,R8&gt;0,AE8/R8)</f>
        <v>-61.298273000000108</v>
      </c>
      <c r="AM8" s="59">
        <f t="shared" si="13"/>
        <v>-3.4054596111111168E-2</v>
      </c>
      <c r="AN8" s="60">
        <f t="shared" si="14"/>
        <v>-0.49835994308943177</v>
      </c>
      <c r="AP8" s="62">
        <f t="shared" si="15"/>
        <v>-24458.010927000043</v>
      </c>
    </row>
    <row r="9" spans="1:42">
      <c r="A9" s="39">
        <v>3064334311</v>
      </c>
      <c r="B9" s="40" t="s">
        <v>1055</v>
      </c>
      <c r="C9" s="41">
        <v>395</v>
      </c>
      <c r="D9" s="42"/>
      <c r="E9" s="42"/>
      <c r="F9" s="42"/>
      <c r="G9" s="43"/>
      <c r="H9" s="44">
        <v>123</v>
      </c>
      <c r="I9" s="63">
        <f t="shared" si="0"/>
        <v>48585</v>
      </c>
      <c r="J9" s="45"/>
      <c r="K9" s="41">
        <v>5</v>
      </c>
      <c r="L9" s="45"/>
      <c r="M9" s="45"/>
      <c r="N9" s="46">
        <f t="shared" si="1"/>
        <v>0.7142857142857143</v>
      </c>
      <c r="O9" s="47">
        <f t="shared" si="2"/>
        <v>0</v>
      </c>
      <c r="P9" s="48">
        <f>SUMIFS('Отчет 17-23.11'!H:H,'Отчет 17-23.11'!D:D,"Выручка",'Отчет 17-23.11'!E:E,B9)</f>
        <v>0</v>
      </c>
      <c r="Q9" s="48">
        <f>SUMIFS('Отчет 17-23.11'!H:H,'Отчет 17-23.11'!D:D,"Возврат выручки",'Отчет 17-23.11'!E:E,B9)</f>
        <v>0</v>
      </c>
      <c r="R9" s="49">
        <f t="shared" si="16"/>
        <v>0</v>
      </c>
      <c r="S9" s="50">
        <f>SUMIFS('Отчет 17-23.11'!P:P,'Отчет 17-23.11'!C:C,"Продажи",'Отчет 17-23.11'!E:E,B9)</f>
        <v>0</v>
      </c>
      <c r="T9" s="51">
        <f>SUMIFS('Отчет 17-23.11'!P:P,'Отчет 17-23.11'!C:C,"Возвраты",'Отчет 17-23.11'!E:E,B9)</f>
        <v>0</v>
      </c>
      <c r="U9" s="49">
        <f t="shared" si="3"/>
        <v>0</v>
      </c>
      <c r="V9" s="52">
        <f t="shared" si="4"/>
        <v>0</v>
      </c>
      <c r="W9" s="53">
        <f t="shared" si="5"/>
        <v>0</v>
      </c>
      <c r="X9" s="51">
        <f>-SUMIFS('Отчет 17-23.11'!P:P,'Отчет 17-23.11'!C:C,"Вознаграждение Ozon",'Отчет 17-23.11'!E:E,B9)</f>
        <v>0</v>
      </c>
      <c r="Y9" s="54">
        <f t="shared" si="17"/>
        <v>0</v>
      </c>
      <c r="Z9" s="51">
        <f>-SUMIFS('Отчет 17-23.11'!P:P,'Отчет 17-23.11'!C:C,"Услуги доставки",'Отчет 17-23.11'!E:E,B9)</f>
        <v>0</v>
      </c>
      <c r="AA9" s="41">
        <v>3866.133002</v>
      </c>
      <c r="AB9" s="64"/>
      <c r="AC9" s="51"/>
      <c r="AD9" s="55">
        <f t="shared" si="6"/>
        <v>0</v>
      </c>
      <c r="AE9" s="56">
        <f t="shared" si="7"/>
        <v>-3866.133002</v>
      </c>
      <c r="AF9" s="55"/>
      <c r="AG9" s="57">
        <f t="shared" si="8"/>
        <v>0</v>
      </c>
      <c r="AH9" s="58">
        <f t="shared" si="9"/>
        <v>123</v>
      </c>
      <c r="AI9" s="58">
        <f t="shared" si="10"/>
        <v>0</v>
      </c>
      <c r="AJ9" s="58">
        <f t="shared" si="11"/>
        <v>0</v>
      </c>
      <c r="AK9" s="58">
        <f t="shared" si="12"/>
        <v>0</v>
      </c>
      <c r="AL9" s="58">
        <f t="array" ref="AL9">_xlfn.IFS(R9=0,AE9,R9&lt;0,AE9/-R9,R9&gt;0,AE9/R9)</f>
        <v>-3866.133002</v>
      </c>
      <c r="AM9" s="59">
        <f t="shared" si="13"/>
        <v>0</v>
      </c>
      <c r="AN9" s="60">
        <f t="shared" si="14"/>
        <v>-31.431975626016261</v>
      </c>
      <c r="AP9" s="62">
        <f t="shared" si="15"/>
        <v>-1527122.5357900001</v>
      </c>
    </row>
    <row r="10" spans="1:42">
      <c r="A10" s="39">
        <v>2638291563</v>
      </c>
      <c r="B10" s="40" t="s">
        <v>88</v>
      </c>
      <c r="C10" s="41">
        <v>393</v>
      </c>
      <c r="D10" s="42"/>
      <c r="E10" s="42"/>
      <c r="F10" s="42"/>
      <c r="G10" s="43"/>
      <c r="H10" s="44">
        <v>169.89</v>
      </c>
      <c r="I10" s="63">
        <f t="shared" si="0"/>
        <v>66766.76999999999</v>
      </c>
      <c r="J10" s="45"/>
      <c r="K10" s="41">
        <v>0</v>
      </c>
      <c r="L10" s="45"/>
      <c r="M10" s="45"/>
      <c r="N10" s="46">
        <f t="shared" si="1"/>
        <v>0</v>
      </c>
      <c r="O10" s="47">
        <f t="shared" si="2"/>
        <v>0.14285714285714285</v>
      </c>
      <c r="P10" s="48">
        <f>SUMIFS('Отчет 17-23.11'!H:H,'Отчет 17-23.11'!D:D,"Выручка",'Отчет 17-23.11'!E:E,B10)</f>
        <v>1</v>
      </c>
      <c r="Q10" s="48">
        <f>SUMIFS('Отчет 17-23.11'!H:H,'Отчет 17-23.11'!D:D,"Возврат выручки",'Отчет 17-23.11'!E:E,B10)</f>
        <v>0</v>
      </c>
      <c r="R10" s="49">
        <f t="shared" si="16"/>
        <v>1</v>
      </c>
      <c r="S10" s="50">
        <f>SUMIFS('Отчет 17-23.11'!P:P,'Отчет 17-23.11'!C:C,"Продажи",'Отчет 17-23.11'!E:E,B10)</f>
        <v>1336</v>
      </c>
      <c r="T10" s="51">
        <f>SUMIFS('Отчет 17-23.11'!P:P,'Отчет 17-23.11'!C:C,"Возвраты",'Отчет 17-23.11'!E:E,B10)</f>
        <v>0</v>
      </c>
      <c r="U10" s="49">
        <f t="shared" si="3"/>
        <v>1336</v>
      </c>
      <c r="V10" s="52">
        <f t="shared" si="4"/>
        <v>0.17075664621676892</v>
      </c>
      <c r="W10" s="53">
        <f t="shared" si="5"/>
        <v>169.89</v>
      </c>
      <c r="X10" s="391">
        <f>-SUMIFS('Отчет 17-23.11'!P:P,'Отчет 17-23.11'!C:C,"Вознаграждение Ozon",'Отчет 17-23.11'!E:E,B10)</f>
        <v>574.48</v>
      </c>
      <c r="Y10" s="54">
        <f t="shared" si="17"/>
        <v>0.43</v>
      </c>
      <c r="Z10" s="51">
        <f>-SUMIFS('Отчет 17-23.11'!P:P,'Отчет 17-23.11'!C:C,"Услуги доставки",'Отчет 17-23.11'!E:E,B10)</f>
        <v>110.3</v>
      </c>
      <c r="AA10" s="41">
        <v>0</v>
      </c>
      <c r="AB10" s="64"/>
      <c r="AC10" s="51"/>
      <c r="AD10" s="55">
        <f t="shared" si="6"/>
        <v>80.16</v>
      </c>
      <c r="AE10" s="56">
        <f t="shared" si="7"/>
        <v>401.17000000000007</v>
      </c>
      <c r="AF10" s="55"/>
      <c r="AG10" s="57">
        <f t="shared" si="8"/>
        <v>1336</v>
      </c>
      <c r="AH10" s="58">
        <f t="shared" si="9"/>
        <v>169.89</v>
      </c>
      <c r="AI10" s="58">
        <f t="shared" si="10"/>
        <v>574.48</v>
      </c>
      <c r="AJ10" s="58">
        <f t="shared" si="11"/>
        <v>110.3</v>
      </c>
      <c r="AK10" s="58">
        <f t="shared" si="12"/>
        <v>0</v>
      </c>
      <c r="AL10" s="58">
        <f t="array" ref="AL10">_xlfn.IFS(R10=0,AE10,R10&lt;0,AE10/-R10,R10&gt;0,AE10/R10)</f>
        <v>401.17000000000007</v>
      </c>
      <c r="AM10" s="59">
        <f t="shared" si="13"/>
        <v>0.30027694610778449</v>
      </c>
      <c r="AN10" s="60">
        <f t="shared" si="14"/>
        <v>2.3613514627111667</v>
      </c>
      <c r="AP10" s="62">
        <f t="shared" si="15"/>
        <v>157659.81000000003</v>
      </c>
    </row>
    <row r="11" spans="1:42">
      <c r="A11" s="39">
        <v>2730130733</v>
      </c>
      <c r="B11" s="40" t="s">
        <v>224</v>
      </c>
      <c r="C11" s="41">
        <v>47</v>
      </c>
      <c r="D11" s="42"/>
      <c r="E11" s="42"/>
      <c r="F11" s="42"/>
      <c r="G11" s="43"/>
      <c r="H11" s="44">
        <v>169.89</v>
      </c>
      <c r="I11" s="63">
        <f t="shared" si="0"/>
        <v>7984.829999999999</v>
      </c>
      <c r="J11" s="45"/>
      <c r="K11" s="41">
        <v>1</v>
      </c>
      <c r="L11" s="45"/>
      <c r="M11" s="45"/>
      <c r="N11" s="46">
        <f t="shared" si="1"/>
        <v>0.14285714285714285</v>
      </c>
      <c r="O11" s="47">
        <f t="shared" si="2"/>
        <v>0</v>
      </c>
      <c r="P11" s="48">
        <f>SUMIFS('Отчет 17-23.11'!H:H,'Отчет 17-23.11'!D:D,"Выручка",'Отчет 17-23.11'!E:E,B11)</f>
        <v>0</v>
      </c>
      <c r="Q11" s="48">
        <f>SUMIFS('Отчет 17-23.11'!H:H,'Отчет 17-23.11'!D:D,"Возврат выручки",'Отчет 17-23.11'!E:E,B11)</f>
        <v>0</v>
      </c>
      <c r="R11" s="49">
        <f t="shared" si="16"/>
        <v>0</v>
      </c>
      <c r="S11" s="50">
        <f>SUMIFS('Отчет 17-23.11'!P:P,'Отчет 17-23.11'!C:C,"Продажи",'Отчет 17-23.11'!E:E,B11)</f>
        <v>0</v>
      </c>
      <c r="T11" s="51">
        <f>SUMIFS('Отчет 17-23.11'!P:P,'Отчет 17-23.11'!C:C,"Возвраты",'Отчет 17-23.11'!E:E,B11)</f>
        <v>0</v>
      </c>
      <c r="U11" s="49">
        <f t="shared" si="3"/>
        <v>0</v>
      </c>
      <c r="V11" s="52">
        <f t="shared" si="4"/>
        <v>0</v>
      </c>
      <c r="W11" s="53">
        <f t="shared" si="5"/>
        <v>0</v>
      </c>
      <c r="X11" s="51">
        <f>-SUMIFS('Отчет 17-23.11'!P:P,'Отчет 17-23.11'!C:C,"Вознаграждение Ozon",'Отчет 17-23.11'!E:E,B11)</f>
        <v>0</v>
      </c>
      <c r="Y11" s="54">
        <f t="shared" si="17"/>
        <v>0</v>
      </c>
      <c r="Z11" s="51">
        <f>-SUMIFS('Отчет 17-23.11'!P:P,'Отчет 17-23.11'!C:C,"Услуги доставки",'Отчет 17-23.11'!E:E,B11)</f>
        <v>0</v>
      </c>
      <c r="AA11" s="41">
        <v>0</v>
      </c>
      <c r="AB11" s="64"/>
      <c r="AC11" s="51"/>
      <c r="AD11" s="55">
        <f t="shared" si="6"/>
        <v>0</v>
      </c>
      <c r="AE11" s="56">
        <f t="shared" si="7"/>
        <v>0</v>
      </c>
      <c r="AF11" s="55"/>
      <c r="AG11" s="57">
        <f t="shared" si="8"/>
        <v>0</v>
      </c>
      <c r="AH11" s="58">
        <f t="shared" si="9"/>
        <v>169.89</v>
      </c>
      <c r="AI11" s="58">
        <f t="shared" si="10"/>
        <v>0</v>
      </c>
      <c r="AJ11" s="58">
        <f t="shared" si="11"/>
        <v>0</v>
      </c>
      <c r="AK11" s="58">
        <f t="shared" si="12"/>
        <v>0</v>
      </c>
      <c r="AL11" s="58">
        <f t="array" ref="AL11">_xlfn.IFS(R11=0,AE11,R11&lt;0,AE11/-R11,R11&gt;0,AE11/R11)</f>
        <v>0</v>
      </c>
      <c r="AM11" s="59">
        <f t="shared" si="13"/>
        <v>0</v>
      </c>
      <c r="AN11" s="60">
        <f t="shared" si="14"/>
        <v>0</v>
      </c>
      <c r="AP11" s="62">
        <f t="shared" si="15"/>
        <v>0</v>
      </c>
    </row>
    <row r="12" spans="1:42">
      <c r="A12" s="39">
        <v>2730131249</v>
      </c>
      <c r="B12" s="40" t="s">
        <v>225</v>
      </c>
      <c r="C12" s="41">
        <v>46</v>
      </c>
      <c r="D12" s="42"/>
      <c r="E12" s="42"/>
      <c r="F12" s="42"/>
      <c r="G12" s="43"/>
      <c r="H12" s="44">
        <v>169.89</v>
      </c>
      <c r="I12" s="63">
        <f t="shared" si="0"/>
        <v>7814.94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17-23.11'!H:H,'Отчет 17-23.11'!D:D,"Выручка",'Отчет 17-23.11'!E:E,B12)</f>
        <v>0</v>
      </c>
      <c r="Q12" s="48">
        <f>SUMIFS('Отчет 17-23.11'!H:H,'Отчет 17-23.11'!D:D,"Возврат выручки",'Отчет 17-23.11'!E:E,B12)</f>
        <v>0</v>
      </c>
      <c r="R12" s="49">
        <f t="shared" si="16"/>
        <v>0</v>
      </c>
      <c r="S12" s="50">
        <f>SUMIFS('Отчет 17-23.11'!P:P,'Отчет 17-23.11'!C:C,"Продажи",'Отчет 17-23.11'!E:E,B12)</f>
        <v>0</v>
      </c>
      <c r="T12" s="51">
        <f>SUMIFS('Отчет 17-23.11'!P:P,'Отчет 17-23.11'!C:C,"Возвраты",'Отчет 17-23.11'!E:E,B12)</f>
        <v>0</v>
      </c>
      <c r="U12" s="49">
        <f t="shared" si="3"/>
        <v>0</v>
      </c>
      <c r="V12" s="52">
        <f t="shared" si="4"/>
        <v>0</v>
      </c>
      <c r="W12" s="53">
        <f t="shared" si="5"/>
        <v>0</v>
      </c>
      <c r="X12" s="51">
        <f>-SUMIFS('Отчет 17-23.11'!P:P,'Отчет 17-23.11'!C:C,"Вознаграждение Ozon",'Отчет 17-23.11'!E:E,B12)</f>
        <v>0</v>
      </c>
      <c r="Y12" s="54">
        <f t="shared" si="17"/>
        <v>0</v>
      </c>
      <c r="Z12" s="51">
        <f>-SUMIFS('Отчет 17-23.11'!P:P,'Отчет 17-23.11'!C:C,"Услуги доставки",'Отчет 17-23.11'!E:E,B12)</f>
        <v>0</v>
      </c>
      <c r="AA12" s="41">
        <v>0</v>
      </c>
      <c r="AB12" s="64"/>
      <c r="AC12" s="51"/>
      <c r="AD12" s="55">
        <f t="shared" si="6"/>
        <v>0</v>
      </c>
      <c r="AE12" s="56">
        <f t="shared" si="7"/>
        <v>0</v>
      </c>
      <c r="AF12" s="55"/>
      <c r="AG12" s="57">
        <f t="shared" si="8"/>
        <v>0</v>
      </c>
      <c r="AH12" s="58">
        <f t="shared" si="9"/>
        <v>169.89</v>
      </c>
      <c r="AI12" s="58">
        <f t="shared" si="10"/>
        <v>0</v>
      </c>
      <c r="AJ12" s="58">
        <f t="shared" si="11"/>
        <v>0</v>
      </c>
      <c r="AK12" s="58">
        <f t="shared" si="12"/>
        <v>0</v>
      </c>
      <c r="AL12" s="58">
        <f t="array" ref="AL12">_xlfn.IFS(R12=0,AE12,R12&lt;0,AE12/-R12,R12&gt;0,AE12/R12)</f>
        <v>0</v>
      </c>
      <c r="AM12" s="59">
        <f t="shared" si="13"/>
        <v>0</v>
      </c>
      <c r="AN12" s="60">
        <f t="shared" si="14"/>
        <v>0</v>
      </c>
      <c r="AP12" s="62">
        <f t="shared" si="15"/>
        <v>0</v>
      </c>
    </row>
    <row r="13" spans="1:42">
      <c r="A13" s="39">
        <v>2730130553</v>
      </c>
      <c r="B13" s="40" t="s">
        <v>226</v>
      </c>
      <c r="C13" s="41">
        <v>38</v>
      </c>
      <c r="D13" s="42"/>
      <c r="E13" s="42"/>
      <c r="F13" s="42"/>
      <c r="G13" s="43"/>
      <c r="H13" s="44">
        <v>169.89</v>
      </c>
      <c r="I13" s="63">
        <f t="shared" si="0"/>
        <v>6455.82</v>
      </c>
      <c r="J13" s="45"/>
      <c r="K13" s="41">
        <v>3</v>
      </c>
      <c r="L13" s="45"/>
      <c r="M13" s="45"/>
      <c r="N13" s="46">
        <f t="shared" si="1"/>
        <v>0.42857142857142855</v>
      </c>
      <c r="O13" s="47">
        <f t="shared" si="2"/>
        <v>0.2857142857142857</v>
      </c>
      <c r="P13" s="48">
        <f>SUMIFS('Отчет 17-23.11'!H:H,'Отчет 17-23.11'!D:D,"Выручка",'Отчет 17-23.11'!E:E,B13)</f>
        <v>2</v>
      </c>
      <c r="Q13" s="48">
        <f>SUMIFS('Отчет 17-23.11'!H:H,'Отчет 17-23.11'!D:D,"Возврат выручки",'Отчет 17-23.11'!E:E,B13)</f>
        <v>0</v>
      </c>
      <c r="R13" s="49">
        <f t="shared" si="16"/>
        <v>2</v>
      </c>
      <c r="S13" s="50">
        <f>SUMIFS('Отчет 17-23.11'!P:P,'Отчет 17-23.11'!C:C,"Продажи",'Отчет 17-23.11'!E:E,B13)</f>
        <v>3600</v>
      </c>
      <c r="T13" s="51">
        <f>SUMIFS('Отчет 17-23.11'!P:P,'Отчет 17-23.11'!C:C,"Возвраты",'Отчет 17-23.11'!E:E,B13)</f>
        <v>0</v>
      </c>
      <c r="U13" s="49">
        <f t="shared" si="3"/>
        <v>3600</v>
      </c>
      <c r="V13" s="52">
        <f t="shared" si="4"/>
        <v>0.46012269938650308</v>
      </c>
      <c r="W13" s="53">
        <f t="shared" si="5"/>
        <v>339.78</v>
      </c>
      <c r="X13" s="391">
        <f>-SUMIFS('Отчет 17-23.11'!P:P,'Отчет 17-23.11'!C:C,"Вознаграждение Ozon",'Отчет 17-23.11'!E:E,B13)</f>
        <v>1548</v>
      </c>
      <c r="Y13" s="54">
        <f t="shared" si="17"/>
        <v>0.43</v>
      </c>
      <c r="Z13" s="51">
        <f>-SUMIFS('Отчет 17-23.11'!P:P,'Отчет 17-23.11'!C:C,"Услуги доставки",'Отчет 17-23.11'!E:E,B13)</f>
        <v>267.44</v>
      </c>
      <c r="AA13" s="41">
        <v>414</v>
      </c>
      <c r="AB13" s="64"/>
      <c r="AC13" s="51"/>
      <c r="AD13" s="55">
        <f t="shared" si="6"/>
        <v>216</v>
      </c>
      <c r="AE13" s="56">
        <f t="shared" si="7"/>
        <v>814.7800000000002</v>
      </c>
      <c r="AF13" s="55"/>
      <c r="AG13" s="57">
        <f t="shared" si="8"/>
        <v>1800</v>
      </c>
      <c r="AH13" s="58">
        <f t="shared" si="9"/>
        <v>169.89</v>
      </c>
      <c r="AI13" s="58">
        <f t="shared" si="10"/>
        <v>774</v>
      </c>
      <c r="AJ13" s="58">
        <f t="shared" si="11"/>
        <v>133.72</v>
      </c>
      <c r="AK13" s="58">
        <f t="shared" si="12"/>
        <v>207</v>
      </c>
      <c r="AL13" s="58">
        <f t="array" ref="AL13">_xlfn.IFS(R13=0,AE13,R13&lt;0,AE13/-R13,R13&gt;0,AE13/R13)</f>
        <v>407.3900000000001</v>
      </c>
      <c r="AM13" s="59">
        <f t="shared" si="13"/>
        <v>0.22632777777777782</v>
      </c>
      <c r="AN13" s="60">
        <f t="shared" si="14"/>
        <v>2.3979633880746372</v>
      </c>
      <c r="AP13" s="62">
        <f t="shared" si="15"/>
        <v>15480.820000000003</v>
      </c>
    </row>
    <row r="14" spans="1:42" ht="13.75" customHeight="1">
      <c r="A14" s="39">
        <v>2730129638</v>
      </c>
      <c r="B14" s="40" t="s">
        <v>227</v>
      </c>
      <c r="C14" s="41">
        <v>11</v>
      </c>
      <c r="D14" s="42"/>
      <c r="E14" s="42"/>
      <c r="F14" s="42"/>
      <c r="G14" s="43"/>
      <c r="H14" s="44">
        <v>169.89</v>
      </c>
      <c r="I14" s="63">
        <f t="shared" si="0"/>
        <v>1868.79</v>
      </c>
      <c r="J14" s="45"/>
      <c r="K14" s="41">
        <v>0</v>
      </c>
      <c r="L14" s="45"/>
      <c r="M14" s="45"/>
      <c r="N14" s="46">
        <f t="shared" si="1"/>
        <v>0</v>
      </c>
      <c r="O14" s="47">
        <f t="shared" si="2"/>
        <v>0</v>
      </c>
      <c r="P14" s="48">
        <f>SUMIFS('Отчет 17-23.11'!H:H,'Отчет 17-23.11'!D:D,"Выручка",'Отчет 17-23.11'!E:E,B14)</f>
        <v>0</v>
      </c>
      <c r="Q14" s="48">
        <f>SUMIFS('Отчет 17-23.11'!H:H,'Отчет 17-23.11'!D:D,"Возврат выручки",'Отчет 17-23.11'!E:E,B14)</f>
        <v>0</v>
      </c>
      <c r="R14" s="49">
        <f t="shared" si="16"/>
        <v>0</v>
      </c>
      <c r="S14" s="50">
        <f>SUMIFS('Отчет 17-23.11'!P:P,'Отчет 17-23.11'!C:C,"Продажи",'Отчет 17-23.11'!E:E,B14)</f>
        <v>0</v>
      </c>
      <c r="T14" s="51">
        <f>SUMIFS('Отчет 17-23.11'!P:P,'Отчет 17-23.11'!C:C,"Возвраты",'Отчет 17-23.11'!E:E,B14)</f>
        <v>0</v>
      </c>
      <c r="U14" s="49">
        <f t="shared" si="3"/>
        <v>0</v>
      </c>
      <c r="V14" s="52">
        <f t="shared" si="4"/>
        <v>0</v>
      </c>
      <c r="W14" s="53">
        <f t="shared" si="5"/>
        <v>0</v>
      </c>
      <c r="X14" s="51">
        <f>-SUMIFS('Отчет 17-23.11'!P:P,'Отчет 17-23.11'!C:C,"Вознаграждение Ozon",'Отчет 17-23.11'!E:E,B14)</f>
        <v>0</v>
      </c>
      <c r="Y14" s="54">
        <f t="shared" si="17"/>
        <v>0</v>
      </c>
      <c r="Z14" s="51">
        <f>-SUMIFS('Отчет 17-23.11'!P:P,'Отчет 17-23.11'!C:C,"Услуги доставки",'Отчет 17-23.11'!E:E,B14)</f>
        <v>0</v>
      </c>
      <c r="AA14" s="41">
        <v>0</v>
      </c>
      <c r="AB14" s="64"/>
      <c r="AC14" s="51"/>
      <c r="AD14" s="55">
        <f t="shared" si="6"/>
        <v>0</v>
      </c>
      <c r="AE14" s="56">
        <f t="shared" si="7"/>
        <v>0</v>
      </c>
      <c r="AF14" s="55"/>
      <c r="AG14" s="57">
        <f t="shared" si="8"/>
        <v>0</v>
      </c>
      <c r="AH14" s="58">
        <f t="shared" si="9"/>
        <v>169.89</v>
      </c>
      <c r="AI14" s="58">
        <f t="shared" si="10"/>
        <v>0</v>
      </c>
      <c r="AJ14" s="58">
        <f t="shared" si="11"/>
        <v>0</v>
      </c>
      <c r="AK14" s="58">
        <f t="shared" si="12"/>
        <v>0</v>
      </c>
      <c r="AL14" s="58">
        <f t="array" ref="AL14">_xlfn.IFS(R14=0,AE14,R14&lt;0,AE14/-R14,R14&gt;0,AE14/R14)</f>
        <v>0</v>
      </c>
      <c r="AM14" s="59">
        <f t="shared" si="13"/>
        <v>0</v>
      </c>
      <c r="AN14" s="60">
        <f t="shared" si="14"/>
        <v>0</v>
      </c>
      <c r="AP14" s="62">
        <f t="shared" si="15"/>
        <v>0</v>
      </c>
    </row>
    <row r="15" spans="1:42" ht="13.75" customHeight="1">
      <c r="A15" s="39">
        <v>2730130141</v>
      </c>
      <c r="B15" s="40" t="s">
        <v>228</v>
      </c>
      <c r="C15" s="41">
        <v>38</v>
      </c>
      <c r="D15" s="42"/>
      <c r="E15" s="42"/>
      <c r="F15" s="42"/>
      <c r="G15" s="43"/>
      <c r="H15" s="44">
        <v>169.89</v>
      </c>
      <c r="I15" s="63">
        <f t="shared" si="0"/>
        <v>6455.82</v>
      </c>
      <c r="J15" s="45"/>
      <c r="K15" s="41">
        <v>5</v>
      </c>
      <c r="L15" s="45"/>
      <c r="M15" s="45"/>
      <c r="N15" s="46">
        <f t="shared" si="1"/>
        <v>0.7142857142857143</v>
      </c>
      <c r="O15" s="47">
        <f t="shared" si="2"/>
        <v>0.42857142857142855</v>
      </c>
      <c r="P15" s="48">
        <f>SUMIFS('Отчет 17-23.11'!H:H,'Отчет 17-23.11'!D:D,"Выручка",'Отчет 17-23.11'!E:E,B15)</f>
        <v>3</v>
      </c>
      <c r="Q15" s="48">
        <f>SUMIFS('Отчет 17-23.11'!H:H,'Отчет 17-23.11'!D:D,"Возврат выручки",'Отчет 17-23.11'!E:E,B15)</f>
        <v>0</v>
      </c>
      <c r="R15" s="49">
        <f t="shared" si="16"/>
        <v>3</v>
      </c>
      <c r="S15" s="50">
        <f>SUMIFS('Отчет 17-23.11'!P:P,'Отчет 17-23.11'!C:C,"Продажи",'Отчет 17-23.11'!E:E,B15)</f>
        <v>4260</v>
      </c>
      <c r="T15" s="51">
        <f>SUMIFS('Отчет 17-23.11'!P:P,'Отчет 17-23.11'!C:C,"Возвраты",'Отчет 17-23.11'!E:E,B15)</f>
        <v>0</v>
      </c>
      <c r="U15" s="49">
        <f t="shared" si="3"/>
        <v>4260</v>
      </c>
      <c r="V15" s="52">
        <f t="shared" si="4"/>
        <v>0.54447852760736193</v>
      </c>
      <c r="W15" s="53">
        <f t="shared" si="5"/>
        <v>509.66999999999996</v>
      </c>
      <c r="X15" s="391">
        <f>-SUMIFS('Отчет 17-23.11'!P:P,'Отчет 17-23.11'!C:C,"Вознаграждение Ozon",'Отчет 17-23.11'!E:E,B15)</f>
        <v>1831.8000000000002</v>
      </c>
      <c r="Y15" s="54">
        <f t="shared" si="17"/>
        <v>0.43000000000000005</v>
      </c>
      <c r="Z15" s="51">
        <f>-SUMIFS('Отчет 17-23.11'!P:P,'Отчет 17-23.11'!C:C,"Услуги доставки",'Отчет 17-23.11'!E:E,B15)</f>
        <v>362.64</v>
      </c>
      <c r="AA15" s="41">
        <v>1956.6410930000002</v>
      </c>
      <c r="AB15" s="64"/>
      <c r="AC15" s="51"/>
      <c r="AD15" s="55">
        <f t="shared" si="6"/>
        <v>255.6</v>
      </c>
      <c r="AE15" s="56">
        <f t="shared" si="7"/>
        <v>-656.35109300000033</v>
      </c>
      <c r="AF15" s="55"/>
      <c r="AG15" s="57">
        <f t="shared" si="8"/>
        <v>1420</v>
      </c>
      <c r="AH15" s="58">
        <f t="shared" si="9"/>
        <v>169.89</v>
      </c>
      <c r="AI15" s="58">
        <f t="shared" si="10"/>
        <v>610.6</v>
      </c>
      <c r="AJ15" s="58">
        <f t="shared" si="11"/>
        <v>120.88</v>
      </c>
      <c r="AK15" s="58">
        <f t="shared" si="12"/>
        <v>652.21369766666669</v>
      </c>
      <c r="AL15" s="58">
        <f t="array" ref="AL15">_xlfn.IFS(R15=0,AE15,R15&lt;0,AE15/-R15,R15&gt;0,AE15/R15)</f>
        <v>-218.78369766666677</v>
      </c>
      <c r="AM15" s="59">
        <f t="shared" si="13"/>
        <v>-0.15407302652582167</v>
      </c>
      <c r="AN15" s="60">
        <f t="shared" si="14"/>
        <v>-1.2877962073498546</v>
      </c>
      <c r="AP15" s="62">
        <f t="shared" si="15"/>
        <v>-8313.7805113333379</v>
      </c>
    </row>
    <row r="16" spans="1:42" ht="13.75" customHeight="1">
      <c r="A16" s="39">
        <v>2730129805</v>
      </c>
      <c r="B16" s="40" t="s">
        <v>19</v>
      </c>
      <c r="C16" s="41">
        <v>27</v>
      </c>
      <c r="D16" s="42"/>
      <c r="E16" s="42"/>
      <c r="F16" s="42"/>
      <c r="G16" s="43"/>
      <c r="H16" s="44">
        <v>169.89</v>
      </c>
      <c r="I16" s="63">
        <f t="shared" si="0"/>
        <v>4587.03</v>
      </c>
      <c r="J16" s="45"/>
      <c r="K16" s="41">
        <v>0</v>
      </c>
      <c r="L16" s="45"/>
      <c r="M16" s="45"/>
      <c r="N16" s="46">
        <f t="shared" si="1"/>
        <v>0</v>
      </c>
      <c r="O16" s="47">
        <f t="shared" si="2"/>
        <v>0</v>
      </c>
      <c r="P16" s="48">
        <f>SUMIFS('Отчет 17-23.11'!H:H,'Отчет 17-23.11'!D:D,"Выручка",'Отчет 17-23.11'!E:E,B16)</f>
        <v>0</v>
      </c>
      <c r="Q16" s="48">
        <f>SUMIFS('Отчет 17-23.11'!H:H,'Отчет 17-23.11'!D:D,"Возврат выручки",'Отчет 17-23.11'!E:E,B16)</f>
        <v>0</v>
      </c>
      <c r="R16" s="49">
        <f t="shared" si="16"/>
        <v>0</v>
      </c>
      <c r="S16" s="50">
        <f>SUMIFS('Отчет 17-23.11'!P:P,'Отчет 17-23.11'!C:C,"Продажи",'Отчет 17-23.11'!E:E,B16)</f>
        <v>0</v>
      </c>
      <c r="T16" s="51">
        <f>SUMIFS('Отчет 17-23.11'!P:P,'Отчет 17-23.11'!C:C,"Возвраты",'Отчет 17-23.11'!E:E,B16)</f>
        <v>0</v>
      </c>
      <c r="U16" s="49">
        <f t="shared" si="3"/>
        <v>0</v>
      </c>
      <c r="V16" s="52">
        <f t="shared" si="4"/>
        <v>0</v>
      </c>
      <c r="W16" s="53">
        <f t="shared" si="5"/>
        <v>0</v>
      </c>
      <c r="X16" s="51">
        <f>-SUMIFS('Отчет 17-23.11'!P:P,'Отчет 17-23.11'!C:C,"Вознаграждение Ozon",'Отчет 17-23.11'!E:E,B16)</f>
        <v>0</v>
      </c>
      <c r="Y16" s="54">
        <f t="shared" si="17"/>
        <v>0</v>
      </c>
      <c r="Z16" s="51">
        <f>-SUMIFS('Отчет 17-23.11'!P:P,'Отчет 17-23.11'!C:C,"Услуги доставки",'Отчет 17-23.11'!E:E,B16)</f>
        <v>92</v>
      </c>
      <c r="AA16" s="41">
        <v>0</v>
      </c>
      <c r="AB16" s="64"/>
      <c r="AC16" s="51"/>
      <c r="AD16" s="55">
        <f t="shared" si="6"/>
        <v>0</v>
      </c>
      <c r="AE16" s="56">
        <f t="shared" si="7"/>
        <v>-92</v>
      </c>
      <c r="AF16" s="55"/>
      <c r="AG16" s="57">
        <f t="shared" si="8"/>
        <v>0</v>
      </c>
      <c r="AH16" s="58">
        <f t="shared" si="9"/>
        <v>169.89</v>
      </c>
      <c r="AI16" s="58">
        <f t="shared" si="10"/>
        <v>0</v>
      </c>
      <c r="AJ16" s="58">
        <f t="shared" si="11"/>
        <v>92</v>
      </c>
      <c r="AK16" s="58">
        <f t="shared" si="12"/>
        <v>0</v>
      </c>
      <c r="AL16" s="58">
        <f t="array" ref="AL16">_xlfn.IFS(R16=0,AE16,R16&lt;0,AE16/-R16,R16&gt;0,AE16/R16)</f>
        <v>-92</v>
      </c>
      <c r="AM16" s="59">
        <f t="shared" si="13"/>
        <v>0</v>
      </c>
      <c r="AN16" s="60">
        <f t="shared" si="14"/>
        <v>-0.54152687032785929</v>
      </c>
      <c r="AP16" s="62">
        <f t="shared" si="15"/>
        <v>-2484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</v>
      </c>
      <c r="P17" s="48">
        <f>SUMIFS('Отчет 17-23.11'!H:H,'Отчет 17-23.11'!D:D,"Выручка",'Отчет 17-23.11'!E:E,B17)</f>
        <v>0</v>
      </c>
      <c r="Q17" s="48">
        <f>SUMIFS('Отчет 17-23.11'!H:H,'Отчет 17-23.11'!D:D,"Возврат выручки",'Отчет 17-23.11'!E:E,B17)</f>
        <v>0</v>
      </c>
      <c r="R17" s="49">
        <f t="shared" si="16"/>
        <v>0</v>
      </c>
      <c r="S17" s="50">
        <f>SUMIFS('Отчет 17-23.11'!P:P,'Отчет 17-23.11'!C:C,"Продажи",'Отчет 17-23.11'!E:E,B17)</f>
        <v>0</v>
      </c>
      <c r="T17" s="51">
        <f>SUMIFS('Отчет 17-23.11'!P:P,'Отчет 17-23.11'!C:C,"Возвраты",'Отчет 17-23.11'!E:E,B17)</f>
        <v>0</v>
      </c>
      <c r="U17" s="49">
        <f t="shared" si="3"/>
        <v>0</v>
      </c>
      <c r="V17" s="52">
        <f t="shared" si="4"/>
        <v>0</v>
      </c>
      <c r="W17" s="53">
        <f t="shared" si="5"/>
        <v>0</v>
      </c>
      <c r="X17" s="51">
        <f>-SUMIFS('Отчет 17-23.11'!P:P,'Отчет 17-23.11'!C:C,"Вознаграждение Ozon",'Отчет 17-23.11'!E:E,B17)</f>
        <v>0</v>
      </c>
      <c r="Y17" s="54">
        <f t="shared" si="17"/>
        <v>0</v>
      </c>
      <c r="Z17" s="51">
        <f>-SUMIFS('Отчет 17-23.11'!P:P,'Отчет 17-23.11'!C:C,"Услуги доставки",'Отчет 17-23.11'!E:E,B17)</f>
        <v>0</v>
      </c>
      <c r="AA17" s="41">
        <v>0</v>
      </c>
      <c r="AB17" s="64"/>
      <c r="AC17" s="51"/>
      <c r="AD17" s="55">
        <f t="shared" si="6"/>
        <v>0</v>
      </c>
      <c r="AE17" s="56">
        <f t="shared" si="7"/>
        <v>0</v>
      </c>
      <c r="AF17" s="55"/>
      <c r="AG17" s="57">
        <f t="shared" si="8"/>
        <v>0</v>
      </c>
      <c r="AH17" s="58">
        <f t="shared" si="9"/>
        <v>1002.82</v>
      </c>
      <c r="AI17" s="58">
        <f t="shared" si="10"/>
        <v>0</v>
      </c>
      <c r="AJ17" s="58">
        <f t="shared" si="11"/>
        <v>0</v>
      </c>
      <c r="AK17" s="58">
        <f t="shared" si="12"/>
        <v>0</v>
      </c>
      <c r="AL17" s="58">
        <f t="array" ref="AL17">_xlfn.IFS(R17=0,AE17,R17&lt;0,AE17/-R17,R17&gt;0,AE17/R17)</f>
        <v>0</v>
      </c>
      <c r="AM17" s="59">
        <f t="shared" si="13"/>
        <v>0</v>
      </c>
      <c r="AN17" s="60">
        <f t="shared" si="14"/>
        <v>0</v>
      </c>
      <c r="AP17" s="62">
        <f t="shared" si="15"/>
        <v>0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17-23.11'!H:H,'Отчет 17-23.11'!D:D,"Выручка",'Отчет 17-23.11'!E:E,B18)</f>
        <v>0</v>
      </c>
      <c r="Q18" s="48">
        <f>SUMIFS('Отчет 17-23.11'!H:H,'Отчет 17-23.11'!D:D,"Возврат выручки",'Отчет 17-23.11'!E:E,B18)</f>
        <v>0</v>
      </c>
      <c r="R18" s="49">
        <f t="shared" si="16"/>
        <v>0</v>
      </c>
      <c r="S18" s="50">
        <f>SUMIFS('Отчет 17-23.11'!P:P,'Отчет 17-23.11'!C:C,"Продажи",'Отчет 17-23.11'!E:E,B18)</f>
        <v>0</v>
      </c>
      <c r="T18" s="51">
        <f>SUMIFS('Отчет 17-23.11'!P:P,'Отчет 17-23.11'!C:C,"Возвраты",'Отчет 17-23.11'!E:E,B18)</f>
        <v>0</v>
      </c>
      <c r="U18" s="49">
        <f t="shared" si="3"/>
        <v>0</v>
      </c>
      <c r="V18" s="52">
        <f t="shared" si="4"/>
        <v>0</v>
      </c>
      <c r="W18" s="53">
        <f t="shared" si="5"/>
        <v>0</v>
      </c>
      <c r="X18" s="51">
        <f>-SUMIFS('Отчет 17-23.11'!P:P,'Отчет 17-23.11'!C:C,"Вознаграждение Ozon",'Отчет 17-23.11'!E:E,B18)</f>
        <v>0</v>
      </c>
      <c r="Y18" s="54">
        <f t="shared" si="17"/>
        <v>0</v>
      </c>
      <c r="Z18" s="51">
        <f>-SUMIFS('Отчет 17-23.11'!P:P,'Отчет 17-23.11'!C:C,"Услуги доставки",'Отчет 17-23.11'!E:E,B18)</f>
        <v>0</v>
      </c>
      <c r="AA18" s="41">
        <v>0</v>
      </c>
      <c r="AB18" s="64"/>
      <c r="AC18" s="51"/>
      <c r="AD18" s="55">
        <f t="shared" si="6"/>
        <v>0</v>
      </c>
      <c r="AE18" s="56">
        <f t="shared" si="7"/>
        <v>0</v>
      </c>
      <c r="AF18" s="55"/>
      <c r="AG18" s="57">
        <f t="shared" si="8"/>
        <v>0</v>
      </c>
      <c r="AH18" s="58">
        <f t="shared" si="9"/>
        <v>909.22</v>
      </c>
      <c r="AI18" s="58">
        <f t="shared" si="10"/>
        <v>0</v>
      </c>
      <c r="AJ18" s="58">
        <f t="shared" si="11"/>
        <v>0</v>
      </c>
      <c r="AK18" s="58">
        <f t="shared" si="12"/>
        <v>0</v>
      </c>
      <c r="AL18" s="58">
        <f t="array" ref="AL18">_xlfn.IFS(R18=0,AE18,R18&lt;0,AE18/-R18,R18&gt;0,AE18/R18)</f>
        <v>0</v>
      </c>
      <c r="AM18" s="59">
        <f t="shared" si="13"/>
        <v>0</v>
      </c>
      <c r="AN18" s="60">
        <f t="shared" si="14"/>
        <v>0</v>
      </c>
      <c r="AP18" s="62">
        <f t="shared" si="15"/>
        <v>0</v>
      </c>
    </row>
    <row r="19" spans="1:52" ht="13.75" customHeight="1">
      <c r="A19" s="39">
        <v>2807226016</v>
      </c>
      <c r="B19" s="40" t="s">
        <v>231</v>
      </c>
      <c r="C19" s="41"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17-23.11'!H:H,'Отчет 17-23.11'!D:D,"Выручка",'Отчет 17-23.11'!E:E,B19)</f>
        <v>0</v>
      </c>
      <c r="Q19" s="48">
        <f>SUMIFS('Отчет 17-23.11'!H:H,'Отчет 17-23.11'!D:D,"Возврат выручки",'Отчет 17-23.11'!E:E,B19)</f>
        <v>0</v>
      </c>
      <c r="R19" s="49">
        <f t="shared" si="16"/>
        <v>0</v>
      </c>
      <c r="S19" s="50">
        <f>SUMIFS('Отчет 17-23.11'!P:P,'Отчет 17-23.11'!C:C,"Продажи",'Отчет 17-23.11'!E:E,B19)</f>
        <v>0</v>
      </c>
      <c r="T19" s="51">
        <f>SUMIFS('Отчет 17-23.11'!P:P,'Отчет 17-23.11'!C:C,"Возвраты",'Отчет 17-23.11'!E:E,B19)</f>
        <v>0</v>
      </c>
      <c r="U19" s="49">
        <f t="shared" si="3"/>
        <v>0</v>
      </c>
      <c r="V19" s="52">
        <f t="shared" si="4"/>
        <v>0</v>
      </c>
      <c r="W19" s="53">
        <f t="shared" si="5"/>
        <v>0</v>
      </c>
      <c r="X19" s="51">
        <f>-SUMIFS('Отчет 17-23.11'!P:P,'Отчет 17-23.11'!C:C,"Вознаграждение Ozon",'Отчет 17-23.11'!E:E,B19)</f>
        <v>0</v>
      </c>
      <c r="Y19" s="54">
        <f t="shared" si="17"/>
        <v>0</v>
      </c>
      <c r="Z19" s="51">
        <f>-SUMIFS('Отчет 17-23.11'!P:P,'Отчет 17-23.11'!C:C,"Услуги доставки",'Отчет 17-23.11'!E:E,B19)</f>
        <v>164</v>
      </c>
      <c r="AA19" s="41">
        <v>0</v>
      </c>
      <c r="AB19" s="64"/>
      <c r="AC19" s="51"/>
      <c r="AD19" s="55">
        <f t="shared" si="6"/>
        <v>0</v>
      </c>
      <c r="AE19" s="56">
        <f t="shared" si="7"/>
        <v>-164</v>
      </c>
      <c r="AF19" s="55"/>
      <c r="AG19" s="57">
        <f t="shared" si="8"/>
        <v>0</v>
      </c>
      <c r="AH19" s="58">
        <f t="shared" si="9"/>
        <v>909.22</v>
      </c>
      <c r="AI19" s="58">
        <f t="shared" si="10"/>
        <v>0</v>
      </c>
      <c r="AJ19" s="58">
        <f t="shared" si="11"/>
        <v>164</v>
      </c>
      <c r="AK19" s="58">
        <f t="shared" si="12"/>
        <v>0</v>
      </c>
      <c r="AL19" s="58">
        <f t="array" ref="AL19">_xlfn.IFS(R19=0,AE19,R19&lt;0,AE19/-R19,R19&gt;0,AE19/R19)</f>
        <v>-164</v>
      </c>
      <c r="AM19" s="59">
        <f t="shared" si="13"/>
        <v>0</v>
      </c>
      <c r="AN19" s="60">
        <f t="shared" si="14"/>
        <v>-0.18037438683706913</v>
      </c>
      <c r="AP19" s="62">
        <f t="shared" si="15"/>
        <v>-328</v>
      </c>
    </row>
    <row r="20" spans="1:52" ht="13.75" customHeight="1">
      <c r="A20" s="39">
        <v>2807226072</v>
      </c>
      <c r="B20" s="40" t="s">
        <v>111</v>
      </c>
      <c r="C20" s="41">
        <v>2</v>
      </c>
      <c r="D20" s="42"/>
      <c r="E20" s="42"/>
      <c r="F20" s="42"/>
      <c r="G20" s="43"/>
      <c r="H20" s="44">
        <v>932.62</v>
      </c>
      <c r="I20" s="63">
        <f t="shared" si="0"/>
        <v>1865.24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17-23.11'!H:H,'Отчет 17-23.11'!D:D,"Выручка",'Отчет 17-23.11'!E:E,B20)</f>
        <v>0</v>
      </c>
      <c r="Q20" s="48">
        <f>SUMIFS('Отчет 17-23.11'!H:H,'Отчет 17-23.11'!D:D,"Возврат выручки",'Отчет 17-23.11'!E:E,B20)</f>
        <v>0</v>
      </c>
      <c r="R20" s="49">
        <f t="shared" si="16"/>
        <v>0</v>
      </c>
      <c r="S20" s="50">
        <f>SUMIFS('Отчет 17-23.11'!P:P,'Отчет 17-23.11'!C:C,"Продажи",'Отчет 17-23.11'!E:E,B20)</f>
        <v>0</v>
      </c>
      <c r="T20" s="51">
        <f>SUMIFS('Отчет 17-23.11'!P:P,'Отчет 17-23.11'!C:C,"Возвраты",'Отчет 17-23.11'!E:E,B20)</f>
        <v>0</v>
      </c>
      <c r="U20" s="49">
        <f t="shared" si="3"/>
        <v>0</v>
      </c>
      <c r="V20" s="52">
        <f t="shared" si="4"/>
        <v>0</v>
      </c>
      <c r="W20" s="53">
        <f t="shared" si="5"/>
        <v>0</v>
      </c>
      <c r="X20" s="51">
        <f>-SUMIFS('Отчет 17-23.11'!P:P,'Отчет 17-23.11'!C:C,"Вознаграждение Ozon",'Отчет 17-23.11'!E:E,B20)</f>
        <v>0</v>
      </c>
      <c r="Y20" s="54">
        <f t="shared" si="17"/>
        <v>0</v>
      </c>
      <c r="Z20" s="51">
        <f>-SUMIFS('Отчет 17-23.11'!P:P,'Отчет 17-23.11'!C:C,"Услуги доставки",'Отчет 17-23.11'!E:E,B20)</f>
        <v>0</v>
      </c>
      <c r="AA20" s="41">
        <v>0</v>
      </c>
      <c r="AB20" s="64"/>
      <c r="AC20" s="51"/>
      <c r="AD20" s="55">
        <f t="shared" si="6"/>
        <v>0</v>
      </c>
      <c r="AE20" s="56">
        <f t="shared" si="7"/>
        <v>0</v>
      </c>
      <c r="AF20" s="55"/>
      <c r="AG20" s="57">
        <f t="shared" si="8"/>
        <v>0</v>
      </c>
      <c r="AH20" s="58">
        <f t="shared" si="9"/>
        <v>932.62</v>
      </c>
      <c r="AI20" s="58">
        <f t="shared" si="10"/>
        <v>0</v>
      </c>
      <c r="AJ20" s="58">
        <f t="shared" si="11"/>
        <v>0</v>
      </c>
      <c r="AK20" s="58">
        <f t="shared" si="12"/>
        <v>0</v>
      </c>
      <c r="AL20" s="58">
        <f t="array" ref="AL20">_xlfn.IFS(R20=0,AE20,R20&lt;0,AE20/-R20,R20&gt;0,AE20/R20)</f>
        <v>0</v>
      </c>
      <c r="AM20" s="59">
        <f t="shared" si="13"/>
        <v>0</v>
      </c>
      <c r="AN20" s="60">
        <f t="shared" si="14"/>
        <v>0</v>
      </c>
      <c r="AP20" s="62">
        <f t="shared" si="15"/>
        <v>0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17-23.11'!H:H,'Отчет 17-23.11'!D:D,"Выручка",'Отчет 17-23.11'!E:E,B21)</f>
        <v>0</v>
      </c>
      <c r="Q21" s="48">
        <f>SUMIFS('Отчет 17-23.11'!H:H,'Отчет 17-23.11'!D:D,"Возврат выручки",'Отчет 17-23.11'!E:E,B21)</f>
        <v>0</v>
      </c>
      <c r="R21" s="49">
        <f t="shared" si="16"/>
        <v>0</v>
      </c>
      <c r="S21" s="50">
        <f>SUMIFS('Отчет 17-23.11'!P:P,'Отчет 17-23.11'!C:C,"Продажи",'Отчет 17-23.11'!E:E,B21)</f>
        <v>0</v>
      </c>
      <c r="T21" s="51">
        <f>SUMIFS('Отчет 17-23.11'!P:P,'Отчет 17-23.11'!C:C,"Возвраты",'Отчет 17-23.11'!E:E,B21)</f>
        <v>0</v>
      </c>
      <c r="U21" s="49">
        <f t="shared" si="3"/>
        <v>0</v>
      </c>
      <c r="V21" s="52">
        <f t="shared" si="4"/>
        <v>0</v>
      </c>
      <c r="W21" s="53">
        <f t="shared" si="5"/>
        <v>0</v>
      </c>
      <c r="X21" s="51">
        <f>-SUMIFS('Отчет 17-23.11'!P:P,'Отчет 17-23.11'!C:C,"Вознаграждение Ozon",'Отчет 17-23.11'!E:E,B21)</f>
        <v>0</v>
      </c>
      <c r="Y21" s="54">
        <f t="shared" si="17"/>
        <v>0</v>
      </c>
      <c r="Z21" s="51">
        <f>-SUMIFS('Отчет 17-23.11'!P:P,'Отчет 17-23.11'!C:C,"Услуги доставки",'Отчет 17-23.11'!E:E,B21)</f>
        <v>0</v>
      </c>
      <c r="AA21" s="41">
        <v>92.662850000000006</v>
      </c>
      <c r="AB21" s="64"/>
      <c r="AC21" s="51"/>
      <c r="AD21" s="55">
        <f t="shared" si="6"/>
        <v>0</v>
      </c>
      <c r="AE21" s="56">
        <f t="shared" si="7"/>
        <v>-92.662850000000006</v>
      </c>
      <c r="AF21" s="55"/>
      <c r="AG21" s="57">
        <f t="shared" si="8"/>
        <v>0</v>
      </c>
      <c r="AH21" s="58">
        <f t="shared" si="9"/>
        <v>1014.52</v>
      </c>
      <c r="AI21" s="58">
        <f t="shared" si="10"/>
        <v>0</v>
      </c>
      <c r="AJ21" s="58">
        <f t="shared" si="11"/>
        <v>0</v>
      </c>
      <c r="AK21" s="58">
        <f t="shared" si="12"/>
        <v>0</v>
      </c>
      <c r="AL21" s="58">
        <f t="array" ref="AL21">_xlfn.IFS(R21=0,AE21,R21&lt;0,AE21/-R21,R21&gt;0,AE21/R21)</f>
        <v>-92.662850000000006</v>
      </c>
      <c r="AM21" s="59">
        <f t="shared" si="13"/>
        <v>0</v>
      </c>
      <c r="AN21" s="60">
        <f t="shared" si="14"/>
        <v>-9.1336641958758832E-2</v>
      </c>
      <c r="AP21" s="62">
        <f t="shared" si="15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17-23.11'!H:H,'Отчет 17-23.11'!D:D,"Выручка",'Отчет 17-23.11'!E:E,B22)</f>
        <v>0</v>
      </c>
      <c r="Q22" s="48">
        <f>SUMIFS('Отчет 17-23.11'!H:H,'Отчет 17-23.11'!D:D,"Возврат выручки",'Отчет 17-23.11'!E:E,B22)</f>
        <v>0</v>
      </c>
      <c r="R22" s="49">
        <f t="shared" si="16"/>
        <v>0</v>
      </c>
      <c r="S22" s="50">
        <f>SUMIFS('Отчет 17-23.11'!P:P,'Отчет 17-23.11'!C:C,"Продажи",'Отчет 17-23.11'!E:E,B22)</f>
        <v>0</v>
      </c>
      <c r="T22" s="51">
        <f>SUMIFS('Отчет 17-23.11'!P:P,'Отчет 17-23.11'!C:C,"Возвраты",'Отчет 17-23.11'!E:E,B22)</f>
        <v>0</v>
      </c>
      <c r="U22" s="49">
        <f t="shared" si="3"/>
        <v>0</v>
      </c>
      <c r="V22" s="52">
        <f t="shared" si="4"/>
        <v>0</v>
      </c>
      <c r="W22" s="53">
        <f t="shared" si="5"/>
        <v>0</v>
      </c>
      <c r="X22" s="51">
        <f>-SUMIFS('Отчет 17-23.11'!P:P,'Отчет 17-23.11'!C:C,"Вознаграждение Ozon",'Отчет 17-23.11'!E:E,B22)</f>
        <v>0</v>
      </c>
      <c r="Y22" s="54">
        <f t="shared" si="17"/>
        <v>0</v>
      </c>
      <c r="Z22" s="51">
        <f>-SUMIFS('Отчет 17-23.11'!P:P,'Отчет 17-23.11'!C:C,"Услуги доставки",'Отчет 17-23.11'!E:E,B22)</f>
        <v>0</v>
      </c>
      <c r="AA22" s="41">
        <v>0</v>
      </c>
      <c r="AB22" s="64"/>
      <c r="AC22" s="51"/>
      <c r="AD22" s="55">
        <f t="shared" si="6"/>
        <v>0</v>
      </c>
      <c r="AE22" s="56">
        <f t="shared" si="7"/>
        <v>0</v>
      </c>
      <c r="AF22" s="55"/>
      <c r="AG22" s="57">
        <f t="shared" si="8"/>
        <v>0</v>
      </c>
      <c r="AH22" s="58">
        <f t="shared" si="9"/>
        <v>1014.52</v>
      </c>
      <c r="AI22" s="58">
        <f t="shared" si="10"/>
        <v>0</v>
      </c>
      <c r="AJ22" s="58">
        <f t="shared" si="11"/>
        <v>0</v>
      </c>
      <c r="AK22" s="58">
        <f t="shared" si="12"/>
        <v>0</v>
      </c>
      <c r="AL22" s="58">
        <f t="array" ref="AL22">_xlfn.IFS(R22=0,AE22,R22&lt;0,AE22/-R22,R22&gt;0,AE22/R22)</f>
        <v>0</v>
      </c>
      <c r="AM22" s="59">
        <f t="shared" si="13"/>
        <v>0</v>
      </c>
      <c r="AN22" s="60">
        <f t="shared" si="14"/>
        <v>0</v>
      </c>
      <c r="AP22" s="62">
        <f t="shared" si="15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"/>
        <v>0</v>
      </c>
      <c r="O23" s="47">
        <f t="shared" si="2"/>
        <v>0</v>
      </c>
      <c r="P23" s="48">
        <f>SUMIFS('Отчет 17-23.11'!H:H,'Отчет 17-23.11'!D:D,"Выручка",'Отчет 17-23.11'!E:E,B23)</f>
        <v>0</v>
      </c>
      <c r="Q23" s="48">
        <f>SUMIFS('Отчет 17-23.11'!H:H,'Отчет 17-23.11'!D:D,"Возврат выручки",'Отчет 17-23.11'!E:E,B23)</f>
        <v>0</v>
      </c>
      <c r="R23" s="49">
        <f t="shared" si="16"/>
        <v>0</v>
      </c>
      <c r="S23" s="50">
        <f>SUMIFS('Отчет 17-23.11'!P:P,'Отчет 17-23.11'!C:C,"Продажи",'Отчет 17-23.11'!E:E,B23)</f>
        <v>0</v>
      </c>
      <c r="T23" s="51">
        <f>SUMIFS('Отчет 17-23.11'!P:P,'Отчет 17-23.11'!C:C,"Возвраты",'Отчет 17-23.11'!E:E,B23)</f>
        <v>0</v>
      </c>
      <c r="U23" s="49">
        <f t="shared" si="3"/>
        <v>0</v>
      </c>
      <c r="V23" s="52">
        <f t="shared" si="4"/>
        <v>0</v>
      </c>
      <c r="W23" s="53">
        <f t="shared" si="5"/>
        <v>0</v>
      </c>
      <c r="X23" s="51">
        <f>-SUMIFS('Отчет 17-23.11'!P:P,'Отчет 17-23.11'!C:C,"Вознаграждение Ozon",'Отчет 17-23.11'!E:E,B23)</f>
        <v>0</v>
      </c>
      <c r="Y23" s="54">
        <f t="shared" si="17"/>
        <v>0</v>
      </c>
      <c r="Z23" s="51">
        <f>-SUMIFS('Отчет 17-23.11'!P:P,'Отчет 17-23.11'!C:C,"Услуги доставки",'Отчет 17-23.11'!E:E,B23)</f>
        <v>0</v>
      </c>
      <c r="AA23" s="41">
        <v>322.66627299999999</v>
      </c>
      <c r="AB23" s="64"/>
      <c r="AC23" s="51"/>
      <c r="AD23" s="55">
        <f t="shared" si="6"/>
        <v>0</v>
      </c>
      <c r="AE23" s="56">
        <f t="shared" si="7"/>
        <v>-322.66627299999999</v>
      </c>
      <c r="AF23" s="55"/>
      <c r="AG23" s="57">
        <f t="shared" si="8"/>
        <v>0</v>
      </c>
      <c r="AH23" s="58">
        <f t="shared" si="9"/>
        <v>1014.52</v>
      </c>
      <c r="AI23" s="58">
        <f t="shared" si="10"/>
        <v>0</v>
      </c>
      <c r="AJ23" s="58">
        <f t="shared" si="11"/>
        <v>0</v>
      </c>
      <c r="AK23" s="58">
        <f t="shared" si="12"/>
        <v>0</v>
      </c>
      <c r="AL23" s="58">
        <f t="array" ref="AL23">_xlfn.IFS(R23=0,AE23,R23&lt;0,AE23/-R23,R23&gt;0,AE23/R23)</f>
        <v>-322.66627299999999</v>
      </c>
      <c r="AM23" s="59">
        <f t="shared" si="13"/>
        <v>0</v>
      </c>
      <c r="AN23" s="60">
        <f t="shared" si="14"/>
        <v>-0.31804821294799512</v>
      </c>
      <c r="AP23" s="62">
        <f t="shared" si="15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"/>
        <v>0</v>
      </c>
      <c r="O24" s="47">
        <f t="shared" si="2"/>
        <v>0</v>
      </c>
      <c r="P24" s="48">
        <f>SUMIFS('Отчет 17-23.11'!H:H,'Отчет 17-23.11'!D:D,"Выручка",'Отчет 17-23.11'!E:E,B24)</f>
        <v>0</v>
      </c>
      <c r="Q24" s="48">
        <f>SUMIFS('Отчет 17-23.11'!H:H,'Отчет 17-23.11'!D:D,"Возврат выручки",'Отчет 17-23.11'!E:E,B24)</f>
        <v>0</v>
      </c>
      <c r="R24" s="49">
        <f t="shared" si="16"/>
        <v>0</v>
      </c>
      <c r="S24" s="50">
        <f>SUMIFS('Отчет 17-23.11'!P:P,'Отчет 17-23.11'!C:C,"Продажи",'Отчет 17-23.11'!E:E,B24)</f>
        <v>0</v>
      </c>
      <c r="T24" s="51">
        <f>SUMIFS('Отчет 17-23.11'!P:P,'Отчет 17-23.11'!C:C,"Возвраты",'Отчет 17-23.11'!E:E,B24)</f>
        <v>0</v>
      </c>
      <c r="U24" s="49">
        <f t="shared" si="3"/>
        <v>0</v>
      </c>
      <c r="V24" s="52">
        <f t="shared" si="4"/>
        <v>0</v>
      </c>
      <c r="W24" s="53">
        <f t="shared" si="5"/>
        <v>0</v>
      </c>
      <c r="X24" s="51">
        <f>-SUMIFS('Отчет 17-23.11'!P:P,'Отчет 17-23.11'!C:C,"Вознаграждение Ozon",'Отчет 17-23.11'!E:E,B24)</f>
        <v>0</v>
      </c>
      <c r="Y24" s="54">
        <f t="shared" si="17"/>
        <v>0</v>
      </c>
      <c r="Z24" s="51">
        <f>-SUMIFS('Отчет 17-23.11'!P:P,'Отчет 17-23.11'!C:C,"Услуги доставки",'Отчет 17-23.11'!E:E,B24)</f>
        <v>0</v>
      </c>
      <c r="AA24" s="41">
        <v>0</v>
      </c>
      <c r="AB24" s="64"/>
      <c r="AC24" s="51"/>
      <c r="AD24" s="55">
        <f t="shared" si="6"/>
        <v>0</v>
      </c>
      <c r="AE24" s="56">
        <f t="shared" si="7"/>
        <v>0</v>
      </c>
      <c r="AF24" s="55"/>
      <c r="AG24" s="57">
        <f t="shared" si="8"/>
        <v>0</v>
      </c>
      <c r="AH24" s="58">
        <f t="shared" si="9"/>
        <v>991.12</v>
      </c>
      <c r="AI24" s="58">
        <f t="shared" si="10"/>
        <v>0</v>
      </c>
      <c r="AJ24" s="58">
        <f t="shared" si="11"/>
        <v>0</v>
      </c>
      <c r="AK24" s="58">
        <f t="shared" si="12"/>
        <v>0</v>
      </c>
      <c r="AL24" s="58">
        <f t="array" ref="AL24">_xlfn.IFS(R24=0,AE24,R24&lt;0,AE24/-R24,R24&gt;0,AE24/R24)</f>
        <v>0</v>
      </c>
      <c r="AM24" s="59">
        <f t="shared" si="13"/>
        <v>0</v>
      </c>
      <c r="AN24" s="60">
        <f t="shared" si="14"/>
        <v>0</v>
      </c>
      <c r="AP24" s="62">
        <f t="shared" si="15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18">AVERAGEIF(AG3:AG24,"&lt;&gt;0",AG3:AG24)</f>
        <v>1569.3686224489795</v>
      </c>
      <c r="AH25" s="247">
        <f t="shared" si="18"/>
        <v>447.87636363636369</v>
      </c>
      <c r="AI25" s="247">
        <f t="shared" si="18"/>
        <v>672.77687500000013</v>
      </c>
      <c r="AJ25" s="247">
        <f t="shared" si="18"/>
        <v>142.84868606701943</v>
      </c>
      <c r="AK25" s="247">
        <f t="shared" si="18"/>
        <v>489.79483498888885</v>
      </c>
      <c r="AL25" s="247">
        <f t="shared" si="18"/>
        <v>-291.32929795659726</v>
      </c>
      <c r="AM25" s="249">
        <f t="shared" si="18"/>
        <v>9.4460047695056865E-2</v>
      </c>
      <c r="AN25" s="249">
        <f t="shared" si="18"/>
        <v>-2.0949696673308478</v>
      </c>
      <c r="AO25" s="240"/>
      <c r="AP25" s="241"/>
    </row>
    <row r="26" spans="1:52">
      <c r="A26" s="216" t="s">
        <v>305</v>
      </c>
      <c r="B26" s="209"/>
      <c r="C26" s="217">
        <f>SUM(C3:C24)</f>
        <v>4191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550666.29999999993</v>
      </c>
      <c r="J26" s="212"/>
      <c r="K26" s="217">
        <f>SUM(K3:K24)</f>
        <v>68</v>
      </c>
      <c r="L26" s="212"/>
      <c r="M26" s="212"/>
      <c r="N26" s="213"/>
      <c r="O26" s="214"/>
      <c r="P26" s="217">
        <f>SUM(P3:P24)</f>
        <v>33</v>
      </c>
      <c r="Q26" s="217">
        <f t="shared" ref="Q26:AE26" si="19">SUM(Q3:Q24)</f>
        <v>2</v>
      </c>
      <c r="R26" s="217">
        <f t="shared" si="19"/>
        <v>31</v>
      </c>
      <c r="S26" s="237">
        <f>SUM(S3:S24)</f>
        <v>52152</v>
      </c>
      <c r="T26" s="217">
        <f t="shared" si="19"/>
        <v>-3051</v>
      </c>
      <c r="U26" s="217">
        <f t="shared" si="19"/>
        <v>49101</v>
      </c>
      <c r="V26" s="256">
        <f t="shared" si="19"/>
        <v>6.2756901840490791</v>
      </c>
      <c r="W26" s="217">
        <f t="shared" si="19"/>
        <v>4229.88</v>
      </c>
      <c r="X26" s="217">
        <f>SUM(X3:X24)</f>
        <v>21012.899999999994</v>
      </c>
      <c r="Y26" s="215">
        <f>IF(U26=0,0,X26/U26)</f>
        <v>0.42795258752367554</v>
      </c>
      <c r="Z26" s="217">
        <f t="shared" si="19"/>
        <v>5536.1200000000008</v>
      </c>
      <c r="AA26" s="217">
        <f>IFERROR(P26*AA51/P51,0)</f>
        <v>27920.887500000001</v>
      </c>
      <c r="AB26" s="217">
        <f t="shared" si="19"/>
        <v>0</v>
      </c>
      <c r="AC26" s="217">
        <f t="shared" si="19"/>
        <v>0</v>
      </c>
      <c r="AD26" s="238">
        <f t="shared" si="19"/>
        <v>2946.0599999999995</v>
      </c>
      <c r="AE26" s="239">
        <f t="shared" si="19"/>
        <v>-3753.4011679999999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-924045.197508396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19129.441168000001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17</v>
      </c>
      <c r="D28" s="42"/>
      <c r="E28" s="42"/>
      <c r="F28" s="42"/>
      <c r="G28" s="43"/>
      <c r="H28" s="65">
        <v>672</v>
      </c>
      <c r="I28" s="63">
        <f t="shared" ref="I28:I46" si="20">C28*H28</f>
        <v>11424</v>
      </c>
      <c r="J28" s="45"/>
      <c r="K28" s="41">
        <v>0</v>
      </c>
      <c r="L28" s="45"/>
      <c r="M28" s="45"/>
      <c r="N28" s="46">
        <f t="shared" ref="N28:N47" si="21">K28/7</f>
        <v>0</v>
      </c>
      <c r="O28" s="47">
        <f t="shared" ref="O28:O47" si="22">R28/7</f>
        <v>0</v>
      </c>
      <c r="P28" s="48">
        <f>SUMIFS('Отчет 17-23.11'!H:H,'Отчет 17-23.11'!D:D,"Выручка",'Отчет 17-23.11'!E:E,B28)</f>
        <v>0</v>
      </c>
      <c r="Q28" s="48">
        <f>SUMIFS('Отчет 17-23.11'!H:H,'Отчет 17-23.11'!D:D,"Возврат выручки",'Отчет 17-23.11'!E:E,B28)</f>
        <v>0</v>
      </c>
      <c r="R28" s="49">
        <f>P28-Q28</f>
        <v>0</v>
      </c>
      <c r="S28" s="50">
        <f>SUMIFS('Отчет 17-23.11'!P:P,'Отчет 17-23.11'!C:C,"Продажи",'Отчет 17-23.11'!E:E,B28)</f>
        <v>0</v>
      </c>
      <c r="T28" s="51">
        <f>SUMIFS('Отчет 17-23.11'!P:P,'Отчет 17-23.11'!C:C,"Возвраты",'Отчет 17-23.11'!E:E,B28)</f>
        <v>0</v>
      </c>
      <c r="U28" s="49">
        <f t="shared" ref="U28:U47" si="23">S28+T28</f>
        <v>0</v>
      </c>
      <c r="V28" s="52">
        <f t="shared" ref="V28:V47" si="24">U28/$U$49</f>
        <v>0</v>
      </c>
      <c r="W28" s="53">
        <f t="shared" ref="W28:W47" si="25">R28*H28</f>
        <v>0</v>
      </c>
      <c r="X28" s="51">
        <f>-SUMIFS('Отчет 17-23.11'!P:P,'Отчет 17-23.11'!C:C,"Вознаграждение Ozon",'Отчет 17-23.11'!E:E,B28)</f>
        <v>0</v>
      </c>
      <c r="Y28" s="54">
        <f t="shared" ref="Y28:Y47" si="26">IF(U28=0,0,X28/U28)</f>
        <v>0</v>
      </c>
      <c r="Z28" s="51">
        <f>-SUMIFS('Отчет 17-23.11'!P:P,'Отчет 17-23.11'!C:C,"Услуги доставки",'Отчет 17-23.11'!E:E,B28)</f>
        <v>0</v>
      </c>
      <c r="AA28" s="41">
        <v>0</v>
      </c>
      <c r="AB28" s="64"/>
      <c r="AC28" s="51"/>
      <c r="AD28" s="55">
        <f t="shared" ref="AD28:AD47" si="27">U28*6%</f>
        <v>0</v>
      </c>
      <c r="AE28" s="56">
        <f t="shared" ref="AE28:AE47" si="28">U28-W28-X28-Z28-AA28-AB28-AC28-AD28</f>
        <v>0</v>
      </c>
      <c r="AF28" s="55"/>
      <c r="AG28" s="57">
        <f t="shared" ref="AG28:AG47" si="29">IF(R28=0,0,U28/R28)</f>
        <v>0</v>
      </c>
      <c r="AH28" s="58">
        <f t="shared" ref="AH28:AH47" si="30">H28</f>
        <v>672</v>
      </c>
      <c r="AI28" s="58">
        <f t="shared" ref="AI28:AI47" si="31">IF(R28=0,0,X28/R28)</f>
        <v>0</v>
      </c>
      <c r="AJ28" s="58">
        <f t="shared" ref="AJ28:AJ47" si="32">IF(P28=0,Z28/1,Z28/P28)</f>
        <v>0</v>
      </c>
      <c r="AK28" s="58">
        <f t="shared" ref="AK28:AK47" si="33">IF(P28=0,0,AA28/P28)</f>
        <v>0</v>
      </c>
      <c r="AL28" s="58">
        <f t="array" ref="AL28">_xlfn.IFS(R28=0,AE28,R28&lt;0,AE28/-R28,R28&gt;0,AE28/R28)</f>
        <v>0</v>
      </c>
      <c r="AM28" s="59">
        <f t="shared" ref="AM28:AM47" si="34">IF(AG28=0,0,AL28/AG28)</f>
        <v>0</v>
      </c>
      <c r="AN28" s="60">
        <f t="shared" ref="AN28:AN47" si="35">IF(AH28=0,0,AL28/AH28)</f>
        <v>0</v>
      </c>
      <c r="AP28" s="62">
        <f t="shared" ref="AP28:AP47" si="36">AL28*C28</f>
        <v>0</v>
      </c>
    </row>
    <row r="29" spans="1:52">
      <c r="A29" s="39">
        <v>2774708622</v>
      </c>
      <c r="B29" s="40" t="s">
        <v>43</v>
      </c>
      <c r="C29" s="41">
        <v>18</v>
      </c>
      <c r="D29" s="42"/>
      <c r="E29" s="42"/>
      <c r="F29" s="42"/>
      <c r="G29" s="43"/>
      <c r="H29" s="65">
        <v>627</v>
      </c>
      <c r="I29" s="63">
        <f t="shared" si="20"/>
        <v>11286</v>
      </c>
      <c r="J29" s="45"/>
      <c r="K29" s="41">
        <v>0</v>
      </c>
      <c r="L29" s="45"/>
      <c r="M29" s="45"/>
      <c r="N29" s="46">
        <f t="shared" si="21"/>
        <v>0</v>
      </c>
      <c r="O29" s="47">
        <f t="shared" si="22"/>
        <v>-0.14285714285714285</v>
      </c>
      <c r="P29" s="48">
        <f>SUMIFS('Отчет 17-23.11'!H:H,'Отчет 17-23.11'!D:D,"Выручка",'Отчет 17-23.11'!E:E,B29)</f>
        <v>0</v>
      </c>
      <c r="Q29" s="48">
        <f>SUMIFS('Отчет 17-23.11'!H:H,'Отчет 17-23.11'!D:D,"Возврат выручки",'Отчет 17-23.11'!E:E,B29)</f>
        <v>1</v>
      </c>
      <c r="R29" s="49">
        <f t="shared" ref="R29:R47" si="37">P29-Q29</f>
        <v>-1</v>
      </c>
      <c r="S29" s="50">
        <f>SUMIFS('Отчет 17-23.11'!P:P,'Отчет 17-23.11'!C:C,"Продажи",'Отчет 17-23.11'!E:E,B29)</f>
        <v>0</v>
      </c>
      <c r="T29" s="51">
        <f>SUMIFS('Отчет 17-23.11'!P:P,'Отчет 17-23.11'!C:C,"Возвраты",'Отчет 17-23.11'!E:E,B29)</f>
        <v>-5500</v>
      </c>
      <c r="U29" s="49">
        <f>S29+T29</f>
        <v>-5500</v>
      </c>
      <c r="V29" s="52">
        <f t="shared" si="24"/>
        <v>-0.70296523517382414</v>
      </c>
      <c r="W29" s="53">
        <f t="shared" si="25"/>
        <v>-627</v>
      </c>
      <c r="X29" s="51">
        <f>-SUMIFS('Отчет 17-23.11'!P:P,'Отчет 17-23.11'!C:C,"Вознаграждение Ozon",'Отчет 17-23.11'!E:E,B29)</f>
        <v>-2090</v>
      </c>
      <c r="Y29" s="54">
        <f t="shared" si="26"/>
        <v>0.38</v>
      </c>
      <c r="Z29" s="51">
        <f>-SUMIFS('Отчет 17-23.11'!P:P,'Отчет 17-23.11'!C:C,"Услуги доставки",'Отчет 17-23.11'!E:E,B29)</f>
        <v>56</v>
      </c>
      <c r="AA29" s="41">
        <v>583.73658</v>
      </c>
      <c r="AB29" s="64"/>
      <c r="AC29" s="51"/>
      <c r="AD29" s="55">
        <f t="shared" si="27"/>
        <v>-330</v>
      </c>
      <c r="AE29" s="56">
        <f t="shared" si="28"/>
        <v>-3092.7365799999998</v>
      </c>
      <c r="AF29" s="55"/>
      <c r="AG29" s="57">
        <f t="shared" si="29"/>
        <v>5500</v>
      </c>
      <c r="AH29" s="58">
        <f t="shared" si="30"/>
        <v>627</v>
      </c>
      <c r="AI29" s="58">
        <f t="shared" si="31"/>
        <v>2090</v>
      </c>
      <c r="AJ29" s="58">
        <f t="shared" si="32"/>
        <v>56</v>
      </c>
      <c r="AK29" s="58">
        <f t="shared" si="33"/>
        <v>0</v>
      </c>
      <c r="AL29" s="58">
        <f t="array" ref="AL29">_xlfn.IFS(R29=0,AE29,R29&lt;0,AE29/-R29,R29&gt;0,AE29/R29)</f>
        <v>-3092.7365799999998</v>
      </c>
      <c r="AM29" s="59">
        <f t="shared" si="34"/>
        <v>-0.56231574181818178</v>
      </c>
      <c r="AN29" s="60">
        <f t="shared" si="35"/>
        <v>-4.9325942264752785</v>
      </c>
      <c r="AP29" s="62">
        <f t="shared" si="36"/>
        <v>-55669.258439999998</v>
      </c>
    </row>
    <row r="30" spans="1:52">
      <c r="A30" s="39">
        <v>2774709606</v>
      </c>
      <c r="B30" s="40" t="s">
        <v>235</v>
      </c>
      <c r="C30" s="41">
        <v>15</v>
      </c>
      <c r="D30" s="42"/>
      <c r="E30" s="42"/>
      <c r="F30" s="42"/>
      <c r="G30" s="43"/>
      <c r="H30" s="65">
        <v>627</v>
      </c>
      <c r="I30" s="63">
        <f t="shared" si="20"/>
        <v>9405</v>
      </c>
      <c r="J30" s="45"/>
      <c r="K30" s="41">
        <v>0</v>
      </c>
      <c r="L30" s="45"/>
      <c r="M30" s="45"/>
      <c r="N30" s="46">
        <f t="shared" si="21"/>
        <v>0</v>
      </c>
      <c r="O30" s="47">
        <f t="shared" si="22"/>
        <v>0</v>
      </c>
      <c r="P30" s="48">
        <f>SUMIFS('Отчет 17-23.11'!H:H,'Отчет 17-23.11'!D:D,"Выручка",'Отчет 17-23.11'!E:E,B30)</f>
        <v>0</v>
      </c>
      <c r="Q30" s="48">
        <f>SUMIFS('Отчет 17-23.11'!H:H,'Отчет 17-23.11'!D:D,"Возврат выручки",'Отчет 17-23.11'!E:E,B30)</f>
        <v>0</v>
      </c>
      <c r="R30" s="49">
        <f t="shared" si="37"/>
        <v>0</v>
      </c>
      <c r="S30" s="50">
        <f>SUMIFS('Отчет 17-23.11'!P:P,'Отчет 17-23.11'!C:C,"Продажи",'Отчет 17-23.11'!E:E,B30)</f>
        <v>0</v>
      </c>
      <c r="T30" s="51">
        <f>SUMIFS('Отчет 17-23.11'!P:P,'Отчет 17-23.11'!C:C,"Возвраты",'Отчет 17-23.11'!E:E,B30)</f>
        <v>0</v>
      </c>
      <c r="U30" s="49">
        <f t="shared" si="23"/>
        <v>0</v>
      </c>
      <c r="V30" s="52">
        <f t="shared" si="24"/>
        <v>0</v>
      </c>
      <c r="W30" s="53">
        <f t="shared" si="25"/>
        <v>0</v>
      </c>
      <c r="X30" s="51">
        <f>-SUMIFS('Отчет 17-23.11'!P:P,'Отчет 17-23.11'!C:C,"Вознаграждение Ozon",'Отчет 17-23.11'!E:E,B30)</f>
        <v>0</v>
      </c>
      <c r="Y30" s="54">
        <f t="shared" si="26"/>
        <v>0</v>
      </c>
      <c r="Z30" s="51">
        <f>-SUMIFS('Отчет 17-23.11'!P:P,'Отчет 17-23.11'!C:C,"Услуги доставки",'Отчет 17-23.11'!E:E,B30)</f>
        <v>112</v>
      </c>
      <c r="AA30" s="41">
        <v>0</v>
      </c>
      <c r="AB30" s="64"/>
      <c r="AC30" s="51"/>
      <c r="AD30" s="55">
        <f t="shared" si="27"/>
        <v>0</v>
      </c>
      <c r="AE30" s="56">
        <f t="shared" si="28"/>
        <v>-112</v>
      </c>
      <c r="AF30" s="55"/>
      <c r="AG30" s="57">
        <f t="shared" si="29"/>
        <v>0</v>
      </c>
      <c r="AH30" s="58">
        <f t="shared" si="30"/>
        <v>627</v>
      </c>
      <c r="AI30" s="58">
        <f t="shared" si="31"/>
        <v>0</v>
      </c>
      <c r="AJ30" s="58">
        <f t="shared" si="32"/>
        <v>112</v>
      </c>
      <c r="AK30" s="58">
        <f t="shared" si="33"/>
        <v>0</v>
      </c>
      <c r="AL30" s="58">
        <f t="array" ref="AL30">_xlfn.IFS(R30=0,AE30,R30&lt;0,AE30/-R30,R30&gt;0,AE30/R30)</f>
        <v>-112</v>
      </c>
      <c r="AM30" s="59">
        <f t="shared" si="34"/>
        <v>0</v>
      </c>
      <c r="AN30" s="60">
        <f t="shared" si="35"/>
        <v>-0.17862838915470494</v>
      </c>
      <c r="AP30" s="62">
        <f t="shared" si="36"/>
        <v>-1680</v>
      </c>
    </row>
    <row r="31" spans="1:52">
      <c r="A31" s="39">
        <v>2774720465</v>
      </c>
      <c r="B31" s="40" t="s">
        <v>171</v>
      </c>
      <c r="C31" s="41">
        <v>18</v>
      </c>
      <c r="D31" s="42"/>
      <c r="E31" s="42"/>
      <c r="F31" s="42"/>
      <c r="G31" s="43"/>
      <c r="H31" s="65">
        <v>567</v>
      </c>
      <c r="I31" s="63">
        <f t="shared" si="20"/>
        <v>10206</v>
      </c>
      <c r="J31" s="45"/>
      <c r="K31" s="41">
        <v>0</v>
      </c>
      <c r="L31" s="45"/>
      <c r="M31" s="45"/>
      <c r="N31" s="46">
        <f t="shared" si="21"/>
        <v>0</v>
      </c>
      <c r="O31" s="47">
        <f t="shared" si="22"/>
        <v>0</v>
      </c>
      <c r="P31" s="48">
        <f>SUMIFS('Отчет 17-23.11'!H:H,'Отчет 17-23.11'!D:D,"Выручка",'Отчет 17-23.11'!E:E,B31)</f>
        <v>0</v>
      </c>
      <c r="Q31" s="48">
        <f>SUMIFS('Отчет 17-23.11'!H:H,'Отчет 17-23.11'!D:D,"Возврат выручки",'Отчет 17-23.11'!E:E,B31)</f>
        <v>0</v>
      </c>
      <c r="R31" s="49">
        <f t="shared" si="37"/>
        <v>0</v>
      </c>
      <c r="S31" s="50">
        <f>SUMIFS('Отчет 17-23.11'!P:P,'Отчет 17-23.11'!C:C,"Продажи",'Отчет 17-23.11'!E:E,B31)</f>
        <v>0</v>
      </c>
      <c r="T31" s="51">
        <f>SUMIFS('Отчет 17-23.11'!P:P,'Отчет 17-23.11'!C:C,"Возвраты",'Отчет 17-23.11'!E:E,B31)</f>
        <v>0</v>
      </c>
      <c r="U31" s="49">
        <f t="shared" si="23"/>
        <v>0</v>
      </c>
      <c r="V31" s="52">
        <f t="shared" si="24"/>
        <v>0</v>
      </c>
      <c r="W31" s="53">
        <f t="shared" si="25"/>
        <v>0</v>
      </c>
      <c r="X31" s="51">
        <f>-SUMIFS('Отчет 17-23.11'!P:P,'Отчет 17-23.11'!C:C,"Вознаграждение Ozon",'Отчет 17-23.11'!E:E,B31)</f>
        <v>0</v>
      </c>
      <c r="Y31" s="54">
        <f t="shared" si="26"/>
        <v>0</v>
      </c>
      <c r="Z31" s="51">
        <f>-SUMIFS('Отчет 17-23.11'!P:P,'Отчет 17-23.11'!C:C,"Услуги доставки",'Отчет 17-23.11'!E:E,B31)</f>
        <v>0</v>
      </c>
      <c r="AA31" s="41">
        <v>0</v>
      </c>
      <c r="AB31" s="64"/>
      <c r="AC31" s="51"/>
      <c r="AD31" s="55">
        <f t="shared" si="27"/>
        <v>0</v>
      </c>
      <c r="AE31" s="56">
        <f t="shared" si="28"/>
        <v>0</v>
      </c>
      <c r="AF31" s="55"/>
      <c r="AG31" s="57">
        <f t="shared" si="29"/>
        <v>0</v>
      </c>
      <c r="AH31" s="58">
        <f t="shared" si="30"/>
        <v>567</v>
      </c>
      <c r="AI31" s="58">
        <f t="shared" si="31"/>
        <v>0</v>
      </c>
      <c r="AJ31" s="58">
        <f t="shared" si="32"/>
        <v>0</v>
      </c>
      <c r="AK31" s="58">
        <f t="shared" si="33"/>
        <v>0</v>
      </c>
      <c r="AL31" s="58">
        <f t="array" ref="AL31">_xlfn.IFS(R31=0,AE31,R31&lt;0,AE31/-R31,R31&gt;0,AE31/R31)</f>
        <v>0</v>
      </c>
      <c r="AM31" s="59">
        <f t="shared" si="34"/>
        <v>0</v>
      </c>
      <c r="AN31" s="60">
        <f t="shared" si="35"/>
        <v>0</v>
      </c>
      <c r="AP31" s="62">
        <f t="shared" si="36"/>
        <v>0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20"/>
        <v>10773</v>
      </c>
      <c r="J32" s="45"/>
      <c r="K32" s="41">
        <v>0</v>
      </c>
      <c r="L32" s="45"/>
      <c r="M32" s="45"/>
      <c r="N32" s="46">
        <f t="shared" si="21"/>
        <v>0</v>
      </c>
      <c r="O32" s="47">
        <f t="shared" si="22"/>
        <v>0</v>
      </c>
      <c r="P32" s="48">
        <f>SUMIFS('Отчет 17-23.11'!H:H,'Отчет 17-23.11'!D:D,"Выручка",'Отчет 17-23.11'!E:E,B32)</f>
        <v>0</v>
      </c>
      <c r="Q32" s="48">
        <f>SUMIFS('Отчет 17-23.11'!H:H,'Отчет 17-23.11'!D:D,"Возврат выручки",'Отчет 17-23.11'!E:E,B32)</f>
        <v>0</v>
      </c>
      <c r="R32" s="49">
        <f t="shared" si="37"/>
        <v>0</v>
      </c>
      <c r="S32" s="50">
        <f>SUMIFS('Отчет 17-23.11'!P:P,'Отчет 17-23.11'!C:C,"Продажи",'Отчет 17-23.11'!E:E,B32)</f>
        <v>0</v>
      </c>
      <c r="T32" s="51">
        <f>SUMIFS('Отчет 17-23.11'!P:P,'Отчет 17-23.11'!C:C,"Возвраты",'Отчет 17-23.11'!E:E,B32)</f>
        <v>0</v>
      </c>
      <c r="U32" s="49">
        <f t="shared" si="23"/>
        <v>0</v>
      </c>
      <c r="V32" s="52">
        <f t="shared" si="24"/>
        <v>0</v>
      </c>
      <c r="W32" s="53">
        <f t="shared" si="25"/>
        <v>0</v>
      </c>
      <c r="X32" s="51">
        <f>-SUMIFS('Отчет 17-23.11'!P:P,'Отчет 17-23.11'!C:C,"Вознаграждение Ozon",'Отчет 17-23.11'!E:E,B32)</f>
        <v>0</v>
      </c>
      <c r="Y32" s="54">
        <f t="shared" si="26"/>
        <v>0</v>
      </c>
      <c r="Z32" s="51">
        <f>-SUMIFS('Отчет 17-23.11'!P:P,'Отчет 17-23.11'!C:C,"Услуги доставки",'Отчет 17-23.11'!E:E,B32)</f>
        <v>0</v>
      </c>
      <c r="AA32" s="41">
        <v>0</v>
      </c>
      <c r="AB32" s="64"/>
      <c r="AC32" s="51"/>
      <c r="AD32" s="55">
        <f t="shared" si="27"/>
        <v>0</v>
      </c>
      <c r="AE32" s="56">
        <f t="shared" si="28"/>
        <v>0</v>
      </c>
      <c r="AF32" s="55"/>
      <c r="AG32" s="57">
        <f t="shared" si="29"/>
        <v>0</v>
      </c>
      <c r="AH32" s="58">
        <f t="shared" si="30"/>
        <v>567</v>
      </c>
      <c r="AI32" s="58">
        <f t="shared" si="31"/>
        <v>0</v>
      </c>
      <c r="AJ32" s="58">
        <f t="shared" si="32"/>
        <v>0</v>
      </c>
      <c r="AK32" s="58">
        <f t="shared" si="33"/>
        <v>0</v>
      </c>
      <c r="AL32" s="58">
        <f t="array" ref="AL32">_xlfn.IFS(R32=0,AE32,R32&lt;0,AE32/-R32,R32&gt;0,AE32/R32)</f>
        <v>0</v>
      </c>
      <c r="AM32" s="59">
        <f t="shared" si="34"/>
        <v>0</v>
      </c>
      <c r="AN32" s="60">
        <f t="shared" si="35"/>
        <v>0</v>
      </c>
      <c r="AP32" s="62">
        <f t="shared" si="36"/>
        <v>0</v>
      </c>
    </row>
    <row r="33" spans="1:42">
      <c r="A33" s="39">
        <v>2774719022</v>
      </c>
      <c r="B33" s="40" t="s">
        <v>236</v>
      </c>
      <c r="C33" s="41">
        <v>17</v>
      </c>
      <c r="D33" s="42"/>
      <c r="E33" s="42"/>
      <c r="F33" s="42"/>
      <c r="G33" s="43"/>
      <c r="H33" s="65">
        <v>657</v>
      </c>
      <c r="I33" s="63">
        <f t="shared" si="20"/>
        <v>11169</v>
      </c>
      <c r="J33" s="45"/>
      <c r="K33" s="41">
        <v>0</v>
      </c>
      <c r="L33" s="45"/>
      <c r="M33" s="45"/>
      <c r="N33" s="46">
        <f t="shared" si="21"/>
        <v>0</v>
      </c>
      <c r="O33" s="47">
        <f t="shared" si="22"/>
        <v>0.14285714285714285</v>
      </c>
      <c r="P33" s="48">
        <f>SUMIFS('Отчет 17-23.11'!H:H,'Отчет 17-23.11'!D:D,"Выручка",'Отчет 17-23.11'!E:E,B33)</f>
        <v>1</v>
      </c>
      <c r="Q33" s="48">
        <f>SUMIFS('Отчет 17-23.11'!H:H,'Отчет 17-23.11'!D:D,"Возврат выручки",'Отчет 17-23.11'!E:E,B33)</f>
        <v>0</v>
      </c>
      <c r="R33" s="49">
        <f t="shared" si="37"/>
        <v>1</v>
      </c>
      <c r="S33" s="50">
        <f>SUMIFS('Отчет 17-23.11'!P:P,'Отчет 17-23.11'!C:C,"Продажи",'Отчет 17-23.11'!E:E,B33)</f>
        <v>3276</v>
      </c>
      <c r="T33" s="51">
        <f>SUMIFS('Отчет 17-23.11'!P:P,'Отчет 17-23.11'!C:C,"Возвраты",'Отчет 17-23.11'!E:E,B33)</f>
        <v>0</v>
      </c>
      <c r="U33" s="49">
        <f t="shared" si="23"/>
        <v>3276</v>
      </c>
      <c r="V33" s="52">
        <f t="shared" si="24"/>
        <v>0.41871165644171782</v>
      </c>
      <c r="W33" s="53">
        <f t="shared" si="25"/>
        <v>657</v>
      </c>
      <c r="X33" s="51">
        <f>-SUMIFS('Отчет 17-23.11'!P:P,'Отчет 17-23.11'!C:C,"Вознаграждение Ozon",'Отчет 17-23.11'!E:E,B33)</f>
        <v>1408.68</v>
      </c>
      <c r="Y33" s="54">
        <f t="shared" si="26"/>
        <v>0.43</v>
      </c>
      <c r="Z33" s="51">
        <f>-SUMIFS('Отчет 17-23.11'!P:P,'Отчет 17-23.11'!C:C,"Услуги доставки",'Отчет 17-23.11'!E:E,B33)</f>
        <v>56</v>
      </c>
      <c r="AA33" s="41">
        <v>0</v>
      </c>
      <c r="AB33" s="64"/>
      <c r="AC33" s="51"/>
      <c r="AD33" s="55">
        <f t="shared" si="27"/>
        <v>196.56</v>
      </c>
      <c r="AE33" s="56">
        <f t="shared" si="28"/>
        <v>957.76</v>
      </c>
      <c r="AF33" s="55"/>
      <c r="AG33" s="57">
        <f t="shared" si="29"/>
        <v>3276</v>
      </c>
      <c r="AH33" s="58">
        <f t="shared" si="30"/>
        <v>657</v>
      </c>
      <c r="AI33" s="58">
        <f t="shared" si="31"/>
        <v>1408.68</v>
      </c>
      <c r="AJ33" s="58">
        <f t="shared" si="32"/>
        <v>56</v>
      </c>
      <c r="AK33" s="58">
        <f t="shared" si="33"/>
        <v>0</v>
      </c>
      <c r="AL33" s="58">
        <f t="array" ref="AL33">_xlfn.IFS(R33=0,AE33,R33&lt;0,AE33/-R33,R33&gt;0,AE33/R33)</f>
        <v>957.76</v>
      </c>
      <c r="AM33" s="59">
        <f t="shared" si="34"/>
        <v>0.29235653235653236</v>
      </c>
      <c r="AN33" s="60">
        <f t="shared" si="35"/>
        <v>1.4577777777777778</v>
      </c>
      <c r="AP33" s="62">
        <f t="shared" si="36"/>
        <v>16281.92</v>
      </c>
    </row>
    <row r="34" spans="1:42">
      <c r="A34" s="39">
        <v>2774719501</v>
      </c>
      <c r="B34" s="40" t="s">
        <v>237</v>
      </c>
      <c r="C34" s="41">
        <v>18</v>
      </c>
      <c r="D34" s="42"/>
      <c r="E34" s="42"/>
      <c r="F34" s="42"/>
      <c r="G34" s="43"/>
      <c r="H34" s="65">
        <v>597</v>
      </c>
      <c r="I34" s="63">
        <f t="shared" si="20"/>
        <v>10746</v>
      </c>
      <c r="J34" s="45"/>
      <c r="K34" s="41">
        <v>0</v>
      </c>
      <c r="L34" s="45"/>
      <c r="M34" s="45"/>
      <c r="N34" s="46">
        <f t="shared" si="21"/>
        <v>0</v>
      </c>
      <c r="O34" s="47">
        <f t="shared" si="22"/>
        <v>0.14285714285714285</v>
      </c>
      <c r="P34" s="48">
        <f>SUMIFS('Отчет 17-23.11'!H:H,'Отчет 17-23.11'!D:D,"Выручка",'Отчет 17-23.11'!E:E,B34)</f>
        <v>1</v>
      </c>
      <c r="Q34" s="48">
        <f>SUMIFS('Отчет 17-23.11'!H:H,'Отчет 17-23.11'!D:D,"Возврат выручки",'Отчет 17-23.11'!E:E,B34)</f>
        <v>0</v>
      </c>
      <c r="R34" s="49">
        <f t="shared" si="37"/>
        <v>1</v>
      </c>
      <c r="S34" s="50">
        <f>SUMIFS('Отчет 17-23.11'!P:P,'Отчет 17-23.11'!C:C,"Продажи",'Отчет 17-23.11'!E:E,B34)</f>
        <v>4548</v>
      </c>
      <c r="T34" s="51">
        <f>SUMIFS('Отчет 17-23.11'!P:P,'Отчет 17-23.11'!C:C,"Возвраты",'Отчет 17-23.11'!E:E,B34)</f>
        <v>0</v>
      </c>
      <c r="U34" s="49">
        <f t="shared" si="23"/>
        <v>4548</v>
      </c>
      <c r="V34" s="52">
        <f t="shared" si="24"/>
        <v>0.58128834355828218</v>
      </c>
      <c r="W34" s="53">
        <f t="shared" si="25"/>
        <v>597</v>
      </c>
      <c r="X34" s="51">
        <f>-SUMIFS('Отчет 17-23.11'!P:P,'Отчет 17-23.11'!C:C,"Вознаграждение Ozon",'Отчет 17-23.11'!E:E,B34)</f>
        <v>1955.64</v>
      </c>
      <c r="Y34" s="54">
        <f t="shared" si="26"/>
        <v>0.43000000000000005</v>
      </c>
      <c r="Z34" s="51">
        <f>-SUMIFS('Отчет 17-23.11'!P:P,'Отчет 17-23.11'!C:C,"Услуги доставки",'Отчет 17-23.11'!E:E,B34)</f>
        <v>226.04</v>
      </c>
      <c r="AA34" s="41">
        <v>0</v>
      </c>
      <c r="AB34" s="64"/>
      <c r="AC34" s="51"/>
      <c r="AD34" s="55">
        <f t="shared" si="27"/>
        <v>272.88</v>
      </c>
      <c r="AE34" s="56">
        <f t="shared" si="28"/>
        <v>1496.44</v>
      </c>
      <c r="AF34" s="55"/>
      <c r="AG34" s="57">
        <f t="shared" si="29"/>
        <v>4548</v>
      </c>
      <c r="AH34" s="58">
        <f t="shared" si="30"/>
        <v>597</v>
      </c>
      <c r="AI34" s="58">
        <f t="shared" si="31"/>
        <v>1955.64</v>
      </c>
      <c r="AJ34" s="58">
        <f t="shared" si="32"/>
        <v>226.04</v>
      </c>
      <c r="AK34" s="58">
        <f t="shared" si="33"/>
        <v>0</v>
      </c>
      <c r="AL34" s="58">
        <f t="array" ref="AL34">_xlfn.IFS(R34=0,AE34,R34&lt;0,AE34/-R34,R34&gt;0,AE34/R34)</f>
        <v>1496.44</v>
      </c>
      <c r="AM34" s="59">
        <f t="shared" si="34"/>
        <v>0.32903254177660513</v>
      </c>
      <c r="AN34" s="60">
        <f t="shared" si="35"/>
        <v>2.5065996649916249</v>
      </c>
      <c r="AP34" s="62">
        <f t="shared" si="36"/>
        <v>26935.920000000002</v>
      </c>
    </row>
    <row r="35" spans="1:42">
      <c r="A35" s="39">
        <v>2774714412</v>
      </c>
      <c r="B35" s="40" t="s">
        <v>142</v>
      </c>
      <c r="C35" s="41">
        <v>17</v>
      </c>
      <c r="D35" s="42"/>
      <c r="E35" s="42"/>
      <c r="F35" s="42"/>
      <c r="G35" s="43"/>
      <c r="H35" s="65">
        <v>552</v>
      </c>
      <c r="I35" s="63">
        <f t="shared" si="20"/>
        <v>9384</v>
      </c>
      <c r="J35" s="45"/>
      <c r="K35" s="41">
        <v>0</v>
      </c>
      <c r="L35" s="45"/>
      <c r="M35" s="45"/>
      <c r="N35" s="46">
        <f t="shared" si="21"/>
        <v>0</v>
      </c>
      <c r="O35" s="47">
        <f t="shared" si="22"/>
        <v>0</v>
      </c>
      <c r="P35" s="48">
        <f>SUMIFS('Отчет 17-23.11'!H:H,'Отчет 17-23.11'!D:D,"Выручка",'Отчет 17-23.11'!E:E,B35)</f>
        <v>0</v>
      </c>
      <c r="Q35" s="48">
        <f>SUMIFS('Отчет 17-23.11'!H:H,'Отчет 17-23.11'!D:D,"Возврат выручки",'Отчет 17-23.11'!E:E,B35)</f>
        <v>0</v>
      </c>
      <c r="R35" s="49">
        <f t="shared" si="37"/>
        <v>0</v>
      </c>
      <c r="S35" s="50">
        <f>SUMIFS('Отчет 17-23.11'!P:P,'Отчет 17-23.11'!C:C,"Продажи",'Отчет 17-23.11'!E:E,B35)</f>
        <v>0</v>
      </c>
      <c r="T35" s="51">
        <f>SUMIFS('Отчет 17-23.11'!P:P,'Отчет 17-23.11'!C:C,"Возвраты",'Отчет 17-23.11'!E:E,B35)</f>
        <v>0</v>
      </c>
      <c r="U35" s="49">
        <f t="shared" si="23"/>
        <v>0</v>
      </c>
      <c r="V35" s="52">
        <f t="shared" si="24"/>
        <v>0</v>
      </c>
      <c r="W35" s="53">
        <f t="shared" si="25"/>
        <v>0</v>
      </c>
      <c r="X35" s="51">
        <f>-SUMIFS('Отчет 17-23.11'!P:P,'Отчет 17-23.11'!C:C,"Вознаграждение Ozon",'Отчет 17-23.11'!E:E,B35)</f>
        <v>0</v>
      </c>
      <c r="Y35" s="54">
        <f t="shared" si="26"/>
        <v>0</v>
      </c>
      <c r="Z35" s="51">
        <f>-SUMIFS('Отчет 17-23.11'!P:P,'Отчет 17-23.11'!C:C,"Услуги доставки",'Отчет 17-23.11'!E:E,B35)</f>
        <v>0</v>
      </c>
      <c r="AA35" s="41">
        <v>0</v>
      </c>
      <c r="AB35" s="64"/>
      <c r="AC35" s="51"/>
      <c r="AD35" s="55">
        <f t="shared" si="27"/>
        <v>0</v>
      </c>
      <c r="AE35" s="56">
        <f t="shared" si="28"/>
        <v>0</v>
      </c>
      <c r="AF35" s="55"/>
      <c r="AG35" s="57">
        <f t="shared" si="29"/>
        <v>0</v>
      </c>
      <c r="AH35" s="58">
        <f t="shared" si="30"/>
        <v>552</v>
      </c>
      <c r="AI35" s="58">
        <f t="shared" si="31"/>
        <v>0</v>
      </c>
      <c r="AJ35" s="58">
        <f t="shared" si="32"/>
        <v>0</v>
      </c>
      <c r="AK35" s="58">
        <f t="shared" si="33"/>
        <v>0</v>
      </c>
      <c r="AL35" s="58">
        <f t="array" ref="AL35">_xlfn.IFS(R35=0,AE35,R35&lt;0,AE35/-R35,R35&gt;0,AE35/R35)</f>
        <v>0</v>
      </c>
      <c r="AM35" s="59">
        <f t="shared" si="34"/>
        <v>0</v>
      </c>
      <c r="AN35" s="60">
        <f t="shared" si="35"/>
        <v>0</v>
      </c>
      <c r="AP35" s="62">
        <f t="shared" si="36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20"/>
        <v>9936</v>
      </c>
      <c r="J36" s="45"/>
      <c r="K36" s="41">
        <v>0</v>
      </c>
      <c r="L36" s="45"/>
      <c r="M36" s="45"/>
      <c r="N36" s="46">
        <f t="shared" si="21"/>
        <v>0</v>
      </c>
      <c r="O36" s="47">
        <f t="shared" si="22"/>
        <v>0</v>
      </c>
      <c r="P36" s="48">
        <f>SUMIFS('Отчет 17-23.11'!H:H,'Отчет 17-23.11'!D:D,"Выручка",'Отчет 17-23.11'!E:E,B36)</f>
        <v>0</v>
      </c>
      <c r="Q36" s="48">
        <f>SUMIFS('Отчет 17-23.11'!H:H,'Отчет 17-23.11'!D:D,"Возврат выручки",'Отчет 17-23.11'!E:E,B36)</f>
        <v>0</v>
      </c>
      <c r="R36" s="49">
        <f t="shared" si="37"/>
        <v>0</v>
      </c>
      <c r="S36" s="50">
        <f>SUMIFS('Отчет 17-23.11'!P:P,'Отчет 17-23.11'!C:C,"Продажи",'Отчет 17-23.11'!E:E,B36)</f>
        <v>0</v>
      </c>
      <c r="T36" s="51">
        <f>SUMIFS('Отчет 17-23.11'!P:P,'Отчет 17-23.11'!C:C,"Возвраты",'Отчет 17-23.11'!E:E,B36)</f>
        <v>0</v>
      </c>
      <c r="U36" s="49">
        <f t="shared" si="23"/>
        <v>0</v>
      </c>
      <c r="V36" s="52">
        <f t="shared" si="24"/>
        <v>0</v>
      </c>
      <c r="W36" s="53">
        <f t="shared" si="25"/>
        <v>0</v>
      </c>
      <c r="X36" s="51">
        <f>-SUMIFS('Отчет 17-23.11'!P:P,'Отчет 17-23.11'!C:C,"Вознаграждение Ozon",'Отчет 17-23.11'!E:E,B36)</f>
        <v>0</v>
      </c>
      <c r="Y36" s="54">
        <f t="shared" si="26"/>
        <v>0</v>
      </c>
      <c r="Z36" s="51">
        <f>-SUMIFS('Отчет 17-23.11'!P:P,'Отчет 17-23.11'!C:C,"Услуги доставки",'Отчет 17-23.11'!E:E,B36)</f>
        <v>0</v>
      </c>
      <c r="AA36" s="41">
        <v>0</v>
      </c>
      <c r="AB36" s="64"/>
      <c r="AC36" s="51"/>
      <c r="AD36" s="55">
        <f t="shared" si="27"/>
        <v>0</v>
      </c>
      <c r="AE36" s="56">
        <f t="shared" si="28"/>
        <v>0</v>
      </c>
      <c r="AF36" s="55"/>
      <c r="AG36" s="57">
        <f t="shared" si="29"/>
        <v>0</v>
      </c>
      <c r="AH36" s="58">
        <f t="shared" si="30"/>
        <v>552</v>
      </c>
      <c r="AI36" s="58">
        <f t="shared" si="31"/>
        <v>0</v>
      </c>
      <c r="AJ36" s="58">
        <f t="shared" si="32"/>
        <v>0</v>
      </c>
      <c r="AK36" s="58">
        <f t="shared" si="33"/>
        <v>0</v>
      </c>
      <c r="AL36" s="58">
        <f t="array" ref="AL36">_xlfn.IFS(R36=0,AE36,R36&lt;0,AE36/-R36,R36&gt;0,AE36/R36)</f>
        <v>0</v>
      </c>
      <c r="AM36" s="59">
        <f t="shared" si="34"/>
        <v>0</v>
      </c>
      <c r="AN36" s="60">
        <f t="shared" si="35"/>
        <v>0</v>
      </c>
      <c r="AP36" s="62">
        <f t="shared" si="36"/>
        <v>0</v>
      </c>
    </row>
    <row r="37" spans="1:42">
      <c r="A37" s="39">
        <v>2774712116</v>
      </c>
      <c r="B37" s="40" t="s">
        <v>62</v>
      </c>
      <c r="C37" s="41">
        <v>15</v>
      </c>
      <c r="D37" s="42"/>
      <c r="E37" s="42"/>
      <c r="F37" s="42"/>
      <c r="G37" s="43"/>
      <c r="H37" s="65">
        <v>687</v>
      </c>
      <c r="I37" s="63">
        <f t="shared" si="20"/>
        <v>10305</v>
      </c>
      <c r="J37" s="45"/>
      <c r="K37" s="41">
        <v>0</v>
      </c>
      <c r="L37" s="45"/>
      <c r="M37" s="45"/>
      <c r="N37" s="46">
        <f t="shared" si="21"/>
        <v>0</v>
      </c>
      <c r="O37" s="47">
        <f t="shared" si="22"/>
        <v>0</v>
      </c>
      <c r="P37" s="48">
        <f>SUMIFS('Отчет 17-23.11'!H:H,'Отчет 17-23.11'!D:D,"Выручка",'Отчет 17-23.11'!E:E,B37)</f>
        <v>0</v>
      </c>
      <c r="Q37" s="48">
        <f>SUMIFS('Отчет 17-23.11'!H:H,'Отчет 17-23.11'!D:D,"Возврат выручки",'Отчет 17-23.11'!E:E,B37)</f>
        <v>0</v>
      </c>
      <c r="R37" s="49">
        <f t="shared" si="37"/>
        <v>0</v>
      </c>
      <c r="S37" s="50">
        <f>SUMIFS('Отчет 17-23.11'!P:P,'Отчет 17-23.11'!C:C,"Продажи",'Отчет 17-23.11'!E:E,B37)</f>
        <v>0</v>
      </c>
      <c r="T37" s="51">
        <f>SUMIFS('Отчет 17-23.11'!P:P,'Отчет 17-23.11'!C:C,"Возвраты",'Отчет 17-23.11'!E:E,B37)</f>
        <v>0</v>
      </c>
      <c r="U37" s="49">
        <f t="shared" si="23"/>
        <v>0</v>
      </c>
      <c r="V37" s="52">
        <f t="shared" si="24"/>
        <v>0</v>
      </c>
      <c r="W37" s="53">
        <f t="shared" si="25"/>
        <v>0</v>
      </c>
      <c r="X37" s="51">
        <f>-SUMIFS('Отчет 17-23.11'!P:P,'Отчет 17-23.11'!C:C,"Вознаграждение Ozon",'Отчет 17-23.11'!E:E,B37)</f>
        <v>0</v>
      </c>
      <c r="Y37" s="54">
        <f t="shared" si="26"/>
        <v>0</v>
      </c>
      <c r="Z37" s="51">
        <f>-SUMIFS('Отчет 17-23.11'!P:P,'Отчет 17-23.11'!C:C,"Услуги доставки",'Отчет 17-23.11'!E:E,B37)</f>
        <v>112</v>
      </c>
      <c r="AA37" s="41">
        <v>0</v>
      </c>
      <c r="AB37" s="64"/>
      <c r="AC37" s="51"/>
      <c r="AD37" s="55">
        <f t="shared" si="27"/>
        <v>0</v>
      </c>
      <c r="AE37" s="56">
        <f t="shared" si="28"/>
        <v>-112</v>
      </c>
      <c r="AF37" s="55"/>
      <c r="AG37" s="57">
        <f t="shared" si="29"/>
        <v>0</v>
      </c>
      <c r="AH37" s="58">
        <f t="shared" si="30"/>
        <v>687</v>
      </c>
      <c r="AI37" s="58">
        <f t="shared" si="31"/>
        <v>0</v>
      </c>
      <c r="AJ37" s="58">
        <f t="shared" si="32"/>
        <v>112</v>
      </c>
      <c r="AK37" s="58">
        <f t="shared" si="33"/>
        <v>0</v>
      </c>
      <c r="AL37" s="58">
        <f t="array" ref="AL37">_xlfn.IFS(R37=0,AE37,R37&lt;0,AE37/-R37,R37&gt;0,AE37/R37)</f>
        <v>-112</v>
      </c>
      <c r="AM37" s="59">
        <f t="shared" si="34"/>
        <v>0</v>
      </c>
      <c r="AN37" s="60">
        <f t="shared" si="35"/>
        <v>-0.16302765647743814</v>
      </c>
      <c r="AP37" s="62">
        <f t="shared" si="36"/>
        <v>-1680</v>
      </c>
    </row>
    <row r="38" spans="1:42">
      <c r="A38" s="39">
        <v>2774719012</v>
      </c>
      <c r="B38" s="40" t="s">
        <v>239</v>
      </c>
      <c r="C38" s="41">
        <v>7</v>
      </c>
      <c r="D38" s="42"/>
      <c r="E38" s="42"/>
      <c r="F38" s="42"/>
      <c r="G38" s="43"/>
      <c r="H38" s="65">
        <v>687</v>
      </c>
      <c r="I38" s="63">
        <f t="shared" si="20"/>
        <v>4809</v>
      </c>
      <c r="J38" s="45"/>
      <c r="K38" s="41">
        <v>0</v>
      </c>
      <c r="L38" s="45"/>
      <c r="M38" s="45"/>
      <c r="N38" s="46">
        <f t="shared" si="21"/>
        <v>0</v>
      </c>
      <c r="O38" s="47">
        <f t="shared" si="22"/>
        <v>0</v>
      </c>
      <c r="P38" s="48">
        <f>SUMIFS('Отчет 17-23.11'!H:H,'Отчет 17-23.11'!D:D,"Выручка",'Отчет 17-23.11'!E:E,B38)</f>
        <v>0</v>
      </c>
      <c r="Q38" s="48">
        <f>SUMIFS('Отчет 17-23.11'!H:H,'Отчет 17-23.11'!D:D,"Возврат выручки",'Отчет 17-23.11'!E:E,B38)</f>
        <v>0</v>
      </c>
      <c r="R38" s="49">
        <f t="shared" si="37"/>
        <v>0</v>
      </c>
      <c r="S38" s="50">
        <f>SUMIFS('Отчет 17-23.11'!P:P,'Отчет 17-23.11'!C:C,"Продажи",'Отчет 17-23.11'!E:E,B38)</f>
        <v>0</v>
      </c>
      <c r="T38" s="51">
        <f>SUMIFS('Отчет 17-23.11'!P:P,'Отчет 17-23.11'!C:C,"Возвраты",'Отчет 17-23.11'!E:E,B38)</f>
        <v>0</v>
      </c>
      <c r="U38" s="49">
        <f t="shared" si="23"/>
        <v>0</v>
      </c>
      <c r="V38" s="52">
        <f t="shared" si="24"/>
        <v>0</v>
      </c>
      <c r="W38" s="53">
        <f t="shared" si="25"/>
        <v>0</v>
      </c>
      <c r="X38" s="51">
        <f>-SUMIFS('Отчет 17-23.11'!P:P,'Отчет 17-23.11'!C:C,"Вознаграждение Ozon",'Отчет 17-23.11'!E:E,B38)</f>
        <v>0</v>
      </c>
      <c r="Y38" s="54">
        <f t="shared" si="26"/>
        <v>0</v>
      </c>
      <c r="Z38" s="51">
        <f>-SUMIFS('Отчет 17-23.11'!P:P,'Отчет 17-23.11'!C:C,"Услуги доставки",'Отчет 17-23.11'!E:E,B38)</f>
        <v>112</v>
      </c>
      <c r="AA38" s="41">
        <v>0</v>
      </c>
      <c r="AB38" s="64"/>
      <c r="AC38" s="51"/>
      <c r="AD38" s="55">
        <f t="shared" si="27"/>
        <v>0</v>
      </c>
      <c r="AE38" s="56">
        <f t="shared" si="28"/>
        <v>-112</v>
      </c>
      <c r="AF38" s="55"/>
      <c r="AG38" s="57">
        <f t="shared" si="29"/>
        <v>0</v>
      </c>
      <c r="AH38" s="58">
        <f t="shared" si="30"/>
        <v>687</v>
      </c>
      <c r="AI38" s="58">
        <f t="shared" si="31"/>
        <v>0</v>
      </c>
      <c r="AJ38" s="58">
        <f t="shared" si="32"/>
        <v>112</v>
      </c>
      <c r="AK38" s="58">
        <f t="shared" si="33"/>
        <v>0</v>
      </c>
      <c r="AL38" s="58">
        <f t="array" ref="AL38">_xlfn.IFS(R38=0,AE38,R38&lt;0,AE38/-R38,R38&gt;0,AE38/R38)</f>
        <v>-112</v>
      </c>
      <c r="AM38" s="59">
        <f t="shared" si="34"/>
        <v>0</v>
      </c>
      <c r="AN38" s="60">
        <f t="shared" si="35"/>
        <v>-0.16302765647743814</v>
      </c>
      <c r="AP38" s="62">
        <f t="shared" si="36"/>
        <v>-784</v>
      </c>
    </row>
    <row r="39" spans="1:42">
      <c r="A39" s="39">
        <v>2774719433</v>
      </c>
      <c r="B39" s="40" t="s">
        <v>240</v>
      </c>
      <c r="C39" s="41">
        <v>15</v>
      </c>
      <c r="D39" s="42"/>
      <c r="E39" s="42"/>
      <c r="F39" s="42"/>
      <c r="G39" s="43"/>
      <c r="H39" s="65">
        <v>597</v>
      </c>
      <c r="I39" s="63">
        <f t="shared" si="20"/>
        <v>8955</v>
      </c>
      <c r="J39" s="45"/>
      <c r="K39" s="41">
        <v>1</v>
      </c>
      <c r="L39" s="45"/>
      <c r="M39" s="45"/>
      <c r="N39" s="46">
        <f t="shared" si="21"/>
        <v>0.14285714285714285</v>
      </c>
      <c r="O39" s="47">
        <f t="shared" si="22"/>
        <v>0.14285714285714285</v>
      </c>
      <c r="P39" s="48">
        <f>SUMIFS('Отчет 17-23.11'!H:H,'Отчет 17-23.11'!D:D,"Выручка",'Отчет 17-23.11'!E:E,B39)</f>
        <v>1</v>
      </c>
      <c r="Q39" s="48">
        <f>SUMIFS('Отчет 17-23.11'!H:H,'Отчет 17-23.11'!D:D,"Возврат выручки",'Отчет 17-23.11'!E:E,B39)</f>
        <v>0</v>
      </c>
      <c r="R39" s="49">
        <f t="shared" si="37"/>
        <v>1</v>
      </c>
      <c r="S39" s="50">
        <f>SUMIFS('Отчет 17-23.11'!P:P,'Отчет 17-23.11'!C:C,"Продажи",'Отчет 17-23.11'!E:E,B39)</f>
        <v>5500</v>
      </c>
      <c r="T39" s="51">
        <f>SUMIFS('Отчет 17-23.11'!P:P,'Отчет 17-23.11'!C:C,"Возвраты",'Отчет 17-23.11'!E:E,B39)</f>
        <v>0</v>
      </c>
      <c r="U39" s="49">
        <f t="shared" si="23"/>
        <v>5500</v>
      </c>
      <c r="V39" s="52">
        <f t="shared" si="24"/>
        <v>0.70296523517382414</v>
      </c>
      <c r="W39" s="53">
        <f t="shared" si="25"/>
        <v>597</v>
      </c>
      <c r="X39" s="51">
        <f>-SUMIFS('Отчет 17-23.11'!P:P,'Отчет 17-23.11'!C:C,"Вознаграждение Ozon",'Отчет 17-23.11'!E:E,B39)</f>
        <v>2365</v>
      </c>
      <c r="Y39" s="54">
        <f t="shared" si="26"/>
        <v>0.43</v>
      </c>
      <c r="Z39" s="51">
        <f>-SUMIFS('Отчет 17-23.11'!P:P,'Отчет 17-23.11'!C:C,"Услуги доставки",'Отчет 17-23.11'!E:E,B39)</f>
        <v>508.39</v>
      </c>
      <c r="AA39" s="41">
        <v>2949.8170329999998</v>
      </c>
      <c r="AB39" s="64"/>
      <c r="AC39" s="51"/>
      <c r="AD39" s="55">
        <f t="shared" si="27"/>
        <v>330</v>
      </c>
      <c r="AE39" s="56">
        <f t="shared" si="28"/>
        <v>-1250.2070329999997</v>
      </c>
      <c r="AF39" s="55"/>
      <c r="AG39" s="57">
        <f t="shared" si="29"/>
        <v>5500</v>
      </c>
      <c r="AH39" s="58">
        <f t="shared" si="30"/>
        <v>597</v>
      </c>
      <c r="AI39" s="58">
        <f t="shared" si="31"/>
        <v>2365</v>
      </c>
      <c r="AJ39" s="58">
        <f t="shared" si="32"/>
        <v>508.39</v>
      </c>
      <c r="AK39" s="58">
        <f t="shared" si="33"/>
        <v>2949.8170329999998</v>
      </c>
      <c r="AL39" s="58">
        <f t="array" ref="AL39">_xlfn.IFS(R39=0,AE39,R39&lt;0,AE39/-R39,R39&gt;0,AE39/R39)</f>
        <v>-1250.2070329999997</v>
      </c>
      <c r="AM39" s="59">
        <f t="shared" si="34"/>
        <v>-0.22731036963636359</v>
      </c>
      <c r="AN39" s="60">
        <f t="shared" si="35"/>
        <v>-2.0941491340033496</v>
      </c>
      <c r="AP39" s="62">
        <f t="shared" si="36"/>
        <v>-18753.105494999996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20"/>
        <v>10746</v>
      </c>
      <c r="J40" s="45"/>
      <c r="K40" s="41">
        <v>0</v>
      </c>
      <c r="L40" s="45"/>
      <c r="M40" s="45"/>
      <c r="N40" s="46">
        <f t="shared" si="21"/>
        <v>0</v>
      </c>
      <c r="O40" s="47">
        <f t="shared" si="22"/>
        <v>0</v>
      </c>
      <c r="P40" s="48">
        <f>SUMIFS('Отчет 17-23.11'!H:H,'Отчет 17-23.11'!D:D,"Выручка",'Отчет 17-23.11'!E:E,B40)</f>
        <v>0</v>
      </c>
      <c r="Q40" s="48">
        <f>SUMIFS('Отчет 17-23.11'!H:H,'Отчет 17-23.11'!D:D,"Возврат выручки",'Отчет 17-23.11'!E:E,B40)</f>
        <v>0</v>
      </c>
      <c r="R40" s="49">
        <f t="shared" si="37"/>
        <v>0</v>
      </c>
      <c r="S40" s="50">
        <f>SUMIFS('Отчет 17-23.11'!P:P,'Отчет 17-23.11'!C:C,"Продажи",'Отчет 17-23.11'!E:E,B40)</f>
        <v>0</v>
      </c>
      <c r="T40" s="51">
        <f>SUMIFS('Отчет 17-23.11'!P:P,'Отчет 17-23.11'!C:C,"Возвраты",'Отчет 17-23.11'!E:E,B40)</f>
        <v>0</v>
      </c>
      <c r="U40" s="49">
        <f t="shared" si="23"/>
        <v>0</v>
      </c>
      <c r="V40" s="52">
        <f t="shared" si="24"/>
        <v>0</v>
      </c>
      <c r="W40" s="53">
        <f t="shared" si="25"/>
        <v>0</v>
      </c>
      <c r="X40" s="51">
        <f>-SUMIFS('Отчет 17-23.11'!P:P,'Отчет 17-23.11'!C:C,"Вознаграждение Ozon",'Отчет 17-23.11'!E:E,B40)</f>
        <v>0</v>
      </c>
      <c r="Y40" s="54">
        <f t="shared" si="26"/>
        <v>0</v>
      </c>
      <c r="Z40" s="51">
        <f>-SUMIFS('Отчет 17-23.11'!P:P,'Отчет 17-23.11'!C:C,"Услуги доставки",'Отчет 17-23.11'!E:E,B40)</f>
        <v>0</v>
      </c>
      <c r="AA40" s="41">
        <v>0</v>
      </c>
      <c r="AB40" s="64"/>
      <c r="AC40" s="51"/>
      <c r="AD40" s="55">
        <f t="shared" si="27"/>
        <v>0</v>
      </c>
      <c r="AE40" s="56">
        <f t="shared" si="28"/>
        <v>0</v>
      </c>
      <c r="AF40" s="55"/>
      <c r="AG40" s="57">
        <f t="shared" si="29"/>
        <v>0</v>
      </c>
      <c r="AH40" s="58">
        <f t="shared" si="30"/>
        <v>597</v>
      </c>
      <c r="AI40" s="58">
        <f t="shared" si="31"/>
        <v>0</v>
      </c>
      <c r="AJ40" s="58">
        <f t="shared" si="32"/>
        <v>0</v>
      </c>
      <c r="AK40" s="58">
        <f t="shared" si="33"/>
        <v>0</v>
      </c>
      <c r="AL40" s="58">
        <f t="array" ref="AL40">_xlfn.IFS(R40=0,AE40,R40&lt;0,AE40/-R40,R40&gt;0,AE40/R40)</f>
        <v>0</v>
      </c>
      <c r="AM40" s="59">
        <f t="shared" si="34"/>
        <v>0</v>
      </c>
      <c r="AN40" s="60">
        <f t="shared" si="35"/>
        <v>0</v>
      </c>
      <c r="AP40" s="62">
        <f t="shared" si="36"/>
        <v>0</v>
      </c>
    </row>
    <row r="41" spans="1:42">
      <c r="A41" s="39">
        <v>2774719553</v>
      </c>
      <c r="B41" s="40" t="s">
        <v>242</v>
      </c>
      <c r="C41" s="41">
        <v>19</v>
      </c>
      <c r="D41" s="42"/>
      <c r="E41" s="42"/>
      <c r="F41" s="42"/>
      <c r="G41" s="43"/>
      <c r="H41" s="65">
        <v>597</v>
      </c>
      <c r="I41" s="63">
        <f t="shared" si="20"/>
        <v>11343</v>
      </c>
      <c r="J41" s="45"/>
      <c r="K41" s="41">
        <v>0</v>
      </c>
      <c r="L41" s="45"/>
      <c r="M41" s="45"/>
      <c r="N41" s="46">
        <f t="shared" si="21"/>
        <v>0</v>
      </c>
      <c r="O41" s="47">
        <f t="shared" si="22"/>
        <v>0</v>
      </c>
      <c r="P41" s="48">
        <f>SUMIFS('Отчет 17-23.11'!H:H,'Отчет 17-23.11'!D:D,"Выручка",'Отчет 17-23.11'!E:E,B41)</f>
        <v>0</v>
      </c>
      <c r="Q41" s="48">
        <f>SUMIFS('Отчет 17-23.11'!H:H,'Отчет 17-23.11'!D:D,"Возврат выручки",'Отчет 17-23.11'!E:E,B41)</f>
        <v>0</v>
      </c>
      <c r="R41" s="49">
        <f t="shared" si="37"/>
        <v>0</v>
      </c>
      <c r="S41" s="50">
        <f>SUMIFS('Отчет 17-23.11'!P:P,'Отчет 17-23.11'!C:C,"Продажи",'Отчет 17-23.11'!E:E,B41)</f>
        <v>0</v>
      </c>
      <c r="T41" s="51">
        <f>SUMIFS('Отчет 17-23.11'!P:P,'Отчет 17-23.11'!C:C,"Возвраты",'Отчет 17-23.11'!E:E,B41)</f>
        <v>0</v>
      </c>
      <c r="U41" s="49">
        <f t="shared" si="23"/>
        <v>0</v>
      </c>
      <c r="V41" s="52">
        <f t="shared" si="24"/>
        <v>0</v>
      </c>
      <c r="W41" s="53">
        <f t="shared" si="25"/>
        <v>0</v>
      </c>
      <c r="X41" s="51">
        <f>-SUMIFS('Отчет 17-23.11'!P:P,'Отчет 17-23.11'!C:C,"Вознаграждение Ozon",'Отчет 17-23.11'!E:E,B41)</f>
        <v>0</v>
      </c>
      <c r="Y41" s="54">
        <f t="shared" si="26"/>
        <v>0</v>
      </c>
      <c r="Z41" s="51">
        <f>-SUMIFS('Отчет 17-23.11'!P:P,'Отчет 17-23.11'!C:C,"Услуги доставки",'Отчет 17-23.11'!E:E,B41)</f>
        <v>112</v>
      </c>
      <c r="AA41" s="41">
        <v>0</v>
      </c>
      <c r="AB41" s="64"/>
      <c r="AC41" s="51"/>
      <c r="AD41" s="55">
        <f t="shared" si="27"/>
        <v>0</v>
      </c>
      <c r="AE41" s="56">
        <f t="shared" si="28"/>
        <v>-112</v>
      </c>
      <c r="AF41" s="55"/>
      <c r="AG41" s="57">
        <f t="shared" si="29"/>
        <v>0</v>
      </c>
      <c r="AH41" s="58">
        <f t="shared" si="30"/>
        <v>597</v>
      </c>
      <c r="AI41" s="58">
        <f t="shared" si="31"/>
        <v>0</v>
      </c>
      <c r="AJ41" s="58">
        <f t="shared" si="32"/>
        <v>112</v>
      </c>
      <c r="AK41" s="58">
        <f t="shared" si="33"/>
        <v>0</v>
      </c>
      <c r="AL41" s="58">
        <f t="array" ref="AL41">_xlfn.IFS(R41=0,AE41,R41&lt;0,AE41/-R41,R41&gt;0,AE41/R41)</f>
        <v>-112</v>
      </c>
      <c r="AM41" s="59">
        <f t="shared" si="34"/>
        <v>0</v>
      </c>
      <c r="AN41" s="60">
        <f t="shared" si="35"/>
        <v>-0.18760469011725292</v>
      </c>
      <c r="AP41" s="62">
        <f t="shared" si="36"/>
        <v>-2128</v>
      </c>
    </row>
    <row r="42" spans="1:42">
      <c r="A42" s="39">
        <v>2774710913</v>
      </c>
      <c r="B42" s="40" t="s">
        <v>243</v>
      </c>
      <c r="C42" s="41">
        <v>18</v>
      </c>
      <c r="D42" s="42"/>
      <c r="E42" s="42"/>
      <c r="F42" s="42"/>
      <c r="G42" s="43"/>
      <c r="H42" s="65">
        <v>642</v>
      </c>
      <c r="I42" s="63">
        <f t="shared" si="20"/>
        <v>11556</v>
      </c>
      <c r="J42" s="45"/>
      <c r="K42" s="41">
        <v>1</v>
      </c>
      <c r="L42" s="45"/>
      <c r="M42" s="45"/>
      <c r="N42" s="46">
        <f t="shared" si="21"/>
        <v>0.14285714285714285</v>
      </c>
      <c r="O42" s="47">
        <f t="shared" si="22"/>
        <v>0</v>
      </c>
      <c r="P42" s="48">
        <f>SUMIFS('Отчет 17-23.11'!H:H,'Отчет 17-23.11'!D:D,"Выручка",'Отчет 17-23.11'!E:E,B42)</f>
        <v>0</v>
      </c>
      <c r="Q42" s="48">
        <f>SUMIFS('Отчет 17-23.11'!H:H,'Отчет 17-23.11'!D:D,"Возврат выручки",'Отчет 17-23.11'!E:E,B42)</f>
        <v>0</v>
      </c>
      <c r="R42" s="49">
        <f t="shared" si="37"/>
        <v>0</v>
      </c>
      <c r="S42" s="50">
        <f>SUMIFS('Отчет 17-23.11'!P:P,'Отчет 17-23.11'!C:C,"Продажи",'Отчет 17-23.11'!E:E,B42)</f>
        <v>0</v>
      </c>
      <c r="T42" s="51">
        <f>SUMIFS('Отчет 17-23.11'!P:P,'Отчет 17-23.11'!C:C,"Возвраты",'Отчет 17-23.11'!E:E,B42)</f>
        <v>0</v>
      </c>
      <c r="U42" s="49">
        <f t="shared" si="23"/>
        <v>0</v>
      </c>
      <c r="V42" s="52">
        <f t="shared" si="24"/>
        <v>0</v>
      </c>
      <c r="W42" s="53">
        <f t="shared" si="25"/>
        <v>0</v>
      </c>
      <c r="X42" s="51">
        <f>-SUMIFS('Отчет 17-23.11'!P:P,'Отчет 17-23.11'!C:C,"Вознаграждение Ozon",'Отчет 17-23.11'!E:E,B42)</f>
        <v>0</v>
      </c>
      <c r="Y42" s="54">
        <f t="shared" si="26"/>
        <v>0</v>
      </c>
      <c r="Z42" s="51">
        <f>-SUMIFS('Отчет 17-23.11'!P:P,'Отчет 17-23.11'!C:C,"Услуги доставки",'Отчет 17-23.11'!E:E,B42)</f>
        <v>0</v>
      </c>
      <c r="AA42" s="41">
        <v>0</v>
      </c>
      <c r="AB42" s="64"/>
      <c r="AC42" s="51"/>
      <c r="AD42" s="55">
        <f t="shared" si="27"/>
        <v>0</v>
      </c>
      <c r="AE42" s="56">
        <f t="shared" si="28"/>
        <v>0</v>
      </c>
      <c r="AF42" s="55"/>
      <c r="AG42" s="57">
        <f t="shared" si="29"/>
        <v>0</v>
      </c>
      <c r="AH42" s="58">
        <f t="shared" si="30"/>
        <v>642</v>
      </c>
      <c r="AI42" s="58">
        <f t="shared" si="31"/>
        <v>0</v>
      </c>
      <c r="AJ42" s="58">
        <f t="shared" si="32"/>
        <v>0</v>
      </c>
      <c r="AK42" s="58">
        <f t="shared" si="33"/>
        <v>0</v>
      </c>
      <c r="AL42" s="58">
        <f t="array" ref="AL42">_xlfn.IFS(R42=0,AE42,R42&lt;0,AE42/-R42,R42&gt;0,AE42/R42)</f>
        <v>0</v>
      </c>
      <c r="AM42" s="59">
        <f t="shared" si="34"/>
        <v>0</v>
      </c>
      <c r="AN42" s="60">
        <f t="shared" si="35"/>
        <v>0</v>
      </c>
      <c r="AP42" s="62">
        <f t="shared" si="36"/>
        <v>0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20"/>
        <v>12198</v>
      </c>
      <c r="J43" s="45"/>
      <c r="K43" s="41">
        <v>0</v>
      </c>
      <c r="L43" s="45"/>
      <c r="M43" s="45"/>
      <c r="N43" s="46">
        <f t="shared" si="21"/>
        <v>0</v>
      </c>
      <c r="O43" s="47">
        <f t="shared" si="22"/>
        <v>0</v>
      </c>
      <c r="P43" s="48">
        <f>SUMIFS('Отчет 17-23.11'!H:H,'Отчет 17-23.11'!D:D,"Выручка",'Отчет 17-23.11'!E:E,B43)</f>
        <v>0</v>
      </c>
      <c r="Q43" s="48">
        <f>SUMIFS('Отчет 17-23.11'!H:H,'Отчет 17-23.11'!D:D,"Возврат выручки",'Отчет 17-23.11'!E:E,B43)</f>
        <v>0</v>
      </c>
      <c r="R43" s="49">
        <f t="shared" si="37"/>
        <v>0</v>
      </c>
      <c r="S43" s="50">
        <f>SUMIFS('Отчет 17-23.11'!P:P,'Отчет 17-23.11'!C:C,"Продажи",'Отчет 17-23.11'!E:E,B43)</f>
        <v>0</v>
      </c>
      <c r="T43" s="51">
        <f>SUMIFS('Отчет 17-23.11'!P:P,'Отчет 17-23.11'!C:C,"Возвраты",'Отчет 17-23.11'!E:E,B43)</f>
        <v>0</v>
      </c>
      <c r="U43" s="49">
        <f t="shared" si="23"/>
        <v>0</v>
      </c>
      <c r="V43" s="52">
        <f t="shared" si="24"/>
        <v>0</v>
      </c>
      <c r="W43" s="53">
        <f t="shared" si="25"/>
        <v>0</v>
      </c>
      <c r="X43" s="51">
        <f>-SUMIFS('Отчет 17-23.11'!P:P,'Отчет 17-23.11'!C:C,"Вознаграждение Ozon",'Отчет 17-23.11'!E:E,B43)</f>
        <v>0</v>
      </c>
      <c r="Y43" s="54">
        <f t="shared" si="26"/>
        <v>0</v>
      </c>
      <c r="Z43" s="51">
        <f>-SUMIFS('Отчет 17-23.11'!P:P,'Отчет 17-23.11'!C:C,"Услуги доставки",'Отчет 17-23.11'!E:E,B43)</f>
        <v>0</v>
      </c>
      <c r="AA43" s="41">
        <v>0</v>
      </c>
      <c r="AB43" s="64"/>
      <c r="AC43" s="51"/>
      <c r="AD43" s="55">
        <f t="shared" si="27"/>
        <v>0</v>
      </c>
      <c r="AE43" s="56">
        <f t="shared" si="28"/>
        <v>0</v>
      </c>
      <c r="AF43" s="55"/>
      <c r="AG43" s="57">
        <f t="shared" si="29"/>
        <v>0</v>
      </c>
      <c r="AH43" s="58">
        <f t="shared" si="30"/>
        <v>642</v>
      </c>
      <c r="AI43" s="58">
        <f t="shared" si="31"/>
        <v>0</v>
      </c>
      <c r="AJ43" s="58">
        <f t="shared" si="32"/>
        <v>0</v>
      </c>
      <c r="AK43" s="58">
        <f t="shared" si="33"/>
        <v>0</v>
      </c>
      <c r="AL43" s="58">
        <f t="array" ref="AL43">_xlfn.IFS(R43=0,AE43,R43&lt;0,AE43/-R43,R43&gt;0,AE43/R43)</f>
        <v>0</v>
      </c>
      <c r="AM43" s="59">
        <f t="shared" si="34"/>
        <v>0</v>
      </c>
      <c r="AN43" s="60">
        <f t="shared" si="35"/>
        <v>0</v>
      </c>
      <c r="AP43" s="62">
        <f t="shared" si="36"/>
        <v>0</v>
      </c>
    </row>
    <row r="44" spans="1:42">
      <c r="A44" s="39">
        <v>2774722656</v>
      </c>
      <c r="B44" s="40" t="s">
        <v>51</v>
      </c>
      <c r="C44" s="41">
        <v>6</v>
      </c>
      <c r="D44" s="42"/>
      <c r="E44" s="42"/>
      <c r="F44" s="42"/>
      <c r="G44" s="43"/>
      <c r="H44" s="65">
        <v>687</v>
      </c>
      <c r="I44" s="63">
        <f t="shared" si="20"/>
        <v>4122</v>
      </c>
      <c r="J44" s="45"/>
      <c r="K44" s="41">
        <v>1</v>
      </c>
      <c r="L44" s="45"/>
      <c r="M44" s="45"/>
      <c r="N44" s="46">
        <f t="shared" si="21"/>
        <v>0.14285714285714285</v>
      </c>
      <c r="O44" s="47">
        <f t="shared" si="22"/>
        <v>0</v>
      </c>
      <c r="P44" s="48">
        <f>SUMIFS('Отчет 17-23.11'!H:H,'Отчет 17-23.11'!D:D,"Выручка",'Отчет 17-23.11'!E:E,B44)</f>
        <v>0</v>
      </c>
      <c r="Q44" s="48">
        <f>SUMIFS('Отчет 17-23.11'!H:H,'Отчет 17-23.11'!D:D,"Возврат выручки",'Отчет 17-23.11'!E:E,B44)</f>
        <v>0</v>
      </c>
      <c r="R44" s="49">
        <f t="shared" si="37"/>
        <v>0</v>
      </c>
      <c r="S44" s="50">
        <f>SUMIFS('Отчет 17-23.11'!P:P,'Отчет 17-23.11'!C:C,"Продажи",'Отчет 17-23.11'!E:E,B44)</f>
        <v>0</v>
      </c>
      <c r="T44" s="51">
        <f>SUMIFS('Отчет 17-23.11'!P:P,'Отчет 17-23.11'!C:C,"Возвраты",'Отчет 17-23.11'!E:E,B44)</f>
        <v>0</v>
      </c>
      <c r="U44" s="49">
        <f t="shared" si="23"/>
        <v>0</v>
      </c>
      <c r="V44" s="52">
        <f t="shared" si="24"/>
        <v>0</v>
      </c>
      <c r="W44" s="53">
        <f t="shared" si="25"/>
        <v>0</v>
      </c>
      <c r="X44" s="51">
        <f>-SUMIFS('Отчет 17-23.11'!P:P,'Отчет 17-23.11'!C:C,"Вознаграждение Ozon",'Отчет 17-23.11'!E:E,B44)</f>
        <v>0</v>
      </c>
      <c r="Y44" s="54">
        <f t="shared" si="26"/>
        <v>0</v>
      </c>
      <c r="Z44" s="51">
        <f>-SUMIFS('Отчет 17-23.11'!P:P,'Отчет 17-23.11'!C:C,"Услуги доставки",'Отчет 17-23.11'!E:E,B44)</f>
        <v>224</v>
      </c>
      <c r="AA44" s="41">
        <v>0</v>
      </c>
      <c r="AB44" s="64"/>
      <c r="AC44" s="51"/>
      <c r="AD44" s="55">
        <f t="shared" si="27"/>
        <v>0</v>
      </c>
      <c r="AE44" s="56">
        <f t="shared" si="28"/>
        <v>-224</v>
      </c>
      <c r="AF44" s="55"/>
      <c r="AG44" s="57">
        <f t="shared" si="29"/>
        <v>0</v>
      </c>
      <c r="AH44" s="58">
        <f t="shared" si="30"/>
        <v>687</v>
      </c>
      <c r="AI44" s="58">
        <f t="shared" si="31"/>
        <v>0</v>
      </c>
      <c r="AJ44" s="58">
        <f t="shared" si="32"/>
        <v>224</v>
      </c>
      <c r="AK44" s="58">
        <f t="shared" si="33"/>
        <v>0</v>
      </c>
      <c r="AL44" s="58">
        <f t="array" ref="AL44">_xlfn.IFS(R44=0,AE44,R44&lt;0,AE44/-R44,R44&gt;0,AE44/R44)</f>
        <v>-224</v>
      </c>
      <c r="AM44" s="59">
        <f t="shared" si="34"/>
        <v>0</v>
      </c>
      <c r="AN44" s="60">
        <f t="shared" si="35"/>
        <v>-0.32605531295487628</v>
      </c>
      <c r="AP44" s="62">
        <f t="shared" si="36"/>
        <v>-1344</v>
      </c>
    </row>
    <row r="45" spans="1:42">
      <c r="A45" s="39">
        <v>2774721190</v>
      </c>
      <c r="B45" s="40" t="s">
        <v>70</v>
      </c>
      <c r="C45" s="41">
        <v>5</v>
      </c>
      <c r="D45" s="42"/>
      <c r="E45" s="42"/>
      <c r="F45" s="42"/>
      <c r="G45" s="43"/>
      <c r="H45" s="65">
        <v>687</v>
      </c>
      <c r="I45" s="63">
        <f t="shared" si="20"/>
        <v>3435</v>
      </c>
      <c r="J45" s="45"/>
      <c r="K45" s="41">
        <v>2</v>
      </c>
      <c r="L45" s="45"/>
      <c r="M45" s="45"/>
      <c r="N45" s="46">
        <f t="shared" si="21"/>
        <v>0.2857142857142857</v>
      </c>
      <c r="O45" s="47">
        <f t="shared" si="22"/>
        <v>0</v>
      </c>
      <c r="P45" s="48">
        <f>SUMIFS('Отчет 17-23.11'!H:H,'Отчет 17-23.11'!D:D,"Выручка",'Отчет 17-23.11'!E:E,B45)</f>
        <v>0</v>
      </c>
      <c r="Q45" s="48">
        <f>SUMIFS('Отчет 17-23.11'!H:H,'Отчет 17-23.11'!D:D,"Возврат выручки",'Отчет 17-23.11'!E:E,B45)</f>
        <v>0</v>
      </c>
      <c r="R45" s="49">
        <f t="shared" si="37"/>
        <v>0</v>
      </c>
      <c r="S45" s="50">
        <f>SUMIFS('Отчет 17-23.11'!P:P,'Отчет 17-23.11'!C:C,"Продажи",'Отчет 17-23.11'!E:E,B45)</f>
        <v>0</v>
      </c>
      <c r="T45" s="51">
        <f>SUMIFS('Отчет 17-23.11'!P:P,'Отчет 17-23.11'!C:C,"Возвраты",'Отчет 17-23.11'!E:E,B45)</f>
        <v>0</v>
      </c>
      <c r="U45" s="49">
        <f t="shared" si="23"/>
        <v>0</v>
      </c>
      <c r="V45" s="52">
        <f t="shared" si="24"/>
        <v>0</v>
      </c>
      <c r="W45" s="53">
        <f t="shared" si="25"/>
        <v>0</v>
      </c>
      <c r="X45" s="51">
        <f>-SUMIFS('Отчет 17-23.11'!P:P,'Отчет 17-23.11'!C:C,"Вознаграждение Ozon",'Отчет 17-23.11'!E:E,B45)</f>
        <v>0</v>
      </c>
      <c r="Y45" s="54">
        <f t="shared" si="26"/>
        <v>0</v>
      </c>
      <c r="Z45" s="51">
        <f>-SUMIFS('Отчет 17-23.11'!P:P,'Отчет 17-23.11'!C:C,"Услуги доставки",'Отчет 17-23.11'!E:E,B45)</f>
        <v>0</v>
      </c>
      <c r="AA45" s="41">
        <v>3576.27</v>
      </c>
      <c r="AB45" s="64"/>
      <c r="AC45" s="51"/>
      <c r="AD45" s="55">
        <f t="shared" si="27"/>
        <v>0</v>
      </c>
      <c r="AE45" s="56">
        <f t="shared" si="28"/>
        <v>-3576.27</v>
      </c>
      <c r="AF45" s="55"/>
      <c r="AG45" s="57">
        <f t="shared" si="29"/>
        <v>0</v>
      </c>
      <c r="AH45" s="58">
        <f t="shared" si="30"/>
        <v>687</v>
      </c>
      <c r="AI45" s="58">
        <f t="shared" si="31"/>
        <v>0</v>
      </c>
      <c r="AJ45" s="58">
        <f t="shared" si="32"/>
        <v>0</v>
      </c>
      <c r="AK45" s="58">
        <f t="shared" si="33"/>
        <v>0</v>
      </c>
      <c r="AL45" s="58">
        <f t="array" ref="AL45">_xlfn.IFS(R45=0,AE45,R45&lt;0,AE45/-R45,R45&gt;0,AE45/R45)</f>
        <v>-3576.27</v>
      </c>
      <c r="AM45" s="59">
        <f t="shared" si="34"/>
        <v>0</v>
      </c>
      <c r="AN45" s="60">
        <f t="shared" si="35"/>
        <v>-5.2056331877729258</v>
      </c>
      <c r="AP45" s="62">
        <f t="shared" si="36"/>
        <v>-17881.349999999999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20"/>
        <v>3312</v>
      </c>
      <c r="J46" s="45"/>
      <c r="K46" s="41">
        <v>0</v>
      </c>
      <c r="L46" s="45"/>
      <c r="M46" s="45"/>
      <c r="N46" s="46">
        <f t="shared" si="21"/>
        <v>0</v>
      </c>
      <c r="O46" s="47">
        <f t="shared" si="22"/>
        <v>0</v>
      </c>
      <c r="P46" s="48">
        <f>SUMIFS('Отчет 17-23.11'!H:H,'Отчет 17-23.11'!D:D,"Выручка",'Отчет 17-23.11'!E:E,B46)</f>
        <v>0</v>
      </c>
      <c r="Q46" s="48">
        <f>SUMIFS('Отчет 17-23.11'!H:H,'Отчет 17-23.11'!D:D,"Возврат выручки",'Отчет 17-23.11'!E:E,B46)</f>
        <v>0</v>
      </c>
      <c r="R46" s="49">
        <f t="shared" si="37"/>
        <v>0</v>
      </c>
      <c r="S46" s="50">
        <f>SUMIFS('Отчет 17-23.11'!P:P,'Отчет 17-23.11'!C:C,"Продажи",'Отчет 17-23.11'!E:E,B46)</f>
        <v>0</v>
      </c>
      <c r="T46" s="51">
        <f>SUMIFS('Отчет 17-23.11'!P:P,'Отчет 17-23.11'!C:C,"Возвраты",'Отчет 17-23.11'!E:E,B46)</f>
        <v>0</v>
      </c>
      <c r="U46" s="49">
        <f t="shared" si="23"/>
        <v>0</v>
      </c>
      <c r="V46" s="52">
        <f t="shared" si="24"/>
        <v>0</v>
      </c>
      <c r="W46" s="53">
        <f t="shared" si="25"/>
        <v>0</v>
      </c>
      <c r="X46" s="51">
        <f>-SUMIFS('Отчет 17-23.11'!P:P,'Отчет 17-23.11'!C:C,"Вознаграждение Ozon",'Отчет 17-23.11'!E:E,B46)</f>
        <v>0</v>
      </c>
      <c r="Y46" s="54">
        <f t="shared" si="26"/>
        <v>0</v>
      </c>
      <c r="Z46" s="51">
        <f>-SUMIFS('Отчет 17-23.11'!P:P,'Отчет 17-23.11'!C:C,"Услуги доставки",'Отчет 17-23.11'!E:E,B46)</f>
        <v>0</v>
      </c>
      <c r="AA46" s="41">
        <v>0</v>
      </c>
      <c r="AB46" s="64"/>
      <c r="AC46" s="51"/>
      <c r="AD46" s="55">
        <f t="shared" si="27"/>
        <v>0</v>
      </c>
      <c r="AE46" s="56">
        <f t="shared" si="28"/>
        <v>0</v>
      </c>
      <c r="AF46" s="55"/>
      <c r="AG46" s="57">
        <f t="shared" si="29"/>
        <v>0</v>
      </c>
      <c r="AH46" s="58">
        <f t="shared" si="30"/>
        <v>552</v>
      </c>
      <c r="AI46" s="58">
        <f t="shared" si="31"/>
        <v>0</v>
      </c>
      <c r="AJ46" s="58">
        <f t="shared" si="32"/>
        <v>0</v>
      </c>
      <c r="AK46" s="58">
        <f t="shared" si="33"/>
        <v>0</v>
      </c>
      <c r="AL46" s="58">
        <f t="array" ref="AL46">_xlfn.IFS(R46=0,AE46,R46&lt;0,AE46/-R46,R46&gt;0,AE46/R46)</f>
        <v>0</v>
      </c>
      <c r="AM46" s="59">
        <f t="shared" si="34"/>
        <v>0</v>
      </c>
      <c r="AN46" s="60">
        <f t="shared" si="35"/>
        <v>0</v>
      </c>
      <c r="AP46" s="62">
        <f t="shared" si="36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21"/>
        <v>0</v>
      </c>
      <c r="O47" s="47">
        <f t="shared" si="22"/>
        <v>0</v>
      </c>
      <c r="P47" s="48">
        <f>SUMIFS('Отчет 17-23.11'!H:H,'Отчет 17-23.11'!D:D,"Выручка",'Отчет 17-23.11'!E:E,B47)</f>
        <v>0</v>
      </c>
      <c r="Q47" s="48">
        <f>SUMIFS('Отчет 17-23.11'!H:H,'Отчет 17-23.11'!D:D,"Возврат выручки",'Отчет 17-23.11'!E:E,B47)</f>
        <v>0</v>
      </c>
      <c r="R47" s="49">
        <f t="shared" si="37"/>
        <v>0</v>
      </c>
      <c r="S47" s="50">
        <f>SUMIFS('Отчет 17-23.11'!P:P,'Отчет 17-23.11'!C:C,"Продажи",'Отчет 17-23.11'!E:E,B47)</f>
        <v>0</v>
      </c>
      <c r="T47" s="51">
        <f>SUMIFS('Отчет 17-23.11'!P:P,'Отчет 17-23.11'!C:C,"Возвраты",'Отчет 17-23.11'!E:E,B47)</f>
        <v>0</v>
      </c>
      <c r="U47" s="49">
        <f t="shared" si="23"/>
        <v>0</v>
      </c>
      <c r="V47" s="52">
        <f t="shared" si="24"/>
        <v>0</v>
      </c>
      <c r="W47" s="53">
        <f t="shared" si="25"/>
        <v>0</v>
      </c>
      <c r="X47" s="51">
        <f>-SUMIFS('Отчет 17-23.11'!P:P,'Отчет 17-23.11'!C:C,"Вознаграждение Ozon",'Отчет 17-23.11'!E:E,B47)</f>
        <v>0</v>
      </c>
      <c r="Y47" s="54">
        <f t="shared" si="26"/>
        <v>0</v>
      </c>
      <c r="Z47" s="51">
        <f>-SUMIFS('Отчет 17-23.11'!P:P,'Отчет 17-23.11'!C:C,"Услуги доставки",'Отчет 17-23.11'!E:E,B47)</f>
        <v>0</v>
      </c>
      <c r="AA47" s="41">
        <v>0</v>
      </c>
      <c r="AB47" s="64"/>
      <c r="AC47" s="51"/>
      <c r="AD47" s="55">
        <f t="shared" si="27"/>
        <v>0</v>
      </c>
      <c r="AE47" s="56">
        <f t="shared" si="28"/>
        <v>0</v>
      </c>
      <c r="AF47" s="55"/>
      <c r="AG47" s="57">
        <f t="shared" si="29"/>
        <v>0</v>
      </c>
      <c r="AH47" s="58">
        <f t="shared" si="30"/>
        <v>552</v>
      </c>
      <c r="AI47" s="58">
        <f t="shared" si="31"/>
        <v>0</v>
      </c>
      <c r="AJ47" s="58">
        <f t="shared" si="32"/>
        <v>0</v>
      </c>
      <c r="AK47" s="58">
        <f t="shared" si="33"/>
        <v>0</v>
      </c>
      <c r="AL47" s="58">
        <f t="array" ref="AL47">_xlfn.IFS(R47=0,AE47,R47&lt;0,AE47/-R47,R47&gt;0,AE47/R47)</f>
        <v>0</v>
      </c>
      <c r="AM47" s="59">
        <f t="shared" si="34"/>
        <v>0</v>
      </c>
      <c r="AN47" s="60">
        <f t="shared" si="35"/>
        <v>0</v>
      </c>
      <c r="AP47" s="62">
        <f t="shared" si="36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38">AVERAGEIF(AG28:AG47,"&lt;&gt;0",AG28:AG47)</f>
        <v>4706</v>
      </c>
      <c r="AH48" s="259">
        <f t="shared" si="38"/>
        <v>617.25</v>
      </c>
      <c r="AI48" s="259">
        <f t="shared" si="38"/>
        <v>1954.8300000000002</v>
      </c>
      <c r="AJ48" s="259">
        <f t="shared" si="38"/>
        <v>168.71444444444444</v>
      </c>
      <c r="AK48" s="259">
        <f t="shared" si="38"/>
        <v>2949.8170329999998</v>
      </c>
      <c r="AL48" s="259">
        <f t="shared" si="38"/>
        <v>-613.70136129999992</v>
      </c>
      <c r="AM48" s="260">
        <f t="shared" si="38"/>
        <v>-4.205925933035197E-2</v>
      </c>
      <c r="AN48" s="260">
        <f t="shared" si="38"/>
        <v>-0.92863428106638612</v>
      </c>
      <c r="AO48" s="240"/>
      <c r="AP48" s="241"/>
    </row>
    <row r="49" spans="1:42">
      <c r="A49" s="218" t="s">
        <v>306</v>
      </c>
      <c r="B49" s="219"/>
      <c r="C49" s="220">
        <f>SUM(C28:C47)</f>
        <v>304</v>
      </c>
      <c r="D49" s="221"/>
      <c r="E49" s="221"/>
      <c r="F49" s="221"/>
      <c r="G49" s="221"/>
      <c r="H49" s="222"/>
      <c r="I49" s="220">
        <f>SUM(I28:I47)</f>
        <v>185598</v>
      </c>
      <c r="J49" s="223"/>
      <c r="K49" s="220">
        <f>SUM(K28:K47)</f>
        <v>5</v>
      </c>
      <c r="L49" s="223"/>
      <c r="M49" s="223"/>
      <c r="N49" s="224"/>
      <c r="O49" s="225"/>
      <c r="P49" s="220">
        <f t="shared" ref="P49:W49" si="39">SUM(P28:P47)</f>
        <v>3</v>
      </c>
      <c r="Q49" s="220">
        <f t="shared" si="39"/>
        <v>1</v>
      </c>
      <c r="R49" s="250">
        <f t="shared" si="39"/>
        <v>2</v>
      </c>
      <c r="S49" s="220">
        <f t="shared" si="39"/>
        <v>13324</v>
      </c>
      <c r="T49" s="220">
        <f t="shared" si="39"/>
        <v>-5500</v>
      </c>
      <c r="U49" s="250">
        <f t="shared" si="39"/>
        <v>7824</v>
      </c>
      <c r="V49" s="253">
        <f t="shared" si="39"/>
        <v>1</v>
      </c>
      <c r="W49" s="220">
        <f t="shared" si="39"/>
        <v>1224</v>
      </c>
      <c r="X49" s="220">
        <f>SUM(X28:X47)</f>
        <v>3639.32</v>
      </c>
      <c r="Y49" s="226">
        <f>IF(U49=0,0,X49/U49)</f>
        <v>0.46514826175869123</v>
      </c>
      <c r="Z49" s="220">
        <f>SUM(Z28:Z47)</f>
        <v>1518.4299999999998</v>
      </c>
      <c r="AA49" s="220">
        <f>IFERROR(P49*AA51/P51,0)</f>
        <v>2538.2625000000003</v>
      </c>
      <c r="AB49" s="220">
        <f>SUM(AB28:AB47)</f>
        <v>0</v>
      </c>
      <c r="AC49" s="220">
        <f>SUM(AC28:AC47)</f>
        <v>0</v>
      </c>
      <c r="AD49" s="250">
        <f>SUM(AD28:AD47)</f>
        <v>469.44</v>
      </c>
      <c r="AE49" s="220">
        <f>SUM(AE28:AE47)</f>
        <v>-6137.0136129999992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-56701.873934999989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7109.8236130000005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4495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736264.29999999993</v>
      </c>
      <c r="J51" s="229">
        <f>J26+J49</f>
        <v>0</v>
      </c>
      <c r="K51" s="229">
        <f>K26+K49</f>
        <v>73</v>
      </c>
      <c r="L51" s="230"/>
      <c r="M51" s="230"/>
      <c r="N51" s="230"/>
      <c r="O51" s="230"/>
      <c r="P51" s="269">
        <f t="shared" ref="P51:X51" si="40">P26+P49</f>
        <v>36</v>
      </c>
      <c r="Q51" s="229">
        <f t="shared" si="40"/>
        <v>3</v>
      </c>
      <c r="R51" s="252">
        <f t="shared" si="40"/>
        <v>33</v>
      </c>
      <c r="S51" s="229">
        <f t="shared" si="40"/>
        <v>65476</v>
      </c>
      <c r="T51" s="229">
        <f t="shared" si="40"/>
        <v>-8551</v>
      </c>
      <c r="U51" s="252">
        <f t="shared" si="40"/>
        <v>56925</v>
      </c>
      <c r="V51" s="255">
        <f t="shared" si="40"/>
        <v>7.2756901840490791</v>
      </c>
      <c r="W51" s="229">
        <f t="shared" si="40"/>
        <v>5453.88</v>
      </c>
      <c r="X51" s="229">
        <f t="shared" si="40"/>
        <v>24652.219999999994</v>
      </c>
      <c r="Y51" s="232">
        <f>X51/U51</f>
        <v>0.43306490996925767</v>
      </c>
      <c r="Z51" s="229">
        <f>Z26+Z49</f>
        <v>7054.5500000000011</v>
      </c>
      <c r="AA51" s="75">
        <v>30459.15</v>
      </c>
      <c r="AB51" s="74"/>
      <c r="AC51" s="74">
        <f>SUM(AC3:AC47)</f>
        <v>0</v>
      </c>
      <c r="AD51" s="229">
        <f>AD26+AD49</f>
        <v>3415.4999999999995</v>
      </c>
      <c r="AE51" s="233">
        <f>AE26+AE49</f>
        <v>-9890.4147809999995</v>
      </c>
      <c r="AF51" s="76"/>
      <c r="AG51" s="234"/>
      <c r="AH51" s="235"/>
      <c r="AI51" s="235"/>
      <c r="AJ51" s="235"/>
      <c r="AK51" s="235">
        <f>AA52/P51</f>
        <v>846.08750000000009</v>
      </c>
      <c r="AL51" s="235"/>
      <c r="AM51" s="235"/>
      <c r="AN51" s="236"/>
      <c r="AP51" s="233">
        <f>SUM(AP3:AP47)</f>
        <v>-1904792.2689517923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30459.15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26239.264781000002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736264.29999999993</v>
      </c>
      <c r="J59" s="109">
        <f>I59/I51</f>
        <v>1</v>
      </c>
      <c r="K59" s="105">
        <f>AP51-K58-K60</f>
        <v>-1904792.2689517923</v>
      </c>
      <c r="L59" s="106">
        <f>K59/I59</f>
        <v>-2.5871039366594202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170" priority="28" operator="greaterThan">
      <formula>120</formula>
    </cfRule>
  </conditionalFormatting>
  <conditionalFormatting sqref="N50">
    <cfRule type="cellIs" dxfId="169" priority="27" operator="between">
      <formula>0.000001</formula>
      <formula>25</formula>
    </cfRule>
  </conditionalFormatting>
  <conditionalFormatting sqref="V1 V52:V55 V57:V1048576">
    <cfRule type="cellIs" dxfId="168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{FFCD38B0-2916-4061-90FB-839D9B03CD3A}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{C03A4796-D830-47AA-8D6D-60192041A17A}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{670A1D13-5DE9-4F53-BAA6-94A74E433DCA}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{68A6365A-D25E-402A-AB5D-9E6BC619C8E3}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{51841907-E339-40B1-A5D1-40DDFED64A95}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{B1C341D6-DE9B-4B77-87E1-EC37ACC004D6}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{04B256FF-3F5E-4470-B3F8-9C83EDC9F4EC}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{97FB036E-6E2B-44FA-8C65-55ACBE1FD09F}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{CB3959A9-7848-4FED-9A8C-75AC0725A60B}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{C001923E-4A90-4BC9-B947-D6FFDEFC1748}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{22440363-A81E-4404-9919-CE6AF5258AEA}</x14:id>
        </ext>
      </extLst>
    </cfRule>
  </conditionalFormatting>
  <conditionalFormatting sqref="P50">
    <cfRule type="cellIs" dxfId="167" priority="23" operator="greaterThan">
      <formula>120</formula>
    </cfRule>
  </conditionalFormatting>
  <conditionalFormatting sqref="Q50">
    <cfRule type="cellIs" dxfId="166" priority="22" operator="greaterThan">
      <formula>120</formula>
    </cfRule>
  </conditionalFormatting>
  <conditionalFormatting sqref="R50">
    <cfRule type="cellIs" dxfId="165" priority="21" operator="greaterThan">
      <formula>120</formula>
    </cfRule>
  </conditionalFormatting>
  <conditionalFormatting sqref="S50">
    <cfRule type="cellIs" dxfId="164" priority="20" operator="greaterThan">
      <formula>120</formula>
    </cfRule>
  </conditionalFormatting>
  <conditionalFormatting sqref="T50">
    <cfRule type="cellIs" dxfId="163" priority="19" operator="greaterThan">
      <formula>120</formula>
    </cfRule>
  </conditionalFormatting>
  <conditionalFormatting sqref="U50">
    <cfRule type="cellIs" dxfId="162" priority="18" operator="greaterThan">
      <formula>120</formula>
    </cfRule>
  </conditionalFormatting>
  <conditionalFormatting sqref="V50">
    <cfRule type="cellIs" dxfId="161" priority="17" operator="greaterThan">
      <formula>120</formula>
    </cfRule>
  </conditionalFormatting>
  <conditionalFormatting sqref="W50">
    <cfRule type="cellIs" dxfId="160" priority="16" operator="greaterThan">
      <formula>120</formula>
    </cfRule>
  </conditionalFormatting>
  <conditionalFormatting sqref="X50">
    <cfRule type="cellIs" dxfId="159" priority="15" operator="greaterThan">
      <formula>120</formula>
    </cfRule>
  </conditionalFormatting>
  <conditionalFormatting sqref="Z50">
    <cfRule type="cellIs" dxfId="158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{0B45457C-E6DF-4DA0-8AE9-FC39F8B3E0F0}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{E5DA213E-2823-462D-B4E1-09E4480BF721}</x14:id>
        </ext>
      </extLst>
    </cfRule>
  </conditionalFormatting>
  <conditionalFormatting sqref="J8:J9">
    <cfRule type="cellIs" dxfId="157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{FC92F0DB-74BE-4A9B-AB93-52CC9F10934C}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{74B59584-4504-4220-B8D1-8D5EC34E70B1}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{95E3C7A2-C702-4A78-81C8-DC5BE22254CC}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{E9556DB0-54EE-4802-A86E-C4A34435675F}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{49F97A9B-0388-405B-9282-7E04B55094E2}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{3ED449CE-9950-4746-83ED-F7755B369B5A}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{2761EF1E-C535-4549-A813-62700D05894E}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{562919C3-C054-458D-B2B7-3E812D797176}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{5A22FD4C-FBCD-4E03-A58E-F50D0EAE3BF6}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{E19AE2EF-040C-4CBA-8752-DEE19623415E}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CD38B0-2916-4061-90FB-839D9B03C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03A4796-D830-47AA-8D6D-60192041A1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70A1D13-5DE9-4F53-BAA6-94A74E433D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68A6365A-D25E-402A-AB5D-9E6BC619C8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51841907-E339-40B1-A5D1-40DDFED64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1C341D6-DE9B-4B77-87E1-EC37ACC00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04B256FF-3F5E-4470-B3F8-9C83EDC9F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97FB036E-6E2B-44FA-8C65-55ACBE1FD0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CB3959A9-7848-4FED-9A8C-75AC0725A6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C001923E-4A90-4BC9-B947-D6FFDEFC1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2440363-A81E-4404-9919-CE6AF5258A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B45457C-E6DF-4DA0-8AE9-FC39F8B3E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5DA213E-2823-462D-B4E1-09E4480BF7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FC92F0DB-74BE-4A9B-AB93-52CC9F109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4B59584-4504-4220-B8D1-8D5EC34E70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5E3C7A2-C702-4A78-81C8-DC5BE2225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E9556DB0-54EE-4802-A86E-C4A3443567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49F97A9B-0388-405B-9282-7E04B55094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ED449CE-9950-4746-83ED-F7755B369B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761EF1E-C535-4549-A813-62700D0589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562919C3-C054-458D-B2B7-3E812D7971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A22FD4C-FBCD-4E03-A58E-F50D0EAE3B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19AE2EF-040C-4CBA-8752-DEE1962341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F96F-F07C-453D-96E5-59886541832D}">
  <dimension ref="A1:AZ64"/>
  <sheetViews>
    <sheetView zoomScale="70" zoomScaleNormal="70" workbookViewId="0">
      <pane xSplit="2" ySplit="2" topLeftCell="N39" activePane="bottomRight" state="frozen"/>
      <selection pane="topRight" activeCell="C1" sqref="C1"/>
      <selection pane="bottomLeft" activeCell="A3" sqref="A3"/>
      <selection pane="bottomRight" activeCell="R28" sqref="R28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1129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1130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319</v>
      </c>
      <c r="D3" s="42"/>
      <c r="E3" s="42"/>
      <c r="F3" s="42"/>
      <c r="G3" s="43"/>
      <c r="H3" s="44">
        <v>142.97999999999999</v>
      </c>
      <c r="I3" s="42">
        <f t="shared" ref="I3:I24" si="0">C3*H3</f>
        <v>45610.619999999995</v>
      </c>
      <c r="J3" s="45"/>
      <c r="K3" s="41">
        <v>13</v>
      </c>
      <c r="L3" s="45"/>
      <c r="M3" s="45"/>
      <c r="N3" s="46">
        <f t="shared" ref="N3:N24" si="1">K3/7</f>
        <v>1.8571428571428572</v>
      </c>
      <c r="O3" s="47">
        <f t="shared" ref="O3:O24" si="2">R3/7</f>
        <v>0.7142857142857143</v>
      </c>
      <c r="P3" s="48">
        <f>SUMIFS('Отчет 10-16.11'!H:H,'Отчет 10-16.11'!D:D,"Выручка",'Отчет 10-16.11'!E:E,B3)</f>
        <v>5</v>
      </c>
      <c r="Q3" s="48">
        <f>SUMIFS('Отчет 10-16.11'!H:H,'Отчет 10-16.11'!D:D,"Возврат выручки",'Отчет 10-16.11'!E:E,B3)</f>
        <v>0</v>
      </c>
      <c r="R3" s="49">
        <f>P3-Q3</f>
        <v>5</v>
      </c>
      <c r="S3" s="50">
        <f>SUMIFS('Отчет 10-16.11'!P:P,'Отчет 10-16.11'!C:C,"Продажи",'Отчет 10-16.11'!E:E,B3)</f>
        <v>6827</v>
      </c>
      <c r="T3" s="51">
        <f>SUMIFS('Отчет 10-16.11'!P:P,'Отчет 10-16.11'!C:C,"Возвраты",'Отчет 10-16.11'!E:E,B3)</f>
        <v>0</v>
      </c>
      <c r="U3" s="49">
        <f t="shared" ref="U3" si="3">S3+T3</f>
        <v>6827</v>
      </c>
      <c r="V3" s="52">
        <f t="shared" ref="V3" si="4">U3/$U$49</f>
        <v>0.34521642394822005</v>
      </c>
      <c r="W3" s="53">
        <f t="shared" ref="W3:W24" si="5">R3*H3</f>
        <v>714.9</v>
      </c>
      <c r="X3" s="51">
        <f>-SUMIFS('Отчет 10-16.11'!P:P,'Отчет 10-16.11'!C:C,"Вознаграждение Ozon",'Отчет 10-16.11'!E:E,B3)</f>
        <v>2761.81</v>
      </c>
      <c r="Y3" s="54">
        <f t="shared" ref="Y3" si="6">IF(U3=0,0,X3/U3)</f>
        <v>0.40454225867877547</v>
      </c>
      <c r="Z3" s="51">
        <f>-SUMIFS('Отчет 10-16.11'!P:P,'Отчет 10-16.11'!C:C,"Услуги доставки",'Отчет 10-16.11'!E:E,B3)</f>
        <v>506</v>
      </c>
      <c r="AA3" s="41">
        <v>2317.91</v>
      </c>
      <c r="AB3" s="51"/>
      <c r="AC3" s="51"/>
      <c r="AD3" s="55">
        <f t="shared" ref="AD3:AD24" si="7">U3*6%</f>
        <v>409.62</v>
      </c>
      <c r="AE3" s="56">
        <f t="shared" ref="AE3:AE24" si="8">U3-W3-X3-Z3-AA3-AB3-AC3-AD3</f>
        <v>116.76000000000056</v>
      </c>
      <c r="AF3" s="55"/>
      <c r="AG3" s="57">
        <f t="shared" ref="AG3:AG24" si="9">IF(R3=0,0,U3/R3)</f>
        <v>1365.4</v>
      </c>
      <c r="AH3" s="58">
        <f t="shared" ref="AH3:AH24" si="10">H3</f>
        <v>142.97999999999999</v>
      </c>
      <c r="AI3" s="58">
        <f t="shared" ref="AI3:AI24" si="11">IF(R3=0,0,X3/R3)</f>
        <v>552.36199999999997</v>
      </c>
      <c r="AJ3" s="58">
        <f t="shared" ref="AJ3:AJ24" si="12">IF(P3=0,Z3/1,Z3/P3)</f>
        <v>101.2</v>
      </c>
      <c r="AK3" s="58">
        <f t="shared" ref="AK3:AK24" si="13">IF(P3=0,0,AA3/P3)</f>
        <v>463.58199999999999</v>
      </c>
      <c r="AL3" s="58">
        <f>_xlfn.IFS(R3=0,AE3,R3&lt;0,AE3/-R3,R3&gt;0,AE3/R3)</f>
        <v>23.35200000000011</v>
      </c>
      <c r="AM3" s="59">
        <f t="shared" ref="AM3:AM24" si="14">IF(AG3=0,0,AL3/AG3)</f>
        <v>1.7102680533177171E-2</v>
      </c>
      <c r="AN3" s="60">
        <f t="shared" ref="AN3:AN24" si="15">IF(AH3=0,0,AL3/AH3)</f>
        <v>0.16332354175409228</v>
      </c>
      <c r="AP3" s="62">
        <f t="shared" ref="AP3:AP24" si="16">AL3*C3</f>
        <v>7449.288000000035</v>
      </c>
    </row>
    <row r="4" spans="1:42">
      <c r="A4" s="39">
        <v>2638638550</v>
      </c>
      <c r="B4" s="40" t="s">
        <v>92</v>
      </c>
      <c r="C4" s="41">
        <v>389</v>
      </c>
      <c r="D4" s="42"/>
      <c r="E4" s="42"/>
      <c r="F4" s="42"/>
      <c r="G4" s="43"/>
      <c r="H4" s="44">
        <v>123.09</v>
      </c>
      <c r="I4" s="42">
        <f t="shared" si="0"/>
        <v>47882.01</v>
      </c>
      <c r="J4" s="45"/>
      <c r="K4" s="41">
        <v>0</v>
      </c>
      <c r="L4" s="45"/>
      <c r="M4" s="45"/>
      <c r="N4" s="46">
        <f t="shared" si="1"/>
        <v>0</v>
      </c>
      <c r="O4" s="47">
        <f t="shared" si="2"/>
        <v>0</v>
      </c>
      <c r="P4" s="48">
        <f>SUMIFS('Отчет 10-16.11'!H:H,'Отчет 10-16.11'!D:D,"Выручка",'Отчет 10-16.11'!E:E,B4)</f>
        <v>0</v>
      </c>
      <c r="Q4" s="48">
        <f>SUMIFS('Отчет 10-16.11'!H:H,'Отчет 10-16.11'!D:D,"Возврат выручки",'Отчет 10-16.11'!E:E,B4)</f>
        <v>0</v>
      </c>
      <c r="R4" s="49">
        <f t="shared" ref="R4:R24" si="17">P4-Q4</f>
        <v>0</v>
      </c>
      <c r="S4" s="50">
        <f>SUMIFS('Отчет 10-16.11'!P:P,'Отчет 10-16.11'!C:C,"Продажи",'Отчет 10-16.11'!E:E,B4)</f>
        <v>0</v>
      </c>
      <c r="T4" s="51">
        <f>SUMIFS('Отчет 10-16.11'!P:P,'Отчет 10-16.11'!C:C,"Возвраты",'Отчет 10-16.11'!E:E,B4)</f>
        <v>0</v>
      </c>
      <c r="U4" s="49">
        <f t="shared" ref="U4:U24" si="18">S4+T4</f>
        <v>0</v>
      </c>
      <c r="V4" s="52">
        <f t="shared" ref="V4:V24" si="19">U4/$U$49</f>
        <v>0</v>
      </c>
      <c r="W4" s="53">
        <f t="shared" si="5"/>
        <v>0</v>
      </c>
      <c r="X4" s="51">
        <f>-SUMIFS('Отчет 10-16.11'!P:P,'Отчет 10-16.11'!C:C,"Вознаграждение Ozon",'Отчет 10-16.11'!E:E,B4)</f>
        <v>0</v>
      </c>
      <c r="Y4" s="54">
        <f t="shared" ref="Y4:Y24" si="20">IF(U4=0,0,X4/U4)</f>
        <v>0</v>
      </c>
      <c r="Z4" s="51">
        <f>-SUMIFS('Отчет 10-16.11'!P:P,'Отчет 10-16.11'!C:C,"Услуги доставки",'Отчет 10-16.11'!E:E,B4)</f>
        <v>0</v>
      </c>
      <c r="AA4" s="41">
        <v>0</v>
      </c>
      <c r="AB4" s="51"/>
      <c r="AC4" s="51"/>
      <c r="AD4" s="55">
        <f t="shared" si="7"/>
        <v>0</v>
      </c>
      <c r="AE4" s="56">
        <f t="shared" si="8"/>
        <v>0</v>
      </c>
      <c r="AF4" s="55"/>
      <c r="AG4" s="57">
        <f t="shared" si="9"/>
        <v>0</v>
      </c>
      <c r="AH4" s="58">
        <f t="shared" si="10"/>
        <v>123.09</v>
      </c>
      <c r="AI4" s="58">
        <f t="shared" si="11"/>
        <v>0</v>
      </c>
      <c r="AJ4" s="58">
        <f t="shared" si="12"/>
        <v>0</v>
      </c>
      <c r="AK4" s="58">
        <f t="shared" si="13"/>
        <v>0</v>
      </c>
      <c r="AL4" s="58">
        <f t="array" ref="AL4">_xlfn.IFS(R4=0,AE4,R4&lt;0,AE4/-R4,R4&gt;0,AE4/R4)</f>
        <v>0</v>
      </c>
      <c r="AM4" s="59">
        <f t="shared" si="14"/>
        <v>0</v>
      </c>
      <c r="AN4" s="60">
        <f t="shared" si="15"/>
        <v>0</v>
      </c>
      <c r="AP4" s="62">
        <f t="shared" si="16"/>
        <v>0</v>
      </c>
    </row>
    <row r="5" spans="1:42">
      <c r="A5" s="39">
        <v>2638691131</v>
      </c>
      <c r="B5" s="40" t="s">
        <v>222</v>
      </c>
      <c r="C5" s="41"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1">
        <v>0</v>
      </c>
      <c r="L5" s="45"/>
      <c r="M5" s="45"/>
      <c r="N5" s="46">
        <f t="shared" si="1"/>
        <v>0</v>
      </c>
      <c r="O5" s="47">
        <f t="shared" si="2"/>
        <v>0</v>
      </c>
      <c r="P5" s="48">
        <f>SUMIFS('Отчет 10-16.11'!H:H,'Отчет 10-16.11'!D:D,"Выручка",'Отчет 10-16.11'!E:E,B5)</f>
        <v>0</v>
      </c>
      <c r="Q5" s="48">
        <f>SUMIFS('Отчет 10-16.11'!H:H,'Отчет 10-16.11'!D:D,"Возврат выручки",'Отчет 10-16.11'!E:E,B5)</f>
        <v>0</v>
      </c>
      <c r="R5" s="49">
        <f t="shared" si="17"/>
        <v>0</v>
      </c>
      <c r="S5" s="50">
        <f>SUMIFS('Отчет 10-16.11'!P:P,'Отчет 10-16.11'!C:C,"Продажи",'Отчет 10-16.11'!E:E,B5)</f>
        <v>0</v>
      </c>
      <c r="T5" s="51">
        <f>SUMIFS('Отчет 10-16.11'!P:P,'Отчет 10-16.11'!C:C,"Возвраты",'Отчет 10-16.11'!E:E,B5)</f>
        <v>0</v>
      </c>
      <c r="U5" s="49">
        <f t="shared" si="18"/>
        <v>0</v>
      </c>
      <c r="V5" s="52">
        <f t="shared" si="19"/>
        <v>0</v>
      </c>
      <c r="W5" s="53">
        <f t="shared" si="5"/>
        <v>0</v>
      </c>
      <c r="X5" s="51">
        <f>-SUMIFS('Отчет 10-16.11'!P:P,'Отчет 10-16.11'!C:C,"Вознаграждение Ozon",'Отчет 10-16.11'!E:E,B5)</f>
        <v>0</v>
      </c>
      <c r="Y5" s="54">
        <f t="shared" si="20"/>
        <v>0</v>
      </c>
      <c r="Z5" s="51">
        <f>-SUMIFS('Отчет 10-16.11'!P:P,'Отчет 10-16.11'!C:C,"Услуги доставки",'Отчет 10-16.11'!E:E,B5)</f>
        <v>0</v>
      </c>
      <c r="AA5" s="41">
        <v>0</v>
      </c>
      <c r="AB5" s="64"/>
      <c r="AC5" s="51"/>
      <c r="AD5" s="55">
        <f t="shared" si="7"/>
        <v>0</v>
      </c>
      <c r="AE5" s="56">
        <f t="shared" si="8"/>
        <v>0</v>
      </c>
      <c r="AF5" s="55"/>
      <c r="AG5" s="57">
        <f t="shared" si="9"/>
        <v>0</v>
      </c>
      <c r="AH5" s="58">
        <f t="shared" si="10"/>
        <v>123.09</v>
      </c>
      <c r="AI5" s="58">
        <f t="shared" si="11"/>
        <v>0</v>
      </c>
      <c r="AJ5" s="58">
        <f t="shared" si="12"/>
        <v>0</v>
      </c>
      <c r="AK5" s="58">
        <f t="shared" si="13"/>
        <v>0</v>
      </c>
      <c r="AL5" s="58">
        <f t="array" ref="AL5">_xlfn.IFS(R5=0,AE5,R5&lt;0,AE5/-R5,R5&gt;0,AE5/R5)</f>
        <v>0</v>
      </c>
      <c r="AM5" s="59">
        <f t="shared" si="14"/>
        <v>0</v>
      </c>
      <c r="AN5" s="60">
        <f t="shared" si="15"/>
        <v>0</v>
      </c>
      <c r="AP5" s="62">
        <f t="shared" si="16"/>
        <v>0</v>
      </c>
    </row>
    <row r="6" spans="1:42">
      <c r="A6" s="39">
        <v>2638382749</v>
      </c>
      <c r="B6" s="40" t="s">
        <v>223</v>
      </c>
      <c r="C6" s="41">
        <v>869</v>
      </c>
      <c r="D6" s="42"/>
      <c r="E6" s="42"/>
      <c r="F6" s="42"/>
      <c r="G6" s="43"/>
      <c r="H6" s="44">
        <v>123.09</v>
      </c>
      <c r="I6" s="63">
        <f t="shared" si="0"/>
        <v>106965.21</v>
      </c>
      <c r="J6" s="45"/>
      <c r="K6" s="41">
        <v>27</v>
      </c>
      <c r="L6" s="45"/>
      <c r="M6" s="45"/>
      <c r="N6" s="46">
        <f t="shared" si="1"/>
        <v>3.8571428571428572</v>
      </c>
      <c r="O6" s="47">
        <f t="shared" si="2"/>
        <v>2.1428571428571428</v>
      </c>
      <c r="P6" s="48">
        <f>SUMIFS('Отчет 10-16.11'!H:H,'Отчет 10-16.11'!D:D,"Выручка",'Отчет 10-16.11'!E:E,B6)</f>
        <v>15</v>
      </c>
      <c r="Q6" s="48">
        <f>SUMIFS('Отчет 10-16.11'!H:H,'Отчет 10-16.11'!D:D,"Возврат выручки",'Отчет 10-16.11'!E:E,B6)</f>
        <v>0</v>
      </c>
      <c r="R6" s="49">
        <f t="shared" si="17"/>
        <v>15</v>
      </c>
      <c r="S6" s="50">
        <f>SUMIFS('Отчет 10-16.11'!P:P,'Отчет 10-16.11'!C:C,"Продажи",'Отчет 10-16.11'!E:E,B6)</f>
        <v>21942.999999999993</v>
      </c>
      <c r="T6" s="51">
        <f>SUMIFS('Отчет 10-16.11'!P:P,'Отчет 10-16.11'!C:C,"Возвраты",'Отчет 10-16.11'!E:E,B6)</f>
        <v>0</v>
      </c>
      <c r="U6" s="49">
        <f t="shared" si="18"/>
        <v>21942.999999999993</v>
      </c>
      <c r="V6" s="52">
        <f t="shared" si="19"/>
        <v>1.1095772653721678</v>
      </c>
      <c r="W6" s="53">
        <f>R6*H6</f>
        <v>1846.3500000000001</v>
      </c>
      <c r="X6" s="51">
        <f>-SUMIFS('Отчет 10-16.11'!P:P,'Отчет 10-16.11'!C:C,"Вознаграждение Ozon",'Отчет 10-16.11'!E:E,B6)</f>
        <v>9165.49</v>
      </c>
      <c r="Y6" s="54">
        <f t="shared" si="20"/>
        <v>0.41769539260812116</v>
      </c>
      <c r="Z6" s="51">
        <f>-SUMIFS('Отчет 10-16.11'!P:P,'Отчет 10-16.11'!C:C,"Услуги доставки",'Отчет 10-16.11'!E:E,B6)</f>
        <v>1359.37</v>
      </c>
      <c r="AA6" s="41">
        <v>6758.8867389999996</v>
      </c>
      <c r="AB6" s="64"/>
      <c r="AC6" s="51"/>
      <c r="AD6" s="55">
        <f t="shared" si="7"/>
        <v>1316.5799999999995</v>
      </c>
      <c r="AE6" s="56">
        <f t="shared" si="8"/>
        <v>1496.3232609999945</v>
      </c>
      <c r="AF6" s="55"/>
      <c r="AG6" s="57">
        <f t="shared" si="9"/>
        <v>1462.8666666666661</v>
      </c>
      <c r="AH6" s="58">
        <f t="shared" si="10"/>
        <v>123.09</v>
      </c>
      <c r="AI6" s="58">
        <f t="shared" si="11"/>
        <v>611.03266666666661</v>
      </c>
      <c r="AJ6" s="58">
        <f t="shared" si="12"/>
        <v>90.624666666666656</v>
      </c>
      <c r="AK6" s="58">
        <f t="shared" si="13"/>
        <v>450.59244926666662</v>
      </c>
      <c r="AL6" s="58">
        <f t="array" ref="AL6">_xlfn.IFS(R6=0,AE6,R6&lt;0,AE6/-R6,R6&gt;0,AE6/R6)</f>
        <v>99.754884066666307</v>
      </c>
      <c r="AM6" s="59">
        <f t="shared" si="14"/>
        <v>6.8191371325707295E-2</v>
      </c>
      <c r="AN6" s="60">
        <f t="shared" si="15"/>
        <v>0.81042232566956129</v>
      </c>
      <c r="AP6" s="62">
        <f t="shared" si="16"/>
        <v>86686.994253933022</v>
      </c>
    </row>
    <row r="7" spans="1:42">
      <c r="A7" s="39">
        <v>2638569317</v>
      </c>
      <c r="B7" s="40" t="s">
        <v>54</v>
      </c>
      <c r="C7" s="41">
        <v>855</v>
      </c>
      <c r="D7" s="42"/>
      <c r="E7" s="42"/>
      <c r="F7" s="42"/>
      <c r="G7" s="43"/>
      <c r="H7" s="44">
        <v>117.24</v>
      </c>
      <c r="I7" s="63">
        <f t="shared" si="0"/>
        <v>100240.2</v>
      </c>
      <c r="J7" s="45"/>
      <c r="K7" s="41">
        <v>1</v>
      </c>
      <c r="L7" s="45"/>
      <c r="M7" s="45"/>
      <c r="N7" s="46">
        <f t="shared" si="1"/>
        <v>0.14285714285714285</v>
      </c>
      <c r="O7" s="47">
        <f t="shared" si="2"/>
        <v>0</v>
      </c>
      <c r="P7" s="48">
        <f>SUMIFS('Отчет 10-16.11'!H:H,'Отчет 10-16.11'!D:D,"Выручка",'Отчет 10-16.11'!E:E,B7)</f>
        <v>0</v>
      </c>
      <c r="Q7" s="48">
        <f>SUMIFS('Отчет 10-16.11'!H:H,'Отчет 10-16.11'!D:D,"Возврат выручки",'Отчет 10-16.11'!E:E,B7)</f>
        <v>0</v>
      </c>
      <c r="R7" s="49">
        <f t="shared" si="17"/>
        <v>0</v>
      </c>
      <c r="S7" s="50">
        <f>SUMIFS('Отчет 10-16.11'!P:P,'Отчет 10-16.11'!C:C,"Продажи",'Отчет 10-16.11'!E:E,B7)</f>
        <v>0</v>
      </c>
      <c r="T7" s="51">
        <f>SUMIFS('Отчет 10-16.11'!P:P,'Отчет 10-16.11'!C:C,"Возвраты",'Отчет 10-16.11'!E:E,B7)</f>
        <v>0</v>
      </c>
      <c r="U7" s="49">
        <f t="shared" si="18"/>
        <v>0</v>
      </c>
      <c r="V7" s="52">
        <f t="shared" si="19"/>
        <v>0</v>
      </c>
      <c r="W7" s="53">
        <f t="shared" si="5"/>
        <v>0</v>
      </c>
      <c r="X7" s="51">
        <f>-SUMIFS('Отчет 10-16.11'!P:P,'Отчет 10-16.11'!C:C,"Вознаграждение Ozon",'Отчет 10-16.11'!E:E,B7)</f>
        <v>0</v>
      </c>
      <c r="Y7" s="54">
        <f t="shared" si="20"/>
        <v>0</v>
      </c>
      <c r="Z7" s="51">
        <f>-SUMIFS('Отчет 10-16.11'!P:P,'Отчет 10-16.11'!C:C,"Услуги доставки",'Отчет 10-16.11'!E:E,B7)</f>
        <v>184</v>
      </c>
      <c r="AA7" s="41">
        <v>0</v>
      </c>
      <c r="AB7" s="64"/>
      <c r="AC7" s="51"/>
      <c r="AD7" s="55">
        <f t="shared" si="7"/>
        <v>0</v>
      </c>
      <c r="AE7" s="56">
        <f t="shared" si="8"/>
        <v>-184</v>
      </c>
      <c r="AF7" s="55"/>
      <c r="AG7" s="57">
        <f t="shared" si="9"/>
        <v>0</v>
      </c>
      <c r="AH7" s="58">
        <f t="shared" si="10"/>
        <v>117.24</v>
      </c>
      <c r="AI7" s="58">
        <f t="shared" si="11"/>
        <v>0</v>
      </c>
      <c r="AJ7" s="58">
        <f t="shared" si="12"/>
        <v>184</v>
      </c>
      <c r="AK7" s="58">
        <f t="shared" si="13"/>
        <v>0</v>
      </c>
      <c r="AL7" s="58">
        <f t="array" ref="AL7">_xlfn.IFS(R7=0,AE7,R7&lt;0,AE7/-R7,R7&gt;0,AE7/R7)</f>
        <v>-184</v>
      </c>
      <c r="AM7" s="59">
        <f t="shared" si="14"/>
        <v>0</v>
      </c>
      <c r="AN7" s="60">
        <f t="shared" si="15"/>
        <v>-1.5694302285909247</v>
      </c>
      <c r="AP7" s="62">
        <f t="shared" si="16"/>
        <v>-157320</v>
      </c>
    </row>
    <row r="8" spans="1:42">
      <c r="A8" s="39">
        <v>3064334128</v>
      </c>
      <c r="B8" s="40" t="s">
        <v>1054</v>
      </c>
      <c r="C8" s="41">
        <v>400</v>
      </c>
      <c r="D8" s="42"/>
      <c r="E8" s="42"/>
      <c r="F8" s="42"/>
      <c r="G8" s="43"/>
      <c r="H8" s="44">
        <v>123</v>
      </c>
      <c r="I8" s="63">
        <f t="shared" si="0"/>
        <v>49200</v>
      </c>
      <c r="J8" s="45"/>
      <c r="K8" s="41">
        <v>0</v>
      </c>
      <c r="L8" s="45"/>
      <c r="M8" s="45"/>
      <c r="N8" s="46">
        <f t="shared" si="1"/>
        <v>0</v>
      </c>
      <c r="O8" s="47">
        <f t="shared" si="2"/>
        <v>0</v>
      </c>
      <c r="P8" s="48">
        <f>SUMIFS('Отчет 10-16.11'!H:H,'Отчет 10-16.11'!D:D,"Выручка",'Отчет 10-16.11'!E:E,B8)</f>
        <v>0</v>
      </c>
      <c r="Q8" s="48">
        <f>SUMIFS('Отчет 10-16.11'!H:H,'Отчет 10-16.11'!D:D,"Возврат выручки",'Отчет 10-16.11'!E:E,B8)</f>
        <v>0</v>
      </c>
      <c r="R8" s="49">
        <f t="shared" si="17"/>
        <v>0</v>
      </c>
      <c r="S8" s="50">
        <f>SUMIFS('Отчет 10-16.11'!P:P,'Отчет 10-16.11'!C:C,"Продажи",'Отчет 10-16.11'!E:E,B8)</f>
        <v>0</v>
      </c>
      <c r="T8" s="51">
        <f>SUMIFS('Отчет 10-16.11'!P:P,'Отчет 10-16.11'!C:C,"Возвраты",'Отчет 10-16.11'!E:E,B8)</f>
        <v>0</v>
      </c>
      <c r="U8" s="49">
        <f t="shared" si="18"/>
        <v>0</v>
      </c>
      <c r="V8" s="52">
        <f t="shared" si="19"/>
        <v>0</v>
      </c>
      <c r="W8" s="53">
        <f t="shared" si="5"/>
        <v>0</v>
      </c>
      <c r="X8" s="51">
        <f>-SUMIFS('Отчет 10-16.11'!P:P,'Отчет 10-16.11'!C:C,"Вознаграждение Ozon",'Отчет 10-16.11'!E:E,B8)</f>
        <v>0</v>
      </c>
      <c r="Y8" s="54">
        <f t="shared" si="20"/>
        <v>0</v>
      </c>
      <c r="Z8" s="51">
        <f>-SUMIFS('Отчет 10-16.11'!P:P,'Отчет 10-16.11'!C:C,"Услуги доставки",'Отчет 10-16.11'!E:E,B8)</f>
        <v>0</v>
      </c>
      <c r="AA8" s="41">
        <v>1413.153497</v>
      </c>
      <c r="AB8" s="64"/>
      <c r="AC8" s="51"/>
      <c r="AD8" s="55">
        <f t="shared" si="7"/>
        <v>0</v>
      </c>
      <c r="AE8" s="56">
        <f t="shared" si="8"/>
        <v>-1413.153497</v>
      </c>
      <c r="AF8" s="55"/>
      <c r="AG8" s="57">
        <f t="shared" si="9"/>
        <v>0</v>
      </c>
      <c r="AH8" s="58">
        <f t="shared" si="10"/>
        <v>123</v>
      </c>
      <c r="AI8" s="58">
        <f t="shared" si="11"/>
        <v>0</v>
      </c>
      <c r="AJ8" s="58">
        <f t="shared" si="12"/>
        <v>0</v>
      </c>
      <c r="AK8" s="58">
        <f t="shared" si="13"/>
        <v>0</v>
      </c>
      <c r="AL8" s="58">
        <f t="array" ref="AL8">_xlfn.IFS(R8=0,AE8,R8&lt;0,AE8/-R8,R8&gt;0,AE8/R8)</f>
        <v>-1413.153497</v>
      </c>
      <c r="AM8" s="59">
        <f t="shared" si="14"/>
        <v>0</v>
      </c>
      <c r="AN8" s="60">
        <f t="shared" si="15"/>
        <v>-11.489052821138211</v>
      </c>
      <c r="AP8" s="62">
        <f t="shared" si="16"/>
        <v>-565261.39879999997</v>
      </c>
    </row>
    <row r="9" spans="1:42">
      <c r="A9" s="39">
        <v>3064334311</v>
      </c>
      <c r="B9" s="40" t="s">
        <v>1055</v>
      </c>
      <c r="C9" s="41">
        <v>399</v>
      </c>
      <c r="D9" s="42"/>
      <c r="E9" s="42"/>
      <c r="F9" s="42"/>
      <c r="G9" s="43"/>
      <c r="H9" s="44">
        <v>123</v>
      </c>
      <c r="I9" s="63">
        <f t="shared" si="0"/>
        <v>49077</v>
      </c>
      <c r="J9" s="45"/>
      <c r="K9" s="41">
        <v>0</v>
      </c>
      <c r="L9" s="45"/>
      <c r="M9" s="45"/>
      <c r="N9" s="46">
        <f t="shared" si="1"/>
        <v>0</v>
      </c>
      <c r="O9" s="47">
        <f t="shared" si="2"/>
        <v>0</v>
      </c>
      <c r="P9" s="48">
        <f>SUMIFS('Отчет 10-16.11'!H:H,'Отчет 10-16.11'!D:D,"Выручка",'Отчет 10-16.11'!E:E,B9)</f>
        <v>0</v>
      </c>
      <c r="Q9" s="48">
        <f>SUMIFS('Отчет 10-16.11'!H:H,'Отчет 10-16.11'!D:D,"Возврат выручки",'Отчет 10-16.11'!E:E,B9)</f>
        <v>0</v>
      </c>
      <c r="R9" s="49">
        <f t="shared" si="17"/>
        <v>0</v>
      </c>
      <c r="S9" s="50">
        <f>SUMIFS('Отчет 10-16.11'!P:P,'Отчет 10-16.11'!C:C,"Продажи",'Отчет 10-16.11'!E:E,B9)</f>
        <v>0</v>
      </c>
      <c r="T9" s="51">
        <f>SUMIFS('Отчет 10-16.11'!P:P,'Отчет 10-16.11'!C:C,"Возвраты",'Отчет 10-16.11'!E:E,B9)</f>
        <v>0</v>
      </c>
      <c r="U9" s="49">
        <f t="shared" si="18"/>
        <v>0</v>
      </c>
      <c r="V9" s="52">
        <f t="shared" si="19"/>
        <v>0</v>
      </c>
      <c r="W9" s="53">
        <f t="shared" si="5"/>
        <v>0</v>
      </c>
      <c r="X9" s="51">
        <f>-SUMIFS('Отчет 10-16.11'!P:P,'Отчет 10-16.11'!C:C,"Вознаграждение Ozon",'Отчет 10-16.11'!E:E,B9)</f>
        <v>0</v>
      </c>
      <c r="Y9" s="54">
        <f t="shared" si="20"/>
        <v>0</v>
      </c>
      <c r="Z9" s="51">
        <f>-SUMIFS('Отчет 10-16.11'!P:P,'Отчет 10-16.11'!C:C,"Услуги доставки",'Отчет 10-16.11'!E:E,B9)</f>
        <v>0</v>
      </c>
      <c r="AA9" s="41">
        <v>0</v>
      </c>
      <c r="AB9" s="64"/>
      <c r="AC9" s="51"/>
      <c r="AD9" s="55">
        <f t="shared" si="7"/>
        <v>0</v>
      </c>
      <c r="AE9" s="56">
        <f t="shared" si="8"/>
        <v>0</v>
      </c>
      <c r="AF9" s="55"/>
      <c r="AG9" s="57">
        <f t="shared" si="9"/>
        <v>0</v>
      </c>
      <c r="AH9" s="58">
        <f t="shared" si="10"/>
        <v>123</v>
      </c>
      <c r="AI9" s="58">
        <f t="shared" si="11"/>
        <v>0</v>
      </c>
      <c r="AJ9" s="58">
        <f t="shared" si="12"/>
        <v>0</v>
      </c>
      <c r="AK9" s="58">
        <f t="shared" si="13"/>
        <v>0</v>
      </c>
      <c r="AL9" s="58">
        <f t="array" ref="AL9">_xlfn.IFS(R9=0,AE9,R9&lt;0,AE9/-R9,R9&gt;0,AE9/R9)</f>
        <v>0</v>
      </c>
      <c r="AM9" s="59">
        <f t="shared" si="14"/>
        <v>0</v>
      </c>
      <c r="AN9" s="60">
        <f t="shared" si="15"/>
        <v>0</v>
      </c>
      <c r="AP9" s="62">
        <f t="shared" si="16"/>
        <v>0</v>
      </c>
    </row>
    <row r="10" spans="1:42">
      <c r="A10" s="39">
        <v>2638291563</v>
      </c>
      <c r="B10" s="40" t="s">
        <v>88</v>
      </c>
      <c r="C10" s="41">
        <v>393</v>
      </c>
      <c r="D10" s="42"/>
      <c r="E10" s="42"/>
      <c r="F10" s="42"/>
      <c r="G10" s="43"/>
      <c r="H10" s="44">
        <v>169.89</v>
      </c>
      <c r="I10" s="63">
        <f t="shared" si="0"/>
        <v>66766.76999999999</v>
      </c>
      <c r="J10" s="45"/>
      <c r="K10" s="41">
        <v>6</v>
      </c>
      <c r="L10" s="45"/>
      <c r="M10" s="45"/>
      <c r="N10" s="46">
        <f t="shared" si="1"/>
        <v>0.8571428571428571</v>
      </c>
      <c r="O10" s="47">
        <f t="shared" si="2"/>
        <v>0.14285714285714285</v>
      </c>
      <c r="P10" s="48">
        <f>SUMIFS('Отчет 10-16.11'!H:H,'Отчет 10-16.11'!D:D,"Выручка",'Отчет 10-16.11'!E:E,B10)</f>
        <v>2</v>
      </c>
      <c r="Q10" s="48">
        <f>SUMIFS('Отчет 10-16.11'!H:H,'Отчет 10-16.11'!D:D,"Возврат выручки",'Отчет 10-16.11'!E:E,B10)</f>
        <v>1</v>
      </c>
      <c r="R10" s="49">
        <f t="shared" si="17"/>
        <v>1</v>
      </c>
      <c r="S10" s="50">
        <f>SUMIFS('Отчет 10-16.11'!P:P,'Отчет 10-16.11'!C:C,"Продажи",'Отчет 10-16.11'!E:E,B10)</f>
        <v>2672</v>
      </c>
      <c r="T10" s="51">
        <f>SUMIFS('Отчет 10-16.11'!P:P,'Отчет 10-16.11'!C:C,"Возвраты",'Отчет 10-16.11'!E:E,B10)</f>
        <v>-1364</v>
      </c>
      <c r="U10" s="49">
        <f t="shared" si="18"/>
        <v>1308</v>
      </c>
      <c r="V10" s="52">
        <f t="shared" si="19"/>
        <v>6.6140776699029125E-2</v>
      </c>
      <c r="W10" s="53">
        <f t="shared" si="5"/>
        <v>169.89</v>
      </c>
      <c r="X10" s="51">
        <f>-SUMIFS('Отчет 10-16.11'!P:P,'Отчет 10-16.11'!C:C,"Вознаграждение Ozon",'Отчет 10-16.11'!E:E,B10)</f>
        <v>630.64</v>
      </c>
      <c r="Y10" s="54">
        <f t="shared" si="20"/>
        <v>0.48214067278287459</v>
      </c>
      <c r="Z10" s="51">
        <f>-SUMIFS('Отчет 10-16.11'!P:P,'Отчет 10-16.11'!C:C,"Услуги доставки",'Отчет 10-16.11'!E:E,B10)</f>
        <v>414</v>
      </c>
      <c r="AA10" s="41">
        <v>1543.3208999999999</v>
      </c>
      <c r="AB10" s="64"/>
      <c r="AC10" s="51"/>
      <c r="AD10" s="55">
        <f t="shared" si="7"/>
        <v>78.48</v>
      </c>
      <c r="AE10" s="56">
        <f t="shared" si="8"/>
        <v>-1528.3308999999999</v>
      </c>
      <c r="AF10" s="55"/>
      <c r="AG10" s="57">
        <f t="shared" si="9"/>
        <v>1308</v>
      </c>
      <c r="AH10" s="58">
        <f t="shared" si="10"/>
        <v>169.89</v>
      </c>
      <c r="AI10" s="58">
        <f t="shared" si="11"/>
        <v>630.64</v>
      </c>
      <c r="AJ10" s="58">
        <f t="shared" si="12"/>
        <v>207</v>
      </c>
      <c r="AK10" s="58">
        <f t="shared" si="13"/>
        <v>771.66044999999997</v>
      </c>
      <c r="AL10" s="58">
        <f t="array" ref="AL10">_xlfn.IFS(R10=0,AE10,R10&lt;0,AE10/-R10,R10&gt;0,AE10/R10)</f>
        <v>-1528.3308999999999</v>
      </c>
      <c r="AM10" s="59">
        <f t="shared" si="14"/>
        <v>-1.1684487003058104</v>
      </c>
      <c r="AN10" s="60">
        <f t="shared" si="15"/>
        <v>-8.9960027076343518</v>
      </c>
      <c r="AP10" s="62">
        <f t="shared" si="16"/>
        <v>-600634.04369999992</v>
      </c>
    </row>
    <row r="11" spans="1:42">
      <c r="A11" s="39">
        <v>2730130733</v>
      </c>
      <c r="B11" s="40" t="s">
        <v>224</v>
      </c>
      <c r="C11" s="41">
        <v>47</v>
      </c>
      <c r="D11" s="42"/>
      <c r="E11" s="42"/>
      <c r="F11" s="42"/>
      <c r="G11" s="43"/>
      <c r="H11" s="44">
        <v>169.89</v>
      </c>
      <c r="I11" s="63">
        <f t="shared" si="0"/>
        <v>7984.829999999999</v>
      </c>
      <c r="J11" s="45"/>
      <c r="K11" s="41">
        <v>1</v>
      </c>
      <c r="L11" s="45"/>
      <c r="M11" s="45"/>
      <c r="N11" s="46">
        <f t="shared" si="1"/>
        <v>0.14285714285714285</v>
      </c>
      <c r="O11" s="47">
        <f t="shared" si="2"/>
        <v>0.14285714285714285</v>
      </c>
      <c r="P11" s="48">
        <f>SUMIFS('Отчет 10-16.11'!H:H,'Отчет 10-16.11'!D:D,"Выручка",'Отчет 10-16.11'!E:E,B11)</f>
        <v>1</v>
      </c>
      <c r="Q11" s="48">
        <f>SUMIFS('Отчет 10-16.11'!H:H,'Отчет 10-16.11'!D:D,"Возврат выручки",'Отчет 10-16.11'!E:E,B11)</f>
        <v>0</v>
      </c>
      <c r="R11" s="49">
        <f t="shared" si="17"/>
        <v>1</v>
      </c>
      <c r="S11" s="50">
        <f>SUMIFS('Отчет 10-16.11'!P:P,'Отчет 10-16.11'!C:C,"Продажи",'Отчет 10-16.11'!E:E,B11)</f>
        <v>1800</v>
      </c>
      <c r="T11" s="51">
        <f>SUMIFS('Отчет 10-16.11'!P:P,'Отчет 10-16.11'!C:C,"Возвраты",'Отчет 10-16.11'!E:E,B11)</f>
        <v>0</v>
      </c>
      <c r="U11" s="49">
        <f t="shared" si="18"/>
        <v>1800</v>
      </c>
      <c r="V11" s="52">
        <f t="shared" si="19"/>
        <v>9.1019417475728157E-2</v>
      </c>
      <c r="W11" s="53">
        <f t="shared" si="5"/>
        <v>169.89</v>
      </c>
      <c r="X11" s="51">
        <f>-SUMIFS('Отчет 10-16.11'!P:P,'Отчет 10-16.11'!C:C,"Вознаграждение Ozon",'Отчет 10-16.11'!E:E,B11)</f>
        <v>774</v>
      </c>
      <c r="Y11" s="54">
        <f t="shared" si="20"/>
        <v>0.43</v>
      </c>
      <c r="Z11" s="51">
        <f>-SUMIFS('Отчет 10-16.11'!P:P,'Отчет 10-16.11'!C:C,"Услуги доставки",'Отчет 10-16.11'!E:E,B11)</f>
        <v>46</v>
      </c>
      <c r="AA11" s="41">
        <v>0</v>
      </c>
      <c r="AB11" s="64"/>
      <c r="AC11" s="51"/>
      <c r="AD11" s="55">
        <f t="shared" si="7"/>
        <v>108</v>
      </c>
      <c r="AE11" s="56">
        <f t="shared" si="8"/>
        <v>702.11000000000013</v>
      </c>
      <c r="AF11" s="55"/>
      <c r="AG11" s="57">
        <f t="shared" si="9"/>
        <v>1800</v>
      </c>
      <c r="AH11" s="58">
        <f t="shared" si="10"/>
        <v>169.89</v>
      </c>
      <c r="AI11" s="58">
        <f t="shared" si="11"/>
        <v>774</v>
      </c>
      <c r="AJ11" s="58">
        <f t="shared" si="12"/>
        <v>46</v>
      </c>
      <c r="AK11" s="58">
        <f t="shared" si="13"/>
        <v>0</v>
      </c>
      <c r="AL11" s="58">
        <f t="array" ref="AL11">_xlfn.IFS(R11=0,AE11,R11&lt;0,AE11/-R11,R11&gt;0,AE11/R11)</f>
        <v>702.11000000000013</v>
      </c>
      <c r="AM11" s="59">
        <f t="shared" si="14"/>
        <v>0.39006111111111119</v>
      </c>
      <c r="AN11" s="60">
        <f t="shared" si="15"/>
        <v>4.1327329448466665</v>
      </c>
      <c r="AP11" s="62">
        <f t="shared" si="16"/>
        <v>32999.170000000006</v>
      </c>
    </row>
    <row r="12" spans="1:42">
      <c r="A12" s="39">
        <v>2730131249</v>
      </c>
      <c r="B12" s="40" t="s">
        <v>225</v>
      </c>
      <c r="C12" s="41">
        <v>46</v>
      </c>
      <c r="D12" s="42"/>
      <c r="E12" s="42"/>
      <c r="F12" s="42"/>
      <c r="G12" s="43"/>
      <c r="H12" s="44">
        <v>169.89</v>
      </c>
      <c r="I12" s="63">
        <f t="shared" si="0"/>
        <v>7814.94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10-16.11'!H:H,'Отчет 10-16.11'!D:D,"Выручка",'Отчет 10-16.11'!E:E,B12)</f>
        <v>0</v>
      </c>
      <c r="Q12" s="48">
        <f>SUMIFS('Отчет 10-16.11'!H:H,'Отчет 10-16.11'!D:D,"Возврат выручки",'Отчет 10-16.11'!E:E,B12)</f>
        <v>0</v>
      </c>
      <c r="R12" s="49">
        <f t="shared" si="17"/>
        <v>0</v>
      </c>
      <c r="S12" s="50">
        <f>SUMIFS('Отчет 10-16.11'!P:P,'Отчет 10-16.11'!C:C,"Продажи",'Отчет 10-16.11'!E:E,B12)</f>
        <v>0</v>
      </c>
      <c r="T12" s="51">
        <f>SUMIFS('Отчет 10-16.11'!P:P,'Отчет 10-16.11'!C:C,"Возвраты",'Отчет 10-16.11'!E:E,B12)</f>
        <v>0</v>
      </c>
      <c r="U12" s="49">
        <f t="shared" si="18"/>
        <v>0</v>
      </c>
      <c r="V12" s="52">
        <f t="shared" si="19"/>
        <v>0</v>
      </c>
      <c r="W12" s="53">
        <f t="shared" si="5"/>
        <v>0</v>
      </c>
      <c r="X12" s="51">
        <f>-SUMIFS('Отчет 10-16.11'!P:P,'Отчет 10-16.11'!C:C,"Вознаграждение Ozon",'Отчет 10-16.11'!E:E,B12)</f>
        <v>0</v>
      </c>
      <c r="Y12" s="54">
        <f t="shared" si="20"/>
        <v>0</v>
      </c>
      <c r="Z12" s="51">
        <f>-SUMIFS('Отчет 10-16.11'!P:P,'Отчет 10-16.11'!C:C,"Услуги доставки",'Отчет 10-16.11'!E:E,B12)</f>
        <v>0</v>
      </c>
      <c r="AA12" s="41">
        <v>0</v>
      </c>
      <c r="AB12" s="64"/>
      <c r="AC12" s="51"/>
      <c r="AD12" s="55">
        <f t="shared" si="7"/>
        <v>0</v>
      </c>
      <c r="AE12" s="56">
        <f t="shared" si="8"/>
        <v>0</v>
      </c>
      <c r="AF12" s="55"/>
      <c r="AG12" s="57">
        <f t="shared" si="9"/>
        <v>0</v>
      </c>
      <c r="AH12" s="58">
        <f t="shared" si="10"/>
        <v>169.89</v>
      </c>
      <c r="AI12" s="58">
        <f t="shared" si="11"/>
        <v>0</v>
      </c>
      <c r="AJ12" s="58">
        <f t="shared" si="12"/>
        <v>0</v>
      </c>
      <c r="AK12" s="58">
        <f t="shared" si="13"/>
        <v>0</v>
      </c>
      <c r="AL12" s="58">
        <f t="array" ref="AL12">_xlfn.IFS(R12=0,AE12,R12&lt;0,AE12/-R12,R12&gt;0,AE12/R12)</f>
        <v>0</v>
      </c>
      <c r="AM12" s="59">
        <f t="shared" si="14"/>
        <v>0</v>
      </c>
      <c r="AN12" s="60">
        <f t="shared" si="15"/>
        <v>0</v>
      </c>
      <c r="AP12" s="62">
        <f t="shared" si="16"/>
        <v>0</v>
      </c>
    </row>
    <row r="13" spans="1:42">
      <c r="A13" s="39">
        <v>2730130553</v>
      </c>
      <c r="B13" s="40" t="s">
        <v>226</v>
      </c>
      <c r="C13" s="41">
        <v>40</v>
      </c>
      <c r="D13" s="42"/>
      <c r="E13" s="42"/>
      <c r="F13" s="42"/>
      <c r="G13" s="43"/>
      <c r="H13" s="44">
        <v>169.89</v>
      </c>
      <c r="I13" s="63">
        <f t="shared" si="0"/>
        <v>6795.5999999999995</v>
      </c>
      <c r="J13" s="45"/>
      <c r="K13" s="41">
        <v>1</v>
      </c>
      <c r="L13" s="45"/>
      <c r="M13" s="45"/>
      <c r="N13" s="46">
        <f t="shared" si="1"/>
        <v>0.14285714285714285</v>
      </c>
      <c r="O13" s="47">
        <f t="shared" si="2"/>
        <v>0.2857142857142857</v>
      </c>
      <c r="P13" s="48">
        <f>SUMIFS('Отчет 10-16.11'!H:H,'Отчет 10-16.11'!D:D,"Выручка",'Отчет 10-16.11'!E:E,B13)</f>
        <v>2</v>
      </c>
      <c r="Q13" s="48">
        <f>SUMIFS('Отчет 10-16.11'!H:H,'Отчет 10-16.11'!D:D,"Возврат выручки",'Отчет 10-16.11'!E:E,B13)</f>
        <v>0</v>
      </c>
      <c r="R13" s="49">
        <f t="shared" si="17"/>
        <v>2</v>
      </c>
      <c r="S13" s="50">
        <f>SUMIFS('Отчет 10-16.11'!P:P,'Отчет 10-16.11'!C:C,"Продажи",'Отчет 10-16.11'!E:E,B13)</f>
        <v>3600</v>
      </c>
      <c r="T13" s="51">
        <f>SUMIFS('Отчет 10-16.11'!P:P,'Отчет 10-16.11'!C:C,"Возвраты",'Отчет 10-16.11'!E:E,B13)</f>
        <v>0</v>
      </c>
      <c r="U13" s="49">
        <f t="shared" si="18"/>
        <v>3600</v>
      </c>
      <c r="V13" s="52">
        <f t="shared" si="19"/>
        <v>0.18203883495145631</v>
      </c>
      <c r="W13" s="53">
        <f t="shared" si="5"/>
        <v>339.78</v>
      </c>
      <c r="X13" s="51">
        <f>-SUMIFS('Отчет 10-16.11'!P:P,'Отчет 10-16.11'!C:C,"Вознаграждение Ozon",'Отчет 10-16.11'!E:E,B13)</f>
        <v>1458</v>
      </c>
      <c r="Y13" s="54">
        <f t="shared" si="20"/>
        <v>0.40500000000000003</v>
      </c>
      <c r="Z13" s="51">
        <f>-SUMIFS('Отчет 10-16.11'!P:P,'Отчет 10-16.11'!C:C,"Услуги доставки",'Отчет 10-16.11'!E:E,B13)</f>
        <v>173.6</v>
      </c>
      <c r="AA13" s="41">
        <v>414</v>
      </c>
      <c r="AB13" s="64"/>
      <c r="AC13" s="51"/>
      <c r="AD13" s="55">
        <f t="shared" si="7"/>
        <v>216</v>
      </c>
      <c r="AE13" s="56">
        <f t="shared" si="8"/>
        <v>998.62000000000035</v>
      </c>
      <c r="AF13" s="55"/>
      <c r="AG13" s="57">
        <f t="shared" si="9"/>
        <v>1800</v>
      </c>
      <c r="AH13" s="58">
        <f t="shared" si="10"/>
        <v>169.89</v>
      </c>
      <c r="AI13" s="58">
        <f t="shared" si="11"/>
        <v>729</v>
      </c>
      <c r="AJ13" s="58">
        <f t="shared" si="12"/>
        <v>86.8</v>
      </c>
      <c r="AK13" s="58">
        <f t="shared" si="13"/>
        <v>207</v>
      </c>
      <c r="AL13" s="58">
        <f t="array" ref="AL13">_xlfn.IFS(R13=0,AE13,R13&lt;0,AE13/-R13,R13&gt;0,AE13/R13)</f>
        <v>499.31000000000017</v>
      </c>
      <c r="AM13" s="59">
        <f t="shared" si="14"/>
        <v>0.27739444444444455</v>
      </c>
      <c r="AN13" s="60">
        <f t="shared" si="15"/>
        <v>2.9390193654717769</v>
      </c>
      <c r="AP13" s="62">
        <f t="shared" si="16"/>
        <v>19972.400000000009</v>
      </c>
    </row>
    <row r="14" spans="1:42" ht="13.75" customHeight="1">
      <c r="A14" s="39">
        <v>2730129638</v>
      </c>
      <c r="B14" s="40" t="s">
        <v>227</v>
      </c>
      <c r="C14" s="41">
        <v>11</v>
      </c>
      <c r="D14" s="42"/>
      <c r="E14" s="42"/>
      <c r="F14" s="42"/>
      <c r="G14" s="43"/>
      <c r="H14" s="44">
        <v>169.89</v>
      </c>
      <c r="I14" s="63">
        <f t="shared" si="0"/>
        <v>1868.79</v>
      </c>
      <c r="J14" s="45"/>
      <c r="K14" s="41">
        <v>1</v>
      </c>
      <c r="L14" s="45"/>
      <c r="M14" s="45"/>
      <c r="N14" s="46">
        <f t="shared" si="1"/>
        <v>0.14285714285714285</v>
      </c>
      <c r="O14" s="47">
        <f t="shared" si="2"/>
        <v>0.14285714285714285</v>
      </c>
      <c r="P14" s="48">
        <f>SUMIFS('Отчет 10-16.11'!H:H,'Отчет 10-16.11'!D:D,"Выручка",'Отчет 10-16.11'!E:E,B14)</f>
        <v>1</v>
      </c>
      <c r="Q14" s="48">
        <f>SUMIFS('Отчет 10-16.11'!H:H,'Отчет 10-16.11'!D:D,"Возврат выручки",'Отчет 10-16.11'!E:E,B14)</f>
        <v>0</v>
      </c>
      <c r="R14" s="49">
        <f t="shared" si="17"/>
        <v>1</v>
      </c>
      <c r="S14" s="50">
        <f>SUMIFS('Отчет 10-16.11'!P:P,'Отчет 10-16.11'!C:C,"Продажи",'Отчет 10-16.11'!E:E,B14)</f>
        <v>1800</v>
      </c>
      <c r="T14" s="51">
        <f>SUMIFS('Отчет 10-16.11'!P:P,'Отчет 10-16.11'!C:C,"Возвраты",'Отчет 10-16.11'!E:E,B14)</f>
        <v>0</v>
      </c>
      <c r="U14" s="49">
        <f t="shared" si="18"/>
        <v>1800</v>
      </c>
      <c r="V14" s="52">
        <f t="shared" si="19"/>
        <v>9.1019417475728157E-2</v>
      </c>
      <c r="W14" s="53">
        <f t="shared" si="5"/>
        <v>169.89</v>
      </c>
      <c r="X14" s="51">
        <f>-SUMIFS('Отчет 10-16.11'!P:P,'Отчет 10-16.11'!C:C,"Вознаграждение Ozon",'Отчет 10-16.11'!E:E,B14)</f>
        <v>774</v>
      </c>
      <c r="Y14" s="54">
        <f t="shared" si="20"/>
        <v>0.43</v>
      </c>
      <c r="Z14" s="51">
        <f>-SUMIFS('Отчет 10-16.11'!P:P,'Отчет 10-16.11'!C:C,"Услуги доставки",'Отчет 10-16.11'!E:E,B14)</f>
        <v>46</v>
      </c>
      <c r="AA14" s="41">
        <v>0</v>
      </c>
      <c r="AB14" s="64"/>
      <c r="AC14" s="51"/>
      <c r="AD14" s="55">
        <f t="shared" si="7"/>
        <v>108</v>
      </c>
      <c r="AE14" s="56">
        <f t="shared" si="8"/>
        <v>702.11000000000013</v>
      </c>
      <c r="AF14" s="55"/>
      <c r="AG14" s="57">
        <f t="shared" si="9"/>
        <v>1800</v>
      </c>
      <c r="AH14" s="58">
        <f t="shared" si="10"/>
        <v>169.89</v>
      </c>
      <c r="AI14" s="58">
        <f t="shared" si="11"/>
        <v>774</v>
      </c>
      <c r="AJ14" s="58">
        <f t="shared" si="12"/>
        <v>46</v>
      </c>
      <c r="AK14" s="58">
        <f t="shared" si="13"/>
        <v>0</v>
      </c>
      <c r="AL14" s="58">
        <f t="array" ref="AL14">_xlfn.IFS(R14=0,AE14,R14&lt;0,AE14/-R14,R14&gt;0,AE14/R14)</f>
        <v>702.11000000000013</v>
      </c>
      <c r="AM14" s="59">
        <f t="shared" si="14"/>
        <v>0.39006111111111119</v>
      </c>
      <c r="AN14" s="60">
        <f t="shared" si="15"/>
        <v>4.1327329448466665</v>
      </c>
      <c r="AP14" s="62">
        <f t="shared" si="16"/>
        <v>7723.2100000000009</v>
      </c>
    </row>
    <row r="15" spans="1:42" ht="13.75" customHeight="1">
      <c r="A15" s="39">
        <v>2730130141</v>
      </c>
      <c r="B15" s="40" t="s">
        <v>228</v>
      </c>
      <c r="C15" s="41">
        <v>43</v>
      </c>
      <c r="D15" s="42"/>
      <c r="E15" s="42"/>
      <c r="F15" s="42"/>
      <c r="G15" s="43"/>
      <c r="H15" s="44">
        <v>169.89</v>
      </c>
      <c r="I15" s="63">
        <f t="shared" si="0"/>
        <v>7305.2699999999995</v>
      </c>
      <c r="J15" s="45"/>
      <c r="K15" s="41">
        <v>2</v>
      </c>
      <c r="L15" s="45"/>
      <c r="M15" s="45"/>
      <c r="N15" s="46">
        <f t="shared" si="1"/>
        <v>0.2857142857142857</v>
      </c>
      <c r="O15" s="47">
        <f t="shared" si="2"/>
        <v>0.14285714285714285</v>
      </c>
      <c r="P15" s="48">
        <f>SUMIFS('Отчет 10-16.11'!H:H,'Отчет 10-16.11'!D:D,"Выручка",'Отчет 10-16.11'!E:E,B15)</f>
        <v>1</v>
      </c>
      <c r="Q15" s="48">
        <f>SUMIFS('Отчет 10-16.11'!H:H,'Отчет 10-16.11'!D:D,"Возврат выручки",'Отчет 10-16.11'!E:E,B15)</f>
        <v>0</v>
      </c>
      <c r="R15" s="49">
        <f t="shared" si="17"/>
        <v>1</v>
      </c>
      <c r="S15" s="50">
        <f>SUMIFS('Отчет 10-16.11'!P:P,'Отчет 10-16.11'!C:C,"Продажи",'Отчет 10-16.11'!E:E,B15)</f>
        <v>1800</v>
      </c>
      <c r="T15" s="51">
        <f>SUMIFS('Отчет 10-16.11'!P:P,'Отчет 10-16.11'!C:C,"Возвраты",'Отчет 10-16.11'!E:E,B15)</f>
        <v>0</v>
      </c>
      <c r="U15" s="49">
        <f t="shared" si="18"/>
        <v>1800</v>
      </c>
      <c r="V15" s="52">
        <f t="shared" si="19"/>
        <v>9.1019417475728157E-2</v>
      </c>
      <c r="W15" s="53">
        <f t="shared" si="5"/>
        <v>169.89</v>
      </c>
      <c r="X15" s="51">
        <f>-SUMIFS('Отчет 10-16.11'!P:P,'Отчет 10-16.11'!C:C,"Вознаграждение Ozon",'Отчет 10-16.11'!E:E,B15)</f>
        <v>684</v>
      </c>
      <c r="Y15" s="54">
        <f t="shared" si="20"/>
        <v>0.38</v>
      </c>
      <c r="Z15" s="51">
        <f>-SUMIFS('Отчет 10-16.11'!P:P,'Отчет 10-16.11'!C:C,"Услуги доставки",'Отчет 10-16.11'!E:E,B15)</f>
        <v>138</v>
      </c>
      <c r="AA15" s="41">
        <v>2527.4694300000001</v>
      </c>
      <c r="AB15" s="64"/>
      <c r="AC15" s="51"/>
      <c r="AD15" s="55">
        <f t="shared" si="7"/>
        <v>108</v>
      </c>
      <c r="AE15" s="56">
        <f t="shared" si="8"/>
        <v>-1827.35943</v>
      </c>
      <c r="AF15" s="55"/>
      <c r="AG15" s="57">
        <f t="shared" si="9"/>
        <v>1800</v>
      </c>
      <c r="AH15" s="58">
        <f t="shared" si="10"/>
        <v>169.89</v>
      </c>
      <c r="AI15" s="58">
        <f t="shared" si="11"/>
        <v>684</v>
      </c>
      <c r="AJ15" s="58">
        <f t="shared" si="12"/>
        <v>138</v>
      </c>
      <c r="AK15" s="58">
        <f t="shared" si="13"/>
        <v>2527.4694300000001</v>
      </c>
      <c r="AL15" s="58">
        <f t="array" ref="AL15">_xlfn.IFS(R15=0,AE15,R15&lt;0,AE15/-R15,R15&gt;0,AE15/R15)</f>
        <v>-1827.35943</v>
      </c>
      <c r="AM15" s="59">
        <f t="shared" si="14"/>
        <v>-1.0151996833333332</v>
      </c>
      <c r="AN15" s="60">
        <f t="shared" si="15"/>
        <v>-10.756132968391313</v>
      </c>
      <c r="AP15" s="62">
        <f t="shared" si="16"/>
        <v>-78576.455489999993</v>
      </c>
    </row>
    <row r="16" spans="1:42" ht="13.75" customHeight="1">
      <c r="A16" s="39">
        <v>2730129805</v>
      </c>
      <c r="B16" s="40" t="s">
        <v>19</v>
      </c>
      <c r="C16" s="41">
        <v>26</v>
      </c>
      <c r="D16" s="42"/>
      <c r="E16" s="42"/>
      <c r="F16" s="42"/>
      <c r="G16" s="43"/>
      <c r="H16" s="44">
        <v>169.89</v>
      </c>
      <c r="I16" s="63">
        <f t="shared" si="0"/>
        <v>4417.1399999999994</v>
      </c>
      <c r="J16" s="45"/>
      <c r="K16" s="41">
        <v>1</v>
      </c>
      <c r="L16" s="45"/>
      <c r="M16" s="45"/>
      <c r="N16" s="46">
        <f t="shared" si="1"/>
        <v>0.14285714285714285</v>
      </c>
      <c r="O16" s="47">
        <f t="shared" si="2"/>
        <v>0</v>
      </c>
      <c r="P16" s="48">
        <f>SUMIFS('Отчет 10-16.11'!H:H,'Отчет 10-16.11'!D:D,"Выручка",'Отчет 10-16.11'!E:E,B16)</f>
        <v>0</v>
      </c>
      <c r="Q16" s="48">
        <f>SUMIFS('Отчет 10-16.11'!H:H,'Отчет 10-16.11'!D:D,"Возврат выручки",'Отчет 10-16.11'!E:E,B16)</f>
        <v>0</v>
      </c>
      <c r="R16" s="49">
        <f t="shared" si="17"/>
        <v>0</v>
      </c>
      <c r="S16" s="50">
        <f>SUMIFS('Отчет 10-16.11'!P:P,'Отчет 10-16.11'!C:C,"Продажи",'Отчет 10-16.11'!E:E,B16)</f>
        <v>0</v>
      </c>
      <c r="T16" s="51">
        <f>SUMIFS('Отчет 10-16.11'!P:P,'Отчет 10-16.11'!C:C,"Возвраты",'Отчет 10-16.11'!E:E,B16)</f>
        <v>0</v>
      </c>
      <c r="U16" s="49">
        <f t="shared" si="18"/>
        <v>0</v>
      </c>
      <c r="V16" s="52">
        <f t="shared" si="19"/>
        <v>0</v>
      </c>
      <c r="W16" s="53">
        <f t="shared" si="5"/>
        <v>0</v>
      </c>
      <c r="X16" s="51">
        <f>-SUMIFS('Отчет 10-16.11'!P:P,'Отчет 10-16.11'!C:C,"Вознаграждение Ozon",'Отчет 10-16.11'!E:E,B16)</f>
        <v>0</v>
      </c>
      <c r="Y16" s="54">
        <f t="shared" si="20"/>
        <v>0</v>
      </c>
      <c r="Z16" s="51">
        <f>-SUMIFS('Отчет 10-16.11'!P:P,'Отчет 10-16.11'!C:C,"Услуги доставки",'Отчет 10-16.11'!E:E,B16)</f>
        <v>0</v>
      </c>
      <c r="AA16" s="41">
        <v>414</v>
      </c>
      <c r="AB16" s="64"/>
      <c r="AC16" s="51"/>
      <c r="AD16" s="55">
        <f t="shared" si="7"/>
        <v>0</v>
      </c>
      <c r="AE16" s="56">
        <f t="shared" si="8"/>
        <v>-414</v>
      </c>
      <c r="AF16" s="55"/>
      <c r="AG16" s="57">
        <f t="shared" si="9"/>
        <v>0</v>
      </c>
      <c r="AH16" s="58">
        <f t="shared" si="10"/>
        <v>169.89</v>
      </c>
      <c r="AI16" s="58">
        <f t="shared" si="11"/>
        <v>0</v>
      </c>
      <c r="AJ16" s="58">
        <f t="shared" si="12"/>
        <v>0</v>
      </c>
      <c r="AK16" s="58">
        <f t="shared" si="13"/>
        <v>0</v>
      </c>
      <c r="AL16" s="58">
        <f t="array" ref="AL16">_xlfn.IFS(R16=0,AE16,R16&lt;0,AE16/-R16,R16&gt;0,AE16/R16)</f>
        <v>-414</v>
      </c>
      <c r="AM16" s="59">
        <f t="shared" si="14"/>
        <v>0</v>
      </c>
      <c r="AN16" s="60">
        <f t="shared" si="15"/>
        <v>-2.4368709164753666</v>
      </c>
      <c r="AP16" s="62">
        <f t="shared" si="16"/>
        <v>-10764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0"/>
        <v>2005.64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</v>
      </c>
      <c r="P17" s="48">
        <f>SUMIFS('Отчет 10-16.11'!H:H,'Отчет 10-16.11'!D:D,"Выручка",'Отчет 10-16.11'!E:E,B17)</f>
        <v>0</v>
      </c>
      <c r="Q17" s="48">
        <f>SUMIFS('Отчет 10-16.11'!H:H,'Отчет 10-16.11'!D:D,"Возврат выручки",'Отчет 10-16.11'!E:E,B17)</f>
        <v>0</v>
      </c>
      <c r="R17" s="49">
        <f t="shared" si="17"/>
        <v>0</v>
      </c>
      <c r="S17" s="50">
        <f>SUMIFS('Отчет 10-16.11'!P:P,'Отчет 10-16.11'!C:C,"Продажи",'Отчет 10-16.11'!E:E,B17)</f>
        <v>0</v>
      </c>
      <c r="T17" s="51">
        <f>SUMIFS('Отчет 10-16.11'!P:P,'Отчет 10-16.11'!C:C,"Возвраты",'Отчет 10-16.11'!E:E,B17)</f>
        <v>0</v>
      </c>
      <c r="U17" s="49">
        <f t="shared" si="18"/>
        <v>0</v>
      </c>
      <c r="V17" s="52">
        <f t="shared" si="19"/>
        <v>0</v>
      </c>
      <c r="W17" s="53">
        <f t="shared" si="5"/>
        <v>0</v>
      </c>
      <c r="X17" s="51">
        <f>-SUMIFS('Отчет 10-16.11'!P:P,'Отчет 10-16.11'!C:C,"Вознаграждение Ozon",'Отчет 10-16.11'!E:E,B17)</f>
        <v>0</v>
      </c>
      <c r="Y17" s="54">
        <f t="shared" si="20"/>
        <v>0</v>
      </c>
      <c r="Z17" s="51">
        <f>-SUMIFS('Отчет 10-16.11'!P:P,'Отчет 10-16.11'!C:C,"Услуги доставки",'Отчет 10-16.11'!E:E,B17)</f>
        <v>0</v>
      </c>
      <c r="AA17" s="41">
        <v>0</v>
      </c>
      <c r="AB17" s="64"/>
      <c r="AC17" s="51"/>
      <c r="AD17" s="55">
        <f t="shared" si="7"/>
        <v>0</v>
      </c>
      <c r="AE17" s="56">
        <f t="shared" si="8"/>
        <v>0</v>
      </c>
      <c r="AF17" s="55"/>
      <c r="AG17" s="57">
        <f t="shared" si="9"/>
        <v>0</v>
      </c>
      <c r="AH17" s="58">
        <f t="shared" si="10"/>
        <v>1002.82</v>
      </c>
      <c r="AI17" s="58">
        <f t="shared" si="11"/>
        <v>0</v>
      </c>
      <c r="AJ17" s="58">
        <f t="shared" si="12"/>
        <v>0</v>
      </c>
      <c r="AK17" s="58">
        <f t="shared" si="13"/>
        <v>0</v>
      </c>
      <c r="AL17" s="58">
        <f t="array" ref="AL17">_xlfn.IFS(R17=0,AE17,R17&lt;0,AE17/-R17,R17&gt;0,AE17/R17)</f>
        <v>0</v>
      </c>
      <c r="AM17" s="59">
        <f t="shared" si="14"/>
        <v>0</v>
      </c>
      <c r="AN17" s="60">
        <f t="shared" si="15"/>
        <v>0</v>
      </c>
      <c r="AP17" s="62">
        <f t="shared" si="16"/>
        <v>0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0"/>
        <v>909.22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10-16.11'!H:H,'Отчет 10-16.11'!D:D,"Выручка",'Отчет 10-16.11'!E:E,B18)</f>
        <v>0</v>
      </c>
      <c r="Q18" s="48">
        <f>SUMIFS('Отчет 10-16.11'!H:H,'Отчет 10-16.11'!D:D,"Возврат выручки",'Отчет 10-16.11'!E:E,B18)</f>
        <v>0</v>
      </c>
      <c r="R18" s="49">
        <f t="shared" si="17"/>
        <v>0</v>
      </c>
      <c r="S18" s="50">
        <f>SUMIFS('Отчет 10-16.11'!P:P,'Отчет 10-16.11'!C:C,"Продажи",'Отчет 10-16.11'!E:E,B18)</f>
        <v>0</v>
      </c>
      <c r="T18" s="51">
        <f>SUMIFS('Отчет 10-16.11'!P:P,'Отчет 10-16.11'!C:C,"Возвраты",'Отчет 10-16.11'!E:E,B18)</f>
        <v>0</v>
      </c>
      <c r="U18" s="49">
        <f t="shared" si="18"/>
        <v>0</v>
      </c>
      <c r="V18" s="52">
        <f t="shared" si="19"/>
        <v>0</v>
      </c>
      <c r="W18" s="53">
        <f t="shared" si="5"/>
        <v>0</v>
      </c>
      <c r="X18" s="51">
        <f>-SUMIFS('Отчет 10-16.11'!P:P,'Отчет 10-16.11'!C:C,"Вознаграждение Ozon",'Отчет 10-16.11'!E:E,B18)</f>
        <v>0</v>
      </c>
      <c r="Y18" s="54">
        <f t="shared" si="20"/>
        <v>0</v>
      </c>
      <c r="Z18" s="51">
        <f>-SUMIFS('Отчет 10-16.11'!P:P,'Отчет 10-16.11'!C:C,"Услуги доставки",'Отчет 10-16.11'!E:E,B18)</f>
        <v>0</v>
      </c>
      <c r="AA18" s="41">
        <v>0</v>
      </c>
      <c r="AB18" s="64"/>
      <c r="AC18" s="51"/>
      <c r="AD18" s="55">
        <f t="shared" si="7"/>
        <v>0</v>
      </c>
      <c r="AE18" s="56">
        <f t="shared" si="8"/>
        <v>0</v>
      </c>
      <c r="AF18" s="55"/>
      <c r="AG18" s="57">
        <f t="shared" si="9"/>
        <v>0</v>
      </c>
      <c r="AH18" s="58">
        <f t="shared" si="10"/>
        <v>909.22</v>
      </c>
      <c r="AI18" s="58">
        <f t="shared" si="11"/>
        <v>0</v>
      </c>
      <c r="AJ18" s="58">
        <f t="shared" si="12"/>
        <v>0</v>
      </c>
      <c r="AK18" s="58">
        <f t="shared" si="13"/>
        <v>0</v>
      </c>
      <c r="AL18" s="58">
        <f t="array" ref="AL18">_xlfn.IFS(R18=0,AE18,R18&lt;0,AE18/-R18,R18&gt;0,AE18/R18)</f>
        <v>0</v>
      </c>
      <c r="AM18" s="59">
        <f t="shared" si="14"/>
        <v>0</v>
      </c>
      <c r="AN18" s="60">
        <f t="shared" si="15"/>
        <v>0</v>
      </c>
      <c r="AP18" s="62">
        <f t="shared" si="16"/>
        <v>0</v>
      </c>
    </row>
    <row r="19" spans="1:52" ht="13.75" customHeight="1">
      <c r="A19" s="39">
        <v>2807226016</v>
      </c>
      <c r="B19" s="40" t="s">
        <v>231</v>
      </c>
      <c r="C19" s="41">
        <v>2</v>
      </c>
      <c r="D19" s="42"/>
      <c r="E19" s="42"/>
      <c r="F19" s="42"/>
      <c r="G19" s="43"/>
      <c r="H19" s="44">
        <v>909.22</v>
      </c>
      <c r="I19" s="63">
        <f t="shared" si="0"/>
        <v>1818.44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10-16.11'!H:H,'Отчет 10-16.11'!D:D,"Выручка",'Отчет 10-16.11'!E:E,B19)</f>
        <v>0</v>
      </c>
      <c r="Q19" s="48">
        <f>SUMIFS('Отчет 10-16.11'!H:H,'Отчет 10-16.11'!D:D,"Возврат выручки",'Отчет 10-16.11'!E:E,B19)</f>
        <v>0</v>
      </c>
      <c r="R19" s="49">
        <f t="shared" si="17"/>
        <v>0</v>
      </c>
      <c r="S19" s="50">
        <f>SUMIFS('Отчет 10-16.11'!P:P,'Отчет 10-16.11'!C:C,"Продажи",'Отчет 10-16.11'!E:E,B19)</f>
        <v>0</v>
      </c>
      <c r="T19" s="51">
        <f>SUMIFS('Отчет 10-16.11'!P:P,'Отчет 10-16.11'!C:C,"Возвраты",'Отчет 10-16.11'!E:E,B19)</f>
        <v>0</v>
      </c>
      <c r="U19" s="49">
        <f t="shared" si="18"/>
        <v>0</v>
      </c>
      <c r="V19" s="52">
        <f t="shared" si="19"/>
        <v>0</v>
      </c>
      <c r="W19" s="53">
        <f t="shared" si="5"/>
        <v>0</v>
      </c>
      <c r="X19" s="51">
        <f>-SUMIFS('Отчет 10-16.11'!P:P,'Отчет 10-16.11'!C:C,"Вознаграждение Ozon",'Отчет 10-16.11'!E:E,B19)</f>
        <v>0</v>
      </c>
      <c r="Y19" s="54">
        <f t="shared" si="20"/>
        <v>0</v>
      </c>
      <c r="Z19" s="51">
        <f>-SUMIFS('Отчет 10-16.11'!P:P,'Отчет 10-16.11'!C:C,"Услуги доставки",'Отчет 10-16.11'!E:E,B19)</f>
        <v>0</v>
      </c>
      <c r="AA19" s="41">
        <v>0</v>
      </c>
      <c r="AB19" s="64"/>
      <c r="AC19" s="51"/>
      <c r="AD19" s="55">
        <f t="shared" si="7"/>
        <v>0</v>
      </c>
      <c r="AE19" s="56">
        <f t="shared" si="8"/>
        <v>0</v>
      </c>
      <c r="AF19" s="55"/>
      <c r="AG19" s="57">
        <f t="shared" si="9"/>
        <v>0</v>
      </c>
      <c r="AH19" s="58">
        <f t="shared" si="10"/>
        <v>909.22</v>
      </c>
      <c r="AI19" s="58">
        <f t="shared" si="11"/>
        <v>0</v>
      </c>
      <c r="AJ19" s="58">
        <f t="shared" si="12"/>
        <v>0</v>
      </c>
      <c r="AK19" s="58">
        <f t="shared" si="13"/>
        <v>0</v>
      </c>
      <c r="AL19" s="58">
        <f t="array" ref="AL19">_xlfn.IFS(R19=0,AE19,R19&lt;0,AE19/-R19,R19&gt;0,AE19/R19)</f>
        <v>0</v>
      </c>
      <c r="AM19" s="59">
        <f t="shared" si="14"/>
        <v>0</v>
      </c>
      <c r="AN19" s="60">
        <f t="shared" si="15"/>
        <v>0</v>
      </c>
      <c r="AP19" s="62">
        <f t="shared" si="16"/>
        <v>0</v>
      </c>
    </row>
    <row r="20" spans="1:52" ht="13.75" customHeight="1">
      <c r="A20" s="39">
        <v>2807226072</v>
      </c>
      <c r="B20" s="40" t="s">
        <v>111</v>
      </c>
      <c r="C20" s="41">
        <v>2</v>
      </c>
      <c r="D20" s="42"/>
      <c r="E20" s="42"/>
      <c r="F20" s="42"/>
      <c r="G20" s="43"/>
      <c r="H20" s="44">
        <v>932.62</v>
      </c>
      <c r="I20" s="63">
        <f t="shared" si="0"/>
        <v>1865.24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10-16.11'!H:H,'Отчет 10-16.11'!D:D,"Выручка",'Отчет 10-16.11'!E:E,B20)</f>
        <v>0</v>
      </c>
      <c r="Q20" s="48">
        <f>SUMIFS('Отчет 10-16.11'!H:H,'Отчет 10-16.11'!D:D,"Возврат выручки",'Отчет 10-16.11'!E:E,B20)</f>
        <v>0</v>
      </c>
      <c r="R20" s="49">
        <f t="shared" si="17"/>
        <v>0</v>
      </c>
      <c r="S20" s="50">
        <f>SUMIFS('Отчет 10-16.11'!P:P,'Отчет 10-16.11'!C:C,"Продажи",'Отчет 10-16.11'!E:E,B20)</f>
        <v>0</v>
      </c>
      <c r="T20" s="51">
        <f>SUMIFS('Отчет 10-16.11'!P:P,'Отчет 10-16.11'!C:C,"Возвраты",'Отчет 10-16.11'!E:E,B20)</f>
        <v>0</v>
      </c>
      <c r="U20" s="49">
        <f t="shared" si="18"/>
        <v>0</v>
      </c>
      <c r="V20" s="52">
        <f t="shared" si="19"/>
        <v>0</v>
      </c>
      <c r="W20" s="53">
        <f t="shared" si="5"/>
        <v>0</v>
      </c>
      <c r="X20" s="51">
        <f>-SUMIFS('Отчет 10-16.11'!P:P,'Отчет 10-16.11'!C:C,"Вознаграждение Ozon",'Отчет 10-16.11'!E:E,B20)</f>
        <v>0</v>
      </c>
      <c r="Y20" s="54">
        <f t="shared" si="20"/>
        <v>0</v>
      </c>
      <c r="Z20" s="51">
        <f>-SUMIFS('Отчет 10-16.11'!P:P,'Отчет 10-16.11'!C:C,"Услуги доставки",'Отчет 10-16.11'!E:E,B20)</f>
        <v>0</v>
      </c>
      <c r="AA20" s="41">
        <v>377.96732400000002</v>
      </c>
      <c r="AB20" s="64"/>
      <c r="AC20" s="51"/>
      <c r="AD20" s="55">
        <f t="shared" si="7"/>
        <v>0</v>
      </c>
      <c r="AE20" s="56">
        <f t="shared" si="8"/>
        <v>-377.96732400000002</v>
      </c>
      <c r="AF20" s="55"/>
      <c r="AG20" s="57">
        <f t="shared" si="9"/>
        <v>0</v>
      </c>
      <c r="AH20" s="58">
        <f t="shared" si="10"/>
        <v>932.62</v>
      </c>
      <c r="AI20" s="58">
        <f t="shared" si="11"/>
        <v>0</v>
      </c>
      <c r="AJ20" s="58">
        <f t="shared" si="12"/>
        <v>0</v>
      </c>
      <c r="AK20" s="58">
        <f t="shared" si="13"/>
        <v>0</v>
      </c>
      <c r="AL20" s="58">
        <f t="array" ref="AL20">_xlfn.IFS(R20=0,AE20,R20&lt;0,AE20/-R20,R20&gt;0,AE20/R20)</f>
        <v>-377.96732400000002</v>
      </c>
      <c r="AM20" s="59">
        <f t="shared" si="14"/>
        <v>0</v>
      </c>
      <c r="AN20" s="60">
        <f t="shared" si="15"/>
        <v>-0.40527473569084943</v>
      </c>
      <c r="AP20" s="62">
        <f t="shared" si="16"/>
        <v>-755.93464800000004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10-16.11'!H:H,'Отчет 10-16.11'!D:D,"Выручка",'Отчет 10-16.11'!E:E,B21)</f>
        <v>0</v>
      </c>
      <c r="Q21" s="48">
        <f>SUMIFS('Отчет 10-16.11'!H:H,'Отчет 10-16.11'!D:D,"Возврат выручки",'Отчет 10-16.11'!E:E,B21)</f>
        <v>0</v>
      </c>
      <c r="R21" s="49">
        <f t="shared" si="17"/>
        <v>0</v>
      </c>
      <c r="S21" s="50">
        <f>SUMIFS('Отчет 10-16.11'!P:P,'Отчет 10-16.11'!C:C,"Продажи",'Отчет 10-16.11'!E:E,B21)</f>
        <v>0</v>
      </c>
      <c r="T21" s="51">
        <f>SUMIFS('Отчет 10-16.11'!P:P,'Отчет 10-16.11'!C:C,"Возвраты",'Отчет 10-16.11'!E:E,B21)</f>
        <v>0</v>
      </c>
      <c r="U21" s="49">
        <f t="shared" si="18"/>
        <v>0</v>
      </c>
      <c r="V21" s="52">
        <f t="shared" si="19"/>
        <v>0</v>
      </c>
      <c r="W21" s="53">
        <f t="shared" si="5"/>
        <v>0</v>
      </c>
      <c r="X21" s="51">
        <f>-SUMIFS('Отчет 10-16.11'!P:P,'Отчет 10-16.11'!C:C,"Вознаграждение Ozon",'Отчет 10-16.11'!E:E,B21)</f>
        <v>0</v>
      </c>
      <c r="Y21" s="54">
        <f t="shared" si="20"/>
        <v>0</v>
      </c>
      <c r="Z21" s="51">
        <f>-SUMIFS('Отчет 10-16.11'!P:P,'Отчет 10-16.11'!C:C,"Услуги доставки",'Отчет 10-16.11'!E:E,B21)</f>
        <v>0</v>
      </c>
      <c r="AA21" s="41">
        <v>1167.3058410000001</v>
      </c>
      <c r="AB21" s="64"/>
      <c r="AC21" s="51"/>
      <c r="AD21" s="55">
        <f t="shared" si="7"/>
        <v>0</v>
      </c>
      <c r="AE21" s="56">
        <f t="shared" si="8"/>
        <v>-1167.3058410000001</v>
      </c>
      <c r="AF21" s="55"/>
      <c r="AG21" s="57">
        <f t="shared" si="9"/>
        <v>0</v>
      </c>
      <c r="AH21" s="58">
        <f t="shared" si="10"/>
        <v>1014.52</v>
      </c>
      <c r="AI21" s="58">
        <f t="shared" si="11"/>
        <v>0</v>
      </c>
      <c r="AJ21" s="58">
        <f t="shared" si="12"/>
        <v>0</v>
      </c>
      <c r="AK21" s="58">
        <f t="shared" si="13"/>
        <v>0</v>
      </c>
      <c r="AL21" s="58">
        <f t="array" ref="AL21">_xlfn.IFS(R21=0,AE21,R21&lt;0,AE21/-R21,R21&gt;0,AE21/R21)</f>
        <v>-1167.3058410000001</v>
      </c>
      <c r="AM21" s="59">
        <f t="shared" si="14"/>
        <v>0</v>
      </c>
      <c r="AN21" s="60">
        <f t="shared" si="15"/>
        <v>-1.1505991414659151</v>
      </c>
      <c r="AP21" s="62">
        <f t="shared" si="16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10-16.11'!H:H,'Отчет 10-16.11'!D:D,"Выручка",'Отчет 10-16.11'!E:E,B22)</f>
        <v>0</v>
      </c>
      <c r="Q22" s="48">
        <f>SUMIFS('Отчет 10-16.11'!H:H,'Отчет 10-16.11'!D:D,"Возврат выручки",'Отчет 10-16.11'!E:E,B22)</f>
        <v>0</v>
      </c>
      <c r="R22" s="49">
        <f t="shared" si="17"/>
        <v>0</v>
      </c>
      <c r="S22" s="50">
        <f>SUMIFS('Отчет 10-16.11'!P:P,'Отчет 10-16.11'!C:C,"Продажи",'Отчет 10-16.11'!E:E,B22)</f>
        <v>0</v>
      </c>
      <c r="T22" s="51">
        <f>SUMIFS('Отчет 10-16.11'!P:P,'Отчет 10-16.11'!C:C,"Возвраты",'Отчет 10-16.11'!E:E,B22)</f>
        <v>0</v>
      </c>
      <c r="U22" s="49">
        <f t="shared" si="18"/>
        <v>0</v>
      </c>
      <c r="V22" s="52">
        <f t="shared" si="19"/>
        <v>0</v>
      </c>
      <c r="W22" s="53">
        <f t="shared" si="5"/>
        <v>0</v>
      </c>
      <c r="X22" s="51">
        <f>-SUMIFS('Отчет 10-16.11'!P:P,'Отчет 10-16.11'!C:C,"Вознаграждение Ozon",'Отчет 10-16.11'!E:E,B22)</f>
        <v>0</v>
      </c>
      <c r="Y22" s="54">
        <f t="shared" si="20"/>
        <v>0</v>
      </c>
      <c r="Z22" s="51">
        <f>-SUMIFS('Отчет 10-16.11'!P:P,'Отчет 10-16.11'!C:C,"Услуги доставки",'Отчет 10-16.11'!E:E,B22)</f>
        <v>0</v>
      </c>
      <c r="AA22" s="41">
        <v>0</v>
      </c>
      <c r="AB22" s="64"/>
      <c r="AC22" s="51"/>
      <c r="AD22" s="55">
        <f t="shared" si="7"/>
        <v>0</v>
      </c>
      <c r="AE22" s="56">
        <f t="shared" si="8"/>
        <v>0</v>
      </c>
      <c r="AF22" s="55"/>
      <c r="AG22" s="57">
        <f t="shared" si="9"/>
        <v>0</v>
      </c>
      <c r="AH22" s="58">
        <f t="shared" si="10"/>
        <v>1014.52</v>
      </c>
      <c r="AI22" s="58">
        <f t="shared" si="11"/>
        <v>0</v>
      </c>
      <c r="AJ22" s="58">
        <f t="shared" si="12"/>
        <v>0</v>
      </c>
      <c r="AK22" s="58">
        <f t="shared" si="13"/>
        <v>0</v>
      </c>
      <c r="AL22" s="58">
        <f t="array" ref="AL22">_xlfn.IFS(R22=0,AE22,R22&lt;0,AE22/-R22,R22&gt;0,AE22/R22)</f>
        <v>0</v>
      </c>
      <c r="AM22" s="59">
        <f t="shared" si="14"/>
        <v>0</v>
      </c>
      <c r="AN22" s="60">
        <f t="shared" si="15"/>
        <v>0</v>
      </c>
      <c r="AP22" s="62">
        <f t="shared" si="16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0"/>
        <v>0</v>
      </c>
      <c r="J23" s="45"/>
      <c r="K23" s="41">
        <v>0</v>
      </c>
      <c r="L23" s="45"/>
      <c r="M23" s="45"/>
      <c r="N23" s="46">
        <f t="shared" si="1"/>
        <v>0</v>
      </c>
      <c r="O23" s="47">
        <f t="shared" si="2"/>
        <v>0</v>
      </c>
      <c r="P23" s="48">
        <f>SUMIFS('Отчет 10-16.11'!H:H,'Отчет 10-16.11'!D:D,"Выручка",'Отчет 10-16.11'!E:E,B23)</f>
        <v>0</v>
      </c>
      <c r="Q23" s="48">
        <f>SUMIFS('Отчет 10-16.11'!H:H,'Отчет 10-16.11'!D:D,"Возврат выручки",'Отчет 10-16.11'!E:E,B23)</f>
        <v>0</v>
      </c>
      <c r="R23" s="49">
        <f t="shared" si="17"/>
        <v>0</v>
      </c>
      <c r="S23" s="50">
        <f>SUMIFS('Отчет 10-16.11'!P:P,'Отчет 10-16.11'!C:C,"Продажи",'Отчет 10-16.11'!E:E,B23)</f>
        <v>0</v>
      </c>
      <c r="T23" s="51">
        <f>SUMIFS('Отчет 10-16.11'!P:P,'Отчет 10-16.11'!C:C,"Возвраты",'Отчет 10-16.11'!E:E,B23)</f>
        <v>0</v>
      </c>
      <c r="U23" s="49">
        <f t="shared" si="18"/>
        <v>0</v>
      </c>
      <c r="V23" s="52">
        <f t="shared" si="19"/>
        <v>0</v>
      </c>
      <c r="W23" s="53">
        <f t="shared" si="5"/>
        <v>0</v>
      </c>
      <c r="X23" s="51">
        <f>-SUMIFS('Отчет 10-16.11'!P:P,'Отчет 10-16.11'!C:C,"Вознаграждение Ozon",'Отчет 10-16.11'!E:E,B23)</f>
        <v>0</v>
      </c>
      <c r="Y23" s="54">
        <f t="shared" si="20"/>
        <v>0</v>
      </c>
      <c r="Z23" s="51">
        <f>-SUMIFS('Отчет 10-16.11'!P:P,'Отчет 10-16.11'!C:C,"Услуги доставки",'Отчет 10-16.11'!E:E,B23)</f>
        <v>0</v>
      </c>
      <c r="AA23" s="41">
        <v>0</v>
      </c>
      <c r="AB23" s="64"/>
      <c r="AC23" s="51"/>
      <c r="AD23" s="55">
        <f t="shared" si="7"/>
        <v>0</v>
      </c>
      <c r="AE23" s="56">
        <f t="shared" si="8"/>
        <v>0</v>
      </c>
      <c r="AF23" s="55"/>
      <c r="AG23" s="57">
        <f t="shared" si="9"/>
        <v>0</v>
      </c>
      <c r="AH23" s="58">
        <f t="shared" si="10"/>
        <v>1014.52</v>
      </c>
      <c r="AI23" s="58">
        <f t="shared" si="11"/>
        <v>0</v>
      </c>
      <c r="AJ23" s="58">
        <f t="shared" si="12"/>
        <v>0</v>
      </c>
      <c r="AK23" s="58">
        <f t="shared" si="13"/>
        <v>0</v>
      </c>
      <c r="AL23" s="58">
        <f t="array" ref="AL23">_xlfn.IFS(R23=0,AE23,R23&lt;0,AE23/-R23,R23&gt;0,AE23/R23)</f>
        <v>0</v>
      </c>
      <c r="AM23" s="59">
        <f t="shared" si="14"/>
        <v>0</v>
      </c>
      <c r="AN23" s="60">
        <f t="shared" si="15"/>
        <v>0</v>
      </c>
      <c r="AP23" s="62">
        <f t="shared" si="16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0"/>
        <v>0</v>
      </c>
      <c r="J24" s="45"/>
      <c r="K24" s="41">
        <v>0</v>
      </c>
      <c r="L24" s="45"/>
      <c r="M24" s="45"/>
      <c r="N24" s="46">
        <f t="shared" si="1"/>
        <v>0</v>
      </c>
      <c r="O24" s="47">
        <f t="shared" si="2"/>
        <v>0</v>
      </c>
      <c r="P24" s="48">
        <f>SUMIFS('Отчет 10-16.11'!H:H,'Отчет 10-16.11'!D:D,"Выручка",'Отчет 10-16.11'!E:E,B24)</f>
        <v>0</v>
      </c>
      <c r="Q24" s="48">
        <f>SUMIFS('Отчет 10-16.11'!H:H,'Отчет 10-16.11'!D:D,"Возврат выручки",'Отчет 10-16.11'!E:E,B24)</f>
        <v>0</v>
      </c>
      <c r="R24" s="49">
        <f t="shared" si="17"/>
        <v>0</v>
      </c>
      <c r="S24" s="50">
        <f>SUMIFS('Отчет 10-16.11'!P:P,'Отчет 10-16.11'!C:C,"Продажи",'Отчет 10-16.11'!E:E,B24)</f>
        <v>0</v>
      </c>
      <c r="T24" s="51">
        <f>SUMIFS('Отчет 10-16.11'!P:P,'Отчет 10-16.11'!C:C,"Возвраты",'Отчет 10-16.11'!E:E,B24)</f>
        <v>0</v>
      </c>
      <c r="U24" s="49">
        <f t="shared" si="18"/>
        <v>0</v>
      </c>
      <c r="V24" s="52">
        <f t="shared" si="19"/>
        <v>0</v>
      </c>
      <c r="W24" s="53">
        <f t="shared" si="5"/>
        <v>0</v>
      </c>
      <c r="X24" s="51">
        <f>-SUMIFS('Отчет 10-16.11'!P:P,'Отчет 10-16.11'!C:C,"Вознаграждение Ozon",'Отчет 10-16.11'!E:E,B24)</f>
        <v>0</v>
      </c>
      <c r="Y24" s="54">
        <f t="shared" si="20"/>
        <v>0</v>
      </c>
      <c r="Z24" s="51">
        <f>-SUMIFS('Отчет 10-16.11'!P:P,'Отчет 10-16.11'!C:C,"Услуги доставки",'Отчет 10-16.11'!E:E,B24)</f>
        <v>0</v>
      </c>
      <c r="AA24" s="41">
        <v>0</v>
      </c>
      <c r="AB24" s="64"/>
      <c r="AC24" s="51"/>
      <c r="AD24" s="55">
        <f t="shared" si="7"/>
        <v>0</v>
      </c>
      <c r="AE24" s="56">
        <f t="shared" si="8"/>
        <v>0</v>
      </c>
      <c r="AF24" s="55"/>
      <c r="AG24" s="57">
        <f t="shared" si="9"/>
        <v>0</v>
      </c>
      <c r="AH24" s="58">
        <f t="shared" si="10"/>
        <v>991.12</v>
      </c>
      <c r="AI24" s="58">
        <f t="shared" si="11"/>
        <v>0</v>
      </c>
      <c r="AJ24" s="58">
        <f t="shared" si="12"/>
        <v>0</v>
      </c>
      <c r="AK24" s="58">
        <f t="shared" si="13"/>
        <v>0</v>
      </c>
      <c r="AL24" s="58">
        <f t="array" ref="AL24">_xlfn.IFS(R24=0,AE24,R24&lt;0,AE24/-R24,R24&gt;0,AE24/R24)</f>
        <v>0</v>
      </c>
      <c r="AM24" s="59">
        <f t="shared" si="14"/>
        <v>0</v>
      </c>
      <c r="AN24" s="60">
        <f t="shared" si="15"/>
        <v>0</v>
      </c>
      <c r="AP24" s="62">
        <f t="shared" si="16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21">AVERAGEIF(AG3:AG24,"&lt;&gt;0",AG3:AG24)</f>
        <v>1619.4666666666667</v>
      </c>
      <c r="AH25" s="247">
        <f t="shared" si="21"/>
        <v>447.87636363636369</v>
      </c>
      <c r="AI25" s="247">
        <f t="shared" si="21"/>
        <v>679.29066666666665</v>
      </c>
      <c r="AJ25" s="247">
        <f t="shared" si="21"/>
        <v>112.45308333333332</v>
      </c>
      <c r="AK25" s="247">
        <f t="shared" si="21"/>
        <v>884.06086585333321</v>
      </c>
      <c r="AL25" s="247">
        <f t="shared" si="21"/>
        <v>-407.12334232777783</v>
      </c>
      <c r="AM25" s="249">
        <f t="shared" si="21"/>
        <v>-0.14869109501622746</v>
      </c>
      <c r="AN25" s="249">
        <f t="shared" si="21"/>
        <v>-2.0520943663998472</v>
      </c>
      <c r="AO25" s="240"/>
      <c r="AP25" s="241"/>
    </row>
    <row r="26" spans="1:52">
      <c r="A26" s="216" t="s">
        <v>305</v>
      </c>
      <c r="B26" s="209"/>
      <c r="C26" s="217">
        <f>SUM(C3:C24)</f>
        <v>4235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556655.11</v>
      </c>
      <c r="J26" s="212"/>
      <c r="K26" s="217">
        <f>SUM(K3:K24)</f>
        <v>53</v>
      </c>
      <c r="L26" s="212"/>
      <c r="M26" s="212"/>
      <c r="N26" s="213"/>
      <c r="O26" s="214"/>
      <c r="P26" s="217">
        <f>SUM(P3:P24)</f>
        <v>27</v>
      </c>
      <c r="Q26" s="217">
        <f t="shared" ref="Q26:AE26" si="22">SUM(Q3:Q24)</f>
        <v>1</v>
      </c>
      <c r="R26" s="217">
        <f t="shared" si="22"/>
        <v>26</v>
      </c>
      <c r="S26" s="237">
        <f>SUM(S3:S24)</f>
        <v>40441.999999999993</v>
      </c>
      <c r="T26" s="217">
        <f t="shared" si="22"/>
        <v>-1364</v>
      </c>
      <c r="U26" s="217">
        <f t="shared" si="22"/>
        <v>39077.999999999993</v>
      </c>
      <c r="V26" s="256">
        <f t="shared" si="22"/>
        <v>1.9760315533980579</v>
      </c>
      <c r="W26" s="217">
        <f t="shared" si="22"/>
        <v>3580.5899999999992</v>
      </c>
      <c r="X26" s="217">
        <f t="shared" si="22"/>
        <v>16247.939999999999</v>
      </c>
      <c r="Y26" s="215">
        <f>IF(U26=0,0,X26/U26)</f>
        <v>0.41578228159066488</v>
      </c>
      <c r="Z26" s="217">
        <f t="shared" si="22"/>
        <v>2866.97</v>
      </c>
      <c r="AA26" s="217">
        <f>IFERROR(P26*AA51/P51,0)</f>
        <v>24944.675625</v>
      </c>
      <c r="AB26" s="217">
        <f t="shared" si="22"/>
        <v>0</v>
      </c>
      <c r="AC26" s="217">
        <f t="shared" si="22"/>
        <v>0</v>
      </c>
      <c r="AD26" s="238">
        <f t="shared" si="22"/>
        <v>2344.6799999999994</v>
      </c>
      <c r="AE26" s="239">
        <f t="shared" si="22"/>
        <v>-2896.1937310000039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-1258480.770384067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16934.013730999999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17</v>
      </c>
      <c r="D28" s="42"/>
      <c r="E28" s="42"/>
      <c r="F28" s="42"/>
      <c r="G28" s="43"/>
      <c r="H28" s="65">
        <v>672</v>
      </c>
      <c r="I28" s="63">
        <f t="shared" ref="I28:I46" si="23">C28*H28</f>
        <v>11424</v>
      </c>
      <c r="J28" s="45"/>
      <c r="K28" s="41">
        <v>0</v>
      </c>
      <c r="L28" s="45"/>
      <c r="M28" s="45"/>
      <c r="N28" s="46">
        <f t="shared" ref="N28:N47" si="24">K28/7</f>
        <v>0</v>
      </c>
      <c r="O28" s="47">
        <f t="shared" ref="O28:O47" si="25">R28/7</f>
        <v>0</v>
      </c>
      <c r="P28" s="48">
        <f>SUMIFS('Отчет 10-16.11'!H:H,'Отчет 10-16.11'!D:D,"Выручка",'Отчет 10-16.11'!E:E,B28)</f>
        <v>0</v>
      </c>
      <c r="Q28" s="48">
        <f>SUMIFS('Отчет 10-16.11'!H:H,'Отчет 10-16.11'!D:D,"Возврат выручки",'Отчет 10-16.11'!E:E,B28)</f>
        <v>0</v>
      </c>
      <c r="R28" s="49">
        <f>P28-Q28</f>
        <v>0</v>
      </c>
      <c r="S28" s="50">
        <f>SUMIFS('Отчет 10-16.11'!P:P,'Отчет 10-16.11'!C:C,"Продажи",'Отчет 10-16.11'!E:E,B28)</f>
        <v>0</v>
      </c>
      <c r="T28" s="51">
        <f>SUMIFS('Отчет 10-16.11'!P:P,'Отчет 10-16.11'!C:C,"Возвраты",'Отчет 10-16.11'!E:E,B28)</f>
        <v>0</v>
      </c>
      <c r="U28" s="49">
        <f t="shared" ref="U28" si="26">S28+T28</f>
        <v>0</v>
      </c>
      <c r="V28" s="52">
        <f t="shared" ref="V28" si="27">U28/$U$49</f>
        <v>0</v>
      </c>
      <c r="W28" s="53">
        <f t="shared" ref="W28" si="28">R28*H28</f>
        <v>0</v>
      </c>
      <c r="X28" s="51">
        <f>-SUMIFS('Отчет 10-16.11'!P:P,'Отчет 10-16.11'!C:C,"Вознаграждение Ozon",'Отчет 10-16.11'!E:E,B28)</f>
        <v>0</v>
      </c>
      <c r="Y28" s="54">
        <f t="shared" ref="Y28" si="29">IF(U28=0,0,X28/U28)</f>
        <v>0</v>
      </c>
      <c r="Z28" s="51">
        <f>-SUMIFS('Отчет 10-16.11'!P:P,'Отчет 10-16.11'!C:C,"Услуги доставки",'Отчет 10-16.11'!E:E,B28)</f>
        <v>0</v>
      </c>
      <c r="AA28" s="41">
        <v>0</v>
      </c>
      <c r="AB28" s="64"/>
      <c r="AC28" s="51"/>
      <c r="AD28" s="55">
        <f t="shared" ref="AD28:AD47" si="30">U28*6%</f>
        <v>0</v>
      </c>
      <c r="AE28" s="56">
        <f t="shared" ref="AE28:AE47" si="31">U28-W28-X28-Z28-AA28-AB28-AC28-AD28</f>
        <v>0</v>
      </c>
      <c r="AF28" s="55"/>
      <c r="AG28" s="57">
        <f t="shared" ref="AG28:AG47" si="32">IF(R28=0,0,U28/R28)</f>
        <v>0</v>
      </c>
      <c r="AH28" s="58">
        <f t="shared" ref="AH28:AH47" si="33">H28</f>
        <v>672</v>
      </c>
      <c r="AI28" s="58">
        <f t="shared" ref="AI28:AI47" si="34">IF(R28=0,0,X28/R28)</f>
        <v>0</v>
      </c>
      <c r="AJ28" s="58">
        <f t="shared" ref="AJ28:AJ47" si="35">IF(P28=0,Z28/1,Z28/P28)</f>
        <v>0</v>
      </c>
      <c r="AK28" s="58">
        <f t="shared" ref="AK28:AK47" si="36">IF(P28=0,0,AA28/P28)</f>
        <v>0</v>
      </c>
      <c r="AL28" s="58">
        <f t="array" ref="AL28">_xlfn.IFS(R28=0,AE28,R28&lt;0,AE28/-R28,R28&gt;0,AE28/R28)</f>
        <v>0</v>
      </c>
      <c r="AM28" s="59">
        <f t="shared" ref="AM28:AM47" si="37">IF(AG28=0,0,AL28/AG28)</f>
        <v>0</v>
      </c>
      <c r="AN28" s="60">
        <f t="shared" ref="AN28:AN47" si="38">IF(AH28=0,0,AL28/AH28)</f>
        <v>0</v>
      </c>
      <c r="AP28" s="62">
        <f t="shared" ref="AP28:AP47" si="39">AL28*C28</f>
        <v>0</v>
      </c>
    </row>
    <row r="29" spans="1:52">
      <c r="A29" s="39">
        <v>2774708622</v>
      </c>
      <c r="B29" s="40" t="s">
        <v>43</v>
      </c>
      <c r="C29" s="41">
        <v>17</v>
      </c>
      <c r="D29" s="42"/>
      <c r="E29" s="42"/>
      <c r="F29" s="42"/>
      <c r="G29" s="43"/>
      <c r="H29" s="65">
        <v>627</v>
      </c>
      <c r="I29" s="63">
        <f t="shared" si="23"/>
        <v>10659</v>
      </c>
      <c r="J29" s="45"/>
      <c r="K29" s="41">
        <v>1</v>
      </c>
      <c r="L29" s="45"/>
      <c r="M29" s="45"/>
      <c r="N29" s="46">
        <f t="shared" si="24"/>
        <v>0.14285714285714285</v>
      </c>
      <c r="O29" s="47">
        <f t="shared" si="25"/>
        <v>0</v>
      </c>
      <c r="P29" s="48">
        <f>SUMIFS('Отчет 10-16.11'!H:H,'Отчет 10-16.11'!D:D,"Выручка",'Отчет 10-16.11'!E:E,B29)</f>
        <v>0</v>
      </c>
      <c r="Q29" s="48">
        <f>SUMIFS('Отчет 10-16.11'!H:H,'Отчет 10-16.11'!D:D,"Возврат выручки",'Отчет 10-16.11'!E:E,B29)</f>
        <v>0</v>
      </c>
      <c r="R29" s="49">
        <f t="shared" ref="R29:R47" si="40">P29-Q29</f>
        <v>0</v>
      </c>
      <c r="S29" s="50">
        <f>SUMIFS('Отчет 10-16.11'!P:P,'Отчет 10-16.11'!C:C,"Продажи",'Отчет 10-16.11'!E:E,B29)</f>
        <v>0</v>
      </c>
      <c r="T29" s="51">
        <f>SUMIFS('Отчет 10-16.11'!P:P,'Отчет 10-16.11'!C:C,"Возвраты",'Отчет 10-16.11'!E:E,B29)</f>
        <v>0</v>
      </c>
      <c r="U29" s="49">
        <f t="shared" ref="U29:U47" si="41">S29+T29</f>
        <v>0</v>
      </c>
      <c r="V29" s="52">
        <f t="shared" ref="V29:V47" si="42">U29/$U$49</f>
        <v>0</v>
      </c>
      <c r="W29" s="53">
        <f t="shared" ref="W29:W47" si="43">R29*H29</f>
        <v>0</v>
      </c>
      <c r="X29" s="51">
        <f>-SUMIFS('Отчет 10-16.11'!P:P,'Отчет 10-16.11'!C:C,"Вознаграждение Ozon",'Отчет 10-16.11'!E:E,B29)</f>
        <v>0</v>
      </c>
      <c r="Y29" s="54">
        <f t="shared" ref="Y29:Y47" si="44">IF(U29=0,0,X29/U29)</f>
        <v>0</v>
      </c>
      <c r="Z29" s="51">
        <f>-SUMIFS('Отчет 10-16.11'!P:P,'Отчет 10-16.11'!C:C,"Услуги доставки",'Отчет 10-16.11'!E:E,B29)</f>
        <v>56</v>
      </c>
      <c r="AA29" s="41">
        <v>1088.6734280000001</v>
      </c>
      <c r="AB29" s="64"/>
      <c r="AC29" s="51"/>
      <c r="AD29" s="55">
        <f t="shared" si="30"/>
        <v>0</v>
      </c>
      <c r="AE29" s="56">
        <f t="shared" si="31"/>
        <v>-1144.6734280000001</v>
      </c>
      <c r="AF29" s="55"/>
      <c r="AG29" s="57">
        <f t="shared" si="32"/>
        <v>0</v>
      </c>
      <c r="AH29" s="58">
        <f t="shared" si="33"/>
        <v>627</v>
      </c>
      <c r="AI29" s="58">
        <f t="shared" si="34"/>
        <v>0</v>
      </c>
      <c r="AJ29" s="58">
        <f t="shared" si="35"/>
        <v>56</v>
      </c>
      <c r="AK29" s="58">
        <f t="shared" si="36"/>
        <v>0</v>
      </c>
      <c r="AL29" s="58">
        <f t="array" ref="AL29">_xlfn.IFS(R29=0,AE29,R29&lt;0,AE29/-R29,R29&gt;0,AE29/R29)</f>
        <v>-1144.6734280000001</v>
      </c>
      <c r="AM29" s="59">
        <f t="shared" si="37"/>
        <v>0</v>
      </c>
      <c r="AN29" s="60">
        <f t="shared" si="38"/>
        <v>-1.8256354513556621</v>
      </c>
      <c r="AP29" s="62">
        <f t="shared" si="39"/>
        <v>-19459.448276000003</v>
      </c>
    </row>
    <row r="30" spans="1:52">
      <c r="A30" s="39">
        <v>2774709606</v>
      </c>
      <c r="B30" s="40" t="s">
        <v>235</v>
      </c>
      <c r="C30" s="41">
        <v>13</v>
      </c>
      <c r="D30" s="42"/>
      <c r="E30" s="42"/>
      <c r="F30" s="42"/>
      <c r="G30" s="43"/>
      <c r="H30" s="65">
        <v>627</v>
      </c>
      <c r="I30" s="63">
        <f t="shared" si="23"/>
        <v>8151</v>
      </c>
      <c r="J30" s="45"/>
      <c r="K30" s="41">
        <v>4</v>
      </c>
      <c r="L30" s="45"/>
      <c r="M30" s="45"/>
      <c r="N30" s="46">
        <f t="shared" si="24"/>
        <v>0.5714285714285714</v>
      </c>
      <c r="O30" s="47">
        <f t="shared" si="25"/>
        <v>0</v>
      </c>
      <c r="P30" s="48">
        <f>SUMIFS('Отчет 10-16.11'!H:H,'Отчет 10-16.11'!D:D,"Выручка",'Отчет 10-16.11'!E:E,B30)</f>
        <v>0</v>
      </c>
      <c r="Q30" s="48">
        <f>SUMIFS('Отчет 10-16.11'!H:H,'Отчет 10-16.11'!D:D,"Возврат выручки",'Отчет 10-16.11'!E:E,B30)</f>
        <v>0</v>
      </c>
      <c r="R30" s="49">
        <f t="shared" si="40"/>
        <v>0</v>
      </c>
      <c r="S30" s="50">
        <f>SUMIFS('Отчет 10-16.11'!P:P,'Отчет 10-16.11'!C:C,"Продажи",'Отчет 10-16.11'!E:E,B30)</f>
        <v>0</v>
      </c>
      <c r="T30" s="51">
        <f>SUMIFS('Отчет 10-16.11'!P:P,'Отчет 10-16.11'!C:C,"Возвраты",'Отчет 10-16.11'!E:E,B30)</f>
        <v>0</v>
      </c>
      <c r="U30" s="49">
        <f t="shared" si="41"/>
        <v>0</v>
      </c>
      <c r="V30" s="52">
        <f t="shared" si="42"/>
        <v>0</v>
      </c>
      <c r="W30" s="53">
        <f t="shared" si="43"/>
        <v>0</v>
      </c>
      <c r="X30" s="51">
        <f>-SUMIFS('Отчет 10-16.11'!P:P,'Отчет 10-16.11'!C:C,"Вознаграждение Ozon",'Отчет 10-16.11'!E:E,B30)</f>
        <v>0</v>
      </c>
      <c r="Y30" s="54">
        <f t="shared" si="44"/>
        <v>0</v>
      </c>
      <c r="Z30" s="51">
        <f>-SUMIFS('Отчет 10-16.11'!P:P,'Отчет 10-16.11'!C:C,"Услуги доставки",'Отчет 10-16.11'!E:E,B30)</f>
        <v>0</v>
      </c>
      <c r="AA30" s="41">
        <v>0</v>
      </c>
      <c r="AB30" s="64"/>
      <c r="AC30" s="51"/>
      <c r="AD30" s="55">
        <f t="shared" si="30"/>
        <v>0</v>
      </c>
      <c r="AE30" s="56">
        <f t="shared" si="31"/>
        <v>0</v>
      </c>
      <c r="AF30" s="55"/>
      <c r="AG30" s="57">
        <f t="shared" si="32"/>
        <v>0</v>
      </c>
      <c r="AH30" s="58">
        <f t="shared" si="33"/>
        <v>627</v>
      </c>
      <c r="AI30" s="58">
        <f t="shared" si="34"/>
        <v>0</v>
      </c>
      <c r="AJ30" s="58">
        <f t="shared" si="35"/>
        <v>0</v>
      </c>
      <c r="AK30" s="58">
        <f t="shared" si="36"/>
        <v>0</v>
      </c>
      <c r="AL30" s="58">
        <f t="array" ref="AL30">_xlfn.IFS(R30=0,AE30,R30&lt;0,AE30/-R30,R30&gt;0,AE30/R30)</f>
        <v>0</v>
      </c>
      <c r="AM30" s="59">
        <f t="shared" si="37"/>
        <v>0</v>
      </c>
      <c r="AN30" s="60">
        <f t="shared" si="38"/>
        <v>0</v>
      </c>
      <c r="AP30" s="62">
        <f t="shared" si="39"/>
        <v>0</v>
      </c>
    </row>
    <row r="31" spans="1:52">
      <c r="A31" s="39">
        <v>2774720465</v>
      </c>
      <c r="B31" s="40" t="s">
        <v>171</v>
      </c>
      <c r="C31" s="41">
        <v>18</v>
      </c>
      <c r="D31" s="42"/>
      <c r="E31" s="42"/>
      <c r="F31" s="42"/>
      <c r="G31" s="43"/>
      <c r="H31" s="65">
        <v>567</v>
      </c>
      <c r="I31" s="63">
        <f t="shared" si="23"/>
        <v>10206</v>
      </c>
      <c r="J31" s="45"/>
      <c r="K31" s="41">
        <v>0</v>
      </c>
      <c r="L31" s="45"/>
      <c r="M31" s="45"/>
      <c r="N31" s="46">
        <f t="shared" si="24"/>
        <v>0</v>
      </c>
      <c r="O31" s="47">
        <f t="shared" si="25"/>
        <v>0</v>
      </c>
      <c r="P31" s="48">
        <f>SUMIFS('Отчет 10-16.11'!H:H,'Отчет 10-16.11'!D:D,"Выручка",'Отчет 10-16.11'!E:E,B31)</f>
        <v>0</v>
      </c>
      <c r="Q31" s="48">
        <f>SUMIFS('Отчет 10-16.11'!H:H,'Отчет 10-16.11'!D:D,"Возврат выручки",'Отчет 10-16.11'!E:E,B31)</f>
        <v>0</v>
      </c>
      <c r="R31" s="49">
        <f t="shared" si="40"/>
        <v>0</v>
      </c>
      <c r="S31" s="50">
        <f>SUMIFS('Отчет 10-16.11'!P:P,'Отчет 10-16.11'!C:C,"Продажи",'Отчет 10-16.11'!E:E,B31)</f>
        <v>0</v>
      </c>
      <c r="T31" s="51">
        <f>SUMIFS('Отчет 10-16.11'!P:P,'Отчет 10-16.11'!C:C,"Возвраты",'Отчет 10-16.11'!E:E,B31)</f>
        <v>0</v>
      </c>
      <c r="U31" s="49">
        <f t="shared" si="41"/>
        <v>0</v>
      </c>
      <c r="V31" s="52">
        <f t="shared" si="42"/>
        <v>0</v>
      </c>
      <c r="W31" s="53">
        <f t="shared" si="43"/>
        <v>0</v>
      </c>
      <c r="X31" s="51">
        <f>-SUMIFS('Отчет 10-16.11'!P:P,'Отчет 10-16.11'!C:C,"Вознаграждение Ozon",'Отчет 10-16.11'!E:E,B31)</f>
        <v>0</v>
      </c>
      <c r="Y31" s="54">
        <f t="shared" si="44"/>
        <v>0</v>
      </c>
      <c r="Z31" s="51">
        <f>-SUMIFS('Отчет 10-16.11'!P:P,'Отчет 10-16.11'!C:C,"Услуги доставки",'Отчет 10-16.11'!E:E,B31)</f>
        <v>112</v>
      </c>
      <c r="AA31" s="41">
        <v>0</v>
      </c>
      <c r="AB31" s="64"/>
      <c r="AC31" s="51"/>
      <c r="AD31" s="55">
        <f t="shared" si="30"/>
        <v>0</v>
      </c>
      <c r="AE31" s="56">
        <f t="shared" si="31"/>
        <v>-112</v>
      </c>
      <c r="AF31" s="55"/>
      <c r="AG31" s="57">
        <f t="shared" si="32"/>
        <v>0</v>
      </c>
      <c r="AH31" s="58">
        <f t="shared" si="33"/>
        <v>567</v>
      </c>
      <c r="AI31" s="58">
        <f t="shared" si="34"/>
        <v>0</v>
      </c>
      <c r="AJ31" s="58">
        <f t="shared" si="35"/>
        <v>112</v>
      </c>
      <c r="AK31" s="58">
        <f t="shared" si="36"/>
        <v>0</v>
      </c>
      <c r="AL31" s="58">
        <f t="array" ref="AL31">_xlfn.IFS(R31=0,AE31,R31&lt;0,AE31/-R31,R31&gt;0,AE31/R31)</f>
        <v>-112</v>
      </c>
      <c r="AM31" s="59">
        <f t="shared" si="37"/>
        <v>0</v>
      </c>
      <c r="AN31" s="60">
        <f t="shared" si="38"/>
        <v>-0.19753086419753085</v>
      </c>
      <c r="AP31" s="62">
        <f t="shared" si="39"/>
        <v>-2016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23"/>
        <v>10773</v>
      </c>
      <c r="J32" s="45"/>
      <c r="K32" s="41">
        <v>0</v>
      </c>
      <c r="L32" s="45"/>
      <c r="M32" s="45"/>
      <c r="N32" s="46">
        <f t="shared" si="24"/>
        <v>0</v>
      </c>
      <c r="O32" s="47">
        <f t="shared" si="25"/>
        <v>0</v>
      </c>
      <c r="P32" s="48">
        <f>SUMIFS('Отчет 10-16.11'!H:H,'Отчет 10-16.11'!D:D,"Выручка",'Отчет 10-16.11'!E:E,B32)</f>
        <v>0</v>
      </c>
      <c r="Q32" s="48">
        <f>SUMIFS('Отчет 10-16.11'!H:H,'Отчет 10-16.11'!D:D,"Возврат выручки",'Отчет 10-16.11'!E:E,B32)</f>
        <v>0</v>
      </c>
      <c r="R32" s="49">
        <f t="shared" si="40"/>
        <v>0</v>
      </c>
      <c r="S32" s="50">
        <f>SUMIFS('Отчет 10-16.11'!P:P,'Отчет 10-16.11'!C:C,"Продажи",'Отчет 10-16.11'!E:E,B32)</f>
        <v>0</v>
      </c>
      <c r="T32" s="51">
        <f>SUMIFS('Отчет 10-16.11'!P:P,'Отчет 10-16.11'!C:C,"Возвраты",'Отчет 10-16.11'!E:E,B32)</f>
        <v>0</v>
      </c>
      <c r="U32" s="49">
        <f t="shared" si="41"/>
        <v>0</v>
      </c>
      <c r="V32" s="52">
        <f t="shared" si="42"/>
        <v>0</v>
      </c>
      <c r="W32" s="53">
        <f t="shared" si="43"/>
        <v>0</v>
      </c>
      <c r="X32" s="51">
        <f>-SUMIFS('Отчет 10-16.11'!P:P,'Отчет 10-16.11'!C:C,"Вознаграждение Ozon",'Отчет 10-16.11'!E:E,B32)</f>
        <v>0</v>
      </c>
      <c r="Y32" s="54">
        <f t="shared" si="44"/>
        <v>0</v>
      </c>
      <c r="Z32" s="51">
        <f>-SUMIFS('Отчет 10-16.11'!P:P,'Отчет 10-16.11'!C:C,"Услуги доставки",'Отчет 10-16.11'!E:E,B32)</f>
        <v>0</v>
      </c>
      <c r="AA32" s="41">
        <v>0</v>
      </c>
      <c r="AB32" s="64"/>
      <c r="AC32" s="51"/>
      <c r="AD32" s="55">
        <f t="shared" si="30"/>
        <v>0</v>
      </c>
      <c r="AE32" s="56">
        <f t="shared" si="31"/>
        <v>0</v>
      </c>
      <c r="AF32" s="55"/>
      <c r="AG32" s="57">
        <f t="shared" si="32"/>
        <v>0</v>
      </c>
      <c r="AH32" s="58">
        <f t="shared" si="33"/>
        <v>567</v>
      </c>
      <c r="AI32" s="58">
        <f t="shared" si="34"/>
        <v>0</v>
      </c>
      <c r="AJ32" s="58">
        <f t="shared" si="35"/>
        <v>0</v>
      </c>
      <c r="AK32" s="58">
        <f t="shared" si="36"/>
        <v>0</v>
      </c>
      <c r="AL32" s="58">
        <f t="array" ref="AL32">_xlfn.IFS(R32=0,AE32,R32&lt;0,AE32/-R32,R32&gt;0,AE32/R32)</f>
        <v>0</v>
      </c>
      <c r="AM32" s="59">
        <f t="shared" si="37"/>
        <v>0</v>
      </c>
      <c r="AN32" s="60">
        <f t="shared" si="38"/>
        <v>0</v>
      </c>
      <c r="AP32" s="62">
        <f t="shared" si="39"/>
        <v>0</v>
      </c>
    </row>
    <row r="33" spans="1:42">
      <c r="A33" s="39">
        <v>2774719022</v>
      </c>
      <c r="B33" s="40" t="s">
        <v>236</v>
      </c>
      <c r="C33" s="41">
        <v>17</v>
      </c>
      <c r="D33" s="42"/>
      <c r="E33" s="42"/>
      <c r="F33" s="42"/>
      <c r="G33" s="43"/>
      <c r="H33" s="65">
        <v>657</v>
      </c>
      <c r="I33" s="63">
        <f t="shared" si="23"/>
        <v>11169</v>
      </c>
      <c r="J33" s="45"/>
      <c r="K33" s="41">
        <v>2</v>
      </c>
      <c r="L33" s="45"/>
      <c r="M33" s="45"/>
      <c r="N33" s="46">
        <f t="shared" si="24"/>
        <v>0.2857142857142857</v>
      </c>
      <c r="O33" s="47">
        <f t="shared" si="25"/>
        <v>0.14285714285714285</v>
      </c>
      <c r="P33" s="48">
        <f>SUMIFS('Отчет 10-16.11'!H:H,'Отчет 10-16.11'!D:D,"Выручка",'Отчет 10-16.11'!E:E,B33)</f>
        <v>1</v>
      </c>
      <c r="Q33" s="48">
        <f>SUMIFS('Отчет 10-16.11'!H:H,'Отчет 10-16.11'!D:D,"Возврат выручки",'Отчет 10-16.11'!E:E,B33)</f>
        <v>0</v>
      </c>
      <c r="R33" s="49">
        <f t="shared" si="40"/>
        <v>1</v>
      </c>
      <c r="S33" s="50">
        <f>SUMIFS('Отчет 10-16.11'!P:P,'Отчет 10-16.11'!C:C,"Продажи",'Отчет 10-16.11'!E:E,B33)</f>
        <v>3276</v>
      </c>
      <c r="T33" s="51">
        <f>SUMIFS('Отчет 10-16.11'!P:P,'Отчет 10-16.11'!C:C,"Возвраты",'Отчет 10-16.11'!E:E,B33)</f>
        <v>0</v>
      </c>
      <c r="U33" s="49">
        <f t="shared" si="41"/>
        <v>3276</v>
      </c>
      <c r="V33" s="52">
        <f t="shared" si="42"/>
        <v>0.16565533980582525</v>
      </c>
      <c r="W33" s="53">
        <f t="shared" si="43"/>
        <v>657</v>
      </c>
      <c r="X33" s="51">
        <f>-SUMIFS('Отчет 10-16.11'!P:P,'Отчет 10-16.11'!C:C,"Вознаграждение Ozon",'Отчет 10-16.11'!E:E,B33)</f>
        <v>1408.68</v>
      </c>
      <c r="Y33" s="54">
        <f t="shared" si="44"/>
        <v>0.43</v>
      </c>
      <c r="Z33" s="51">
        <f>-SUMIFS('Отчет 10-16.11'!P:P,'Отчет 10-16.11'!C:C,"Услуги доставки",'Отчет 10-16.11'!E:E,B33)</f>
        <v>56</v>
      </c>
      <c r="AA33" s="41">
        <v>0</v>
      </c>
      <c r="AB33" s="64"/>
      <c r="AC33" s="51"/>
      <c r="AD33" s="55">
        <f t="shared" si="30"/>
        <v>196.56</v>
      </c>
      <c r="AE33" s="56">
        <f t="shared" si="31"/>
        <v>957.76</v>
      </c>
      <c r="AF33" s="55"/>
      <c r="AG33" s="57">
        <f t="shared" si="32"/>
        <v>3276</v>
      </c>
      <c r="AH33" s="58">
        <f t="shared" si="33"/>
        <v>657</v>
      </c>
      <c r="AI33" s="58">
        <f t="shared" si="34"/>
        <v>1408.68</v>
      </c>
      <c r="AJ33" s="58">
        <f t="shared" si="35"/>
        <v>56</v>
      </c>
      <c r="AK33" s="58">
        <f t="shared" si="36"/>
        <v>0</v>
      </c>
      <c r="AL33" s="58">
        <f t="array" ref="AL33">_xlfn.IFS(R33=0,AE33,R33&lt;0,AE33/-R33,R33&gt;0,AE33/R33)</f>
        <v>957.76</v>
      </c>
      <c r="AM33" s="59">
        <f t="shared" si="37"/>
        <v>0.29235653235653236</v>
      </c>
      <c r="AN33" s="60">
        <f t="shared" si="38"/>
        <v>1.4577777777777778</v>
      </c>
      <c r="AP33" s="62">
        <f t="shared" si="39"/>
        <v>16281.92</v>
      </c>
    </row>
    <row r="34" spans="1:42">
      <c r="A34" s="39">
        <v>2774719501</v>
      </c>
      <c r="B34" s="40" t="s">
        <v>237</v>
      </c>
      <c r="C34" s="41">
        <v>18</v>
      </c>
      <c r="D34" s="42"/>
      <c r="E34" s="42"/>
      <c r="F34" s="42"/>
      <c r="G34" s="43"/>
      <c r="H34" s="65">
        <v>597</v>
      </c>
      <c r="I34" s="63">
        <f t="shared" si="23"/>
        <v>10746</v>
      </c>
      <c r="J34" s="45"/>
      <c r="K34" s="41">
        <v>1</v>
      </c>
      <c r="L34" s="45"/>
      <c r="M34" s="45"/>
      <c r="N34" s="46">
        <f t="shared" si="24"/>
        <v>0.14285714285714285</v>
      </c>
      <c r="O34" s="47">
        <f t="shared" si="25"/>
        <v>0</v>
      </c>
      <c r="P34" s="48">
        <f>SUMIFS('Отчет 10-16.11'!H:H,'Отчет 10-16.11'!D:D,"Выручка",'Отчет 10-16.11'!E:E,B34)</f>
        <v>0</v>
      </c>
      <c r="Q34" s="48">
        <f>SUMIFS('Отчет 10-16.11'!H:H,'Отчет 10-16.11'!D:D,"Возврат выручки",'Отчет 10-16.11'!E:E,B34)</f>
        <v>0</v>
      </c>
      <c r="R34" s="49">
        <f t="shared" si="40"/>
        <v>0</v>
      </c>
      <c r="S34" s="50">
        <f>SUMIFS('Отчет 10-16.11'!P:P,'Отчет 10-16.11'!C:C,"Продажи",'Отчет 10-16.11'!E:E,B34)</f>
        <v>0</v>
      </c>
      <c r="T34" s="51">
        <f>SUMIFS('Отчет 10-16.11'!P:P,'Отчет 10-16.11'!C:C,"Возвраты",'Отчет 10-16.11'!E:E,B34)</f>
        <v>0</v>
      </c>
      <c r="U34" s="49">
        <f t="shared" si="41"/>
        <v>0</v>
      </c>
      <c r="V34" s="52">
        <f t="shared" si="42"/>
        <v>0</v>
      </c>
      <c r="W34" s="53">
        <f t="shared" si="43"/>
        <v>0</v>
      </c>
      <c r="X34" s="51">
        <f>-SUMIFS('Отчет 10-16.11'!P:P,'Отчет 10-16.11'!C:C,"Вознаграждение Ozon",'Отчет 10-16.11'!E:E,B34)</f>
        <v>0</v>
      </c>
      <c r="Y34" s="54">
        <f t="shared" si="44"/>
        <v>0</v>
      </c>
      <c r="Z34" s="51">
        <f>-SUMIFS('Отчет 10-16.11'!P:P,'Отчет 10-16.11'!C:C,"Услуги доставки",'Отчет 10-16.11'!E:E,B34)</f>
        <v>0</v>
      </c>
      <c r="AA34" s="41">
        <v>0</v>
      </c>
      <c r="AB34" s="64"/>
      <c r="AC34" s="51"/>
      <c r="AD34" s="55">
        <f t="shared" si="30"/>
        <v>0</v>
      </c>
      <c r="AE34" s="56">
        <f t="shared" si="31"/>
        <v>0</v>
      </c>
      <c r="AF34" s="55"/>
      <c r="AG34" s="57">
        <f t="shared" si="32"/>
        <v>0</v>
      </c>
      <c r="AH34" s="58">
        <f t="shared" si="33"/>
        <v>597</v>
      </c>
      <c r="AI34" s="58">
        <f t="shared" si="34"/>
        <v>0</v>
      </c>
      <c r="AJ34" s="58">
        <f t="shared" si="35"/>
        <v>0</v>
      </c>
      <c r="AK34" s="58">
        <f t="shared" si="36"/>
        <v>0</v>
      </c>
      <c r="AL34" s="58">
        <f t="array" ref="AL34">_xlfn.IFS(R34=0,AE34,R34&lt;0,AE34/-R34,R34&gt;0,AE34/R34)</f>
        <v>0</v>
      </c>
      <c r="AM34" s="59">
        <f t="shared" si="37"/>
        <v>0</v>
      </c>
      <c r="AN34" s="60">
        <f t="shared" si="38"/>
        <v>0</v>
      </c>
      <c r="AP34" s="62">
        <f t="shared" si="39"/>
        <v>0</v>
      </c>
    </row>
    <row r="35" spans="1:42">
      <c r="A35" s="39">
        <v>2774714412</v>
      </c>
      <c r="B35" s="40" t="s">
        <v>142</v>
      </c>
      <c r="C35" s="41">
        <v>17</v>
      </c>
      <c r="D35" s="42"/>
      <c r="E35" s="42"/>
      <c r="F35" s="42"/>
      <c r="G35" s="43"/>
      <c r="H35" s="65">
        <v>552</v>
      </c>
      <c r="I35" s="63">
        <f t="shared" si="23"/>
        <v>9384</v>
      </c>
      <c r="J35" s="45"/>
      <c r="K35" s="41">
        <v>0</v>
      </c>
      <c r="L35" s="45"/>
      <c r="M35" s="45"/>
      <c r="N35" s="46">
        <f t="shared" si="24"/>
        <v>0</v>
      </c>
      <c r="O35" s="47">
        <f t="shared" si="25"/>
        <v>0</v>
      </c>
      <c r="P35" s="48">
        <f>SUMIFS('Отчет 10-16.11'!H:H,'Отчет 10-16.11'!D:D,"Выручка",'Отчет 10-16.11'!E:E,B35)</f>
        <v>0</v>
      </c>
      <c r="Q35" s="48">
        <f>SUMIFS('Отчет 10-16.11'!H:H,'Отчет 10-16.11'!D:D,"Возврат выручки",'Отчет 10-16.11'!E:E,B35)</f>
        <v>0</v>
      </c>
      <c r="R35" s="49">
        <f t="shared" si="40"/>
        <v>0</v>
      </c>
      <c r="S35" s="50">
        <f>SUMIFS('Отчет 10-16.11'!P:P,'Отчет 10-16.11'!C:C,"Продажи",'Отчет 10-16.11'!E:E,B35)</f>
        <v>0</v>
      </c>
      <c r="T35" s="51">
        <f>SUMIFS('Отчет 10-16.11'!P:P,'Отчет 10-16.11'!C:C,"Возвраты",'Отчет 10-16.11'!E:E,B35)</f>
        <v>0</v>
      </c>
      <c r="U35" s="49">
        <f t="shared" si="41"/>
        <v>0</v>
      </c>
      <c r="V35" s="52">
        <f t="shared" si="42"/>
        <v>0</v>
      </c>
      <c r="W35" s="53">
        <f t="shared" si="43"/>
        <v>0</v>
      </c>
      <c r="X35" s="51">
        <f>-SUMIFS('Отчет 10-16.11'!P:P,'Отчет 10-16.11'!C:C,"Вознаграждение Ozon",'Отчет 10-16.11'!E:E,B35)</f>
        <v>0</v>
      </c>
      <c r="Y35" s="54">
        <f t="shared" si="44"/>
        <v>0</v>
      </c>
      <c r="Z35" s="51">
        <f>-SUMIFS('Отчет 10-16.11'!P:P,'Отчет 10-16.11'!C:C,"Услуги доставки",'Отчет 10-16.11'!E:E,B35)</f>
        <v>0</v>
      </c>
      <c r="AA35" s="41">
        <v>0</v>
      </c>
      <c r="AB35" s="64"/>
      <c r="AC35" s="51"/>
      <c r="AD35" s="55">
        <f t="shared" si="30"/>
        <v>0</v>
      </c>
      <c r="AE35" s="56">
        <f t="shared" si="31"/>
        <v>0</v>
      </c>
      <c r="AF35" s="55"/>
      <c r="AG35" s="57">
        <f t="shared" si="32"/>
        <v>0</v>
      </c>
      <c r="AH35" s="58">
        <f t="shared" si="33"/>
        <v>552</v>
      </c>
      <c r="AI35" s="58">
        <f t="shared" si="34"/>
        <v>0</v>
      </c>
      <c r="AJ35" s="58">
        <f t="shared" si="35"/>
        <v>0</v>
      </c>
      <c r="AK35" s="58">
        <f t="shared" si="36"/>
        <v>0</v>
      </c>
      <c r="AL35" s="58">
        <f t="array" ref="AL35">_xlfn.IFS(R35=0,AE35,R35&lt;0,AE35/-R35,R35&gt;0,AE35/R35)</f>
        <v>0</v>
      </c>
      <c r="AM35" s="59">
        <f t="shared" si="37"/>
        <v>0</v>
      </c>
      <c r="AN35" s="60">
        <f t="shared" si="38"/>
        <v>0</v>
      </c>
      <c r="AP35" s="62">
        <f t="shared" si="39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23"/>
        <v>9936</v>
      </c>
      <c r="J36" s="45"/>
      <c r="K36" s="41">
        <v>0</v>
      </c>
      <c r="L36" s="45"/>
      <c r="M36" s="45"/>
      <c r="N36" s="46">
        <f t="shared" si="24"/>
        <v>0</v>
      </c>
      <c r="O36" s="47">
        <f t="shared" si="25"/>
        <v>0</v>
      </c>
      <c r="P36" s="48">
        <f>SUMIFS('Отчет 10-16.11'!H:H,'Отчет 10-16.11'!D:D,"Выручка",'Отчет 10-16.11'!E:E,B36)</f>
        <v>0</v>
      </c>
      <c r="Q36" s="48">
        <f>SUMIFS('Отчет 10-16.11'!H:H,'Отчет 10-16.11'!D:D,"Возврат выручки",'Отчет 10-16.11'!E:E,B36)</f>
        <v>0</v>
      </c>
      <c r="R36" s="49">
        <f t="shared" si="40"/>
        <v>0</v>
      </c>
      <c r="S36" s="50">
        <f>SUMIFS('Отчет 10-16.11'!P:P,'Отчет 10-16.11'!C:C,"Продажи",'Отчет 10-16.11'!E:E,B36)</f>
        <v>0</v>
      </c>
      <c r="T36" s="51">
        <f>SUMIFS('Отчет 10-16.11'!P:P,'Отчет 10-16.11'!C:C,"Возвраты",'Отчет 10-16.11'!E:E,B36)</f>
        <v>0</v>
      </c>
      <c r="U36" s="49">
        <f t="shared" si="41"/>
        <v>0</v>
      </c>
      <c r="V36" s="52">
        <f t="shared" si="42"/>
        <v>0</v>
      </c>
      <c r="W36" s="53">
        <f t="shared" si="43"/>
        <v>0</v>
      </c>
      <c r="X36" s="51">
        <f>-SUMIFS('Отчет 10-16.11'!P:P,'Отчет 10-16.11'!C:C,"Вознаграждение Ozon",'Отчет 10-16.11'!E:E,B36)</f>
        <v>0</v>
      </c>
      <c r="Y36" s="54">
        <f t="shared" si="44"/>
        <v>0</v>
      </c>
      <c r="Z36" s="51">
        <f>-SUMIFS('Отчет 10-16.11'!P:P,'Отчет 10-16.11'!C:C,"Услуги доставки",'Отчет 10-16.11'!E:E,B36)</f>
        <v>0</v>
      </c>
      <c r="AA36" s="41">
        <v>444.13986899999998</v>
      </c>
      <c r="AB36" s="64"/>
      <c r="AC36" s="51"/>
      <c r="AD36" s="55">
        <f t="shared" si="30"/>
        <v>0</v>
      </c>
      <c r="AE36" s="56">
        <f t="shared" si="31"/>
        <v>-444.13986899999998</v>
      </c>
      <c r="AF36" s="55"/>
      <c r="AG36" s="57">
        <f t="shared" si="32"/>
        <v>0</v>
      </c>
      <c r="AH36" s="58">
        <f t="shared" si="33"/>
        <v>552</v>
      </c>
      <c r="AI36" s="58">
        <f t="shared" si="34"/>
        <v>0</v>
      </c>
      <c r="AJ36" s="58">
        <f t="shared" si="35"/>
        <v>0</v>
      </c>
      <c r="AK36" s="58">
        <f t="shared" si="36"/>
        <v>0</v>
      </c>
      <c r="AL36" s="58">
        <f t="array" ref="AL36">_xlfn.IFS(R36=0,AE36,R36&lt;0,AE36/-R36,R36&gt;0,AE36/R36)</f>
        <v>-444.13986899999998</v>
      </c>
      <c r="AM36" s="59">
        <f t="shared" si="37"/>
        <v>0</v>
      </c>
      <c r="AN36" s="60">
        <f t="shared" si="38"/>
        <v>-0.80460121195652168</v>
      </c>
      <c r="AP36" s="62">
        <f t="shared" si="39"/>
        <v>-7994.5176419999998</v>
      </c>
    </row>
    <row r="37" spans="1:42">
      <c r="A37" s="39">
        <v>2774712116</v>
      </c>
      <c r="B37" s="40" t="s">
        <v>62</v>
      </c>
      <c r="C37" s="41">
        <v>14</v>
      </c>
      <c r="D37" s="42"/>
      <c r="E37" s="42"/>
      <c r="F37" s="42"/>
      <c r="G37" s="43"/>
      <c r="H37" s="65">
        <v>687</v>
      </c>
      <c r="I37" s="63">
        <f t="shared" si="23"/>
        <v>9618</v>
      </c>
      <c r="J37" s="45"/>
      <c r="K37" s="41">
        <v>1</v>
      </c>
      <c r="L37" s="45"/>
      <c r="M37" s="45"/>
      <c r="N37" s="46">
        <f t="shared" si="24"/>
        <v>0.14285714285714285</v>
      </c>
      <c r="O37" s="47">
        <f t="shared" si="25"/>
        <v>-0.14285714285714285</v>
      </c>
      <c r="P37" s="48">
        <f>SUMIFS('Отчет 10-16.11'!H:H,'Отчет 10-16.11'!D:D,"Выручка",'Отчет 10-16.11'!E:E,B37)</f>
        <v>0</v>
      </c>
      <c r="Q37" s="48">
        <f>SUMIFS('Отчет 10-16.11'!H:H,'Отчет 10-16.11'!D:D,"Возврат выручки",'Отчет 10-16.11'!E:E,B37)</f>
        <v>1</v>
      </c>
      <c r="R37" s="49">
        <f t="shared" si="40"/>
        <v>-1</v>
      </c>
      <c r="S37" s="50">
        <f>SUMIFS('Отчет 10-16.11'!P:P,'Отчет 10-16.11'!C:C,"Продажи",'Отчет 10-16.11'!E:E,B37)</f>
        <v>0</v>
      </c>
      <c r="T37" s="51">
        <f>SUMIFS('Отчет 10-16.11'!P:P,'Отчет 10-16.11'!C:C,"Возвраты",'Отчет 10-16.11'!E:E,B37)</f>
        <v>-5500</v>
      </c>
      <c r="U37" s="49">
        <f t="shared" si="41"/>
        <v>-5500</v>
      </c>
      <c r="V37" s="52">
        <f t="shared" si="42"/>
        <v>-0.27811488673139156</v>
      </c>
      <c r="W37" s="53">
        <f t="shared" si="43"/>
        <v>-687</v>
      </c>
      <c r="X37" s="51">
        <f>-SUMIFS('Отчет 10-16.11'!P:P,'Отчет 10-16.11'!C:C,"Вознаграждение Ozon",'Отчет 10-16.11'!E:E,B37)</f>
        <v>-2090</v>
      </c>
      <c r="Y37" s="54">
        <f t="shared" si="44"/>
        <v>0.38</v>
      </c>
      <c r="Z37" s="51">
        <f>-SUMIFS('Отчет 10-16.11'!P:P,'Отчет 10-16.11'!C:C,"Услуги доставки",'Отчет 10-16.11'!E:E,B37)</f>
        <v>168</v>
      </c>
      <c r="AA37" s="41">
        <v>0</v>
      </c>
      <c r="AB37" s="64"/>
      <c r="AC37" s="51"/>
      <c r="AD37" s="55">
        <f t="shared" si="30"/>
        <v>-330</v>
      </c>
      <c r="AE37" s="56">
        <f t="shared" si="31"/>
        <v>-2561</v>
      </c>
      <c r="AF37" s="55"/>
      <c r="AG37" s="57">
        <f t="shared" si="32"/>
        <v>5500</v>
      </c>
      <c r="AH37" s="58">
        <f t="shared" si="33"/>
        <v>687</v>
      </c>
      <c r="AI37" s="58">
        <f t="shared" si="34"/>
        <v>2090</v>
      </c>
      <c r="AJ37" s="58">
        <f t="shared" si="35"/>
        <v>168</v>
      </c>
      <c r="AK37" s="58">
        <f t="shared" si="36"/>
        <v>0</v>
      </c>
      <c r="AL37" s="58">
        <f t="array" ref="AL37">_xlfn.IFS(R37=0,AE37,R37&lt;0,AE37/-R37,R37&gt;0,AE37/R37)</f>
        <v>-2561</v>
      </c>
      <c r="AM37" s="59">
        <f t="shared" si="37"/>
        <v>-0.46563636363636363</v>
      </c>
      <c r="AN37" s="60">
        <f t="shared" si="38"/>
        <v>-3.7278020378457062</v>
      </c>
      <c r="AP37" s="62">
        <f t="shared" si="39"/>
        <v>-35854</v>
      </c>
    </row>
    <row r="38" spans="1:42">
      <c r="A38" s="39">
        <v>2774719012</v>
      </c>
      <c r="B38" s="40" t="s">
        <v>239</v>
      </c>
      <c r="C38" s="41">
        <v>6</v>
      </c>
      <c r="D38" s="42"/>
      <c r="E38" s="42"/>
      <c r="F38" s="42"/>
      <c r="G38" s="43"/>
      <c r="H38" s="65">
        <v>687</v>
      </c>
      <c r="I38" s="63">
        <f t="shared" si="23"/>
        <v>4122</v>
      </c>
      <c r="J38" s="45"/>
      <c r="K38" s="41">
        <v>1</v>
      </c>
      <c r="L38" s="45"/>
      <c r="M38" s="45"/>
      <c r="N38" s="46">
        <f t="shared" si="24"/>
        <v>0.14285714285714285</v>
      </c>
      <c r="O38" s="47">
        <f t="shared" si="25"/>
        <v>0</v>
      </c>
      <c r="P38" s="48">
        <f>SUMIFS('Отчет 10-16.11'!H:H,'Отчет 10-16.11'!D:D,"Выручка",'Отчет 10-16.11'!E:E,B38)</f>
        <v>0</v>
      </c>
      <c r="Q38" s="48">
        <f>SUMIFS('Отчет 10-16.11'!H:H,'Отчет 10-16.11'!D:D,"Возврат выручки",'Отчет 10-16.11'!E:E,B38)</f>
        <v>0</v>
      </c>
      <c r="R38" s="49">
        <f t="shared" si="40"/>
        <v>0</v>
      </c>
      <c r="S38" s="50">
        <f>SUMIFS('Отчет 10-16.11'!P:P,'Отчет 10-16.11'!C:C,"Продажи",'Отчет 10-16.11'!E:E,B38)</f>
        <v>0</v>
      </c>
      <c r="T38" s="51">
        <f>SUMIFS('Отчет 10-16.11'!P:P,'Отчет 10-16.11'!C:C,"Возвраты",'Отчет 10-16.11'!E:E,B38)</f>
        <v>0</v>
      </c>
      <c r="U38" s="49">
        <f t="shared" si="41"/>
        <v>0</v>
      </c>
      <c r="V38" s="52">
        <f t="shared" si="42"/>
        <v>0</v>
      </c>
      <c r="W38" s="53">
        <f t="shared" si="43"/>
        <v>0</v>
      </c>
      <c r="X38" s="51">
        <f>-SUMIFS('Отчет 10-16.11'!P:P,'Отчет 10-16.11'!C:C,"Вознаграждение Ozon",'Отчет 10-16.11'!E:E,B38)</f>
        <v>0</v>
      </c>
      <c r="Y38" s="54">
        <f t="shared" si="44"/>
        <v>0</v>
      </c>
      <c r="Z38" s="51">
        <f>-SUMIFS('Отчет 10-16.11'!P:P,'Отчет 10-16.11'!C:C,"Услуги доставки",'Отчет 10-16.11'!E:E,B38)</f>
        <v>224</v>
      </c>
      <c r="AA38" s="41">
        <v>0</v>
      </c>
      <c r="AB38" s="64"/>
      <c r="AC38" s="51"/>
      <c r="AD38" s="55">
        <f t="shared" si="30"/>
        <v>0</v>
      </c>
      <c r="AE38" s="56">
        <f t="shared" si="31"/>
        <v>-224</v>
      </c>
      <c r="AF38" s="55"/>
      <c r="AG38" s="57">
        <f t="shared" si="32"/>
        <v>0</v>
      </c>
      <c r="AH38" s="58">
        <f t="shared" si="33"/>
        <v>687</v>
      </c>
      <c r="AI38" s="58">
        <f t="shared" si="34"/>
        <v>0</v>
      </c>
      <c r="AJ38" s="58">
        <f t="shared" si="35"/>
        <v>224</v>
      </c>
      <c r="AK38" s="58">
        <f t="shared" si="36"/>
        <v>0</v>
      </c>
      <c r="AL38" s="58">
        <f t="array" ref="AL38">_xlfn.IFS(R38=0,AE38,R38&lt;0,AE38/-R38,R38&gt;0,AE38/R38)</f>
        <v>-224</v>
      </c>
      <c r="AM38" s="59">
        <f t="shared" si="37"/>
        <v>0</v>
      </c>
      <c r="AN38" s="60">
        <f t="shared" si="38"/>
        <v>-0.32605531295487628</v>
      </c>
      <c r="AP38" s="62">
        <f t="shared" si="39"/>
        <v>-1344</v>
      </c>
    </row>
    <row r="39" spans="1:42">
      <c r="A39" s="39">
        <v>2774719433</v>
      </c>
      <c r="B39" s="40" t="s">
        <v>240</v>
      </c>
      <c r="C39" s="41">
        <v>16</v>
      </c>
      <c r="D39" s="42"/>
      <c r="E39" s="42"/>
      <c r="F39" s="42"/>
      <c r="G39" s="43"/>
      <c r="H39" s="65">
        <v>597</v>
      </c>
      <c r="I39" s="63">
        <f t="shared" si="23"/>
        <v>9552</v>
      </c>
      <c r="J39" s="45"/>
      <c r="K39" s="41">
        <v>3</v>
      </c>
      <c r="L39" s="45"/>
      <c r="M39" s="45"/>
      <c r="N39" s="46">
        <f t="shared" si="24"/>
        <v>0.42857142857142855</v>
      </c>
      <c r="O39" s="47">
        <f t="shared" si="25"/>
        <v>0.2857142857142857</v>
      </c>
      <c r="P39" s="48">
        <f>SUMIFS('Отчет 10-16.11'!H:H,'Отчет 10-16.11'!D:D,"Выручка",'Отчет 10-16.11'!E:E,B39)</f>
        <v>2</v>
      </c>
      <c r="Q39" s="48">
        <f>SUMIFS('Отчет 10-16.11'!H:H,'Отчет 10-16.11'!D:D,"Возврат выручки",'Отчет 10-16.11'!E:E,B39)</f>
        <v>0</v>
      </c>
      <c r="R39" s="49">
        <f t="shared" si="40"/>
        <v>2</v>
      </c>
      <c r="S39" s="50">
        <f>SUMIFS('Отчет 10-16.11'!P:P,'Отчет 10-16.11'!C:C,"Продажи",'Отчет 10-16.11'!E:E,B39)</f>
        <v>11000</v>
      </c>
      <c r="T39" s="51">
        <f>SUMIFS('Отчет 10-16.11'!P:P,'Отчет 10-16.11'!C:C,"Возвраты",'Отчет 10-16.11'!E:E,B39)</f>
        <v>0</v>
      </c>
      <c r="U39" s="49">
        <f t="shared" si="41"/>
        <v>11000</v>
      </c>
      <c r="V39" s="52">
        <f t="shared" si="42"/>
        <v>0.55622977346278313</v>
      </c>
      <c r="W39" s="53">
        <f t="shared" si="43"/>
        <v>1194</v>
      </c>
      <c r="X39" s="51">
        <f>-SUMIFS('Отчет 10-16.11'!P:P,'Отчет 10-16.11'!C:C,"Вознаграждение Ozon",'Отчет 10-16.11'!E:E,B39)</f>
        <v>4730</v>
      </c>
      <c r="Y39" s="54">
        <f t="shared" si="44"/>
        <v>0.43</v>
      </c>
      <c r="Z39" s="51">
        <f>-SUMIFS('Отчет 10-16.11'!P:P,'Отчет 10-16.11'!C:C,"Услуги доставки",'Отчет 10-16.11'!E:E,B39)</f>
        <v>300.66999999999996</v>
      </c>
      <c r="AA39" s="41">
        <v>3812.047634</v>
      </c>
      <c r="AB39" s="64"/>
      <c r="AC39" s="51"/>
      <c r="AD39" s="55">
        <f t="shared" si="30"/>
        <v>660</v>
      </c>
      <c r="AE39" s="56">
        <f t="shared" si="31"/>
        <v>303.28236599999991</v>
      </c>
      <c r="AF39" s="55"/>
      <c r="AG39" s="57">
        <f t="shared" si="32"/>
        <v>5500</v>
      </c>
      <c r="AH39" s="58">
        <f t="shared" si="33"/>
        <v>597</v>
      </c>
      <c r="AI39" s="58">
        <f t="shared" si="34"/>
        <v>2365</v>
      </c>
      <c r="AJ39" s="58">
        <f t="shared" si="35"/>
        <v>150.33499999999998</v>
      </c>
      <c r="AK39" s="58">
        <f t="shared" si="36"/>
        <v>1906.023817</v>
      </c>
      <c r="AL39" s="58">
        <f t="array" ref="AL39">_xlfn.IFS(R39=0,AE39,R39&lt;0,AE39/-R39,R39&gt;0,AE39/R39)</f>
        <v>151.64118299999996</v>
      </c>
      <c r="AM39" s="59">
        <f t="shared" si="37"/>
        <v>2.7571124181818174E-2</v>
      </c>
      <c r="AN39" s="60">
        <f t="shared" si="38"/>
        <v>0.25400533165829137</v>
      </c>
      <c r="AP39" s="62">
        <f t="shared" si="39"/>
        <v>2426.2589279999993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23"/>
        <v>10746</v>
      </c>
      <c r="J40" s="45"/>
      <c r="K40" s="41">
        <v>0</v>
      </c>
      <c r="L40" s="45"/>
      <c r="M40" s="45"/>
      <c r="N40" s="46">
        <f t="shared" si="24"/>
        <v>0</v>
      </c>
      <c r="O40" s="47">
        <f t="shared" si="25"/>
        <v>0</v>
      </c>
      <c r="P40" s="48">
        <f>SUMIFS('Отчет 10-16.11'!H:H,'Отчет 10-16.11'!D:D,"Выручка",'Отчет 10-16.11'!E:E,B40)</f>
        <v>0</v>
      </c>
      <c r="Q40" s="48">
        <f>SUMIFS('Отчет 10-16.11'!H:H,'Отчет 10-16.11'!D:D,"Возврат выручки",'Отчет 10-16.11'!E:E,B40)</f>
        <v>0</v>
      </c>
      <c r="R40" s="49">
        <f t="shared" si="40"/>
        <v>0</v>
      </c>
      <c r="S40" s="50">
        <f>SUMIFS('Отчет 10-16.11'!P:P,'Отчет 10-16.11'!C:C,"Продажи",'Отчет 10-16.11'!E:E,B40)</f>
        <v>0</v>
      </c>
      <c r="T40" s="51">
        <f>SUMIFS('Отчет 10-16.11'!P:P,'Отчет 10-16.11'!C:C,"Возвраты",'Отчет 10-16.11'!E:E,B40)</f>
        <v>0</v>
      </c>
      <c r="U40" s="49">
        <f t="shared" si="41"/>
        <v>0</v>
      </c>
      <c r="V40" s="52">
        <f t="shared" si="42"/>
        <v>0</v>
      </c>
      <c r="W40" s="53">
        <f t="shared" si="43"/>
        <v>0</v>
      </c>
      <c r="X40" s="51">
        <f>-SUMIFS('Отчет 10-16.11'!P:P,'Отчет 10-16.11'!C:C,"Вознаграждение Ozon",'Отчет 10-16.11'!E:E,B40)</f>
        <v>0</v>
      </c>
      <c r="Y40" s="54">
        <f t="shared" si="44"/>
        <v>0</v>
      </c>
      <c r="Z40" s="51">
        <f>-SUMIFS('Отчет 10-16.11'!P:P,'Отчет 10-16.11'!C:C,"Услуги доставки",'Отчет 10-16.11'!E:E,B40)</f>
        <v>0</v>
      </c>
      <c r="AA40" s="41">
        <v>0</v>
      </c>
      <c r="AB40" s="64"/>
      <c r="AC40" s="51"/>
      <c r="AD40" s="55">
        <f t="shared" si="30"/>
        <v>0</v>
      </c>
      <c r="AE40" s="56">
        <f t="shared" si="31"/>
        <v>0</v>
      </c>
      <c r="AF40" s="55"/>
      <c r="AG40" s="57">
        <f t="shared" si="32"/>
        <v>0</v>
      </c>
      <c r="AH40" s="58">
        <f t="shared" si="33"/>
        <v>597</v>
      </c>
      <c r="AI40" s="58">
        <f t="shared" si="34"/>
        <v>0</v>
      </c>
      <c r="AJ40" s="58">
        <f t="shared" si="35"/>
        <v>0</v>
      </c>
      <c r="AK40" s="58">
        <f t="shared" si="36"/>
        <v>0</v>
      </c>
      <c r="AL40" s="58">
        <f t="array" ref="AL40">_xlfn.IFS(R40=0,AE40,R40&lt;0,AE40/-R40,R40&gt;0,AE40/R40)</f>
        <v>0</v>
      </c>
      <c r="AM40" s="59">
        <f t="shared" si="37"/>
        <v>0</v>
      </c>
      <c r="AN40" s="60">
        <f t="shared" si="38"/>
        <v>0</v>
      </c>
      <c r="AP40" s="62">
        <f t="shared" si="39"/>
        <v>0</v>
      </c>
    </row>
    <row r="41" spans="1:42">
      <c r="A41" s="39">
        <v>2774719553</v>
      </c>
      <c r="B41" s="40" t="s">
        <v>242</v>
      </c>
      <c r="C41" s="41">
        <v>18</v>
      </c>
      <c r="D41" s="42"/>
      <c r="E41" s="42"/>
      <c r="F41" s="42"/>
      <c r="G41" s="43"/>
      <c r="H41" s="65">
        <v>597</v>
      </c>
      <c r="I41" s="63">
        <f t="shared" si="23"/>
        <v>10746</v>
      </c>
      <c r="J41" s="45"/>
      <c r="K41" s="41">
        <v>1</v>
      </c>
      <c r="L41" s="45"/>
      <c r="M41" s="45"/>
      <c r="N41" s="46">
        <f t="shared" si="24"/>
        <v>0.14285714285714285</v>
      </c>
      <c r="O41" s="47">
        <f t="shared" si="25"/>
        <v>0</v>
      </c>
      <c r="P41" s="48">
        <f>SUMIFS('Отчет 10-16.11'!H:H,'Отчет 10-16.11'!D:D,"Выручка",'Отчет 10-16.11'!E:E,B41)</f>
        <v>0</v>
      </c>
      <c r="Q41" s="48">
        <f>SUMIFS('Отчет 10-16.11'!H:H,'Отчет 10-16.11'!D:D,"Возврат выручки",'Отчет 10-16.11'!E:E,B41)</f>
        <v>0</v>
      </c>
      <c r="R41" s="49">
        <f t="shared" si="40"/>
        <v>0</v>
      </c>
      <c r="S41" s="50">
        <f>SUMIFS('Отчет 10-16.11'!P:P,'Отчет 10-16.11'!C:C,"Продажи",'Отчет 10-16.11'!E:E,B41)</f>
        <v>0</v>
      </c>
      <c r="T41" s="51">
        <f>SUMIFS('Отчет 10-16.11'!P:P,'Отчет 10-16.11'!C:C,"Возвраты",'Отчет 10-16.11'!E:E,B41)</f>
        <v>0</v>
      </c>
      <c r="U41" s="49">
        <f t="shared" si="41"/>
        <v>0</v>
      </c>
      <c r="V41" s="52">
        <f t="shared" si="42"/>
        <v>0</v>
      </c>
      <c r="W41" s="53">
        <f t="shared" si="43"/>
        <v>0</v>
      </c>
      <c r="X41" s="51">
        <f>-SUMIFS('Отчет 10-16.11'!P:P,'Отчет 10-16.11'!C:C,"Вознаграждение Ozon",'Отчет 10-16.11'!E:E,B41)</f>
        <v>0</v>
      </c>
      <c r="Y41" s="54">
        <f t="shared" si="44"/>
        <v>0</v>
      </c>
      <c r="Z41" s="51">
        <f>-SUMIFS('Отчет 10-16.11'!P:P,'Отчет 10-16.11'!C:C,"Услуги доставки",'Отчет 10-16.11'!E:E,B41)</f>
        <v>56</v>
      </c>
      <c r="AA41" s="41">
        <v>0</v>
      </c>
      <c r="AB41" s="64"/>
      <c r="AC41" s="51"/>
      <c r="AD41" s="55">
        <f t="shared" si="30"/>
        <v>0</v>
      </c>
      <c r="AE41" s="56">
        <f t="shared" si="31"/>
        <v>-56</v>
      </c>
      <c r="AF41" s="55"/>
      <c r="AG41" s="57">
        <f t="shared" si="32"/>
        <v>0</v>
      </c>
      <c r="AH41" s="58">
        <f t="shared" si="33"/>
        <v>597</v>
      </c>
      <c r="AI41" s="58">
        <f t="shared" si="34"/>
        <v>0</v>
      </c>
      <c r="AJ41" s="58">
        <f t="shared" si="35"/>
        <v>56</v>
      </c>
      <c r="AK41" s="58">
        <f t="shared" si="36"/>
        <v>0</v>
      </c>
      <c r="AL41" s="58">
        <f t="array" ref="AL41">_xlfn.IFS(R41=0,AE41,R41&lt;0,AE41/-R41,R41&gt;0,AE41/R41)</f>
        <v>-56</v>
      </c>
      <c r="AM41" s="59">
        <f t="shared" si="37"/>
        <v>0</v>
      </c>
      <c r="AN41" s="60">
        <f t="shared" si="38"/>
        <v>-9.380234505862646E-2</v>
      </c>
      <c r="AP41" s="62">
        <f t="shared" si="39"/>
        <v>-1008</v>
      </c>
    </row>
    <row r="42" spans="1:42">
      <c r="A42" s="39">
        <v>2774710913</v>
      </c>
      <c r="B42" s="40" t="s">
        <v>243</v>
      </c>
      <c r="C42" s="41">
        <v>19</v>
      </c>
      <c r="D42" s="42"/>
      <c r="E42" s="42"/>
      <c r="F42" s="42"/>
      <c r="G42" s="43"/>
      <c r="H42" s="65">
        <v>642</v>
      </c>
      <c r="I42" s="63">
        <f t="shared" si="23"/>
        <v>12198</v>
      </c>
      <c r="J42" s="45"/>
      <c r="K42" s="41">
        <v>1</v>
      </c>
      <c r="L42" s="45"/>
      <c r="M42" s="45"/>
      <c r="N42" s="46">
        <f t="shared" si="24"/>
        <v>0.14285714285714285</v>
      </c>
      <c r="O42" s="47">
        <f t="shared" si="25"/>
        <v>0</v>
      </c>
      <c r="P42" s="48">
        <f>SUMIFS('Отчет 10-16.11'!H:H,'Отчет 10-16.11'!D:D,"Выручка",'Отчет 10-16.11'!E:E,B42)</f>
        <v>0</v>
      </c>
      <c r="Q42" s="48">
        <f>SUMIFS('Отчет 10-16.11'!H:H,'Отчет 10-16.11'!D:D,"Возврат выручки",'Отчет 10-16.11'!E:E,B42)</f>
        <v>0</v>
      </c>
      <c r="R42" s="49">
        <f t="shared" si="40"/>
        <v>0</v>
      </c>
      <c r="S42" s="50">
        <f>SUMIFS('Отчет 10-16.11'!P:P,'Отчет 10-16.11'!C:C,"Продажи",'Отчет 10-16.11'!E:E,B42)</f>
        <v>0</v>
      </c>
      <c r="T42" s="51">
        <f>SUMIFS('Отчет 10-16.11'!P:P,'Отчет 10-16.11'!C:C,"Возвраты",'Отчет 10-16.11'!E:E,B42)</f>
        <v>0</v>
      </c>
      <c r="U42" s="49">
        <f t="shared" si="41"/>
        <v>0</v>
      </c>
      <c r="V42" s="52">
        <f t="shared" si="42"/>
        <v>0</v>
      </c>
      <c r="W42" s="53">
        <f t="shared" si="43"/>
        <v>0</v>
      </c>
      <c r="X42" s="51">
        <f>-SUMIFS('Отчет 10-16.11'!P:P,'Отчет 10-16.11'!C:C,"Вознаграждение Ozon",'Отчет 10-16.11'!E:E,B42)</f>
        <v>0</v>
      </c>
      <c r="Y42" s="54">
        <f t="shared" si="44"/>
        <v>0</v>
      </c>
      <c r="Z42" s="51">
        <f>-SUMIFS('Отчет 10-16.11'!P:P,'Отчет 10-16.11'!C:C,"Услуги доставки",'Отчет 10-16.11'!E:E,B42)</f>
        <v>112</v>
      </c>
      <c r="AA42" s="41">
        <v>864.42566599999998</v>
      </c>
      <c r="AB42" s="64"/>
      <c r="AC42" s="51"/>
      <c r="AD42" s="55">
        <f t="shared" si="30"/>
        <v>0</v>
      </c>
      <c r="AE42" s="56">
        <f t="shared" si="31"/>
        <v>-976.42566599999998</v>
      </c>
      <c r="AF42" s="55"/>
      <c r="AG42" s="57">
        <f t="shared" si="32"/>
        <v>0</v>
      </c>
      <c r="AH42" s="58">
        <f t="shared" si="33"/>
        <v>642</v>
      </c>
      <c r="AI42" s="58">
        <f t="shared" si="34"/>
        <v>0</v>
      </c>
      <c r="AJ42" s="58">
        <f t="shared" si="35"/>
        <v>112</v>
      </c>
      <c r="AK42" s="58">
        <f t="shared" si="36"/>
        <v>0</v>
      </c>
      <c r="AL42" s="58">
        <f t="array" ref="AL42">_xlfn.IFS(R42=0,AE42,R42&lt;0,AE42/-R42,R42&gt;0,AE42/R42)</f>
        <v>-976.42566599999998</v>
      </c>
      <c r="AM42" s="59">
        <f t="shared" si="37"/>
        <v>0</v>
      </c>
      <c r="AN42" s="60">
        <f t="shared" si="38"/>
        <v>-1.5209122523364487</v>
      </c>
      <c r="AP42" s="62">
        <f t="shared" si="39"/>
        <v>-18552.087653999999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23"/>
        <v>12198</v>
      </c>
      <c r="J43" s="45"/>
      <c r="K43" s="41">
        <v>0</v>
      </c>
      <c r="L43" s="45"/>
      <c r="M43" s="45"/>
      <c r="N43" s="46">
        <f t="shared" si="24"/>
        <v>0</v>
      </c>
      <c r="O43" s="47">
        <f t="shared" si="25"/>
        <v>0</v>
      </c>
      <c r="P43" s="48">
        <f>SUMIFS('Отчет 10-16.11'!H:H,'Отчет 10-16.11'!D:D,"Выручка",'Отчет 10-16.11'!E:E,B43)</f>
        <v>0</v>
      </c>
      <c r="Q43" s="48">
        <f>SUMIFS('Отчет 10-16.11'!H:H,'Отчет 10-16.11'!D:D,"Возврат выручки",'Отчет 10-16.11'!E:E,B43)</f>
        <v>0</v>
      </c>
      <c r="R43" s="49">
        <f t="shared" si="40"/>
        <v>0</v>
      </c>
      <c r="S43" s="50">
        <f>SUMIFS('Отчет 10-16.11'!P:P,'Отчет 10-16.11'!C:C,"Продажи",'Отчет 10-16.11'!E:E,B43)</f>
        <v>0</v>
      </c>
      <c r="T43" s="51">
        <f>SUMIFS('Отчет 10-16.11'!P:P,'Отчет 10-16.11'!C:C,"Возвраты",'Отчет 10-16.11'!E:E,B43)</f>
        <v>0</v>
      </c>
      <c r="U43" s="49">
        <f t="shared" si="41"/>
        <v>0</v>
      </c>
      <c r="V43" s="52">
        <f t="shared" si="42"/>
        <v>0</v>
      </c>
      <c r="W43" s="53">
        <f t="shared" si="43"/>
        <v>0</v>
      </c>
      <c r="X43" s="51">
        <f>-SUMIFS('Отчет 10-16.11'!P:P,'Отчет 10-16.11'!C:C,"Вознаграждение Ozon",'Отчет 10-16.11'!E:E,B43)</f>
        <v>0</v>
      </c>
      <c r="Y43" s="54">
        <f t="shared" si="44"/>
        <v>0</v>
      </c>
      <c r="Z43" s="51">
        <f>-SUMIFS('Отчет 10-16.11'!P:P,'Отчет 10-16.11'!C:C,"Услуги доставки",'Отчет 10-16.11'!E:E,B43)</f>
        <v>0</v>
      </c>
      <c r="AA43" s="41">
        <v>0</v>
      </c>
      <c r="AB43" s="64"/>
      <c r="AC43" s="51"/>
      <c r="AD43" s="55">
        <f t="shared" si="30"/>
        <v>0</v>
      </c>
      <c r="AE43" s="56">
        <f t="shared" si="31"/>
        <v>0</v>
      </c>
      <c r="AF43" s="55"/>
      <c r="AG43" s="57">
        <f t="shared" si="32"/>
        <v>0</v>
      </c>
      <c r="AH43" s="58">
        <f t="shared" si="33"/>
        <v>642</v>
      </c>
      <c r="AI43" s="58">
        <f t="shared" si="34"/>
        <v>0</v>
      </c>
      <c r="AJ43" s="58">
        <f t="shared" si="35"/>
        <v>0</v>
      </c>
      <c r="AK43" s="58">
        <f t="shared" si="36"/>
        <v>0</v>
      </c>
      <c r="AL43" s="58">
        <f t="array" ref="AL43">_xlfn.IFS(R43=0,AE43,R43&lt;0,AE43/-R43,R43&gt;0,AE43/R43)</f>
        <v>0</v>
      </c>
      <c r="AM43" s="59">
        <f t="shared" si="37"/>
        <v>0</v>
      </c>
      <c r="AN43" s="60">
        <f t="shared" si="38"/>
        <v>0</v>
      </c>
      <c r="AP43" s="62">
        <f t="shared" si="39"/>
        <v>0</v>
      </c>
    </row>
    <row r="44" spans="1:42">
      <c r="A44" s="39">
        <v>2774722656</v>
      </c>
      <c r="B44" s="40" t="s">
        <v>51</v>
      </c>
      <c r="C44" s="41">
        <v>6</v>
      </c>
      <c r="D44" s="42"/>
      <c r="E44" s="42"/>
      <c r="F44" s="42"/>
      <c r="G44" s="43"/>
      <c r="H44" s="65">
        <v>687</v>
      </c>
      <c r="I44" s="63">
        <f t="shared" si="23"/>
        <v>4122</v>
      </c>
      <c r="J44" s="45"/>
      <c r="K44" s="41">
        <v>3</v>
      </c>
      <c r="L44" s="45"/>
      <c r="M44" s="45"/>
      <c r="N44" s="46">
        <f t="shared" si="24"/>
        <v>0.42857142857142855</v>
      </c>
      <c r="O44" s="47">
        <f t="shared" si="25"/>
        <v>0.14285714285714285</v>
      </c>
      <c r="P44" s="48">
        <f>SUMIFS('Отчет 10-16.11'!H:H,'Отчет 10-16.11'!D:D,"Выручка",'Отчет 10-16.11'!E:E,B44)</f>
        <v>1</v>
      </c>
      <c r="Q44" s="48">
        <f>SUMIFS('Отчет 10-16.11'!H:H,'Отчет 10-16.11'!D:D,"Возврат выручки",'Отчет 10-16.11'!E:E,B44)</f>
        <v>0</v>
      </c>
      <c r="R44" s="49">
        <f t="shared" si="40"/>
        <v>1</v>
      </c>
      <c r="S44" s="50">
        <f>SUMIFS('Отчет 10-16.11'!P:P,'Отчет 10-16.11'!C:C,"Продажи",'Отчет 10-16.11'!E:E,B44)</f>
        <v>5500</v>
      </c>
      <c r="T44" s="51">
        <f>SUMIFS('Отчет 10-16.11'!P:P,'Отчет 10-16.11'!C:C,"Возвраты",'Отчет 10-16.11'!E:E,B44)</f>
        <v>0</v>
      </c>
      <c r="U44" s="49">
        <f t="shared" si="41"/>
        <v>5500</v>
      </c>
      <c r="V44" s="52">
        <f t="shared" si="42"/>
        <v>0.27811488673139156</v>
      </c>
      <c r="W44" s="53">
        <f t="shared" si="43"/>
        <v>687</v>
      </c>
      <c r="X44" s="51">
        <f>-SUMIFS('Отчет 10-16.11'!P:P,'Отчет 10-16.11'!C:C,"Вознаграждение Ozon",'Отчет 10-16.11'!E:E,B44)</f>
        <v>2365</v>
      </c>
      <c r="Y44" s="54">
        <f t="shared" si="44"/>
        <v>0.43</v>
      </c>
      <c r="Z44" s="51">
        <f>-SUMIFS('Отчет 10-16.11'!P:P,'Отчет 10-16.11'!C:C,"Услуги доставки",'Отчет 10-16.11'!E:E,B44)</f>
        <v>280</v>
      </c>
      <c r="AA44" s="41">
        <v>1428.013432</v>
      </c>
      <c r="AB44" s="64"/>
      <c r="AC44" s="51"/>
      <c r="AD44" s="55">
        <f t="shared" si="30"/>
        <v>330</v>
      </c>
      <c r="AE44" s="56">
        <f t="shared" si="31"/>
        <v>409.98656800000003</v>
      </c>
      <c r="AF44" s="55"/>
      <c r="AG44" s="57">
        <f t="shared" si="32"/>
        <v>5500</v>
      </c>
      <c r="AH44" s="58">
        <f t="shared" si="33"/>
        <v>687</v>
      </c>
      <c r="AI44" s="58">
        <f t="shared" si="34"/>
        <v>2365</v>
      </c>
      <c r="AJ44" s="58">
        <f t="shared" si="35"/>
        <v>280</v>
      </c>
      <c r="AK44" s="58">
        <f t="shared" si="36"/>
        <v>1428.013432</v>
      </c>
      <c r="AL44" s="58">
        <f t="array" ref="AL44">_xlfn.IFS(R44=0,AE44,R44&lt;0,AE44/-R44,R44&gt;0,AE44/R44)</f>
        <v>409.98656800000003</v>
      </c>
      <c r="AM44" s="59">
        <f t="shared" si="37"/>
        <v>7.4543012363636377E-2</v>
      </c>
      <c r="AN44" s="60">
        <f t="shared" si="38"/>
        <v>0.59677811935953429</v>
      </c>
      <c r="AP44" s="62">
        <f t="shared" si="39"/>
        <v>2459.9194080000002</v>
      </c>
    </row>
    <row r="45" spans="1:42">
      <c r="A45" s="39">
        <v>2774721190</v>
      </c>
      <c r="B45" s="40" t="s">
        <v>70</v>
      </c>
      <c r="C45" s="41">
        <v>6</v>
      </c>
      <c r="D45" s="42"/>
      <c r="E45" s="42"/>
      <c r="F45" s="42"/>
      <c r="G45" s="43"/>
      <c r="H45" s="65">
        <v>687</v>
      </c>
      <c r="I45" s="63">
        <f t="shared" si="23"/>
        <v>4122</v>
      </c>
      <c r="J45" s="45"/>
      <c r="K45" s="41">
        <v>0</v>
      </c>
      <c r="L45" s="45"/>
      <c r="M45" s="45"/>
      <c r="N45" s="46">
        <f t="shared" si="24"/>
        <v>0</v>
      </c>
      <c r="O45" s="47">
        <f t="shared" si="25"/>
        <v>0.14285714285714285</v>
      </c>
      <c r="P45" s="48">
        <f>SUMIFS('Отчет 10-16.11'!H:H,'Отчет 10-16.11'!D:D,"Выручка",'Отчет 10-16.11'!E:E,B45)</f>
        <v>1</v>
      </c>
      <c r="Q45" s="48">
        <f>SUMIFS('Отчет 10-16.11'!H:H,'Отчет 10-16.11'!D:D,"Возврат выручки",'Отчет 10-16.11'!E:E,B45)</f>
        <v>0</v>
      </c>
      <c r="R45" s="49">
        <f t="shared" si="40"/>
        <v>1</v>
      </c>
      <c r="S45" s="50">
        <f>SUMIFS('Отчет 10-16.11'!P:P,'Отчет 10-16.11'!C:C,"Продажи",'Отчет 10-16.11'!E:E,B45)</f>
        <v>5500</v>
      </c>
      <c r="T45" s="51">
        <f>SUMIFS('Отчет 10-16.11'!P:P,'Отчет 10-16.11'!C:C,"Возвраты",'Отчет 10-16.11'!E:E,B45)</f>
        <v>0</v>
      </c>
      <c r="U45" s="49">
        <f t="shared" si="41"/>
        <v>5500</v>
      </c>
      <c r="V45" s="52">
        <f t="shared" si="42"/>
        <v>0.27811488673139156</v>
      </c>
      <c r="W45" s="53">
        <f t="shared" si="43"/>
        <v>687</v>
      </c>
      <c r="X45" s="51">
        <f>-SUMIFS('Отчет 10-16.11'!P:P,'Отчет 10-16.11'!C:C,"Вознаграждение Ozon",'Отчет 10-16.11'!E:E,B45)</f>
        <v>2090</v>
      </c>
      <c r="Y45" s="54">
        <f t="shared" si="44"/>
        <v>0.38</v>
      </c>
      <c r="Z45" s="51">
        <f>-SUMIFS('Отчет 10-16.11'!P:P,'Отчет 10-16.11'!C:C,"Услуги доставки",'Отчет 10-16.11'!E:E,B45)</f>
        <v>336</v>
      </c>
      <c r="AA45" s="41">
        <v>1265</v>
      </c>
      <c r="AB45" s="64"/>
      <c r="AC45" s="51"/>
      <c r="AD45" s="55">
        <f t="shared" si="30"/>
        <v>330</v>
      </c>
      <c r="AE45" s="56">
        <f t="shared" si="31"/>
        <v>792</v>
      </c>
      <c r="AF45" s="55"/>
      <c r="AG45" s="57">
        <f t="shared" si="32"/>
        <v>5500</v>
      </c>
      <c r="AH45" s="58">
        <f t="shared" si="33"/>
        <v>687</v>
      </c>
      <c r="AI45" s="58">
        <f t="shared" si="34"/>
        <v>2090</v>
      </c>
      <c r="AJ45" s="58">
        <f t="shared" si="35"/>
        <v>336</v>
      </c>
      <c r="AK45" s="58">
        <f t="shared" si="36"/>
        <v>1265</v>
      </c>
      <c r="AL45" s="58">
        <f t="array" ref="AL45">_xlfn.IFS(R45=0,AE45,R45&lt;0,AE45/-R45,R45&gt;0,AE45/R45)</f>
        <v>792</v>
      </c>
      <c r="AM45" s="59">
        <f t="shared" si="37"/>
        <v>0.14399999999999999</v>
      </c>
      <c r="AN45" s="60">
        <f t="shared" si="38"/>
        <v>1.1528384279475983</v>
      </c>
      <c r="AP45" s="62">
        <f t="shared" si="39"/>
        <v>4752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23"/>
        <v>3312</v>
      </c>
      <c r="J46" s="45"/>
      <c r="K46" s="41">
        <v>0</v>
      </c>
      <c r="L46" s="45"/>
      <c r="M46" s="45"/>
      <c r="N46" s="46">
        <f t="shared" si="24"/>
        <v>0</v>
      </c>
      <c r="O46" s="47">
        <f t="shared" si="25"/>
        <v>0</v>
      </c>
      <c r="P46" s="48">
        <f>SUMIFS('Отчет 10-16.11'!H:H,'Отчет 10-16.11'!D:D,"Выручка",'Отчет 10-16.11'!E:E,B46)</f>
        <v>0</v>
      </c>
      <c r="Q46" s="48">
        <f>SUMIFS('Отчет 10-16.11'!H:H,'Отчет 10-16.11'!D:D,"Возврат выручки",'Отчет 10-16.11'!E:E,B46)</f>
        <v>0</v>
      </c>
      <c r="R46" s="49">
        <f t="shared" si="40"/>
        <v>0</v>
      </c>
      <c r="S46" s="50">
        <f>SUMIFS('Отчет 10-16.11'!P:P,'Отчет 10-16.11'!C:C,"Продажи",'Отчет 10-16.11'!E:E,B46)</f>
        <v>0</v>
      </c>
      <c r="T46" s="51">
        <f>SUMIFS('Отчет 10-16.11'!P:P,'Отчет 10-16.11'!C:C,"Возвраты",'Отчет 10-16.11'!E:E,B46)</f>
        <v>0</v>
      </c>
      <c r="U46" s="49">
        <f t="shared" si="41"/>
        <v>0</v>
      </c>
      <c r="V46" s="52">
        <f t="shared" si="42"/>
        <v>0</v>
      </c>
      <c r="W46" s="53">
        <f t="shared" si="43"/>
        <v>0</v>
      </c>
      <c r="X46" s="51">
        <f>-SUMIFS('Отчет 10-16.11'!P:P,'Отчет 10-16.11'!C:C,"Вознаграждение Ozon",'Отчет 10-16.11'!E:E,B46)</f>
        <v>0</v>
      </c>
      <c r="Y46" s="54">
        <f t="shared" si="44"/>
        <v>0</v>
      </c>
      <c r="Z46" s="51">
        <f>-SUMIFS('Отчет 10-16.11'!P:P,'Отчет 10-16.11'!C:C,"Услуги доставки",'Отчет 10-16.11'!E:E,B46)</f>
        <v>0</v>
      </c>
      <c r="AA46" s="41">
        <v>0</v>
      </c>
      <c r="AB46" s="64"/>
      <c r="AC46" s="51"/>
      <c r="AD46" s="55">
        <f t="shared" si="30"/>
        <v>0</v>
      </c>
      <c r="AE46" s="56">
        <f t="shared" si="31"/>
        <v>0</v>
      </c>
      <c r="AF46" s="55"/>
      <c r="AG46" s="57">
        <f t="shared" si="32"/>
        <v>0</v>
      </c>
      <c r="AH46" s="58">
        <f t="shared" si="33"/>
        <v>552</v>
      </c>
      <c r="AI46" s="58">
        <f t="shared" si="34"/>
        <v>0</v>
      </c>
      <c r="AJ46" s="58">
        <f t="shared" si="35"/>
        <v>0</v>
      </c>
      <c r="AK46" s="58">
        <f t="shared" si="36"/>
        <v>0</v>
      </c>
      <c r="AL46" s="58">
        <f t="array" ref="AL46">_xlfn.IFS(R46=0,AE46,R46&lt;0,AE46/-R46,R46&gt;0,AE46/R46)</f>
        <v>0</v>
      </c>
      <c r="AM46" s="59">
        <f t="shared" si="37"/>
        <v>0</v>
      </c>
      <c r="AN46" s="60">
        <f t="shared" si="38"/>
        <v>0</v>
      </c>
      <c r="AP46" s="62">
        <f t="shared" si="39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24"/>
        <v>0</v>
      </c>
      <c r="O47" s="47">
        <f t="shared" si="25"/>
        <v>0</v>
      </c>
      <c r="P47" s="48">
        <f>SUMIFS('Отчет 10-16.11'!H:H,'Отчет 10-16.11'!D:D,"Выручка",'Отчет 10-16.11'!E:E,B47)</f>
        <v>0</v>
      </c>
      <c r="Q47" s="48">
        <f>SUMIFS('Отчет 10-16.11'!H:H,'Отчет 10-16.11'!D:D,"Возврат выручки",'Отчет 10-16.11'!E:E,B47)</f>
        <v>0</v>
      </c>
      <c r="R47" s="49">
        <f t="shared" si="40"/>
        <v>0</v>
      </c>
      <c r="S47" s="50">
        <f>SUMIFS('Отчет 10-16.11'!P:P,'Отчет 10-16.11'!C:C,"Продажи",'Отчет 10-16.11'!E:E,B47)</f>
        <v>0</v>
      </c>
      <c r="T47" s="51">
        <f>SUMIFS('Отчет 10-16.11'!P:P,'Отчет 10-16.11'!C:C,"Возвраты",'Отчет 10-16.11'!E:E,B47)</f>
        <v>0</v>
      </c>
      <c r="U47" s="49">
        <f t="shared" si="41"/>
        <v>0</v>
      </c>
      <c r="V47" s="52">
        <f t="shared" si="42"/>
        <v>0</v>
      </c>
      <c r="W47" s="53">
        <f t="shared" si="43"/>
        <v>0</v>
      </c>
      <c r="X47" s="51">
        <f>-SUMIFS('Отчет 10-16.11'!P:P,'Отчет 10-16.11'!C:C,"Вознаграждение Ozon",'Отчет 10-16.11'!E:E,B47)</f>
        <v>0</v>
      </c>
      <c r="Y47" s="54">
        <f t="shared" si="44"/>
        <v>0</v>
      </c>
      <c r="Z47" s="51">
        <f>-SUMIFS('Отчет 10-16.11'!P:P,'Отчет 10-16.11'!C:C,"Услуги доставки",'Отчет 10-16.11'!E:E,B47)</f>
        <v>0</v>
      </c>
      <c r="AA47" s="41">
        <v>0</v>
      </c>
      <c r="AB47" s="64"/>
      <c r="AC47" s="51"/>
      <c r="AD47" s="55">
        <f t="shared" si="30"/>
        <v>0</v>
      </c>
      <c r="AE47" s="56">
        <f t="shared" si="31"/>
        <v>0</v>
      </c>
      <c r="AF47" s="55"/>
      <c r="AG47" s="57">
        <f t="shared" si="32"/>
        <v>0</v>
      </c>
      <c r="AH47" s="58">
        <f t="shared" si="33"/>
        <v>552</v>
      </c>
      <c r="AI47" s="58">
        <f t="shared" si="34"/>
        <v>0</v>
      </c>
      <c r="AJ47" s="58">
        <f t="shared" si="35"/>
        <v>0</v>
      </c>
      <c r="AK47" s="58">
        <f t="shared" si="36"/>
        <v>0</v>
      </c>
      <c r="AL47" s="58">
        <f t="array" ref="AL47">_xlfn.IFS(R47=0,AE47,R47&lt;0,AE47/-R47,R47&gt;0,AE47/R47)</f>
        <v>0</v>
      </c>
      <c r="AM47" s="59">
        <f t="shared" si="37"/>
        <v>0</v>
      </c>
      <c r="AN47" s="60">
        <f t="shared" si="38"/>
        <v>0</v>
      </c>
      <c r="AP47" s="62">
        <f t="shared" si="39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45">AVERAGEIF(AG28:AG47,"&lt;&gt;0",AG28:AG47)</f>
        <v>5055.2</v>
      </c>
      <c r="AH48" s="259">
        <f t="shared" si="45"/>
        <v>617.25</v>
      </c>
      <c r="AI48" s="259">
        <f t="shared" si="45"/>
        <v>2063.7359999999999</v>
      </c>
      <c r="AJ48" s="259">
        <f t="shared" si="45"/>
        <v>155.0335</v>
      </c>
      <c r="AK48" s="259">
        <f t="shared" si="45"/>
        <v>1533.0124163333332</v>
      </c>
      <c r="AL48" s="259">
        <f t="shared" si="45"/>
        <v>-291.53192836363633</v>
      </c>
      <c r="AM48" s="260">
        <f t="shared" si="45"/>
        <v>1.4566861053124654E-2</v>
      </c>
      <c r="AN48" s="260">
        <f t="shared" si="45"/>
        <v>-0.4577218017238337</v>
      </c>
      <c r="AO48" s="240"/>
      <c r="AP48" s="241"/>
    </row>
    <row r="49" spans="1:42">
      <c r="A49" s="218" t="s">
        <v>306</v>
      </c>
      <c r="B49" s="219"/>
      <c r="C49" s="220">
        <f>SUM(C28:C47)</f>
        <v>301</v>
      </c>
      <c r="D49" s="221"/>
      <c r="E49" s="221"/>
      <c r="F49" s="221"/>
      <c r="G49" s="221"/>
      <c r="H49" s="222"/>
      <c r="I49" s="220">
        <f>SUM(I28:I47)</f>
        <v>183672</v>
      </c>
      <c r="J49" s="223"/>
      <c r="K49" s="220">
        <f>SUM(K28:K47)</f>
        <v>18</v>
      </c>
      <c r="L49" s="223"/>
      <c r="M49" s="223"/>
      <c r="N49" s="224"/>
      <c r="O49" s="225"/>
      <c r="P49" s="220">
        <f t="shared" ref="P49:X49" si="46">SUM(P28:P47)</f>
        <v>5</v>
      </c>
      <c r="Q49" s="220">
        <f t="shared" si="46"/>
        <v>1</v>
      </c>
      <c r="R49" s="250">
        <f t="shared" si="46"/>
        <v>4</v>
      </c>
      <c r="S49" s="220">
        <f t="shared" si="46"/>
        <v>25276</v>
      </c>
      <c r="T49" s="220">
        <f t="shared" si="46"/>
        <v>-5500</v>
      </c>
      <c r="U49" s="250">
        <f t="shared" si="46"/>
        <v>19776</v>
      </c>
      <c r="V49" s="253">
        <f t="shared" si="46"/>
        <v>1</v>
      </c>
      <c r="W49" s="220">
        <f t="shared" si="46"/>
        <v>2538</v>
      </c>
      <c r="X49" s="220">
        <f t="shared" si="46"/>
        <v>8503.68</v>
      </c>
      <c r="Y49" s="226">
        <f>IF(U49=0,0,X49/U49)</f>
        <v>0.43</v>
      </c>
      <c r="Z49" s="220">
        <f>SUM(Z28:Z47)</f>
        <v>1700.67</v>
      </c>
      <c r="AA49" s="220">
        <f>IFERROR(P49*AA51/P51,0)</f>
        <v>4619.3843750000005</v>
      </c>
      <c r="AB49" s="220">
        <f>SUM(AB28:AB47)</f>
        <v>0</v>
      </c>
      <c r="AC49" s="220">
        <f>SUM(AC28:AC47)</f>
        <v>0</v>
      </c>
      <c r="AD49" s="250">
        <f>SUM(AD28:AD47)</f>
        <v>1186.56</v>
      </c>
      <c r="AE49" s="220">
        <f>SUM(AE28:AE47)</f>
        <v>-3055.2100289999998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-60307.955236000009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8902.300029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4536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740327.11</v>
      </c>
      <c r="J51" s="229">
        <f>J26+J49</f>
        <v>0</v>
      </c>
      <c r="K51" s="229">
        <f>K26+K49</f>
        <v>71</v>
      </c>
      <c r="L51" s="230"/>
      <c r="M51" s="230"/>
      <c r="N51" s="230"/>
      <c r="O51" s="230"/>
      <c r="P51" s="269">
        <f t="shared" ref="P51:X51" si="47">P26+P49</f>
        <v>32</v>
      </c>
      <c r="Q51" s="229">
        <f t="shared" si="47"/>
        <v>2</v>
      </c>
      <c r="R51" s="252">
        <f t="shared" si="47"/>
        <v>30</v>
      </c>
      <c r="S51" s="229">
        <f t="shared" si="47"/>
        <v>65718</v>
      </c>
      <c r="T51" s="229">
        <f t="shared" si="47"/>
        <v>-6864</v>
      </c>
      <c r="U51" s="252">
        <f t="shared" si="47"/>
        <v>58853.999999999993</v>
      </c>
      <c r="V51" s="255">
        <f t="shared" si="47"/>
        <v>2.9760315533980579</v>
      </c>
      <c r="W51" s="229">
        <f t="shared" si="47"/>
        <v>6118.5899999999992</v>
      </c>
      <c r="X51" s="229">
        <f t="shared" si="47"/>
        <v>24751.62</v>
      </c>
      <c r="Y51" s="232">
        <f>X51/U51</f>
        <v>0.42055969008053834</v>
      </c>
      <c r="Z51" s="229">
        <f>Z26+Z49</f>
        <v>4567.6399999999994</v>
      </c>
      <c r="AA51" s="75">
        <v>29564.06</v>
      </c>
      <c r="AB51" s="74"/>
      <c r="AC51" s="74">
        <f>SUM(AC3:AC47)</f>
        <v>0</v>
      </c>
      <c r="AD51" s="229">
        <f>AD26+AD49</f>
        <v>3531.2399999999993</v>
      </c>
      <c r="AE51" s="233">
        <f>AE26+AE49</f>
        <v>-5951.4037600000038</v>
      </c>
      <c r="AF51" s="76"/>
      <c r="AG51" s="234"/>
      <c r="AH51" s="235"/>
      <c r="AI51" s="235"/>
      <c r="AJ51" s="235"/>
      <c r="AK51" s="235">
        <f>AA52/P51</f>
        <v>923.87687500000004</v>
      </c>
      <c r="AL51" s="235"/>
      <c r="AM51" s="235"/>
      <c r="AN51" s="236"/>
      <c r="AP51" s="233">
        <f>SUM(AP3:AP47)</f>
        <v>-2577269.4960041344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29564.06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25836.313759999997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740327.11</v>
      </c>
      <c r="J59" s="109">
        <f>I59/I51</f>
        <v>1</v>
      </c>
      <c r="K59" s="105">
        <f>AP51-K58-K60</f>
        <v>-2577269.4960041344</v>
      </c>
      <c r="L59" s="106">
        <f>K59/I59</f>
        <v>-3.4812577591601834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7 J10:J49">
    <cfRule type="cellIs" dxfId="156" priority="32" operator="greaterThan">
      <formula>120</formula>
    </cfRule>
  </conditionalFormatting>
  <conditionalFormatting sqref="N50">
    <cfRule type="cellIs" dxfId="155" priority="31" operator="between">
      <formula>0.000001</formula>
      <formula>25</formula>
    </cfRule>
  </conditionalFormatting>
  <conditionalFormatting sqref="V1 V52:V55 V57:V1048576">
    <cfRule type="cellIs" dxfId="154" priority="33" operator="greaterThan">
      <formula>0.23</formula>
    </cfRule>
  </conditionalFormatting>
  <conditionalFormatting sqref="AM5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{1641C8EA-70A0-4410-8B73-6908B0B09EFA}</x14:id>
        </ext>
      </extLst>
    </cfRule>
  </conditionalFormatting>
  <conditionalFormatting sqref="AP3:AP7 AP27:AP47 AP50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{9EBCE03D-DF48-4512-87B2-FFC6B5C12B99}</x14:id>
        </ext>
      </extLst>
    </cfRule>
  </conditionalFormatting>
  <conditionalFormatting sqref="AE3:AE7 AE27:AE48 AE50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{9F214139-140E-436D-8D52-FCE61583680B}</x14:id>
        </ext>
      </extLst>
    </cfRule>
  </conditionalFormatting>
  <conditionalFormatting sqref="AL3:AL7 AL27:AL47 AL50 AL10:AL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{9289B62D-899E-48AE-8E5F-51DCBD7F6F01}</x14:id>
        </ext>
      </extLst>
    </cfRule>
  </conditionalFormatting>
  <conditionalFormatting sqref="AM3:AN7 AM27:AN47 AM50:AN50 AM10:AN2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{339C8C97-A621-4284-87A4-9CC68400CAF3}</x14:id>
        </ext>
      </extLst>
    </cfRule>
  </conditionalFormatting>
  <conditionalFormatting sqref="AP3:AP7 AP27:AP47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{19E1E501-3AF7-4AD1-A089-4F82498F5803}</x14:id>
        </ext>
      </extLst>
    </cfRule>
  </conditionalFormatting>
  <conditionalFormatting sqref="AE3:AE7 AE27:AE48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{69BCF326-900D-4EB4-B38E-64492A7738E6}</x14:id>
        </ext>
      </extLst>
    </cfRule>
  </conditionalFormatting>
  <conditionalFormatting sqref="U27:V27 U48:V48 U25:V25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{6186E183-35B9-44BB-B0E1-F8B4F440957F}</x14:id>
        </ext>
      </extLst>
    </cfRule>
  </conditionalFormatting>
  <conditionalFormatting sqref="V27 V48 V25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{A1836FAB-EDD8-484B-BE20-FCD37E67C9AE}</x14:id>
        </ext>
      </extLst>
    </cfRule>
  </conditionalFormatting>
  <conditionalFormatting sqref="AP2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{3F24A376-D4F1-4FBD-9B0C-45172B4C8F93}</x14:id>
        </ext>
      </extLst>
    </cfRule>
  </conditionalFormatting>
  <conditionalFormatting sqref="AP2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{804ABE46-16AF-403B-8FCB-3B0E1CC14977}</x14:id>
        </ext>
      </extLst>
    </cfRule>
  </conditionalFormatting>
  <conditionalFormatting sqref="P50">
    <cfRule type="cellIs" dxfId="153" priority="27" operator="greaterThan">
      <formula>120</formula>
    </cfRule>
  </conditionalFormatting>
  <conditionalFormatting sqref="Q50">
    <cfRule type="cellIs" dxfId="152" priority="26" operator="greaterThan">
      <formula>120</formula>
    </cfRule>
  </conditionalFormatting>
  <conditionalFormatting sqref="R50">
    <cfRule type="cellIs" dxfId="151" priority="25" operator="greaterThan">
      <formula>120</formula>
    </cfRule>
  </conditionalFormatting>
  <conditionalFormatting sqref="S50">
    <cfRule type="cellIs" dxfId="150" priority="24" operator="greaterThan">
      <formula>120</formula>
    </cfRule>
  </conditionalFormatting>
  <conditionalFormatting sqref="T50">
    <cfRule type="cellIs" dxfId="149" priority="23" operator="greaterThan">
      <formula>120</formula>
    </cfRule>
  </conditionalFormatting>
  <conditionalFormatting sqref="U50">
    <cfRule type="cellIs" dxfId="148" priority="22" operator="greaterThan">
      <formula>120</formula>
    </cfRule>
  </conditionalFormatting>
  <conditionalFormatting sqref="V50">
    <cfRule type="cellIs" dxfId="147" priority="21" operator="greaterThan">
      <formula>120</formula>
    </cfRule>
  </conditionalFormatting>
  <conditionalFormatting sqref="W50">
    <cfRule type="cellIs" dxfId="146" priority="20" operator="greaterThan">
      <formula>120</formula>
    </cfRule>
  </conditionalFormatting>
  <conditionalFormatting sqref="X50">
    <cfRule type="cellIs" dxfId="145" priority="19" operator="greaterThan">
      <formula>120</formula>
    </cfRule>
  </conditionalFormatting>
  <conditionalFormatting sqref="Z50">
    <cfRule type="cellIs" dxfId="144" priority="18" operator="greaterThan">
      <formula>120</formula>
    </cfRule>
  </conditionalFormatting>
  <conditionalFormatting sqref="AP48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{24D3F42D-6DE9-493E-A4D7-32CDEE5823E9}</x14:id>
        </ext>
      </extLst>
    </cfRule>
  </conditionalFormatting>
  <conditionalFormatting sqref="AP48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{15DC91D1-56A9-420D-A8E1-C88913280E4C}</x14:id>
        </ext>
      </extLst>
    </cfRule>
  </conditionalFormatting>
  <conditionalFormatting sqref="J8:J9">
    <cfRule type="cellIs" dxfId="143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{6C470167-143B-4D5B-8C6C-AB45DCC9AC79}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{974CB89D-56A6-498D-81E3-8A7662548668}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{F7B7A13B-3C49-422B-ADEA-779B5BA30C4B}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{C2302FB9-2EE7-4954-8D57-7848E73285DB}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{F7C78800-1A2A-4C88-BB70-F9C07A4BBA85}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{0C25F5E7-005B-4161-A900-0B4D191BF7D8}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{BF14E5F6-99E4-4834-BAA0-B4C52864C45A}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{5601EA18-B6B3-49D7-B80C-A86C7A41B983}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{811488FE-BBCD-403B-B432-0533E384D71D}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{063CF8CF-1BA5-4FCC-8410-FB200DA50E39}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41C8EA-70A0-4410-8B73-6908B0B09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9EBCE03D-DF48-4512-87B2-FFC6B5C12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F214139-140E-436D-8D52-FCE6158368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289B62D-899E-48AE-8E5F-51DCBD7F6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339C8C97-A621-4284-87A4-9CC68400CA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19E1E501-3AF7-4AD1-A089-4F82498F5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69BCF326-900D-4EB4-B38E-64492A7738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186E183-35B9-44BB-B0E1-F8B4F4409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A1836FAB-EDD8-484B-BE20-FCD37E67C9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3F24A376-D4F1-4FBD-9B0C-45172B4C8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04ABE46-16AF-403B-8FCB-3B0E1CC149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4D3F42D-6DE9-493E-A4D7-32CDEE5823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5DC91D1-56A9-420D-A8E1-C88913280E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C470167-143B-4D5B-8C6C-AB45DCC9AC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74CB89D-56A6-498D-81E3-8A76625486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7B7A13B-3C49-422B-ADEA-779B5BA30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C2302FB9-2EE7-4954-8D57-7848E7328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F7C78800-1A2A-4C88-BB70-F9C07A4BBA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C25F5E7-005B-4161-A900-0B4D191BF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BF14E5F6-99E4-4834-BAA0-B4C52864C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5601EA18-B6B3-49D7-B80C-A86C7A41B9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811488FE-BBCD-403B-B432-0533E384D7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63CF8CF-1BA5-4FCC-8410-FB200DA50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4859-39B8-48EF-9DFC-644601630B70}">
  <dimension ref="A1:AZ64"/>
  <sheetViews>
    <sheetView zoomScale="70" zoomScaleNormal="70" workbookViewId="0">
      <pane xSplit="2" ySplit="2" topLeftCell="N39" activePane="bottomRight" state="frozen"/>
      <selection pane="topRight" activeCell="C1" sqref="C1"/>
      <selection pane="bottomLeft" activeCell="A3" sqref="A3"/>
      <selection pane="bottomRight" activeCell="R10" sqref="R10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1052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1053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328</v>
      </c>
      <c r="D3" s="42"/>
      <c r="E3" s="42"/>
      <c r="F3" s="42"/>
      <c r="G3" s="43"/>
      <c r="H3" s="44">
        <v>142.97999999999999</v>
      </c>
      <c r="I3" s="42">
        <f>C3*H3</f>
        <v>46897.439999999995</v>
      </c>
      <c r="J3" s="45"/>
      <c r="K3" s="41">
        <v>5</v>
      </c>
      <c r="L3" s="45"/>
      <c r="M3" s="45"/>
      <c r="N3" s="46">
        <f t="shared" ref="N3:N24" si="0">K3/7</f>
        <v>0.7142857142857143</v>
      </c>
      <c r="O3" s="47">
        <f t="shared" ref="O3:O24" si="1">R3/7</f>
        <v>0</v>
      </c>
      <c r="P3" s="48">
        <f>SUMIFS('Отчет 03-09.11'!H:H,'Отчет 03-09.11'!D:D,"Выручка",'Отчет 03-09.11'!E:E,B3)</f>
        <v>0</v>
      </c>
      <c r="Q3" s="48">
        <f>SUMIFS('Отчет 03-09.11'!H:H,'Отчет 03-09.11'!D:D,"Возврат выручки",'Отчет 03-09.11'!E:E,B3)</f>
        <v>0</v>
      </c>
      <c r="R3" s="49">
        <f>P3-Q3</f>
        <v>0</v>
      </c>
      <c r="S3" s="50">
        <f>SUMIFS('Отчет 03-09.11'!P:P,'Отчет 03-09.11'!C:C,"Продажи",'Отчет 03-09.11'!E:E,B3)</f>
        <v>0</v>
      </c>
      <c r="T3" s="51">
        <f>SUMIFS('Отчет 03-09.11'!P:P,'Отчет 03-09.11'!C:C,"Возвраты",'Отчет 03-09.11'!E:E,B3)</f>
        <v>0</v>
      </c>
      <c r="U3" s="49">
        <f t="shared" ref="U3" si="2">S3+T3</f>
        <v>0</v>
      </c>
      <c r="V3" s="52">
        <f t="shared" ref="V3" si="3">U3/$U$49</f>
        <v>0</v>
      </c>
      <c r="W3" s="53">
        <f>R3*H3</f>
        <v>0</v>
      </c>
      <c r="X3" s="51">
        <f>-SUMIFS('Отчет 03-09.11'!P:P,'Отчет 03-09.11'!C:C,"Вознаграждение Ozon",'Отчет 03-09.11'!E:E,B3)</f>
        <v>0</v>
      </c>
      <c r="Y3" s="54">
        <f t="shared" ref="Y3" si="4">IF(U3=0,0,X3/U3)</f>
        <v>0</v>
      </c>
      <c r="Z3" s="51">
        <f>-SUMIFS('Отчет 03-09.11'!P:P,'Отчет 03-09.11'!C:C,"Услуги доставки",'Отчет 03-09.11'!E:E,B3)</f>
        <v>276</v>
      </c>
      <c r="AA3" s="41">
        <v>399.74</v>
      </c>
      <c r="AB3" s="51"/>
      <c r="AC3" s="51"/>
      <c r="AD3" s="55">
        <f t="shared" ref="AD3:AD24" si="5">U3*6%</f>
        <v>0</v>
      </c>
      <c r="AE3" s="56">
        <f t="shared" ref="AE3:AE24" si="6">U3-W3-X3-Z3-AA3-AB3-AC3-AD3</f>
        <v>-675.74</v>
      </c>
      <c r="AF3" s="55"/>
      <c r="AG3" s="57">
        <f t="shared" ref="AG3:AG24" si="7">IF(R3=0,0,U3/R3)</f>
        <v>0</v>
      </c>
      <c r="AH3" s="58">
        <f t="shared" ref="AH3:AH24" si="8">H3</f>
        <v>142.97999999999999</v>
      </c>
      <c r="AI3" s="58">
        <f t="shared" ref="AI3:AI24" si="9">IF(R3=0,0,X3/R3)</f>
        <v>0</v>
      </c>
      <c r="AJ3" s="58">
        <f t="shared" ref="AJ3:AJ24" si="10">IF(P3=0,Z3/1,Z3/P3)</f>
        <v>276</v>
      </c>
      <c r="AK3" s="58">
        <f t="shared" ref="AK3:AK24" si="11">IF(P3=0,0,AA3/P3)</f>
        <v>0</v>
      </c>
      <c r="AL3" s="58">
        <f>_xlfn.IFS(R3=0,AE3,R3&lt;0,AE3/-R3,R3&gt;0,AE3/R3)</f>
        <v>-675.74</v>
      </c>
      <c r="AM3" s="59">
        <f t="shared" ref="AM3:AM24" si="12">IF(AG3=0,0,AL3/AG3)</f>
        <v>0</v>
      </c>
      <c r="AN3" s="60">
        <f t="shared" ref="AN3:AN24" si="13">IF(AH3=0,0,AL3/AH3)</f>
        <v>-4.7261155406350541</v>
      </c>
      <c r="AP3" s="62">
        <f>AL3*C3</f>
        <v>-221642.72</v>
      </c>
    </row>
    <row r="4" spans="1:42">
      <c r="A4" s="39">
        <v>2638638550</v>
      </c>
      <c r="B4" s="40" t="s">
        <v>92</v>
      </c>
      <c r="C4" s="41">
        <v>389</v>
      </c>
      <c r="D4" s="42"/>
      <c r="E4" s="42"/>
      <c r="F4" s="42"/>
      <c r="G4" s="43"/>
      <c r="H4" s="44">
        <v>123.09</v>
      </c>
      <c r="I4" s="42">
        <f t="shared" ref="I4:I24" si="14">C4*H4</f>
        <v>47882.01</v>
      </c>
      <c r="J4" s="45"/>
      <c r="K4" s="41">
        <v>0</v>
      </c>
      <c r="L4" s="45"/>
      <c r="M4" s="45"/>
      <c r="N4" s="46">
        <f t="shared" si="0"/>
        <v>0</v>
      </c>
      <c r="O4" s="47">
        <f t="shared" si="1"/>
        <v>0</v>
      </c>
      <c r="P4" s="48">
        <f>SUMIFS('Отчет 03-09.11'!H:H,'Отчет 03-09.11'!D:D,"Выручка",'Отчет 03-09.11'!E:E,B4)</f>
        <v>0</v>
      </c>
      <c r="Q4" s="48">
        <f>SUMIFS('Отчет 03-09.11'!H:H,'Отчет 03-09.11'!D:D,"Возврат выручки",'Отчет 03-09.11'!E:E,B4)</f>
        <v>0</v>
      </c>
      <c r="R4" s="49">
        <f t="shared" ref="R4:R24" si="15">P4-Q4</f>
        <v>0</v>
      </c>
      <c r="S4" s="50">
        <f>SUMIFS('Отчет 03-09.11'!P:P,'Отчет 03-09.11'!C:C,"Продажи",'Отчет 03-09.11'!E:E,B4)</f>
        <v>0</v>
      </c>
      <c r="T4" s="51">
        <f>SUMIFS('Отчет 03-09.11'!P:P,'Отчет 03-09.11'!C:C,"Возвраты",'Отчет 03-09.11'!E:E,B4)</f>
        <v>0</v>
      </c>
      <c r="U4" s="49">
        <f t="shared" ref="U4:U24" si="16">S4+T4</f>
        <v>0</v>
      </c>
      <c r="V4" s="52">
        <f t="shared" ref="V4:V24" si="17">U4/$U$49</f>
        <v>0</v>
      </c>
      <c r="W4" s="53">
        <f t="shared" ref="W4:W24" si="18">R4*H4</f>
        <v>0</v>
      </c>
      <c r="X4" s="51">
        <f>-SUMIFS('Отчет 03-09.11'!P:P,'Отчет 03-09.11'!C:C,"Вознаграждение Ozon",'Отчет 03-09.11'!E:E,B4)</f>
        <v>0</v>
      </c>
      <c r="Y4" s="54">
        <f t="shared" ref="Y4:Y24" si="19">IF(U4=0,0,X4/U4)</f>
        <v>0</v>
      </c>
      <c r="Z4" s="51">
        <f>-SUMIFS('Отчет 03-09.11'!P:P,'Отчет 03-09.11'!C:C,"Услуги доставки",'Отчет 03-09.11'!E:E,B4)</f>
        <v>92</v>
      </c>
      <c r="AA4" s="41">
        <v>0</v>
      </c>
      <c r="AB4" s="51"/>
      <c r="AC4" s="51"/>
      <c r="AD4" s="55">
        <f t="shared" si="5"/>
        <v>0</v>
      </c>
      <c r="AE4" s="56">
        <f t="shared" si="6"/>
        <v>-92</v>
      </c>
      <c r="AF4" s="55"/>
      <c r="AG4" s="57">
        <f t="shared" si="7"/>
        <v>0</v>
      </c>
      <c r="AH4" s="58">
        <f t="shared" si="8"/>
        <v>123.09</v>
      </c>
      <c r="AI4" s="58">
        <f t="shared" si="9"/>
        <v>0</v>
      </c>
      <c r="AJ4" s="58">
        <f t="shared" si="10"/>
        <v>92</v>
      </c>
      <c r="AK4" s="58">
        <f t="shared" si="11"/>
        <v>0</v>
      </c>
      <c r="AL4" s="58">
        <f t="array" ref="AL4">_xlfn.IFS(R4=0,AE4,R4&lt;0,AE4/-R4,R4&gt;0,AE4/R4)</f>
        <v>-92</v>
      </c>
      <c r="AM4" s="59">
        <f t="shared" si="12"/>
        <v>0</v>
      </c>
      <c r="AN4" s="60">
        <f t="shared" si="13"/>
        <v>-0.74742058656267774</v>
      </c>
      <c r="AP4" s="62">
        <f t="shared" ref="AP4:AP24" si="20">AL4*C4</f>
        <v>-35788</v>
      </c>
    </row>
    <row r="5" spans="1:42">
      <c r="A5" s="39">
        <v>2638691131</v>
      </c>
      <c r="B5" s="40" t="s">
        <v>222</v>
      </c>
      <c r="C5" s="41">
        <v>391</v>
      </c>
      <c r="D5" s="42"/>
      <c r="E5" s="42"/>
      <c r="F5" s="42"/>
      <c r="G5" s="43"/>
      <c r="H5" s="44">
        <v>123.09</v>
      </c>
      <c r="I5" s="63">
        <f>C5*H5</f>
        <v>48128.19</v>
      </c>
      <c r="J5" s="45"/>
      <c r="K5" s="41">
        <v>0</v>
      </c>
      <c r="L5" s="45"/>
      <c r="M5" s="45"/>
      <c r="N5" s="46">
        <f t="shared" si="0"/>
        <v>0</v>
      </c>
      <c r="O5" s="47">
        <f t="shared" si="1"/>
        <v>0</v>
      </c>
      <c r="P5" s="48">
        <f>SUMIFS('Отчет 03-09.11'!H:H,'Отчет 03-09.11'!D:D,"Выручка",'Отчет 03-09.11'!E:E,B5)</f>
        <v>0</v>
      </c>
      <c r="Q5" s="48">
        <f>SUMIFS('Отчет 03-09.11'!H:H,'Отчет 03-09.11'!D:D,"Возврат выручки",'Отчет 03-09.11'!E:E,B5)</f>
        <v>0</v>
      </c>
      <c r="R5" s="49">
        <f t="shared" si="15"/>
        <v>0</v>
      </c>
      <c r="S5" s="50">
        <f>SUMIFS('Отчет 03-09.11'!P:P,'Отчет 03-09.11'!C:C,"Продажи",'Отчет 03-09.11'!E:E,B5)</f>
        <v>0</v>
      </c>
      <c r="T5" s="51">
        <f>SUMIFS('Отчет 03-09.11'!P:P,'Отчет 03-09.11'!C:C,"Возвраты",'Отчет 03-09.11'!E:E,B5)</f>
        <v>0</v>
      </c>
      <c r="U5" s="49">
        <f t="shared" si="16"/>
        <v>0</v>
      </c>
      <c r="V5" s="52">
        <f t="shared" si="17"/>
        <v>0</v>
      </c>
      <c r="W5" s="53">
        <f t="shared" si="18"/>
        <v>0</v>
      </c>
      <c r="X5" s="51">
        <f>-SUMIFS('Отчет 03-09.11'!P:P,'Отчет 03-09.11'!C:C,"Вознаграждение Ozon",'Отчет 03-09.11'!E:E,B5)</f>
        <v>0</v>
      </c>
      <c r="Y5" s="54">
        <f t="shared" si="19"/>
        <v>0</v>
      </c>
      <c r="Z5" s="51">
        <f>-SUMIFS('Отчет 03-09.11'!P:P,'Отчет 03-09.11'!C:C,"Услуги доставки",'Отчет 03-09.11'!E:E,B5)</f>
        <v>0</v>
      </c>
      <c r="AA5" s="41">
        <v>0</v>
      </c>
      <c r="AB5" s="64"/>
      <c r="AC5" s="51"/>
      <c r="AD5" s="55">
        <f t="shared" si="5"/>
        <v>0</v>
      </c>
      <c r="AE5" s="56">
        <f t="shared" si="6"/>
        <v>0</v>
      </c>
      <c r="AF5" s="55"/>
      <c r="AG5" s="57">
        <f t="shared" si="7"/>
        <v>0</v>
      </c>
      <c r="AH5" s="58">
        <f t="shared" si="8"/>
        <v>123.09</v>
      </c>
      <c r="AI5" s="58">
        <f t="shared" si="9"/>
        <v>0</v>
      </c>
      <c r="AJ5" s="58">
        <f t="shared" si="10"/>
        <v>0</v>
      </c>
      <c r="AK5" s="58">
        <f t="shared" si="11"/>
        <v>0</v>
      </c>
      <c r="AL5" s="58">
        <f t="array" ref="AL5">_xlfn.IFS(R5=0,AE5,R5&lt;0,AE5/-R5,R5&gt;0,AE5/R5)</f>
        <v>0</v>
      </c>
      <c r="AM5" s="59">
        <f t="shared" si="12"/>
        <v>0</v>
      </c>
      <c r="AN5" s="60">
        <f t="shared" si="13"/>
        <v>0</v>
      </c>
      <c r="AP5" s="62">
        <f>AL5*C5</f>
        <v>0</v>
      </c>
    </row>
    <row r="6" spans="1:42">
      <c r="A6" s="39">
        <v>2638382749</v>
      </c>
      <c r="B6" s="40" t="s">
        <v>223</v>
      </c>
      <c r="C6" s="41">
        <v>890</v>
      </c>
      <c r="D6" s="42"/>
      <c r="E6" s="42"/>
      <c r="F6" s="42"/>
      <c r="G6" s="43"/>
      <c r="H6" s="44">
        <v>123.09</v>
      </c>
      <c r="I6" s="63">
        <f t="shared" si="14"/>
        <v>109550.1</v>
      </c>
      <c r="J6" s="45"/>
      <c r="K6" s="41">
        <v>11</v>
      </c>
      <c r="L6" s="45"/>
      <c r="M6" s="45"/>
      <c r="N6" s="46">
        <f t="shared" si="0"/>
        <v>1.5714285714285714</v>
      </c>
      <c r="O6" s="47">
        <f t="shared" si="1"/>
        <v>0.8571428571428571</v>
      </c>
      <c r="P6" s="48">
        <f>SUMIFS('Отчет 03-09.11'!H:H,'Отчет 03-09.11'!D:D,"Выручка",'Отчет 03-09.11'!E:E,B6)</f>
        <v>6</v>
      </c>
      <c r="Q6" s="48">
        <f>SUMIFS('Отчет 03-09.11'!H:H,'Отчет 03-09.11'!D:D,"Возврат выручки",'Отчет 03-09.11'!E:E,B6)</f>
        <v>0</v>
      </c>
      <c r="R6" s="49">
        <f t="shared" si="15"/>
        <v>6</v>
      </c>
      <c r="S6" s="50">
        <f>SUMIFS('Отчет 03-09.11'!P:P,'Отчет 03-09.11'!C:C,"Продажи",'Отчет 03-09.11'!E:E,B6)</f>
        <v>8016</v>
      </c>
      <c r="T6" s="51">
        <f>SUMIFS('Отчет 03-09.11'!P:P,'Отчет 03-09.11'!C:C,"Возвраты",'Отчет 03-09.11'!E:E,B6)</f>
        <v>0</v>
      </c>
      <c r="U6" s="49">
        <f t="shared" si="16"/>
        <v>8016</v>
      </c>
      <c r="V6" s="52">
        <f t="shared" si="17"/>
        <v>0.39888535031847133</v>
      </c>
      <c r="W6" s="53">
        <f>R6*H6</f>
        <v>738.54</v>
      </c>
      <c r="X6" s="51">
        <f>-SUMIFS('Отчет 03-09.11'!P:P,'Отчет 03-09.11'!C:C,"Вознаграждение Ozon",'Отчет 03-09.11'!E:E,B6)</f>
        <v>3046.08</v>
      </c>
      <c r="Y6" s="54">
        <f t="shared" si="19"/>
        <v>0.38</v>
      </c>
      <c r="Z6" s="51">
        <f>-SUMIFS('Отчет 03-09.11'!P:P,'Отчет 03-09.11'!C:C,"Услуги доставки",'Отчет 03-09.11'!E:E,B6)</f>
        <v>552</v>
      </c>
      <c r="AA6" s="41">
        <v>3501.139811</v>
      </c>
      <c r="AB6" s="64"/>
      <c r="AC6" s="51"/>
      <c r="AD6" s="55">
        <f t="shared" si="5"/>
        <v>480.96</v>
      </c>
      <c r="AE6" s="56">
        <f t="shared" si="6"/>
        <v>-302.71981099999988</v>
      </c>
      <c r="AF6" s="55"/>
      <c r="AG6" s="57">
        <f t="shared" si="7"/>
        <v>1336</v>
      </c>
      <c r="AH6" s="58">
        <f t="shared" si="8"/>
        <v>123.09</v>
      </c>
      <c r="AI6" s="58">
        <f t="shared" si="9"/>
        <v>507.68</v>
      </c>
      <c r="AJ6" s="58">
        <f t="shared" si="10"/>
        <v>92</v>
      </c>
      <c r="AK6" s="58">
        <f t="shared" si="11"/>
        <v>583.52330183333333</v>
      </c>
      <c r="AL6" s="58">
        <f t="array" ref="AL6">_xlfn.IFS(R6=0,AE6,R6&lt;0,AE6/-R6,R6&gt;0,AE6/R6)</f>
        <v>-50.453301833333313</v>
      </c>
      <c r="AM6" s="59">
        <f t="shared" si="12"/>
        <v>-3.7764447480039903E-2</v>
      </c>
      <c r="AN6" s="60">
        <f t="shared" si="13"/>
        <v>-0.40988952663362832</v>
      </c>
      <c r="AP6" s="62">
        <f t="shared" si="20"/>
        <v>-44903.43863166665</v>
      </c>
    </row>
    <row r="7" spans="1:42">
      <c r="A7" s="39">
        <v>2638569317</v>
      </c>
      <c r="B7" s="40" t="s">
        <v>54</v>
      </c>
      <c r="C7" s="41">
        <v>854</v>
      </c>
      <c r="D7" s="42"/>
      <c r="E7" s="42"/>
      <c r="F7" s="42"/>
      <c r="G7" s="43"/>
      <c r="H7" s="44">
        <v>117.24</v>
      </c>
      <c r="I7" s="63">
        <f t="shared" si="14"/>
        <v>100122.95999999999</v>
      </c>
      <c r="J7" s="45"/>
      <c r="K7" s="41">
        <v>1</v>
      </c>
      <c r="L7" s="45"/>
      <c r="M7" s="45"/>
      <c r="N7" s="46">
        <f t="shared" si="0"/>
        <v>0.14285714285714285</v>
      </c>
      <c r="O7" s="47">
        <f t="shared" si="1"/>
        <v>0</v>
      </c>
      <c r="P7" s="48">
        <f>SUMIFS('Отчет 03-09.11'!H:H,'Отчет 03-09.11'!D:D,"Выручка",'Отчет 03-09.11'!E:E,B7)</f>
        <v>0</v>
      </c>
      <c r="Q7" s="48">
        <f>SUMIFS('Отчет 03-09.11'!H:H,'Отчет 03-09.11'!D:D,"Возврат выручки",'Отчет 03-09.11'!E:E,B7)</f>
        <v>0</v>
      </c>
      <c r="R7" s="49">
        <f t="shared" si="15"/>
        <v>0</v>
      </c>
      <c r="S7" s="50">
        <f>SUMIFS('Отчет 03-09.11'!P:P,'Отчет 03-09.11'!C:C,"Продажи",'Отчет 03-09.11'!E:E,B7)</f>
        <v>0</v>
      </c>
      <c r="T7" s="51">
        <f>SUMIFS('Отчет 03-09.11'!P:P,'Отчет 03-09.11'!C:C,"Возвраты",'Отчет 03-09.11'!E:E,B7)</f>
        <v>0</v>
      </c>
      <c r="U7" s="49">
        <f t="shared" si="16"/>
        <v>0</v>
      </c>
      <c r="V7" s="52">
        <f t="shared" si="17"/>
        <v>0</v>
      </c>
      <c r="W7" s="53">
        <f t="shared" si="18"/>
        <v>0</v>
      </c>
      <c r="X7" s="51">
        <f>-SUMIFS('Отчет 03-09.11'!P:P,'Отчет 03-09.11'!C:C,"Вознаграждение Ozon",'Отчет 03-09.11'!E:E,B7)</f>
        <v>0</v>
      </c>
      <c r="Y7" s="54">
        <f t="shared" si="19"/>
        <v>0</v>
      </c>
      <c r="Z7" s="51">
        <f>-SUMIFS('Отчет 03-09.11'!P:P,'Отчет 03-09.11'!C:C,"Услуги доставки",'Отчет 03-09.11'!E:E,B7)</f>
        <v>0</v>
      </c>
      <c r="AA7" s="41">
        <v>401.24765600000001</v>
      </c>
      <c r="AB7" s="64"/>
      <c r="AC7" s="51"/>
      <c r="AD7" s="55">
        <f t="shared" si="5"/>
        <v>0</v>
      </c>
      <c r="AE7" s="56">
        <f t="shared" si="6"/>
        <v>-401.24765600000001</v>
      </c>
      <c r="AF7" s="55"/>
      <c r="AG7" s="57">
        <f t="shared" si="7"/>
        <v>0</v>
      </c>
      <c r="AH7" s="58">
        <f t="shared" si="8"/>
        <v>117.24</v>
      </c>
      <c r="AI7" s="58">
        <f t="shared" si="9"/>
        <v>0</v>
      </c>
      <c r="AJ7" s="58">
        <f t="shared" si="10"/>
        <v>0</v>
      </c>
      <c r="AK7" s="58">
        <f t="shared" si="11"/>
        <v>0</v>
      </c>
      <c r="AL7" s="58">
        <f t="array" ref="AL7">_xlfn.IFS(R7=0,AE7,R7&lt;0,AE7/-R7,R7&gt;0,AE7/R7)</f>
        <v>-401.24765600000001</v>
      </c>
      <c r="AM7" s="59">
        <f t="shared" si="12"/>
        <v>0</v>
      </c>
      <c r="AN7" s="60">
        <f t="shared" si="13"/>
        <v>-3.4224467417263735</v>
      </c>
      <c r="AP7" s="62">
        <f t="shared" si="20"/>
        <v>-342665.49822399998</v>
      </c>
    </row>
    <row r="8" spans="1:42">
      <c r="A8" s="39">
        <v>3064334128</v>
      </c>
      <c r="B8" s="40" t="s">
        <v>1054</v>
      </c>
      <c r="C8" s="41">
        <v>240</v>
      </c>
      <c r="D8" s="42"/>
      <c r="E8" s="42"/>
      <c r="F8" s="42"/>
      <c r="G8" s="43"/>
      <c r="H8" s="44">
        <v>123</v>
      </c>
      <c r="I8" s="63">
        <f t="shared" ref="I8:I9" si="21">C8*H8</f>
        <v>29520</v>
      </c>
      <c r="J8" s="45"/>
      <c r="K8" s="41">
        <v>0</v>
      </c>
      <c r="L8" s="45"/>
      <c r="M8" s="45"/>
      <c r="N8" s="46">
        <f t="shared" ref="N8:N9" si="22">K8/7</f>
        <v>0</v>
      </c>
      <c r="O8" s="47">
        <f t="shared" ref="O8:O9" si="23">R8/7</f>
        <v>0</v>
      </c>
      <c r="P8" s="48">
        <f>SUMIFS('Отчет 03-09.11'!H:H,'Отчет 03-09.11'!D:D,"Выручка",'Отчет 03-09.11'!E:E,B8)</f>
        <v>0</v>
      </c>
      <c r="Q8" s="48">
        <f>SUMIFS('Отчет 03-09.11'!H:H,'Отчет 03-09.11'!D:D,"Возврат выручки",'Отчет 03-09.11'!E:E,B8)</f>
        <v>0</v>
      </c>
      <c r="R8" s="49">
        <f t="shared" si="15"/>
        <v>0</v>
      </c>
      <c r="S8" s="50">
        <f>SUMIFS('Отчет 03-09.11'!P:P,'Отчет 03-09.11'!C:C,"Продажи",'Отчет 03-09.11'!E:E,B8)</f>
        <v>0</v>
      </c>
      <c r="T8" s="51">
        <f>SUMIFS('Отчет 03-09.11'!P:P,'Отчет 03-09.11'!C:C,"Возвраты",'Отчет 03-09.11'!E:E,B8)</f>
        <v>0</v>
      </c>
      <c r="U8" s="49">
        <f t="shared" si="16"/>
        <v>0</v>
      </c>
      <c r="V8" s="52">
        <f t="shared" si="17"/>
        <v>0</v>
      </c>
      <c r="W8" s="53">
        <f t="shared" si="18"/>
        <v>0</v>
      </c>
      <c r="X8" s="51">
        <f>-SUMIFS('Отчет 03-09.11'!P:P,'Отчет 03-09.11'!C:C,"Вознаграждение Ozon",'Отчет 03-09.11'!E:E,B8)</f>
        <v>0</v>
      </c>
      <c r="Y8" s="54">
        <f t="shared" si="19"/>
        <v>0</v>
      </c>
      <c r="Z8" s="51">
        <f>-SUMIFS('Отчет 03-09.11'!P:P,'Отчет 03-09.11'!C:C,"Услуги доставки",'Отчет 03-09.11'!E:E,B8)</f>
        <v>0</v>
      </c>
      <c r="AA8" s="41">
        <v>0</v>
      </c>
      <c r="AB8" s="64"/>
      <c r="AC8" s="51"/>
      <c r="AD8" s="55">
        <f t="shared" ref="AD8:AD9" si="24">U8*6%</f>
        <v>0</v>
      </c>
      <c r="AE8" s="56">
        <f t="shared" ref="AE8:AE9" si="25">U8-W8-X8-Z8-AA8-AB8-AC8-AD8</f>
        <v>0</v>
      </c>
      <c r="AF8" s="55"/>
      <c r="AG8" s="57">
        <f t="shared" ref="AG8:AG9" si="26">IF(R8=0,0,U8/R8)</f>
        <v>0</v>
      </c>
      <c r="AH8" s="58">
        <f t="shared" ref="AH8:AH9" si="27">H8</f>
        <v>123</v>
      </c>
      <c r="AI8" s="58">
        <f t="shared" ref="AI8:AI9" si="28">IF(R8=0,0,X8/R8)</f>
        <v>0</v>
      </c>
      <c r="AJ8" s="58">
        <f t="shared" ref="AJ8:AJ9" si="29">IF(P8=0,Z8/1,Z8/P8)</f>
        <v>0</v>
      </c>
      <c r="AK8" s="58">
        <f t="shared" ref="AK8:AK9" si="30">IF(P8=0,0,AA8/P8)</f>
        <v>0</v>
      </c>
      <c r="AL8" s="58">
        <f t="array" ref="AL8">_xlfn.IFS(R8=0,AE8,R8&lt;0,AE8/-R8,R8&gt;0,AE8/R8)</f>
        <v>0</v>
      </c>
      <c r="AM8" s="59">
        <f t="shared" ref="AM8:AM9" si="31">IF(AG8=0,0,AL8/AG8)</f>
        <v>0</v>
      </c>
      <c r="AN8" s="60">
        <f t="shared" ref="AN8:AN9" si="32">IF(AH8=0,0,AL8/AH8)</f>
        <v>0</v>
      </c>
      <c r="AP8" s="62">
        <f t="shared" ref="AP8:AP9" si="33">AL8*C8</f>
        <v>0</v>
      </c>
    </row>
    <row r="9" spans="1:42">
      <c r="A9" s="39">
        <v>3064334311</v>
      </c>
      <c r="B9" s="40" t="s">
        <v>1055</v>
      </c>
      <c r="C9" s="41">
        <v>239</v>
      </c>
      <c r="D9" s="42"/>
      <c r="E9" s="42"/>
      <c r="F9" s="42"/>
      <c r="G9" s="43"/>
      <c r="H9" s="44">
        <v>123</v>
      </c>
      <c r="I9" s="63">
        <f t="shared" si="21"/>
        <v>29397</v>
      </c>
      <c r="J9" s="45"/>
      <c r="K9" s="41">
        <v>0</v>
      </c>
      <c r="L9" s="45"/>
      <c r="M9" s="45"/>
      <c r="N9" s="46">
        <f t="shared" si="22"/>
        <v>0</v>
      </c>
      <c r="O9" s="47">
        <f t="shared" si="23"/>
        <v>0</v>
      </c>
      <c r="P9" s="48">
        <f>SUMIFS('Отчет 03-09.11'!H:H,'Отчет 03-09.11'!D:D,"Выручка",'Отчет 03-09.11'!E:E,B9)</f>
        <v>0</v>
      </c>
      <c r="Q9" s="48">
        <f>SUMIFS('Отчет 03-09.11'!H:H,'Отчет 03-09.11'!D:D,"Возврат выручки",'Отчет 03-09.11'!E:E,B9)</f>
        <v>0</v>
      </c>
      <c r="R9" s="49">
        <f t="shared" si="15"/>
        <v>0</v>
      </c>
      <c r="S9" s="50">
        <f>SUMIFS('Отчет 03-09.11'!P:P,'Отчет 03-09.11'!C:C,"Продажи",'Отчет 03-09.11'!E:E,B9)</f>
        <v>0</v>
      </c>
      <c r="T9" s="51">
        <f>SUMIFS('Отчет 03-09.11'!P:P,'Отчет 03-09.11'!C:C,"Возвраты",'Отчет 03-09.11'!E:E,B9)</f>
        <v>0</v>
      </c>
      <c r="U9" s="49">
        <f t="shared" si="16"/>
        <v>0</v>
      </c>
      <c r="V9" s="52">
        <f t="shared" si="17"/>
        <v>0</v>
      </c>
      <c r="W9" s="53">
        <f t="shared" si="18"/>
        <v>0</v>
      </c>
      <c r="X9" s="51">
        <f>-SUMIFS('Отчет 03-09.11'!P:P,'Отчет 03-09.11'!C:C,"Вознаграждение Ozon",'Отчет 03-09.11'!E:E,B9)</f>
        <v>0</v>
      </c>
      <c r="Y9" s="54">
        <f t="shared" si="19"/>
        <v>0</v>
      </c>
      <c r="Z9" s="51">
        <f>-SUMIFS('Отчет 03-09.11'!P:P,'Отчет 03-09.11'!C:C,"Услуги доставки",'Отчет 03-09.11'!E:E,B9)</f>
        <v>0</v>
      </c>
      <c r="AA9" s="41">
        <v>0</v>
      </c>
      <c r="AB9" s="64"/>
      <c r="AC9" s="51"/>
      <c r="AD9" s="55">
        <f t="shared" si="24"/>
        <v>0</v>
      </c>
      <c r="AE9" s="56">
        <f t="shared" si="25"/>
        <v>0</v>
      </c>
      <c r="AF9" s="55"/>
      <c r="AG9" s="57">
        <f t="shared" si="26"/>
        <v>0</v>
      </c>
      <c r="AH9" s="58">
        <f t="shared" si="27"/>
        <v>123</v>
      </c>
      <c r="AI9" s="58">
        <f t="shared" si="28"/>
        <v>0</v>
      </c>
      <c r="AJ9" s="58">
        <f t="shared" si="29"/>
        <v>0</v>
      </c>
      <c r="AK9" s="58">
        <f t="shared" si="30"/>
        <v>0</v>
      </c>
      <c r="AL9" s="58">
        <f t="array" ref="AL9">_xlfn.IFS(R9=0,AE9,R9&lt;0,AE9/-R9,R9&gt;0,AE9/R9)</f>
        <v>0</v>
      </c>
      <c r="AM9" s="59">
        <f t="shared" si="31"/>
        <v>0</v>
      </c>
      <c r="AN9" s="60">
        <f t="shared" si="32"/>
        <v>0</v>
      </c>
      <c r="AP9" s="62">
        <f t="shared" si="33"/>
        <v>0</v>
      </c>
    </row>
    <row r="10" spans="1:42">
      <c r="A10" s="39">
        <v>2638291563</v>
      </c>
      <c r="B10" s="40" t="s">
        <v>88</v>
      </c>
      <c r="C10" s="41">
        <v>395</v>
      </c>
      <c r="D10" s="42"/>
      <c r="E10" s="42"/>
      <c r="F10" s="42"/>
      <c r="G10" s="43"/>
      <c r="H10" s="44">
        <v>169.89</v>
      </c>
      <c r="I10" s="63">
        <f t="shared" si="14"/>
        <v>67106.549999999988</v>
      </c>
      <c r="J10" s="45"/>
      <c r="K10" s="41">
        <v>1</v>
      </c>
      <c r="L10" s="45"/>
      <c r="M10" s="45"/>
      <c r="N10" s="46">
        <f t="shared" si="0"/>
        <v>0.14285714285714285</v>
      </c>
      <c r="O10" s="47">
        <f t="shared" si="1"/>
        <v>0.14285714285714285</v>
      </c>
      <c r="P10" s="48">
        <f>SUMIFS('Отчет 03-09.11'!H:H,'Отчет 03-09.11'!D:D,"Выручка",'Отчет 03-09.11'!E:E,B10)</f>
        <v>1</v>
      </c>
      <c r="Q10" s="48">
        <f>SUMIFS('Отчет 03-09.11'!H:H,'Отчет 03-09.11'!D:D,"Возврат выручки",'Отчет 03-09.11'!E:E,B10)</f>
        <v>0</v>
      </c>
      <c r="R10" s="49">
        <f t="shared" si="15"/>
        <v>1</v>
      </c>
      <c r="S10" s="50">
        <f>SUMIFS('Отчет 03-09.11'!P:P,'Отчет 03-09.11'!C:C,"Продажи",'Отчет 03-09.11'!E:E,B10)</f>
        <v>1364</v>
      </c>
      <c r="T10" s="51">
        <f>SUMIFS('Отчет 03-09.11'!P:P,'Отчет 03-09.11'!C:C,"Возвраты",'Отчет 03-09.11'!E:E,B10)</f>
        <v>0</v>
      </c>
      <c r="U10" s="49">
        <f t="shared" si="16"/>
        <v>1364</v>
      </c>
      <c r="V10" s="52">
        <f t="shared" si="17"/>
        <v>6.7874203821656057E-2</v>
      </c>
      <c r="W10" s="53">
        <f t="shared" si="18"/>
        <v>169.89</v>
      </c>
      <c r="X10" s="51">
        <f>-SUMIFS('Отчет 03-09.11'!P:P,'Отчет 03-09.11'!C:C,"Вознаграждение Ozon",'Отчет 03-09.11'!E:E,B10)</f>
        <v>518.32000000000005</v>
      </c>
      <c r="Y10" s="54">
        <f t="shared" si="19"/>
        <v>0.38000000000000006</v>
      </c>
      <c r="Z10" s="51">
        <f>-SUMIFS('Отчет 03-09.11'!P:P,'Отчет 03-09.11'!C:C,"Услуги доставки",'Отчет 03-09.11'!E:E,B10)</f>
        <v>46</v>
      </c>
      <c r="AA10" s="41">
        <v>801.33421699999997</v>
      </c>
      <c r="AB10" s="64"/>
      <c r="AC10" s="51"/>
      <c r="AD10" s="55">
        <f t="shared" si="5"/>
        <v>81.84</v>
      </c>
      <c r="AE10" s="56">
        <f t="shared" si="6"/>
        <v>-253.38421699999989</v>
      </c>
      <c r="AF10" s="55"/>
      <c r="AG10" s="57">
        <f t="shared" si="7"/>
        <v>1364</v>
      </c>
      <c r="AH10" s="58">
        <f t="shared" si="8"/>
        <v>169.89</v>
      </c>
      <c r="AI10" s="58">
        <f t="shared" si="9"/>
        <v>518.32000000000005</v>
      </c>
      <c r="AJ10" s="58">
        <f t="shared" si="10"/>
        <v>46</v>
      </c>
      <c r="AK10" s="58">
        <f t="shared" si="11"/>
        <v>801.33421699999997</v>
      </c>
      <c r="AL10" s="58">
        <f t="array" ref="AL10">_xlfn.IFS(R10=0,AE10,R10&lt;0,AE10/-R10,R10&gt;0,AE10/R10)</f>
        <v>-253.38421699999989</v>
      </c>
      <c r="AM10" s="59">
        <f t="shared" si="12"/>
        <v>-0.18576555498533717</v>
      </c>
      <c r="AN10" s="60">
        <f t="shared" si="13"/>
        <v>-1.4914604567661423</v>
      </c>
      <c r="AP10" s="62">
        <f t="shared" si="20"/>
        <v>-100086.76571499996</v>
      </c>
    </row>
    <row r="11" spans="1:42">
      <c r="A11" s="39">
        <v>2730130733</v>
      </c>
      <c r="B11" s="40" t="s">
        <v>224</v>
      </c>
      <c r="C11" s="41">
        <v>48</v>
      </c>
      <c r="D11" s="42"/>
      <c r="E11" s="42"/>
      <c r="F11" s="42"/>
      <c r="G11" s="43"/>
      <c r="H11" s="44">
        <v>169.89</v>
      </c>
      <c r="I11" s="63">
        <f t="shared" si="14"/>
        <v>8154.7199999999993</v>
      </c>
      <c r="J11" s="45"/>
      <c r="K11" s="41">
        <v>0</v>
      </c>
      <c r="L11" s="45"/>
      <c r="M11" s="45"/>
      <c r="N11" s="46">
        <f t="shared" si="0"/>
        <v>0</v>
      </c>
      <c r="O11" s="47">
        <f t="shared" si="1"/>
        <v>0</v>
      </c>
      <c r="P11" s="48">
        <f>SUMIFS('Отчет 03-09.11'!H:H,'Отчет 03-09.11'!D:D,"Выручка",'Отчет 03-09.11'!E:E,B11)</f>
        <v>0</v>
      </c>
      <c r="Q11" s="48">
        <f>SUMIFS('Отчет 03-09.11'!H:H,'Отчет 03-09.11'!D:D,"Возврат выручки",'Отчет 03-09.11'!E:E,B11)</f>
        <v>0</v>
      </c>
      <c r="R11" s="49">
        <f t="shared" si="15"/>
        <v>0</v>
      </c>
      <c r="S11" s="50">
        <f>SUMIFS('Отчет 03-09.11'!P:P,'Отчет 03-09.11'!C:C,"Продажи",'Отчет 03-09.11'!E:E,B11)</f>
        <v>0</v>
      </c>
      <c r="T11" s="51">
        <f>SUMIFS('Отчет 03-09.11'!P:P,'Отчет 03-09.11'!C:C,"Возвраты",'Отчет 03-09.11'!E:E,B11)</f>
        <v>0</v>
      </c>
      <c r="U11" s="49">
        <f t="shared" si="16"/>
        <v>0</v>
      </c>
      <c r="V11" s="52">
        <f t="shared" si="17"/>
        <v>0</v>
      </c>
      <c r="W11" s="53">
        <f t="shared" si="18"/>
        <v>0</v>
      </c>
      <c r="X11" s="51">
        <f>-SUMIFS('Отчет 03-09.11'!P:P,'Отчет 03-09.11'!C:C,"Вознаграждение Ozon",'Отчет 03-09.11'!E:E,B11)</f>
        <v>0</v>
      </c>
      <c r="Y11" s="54">
        <f t="shared" si="19"/>
        <v>0</v>
      </c>
      <c r="Z11" s="51">
        <f>-SUMIFS('Отчет 03-09.11'!P:P,'Отчет 03-09.11'!C:C,"Услуги доставки",'Отчет 03-09.11'!E:E,B11)</f>
        <v>0</v>
      </c>
      <c r="AA11" s="41">
        <v>0</v>
      </c>
      <c r="AB11" s="64"/>
      <c r="AC11" s="51"/>
      <c r="AD11" s="55">
        <f t="shared" si="5"/>
        <v>0</v>
      </c>
      <c r="AE11" s="56">
        <f t="shared" si="6"/>
        <v>0</v>
      </c>
      <c r="AF11" s="55"/>
      <c r="AG11" s="57">
        <f t="shared" si="7"/>
        <v>0</v>
      </c>
      <c r="AH11" s="58">
        <f t="shared" si="8"/>
        <v>169.89</v>
      </c>
      <c r="AI11" s="58">
        <f t="shared" si="9"/>
        <v>0</v>
      </c>
      <c r="AJ11" s="58">
        <f t="shared" si="10"/>
        <v>0</v>
      </c>
      <c r="AK11" s="58">
        <f t="shared" si="11"/>
        <v>0</v>
      </c>
      <c r="AL11" s="58">
        <f t="array" ref="AL11">_xlfn.IFS(R11=0,AE11,R11&lt;0,AE11/-R11,R11&gt;0,AE11/R11)</f>
        <v>0</v>
      </c>
      <c r="AM11" s="59">
        <f t="shared" si="12"/>
        <v>0</v>
      </c>
      <c r="AN11" s="60">
        <f t="shared" si="13"/>
        <v>0</v>
      </c>
      <c r="AP11" s="62">
        <f t="shared" si="20"/>
        <v>0</v>
      </c>
    </row>
    <row r="12" spans="1:42">
      <c r="A12" s="39">
        <v>2730131249</v>
      </c>
      <c r="B12" s="40" t="s">
        <v>225</v>
      </c>
      <c r="C12" s="41">
        <v>46</v>
      </c>
      <c r="D12" s="42"/>
      <c r="E12" s="42"/>
      <c r="F12" s="42"/>
      <c r="G12" s="43"/>
      <c r="H12" s="44">
        <v>169.89</v>
      </c>
      <c r="I12" s="63">
        <f t="shared" si="14"/>
        <v>7814.94</v>
      </c>
      <c r="J12" s="45"/>
      <c r="K12" s="41">
        <v>0</v>
      </c>
      <c r="L12" s="45"/>
      <c r="M12" s="45"/>
      <c r="N12" s="46">
        <f t="shared" si="0"/>
        <v>0</v>
      </c>
      <c r="O12" s="47">
        <f t="shared" si="1"/>
        <v>0</v>
      </c>
      <c r="P12" s="48">
        <f>SUMIFS('Отчет 03-09.11'!H:H,'Отчет 03-09.11'!D:D,"Выручка",'Отчет 03-09.11'!E:E,B12)</f>
        <v>0</v>
      </c>
      <c r="Q12" s="48">
        <f>SUMIFS('Отчет 03-09.11'!H:H,'Отчет 03-09.11'!D:D,"Возврат выручки",'Отчет 03-09.11'!E:E,B12)</f>
        <v>0</v>
      </c>
      <c r="R12" s="49">
        <f t="shared" si="15"/>
        <v>0</v>
      </c>
      <c r="S12" s="50">
        <f>SUMIFS('Отчет 03-09.11'!P:P,'Отчет 03-09.11'!C:C,"Продажи",'Отчет 03-09.11'!E:E,B12)</f>
        <v>0</v>
      </c>
      <c r="T12" s="51">
        <f>SUMIFS('Отчет 03-09.11'!P:P,'Отчет 03-09.11'!C:C,"Возвраты",'Отчет 03-09.11'!E:E,B12)</f>
        <v>0</v>
      </c>
      <c r="U12" s="49">
        <f t="shared" si="16"/>
        <v>0</v>
      </c>
      <c r="V12" s="52">
        <f t="shared" si="17"/>
        <v>0</v>
      </c>
      <c r="W12" s="53">
        <f t="shared" si="18"/>
        <v>0</v>
      </c>
      <c r="X12" s="51">
        <f>-SUMIFS('Отчет 03-09.11'!P:P,'Отчет 03-09.11'!C:C,"Вознаграждение Ozon",'Отчет 03-09.11'!E:E,B12)</f>
        <v>0</v>
      </c>
      <c r="Y12" s="54">
        <f t="shared" si="19"/>
        <v>0</v>
      </c>
      <c r="Z12" s="51">
        <f>-SUMIFS('Отчет 03-09.11'!P:P,'Отчет 03-09.11'!C:C,"Услуги доставки",'Отчет 03-09.11'!E:E,B12)</f>
        <v>0</v>
      </c>
      <c r="AA12" s="41">
        <v>0</v>
      </c>
      <c r="AB12" s="64"/>
      <c r="AC12" s="51"/>
      <c r="AD12" s="55">
        <f t="shared" si="5"/>
        <v>0</v>
      </c>
      <c r="AE12" s="56">
        <f t="shared" si="6"/>
        <v>0</v>
      </c>
      <c r="AF12" s="55"/>
      <c r="AG12" s="57">
        <f t="shared" si="7"/>
        <v>0</v>
      </c>
      <c r="AH12" s="58">
        <f t="shared" si="8"/>
        <v>169.89</v>
      </c>
      <c r="AI12" s="58">
        <f t="shared" si="9"/>
        <v>0</v>
      </c>
      <c r="AJ12" s="58">
        <f t="shared" si="10"/>
        <v>0</v>
      </c>
      <c r="AK12" s="58">
        <f t="shared" si="11"/>
        <v>0</v>
      </c>
      <c r="AL12" s="58">
        <f t="array" ref="AL12">_xlfn.IFS(R12=0,AE12,R12&lt;0,AE12/-R12,R12&gt;0,AE12/R12)</f>
        <v>0</v>
      </c>
      <c r="AM12" s="59">
        <f t="shared" si="12"/>
        <v>0</v>
      </c>
      <c r="AN12" s="60">
        <f t="shared" si="13"/>
        <v>0</v>
      </c>
      <c r="AP12" s="62">
        <f t="shared" si="20"/>
        <v>0</v>
      </c>
    </row>
    <row r="13" spans="1:42">
      <c r="A13" s="39">
        <v>2730130553</v>
      </c>
      <c r="B13" s="40" t="s">
        <v>226</v>
      </c>
      <c r="C13" s="41">
        <v>41</v>
      </c>
      <c r="D13" s="42"/>
      <c r="E13" s="42"/>
      <c r="F13" s="42"/>
      <c r="G13" s="43"/>
      <c r="H13" s="44">
        <v>169.89</v>
      </c>
      <c r="I13" s="63">
        <f t="shared" si="14"/>
        <v>6965.49</v>
      </c>
      <c r="J13" s="45"/>
      <c r="K13" s="41">
        <v>1</v>
      </c>
      <c r="L13" s="45"/>
      <c r="M13" s="45"/>
      <c r="N13" s="46">
        <f t="shared" si="0"/>
        <v>0.14285714285714285</v>
      </c>
      <c r="O13" s="47">
        <f t="shared" si="1"/>
        <v>0.14285714285714285</v>
      </c>
      <c r="P13" s="48">
        <f>SUMIFS('Отчет 03-09.11'!H:H,'Отчет 03-09.11'!D:D,"Выручка",'Отчет 03-09.11'!E:E,B13)</f>
        <v>1</v>
      </c>
      <c r="Q13" s="48">
        <f>SUMIFS('Отчет 03-09.11'!H:H,'Отчет 03-09.11'!D:D,"Возврат выручки",'Отчет 03-09.11'!E:E,B13)</f>
        <v>0</v>
      </c>
      <c r="R13" s="49">
        <f t="shared" si="15"/>
        <v>1</v>
      </c>
      <c r="S13" s="50">
        <f>SUMIFS('Отчет 03-09.11'!P:P,'Отчет 03-09.11'!C:C,"Продажи",'Отчет 03-09.11'!E:E,B13)</f>
        <v>1338</v>
      </c>
      <c r="T13" s="51">
        <f>SUMIFS('Отчет 03-09.11'!P:P,'Отчет 03-09.11'!C:C,"Возвраты",'Отчет 03-09.11'!E:E,B13)</f>
        <v>0</v>
      </c>
      <c r="U13" s="49">
        <f t="shared" si="16"/>
        <v>1338</v>
      </c>
      <c r="V13" s="52">
        <f t="shared" si="17"/>
        <v>6.6580414012738856E-2</v>
      </c>
      <c r="W13" s="53">
        <f t="shared" si="18"/>
        <v>169.89</v>
      </c>
      <c r="X13" s="51">
        <f>-SUMIFS('Отчет 03-09.11'!P:P,'Отчет 03-09.11'!C:C,"Вознаграждение Ozon",'Отчет 03-09.11'!E:E,B13)</f>
        <v>508.44</v>
      </c>
      <c r="Y13" s="54">
        <f t="shared" si="19"/>
        <v>0.38</v>
      </c>
      <c r="Z13" s="51">
        <f>-SUMIFS('Отчет 03-09.11'!P:P,'Отчет 03-09.11'!C:C,"Услуги доставки",'Отчет 03-09.11'!E:E,B13)</f>
        <v>46</v>
      </c>
      <c r="AA13" s="41">
        <v>104.49</v>
      </c>
      <c r="AB13" s="64"/>
      <c r="AC13" s="51"/>
      <c r="AD13" s="55">
        <f t="shared" si="5"/>
        <v>80.28</v>
      </c>
      <c r="AE13" s="56">
        <f t="shared" si="6"/>
        <v>428.90000000000009</v>
      </c>
      <c r="AF13" s="55"/>
      <c r="AG13" s="57">
        <f t="shared" si="7"/>
        <v>1338</v>
      </c>
      <c r="AH13" s="58">
        <f t="shared" si="8"/>
        <v>169.89</v>
      </c>
      <c r="AI13" s="58">
        <f t="shared" si="9"/>
        <v>508.44</v>
      </c>
      <c r="AJ13" s="58">
        <f t="shared" si="10"/>
        <v>46</v>
      </c>
      <c r="AK13" s="58">
        <f t="shared" si="11"/>
        <v>104.49</v>
      </c>
      <c r="AL13" s="58">
        <f t="array" ref="AL13">_xlfn.IFS(R13=0,AE13,R13&lt;0,AE13/-R13,R13&gt;0,AE13/R13)</f>
        <v>428.90000000000009</v>
      </c>
      <c r="AM13" s="59">
        <f t="shared" si="12"/>
        <v>0.32055306427503744</v>
      </c>
      <c r="AN13" s="60">
        <f t="shared" si="13"/>
        <v>2.5245747248219446</v>
      </c>
      <c r="AP13" s="62">
        <f t="shared" si="20"/>
        <v>17584.900000000005</v>
      </c>
    </row>
    <row r="14" spans="1:42" ht="13.75" customHeight="1">
      <c r="A14" s="39">
        <v>2730129638</v>
      </c>
      <c r="B14" s="40" t="s">
        <v>227</v>
      </c>
      <c r="C14" s="41">
        <v>12</v>
      </c>
      <c r="D14" s="42"/>
      <c r="E14" s="42"/>
      <c r="F14" s="42"/>
      <c r="G14" s="43"/>
      <c r="H14" s="44">
        <v>169.89</v>
      </c>
      <c r="I14" s="63">
        <f t="shared" si="14"/>
        <v>2038.6799999999998</v>
      </c>
      <c r="J14" s="45"/>
      <c r="K14" s="41">
        <v>0</v>
      </c>
      <c r="L14" s="45"/>
      <c r="M14" s="45"/>
      <c r="N14" s="46">
        <f t="shared" si="0"/>
        <v>0</v>
      </c>
      <c r="O14" s="47">
        <f t="shared" si="1"/>
        <v>0.2857142857142857</v>
      </c>
      <c r="P14" s="48">
        <f>SUMIFS('Отчет 03-09.11'!H:H,'Отчет 03-09.11'!D:D,"Выручка",'Отчет 03-09.11'!E:E,B14)</f>
        <v>2</v>
      </c>
      <c r="Q14" s="48">
        <f>SUMIFS('Отчет 03-09.11'!H:H,'Отчет 03-09.11'!D:D,"Возврат выручки",'Отчет 03-09.11'!E:E,B14)</f>
        <v>0</v>
      </c>
      <c r="R14" s="49">
        <f t="shared" si="15"/>
        <v>2</v>
      </c>
      <c r="S14" s="50">
        <f>SUMIFS('Отчет 03-09.11'!P:P,'Отчет 03-09.11'!C:C,"Продажи",'Отчет 03-09.11'!E:E,B14)</f>
        <v>3600</v>
      </c>
      <c r="T14" s="51">
        <f>SUMIFS('Отчет 03-09.11'!P:P,'Отчет 03-09.11'!C:C,"Возвраты",'Отчет 03-09.11'!E:E,B14)</f>
        <v>0</v>
      </c>
      <c r="U14" s="49">
        <f t="shared" si="16"/>
        <v>3600</v>
      </c>
      <c r="V14" s="52">
        <f t="shared" si="17"/>
        <v>0.17914012738853502</v>
      </c>
      <c r="W14" s="53">
        <f t="shared" si="18"/>
        <v>339.78</v>
      </c>
      <c r="X14" s="51">
        <f>-SUMIFS('Отчет 03-09.11'!P:P,'Отчет 03-09.11'!C:C,"Вознаграждение Ozon",'Отчет 03-09.11'!E:E,B14)</f>
        <v>1368</v>
      </c>
      <c r="Y14" s="54">
        <f t="shared" si="19"/>
        <v>0.38</v>
      </c>
      <c r="Z14" s="51">
        <f>-SUMIFS('Отчет 03-09.11'!P:P,'Отчет 03-09.11'!C:C,"Услуги доставки",'Отчет 03-09.11'!E:E,B14)</f>
        <v>92</v>
      </c>
      <c r="AA14" s="41">
        <v>1413.2333550000001</v>
      </c>
      <c r="AB14" s="64"/>
      <c r="AC14" s="51"/>
      <c r="AD14" s="55">
        <f t="shared" si="5"/>
        <v>216</v>
      </c>
      <c r="AE14" s="56">
        <f t="shared" si="6"/>
        <v>170.98664500000018</v>
      </c>
      <c r="AF14" s="55"/>
      <c r="AG14" s="57">
        <f t="shared" si="7"/>
        <v>1800</v>
      </c>
      <c r="AH14" s="58">
        <f t="shared" si="8"/>
        <v>169.89</v>
      </c>
      <c r="AI14" s="58">
        <f t="shared" si="9"/>
        <v>684</v>
      </c>
      <c r="AJ14" s="58">
        <f t="shared" si="10"/>
        <v>46</v>
      </c>
      <c r="AK14" s="58">
        <f t="shared" si="11"/>
        <v>706.61667750000004</v>
      </c>
      <c r="AL14" s="58">
        <f t="array" ref="AL14">_xlfn.IFS(R14=0,AE14,R14&lt;0,AE14/-R14,R14&gt;0,AE14/R14)</f>
        <v>85.49332250000009</v>
      </c>
      <c r="AM14" s="59">
        <f t="shared" si="12"/>
        <v>4.7496290277777825E-2</v>
      </c>
      <c r="AN14" s="60">
        <f t="shared" si="13"/>
        <v>0.50322751486255868</v>
      </c>
      <c r="AP14" s="62">
        <f t="shared" si="20"/>
        <v>1025.9198700000011</v>
      </c>
    </row>
    <row r="15" spans="1:42" ht="13.75" customHeight="1">
      <c r="A15" s="39">
        <v>2730130141</v>
      </c>
      <c r="B15" s="40" t="s">
        <v>228</v>
      </c>
      <c r="C15" s="41">
        <v>44</v>
      </c>
      <c r="D15" s="42"/>
      <c r="E15" s="42"/>
      <c r="F15" s="42"/>
      <c r="G15" s="43"/>
      <c r="H15" s="44">
        <v>169.89</v>
      </c>
      <c r="I15" s="63">
        <f t="shared" si="14"/>
        <v>7475.16</v>
      </c>
      <c r="J15" s="45"/>
      <c r="K15" s="41">
        <v>1</v>
      </c>
      <c r="L15" s="45"/>
      <c r="M15" s="45"/>
      <c r="N15" s="46">
        <f t="shared" si="0"/>
        <v>0.14285714285714285</v>
      </c>
      <c r="O15" s="47">
        <f t="shared" si="1"/>
        <v>0</v>
      </c>
      <c r="P15" s="48">
        <f>SUMIFS('Отчет 03-09.11'!H:H,'Отчет 03-09.11'!D:D,"Выручка",'Отчет 03-09.11'!E:E,B15)</f>
        <v>0</v>
      </c>
      <c r="Q15" s="48">
        <f>SUMIFS('Отчет 03-09.11'!H:H,'Отчет 03-09.11'!D:D,"Возврат выручки",'Отчет 03-09.11'!E:E,B15)</f>
        <v>0</v>
      </c>
      <c r="R15" s="49">
        <f t="shared" si="15"/>
        <v>0</v>
      </c>
      <c r="S15" s="50">
        <f>SUMIFS('Отчет 03-09.11'!P:P,'Отчет 03-09.11'!C:C,"Продажи",'Отчет 03-09.11'!E:E,B15)</f>
        <v>0</v>
      </c>
      <c r="T15" s="51">
        <f>SUMIFS('Отчет 03-09.11'!P:P,'Отчет 03-09.11'!C:C,"Возвраты",'Отчет 03-09.11'!E:E,B15)</f>
        <v>0</v>
      </c>
      <c r="U15" s="49">
        <f t="shared" si="16"/>
        <v>0</v>
      </c>
      <c r="V15" s="52">
        <f t="shared" si="17"/>
        <v>0</v>
      </c>
      <c r="W15" s="53">
        <f t="shared" si="18"/>
        <v>0</v>
      </c>
      <c r="X15" s="51">
        <f>-SUMIFS('Отчет 03-09.11'!P:P,'Отчет 03-09.11'!C:C,"Вознаграждение Ozon",'Отчет 03-09.11'!E:E,B15)</f>
        <v>0</v>
      </c>
      <c r="Y15" s="54">
        <f t="shared" si="19"/>
        <v>0</v>
      </c>
      <c r="Z15" s="51">
        <f>-SUMIFS('Отчет 03-09.11'!P:P,'Отчет 03-09.11'!C:C,"Услуги доставки",'Отчет 03-09.11'!E:E,B15)</f>
        <v>0</v>
      </c>
      <c r="AA15" s="41">
        <v>933.28781500000002</v>
      </c>
      <c r="AB15" s="64"/>
      <c r="AC15" s="51"/>
      <c r="AD15" s="55">
        <f t="shared" si="5"/>
        <v>0</v>
      </c>
      <c r="AE15" s="56">
        <f t="shared" si="6"/>
        <v>-933.28781500000002</v>
      </c>
      <c r="AF15" s="55"/>
      <c r="AG15" s="57">
        <f t="shared" si="7"/>
        <v>0</v>
      </c>
      <c r="AH15" s="58">
        <f t="shared" si="8"/>
        <v>169.89</v>
      </c>
      <c r="AI15" s="58">
        <f t="shared" si="9"/>
        <v>0</v>
      </c>
      <c r="AJ15" s="58">
        <f t="shared" si="10"/>
        <v>0</v>
      </c>
      <c r="AK15" s="58">
        <f t="shared" si="11"/>
        <v>0</v>
      </c>
      <c r="AL15" s="58">
        <f t="array" ref="AL15">_xlfn.IFS(R15=0,AE15,R15&lt;0,AE15/-R15,R15&gt;0,AE15/R15)</f>
        <v>-933.28781500000002</v>
      </c>
      <c r="AM15" s="59">
        <f t="shared" si="12"/>
        <v>0</v>
      </c>
      <c r="AN15" s="60">
        <f t="shared" si="13"/>
        <v>-5.493482930131262</v>
      </c>
      <c r="AP15" s="62">
        <f t="shared" si="20"/>
        <v>-41064.663860000001</v>
      </c>
    </row>
    <row r="16" spans="1:42" ht="13.75" customHeight="1">
      <c r="A16" s="39">
        <v>2730129805</v>
      </c>
      <c r="B16" s="40" t="s">
        <v>19</v>
      </c>
      <c r="C16" s="41">
        <v>27</v>
      </c>
      <c r="D16" s="42"/>
      <c r="E16" s="42"/>
      <c r="F16" s="42"/>
      <c r="G16" s="43"/>
      <c r="H16" s="44">
        <v>169.89</v>
      </c>
      <c r="I16" s="63">
        <f t="shared" si="14"/>
        <v>4587.03</v>
      </c>
      <c r="J16" s="45"/>
      <c r="K16" s="41">
        <v>0</v>
      </c>
      <c r="L16" s="45"/>
      <c r="M16" s="45"/>
      <c r="N16" s="46">
        <f t="shared" si="0"/>
        <v>0</v>
      </c>
      <c r="O16" s="47">
        <f t="shared" si="1"/>
        <v>0</v>
      </c>
      <c r="P16" s="48">
        <f>SUMIFS('Отчет 03-09.11'!H:H,'Отчет 03-09.11'!D:D,"Выручка",'Отчет 03-09.11'!E:E,B16)</f>
        <v>0</v>
      </c>
      <c r="Q16" s="48">
        <f>SUMIFS('Отчет 03-09.11'!H:H,'Отчет 03-09.11'!D:D,"Возврат выручки",'Отчет 03-09.11'!E:E,B16)</f>
        <v>0</v>
      </c>
      <c r="R16" s="49">
        <f t="shared" si="15"/>
        <v>0</v>
      </c>
      <c r="S16" s="50">
        <f>SUMIFS('Отчет 03-09.11'!P:P,'Отчет 03-09.11'!C:C,"Продажи",'Отчет 03-09.11'!E:E,B16)</f>
        <v>0</v>
      </c>
      <c r="T16" s="51">
        <f>SUMIFS('Отчет 03-09.11'!P:P,'Отчет 03-09.11'!C:C,"Возвраты",'Отчет 03-09.11'!E:E,B16)</f>
        <v>0</v>
      </c>
      <c r="U16" s="49">
        <f t="shared" si="16"/>
        <v>0</v>
      </c>
      <c r="V16" s="52">
        <f t="shared" si="17"/>
        <v>0</v>
      </c>
      <c r="W16" s="53">
        <f t="shared" si="18"/>
        <v>0</v>
      </c>
      <c r="X16" s="51">
        <f>-SUMIFS('Отчет 03-09.11'!P:P,'Отчет 03-09.11'!C:C,"Вознаграждение Ozon",'Отчет 03-09.11'!E:E,B16)</f>
        <v>0</v>
      </c>
      <c r="Y16" s="54">
        <f t="shared" si="19"/>
        <v>0</v>
      </c>
      <c r="Z16" s="51">
        <f>-SUMIFS('Отчет 03-09.11'!P:P,'Отчет 03-09.11'!C:C,"Услуги доставки",'Отчет 03-09.11'!E:E,B16)</f>
        <v>0</v>
      </c>
      <c r="AA16" s="41">
        <v>0</v>
      </c>
      <c r="AB16" s="64"/>
      <c r="AC16" s="51"/>
      <c r="AD16" s="55">
        <f t="shared" si="5"/>
        <v>0</v>
      </c>
      <c r="AE16" s="56">
        <f t="shared" si="6"/>
        <v>0</v>
      </c>
      <c r="AF16" s="55"/>
      <c r="AG16" s="57">
        <f t="shared" si="7"/>
        <v>0</v>
      </c>
      <c r="AH16" s="58">
        <f t="shared" si="8"/>
        <v>169.89</v>
      </c>
      <c r="AI16" s="58">
        <f t="shared" si="9"/>
        <v>0</v>
      </c>
      <c r="AJ16" s="58">
        <f t="shared" si="10"/>
        <v>0</v>
      </c>
      <c r="AK16" s="58">
        <f t="shared" si="11"/>
        <v>0</v>
      </c>
      <c r="AL16" s="58">
        <f t="array" ref="AL16">_xlfn.IFS(R16=0,AE16,R16&lt;0,AE16/-R16,R16&gt;0,AE16/R16)</f>
        <v>0</v>
      </c>
      <c r="AM16" s="59">
        <f t="shared" si="12"/>
        <v>0</v>
      </c>
      <c r="AN16" s="60">
        <f t="shared" si="13"/>
        <v>0</v>
      </c>
      <c r="AP16" s="62">
        <f t="shared" si="20"/>
        <v>0</v>
      </c>
    </row>
    <row r="17" spans="1:52" ht="13.75" customHeight="1">
      <c r="A17" s="39">
        <v>2807226201</v>
      </c>
      <c r="B17" s="40" t="s">
        <v>229</v>
      </c>
      <c r="C17" s="41">
        <v>2</v>
      </c>
      <c r="D17" s="42"/>
      <c r="E17" s="42"/>
      <c r="F17" s="42"/>
      <c r="G17" s="43"/>
      <c r="H17" s="44">
        <v>1002.82</v>
      </c>
      <c r="I17" s="63">
        <f t="shared" si="14"/>
        <v>2005.64</v>
      </c>
      <c r="J17" s="45"/>
      <c r="K17" s="41">
        <v>0</v>
      </c>
      <c r="L17" s="45"/>
      <c r="M17" s="45"/>
      <c r="N17" s="46">
        <f t="shared" si="0"/>
        <v>0</v>
      </c>
      <c r="O17" s="47">
        <f t="shared" si="1"/>
        <v>0</v>
      </c>
      <c r="P17" s="48">
        <f>SUMIFS('Отчет 03-09.11'!H:H,'Отчет 03-09.11'!D:D,"Выручка",'Отчет 03-09.11'!E:E,B17)</f>
        <v>0</v>
      </c>
      <c r="Q17" s="48">
        <f>SUMIFS('Отчет 03-09.11'!H:H,'Отчет 03-09.11'!D:D,"Возврат выручки",'Отчет 03-09.11'!E:E,B17)</f>
        <v>0</v>
      </c>
      <c r="R17" s="49">
        <f t="shared" si="15"/>
        <v>0</v>
      </c>
      <c r="S17" s="50">
        <f>SUMIFS('Отчет 03-09.11'!P:P,'Отчет 03-09.11'!C:C,"Продажи",'Отчет 03-09.11'!E:E,B17)</f>
        <v>0</v>
      </c>
      <c r="T17" s="51">
        <f>SUMIFS('Отчет 03-09.11'!P:P,'Отчет 03-09.11'!C:C,"Возвраты",'Отчет 03-09.11'!E:E,B17)</f>
        <v>0</v>
      </c>
      <c r="U17" s="49">
        <f t="shared" si="16"/>
        <v>0</v>
      </c>
      <c r="V17" s="52">
        <f t="shared" si="17"/>
        <v>0</v>
      </c>
      <c r="W17" s="53">
        <f t="shared" si="18"/>
        <v>0</v>
      </c>
      <c r="X17" s="51">
        <f>-SUMIFS('Отчет 03-09.11'!P:P,'Отчет 03-09.11'!C:C,"Вознаграждение Ozon",'Отчет 03-09.11'!E:E,B17)</f>
        <v>0</v>
      </c>
      <c r="Y17" s="54">
        <f t="shared" si="19"/>
        <v>0</v>
      </c>
      <c r="Z17" s="51">
        <f>-SUMIFS('Отчет 03-09.11'!P:P,'Отчет 03-09.11'!C:C,"Услуги доставки",'Отчет 03-09.11'!E:E,B17)</f>
        <v>112</v>
      </c>
      <c r="AA17" s="41">
        <v>138.094821</v>
      </c>
      <c r="AB17" s="64"/>
      <c r="AC17" s="51"/>
      <c r="AD17" s="55">
        <f t="shared" si="5"/>
        <v>0</v>
      </c>
      <c r="AE17" s="56">
        <f t="shared" si="6"/>
        <v>-250.094821</v>
      </c>
      <c r="AF17" s="55"/>
      <c r="AG17" s="57">
        <f t="shared" si="7"/>
        <v>0</v>
      </c>
      <c r="AH17" s="58">
        <f t="shared" si="8"/>
        <v>1002.82</v>
      </c>
      <c r="AI17" s="58">
        <f t="shared" si="9"/>
        <v>0</v>
      </c>
      <c r="AJ17" s="58">
        <f t="shared" si="10"/>
        <v>112</v>
      </c>
      <c r="AK17" s="58">
        <f t="shared" si="11"/>
        <v>0</v>
      </c>
      <c r="AL17" s="58">
        <f t="array" ref="AL17">_xlfn.IFS(R17=0,AE17,R17&lt;0,AE17/-R17,R17&gt;0,AE17/R17)</f>
        <v>-250.094821</v>
      </c>
      <c r="AM17" s="59">
        <f t="shared" si="12"/>
        <v>0</v>
      </c>
      <c r="AN17" s="60">
        <f t="shared" si="13"/>
        <v>-0.24939153686603777</v>
      </c>
      <c r="AP17" s="62">
        <f t="shared" si="20"/>
        <v>-500.18964199999999</v>
      </c>
    </row>
    <row r="18" spans="1:52" ht="13.75" customHeight="1">
      <c r="A18" s="39">
        <v>2807226228</v>
      </c>
      <c r="B18" s="40" t="s">
        <v>230</v>
      </c>
      <c r="C18" s="41">
        <v>1</v>
      </c>
      <c r="D18" s="42"/>
      <c r="E18" s="42"/>
      <c r="F18" s="42"/>
      <c r="G18" s="43"/>
      <c r="H18" s="44">
        <v>909.22</v>
      </c>
      <c r="I18" s="63">
        <f t="shared" si="14"/>
        <v>909.22</v>
      </c>
      <c r="J18" s="45"/>
      <c r="K18" s="41">
        <v>0</v>
      </c>
      <c r="L18" s="45"/>
      <c r="M18" s="45"/>
      <c r="N18" s="46">
        <f t="shared" si="0"/>
        <v>0</v>
      </c>
      <c r="O18" s="47">
        <f t="shared" si="1"/>
        <v>0</v>
      </c>
      <c r="P18" s="48">
        <f>SUMIFS('Отчет 03-09.11'!H:H,'Отчет 03-09.11'!D:D,"Выручка",'Отчет 03-09.11'!E:E,B18)</f>
        <v>0</v>
      </c>
      <c r="Q18" s="48">
        <f>SUMIFS('Отчет 03-09.11'!H:H,'Отчет 03-09.11'!D:D,"Возврат выручки",'Отчет 03-09.11'!E:E,B18)</f>
        <v>0</v>
      </c>
      <c r="R18" s="49">
        <f t="shared" si="15"/>
        <v>0</v>
      </c>
      <c r="S18" s="50">
        <f>SUMIFS('Отчет 03-09.11'!P:P,'Отчет 03-09.11'!C:C,"Продажи",'Отчет 03-09.11'!E:E,B18)</f>
        <v>0</v>
      </c>
      <c r="T18" s="51">
        <f>SUMIFS('Отчет 03-09.11'!P:P,'Отчет 03-09.11'!C:C,"Возвраты",'Отчет 03-09.11'!E:E,B18)</f>
        <v>0</v>
      </c>
      <c r="U18" s="49">
        <f t="shared" si="16"/>
        <v>0</v>
      </c>
      <c r="V18" s="52">
        <f t="shared" si="17"/>
        <v>0</v>
      </c>
      <c r="W18" s="53">
        <f t="shared" si="18"/>
        <v>0</v>
      </c>
      <c r="X18" s="51">
        <f>-SUMIFS('Отчет 03-09.11'!P:P,'Отчет 03-09.11'!C:C,"Вознаграждение Ozon",'Отчет 03-09.11'!E:E,B18)</f>
        <v>0</v>
      </c>
      <c r="Y18" s="54">
        <f t="shared" si="19"/>
        <v>0</v>
      </c>
      <c r="Z18" s="51">
        <f>-SUMIFS('Отчет 03-09.11'!P:P,'Отчет 03-09.11'!C:C,"Услуги доставки",'Отчет 03-09.11'!E:E,B18)</f>
        <v>0</v>
      </c>
      <c r="AA18" s="41">
        <v>0</v>
      </c>
      <c r="AB18" s="64"/>
      <c r="AC18" s="51"/>
      <c r="AD18" s="55">
        <f t="shared" si="5"/>
        <v>0</v>
      </c>
      <c r="AE18" s="56">
        <f t="shared" si="6"/>
        <v>0</v>
      </c>
      <c r="AF18" s="55"/>
      <c r="AG18" s="57">
        <f t="shared" si="7"/>
        <v>0</v>
      </c>
      <c r="AH18" s="58">
        <f t="shared" si="8"/>
        <v>909.22</v>
      </c>
      <c r="AI18" s="58">
        <f t="shared" si="9"/>
        <v>0</v>
      </c>
      <c r="AJ18" s="58">
        <f t="shared" si="10"/>
        <v>0</v>
      </c>
      <c r="AK18" s="58">
        <f t="shared" si="11"/>
        <v>0</v>
      </c>
      <c r="AL18" s="58">
        <f t="array" ref="AL18">_xlfn.IFS(R18=0,AE18,R18&lt;0,AE18/-R18,R18&gt;0,AE18/R18)</f>
        <v>0</v>
      </c>
      <c r="AM18" s="59">
        <f t="shared" si="12"/>
        <v>0</v>
      </c>
      <c r="AN18" s="60">
        <f t="shared" si="13"/>
        <v>0</v>
      </c>
      <c r="AP18" s="62">
        <f t="shared" si="20"/>
        <v>0</v>
      </c>
    </row>
    <row r="19" spans="1:52" ht="13.75" customHeight="1">
      <c r="A19" s="39">
        <v>2807226016</v>
      </c>
      <c r="B19" s="40" t="s">
        <v>231</v>
      </c>
      <c r="C19" s="41">
        <v>1</v>
      </c>
      <c r="D19" s="42"/>
      <c r="E19" s="42"/>
      <c r="F19" s="42"/>
      <c r="G19" s="43"/>
      <c r="H19" s="44">
        <v>909.22</v>
      </c>
      <c r="I19" s="63">
        <f t="shared" si="14"/>
        <v>909.22</v>
      </c>
      <c r="J19" s="45"/>
      <c r="K19" s="41">
        <v>0</v>
      </c>
      <c r="L19" s="45"/>
      <c r="M19" s="45"/>
      <c r="N19" s="46">
        <f t="shared" si="0"/>
        <v>0</v>
      </c>
      <c r="O19" s="47">
        <f t="shared" si="1"/>
        <v>0</v>
      </c>
      <c r="P19" s="48">
        <f>SUMIFS('Отчет 03-09.11'!H:H,'Отчет 03-09.11'!D:D,"Выручка",'Отчет 03-09.11'!E:E,B19)</f>
        <v>0</v>
      </c>
      <c r="Q19" s="48">
        <f>SUMIFS('Отчет 03-09.11'!H:H,'Отчет 03-09.11'!D:D,"Возврат выручки",'Отчет 03-09.11'!E:E,B19)</f>
        <v>0</v>
      </c>
      <c r="R19" s="49">
        <f t="shared" si="15"/>
        <v>0</v>
      </c>
      <c r="S19" s="50">
        <f>SUMIFS('Отчет 03-09.11'!P:P,'Отчет 03-09.11'!C:C,"Продажи",'Отчет 03-09.11'!E:E,B19)</f>
        <v>0</v>
      </c>
      <c r="T19" s="51">
        <f>SUMIFS('Отчет 03-09.11'!P:P,'Отчет 03-09.11'!C:C,"Возвраты",'Отчет 03-09.11'!E:E,B19)</f>
        <v>0</v>
      </c>
      <c r="U19" s="49">
        <f t="shared" si="16"/>
        <v>0</v>
      </c>
      <c r="V19" s="52">
        <f t="shared" si="17"/>
        <v>0</v>
      </c>
      <c r="W19" s="53">
        <f t="shared" si="18"/>
        <v>0</v>
      </c>
      <c r="X19" s="51">
        <f>-SUMIFS('Отчет 03-09.11'!P:P,'Отчет 03-09.11'!C:C,"Вознаграждение Ozon",'Отчет 03-09.11'!E:E,B19)</f>
        <v>0</v>
      </c>
      <c r="Y19" s="54">
        <f t="shared" si="19"/>
        <v>0</v>
      </c>
      <c r="Z19" s="51">
        <f>-SUMIFS('Отчет 03-09.11'!P:P,'Отчет 03-09.11'!C:C,"Услуги доставки",'Отчет 03-09.11'!E:E,B19)</f>
        <v>0</v>
      </c>
      <c r="AA19" s="41">
        <v>1206.17959</v>
      </c>
      <c r="AB19" s="64"/>
      <c r="AC19" s="51"/>
      <c r="AD19" s="55">
        <f t="shared" si="5"/>
        <v>0</v>
      </c>
      <c r="AE19" s="56">
        <f t="shared" si="6"/>
        <v>-1206.17959</v>
      </c>
      <c r="AF19" s="55"/>
      <c r="AG19" s="57">
        <f t="shared" si="7"/>
        <v>0</v>
      </c>
      <c r="AH19" s="58">
        <f t="shared" si="8"/>
        <v>909.22</v>
      </c>
      <c r="AI19" s="58">
        <f t="shared" si="9"/>
        <v>0</v>
      </c>
      <c r="AJ19" s="58">
        <f t="shared" si="10"/>
        <v>0</v>
      </c>
      <c r="AK19" s="58">
        <f t="shared" si="11"/>
        <v>0</v>
      </c>
      <c r="AL19" s="58">
        <f t="array" ref="AL19">_xlfn.IFS(R19=0,AE19,R19&lt;0,AE19/-R19,R19&gt;0,AE19/R19)</f>
        <v>-1206.17959</v>
      </c>
      <c r="AM19" s="59">
        <f t="shared" si="12"/>
        <v>0</v>
      </c>
      <c r="AN19" s="60">
        <f t="shared" si="13"/>
        <v>-1.3266091704977891</v>
      </c>
      <c r="AP19" s="62">
        <f t="shared" si="20"/>
        <v>-1206.17959</v>
      </c>
    </row>
    <row r="20" spans="1:52" ht="13.75" customHeight="1">
      <c r="A20" s="39">
        <v>2807226072</v>
      </c>
      <c r="B20" s="40" t="s">
        <v>111</v>
      </c>
      <c r="C20" s="41">
        <v>2</v>
      </c>
      <c r="D20" s="42"/>
      <c r="E20" s="42"/>
      <c r="F20" s="42"/>
      <c r="G20" s="43"/>
      <c r="H20" s="44">
        <v>932.62</v>
      </c>
      <c r="I20" s="63">
        <f t="shared" si="14"/>
        <v>1865.24</v>
      </c>
      <c r="J20" s="45"/>
      <c r="K20" s="41">
        <v>0</v>
      </c>
      <c r="L20" s="45"/>
      <c r="M20" s="45"/>
      <c r="N20" s="46">
        <f t="shared" si="0"/>
        <v>0</v>
      </c>
      <c r="O20" s="47">
        <f t="shared" si="1"/>
        <v>0</v>
      </c>
      <c r="P20" s="48">
        <f>SUMIFS('Отчет 03-09.11'!H:H,'Отчет 03-09.11'!D:D,"Выручка",'Отчет 03-09.11'!E:E,B20)</f>
        <v>0</v>
      </c>
      <c r="Q20" s="48">
        <f>SUMIFS('Отчет 03-09.11'!H:H,'Отчет 03-09.11'!D:D,"Возврат выручки",'Отчет 03-09.11'!E:E,B20)</f>
        <v>0</v>
      </c>
      <c r="R20" s="49">
        <f t="shared" si="15"/>
        <v>0</v>
      </c>
      <c r="S20" s="50">
        <f>SUMIFS('Отчет 03-09.11'!P:P,'Отчет 03-09.11'!C:C,"Продажи",'Отчет 03-09.11'!E:E,B20)</f>
        <v>0</v>
      </c>
      <c r="T20" s="51">
        <f>SUMIFS('Отчет 03-09.11'!P:P,'Отчет 03-09.11'!C:C,"Возвраты",'Отчет 03-09.11'!E:E,B20)</f>
        <v>0</v>
      </c>
      <c r="U20" s="49">
        <f t="shared" si="16"/>
        <v>0</v>
      </c>
      <c r="V20" s="52">
        <f t="shared" si="17"/>
        <v>0</v>
      </c>
      <c r="W20" s="53">
        <f t="shared" si="18"/>
        <v>0</v>
      </c>
      <c r="X20" s="51">
        <f>-SUMIFS('Отчет 03-09.11'!P:P,'Отчет 03-09.11'!C:C,"Вознаграждение Ozon",'Отчет 03-09.11'!E:E,B20)</f>
        <v>0</v>
      </c>
      <c r="Y20" s="54">
        <f t="shared" si="19"/>
        <v>0</v>
      </c>
      <c r="Z20" s="51">
        <f>-SUMIFS('Отчет 03-09.11'!P:P,'Отчет 03-09.11'!C:C,"Услуги доставки",'Отчет 03-09.11'!E:E,B20)</f>
        <v>0</v>
      </c>
      <c r="AA20" s="41">
        <v>0</v>
      </c>
      <c r="AB20" s="64"/>
      <c r="AC20" s="51"/>
      <c r="AD20" s="55">
        <f t="shared" si="5"/>
        <v>0</v>
      </c>
      <c r="AE20" s="56">
        <f t="shared" si="6"/>
        <v>0</v>
      </c>
      <c r="AF20" s="55"/>
      <c r="AG20" s="57">
        <f t="shared" si="7"/>
        <v>0</v>
      </c>
      <c r="AH20" s="58">
        <f t="shared" si="8"/>
        <v>932.62</v>
      </c>
      <c r="AI20" s="58">
        <f t="shared" si="9"/>
        <v>0</v>
      </c>
      <c r="AJ20" s="58">
        <f t="shared" si="10"/>
        <v>0</v>
      </c>
      <c r="AK20" s="58">
        <f t="shared" si="11"/>
        <v>0</v>
      </c>
      <c r="AL20" s="58">
        <f t="array" ref="AL20">_xlfn.IFS(R20=0,AE20,R20&lt;0,AE20/-R20,R20&gt;0,AE20/R20)</f>
        <v>0</v>
      </c>
      <c r="AM20" s="59">
        <f t="shared" si="12"/>
        <v>0</v>
      </c>
      <c r="AN20" s="60">
        <f t="shared" si="13"/>
        <v>0</v>
      </c>
      <c r="AP20" s="62">
        <f t="shared" si="20"/>
        <v>0</v>
      </c>
    </row>
    <row r="21" spans="1:52" ht="13.75" customHeight="1">
      <c r="A21" s="39">
        <v>2807226223</v>
      </c>
      <c r="B21" s="40" t="s">
        <v>232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14"/>
        <v>0</v>
      </c>
      <c r="J21" s="45"/>
      <c r="K21" s="41">
        <v>0</v>
      </c>
      <c r="L21" s="45"/>
      <c r="M21" s="45"/>
      <c r="N21" s="46">
        <f t="shared" si="0"/>
        <v>0</v>
      </c>
      <c r="O21" s="47">
        <f t="shared" si="1"/>
        <v>0</v>
      </c>
      <c r="P21" s="48">
        <f>SUMIFS('Отчет 03-09.11'!H:H,'Отчет 03-09.11'!D:D,"Выручка",'Отчет 03-09.11'!E:E,B21)</f>
        <v>0</v>
      </c>
      <c r="Q21" s="48">
        <f>SUMIFS('Отчет 03-09.11'!H:H,'Отчет 03-09.11'!D:D,"Возврат выручки",'Отчет 03-09.11'!E:E,B21)</f>
        <v>0</v>
      </c>
      <c r="R21" s="49">
        <f t="shared" si="15"/>
        <v>0</v>
      </c>
      <c r="S21" s="50">
        <f>SUMIFS('Отчет 03-09.11'!P:P,'Отчет 03-09.11'!C:C,"Продажи",'Отчет 03-09.11'!E:E,B21)</f>
        <v>0</v>
      </c>
      <c r="T21" s="51">
        <f>SUMIFS('Отчет 03-09.11'!P:P,'Отчет 03-09.11'!C:C,"Возвраты",'Отчет 03-09.11'!E:E,B21)</f>
        <v>0</v>
      </c>
      <c r="U21" s="49">
        <f t="shared" si="16"/>
        <v>0</v>
      </c>
      <c r="V21" s="52">
        <f t="shared" si="17"/>
        <v>0</v>
      </c>
      <c r="W21" s="53">
        <f t="shared" si="18"/>
        <v>0</v>
      </c>
      <c r="X21" s="51">
        <f>-SUMIFS('Отчет 03-09.11'!P:P,'Отчет 03-09.11'!C:C,"Вознаграждение Ozon",'Отчет 03-09.11'!E:E,B21)</f>
        <v>0</v>
      </c>
      <c r="Y21" s="54">
        <f t="shared" si="19"/>
        <v>0</v>
      </c>
      <c r="Z21" s="51">
        <f>-SUMIFS('Отчет 03-09.11'!P:P,'Отчет 03-09.11'!C:C,"Услуги доставки",'Отчет 03-09.11'!E:E,B21)</f>
        <v>0</v>
      </c>
      <c r="AA21" s="41">
        <v>0</v>
      </c>
      <c r="AB21" s="64"/>
      <c r="AC21" s="51"/>
      <c r="AD21" s="55">
        <f t="shared" si="5"/>
        <v>0</v>
      </c>
      <c r="AE21" s="56">
        <f t="shared" si="6"/>
        <v>0</v>
      </c>
      <c r="AF21" s="55"/>
      <c r="AG21" s="57">
        <f t="shared" si="7"/>
        <v>0</v>
      </c>
      <c r="AH21" s="58">
        <f t="shared" si="8"/>
        <v>1014.52</v>
      </c>
      <c r="AI21" s="58">
        <f t="shared" si="9"/>
        <v>0</v>
      </c>
      <c r="AJ21" s="58">
        <f t="shared" si="10"/>
        <v>0</v>
      </c>
      <c r="AK21" s="58">
        <f t="shared" si="11"/>
        <v>0</v>
      </c>
      <c r="AL21" s="58">
        <f t="array" ref="AL21">_xlfn.IFS(R21=0,AE21,R21&lt;0,AE21/-R21,R21&gt;0,AE21/R21)</f>
        <v>0</v>
      </c>
      <c r="AM21" s="59">
        <f t="shared" si="12"/>
        <v>0</v>
      </c>
      <c r="AN21" s="60">
        <f t="shared" si="13"/>
        <v>0</v>
      </c>
      <c r="AP21" s="62">
        <f t="shared" si="20"/>
        <v>0</v>
      </c>
    </row>
    <row r="22" spans="1:52" ht="13.75" customHeight="1">
      <c r="A22" s="39">
        <v>2807226341</v>
      </c>
      <c r="B22" s="40" t="s">
        <v>136</v>
      </c>
      <c r="C22" s="41">
        <v>0</v>
      </c>
      <c r="D22" s="42"/>
      <c r="E22" s="42"/>
      <c r="F22" s="42"/>
      <c r="G22" s="43"/>
      <c r="H22" s="44">
        <v>1014.52</v>
      </c>
      <c r="I22" s="63">
        <f t="shared" si="14"/>
        <v>0</v>
      </c>
      <c r="J22" s="45"/>
      <c r="K22" s="41">
        <v>0</v>
      </c>
      <c r="L22" s="45"/>
      <c r="M22" s="45"/>
      <c r="N22" s="46">
        <f t="shared" si="0"/>
        <v>0</v>
      </c>
      <c r="O22" s="47">
        <f t="shared" si="1"/>
        <v>0</v>
      </c>
      <c r="P22" s="48">
        <f>SUMIFS('Отчет 03-09.11'!H:H,'Отчет 03-09.11'!D:D,"Выручка",'Отчет 03-09.11'!E:E,B22)</f>
        <v>0</v>
      </c>
      <c r="Q22" s="48">
        <f>SUMIFS('Отчет 03-09.11'!H:H,'Отчет 03-09.11'!D:D,"Возврат выручки",'Отчет 03-09.11'!E:E,B22)</f>
        <v>0</v>
      </c>
      <c r="R22" s="49">
        <f t="shared" si="15"/>
        <v>0</v>
      </c>
      <c r="S22" s="50">
        <f>SUMIFS('Отчет 03-09.11'!P:P,'Отчет 03-09.11'!C:C,"Продажи",'Отчет 03-09.11'!E:E,B22)</f>
        <v>0</v>
      </c>
      <c r="T22" s="51">
        <f>SUMIFS('Отчет 03-09.11'!P:P,'Отчет 03-09.11'!C:C,"Возвраты",'Отчет 03-09.11'!E:E,B22)</f>
        <v>0</v>
      </c>
      <c r="U22" s="49">
        <f t="shared" si="16"/>
        <v>0</v>
      </c>
      <c r="V22" s="52">
        <f t="shared" si="17"/>
        <v>0</v>
      </c>
      <c r="W22" s="53">
        <f t="shared" si="18"/>
        <v>0</v>
      </c>
      <c r="X22" s="51">
        <f>-SUMIFS('Отчет 03-09.11'!P:P,'Отчет 03-09.11'!C:C,"Вознаграждение Ozon",'Отчет 03-09.11'!E:E,B22)</f>
        <v>0</v>
      </c>
      <c r="Y22" s="54">
        <f t="shared" si="19"/>
        <v>0</v>
      </c>
      <c r="Z22" s="51">
        <f>-SUMIFS('Отчет 03-09.11'!P:P,'Отчет 03-09.11'!C:C,"Услуги доставки",'Отчет 03-09.11'!E:E,B22)</f>
        <v>0</v>
      </c>
      <c r="AA22" s="41">
        <v>0</v>
      </c>
      <c r="AB22" s="64"/>
      <c r="AC22" s="51"/>
      <c r="AD22" s="55">
        <f t="shared" si="5"/>
        <v>0</v>
      </c>
      <c r="AE22" s="56">
        <f t="shared" si="6"/>
        <v>0</v>
      </c>
      <c r="AF22" s="55"/>
      <c r="AG22" s="57">
        <f t="shared" si="7"/>
        <v>0</v>
      </c>
      <c r="AH22" s="58">
        <f t="shared" si="8"/>
        <v>1014.52</v>
      </c>
      <c r="AI22" s="58">
        <f t="shared" si="9"/>
        <v>0</v>
      </c>
      <c r="AJ22" s="58">
        <f t="shared" si="10"/>
        <v>0</v>
      </c>
      <c r="AK22" s="58">
        <f t="shared" si="11"/>
        <v>0</v>
      </c>
      <c r="AL22" s="58">
        <f t="array" ref="AL22">_xlfn.IFS(R22=0,AE22,R22&lt;0,AE22/-R22,R22&gt;0,AE22/R22)</f>
        <v>0</v>
      </c>
      <c r="AM22" s="59">
        <f t="shared" si="12"/>
        <v>0</v>
      </c>
      <c r="AN22" s="60">
        <f t="shared" si="13"/>
        <v>0</v>
      </c>
      <c r="AP22" s="62">
        <f t="shared" si="20"/>
        <v>0</v>
      </c>
    </row>
    <row r="23" spans="1:52" ht="13.75" customHeight="1">
      <c r="A23" s="39">
        <v>2807226351</v>
      </c>
      <c r="B23" s="40" t="s">
        <v>233</v>
      </c>
      <c r="C23" s="41">
        <v>0</v>
      </c>
      <c r="D23" s="42"/>
      <c r="E23" s="42"/>
      <c r="F23" s="42"/>
      <c r="G23" s="43"/>
      <c r="H23" s="44">
        <v>1014.52</v>
      </c>
      <c r="I23" s="63">
        <f t="shared" si="14"/>
        <v>0</v>
      </c>
      <c r="J23" s="45"/>
      <c r="K23" s="41">
        <v>0</v>
      </c>
      <c r="L23" s="45"/>
      <c r="M23" s="45"/>
      <c r="N23" s="46">
        <f t="shared" si="0"/>
        <v>0</v>
      </c>
      <c r="O23" s="47">
        <f t="shared" si="1"/>
        <v>0</v>
      </c>
      <c r="P23" s="48">
        <f>SUMIFS('Отчет 03-09.11'!H:H,'Отчет 03-09.11'!D:D,"Выручка",'Отчет 03-09.11'!E:E,B23)</f>
        <v>0</v>
      </c>
      <c r="Q23" s="48">
        <f>SUMIFS('Отчет 03-09.11'!H:H,'Отчет 03-09.11'!D:D,"Возврат выручки",'Отчет 03-09.11'!E:E,B23)</f>
        <v>0</v>
      </c>
      <c r="R23" s="49">
        <f t="shared" si="15"/>
        <v>0</v>
      </c>
      <c r="S23" s="50">
        <f>SUMIFS('Отчет 03-09.11'!P:P,'Отчет 03-09.11'!C:C,"Продажи",'Отчет 03-09.11'!E:E,B23)</f>
        <v>0</v>
      </c>
      <c r="T23" s="51">
        <f>SUMIFS('Отчет 03-09.11'!P:P,'Отчет 03-09.11'!C:C,"Возвраты",'Отчет 03-09.11'!E:E,B23)</f>
        <v>0</v>
      </c>
      <c r="U23" s="49">
        <f t="shared" si="16"/>
        <v>0</v>
      </c>
      <c r="V23" s="52">
        <f t="shared" si="17"/>
        <v>0</v>
      </c>
      <c r="W23" s="53">
        <f t="shared" si="18"/>
        <v>0</v>
      </c>
      <c r="X23" s="51">
        <f>-SUMIFS('Отчет 03-09.11'!P:P,'Отчет 03-09.11'!C:C,"Вознаграждение Ozon",'Отчет 03-09.11'!E:E,B23)</f>
        <v>0</v>
      </c>
      <c r="Y23" s="54">
        <f t="shared" si="19"/>
        <v>0</v>
      </c>
      <c r="Z23" s="51">
        <f>-SUMIFS('Отчет 03-09.11'!P:P,'Отчет 03-09.11'!C:C,"Услуги доставки",'Отчет 03-09.11'!E:E,B23)</f>
        <v>0</v>
      </c>
      <c r="AA23" s="41">
        <v>0</v>
      </c>
      <c r="AB23" s="64"/>
      <c r="AC23" s="51"/>
      <c r="AD23" s="55">
        <f t="shared" si="5"/>
        <v>0</v>
      </c>
      <c r="AE23" s="56">
        <f t="shared" si="6"/>
        <v>0</v>
      </c>
      <c r="AF23" s="55"/>
      <c r="AG23" s="57">
        <f t="shared" si="7"/>
        <v>0</v>
      </c>
      <c r="AH23" s="58">
        <f t="shared" si="8"/>
        <v>1014.52</v>
      </c>
      <c r="AI23" s="58">
        <f t="shared" si="9"/>
        <v>0</v>
      </c>
      <c r="AJ23" s="58">
        <f t="shared" si="10"/>
        <v>0</v>
      </c>
      <c r="AK23" s="58">
        <f t="shared" si="11"/>
        <v>0</v>
      </c>
      <c r="AL23" s="58">
        <f t="array" ref="AL23">_xlfn.IFS(R23=0,AE23,R23&lt;0,AE23/-R23,R23&gt;0,AE23/R23)</f>
        <v>0</v>
      </c>
      <c r="AM23" s="59">
        <f t="shared" si="12"/>
        <v>0</v>
      </c>
      <c r="AN23" s="60">
        <f t="shared" si="13"/>
        <v>0</v>
      </c>
      <c r="AP23" s="62">
        <f t="shared" si="20"/>
        <v>0</v>
      </c>
    </row>
    <row r="24" spans="1:52" ht="13.75" customHeight="1">
      <c r="A24" s="39">
        <v>2807226146</v>
      </c>
      <c r="B24" s="40" t="s">
        <v>234</v>
      </c>
      <c r="C24" s="41">
        <v>0</v>
      </c>
      <c r="D24" s="42"/>
      <c r="E24" s="42"/>
      <c r="F24" s="42"/>
      <c r="G24" s="43"/>
      <c r="H24" s="44">
        <v>991.12</v>
      </c>
      <c r="I24" s="63">
        <f t="shared" si="14"/>
        <v>0</v>
      </c>
      <c r="J24" s="45"/>
      <c r="K24" s="41">
        <v>0</v>
      </c>
      <c r="L24" s="45"/>
      <c r="M24" s="45"/>
      <c r="N24" s="46">
        <f t="shared" si="0"/>
        <v>0</v>
      </c>
      <c r="O24" s="47">
        <f t="shared" si="1"/>
        <v>0</v>
      </c>
      <c r="P24" s="48">
        <f>SUMIFS('Отчет 03-09.11'!H:H,'Отчет 03-09.11'!D:D,"Выручка",'Отчет 03-09.11'!E:E,B24)</f>
        <v>0</v>
      </c>
      <c r="Q24" s="48">
        <f>SUMIFS('Отчет 03-09.11'!H:H,'Отчет 03-09.11'!D:D,"Возврат выручки",'Отчет 03-09.11'!E:E,B24)</f>
        <v>0</v>
      </c>
      <c r="R24" s="49">
        <f t="shared" si="15"/>
        <v>0</v>
      </c>
      <c r="S24" s="50">
        <f>SUMIFS('Отчет 03-09.11'!P:P,'Отчет 03-09.11'!C:C,"Продажи",'Отчет 03-09.11'!E:E,B24)</f>
        <v>0</v>
      </c>
      <c r="T24" s="51">
        <f>SUMIFS('Отчет 03-09.11'!P:P,'Отчет 03-09.11'!C:C,"Возвраты",'Отчет 03-09.11'!E:E,B24)</f>
        <v>0</v>
      </c>
      <c r="U24" s="49">
        <f t="shared" si="16"/>
        <v>0</v>
      </c>
      <c r="V24" s="52">
        <f t="shared" si="17"/>
        <v>0</v>
      </c>
      <c r="W24" s="53">
        <f t="shared" si="18"/>
        <v>0</v>
      </c>
      <c r="X24" s="51">
        <f>-SUMIFS('Отчет 03-09.11'!P:P,'Отчет 03-09.11'!C:C,"Вознаграждение Ozon",'Отчет 03-09.11'!E:E,B24)</f>
        <v>0</v>
      </c>
      <c r="Y24" s="54">
        <f t="shared" si="19"/>
        <v>0</v>
      </c>
      <c r="Z24" s="51">
        <f>-SUMIFS('Отчет 03-09.11'!P:P,'Отчет 03-09.11'!C:C,"Услуги доставки",'Отчет 03-09.11'!E:E,B24)</f>
        <v>0</v>
      </c>
      <c r="AA24" s="41">
        <v>0</v>
      </c>
      <c r="AB24" s="64"/>
      <c r="AC24" s="51"/>
      <c r="AD24" s="55">
        <f t="shared" si="5"/>
        <v>0</v>
      </c>
      <c r="AE24" s="56">
        <f t="shared" si="6"/>
        <v>0</v>
      </c>
      <c r="AF24" s="55"/>
      <c r="AG24" s="57">
        <f t="shared" si="7"/>
        <v>0</v>
      </c>
      <c r="AH24" s="58">
        <f t="shared" si="8"/>
        <v>991.12</v>
      </c>
      <c r="AI24" s="58">
        <f t="shared" si="9"/>
        <v>0</v>
      </c>
      <c r="AJ24" s="58">
        <f t="shared" si="10"/>
        <v>0</v>
      </c>
      <c r="AK24" s="58">
        <f t="shared" si="11"/>
        <v>0</v>
      </c>
      <c r="AL24" s="58">
        <f t="array" ref="AL24">_xlfn.IFS(R24=0,AE24,R24&lt;0,AE24/-R24,R24&gt;0,AE24/R24)</f>
        <v>0</v>
      </c>
      <c r="AM24" s="59">
        <f t="shared" si="12"/>
        <v>0</v>
      </c>
      <c r="AN24" s="60">
        <f t="shared" si="13"/>
        <v>0</v>
      </c>
      <c r="AP24" s="62">
        <f t="shared" si="20"/>
        <v>0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41"/>
      <c r="AB25" s="64"/>
      <c r="AC25" s="51"/>
      <c r="AD25" s="55"/>
      <c r="AE25" s="56"/>
      <c r="AF25" s="55"/>
      <c r="AG25" s="248">
        <f t="shared" ref="AG25:AN25" si="34">AVERAGEIF(AG3:AG24,"&lt;&gt;0",AG3:AG24)</f>
        <v>1459.5</v>
      </c>
      <c r="AH25" s="247">
        <f t="shared" si="34"/>
        <v>447.87636363636369</v>
      </c>
      <c r="AI25" s="247">
        <f t="shared" si="34"/>
        <v>554.61</v>
      </c>
      <c r="AJ25" s="247">
        <f t="shared" si="34"/>
        <v>101.42857142857143</v>
      </c>
      <c r="AK25" s="247">
        <f t="shared" si="34"/>
        <v>548.99104908333334</v>
      </c>
      <c r="AL25" s="247">
        <f t="shared" si="34"/>
        <v>-334.79940783333331</v>
      </c>
      <c r="AM25" s="249">
        <f t="shared" si="34"/>
        <v>3.6129838021859546E-2</v>
      </c>
      <c r="AN25" s="249">
        <f t="shared" si="34"/>
        <v>-1.4839014250134464</v>
      </c>
      <c r="AO25" s="240"/>
      <c r="AP25" s="241"/>
    </row>
    <row r="26" spans="1:52">
      <c r="A26" s="216" t="s">
        <v>305</v>
      </c>
      <c r="B26" s="209"/>
      <c r="C26" s="217">
        <f>SUM(C3:C24)</f>
        <v>3950</v>
      </c>
      <c r="D26" s="210"/>
      <c r="E26" s="210">
        <v>108496</v>
      </c>
      <c r="F26" s="210">
        <v>597</v>
      </c>
      <c r="G26" s="210">
        <v>295</v>
      </c>
      <c r="H26" s="211"/>
      <c r="I26" s="217">
        <f>SUM(I3:I24)</f>
        <v>521329.58999999991</v>
      </c>
      <c r="J26" s="212"/>
      <c r="K26" s="217">
        <f>SUM(K3:K24)</f>
        <v>20</v>
      </c>
      <c r="L26" s="212"/>
      <c r="M26" s="212"/>
      <c r="N26" s="213"/>
      <c r="O26" s="214"/>
      <c r="P26" s="217">
        <f>SUM(P3:P24)</f>
        <v>10</v>
      </c>
      <c r="Q26" s="217">
        <f t="shared" ref="Q26:AE26" si="35">SUM(Q3:Q24)</f>
        <v>0</v>
      </c>
      <c r="R26" s="217">
        <f t="shared" si="35"/>
        <v>10</v>
      </c>
      <c r="S26" s="237">
        <f>SUM(S3:S24)</f>
        <v>14318</v>
      </c>
      <c r="T26" s="217">
        <f t="shared" si="35"/>
        <v>0</v>
      </c>
      <c r="U26" s="217">
        <f t="shared" si="35"/>
        <v>14318</v>
      </c>
      <c r="V26" s="256">
        <f t="shared" si="35"/>
        <v>0.71248009554140124</v>
      </c>
      <c r="W26" s="217">
        <f t="shared" si="35"/>
        <v>1418.1</v>
      </c>
      <c r="X26" s="217">
        <f t="shared" si="35"/>
        <v>5440.84</v>
      </c>
      <c r="Y26" s="215">
        <f>IF(U26=0,0,X26/U26)</f>
        <v>0.38</v>
      </c>
      <c r="Z26" s="217">
        <f t="shared" si="35"/>
        <v>1216</v>
      </c>
      <c r="AA26" s="217">
        <f>IFERROR(P26*AA51/P51,0)</f>
        <v>10605.641176470588</v>
      </c>
      <c r="AB26" s="217">
        <f t="shared" si="35"/>
        <v>0</v>
      </c>
      <c r="AC26" s="217">
        <f t="shared" si="35"/>
        <v>0</v>
      </c>
      <c r="AD26" s="238">
        <f t="shared" si="35"/>
        <v>859.07999999999993</v>
      </c>
      <c r="AE26" s="239">
        <f t="shared" si="35"/>
        <v>-3514.7672649999995</v>
      </c>
      <c r="AF26" s="257"/>
      <c r="AG26" s="244"/>
      <c r="AH26" s="245"/>
      <c r="AI26" s="245"/>
      <c r="AJ26" s="245"/>
      <c r="AK26" s="246"/>
      <c r="AL26" s="245"/>
      <c r="AM26" s="208"/>
      <c r="AN26" s="242"/>
      <c r="AO26" s="267"/>
      <c r="AP26" s="243">
        <f>SUM(AP3:AP24)</f>
        <v>-769246.63579266658</v>
      </c>
      <c r="AZ26" s="61">
        <v>18592777.379413977</v>
      </c>
    </row>
    <row r="27" spans="1:52" ht="13.75" customHeight="1">
      <c r="A27" s="39"/>
      <c r="B27" s="40"/>
      <c r="C27" s="41"/>
      <c r="D27" s="42"/>
      <c r="E27" s="42"/>
      <c r="F27" s="42"/>
      <c r="G27" s="43"/>
      <c r="H27" s="207"/>
      <c r="I27" s="63"/>
      <c r="J27" s="45"/>
      <c r="K27" s="41"/>
      <c r="L27" s="45"/>
      <c r="M27" s="45"/>
      <c r="N27" s="46"/>
      <c r="O27" s="47"/>
      <c r="P27" s="48"/>
      <c r="Q27" s="48"/>
      <c r="R27" s="49"/>
      <c r="S27" s="50"/>
      <c r="T27" s="51"/>
      <c r="U27" s="49"/>
      <c r="V27" s="52"/>
      <c r="W27" s="53"/>
      <c r="X27" s="51"/>
      <c r="Y27" s="54"/>
      <c r="Z27" s="51"/>
      <c r="AA27" s="283">
        <f>SUM(AA3:AA24)</f>
        <v>8898.747265</v>
      </c>
      <c r="AB27" s="64"/>
      <c r="AC27" s="51"/>
      <c r="AD27" s="55"/>
      <c r="AE27" s="56"/>
      <c r="AF27" s="55"/>
      <c r="AG27" s="57"/>
      <c r="AH27" s="58"/>
      <c r="AI27" s="58"/>
      <c r="AJ27" s="58"/>
      <c r="AK27" s="58"/>
      <c r="AL27" s="58"/>
      <c r="AM27" s="59"/>
      <c r="AN27" s="60"/>
      <c r="AP27" s="62"/>
    </row>
    <row r="28" spans="1:52">
      <c r="A28" s="39">
        <v>2774708536</v>
      </c>
      <c r="B28" s="40" t="s">
        <v>98</v>
      </c>
      <c r="C28" s="41">
        <v>17</v>
      </c>
      <c r="D28" s="42"/>
      <c r="E28" s="42"/>
      <c r="F28" s="42"/>
      <c r="G28" s="43"/>
      <c r="H28" s="65">
        <v>672</v>
      </c>
      <c r="I28" s="63">
        <f t="shared" ref="I28:I46" si="36">C28*H28</f>
        <v>11424</v>
      </c>
      <c r="J28" s="45"/>
      <c r="K28" s="41">
        <v>0</v>
      </c>
      <c r="L28" s="45"/>
      <c r="M28" s="45"/>
      <c r="N28" s="46">
        <f>K28/7</f>
        <v>0</v>
      </c>
      <c r="O28" s="47">
        <f t="shared" ref="O28:O47" si="37">R28/7</f>
        <v>0</v>
      </c>
      <c r="P28" s="48">
        <f>SUMIFS('Отчет 03-09.11'!H:H,'Отчет 03-09.11'!D:D,"Выручка",'Отчет 03-09.11'!E:E,B28)</f>
        <v>0</v>
      </c>
      <c r="Q28" s="48">
        <f>SUMIFS('Отчет 03-09.11'!H:H,'Отчет 03-09.11'!D:D,"Возврат выручки",'Отчет 03-09.11'!E:E,B28)</f>
        <v>0</v>
      </c>
      <c r="R28" s="49">
        <f>P28-Q28</f>
        <v>0</v>
      </c>
      <c r="S28" s="50">
        <f>SUMIFS('Отчет 03-09.11'!P:P,'Отчет 03-09.11'!C:C,"Продажи",'Отчет 03-09.11'!E:E,B28)</f>
        <v>0</v>
      </c>
      <c r="T28" s="51">
        <f>SUMIFS('Отчет 03-09.11'!P:P,'Отчет 03-09.11'!C:C,"Возвраты",'Отчет 03-09.11'!E:E,B28)</f>
        <v>0</v>
      </c>
      <c r="U28" s="49">
        <f t="shared" ref="U28" si="38">S28+T28</f>
        <v>0</v>
      </c>
      <c r="V28" s="52">
        <f t="shared" ref="V28" si="39">U28/$U$49</f>
        <v>0</v>
      </c>
      <c r="W28" s="53">
        <f t="shared" ref="W28" si="40">R28*H28</f>
        <v>0</v>
      </c>
      <c r="X28" s="51">
        <f>-SUMIFS('Отчет 03-09.11'!P:P,'Отчет 03-09.11'!C:C,"Вознаграждение Ozon",'Отчет 03-09.11'!E:E,B28)</f>
        <v>0</v>
      </c>
      <c r="Y28" s="54">
        <f t="shared" ref="Y28" si="41">IF(U28=0,0,X28/U28)</f>
        <v>0</v>
      </c>
      <c r="Z28" s="51">
        <f>-SUMIFS('Отчет 03-09.11'!P:P,'Отчет 03-09.11'!C:C,"Услуги доставки",'Отчет 03-09.11'!E:E,B28)</f>
        <v>0</v>
      </c>
      <c r="AA28" s="41">
        <v>1956.217787</v>
      </c>
      <c r="AB28" s="64"/>
      <c r="AC28" s="51"/>
      <c r="AD28" s="55">
        <f t="shared" ref="AD28:AD47" si="42">U28*6%</f>
        <v>0</v>
      </c>
      <c r="AE28" s="56">
        <f t="shared" ref="AE28:AE47" si="43">U28-W28-X28-Z28-AA28-AB28-AC28-AD28</f>
        <v>-1956.217787</v>
      </c>
      <c r="AF28" s="55"/>
      <c r="AG28" s="57">
        <f t="shared" ref="AG28:AG47" si="44">IF(R28=0,0,U28/R28)</f>
        <v>0</v>
      </c>
      <c r="AH28" s="58">
        <f t="shared" ref="AH28:AH47" si="45">H28</f>
        <v>672</v>
      </c>
      <c r="AI28" s="58">
        <f t="shared" ref="AI28:AI47" si="46">IF(R28=0,0,X28/R28)</f>
        <v>0</v>
      </c>
      <c r="AJ28" s="58">
        <f t="shared" ref="AJ28:AJ47" si="47">IF(P28=0,Z28/1,Z28/P28)</f>
        <v>0</v>
      </c>
      <c r="AK28" s="58">
        <f t="shared" ref="AK28:AK47" si="48">IF(P28=0,0,AA28/P28)</f>
        <v>0</v>
      </c>
      <c r="AL28" s="58">
        <f t="array" ref="AL28">_xlfn.IFS(R28=0,AE28,R28&lt;0,AE28/-R28,R28&gt;0,AE28/R28)</f>
        <v>-1956.217787</v>
      </c>
      <c r="AM28" s="59">
        <f t="shared" ref="AM28:AM47" si="49">IF(AG28=0,0,AL28/AG28)</f>
        <v>0</v>
      </c>
      <c r="AN28" s="60">
        <f t="shared" ref="AN28:AN47" si="50">IF(AH28=0,0,AL28/AH28)</f>
        <v>-2.911038373511905</v>
      </c>
      <c r="AP28" s="62">
        <f t="shared" ref="AP28:AP47" si="51">AL28*C28</f>
        <v>-33255.702379000002</v>
      </c>
    </row>
    <row r="29" spans="1:52">
      <c r="A29" s="39">
        <v>2774708622</v>
      </c>
      <c r="B29" s="40" t="s">
        <v>43</v>
      </c>
      <c r="C29" s="41">
        <v>17</v>
      </c>
      <c r="D29" s="42"/>
      <c r="E29" s="42"/>
      <c r="F29" s="42"/>
      <c r="G29" s="43"/>
      <c r="H29" s="65">
        <v>627</v>
      </c>
      <c r="I29" s="63">
        <f t="shared" si="36"/>
        <v>10659</v>
      </c>
      <c r="J29" s="45"/>
      <c r="K29" s="41">
        <v>1</v>
      </c>
      <c r="L29" s="45"/>
      <c r="M29" s="45"/>
      <c r="N29" s="46">
        <f t="shared" ref="N29:N47" si="52">K29/7</f>
        <v>0.14285714285714285</v>
      </c>
      <c r="O29" s="47">
        <f t="shared" si="37"/>
        <v>0</v>
      </c>
      <c r="P29" s="48">
        <f>SUMIFS('Отчет 03-09.11'!H:H,'Отчет 03-09.11'!D:D,"Выручка",'Отчет 03-09.11'!E:E,B29)</f>
        <v>1</v>
      </c>
      <c r="Q29" s="48">
        <f>SUMIFS('Отчет 03-09.11'!H:H,'Отчет 03-09.11'!D:D,"Возврат выручки",'Отчет 03-09.11'!E:E,B29)</f>
        <v>1</v>
      </c>
      <c r="R29" s="49">
        <f t="shared" ref="R29:R47" si="53">P29-Q29</f>
        <v>0</v>
      </c>
      <c r="S29" s="50">
        <f>SUMIFS('Отчет 03-09.11'!P:P,'Отчет 03-09.11'!C:C,"Продажи",'Отчет 03-09.11'!E:E,B29)</f>
        <v>5500</v>
      </c>
      <c r="T29" s="51">
        <f>SUMIFS('Отчет 03-09.11'!P:P,'Отчет 03-09.11'!C:C,"Возвраты",'Отчет 03-09.11'!E:E,B29)</f>
        <v>-5500</v>
      </c>
      <c r="U29" s="49">
        <f t="shared" ref="U29:U47" si="54">S29+T29</f>
        <v>0</v>
      </c>
      <c r="V29" s="52">
        <f t="shared" ref="V29:V47" si="55">U29/$U$49</f>
        <v>0</v>
      </c>
      <c r="W29" s="53">
        <f t="shared" ref="W29:W47" si="56">R29*H29</f>
        <v>0</v>
      </c>
      <c r="X29" s="51">
        <f>-SUMIFS('Отчет 03-09.11'!P:P,'Отчет 03-09.11'!C:C,"Вознаграждение Ozon",'Отчет 03-09.11'!E:E,B29)</f>
        <v>0</v>
      </c>
      <c r="Y29" s="54">
        <f t="shared" ref="Y29:Y47" si="57">IF(U29=0,0,X29/U29)</f>
        <v>0</v>
      </c>
      <c r="Z29" s="51">
        <f>-SUMIFS('Отчет 03-09.11'!P:P,'Отчет 03-09.11'!C:C,"Услуги доставки",'Отчет 03-09.11'!E:E,B29)</f>
        <v>168</v>
      </c>
      <c r="AA29" s="41">
        <v>0</v>
      </c>
      <c r="AB29" s="64"/>
      <c r="AC29" s="51"/>
      <c r="AD29" s="55">
        <f t="shared" si="42"/>
        <v>0</v>
      </c>
      <c r="AE29" s="56">
        <f t="shared" si="43"/>
        <v>-168</v>
      </c>
      <c r="AF29" s="55"/>
      <c r="AG29" s="57">
        <f t="shared" si="44"/>
        <v>0</v>
      </c>
      <c r="AH29" s="58">
        <f t="shared" si="45"/>
        <v>627</v>
      </c>
      <c r="AI29" s="58">
        <f t="shared" si="46"/>
        <v>0</v>
      </c>
      <c r="AJ29" s="58">
        <f t="shared" si="47"/>
        <v>168</v>
      </c>
      <c r="AK29" s="58">
        <f t="shared" si="48"/>
        <v>0</v>
      </c>
      <c r="AL29" s="58">
        <f t="array" ref="AL29">_xlfn.IFS(R29=0,AE29,R29&lt;0,AE29/-R29,R29&gt;0,AE29/R29)</f>
        <v>-168</v>
      </c>
      <c r="AM29" s="59">
        <f t="shared" si="49"/>
        <v>0</v>
      </c>
      <c r="AN29" s="60">
        <f t="shared" si="50"/>
        <v>-0.26794258373205743</v>
      </c>
      <c r="AP29" s="62">
        <f t="shared" si="51"/>
        <v>-2856</v>
      </c>
    </row>
    <row r="30" spans="1:52">
      <c r="A30" s="39">
        <v>2774709606</v>
      </c>
      <c r="B30" s="40" t="s">
        <v>235</v>
      </c>
      <c r="C30" s="41">
        <v>17</v>
      </c>
      <c r="D30" s="42"/>
      <c r="E30" s="42"/>
      <c r="F30" s="42"/>
      <c r="G30" s="43"/>
      <c r="H30" s="65">
        <v>627</v>
      </c>
      <c r="I30" s="63">
        <f t="shared" si="36"/>
        <v>10659</v>
      </c>
      <c r="J30" s="45"/>
      <c r="K30" s="41">
        <v>0</v>
      </c>
      <c r="L30" s="45"/>
      <c r="M30" s="45"/>
      <c r="N30" s="46">
        <f t="shared" si="52"/>
        <v>0</v>
      </c>
      <c r="O30" s="47">
        <f t="shared" si="37"/>
        <v>0</v>
      </c>
      <c r="P30" s="48">
        <f>SUMIFS('Отчет 03-09.11'!H:H,'Отчет 03-09.11'!D:D,"Выручка",'Отчет 03-09.11'!E:E,B30)</f>
        <v>0</v>
      </c>
      <c r="Q30" s="48">
        <f>SUMIFS('Отчет 03-09.11'!H:H,'Отчет 03-09.11'!D:D,"Возврат выручки",'Отчет 03-09.11'!E:E,B30)</f>
        <v>0</v>
      </c>
      <c r="R30" s="49">
        <f t="shared" si="53"/>
        <v>0</v>
      </c>
      <c r="S30" s="50">
        <f>SUMIFS('Отчет 03-09.11'!P:P,'Отчет 03-09.11'!C:C,"Продажи",'Отчет 03-09.11'!E:E,B30)</f>
        <v>0</v>
      </c>
      <c r="T30" s="51">
        <f>SUMIFS('Отчет 03-09.11'!P:P,'Отчет 03-09.11'!C:C,"Возвраты",'Отчет 03-09.11'!E:E,B30)</f>
        <v>0</v>
      </c>
      <c r="U30" s="49">
        <f t="shared" si="54"/>
        <v>0</v>
      </c>
      <c r="V30" s="52">
        <f t="shared" si="55"/>
        <v>0</v>
      </c>
      <c r="W30" s="53">
        <f t="shared" si="56"/>
        <v>0</v>
      </c>
      <c r="X30" s="51">
        <f>-SUMIFS('Отчет 03-09.11'!P:P,'Отчет 03-09.11'!C:C,"Вознаграждение Ozon",'Отчет 03-09.11'!E:E,B30)</f>
        <v>0</v>
      </c>
      <c r="Y30" s="54">
        <f t="shared" si="57"/>
        <v>0</v>
      </c>
      <c r="Z30" s="51">
        <f>-SUMIFS('Отчет 03-09.11'!P:P,'Отчет 03-09.11'!C:C,"Услуги доставки",'Отчет 03-09.11'!E:E,B30)</f>
        <v>224</v>
      </c>
      <c r="AA30" s="41">
        <v>0</v>
      </c>
      <c r="AB30" s="64"/>
      <c r="AC30" s="51"/>
      <c r="AD30" s="55">
        <f t="shared" si="42"/>
        <v>0</v>
      </c>
      <c r="AE30" s="56">
        <f t="shared" si="43"/>
        <v>-224</v>
      </c>
      <c r="AF30" s="55"/>
      <c r="AG30" s="57">
        <f t="shared" si="44"/>
        <v>0</v>
      </c>
      <c r="AH30" s="58">
        <f t="shared" si="45"/>
        <v>627</v>
      </c>
      <c r="AI30" s="58">
        <f t="shared" si="46"/>
        <v>0</v>
      </c>
      <c r="AJ30" s="58">
        <f t="shared" si="47"/>
        <v>224</v>
      </c>
      <c r="AK30" s="58">
        <f t="shared" si="48"/>
        <v>0</v>
      </c>
      <c r="AL30" s="58">
        <f t="array" ref="AL30">_xlfn.IFS(R30=0,AE30,R30&lt;0,AE30/-R30,R30&gt;0,AE30/R30)</f>
        <v>-224</v>
      </c>
      <c r="AM30" s="59">
        <f t="shared" si="49"/>
        <v>0</v>
      </c>
      <c r="AN30" s="60">
        <f t="shared" si="50"/>
        <v>-0.35725677830940988</v>
      </c>
      <c r="AP30" s="62">
        <f t="shared" si="51"/>
        <v>-3808</v>
      </c>
    </row>
    <row r="31" spans="1:52">
      <c r="A31" s="39">
        <v>2774720465</v>
      </c>
      <c r="B31" s="40" t="s">
        <v>171</v>
      </c>
      <c r="C31" s="41">
        <v>17</v>
      </c>
      <c r="D31" s="42"/>
      <c r="E31" s="42"/>
      <c r="F31" s="42"/>
      <c r="G31" s="43"/>
      <c r="H31" s="65">
        <v>567</v>
      </c>
      <c r="I31" s="63">
        <f t="shared" si="36"/>
        <v>9639</v>
      </c>
      <c r="J31" s="45"/>
      <c r="K31" s="41">
        <v>0</v>
      </c>
      <c r="L31" s="45"/>
      <c r="M31" s="45"/>
      <c r="N31" s="46">
        <f t="shared" si="52"/>
        <v>0</v>
      </c>
      <c r="O31" s="47">
        <f t="shared" si="37"/>
        <v>0</v>
      </c>
      <c r="P31" s="48">
        <f>SUMIFS('Отчет 03-09.11'!H:H,'Отчет 03-09.11'!D:D,"Выручка",'Отчет 03-09.11'!E:E,B31)</f>
        <v>0</v>
      </c>
      <c r="Q31" s="48">
        <f>SUMIFS('Отчет 03-09.11'!H:H,'Отчет 03-09.11'!D:D,"Возврат выручки",'Отчет 03-09.11'!E:E,B31)</f>
        <v>0</v>
      </c>
      <c r="R31" s="49">
        <f t="shared" si="53"/>
        <v>0</v>
      </c>
      <c r="S31" s="50">
        <f>SUMIFS('Отчет 03-09.11'!P:P,'Отчет 03-09.11'!C:C,"Продажи",'Отчет 03-09.11'!E:E,B31)</f>
        <v>0</v>
      </c>
      <c r="T31" s="51">
        <f>SUMIFS('Отчет 03-09.11'!P:P,'Отчет 03-09.11'!C:C,"Возвраты",'Отчет 03-09.11'!E:E,B31)</f>
        <v>0</v>
      </c>
      <c r="U31" s="49">
        <f t="shared" si="54"/>
        <v>0</v>
      </c>
      <c r="V31" s="52">
        <f t="shared" si="55"/>
        <v>0</v>
      </c>
      <c r="W31" s="53">
        <f t="shared" si="56"/>
        <v>0</v>
      </c>
      <c r="X31" s="51">
        <f>-SUMIFS('Отчет 03-09.11'!P:P,'Отчет 03-09.11'!C:C,"Вознаграждение Ozon",'Отчет 03-09.11'!E:E,B31)</f>
        <v>0</v>
      </c>
      <c r="Y31" s="54">
        <f t="shared" si="57"/>
        <v>0</v>
      </c>
      <c r="Z31" s="51">
        <f>-SUMIFS('Отчет 03-09.11'!P:P,'Отчет 03-09.11'!C:C,"Услуги доставки",'Отчет 03-09.11'!E:E,B31)</f>
        <v>112</v>
      </c>
      <c r="AA31" s="41">
        <v>0</v>
      </c>
      <c r="AB31" s="64"/>
      <c r="AC31" s="51"/>
      <c r="AD31" s="55">
        <f t="shared" si="42"/>
        <v>0</v>
      </c>
      <c r="AE31" s="56">
        <f t="shared" si="43"/>
        <v>-112</v>
      </c>
      <c r="AF31" s="55"/>
      <c r="AG31" s="57">
        <f t="shared" si="44"/>
        <v>0</v>
      </c>
      <c r="AH31" s="58">
        <f t="shared" si="45"/>
        <v>567</v>
      </c>
      <c r="AI31" s="58">
        <f t="shared" si="46"/>
        <v>0</v>
      </c>
      <c r="AJ31" s="58">
        <f t="shared" si="47"/>
        <v>112</v>
      </c>
      <c r="AK31" s="58">
        <f t="shared" si="48"/>
        <v>0</v>
      </c>
      <c r="AL31" s="58">
        <f t="array" ref="AL31">_xlfn.IFS(R31=0,AE31,R31&lt;0,AE31/-R31,R31&gt;0,AE31/R31)</f>
        <v>-112</v>
      </c>
      <c r="AM31" s="59">
        <f t="shared" si="49"/>
        <v>0</v>
      </c>
      <c r="AN31" s="60">
        <f t="shared" si="50"/>
        <v>-0.19753086419753085</v>
      </c>
      <c r="AP31" s="62">
        <f t="shared" si="51"/>
        <v>-1904</v>
      </c>
    </row>
    <row r="32" spans="1:52">
      <c r="A32" s="39">
        <v>2774718470</v>
      </c>
      <c r="B32" s="40" t="s">
        <v>39</v>
      </c>
      <c r="C32" s="41">
        <v>19</v>
      </c>
      <c r="D32" s="42"/>
      <c r="E32" s="42"/>
      <c r="F32" s="42"/>
      <c r="G32" s="43"/>
      <c r="H32" s="65">
        <v>567</v>
      </c>
      <c r="I32" s="63">
        <f t="shared" si="36"/>
        <v>10773</v>
      </c>
      <c r="J32" s="45"/>
      <c r="K32" s="41">
        <v>0</v>
      </c>
      <c r="L32" s="45"/>
      <c r="M32" s="45"/>
      <c r="N32" s="46">
        <f t="shared" si="52"/>
        <v>0</v>
      </c>
      <c r="O32" s="47">
        <f t="shared" si="37"/>
        <v>0</v>
      </c>
      <c r="P32" s="48">
        <f>SUMIFS('Отчет 03-09.11'!H:H,'Отчет 03-09.11'!D:D,"Выручка",'Отчет 03-09.11'!E:E,B32)</f>
        <v>0</v>
      </c>
      <c r="Q32" s="48">
        <f>SUMIFS('Отчет 03-09.11'!H:H,'Отчет 03-09.11'!D:D,"Возврат выручки",'Отчет 03-09.11'!E:E,B32)</f>
        <v>0</v>
      </c>
      <c r="R32" s="49">
        <f t="shared" si="53"/>
        <v>0</v>
      </c>
      <c r="S32" s="50">
        <f>SUMIFS('Отчет 03-09.11'!P:P,'Отчет 03-09.11'!C:C,"Продажи",'Отчет 03-09.11'!E:E,B32)</f>
        <v>0</v>
      </c>
      <c r="T32" s="51">
        <f>SUMIFS('Отчет 03-09.11'!P:P,'Отчет 03-09.11'!C:C,"Возвраты",'Отчет 03-09.11'!E:E,B32)</f>
        <v>0</v>
      </c>
      <c r="U32" s="49">
        <f t="shared" si="54"/>
        <v>0</v>
      </c>
      <c r="V32" s="52">
        <f t="shared" si="55"/>
        <v>0</v>
      </c>
      <c r="W32" s="53">
        <f t="shared" si="56"/>
        <v>0</v>
      </c>
      <c r="X32" s="51">
        <f>-SUMIFS('Отчет 03-09.11'!P:P,'Отчет 03-09.11'!C:C,"Вознаграждение Ozon",'Отчет 03-09.11'!E:E,B32)</f>
        <v>0</v>
      </c>
      <c r="Y32" s="54">
        <f t="shared" si="57"/>
        <v>0</v>
      </c>
      <c r="Z32" s="51">
        <f>-SUMIFS('Отчет 03-09.11'!P:P,'Отчет 03-09.11'!C:C,"Услуги доставки",'Отчет 03-09.11'!E:E,B32)</f>
        <v>0</v>
      </c>
      <c r="AA32" s="41">
        <v>0</v>
      </c>
      <c r="AB32" s="64"/>
      <c r="AC32" s="51"/>
      <c r="AD32" s="55">
        <f t="shared" si="42"/>
        <v>0</v>
      </c>
      <c r="AE32" s="56">
        <f t="shared" si="43"/>
        <v>0</v>
      </c>
      <c r="AF32" s="55"/>
      <c r="AG32" s="57">
        <f t="shared" si="44"/>
        <v>0</v>
      </c>
      <c r="AH32" s="58">
        <f t="shared" si="45"/>
        <v>567</v>
      </c>
      <c r="AI32" s="58">
        <f t="shared" si="46"/>
        <v>0</v>
      </c>
      <c r="AJ32" s="58">
        <f t="shared" si="47"/>
        <v>0</v>
      </c>
      <c r="AK32" s="58">
        <f t="shared" si="48"/>
        <v>0</v>
      </c>
      <c r="AL32" s="58">
        <f t="array" ref="AL32">_xlfn.IFS(R32=0,AE32,R32&lt;0,AE32/-R32,R32&gt;0,AE32/R32)</f>
        <v>0</v>
      </c>
      <c r="AM32" s="59">
        <f t="shared" si="49"/>
        <v>0</v>
      </c>
      <c r="AN32" s="60">
        <f t="shared" si="50"/>
        <v>0</v>
      </c>
      <c r="AP32" s="62">
        <f t="shared" si="51"/>
        <v>0</v>
      </c>
    </row>
    <row r="33" spans="1:42">
      <c r="A33" s="39">
        <v>2774719022</v>
      </c>
      <c r="B33" s="40" t="s">
        <v>236</v>
      </c>
      <c r="C33" s="41">
        <v>19</v>
      </c>
      <c r="D33" s="42"/>
      <c r="E33" s="42"/>
      <c r="F33" s="42"/>
      <c r="G33" s="43"/>
      <c r="H33" s="65">
        <v>657</v>
      </c>
      <c r="I33" s="63">
        <f t="shared" si="36"/>
        <v>12483</v>
      </c>
      <c r="J33" s="45"/>
      <c r="K33" s="41">
        <v>0</v>
      </c>
      <c r="L33" s="45"/>
      <c r="M33" s="45"/>
      <c r="N33" s="46">
        <f t="shared" si="52"/>
        <v>0</v>
      </c>
      <c r="O33" s="47">
        <f t="shared" si="37"/>
        <v>0</v>
      </c>
      <c r="P33" s="48">
        <f>SUMIFS('Отчет 03-09.11'!H:H,'Отчет 03-09.11'!D:D,"Выручка",'Отчет 03-09.11'!E:E,B33)</f>
        <v>0</v>
      </c>
      <c r="Q33" s="48">
        <f>SUMIFS('Отчет 03-09.11'!H:H,'Отчет 03-09.11'!D:D,"Возврат выручки",'Отчет 03-09.11'!E:E,B33)</f>
        <v>0</v>
      </c>
      <c r="R33" s="49">
        <f t="shared" si="53"/>
        <v>0</v>
      </c>
      <c r="S33" s="50">
        <f>SUMIFS('Отчет 03-09.11'!P:P,'Отчет 03-09.11'!C:C,"Продажи",'Отчет 03-09.11'!E:E,B33)</f>
        <v>0</v>
      </c>
      <c r="T33" s="51">
        <f>SUMIFS('Отчет 03-09.11'!P:P,'Отчет 03-09.11'!C:C,"Возвраты",'Отчет 03-09.11'!E:E,B33)</f>
        <v>0</v>
      </c>
      <c r="U33" s="49">
        <f t="shared" si="54"/>
        <v>0</v>
      </c>
      <c r="V33" s="52">
        <f t="shared" si="55"/>
        <v>0</v>
      </c>
      <c r="W33" s="53">
        <f t="shared" si="56"/>
        <v>0</v>
      </c>
      <c r="X33" s="51">
        <f>-SUMIFS('Отчет 03-09.11'!P:P,'Отчет 03-09.11'!C:C,"Вознаграждение Ozon",'Отчет 03-09.11'!E:E,B33)</f>
        <v>0</v>
      </c>
      <c r="Y33" s="54">
        <f t="shared" si="57"/>
        <v>0</v>
      </c>
      <c r="Z33" s="51">
        <f>-SUMIFS('Отчет 03-09.11'!P:P,'Отчет 03-09.11'!C:C,"Услуги доставки",'Отчет 03-09.11'!E:E,B33)</f>
        <v>112</v>
      </c>
      <c r="AA33" s="41">
        <v>0</v>
      </c>
      <c r="AB33" s="64"/>
      <c r="AC33" s="51"/>
      <c r="AD33" s="55">
        <f t="shared" si="42"/>
        <v>0</v>
      </c>
      <c r="AE33" s="56">
        <f t="shared" si="43"/>
        <v>-112</v>
      </c>
      <c r="AF33" s="55"/>
      <c r="AG33" s="57">
        <f t="shared" si="44"/>
        <v>0</v>
      </c>
      <c r="AH33" s="58">
        <f t="shared" si="45"/>
        <v>657</v>
      </c>
      <c r="AI33" s="58">
        <f t="shared" si="46"/>
        <v>0</v>
      </c>
      <c r="AJ33" s="58">
        <f t="shared" si="47"/>
        <v>112</v>
      </c>
      <c r="AK33" s="58">
        <f t="shared" si="48"/>
        <v>0</v>
      </c>
      <c r="AL33" s="58">
        <f t="array" ref="AL33">_xlfn.IFS(R33=0,AE33,R33&lt;0,AE33/-R33,R33&gt;0,AE33/R33)</f>
        <v>-112</v>
      </c>
      <c r="AM33" s="59">
        <f t="shared" si="49"/>
        <v>0</v>
      </c>
      <c r="AN33" s="60">
        <f t="shared" si="50"/>
        <v>-0.17047184170471841</v>
      </c>
      <c r="AP33" s="62">
        <f t="shared" si="51"/>
        <v>-2128</v>
      </c>
    </row>
    <row r="34" spans="1:42">
      <c r="A34" s="39">
        <v>2774719501</v>
      </c>
      <c r="B34" s="40" t="s">
        <v>237</v>
      </c>
      <c r="C34" s="41">
        <v>19</v>
      </c>
      <c r="D34" s="42"/>
      <c r="E34" s="42"/>
      <c r="F34" s="42"/>
      <c r="G34" s="43"/>
      <c r="H34" s="65">
        <v>597</v>
      </c>
      <c r="I34" s="63">
        <f t="shared" si="36"/>
        <v>11343</v>
      </c>
      <c r="J34" s="45"/>
      <c r="K34" s="41">
        <v>0</v>
      </c>
      <c r="L34" s="45"/>
      <c r="M34" s="45"/>
      <c r="N34" s="46">
        <f t="shared" si="52"/>
        <v>0</v>
      </c>
      <c r="O34" s="47">
        <f t="shared" si="37"/>
        <v>0</v>
      </c>
      <c r="P34" s="48">
        <f>SUMIFS('Отчет 03-09.11'!H:H,'Отчет 03-09.11'!D:D,"Выручка",'Отчет 03-09.11'!E:E,B34)</f>
        <v>0</v>
      </c>
      <c r="Q34" s="48">
        <f>SUMIFS('Отчет 03-09.11'!H:H,'Отчет 03-09.11'!D:D,"Возврат выручки",'Отчет 03-09.11'!E:E,B34)</f>
        <v>0</v>
      </c>
      <c r="R34" s="49">
        <f t="shared" si="53"/>
        <v>0</v>
      </c>
      <c r="S34" s="50">
        <f>SUMIFS('Отчет 03-09.11'!P:P,'Отчет 03-09.11'!C:C,"Продажи",'Отчет 03-09.11'!E:E,B34)</f>
        <v>0</v>
      </c>
      <c r="T34" s="51">
        <f>SUMIFS('Отчет 03-09.11'!P:P,'Отчет 03-09.11'!C:C,"Возвраты",'Отчет 03-09.11'!E:E,B34)</f>
        <v>0</v>
      </c>
      <c r="U34" s="49">
        <f t="shared" si="54"/>
        <v>0</v>
      </c>
      <c r="V34" s="52">
        <f t="shared" si="55"/>
        <v>0</v>
      </c>
      <c r="W34" s="53">
        <f t="shared" si="56"/>
        <v>0</v>
      </c>
      <c r="X34" s="51">
        <f>-SUMIFS('Отчет 03-09.11'!P:P,'Отчет 03-09.11'!C:C,"Вознаграждение Ozon",'Отчет 03-09.11'!E:E,B34)</f>
        <v>0</v>
      </c>
      <c r="Y34" s="54">
        <f t="shared" si="57"/>
        <v>0</v>
      </c>
      <c r="Z34" s="51">
        <f>-SUMIFS('Отчет 03-09.11'!P:P,'Отчет 03-09.11'!C:C,"Услуги доставки",'Отчет 03-09.11'!E:E,B34)</f>
        <v>0</v>
      </c>
      <c r="AA34" s="41">
        <v>0</v>
      </c>
      <c r="AB34" s="64"/>
      <c r="AC34" s="51"/>
      <c r="AD34" s="55">
        <f t="shared" si="42"/>
        <v>0</v>
      </c>
      <c r="AE34" s="56">
        <f t="shared" si="43"/>
        <v>0</v>
      </c>
      <c r="AF34" s="55"/>
      <c r="AG34" s="57">
        <f t="shared" si="44"/>
        <v>0</v>
      </c>
      <c r="AH34" s="58">
        <f t="shared" si="45"/>
        <v>597</v>
      </c>
      <c r="AI34" s="58">
        <f t="shared" si="46"/>
        <v>0</v>
      </c>
      <c r="AJ34" s="58">
        <f t="shared" si="47"/>
        <v>0</v>
      </c>
      <c r="AK34" s="58">
        <f t="shared" si="48"/>
        <v>0</v>
      </c>
      <c r="AL34" s="58">
        <f t="array" ref="AL34">_xlfn.IFS(R34=0,AE34,R34&lt;0,AE34/-R34,R34&gt;0,AE34/R34)</f>
        <v>0</v>
      </c>
      <c r="AM34" s="59">
        <f t="shared" si="49"/>
        <v>0</v>
      </c>
      <c r="AN34" s="60">
        <f t="shared" si="50"/>
        <v>0</v>
      </c>
      <c r="AP34" s="62">
        <f t="shared" si="51"/>
        <v>0</v>
      </c>
    </row>
    <row r="35" spans="1:42">
      <c r="A35" s="39">
        <v>2774714412</v>
      </c>
      <c r="B35" s="40" t="s">
        <v>142</v>
      </c>
      <c r="C35" s="41">
        <v>16</v>
      </c>
      <c r="D35" s="42"/>
      <c r="E35" s="42"/>
      <c r="F35" s="42"/>
      <c r="G35" s="43"/>
      <c r="H35" s="65">
        <v>552</v>
      </c>
      <c r="I35" s="63">
        <f t="shared" si="36"/>
        <v>8832</v>
      </c>
      <c r="J35" s="45"/>
      <c r="K35" s="41">
        <v>0</v>
      </c>
      <c r="L35" s="45"/>
      <c r="M35" s="45"/>
      <c r="N35" s="46">
        <f t="shared" si="52"/>
        <v>0</v>
      </c>
      <c r="O35" s="47">
        <f t="shared" si="37"/>
        <v>0</v>
      </c>
      <c r="P35" s="48">
        <f>SUMIFS('Отчет 03-09.11'!H:H,'Отчет 03-09.11'!D:D,"Выручка",'Отчет 03-09.11'!E:E,B35)</f>
        <v>0</v>
      </c>
      <c r="Q35" s="48">
        <f>SUMIFS('Отчет 03-09.11'!H:H,'Отчет 03-09.11'!D:D,"Возврат выручки",'Отчет 03-09.11'!E:E,B35)</f>
        <v>0</v>
      </c>
      <c r="R35" s="49">
        <f t="shared" si="53"/>
        <v>0</v>
      </c>
      <c r="S35" s="50">
        <f>SUMIFS('Отчет 03-09.11'!P:P,'Отчет 03-09.11'!C:C,"Продажи",'Отчет 03-09.11'!E:E,B35)</f>
        <v>0</v>
      </c>
      <c r="T35" s="51">
        <f>SUMIFS('Отчет 03-09.11'!P:P,'Отчет 03-09.11'!C:C,"Возвраты",'Отчет 03-09.11'!E:E,B35)</f>
        <v>0</v>
      </c>
      <c r="U35" s="49">
        <f t="shared" si="54"/>
        <v>0</v>
      </c>
      <c r="V35" s="52">
        <f t="shared" si="55"/>
        <v>0</v>
      </c>
      <c r="W35" s="53">
        <f t="shared" si="56"/>
        <v>0</v>
      </c>
      <c r="X35" s="51">
        <f>-SUMIFS('Отчет 03-09.11'!P:P,'Отчет 03-09.11'!C:C,"Вознаграждение Ozon",'Отчет 03-09.11'!E:E,B35)</f>
        <v>0</v>
      </c>
      <c r="Y35" s="54">
        <f t="shared" si="57"/>
        <v>0</v>
      </c>
      <c r="Z35" s="51">
        <f>-SUMIFS('Отчет 03-09.11'!P:P,'Отчет 03-09.11'!C:C,"Услуги доставки",'Отчет 03-09.11'!E:E,B35)</f>
        <v>0</v>
      </c>
      <c r="AA35" s="41">
        <v>0</v>
      </c>
      <c r="AB35" s="64"/>
      <c r="AC35" s="51"/>
      <c r="AD35" s="55">
        <f t="shared" si="42"/>
        <v>0</v>
      </c>
      <c r="AE35" s="56">
        <f t="shared" si="43"/>
        <v>0</v>
      </c>
      <c r="AF35" s="55"/>
      <c r="AG35" s="57">
        <f t="shared" si="44"/>
        <v>0</v>
      </c>
      <c r="AH35" s="58">
        <f t="shared" si="45"/>
        <v>552</v>
      </c>
      <c r="AI35" s="58">
        <f t="shared" si="46"/>
        <v>0</v>
      </c>
      <c r="AJ35" s="58">
        <f t="shared" si="47"/>
        <v>0</v>
      </c>
      <c r="AK35" s="58">
        <f t="shared" si="48"/>
        <v>0</v>
      </c>
      <c r="AL35" s="58">
        <f t="array" ref="AL35">_xlfn.IFS(R35=0,AE35,R35&lt;0,AE35/-R35,R35&gt;0,AE35/R35)</f>
        <v>0</v>
      </c>
      <c r="AM35" s="59">
        <f t="shared" si="49"/>
        <v>0</v>
      </c>
      <c r="AN35" s="60">
        <f t="shared" si="50"/>
        <v>0</v>
      </c>
      <c r="AP35" s="62">
        <f t="shared" si="51"/>
        <v>0</v>
      </c>
    </row>
    <row r="36" spans="1:42">
      <c r="A36" s="39">
        <v>2774710430</v>
      </c>
      <c r="B36" s="40" t="s">
        <v>238</v>
      </c>
      <c r="C36" s="41">
        <v>18</v>
      </c>
      <c r="D36" s="42"/>
      <c r="E36" s="42"/>
      <c r="F36" s="42"/>
      <c r="G36" s="43"/>
      <c r="H36" s="65">
        <v>552</v>
      </c>
      <c r="I36" s="63">
        <f t="shared" si="36"/>
        <v>9936</v>
      </c>
      <c r="J36" s="45"/>
      <c r="K36" s="41">
        <v>0</v>
      </c>
      <c r="L36" s="45"/>
      <c r="M36" s="45"/>
      <c r="N36" s="46">
        <f t="shared" si="52"/>
        <v>0</v>
      </c>
      <c r="O36" s="47">
        <f t="shared" si="37"/>
        <v>0</v>
      </c>
      <c r="P36" s="48">
        <f>SUMIFS('Отчет 03-09.11'!H:H,'Отчет 03-09.11'!D:D,"Выручка",'Отчет 03-09.11'!E:E,B36)</f>
        <v>0</v>
      </c>
      <c r="Q36" s="48">
        <f>SUMIFS('Отчет 03-09.11'!H:H,'Отчет 03-09.11'!D:D,"Возврат выручки",'Отчет 03-09.11'!E:E,B36)</f>
        <v>0</v>
      </c>
      <c r="R36" s="49">
        <f t="shared" si="53"/>
        <v>0</v>
      </c>
      <c r="S36" s="50">
        <f>SUMIFS('Отчет 03-09.11'!P:P,'Отчет 03-09.11'!C:C,"Продажи",'Отчет 03-09.11'!E:E,B36)</f>
        <v>0</v>
      </c>
      <c r="T36" s="51">
        <f>SUMIFS('Отчет 03-09.11'!P:P,'Отчет 03-09.11'!C:C,"Возвраты",'Отчет 03-09.11'!E:E,B36)</f>
        <v>0</v>
      </c>
      <c r="U36" s="49">
        <f t="shared" si="54"/>
        <v>0</v>
      </c>
      <c r="V36" s="52">
        <f t="shared" si="55"/>
        <v>0</v>
      </c>
      <c r="W36" s="53">
        <f t="shared" si="56"/>
        <v>0</v>
      </c>
      <c r="X36" s="51">
        <f>-SUMIFS('Отчет 03-09.11'!P:P,'Отчет 03-09.11'!C:C,"Вознаграждение Ozon",'Отчет 03-09.11'!E:E,B36)</f>
        <v>0</v>
      </c>
      <c r="Y36" s="54">
        <f t="shared" si="57"/>
        <v>0</v>
      </c>
      <c r="Z36" s="51">
        <f>-SUMIFS('Отчет 03-09.11'!P:P,'Отчет 03-09.11'!C:C,"Услуги доставки",'Отчет 03-09.11'!E:E,B36)</f>
        <v>0</v>
      </c>
      <c r="AA36" s="41">
        <v>1264.9158010000001</v>
      </c>
      <c r="AB36" s="64"/>
      <c r="AC36" s="51"/>
      <c r="AD36" s="55">
        <f t="shared" si="42"/>
        <v>0</v>
      </c>
      <c r="AE36" s="56">
        <f t="shared" si="43"/>
        <v>-1264.9158010000001</v>
      </c>
      <c r="AF36" s="55"/>
      <c r="AG36" s="57">
        <f t="shared" si="44"/>
        <v>0</v>
      </c>
      <c r="AH36" s="58">
        <f t="shared" si="45"/>
        <v>552</v>
      </c>
      <c r="AI36" s="58">
        <f t="shared" si="46"/>
        <v>0</v>
      </c>
      <c r="AJ36" s="58">
        <f t="shared" si="47"/>
        <v>0</v>
      </c>
      <c r="AK36" s="58">
        <f t="shared" si="48"/>
        <v>0</v>
      </c>
      <c r="AL36" s="58">
        <f t="array" ref="AL36">_xlfn.IFS(R36=0,AE36,R36&lt;0,AE36/-R36,R36&gt;0,AE36/R36)</f>
        <v>-1264.9158010000001</v>
      </c>
      <c r="AM36" s="59">
        <f t="shared" si="49"/>
        <v>0</v>
      </c>
      <c r="AN36" s="60">
        <f t="shared" si="50"/>
        <v>-2.2915141322463768</v>
      </c>
      <c r="AP36" s="62">
        <f t="shared" si="51"/>
        <v>-22768.484418</v>
      </c>
    </row>
    <row r="37" spans="1:42">
      <c r="A37" s="39">
        <v>2774712116</v>
      </c>
      <c r="B37" s="40" t="s">
        <v>62</v>
      </c>
      <c r="C37" s="41">
        <v>14</v>
      </c>
      <c r="D37" s="42"/>
      <c r="E37" s="42"/>
      <c r="F37" s="42"/>
      <c r="G37" s="43"/>
      <c r="H37" s="65">
        <v>687</v>
      </c>
      <c r="I37" s="63">
        <f t="shared" si="36"/>
        <v>9618</v>
      </c>
      <c r="J37" s="45"/>
      <c r="K37" s="41">
        <v>2</v>
      </c>
      <c r="L37" s="45"/>
      <c r="M37" s="45"/>
      <c r="N37" s="46">
        <f t="shared" si="52"/>
        <v>0.2857142857142857</v>
      </c>
      <c r="O37" s="47">
        <f t="shared" si="37"/>
        <v>0.14285714285714285</v>
      </c>
      <c r="P37" s="48">
        <f>SUMIFS('Отчет 03-09.11'!H:H,'Отчет 03-09.11'!D:D,"Выручка",'Отчет 03-09.11'!E:E,B37)</f>
        <v>1</v>
      </c>
      <c r="Q37" s="48">
        <f>SUMIFS('Отчет 03-09.11'!H:H,'Отчет 03-09.11'!D:D,"Возврат выручки",'Отчет 03-09.11'!E:E,B37)</f>
        <v>0</v>
      </c>
      <c r="R37" s="49">
        <f t="shared" si="53"/>
        <v>1</v>
      </c>
      <c r="S37" s="50">
        <f>SUMIFS('Отчет 03-09.11'!P:P,'Отчет 03-09.11'!C:C,"Продажи",'Отчет 03-09.11'!E:E,B37)</f>
        <v>5500</v>
      </c>
      <c r="T37" s="51">
        <f>SUMIFS('Отчет 03-09.11'!P:P,'Отчет 03-09.11'!C:C,"Возвраты",'Отчет 03-09.11'!E:E,B37)</f>
        <v>0</v>
      </c>
      <c r="U37" s="49">
        <f t="shared" si="54"/>
        <v>5500</v>
      </c>
      <c r="V37" s="52">
        <f t="shared" si="55"/>
        <v>0.27368630573248409</v>
      </c>
      <c r="W37" s="53">
        <f t="shared" si="56"/>
        <v>687</v>
      </c>
      <c r="X37" s="51">
        <f>-SUMIFS('Отчет 03-09.11'!P:P,'Отчет 03-09.11'!C:C,"Вознаграждение Ozon",'Отчет 03-09.11'!E:E,B37)</f>
        <v>2090</v>
      </c>
      <c r="Y37" s="54">
        <f t="shared" si="57"/>
        <v>0.38</v>
      </c>
      <c r="Z37" s="51">
        <f>-SUMIFS('Отчет 03-09.11'!P:P,'Отчет 03-09.11'!C:C,"Услуги доставки",'Отчет 03-09.11'!E:E,B37)</f>
        <v>168</v>
      </c>
      <c r="AA37" s="41">
        <v>0</v>
      </c>
      <c r="AB37" s="64"/>
      <c r="AC37" s="51"/>
      <c r="AD37" s="55">
        <f t="shared" si="42"/>
        <v>330</v>
      </c>
      <c r="AE37" s="56">
        <f t="shared" si="43"/>
        <v>2225</v>
      </c>
      <c r="AF37" s="55"/>
      <c r="AG37" s="57">
        <f t="shared" si="44"/>
        <v>5500</v>
      </c>
      <c r="AH37" s="58">
        <f t="shared" si="45"/>
        <v>687</v>
      </c>
      <c r="AI37" s="58">
        <f t="shared" si="46"/>
        <v>2090</v>
      </c>
      <c r="AJ37" s="58">
        <f t="shared" si="47"/>
        <v>168</v>
      </c>
      <c r="AK37" s="58">
        <f t="shared" si="48"/>
        <v>0</v>
      </c>
      <c r="AL37" s="58">
        <f t="array" ref="AL37">_xlfn.IFS(R37=0,AE37,R37&lt;0,AE37/-R37,R37&gt;0,AE37/R37)</f>
        <v>2225</v>
      </c>
      <c r="AM37" s="59">
        <f t="shared" si="49"/>
        <v>0.40454545454545454</v>
      </c>
      <c r="AN37" s="60">
        <f t="shared" si="50"/>
        <v>3.2387190684133915</v>
      </c>
      <c r="AP37" s="62">
        <f t="shared" si="51"/>
        <v>31150</v>
      </c>
    </row>
    <row r="38" spans="1:42">
      <c r="A38" s="39">
        <v>2774719012</v>
      </c>
      <c r="B38" s="40" t="s">
        <v>239</v>
      </c>
      <c r="C38" s="41">
        <v>5</v>
      </c>
      <c r="D38" s="42"/>
      <c r="E38" s="42"/>
      <c r="F38" s="42"/>
      <c r="G38" s="43"/>
      <c r="H38" s="65">
        <v>687</v>
      </c>
      <c r="I38" s="63">
        <f t="shared" si="36"/>
        <v>3435</v>
      </c>
      <c r="J38" s="45"/>
      <c r="K38" s="41">
        <v>3</v>
      </c>
      <c r="L38" s="45"/>
      <c r="M38" s="45"/>
      <c r="N38" s="46">
        <f t="shared" si="52"/>
        <v>0.42857142857142855</v>
      </c>
      <c r="O38" s="47">
        <f t="shared" si="37"/>
        <v>0.2857142857142857</v>
      </c>
      <c r="P38" s="48">
        <f>SUMIFS('Отчет 03-09.11'!H:H,'Отчет 03-09.11'!D:D,"Выручка",'Отчет 03-09.11'!E:E,B38)</f>
        <v>2</v>
      </c>
      <c r="Q38" s="48">
        <f>SUMIFS('Отчет 03-09.11'!H:H,'Отчет 03-09.11'!D:D,"Возврат выручки",'Отчет 03-09.11'!E:E,B38)</f>
        <v>0</v>
      </c>
      <c r="R38" s="49">
        <f t="shared" si="53"/>
        <v>2</v>
      </c>
      <c r="S38" s="50">
        <f>SUMIFS('Отчет 03-09.11'!P:P,'Отчет 03-09.11'!C:C,"Продажи",'Отчет 03-09.11'!E:E,B38)</f>
        <v>9096</v>
      </c>
      <c r="T38" s="51">
        <f>SUMIFS('Отчет 03-09.11'!P:P,'Отчет 03-09.11'!C:C,"Возвраты",'Отчет 03-09.11'!E:E,B38)</f>
        <v>0</v>
      </c>
      <c r="U38" s="49">
        <f t="shared" si="54"/>
        <v>9096</v>
      </c>
      <c r="V38" s="52">
        <f t="shared" si="55"/>
        <v>0.45262738853503187</v>
      </c>
      <c r="W38" s="53">
        <f t="shared" si="56"/>
        <v>1374</v>
      </c>
      <c r="X38" s="51">
        <f>-SUMIFS('Отчет 03-09.11'!P:P,'Отчет 03-09.11'!C:C,"Вознаграждение Ozon",'Отчет 03-09.11'!E:E,B38)</f>
        <v>3456.48</v>
      </c>
      <c r="Y38" s="54">
        <f t="shared" si="57"/>
        <v>0.38</v>
      </c>
      <c r="Z38" s="51">
        <f>-SUMIFS('Отчет 03-09.11'!P:P,'Отчет 03-09.11'!C:C,"Услуги доставки",'Отчет 03-09.11'!E:E,B38)</f>
        <v>112</v>
      </c>
      <c r="AA38" s="41">
        <v>2689.3088250000001</v>
      </c>
      <c r="AB38" s="64"/>
      <c r="AC38" s="51"/>
      <c r="AD38" s="55">
        <f t="shared" si="42"/>
        <v>545.76</v>
      </c>
      <c r="AE38" s="56">
        <f t="shared" si="43"/>
        <v>918.45117500000038</v>
      </c>
      <c r="AF38" s="55"/>
      <c r="AG38" s="57">
        <f t="shared" si="44"/>
        <v>4548</v>
      </c>
      <c r="AH38" s="58">
        <f t="shared" si="45"/>
        <v>687</v>
      </c>
      <c r="AI38" s="58">
        <f t="shared" si="46"/>
        <v>1728.24</v>
      </c>
      <c r="AJ38" s="58">
        <f t="shared" si="47"/>
        <v>56</v>
      </c>
      <c r="AK38" s="58">
        <f t="shared" si="48"/>
        <v>1344.6544125</v>
      </c>
      <c r="AL38" s="58">
        <f t="array" ref="AL38">_xlfn.IFS(R38=0,AE38,R38&lt;0,AE38/-R38,R38&gt;0,AE38/R38)</f>
        <v>459.22558750000019</v>
      </c>
      <c r="AM38" s="59">
        <f t="shared" si="49"/>
        <v>0.10097308432277928</v>
      </c>
      <c r="AN38" s="60">
        <f t="shared" si="50"/>
        <v>0.66845063682678341</v>
      </c>
      <c r="AP38" s="62">
        <f t="shared" si="51"/>
        <v>2296.1279375000008</v>
      </c>
    </row>
    <row r="39" spans="1:42">
      <c r="A39" s="39">
        <v>2774719433</v>
      </c>
      <c r="B39" s="40" t="s">
        <v>240</v>
      </c>
      <c r="C39" s="41">
        <v>17</v>
      </c>
      <c r="D39" s="42"/>
      <c r="E39" s="42"/>
      <c r="F39" s="42"/>
      <c r="G39" s="43"/>
      <c r="H39" s="65">
        <v>597</v>
      </c>
      <c r="I39" s="63">
        <f t="shared" si="36"/>
        <v>10149</v>
      </c>
      <c r="J39" s="45"/>
      <c r="K39" s="41">
        <v>1</v>
      </c>
      <c r="L39" s="45"/>
      <c r="M39" s="45"/>
      <c r="N39" s="46">
        <f t="shared" si="52"/>
        <v>0.14285714285714285</v>
      </c>
      <c r="O39" s="47">
        <f t="shared" si="37"/>
        <v>0</v>
      </c>
      <c r="P39" s="48">
        <f>SUMIFS('Отчет 03-09.11'!H:H,'Отчет 03-09.11'!D:D,"Выручка",'Отчет 03-09.11'!E:E,B39)</f>
        <v>0</v>
      </c>
      <c r="Q39" s="48">
        <f>SUMIFS('Отчет 03-09.11'!H:H,'Отчет 03-09.11'!D:D,"Возврат выручки",'Отчет 03-09.11'!E:E,B39)</f>
        <v>0</v>
      </c>
      <c r="R39" s="49">
        <f t="shared" si="53"/>
        <v>0</v>
      </c>
      <c r="S39" s="50">
        <f>SUMIFS('Отчет 03-09.11'!P:P,'Отчет 03-09.11'!C:C,"Продажи",'Отчет 03-09.11'!E:E,B39)</f>
        <v>0</v>
      </c>
      <c r="T39" s="51">
        <f>SUMIFS('Отчет 03-09.11'!P:P,'Отчет 03-09.11'!C:C,"Возвраты",'Отчет 03-09.11'!E:E,B39)</f>
        <v>0</v>
      </c>
      <c r="U39" s="49">
        <f t="shared" si="54"/>
        <v>0</v>
      </c>
      <c r="V39" s="52">
        <f t="shared" si="55"/>
        <v>0</v>
      </c>
      <c r="W39" s="53">
        <f t="shared" si="56"/>
        <v>0</v>
      </c>
      <c r="X39" s="51">
        <f>-SUMIFS('Отчет 03-09.11'!P:P,'Отчет 03-09.11'!C:C,"Вознаграждение Ozon",'Отчет 03-09.11'!E:E,B39)</f>
        <v>0</v>
      </c>
      <c r="Y39" s="54">
        <f t="shared" si="57"/>
        <v>0</v>
      </c>
      <c r="Z39" s="51">
        <f>-SUMIFS('Отчет 03-09.11'!P:P,'Отчет 03-09.11'!C:C,"Услуги доставки",'Отчет 03-09.11'!E:E,B39)</f>
        <v>112</v>
      </c>
      <c r="AA39" s="41">
        <v>0</v>
      </c>
      <c r="AB39" s="64"/>
      <c r="AC39" s="51"/>
      <c r="AD39" s="55">
        <f t="shared" si="42"/>
        <v>0</v>
      </c>
      <c r="AE39" s="56">
        <f t="shared" si="43"/>
        <v>-112</v>
      </c>
      <c r="AF39" s="55"/>
      <c r="AG39" s="57">
        <f t="shared" si="44"/>
        <v>0</v>
      </c>
      <c r="AH39" s="58">
        <f t="shared" si="45"/>
        <v>597</v>
      </c>
      <c r="AI39" s="58">
        <f t="shared" si="46"/>
        <v>0</v>
      </c>
      <c r="AJ39" s="58">
        <f t="shared" si="47"/>
        <v>112</v>
      </c>
      <c r="AK39" s="58">
        <f t="shared" si="48"/>
        <v>0</v>
      </c>
      <c r="AL39" s="58">
        <f t="array" ref="AL39">_xlfn.IFS(R39=0,AE39,R39&lt;0,AE39/-R39,R39&gt;0,AE39/R39)</f>
        <v>-112</v>
      </c>
      <c r="AM39" s="59">
        <f t="shared" si="49"/>
        <v>0</v>
      </c>
      <c r="AN39" s="60">
        <f t="shared" si="50"/>
        <v>-0.18760469011725292</v>
      </c>
      <c r="AP39" s="62">
        <f t="shared" si="51"/>
        <v>-1904</v>
      </c>
    </row>
    <row r="40" spans="1:42">
      <c r="A40" s="39">
        <v>2774719029</v>
      </c>
      <c r="B40" s="40" t="s">
        <v>241</v>
      </c>
      <c r="C40" s="41">
        <v>18</v>
      </c>
      <c r="D40" s="42"/>
      <c r="E40" s="42"/>
      <c r="F40" s="42"/>
      <c r="G40" s="43"/>
      <c r="H40" s="65">
        <v>597</v>
      </c>
      <c r="I40" s="63">
        <f t="shared" si="36"/>
        <v>10746</v>
      </c>
      <c r="J40" s="45"/>
      <c r="K40" s="41">
        <v>0</v>
      </c>
      <c r="L40" s="45"/>
      <c r="M40" s="45"/>
      <c r="N40" s="46">
        <f>K40/7</f>
        <v>0</v>
      </c>
      <c r="O40" s="47">
        <f t="shared" si="37"/>
        <v>0</v>
      </c>
      <c r="P40" s="48">
        <f>SUMIFS('Отчет 03-09.11'!H:H,'Отчет 03-09.11'!D:D,"Выручка",'Отчет 03-09.11'!E:E,B40)</f>
        <v>0</v>
      </c>
      <c r="Q40" s="48">
        <f>SUMIFS('Отчет 03-09.11'!H:H,'Отчет 03-09.11'!D:D,"Возврат выручки",'Отчет 03-09.11'!E:E,B40)</f>
        <v>0</v>
      </c>
      <c r="R40" s="49">
        <f t="shared" si="53"/>
        <v>0</v>
      </c>
      <c r="S40" s="50">
        <f>SUMIFS('Отчет 03-09.11'!P:P,'Отчет 03-09.11'!C:C,"Продажи",'Отчет 03-09.11'!E:E,B40)</f>
        <v>0</v>
      </c>
      <c r="T40" s="51">
        <f>SUMIFS('Отчет 03-09.11'!P:P,'Отчет 03-09.11'!C:C,"Возвраты",'Отчет 03-09.11'!E:E,B40)</f>
        <v>0</v>
      </c>
      <c r="U40" s="49">
        <f t="shared" si="54"/>
        <v>0</v>
      </c>
      <c r="V40" s="52">
        <f t="shared" si="55"/>
        <v>0</v>
      </c>
      <c r="W40" s="53">
        <f t="shared" si="56"/>
        <v>0</v>
      </c>
      <c r="X40" s="51">
        <f>-SUMIFS('Отчет 03-09.11'!P:P,'Отчет 03-09.11'!C:C,"Вознаграждение Ozon",'Отчет 03-09.11'!E:E,B40)</f>
        <v>0</v>
      </c>
      <c r="Y40" s="54">
        <f t="shared" si="57"/>
        <v>0</v>
      </c>
      <c r="Z40" s="51">
        <f>-SUMIFS('Отчет 03-09.11'!P:P,'Отчет 03-09.11'!C:C,"Услуги доставки",'Отчет 03-09.11'!E:E,B40)</f>
        <v>112</v>
      </c>
      <c r="AA40" s="41">
        <v>0</v>
      </c>
      <c r="AB40" s="64"/>
      <c r="AC40" s="51"/>
      <c r="AD40" s="55">
        <f t="shared" si="42"/>
        <v>0</v>
      </c>
      <c r="AE40" s="56">
        <f t="shared" si="43"/>
        <v>-112</v>
      </c>
      <c r="AF40" s="55"/>
      <c r="AG40" s="57">
        <f t="shared" si="44"/>
        <v>0</v>
      </c>
      <c r="AH40" s="58">
        <f t="shared" si="45"/>
        <v>597</v>
      </c>
      <c r="AI40" s="58">
        <f t="shared" si="46"/>
        <v>0</v>
      </c>
      <c r="AJ40" s="58">
        <f t="shared" si="47"/>
        <v>112</v>
      </c>
      <c r="AK40" s="58">
        <f t="shared" si="48"/>
        <v>0</v>
      </c>
      <c r="AL40" s="58">
        <f t="array" ref="AL40">_xlfn.IFS(R40=0,AE40,R40&lt;0,AE40/-R40,R40&gt;0,AE40/R40)</f>
        <v>-112</v>
      </c>
      <c r="AM40" s="59">
        <f t="shared" si="49"/>
        <v>0</v>
      </c>
      <c r="AN40" s="60">
        <f t="shared" si="50"/>
        <v>-0.18760469011725292</v>
      </c>
      <c r="AP40" s="62">
        <f t="shared" si="51"/>
        <v>-2016</v>
      </c>
    </row>
    <row r="41" spans="1:42">
      <c r="A41" s="39">
        <v>2774719553</v>
      </c>
      <c r="B41" s="40" t="s">
        <v>242</v>
      </c>
      <c r="C41" s="41">
        <v>18</v>
      </c>
      <c r="D41" s="42"/>
      <c r="E41" s="42"/>
      <c r="F41" s="42"/>
      <c r="G41" s="43"/>
      <c r="H41" s="65">
        <v>597</v>
      </c>
      <c r="I41" s="63">
        <f t="shared" si="36"/>
        <v>10746</v>
      </c>
      <c r="J41" s="45"/>
      <c r="K41" s="41">
        <v>1</v>
      </c>
      <c r="L41" s="45"/>
      <c r="M41" s="45"/>
      <c r="N41" s="46">
        <f t="shared" si="52"/>
        <v>0.14285714285714285</v>
      </c>
      <c r="O41" s="47">
        <f t="shared" si="37"/>
        <v>0</v>
      </c>
      <c r="P41" s="48">
        <f>SUMIFS('Отчет 03-09.11'!H:H,'Отчет 03-09.11'!D:D,"Выручка",'Отчет 03-09.11'!E:E,B41)</f>
        <v>1</v>
      </c>
      <c r="Q41" s="48">
        <f>SUMIFS('Отчет 03-09.11'!H:H,'Отчет 03-09.11'!D:D,"Возврат выручки",'Отчет 03-09.11'!E:E,B41)</f>
        <v>1</v>
      </c>
      <c r="R41" s="49">
        <f t="shared" si="53"/>
        <v>0</v>
      </c>
      <c r="S41" s="50">
        <f>SUMIFS('Отчет 03-09.11'!P:P,'Отчет 03-09.11'!C:C,"Продажи",'Отчет 03-09.11'!E:E,B41)</f>
        <v>4549</v>
      </c>
      <c r="T41" s="51">
        <f>SUMIFS('Отчет 03-09.11'!P:P,'Отчет 03-09.11'!C:C,"Возвраты",'Отчет 03-09.11'!E:E,B41)</f>
        <v>-4549</v>
      </c>
      <c r="U41" s="49">
        <f t="shared" si="54"/>
        <v>0</v>
      </c>
      <c r="V41" s="52">
        <f t="shared" si="55"/>
        <v>0</v>
      </c>
      <c r="W41" s="53">
        <f t="shared" si="56"/>
        <v>0</v>
      </c>
      <c r="X41" s="51">
        <f>-SUMIFS('Отчет 03-09.11'!P:P,'Отчет 03-09.11'!C:C,"Вознаграждение Ozon",'Отчет 03-09.11'!E:E,B41)</f>
        <v>0</v>
      </c>
      <c r="Y41" s="54">
        <f t="shared" si="57"/>
        <v>0</v>
      </c>
      <c r="Z41" s="51">
        <f>-SUMIFS('Отчет 03-09.11'!P:P,'Отчет 03-09.11'!C:C,"Услуги доставки",'Отчет 03-09.11'!E:E,B41)</f>
        <v>56</v>
      </c>
      <c r="AA41" s="41">
        <v>0</v>
      </c>
      <c r="AB41" s="64"/>
      <c r="AC41" s="51"/>
      <c r="AD41" s="55">
        <f t="shared" si="42"/>
        <v>0</v>
      </c>
      <c r="AE41" s="56">
        <f t="shared" si="43"/>
        <v>-56</v>
      </c>
      <c r="AF41" s="55"/>
      <c r="AG41" s="57">
        <f t="shared" si="44"/>
        <v>0</v>
      </c>
      <c r="AH41" s="58">
        <f t="shared" si="45"/>
        <v>597</v>
      </c>
      <c r="AI41" s="58">
        <f t="shared" si="46"/>
        <v>0</v>
      </c>
      <c r="AJ41" s="58">
        <f t="shared" si="47"/>
        <v>56</v>
      </c>
      <c r="AK41" s="58">
        <f t="shared" si="48"/>
        <v>0</v>
      </c>
      <c r="AL41" s="58">
        <f t="array" ref="AL41">_xlfn.IFS(R41=0,AE41,R41&lt;0,AE41/-R41,R41&gt;0,AE41/R41)</f>
        <v>-56</v>
      </c>
      <c r="AM41" s="59">
        <f t="shared" si="49"/>
        <v>0</v>
      </c>
      <c r="AN41" s="60">
        <f t="shared" si="50"/>
        <v>-9.380234505862646E-2</v>
      </c>
      <c r="AP41" s="62">
        <f t="shared" si="51"/>
        <v>-1008</v>
      </c>
    </row>
    <row r="42" spans="1:42">
      <c r="A42" s="39">
        <v>2774710913</v>
      </c>
      <c r="B42" s="40" t="s">
        <v>243</v>
      </c>
      <c r="C42" s="41">
        <v>19</v>
      </c>
      <c r="D42" s="42"/>
      <c r="E42" s="42"/>
      <c r="F42" s="42"/>
      <c r="G42" s="43"/>
      <c r="H42" s="65">
        <v>642</v>
      </c>
      <c r="I42" s="63">
        <f t="shared" si="36"/>
        <v>12198</v>
      </c>
      <c r="J42" s="45"/>
      <c r="K42" s="41">
        <v>0</v>
      </c>
      <c r="L42" s="45"/>
      <c r="M42" s="45"/>
      <c r="N42" s="46">
        <f t="shared" si="52"/>
        <v>0</v>
      </c>
      <c r="O42" s="47">
        <f t="shared" si="37"/>
        <v>0</v>
      </c>
      <c r="P42" s="48">
        <f>SUMIFS('Отчет 03-09.11'!H:H,'Отчет 03-09.11'!D:D,"Выручка",'Отчет 03-09.11'!E:E,B42)</f>
        <v>0</v>
      </c>
      <c r="Q42" s="48">
        <f>SUMIFS('Отчет 03-09.11'!H:H,'Отчет 03-09.11'!D:D,"Возврат выручки",'Отчет 03-09.11'!E:E,B42)</f>
        <v>0</v>
      </c>
      <c r="R42" s="49">
        <f t="shared" si="53"/>
        <v>0</v>
      </c>
      <c r="S42" s="50">
        <f>SUMIFS('Отчет 03-09.11'!P:P,'Отчет 03-09.11'!C:C,"Продажи",'Отчет 03-09.11'!E:E,B42)</f>
        <v>0</v>
      </c>
      <c r="T42" s="51">
        <f>SUMIFS('Отчет 03-09.11'!P:P,'Отчет 03-09.11'!C:C,"Возвраты",'Отчет 03-09.11'!E:E,B42)</f>
        <v>0</v>
      </c>
      <c r="U42" s="49">
        <f t="shared" si="54"/>
        <v>0</v>
      </c>
      <c r="V42" s="52">
        <f t="shared" si="55"/>
        <v>0</v>
      </c>
      <c r="W42" s="53">
        <f t="shared" si="56"/>
        <v>0</v>
      </c>
      <c r="X42" s="51">
        <f>-SUMIFS('Отчет 03-09.11'!P:P,'Отчет 03-09.11'!C:C,"Вознаграждение Ozon",'Отчет 03-09.11'!E:E,B42)</f>
        <v>0</v>
      </c>
      <c r="Y42" s="54">
        <f t="shared" si="57"/>
        <v>0</v>
      </c>
      <c r="Z42" s="51">
        <f>-SUMIFS('Отчет 03-09.11'!P:P,'Отчет 03-09.11'!C:C,"Услуги доставки",'Отчет 03-09.11'!E:E,B42)</f>
        <v>0</v>
      </c>
      <c r="AA42" s="41">
        <v>0</v>
      </c>
      <c r="AB42" s="64"/>
      <c r="AC42" s="51"/>
      <c r="AD42" s="55">
        <f t="shared" si="42"/>
        <v>0</v>
      </c>
      <c r="AE42" s="56">
        <f t="shared" si="43"/>
        <v>0</v>
      </c>
      <c r="AF42" s="55"/>
      <c r="AG42" s="57">
        <f t="shared" si="44"/>
        <v>0</v>
      </c>
      <c r="AH42" s="58">
        <f t="shared" si="45"/>
        <v>642</v>
      </c>
      <c r="AI42" s="58">
        <f t="shared" si="46"/>
        <v>0</v>
      </c>
      <c r="AJ42" s="58">
        <f t="shared" si="47"/>
        <v>0</v>
      </c>
      <c r="AK42" s="58">
        <f t="shared" si="48"/>
        <v>0</v>
      </c>
      <c r="AL42" s="58">
        <f t="array" ref="AL42">_xlfn.IFS(R42=0,AE42,R42&lt;0,AE42/-R42,R42&gt;0,AE42/R42)</f>
        <v>0</v>
      </c>
      <c r="AM42" s="59">
        <f t="shared" si="49"/>
        <v>0</v>
      </c>
      <c r="AN42" s="60">
        <f t="shared" si="50"/>
        <v>0</v>
      </c>
      <c r="AP42" s="62">
        <f t="shared" si="51"/>
        <v>0</v>
      </c>
    </row>
    <row r="43" spans="1:42">
      <c r="A43" s="39">
        <v>2774721668</v>
      </c>
      <c r="B43" s="40" t="s">
        <v>771</v>
      </c>
      <c r="C43" s="41">
        <v>19</v>
      </c>
      <c r="D43" s="42"/>
      <c r="E43" s="42"/>
      <c r="F43" s="42"/>
      <c r="G43" s="43"/>
      <c r="H43" s="65">
        <v>642</v>
      </c>
      <c r="I43" s="63">
        <f t="shared" si="36"/>
        <v>12198</v>
      </c>
      <c r="J43" s="45"/>
      <c r="K43" s="41">
        <v>0</v>
      </c>
      <c r="L43" s="45"/>
      <c r="M43" s="45"/>
      <c r="N43" s="46">
        <f t="shared" si="52"/>
        <v>0</v>
      </c>
      <c r="O43" s="47">
        <f t="shared" si="37"/>
        <v>0</v>
      </c>
      <c r="P43" s="48">
        <f>SUMIFS('Отчет 03-09.11'!H:H,'Отчет 03-09.11'!D:D,"Выручка",'Отчет 03-09.11'!E:E,B43)</f>
        <v>0</v>
      </c>
      <c r="Q43" s="48">
        <f>SUMIFS('Отчет 03-09.11'!H:H,'Отчет 03-09.11'!D:D,"Возврат выручки",'Отчет 03-09.11'!E:E,B43)</f>
        <v>0</v>
      </c>
      <c r="R43" s="49">
        <f t="shared" si="53"/>
        <v>0</v>
      </c>
      <c r="S43" s="50">
        <f>SUMIFS('Отчет 03-09.11'!P:P,'Отчет 03-09.11'!C:C,"Продажи",'Отчет 03-09.11'!E:E,B43)</f>
        <v>0</v>
      </c>
      <c r="T43" s="51">
        <f>SUMIFS('Отчет 03-09.11'!P:P,'Отчет 03-09.11'!C:C,"Возвраты",'Отчет 03-09.11'!E:E,B43)</f>
        <v>0</v>
      </c>
      <c r="U43" s="49">
        <f t="shared" si="54"/>
        <v>0</v>
      </c>
      <c r="V43" s="52">
        <f t="shared" si="55"/>
        <v>0</v>
      </c>
      <c r="W43" s="53">
        <f t="shared" si="56"/>
        <v>0</v>
      </c>
      <c r="X43" s="51">
        <f>-SUMIFS('Отчет 03-09.11'!P:P,'Отчет 03-09.11'!C:C,"Вознаграждение Ozon",'Отчет 03-09.11'!E:E,B43)</f>
        <v>0</v>
      </c>
      <c r="Y43" s="54">
        <f t="shared" si="57"/>
        <v>0</v>
      </c>
      <c r="Z43" s="51">
        <f>-SUMIFS('Отчет 03-09.11'!P:P,'Отчет 03-09.11'!C:C,"Услуги доставки",'Отчет 03-09.11'!E:E,B43)</f>
        <v>0</v>
      </c>
      <c r="AA43" s="41">
        <v>0</v>
      </c>
      <c r="AB43" s="64"/>
      <c r="AC43" s="51"/>
      <c r="AD43" s="55">
        <f t="shared" si="42"/>
        <v>0</v>
      </c>
      <c r="AE43" s="56">
        <f t="shared" si="43"/>
        <v>0</v>
      </c>
      <c r="AF43" s="55"/>
      <c r="AG43" s="57">
        <f t="shared" si="44"/>
        <v>0</v>
      </c>
      <c r="AH43" s="58">
        <f t="shared" si="45"/>
        <v>642</v>
      </c>
      <c r="AI43" s="58">
        <f t="shared" si="46"/>
        <v>0</v>
      </c>
      <c r="AJ43" s="58">
        <f t="shared" si="47"/>
        <v>0</v>
      </c>
      <c r="AK43" s="58">
        <f t="shared" si="48"/>
        <v>0</v>
      </c>
      <c r="AL43" s="58">
        <f t="array" ref="AL43">_xlfn.IFS(R43=0,AE43,R43&lt;0,AE43/-R43,R43&gt;0,AE43/R43)</f>
        <v>0</v>
      </c>
      <c r="AM43" s="59">
        <f t="shared" si="49"/>
        <v>0</v>
      </c>
      <c r="AN43" s="60">
        <f t="shared" si="50"/>
        <v>0</v>
      </c>
      <c r="AP43" s="62">
        <f t="shared" si="51"/>
        <v>0</v>
      </c>
    </row>
    <row r="44" spans="1:42">
      <c r="A44" s="39">
        <v>2774722656</v>
      </c>
      <c r="B44" s="40" t="s">
        <v>51</v>
      </c>
      <c r="C44" s="41">
        <v>7</v>
      </c>
      <c r="D44" s="42"/>
      <c r="E44" s="42"/>
      <c r="F44" s="42"/>
      <c r="G44" s="43"/>
      <c r="H44" s="65">
        <v>687</v>
      </c>
      <c r="I44" s="63">
        <f t="shared" si="36"/>
        <v>4809</v>
      </c>
      <c r="J44" s="45"/>
      <c r="K44" s="41">
        <v>2</v>
      </c>
      <c r="L44" s="45"/>
      <c r="M44" s="45"/>
      <c r="N44" s="46">
        <f t="shared" si="52"/>
        <v>0.2857142857142857</v>
      </c>
      <c r="O44" s="47">
        <f t="shared" si="37"/>
        <v>0</v>
      </c>
      <c r="P44" s="48">
        <f>SUMIFS('Отчет 03-09.11'!H:H,'Отчет 03-09.11'!D:D,"Выручка",'Отчет 03-09.11'!E:E,B44)</f>
        <v>0</v>
      </c>
      <c r="Q44" s="48">
        <f>SUMIFS('Отчет 03-09.11'!H:H,'Отчет 03-09.11'!D:D,"Возврат выручки",'Отчет 03-09.11'!E:E,B44)</f>
        <v>0</v>
      </c>
      <c r="R44" s="49">
        <f t="shared" si="53"/>
        <v>0</v>
      </c>
      <c r="S44" s="50">
        <f>SUMIFS('Отчет 03-09.11'!P:P,'Отчет 03-09.11'!C:C,"Продажи",'Отчет 03-09.11'!E:E,B44)</f>
        <v>0</v>
      </c>
      <c r="T44" s="51">
        <f>SUMIFS('Отчет 03-09.11'!P:P,'Отчет 03-09.11'!C:C,"Возвраты",'Отчет 03-09.11'!E:E,B44)</f>
        <v>0</v>
      </c>
      <c r="U44" s="49">
        <f t="shared" si="54"/>
        <v>0</v>
      </c>
      <c r="V44" s="52">
        <f t="shared" si="55"/>
        <v>0</v>
      </c>
      <c r="W44" s="53">
        <f t="shared" si="56"/>
        <v>0</v>
      </c>
      <c r="X44" s="51">
        <f>-SUMIFS('Отчет 03-09.11'!P:P,'Отчет 03-09.11'!C:C,"Вознаграждение Ozon",'Отчет 03-09.11'!E:E,B44)</f>
        <v>0</v>
      </c>
      <c r="Y44" s="54">
        <f t="shared" si="57"/>
        <v>0</v>
      </c>
      <c r="Z44" s="51">
        <f>-SUMIFS('Отчет 03-09.11'!P:P,'Отчет 03-09.11'!C:C,"Услуги доставки",'Отчет 03-09.11'!E:E,B44)</f>
        <v>112</v>
      </c>
      <c r="AA44" s="41">
        <v>382.32496900000001</v>
      </c>
      <c r="AB44" s="64"/>
      <c r="AC44" s="51"/>
      <c r="AD44" s="55">
        <f t="shared" si="42"/>
        <v>0</v>
      </c>
      <c r="AE44" s="56">
        <f t="shared" si="43"/>
        <v>-494.32496900000001</v>
      </c>
      <c r="AF44" s="55"/>
      <c r="AG44" s="57">
        <f t="shared" si="44"/>
        <v>0</v>
      </c>
      <c r="AH44" s="58">
        <f t="shared" si="45"/>
        <v>687</v>
      </c>
      <c r="AI44" s="58">
        <f t="shared" si="46"/>
        <v>0</v>
      </c>
      <c r="AJ44" s="58">
        <f t="shared" si="47"/>
        <v>112</v>
      </c>
      <c r="AK44" s="58">
        <f t="shared" si="48"/>
        <v>0</v>
      </c>
      <c r="AL44" s="58">
        <f t="array" ref="AL44">_xlfn.IFS(R44=0,AE44,R44&lt;0,AE44/-R44,R44&gt;0,AE44/R44)</f>
        <v>-494.32496900000001</v>
      </c>
      <c r="AM44" s="59">
        <f t="shared" si="49"/>
        <v>0</v>
      </c>
      <c r="AN44" s="60">
        <f t="shared" si="50"/>
        <v>-0.71954143959243089</v>
      </c>
      <c r="AP44" s="62">
        <f t="shared" si="51"/>
        <v>-3460.2747829999998</v>
      </c>
    </row>
    <row r="45" spans="1:42">
      <c r="A45" s="39">
        <v>2774721190</v>
      </c>
      <c r="B45" s="40" t="s">
        <v>70</v>
      </c>
      <c r="C45" s="41">
        <v>5</v>
      </c>
      <c r="D45" s="42"/>
      <c r="E45" s="42"/>
      <c r="F45" s="42"/>
      <c r="G45" s="43"/>
      <c r="H45" s="65">
        <v>687</v>
      </c>
      <c r="I45" s="63">
        <f t="shared" si="36"/>
        <v>3435</v>
      </c>
      <c r="J45" s="45"/>
      <c r="K45" s="41">
        <v>6</v>
      </c>
      <c r="L45" s="45"/>
      <c r="M45" s="45"/>
      <c r="N45" s="46">
        <f t="shared" si="52"/>
        <v>0.8571428571428571</v>
      </c>
      <c r="O45" s="47">
        <f t="shared" si="37"/>
        <v>0.14285714285714285</v>
      </c>
      <c r="P45" s="48">
        <f>SUMIFS('Отчет 03-09.11'!H:H,'Отчет 03-09.11'!D:D,"Выручка",'Отчет 03-09.11'!E:E,B45)</f>
        <v>2</v>
      </c>
      <c r="Q45" s="48">
        <f>SUMIFS('Отчет 03-09.11'!H:H,'Отчет 03-09.11'!D:D,"Возврат выручки",'Отчет 03-09.11'!E:E,B45)</f>
        <v>1</v>
      </c>
      <c r="R45" s="49">
        <f t="shared" si="53"/>
        <v>1</v>
      </c>
      <c r="S45" s="50">
        <f>SUMIFS('Отчет 03-09.11'!P:P,'Отчет 03-09.11'!C:C,"Продажи",'Отчет 03-09.11'!E:E,B45)</f>
        <v>11000</v>
      </c>
      <c r="T45" s="51">
        <f>SUMIFS('Отчет 03-09.11'!P:P,'Отчет 03-09.11'!C:C,"Возвраты",'Отчет 03-09.11'!E:E,B45)</f>
        <v>-5500</v>
      </c>
      <c r="U45" s="49">
        <f t="shared" si="54"/>
        <v>5500</v>
      </c>
      <c r="V45" s="52">
        <f t="shared" si="55"/>
        <v>0.27368630573248409</v>
      </c>
      <c r="W45" s="53">
        <f t="shared" si="56"/>
        <v>687</v>
      </c>
      <c r="X45" s="51">
        <f>-SUMIFS('Отчет 03-09.11'!P:P,'Отчет 03-09.11'!C:C,"Вознаграждение Ozon",'Отчет 03-09.11'!E:E,B45)</f>
        <v>2090</v>
      </c>
      <c r="Y45" s="54">
        <f t="shared" si="57"/>
        <v>0.38</v>
      </c>
      <c r="Z45" s="51">
        <f>-SUMIFS('Отчет 03-09.11'!P:P,'Отчет 03-09.11'!C:C,"Услуги доставки",'Отчет 03-09.11'!E:E,B45)</f>
        <v>560</v>
      </c>
      <c r="AA45" s="41">
        <v>1265</v>
      </c>
      <c r="AB45" s="64"/>
      <c r="AC45" s="51"/>
      <c r="AD45" s="55">
        <f t="shared" si="42"/>
        <v>330</v>
      </c>
      <c r="AE45" s="56">
        <f t="shared" si="43"/>
        <v>568</v>
      </c>
      <c r="AF45" s="55"/>
      <c r="AG45" s="57">
        <f t="shared" si="44"/>
        <v>5500</v>
      </c>
      <c r="AH45" s="58">
        <f t="shared" si="45"/>
        <v>687</v>
      </c>
      <c r="AI45" s="58">
        <f t="shared" si="46"/>
        <v>2090</v>
      </c>
      <c r="AJ45" s="58">
        <f t="shared" si="47"/>
        <v>280</v>
      </c>
      <c r="AK45" s="58">
        <f t="shared" si="48"/>
        <v>632.5</v>
      </c>
      <c r="AL45" s="58">
        <f t="array" ref="AL45">_xlfn.IFS(R45=0,AE45,R45&lt;0,AE45/-R45,R45&gt;0,AE45/R45)</f>
        <v>568</v>
      </c>
      <c r="AM45" s="59">
        <f t="shared" si="49"/>
        <v>0.10327272727272727</v>
      </c>
      <c r="AN45" s="60">
        <f t="shared" si="50"/>
        <v>0.82678311499272195</v>
      </c>
      <c r="AP45" s="62">
        <f t="shared" si="51"/>
        <v>2840</v>
      </c>
    </row>
    <row r="46" spans="1:42">
      <c r="A46" s="39">
        <v>2774718796</v>
      </c>
      <c r="B46" s="40" t="s">
        <v>66</v>
      </c>
      <c r="C46" s="41">
        <v>6</v>
      </c>
      <c r="D46" s="42"/>
      <c r="E46" s="42"/>
      <c r="F46" s="42"/>
      <c r="G46" s="43"/>
      <c r="H46" s="65">
        <v>552</v>
      </c>
      <c r="I46" s="63">
        <f t="shared" si="36"/>
        <v>3312</v>
      </c>
      <c r="J46" s="45"/>
      <c r="K46" s="41">
        <v>0</v>
      </c>
      <c r="L46" s="45"/>
      <c r="M46" s="45"/>
      <c r="N46" s="46">
        <f t="shared" si="52"/>
        <v>0</v>
      </c>
      <c r="O46" s="47">
        <f t="shared" si="37"/>
        <v>0</v>
      </c>
      <c r="P46" s="48">
        <f>SUMIFS('Отчет 03-09.11'!H:H,'Отчет 03-09.11'!D:D,"Выручка",'Отчет 03-09.11'!E:E,B46)</f>
        <v>0</v>
      </c>
      <c r="Q46" s="48">
        <f>SUMIFS('Отчет 03-09.11'!H:H,'Отчет 03-09.11'!D:D,"Возврат выручки",'Отчет 03-09.11'!E:E,B46)</f>
        <v>0</v>
      </c>
      <c r="R46" s="49">
        <f t="shared" si="53"/>
        <v>0</v>
      </c>
      <c r="S46" s="50">
        <f>SUMIFS('Отчет 03-09.11'!P:P,'Отчет 03-09.11'!C:C,"Продажи",'Отчет 03-09.11'!E:E,B46)</f>
        <v>0</v>
      </c>
      <c r="T46" s="51">
        <f>SUMIFS('Отчет 03-09.11'!P:P,'Отчет 03-09.11'!C:C,"Возвраты",'Отчет 03-09.11'!E:E,B46)</f>
        <v>0</v>
      </c>
      <c r="U46" s="49">
        <f t="shared" si="54"/>
        <v>0</v>
      </c>
      <c r="V46" s="52">
        <f t="shared" si="55"/>
        <v>0</v>
      </c>
      <c r="W46" s="53">
        <f t="shared" si="56"/>
        <v>0</v>
      </c>
      <c r="X46" s="51">
        <f>-SUMIFS('Отчет 03-09.11'!P:P,'Отчет 03-09.11'!C:C,"Вознаграждение Ozon",'Отчет 03-09.11'!E:E,B46)</f>
        <v>0</v>
      </c>
      <c r="Y46" s="54">
        <f t="shared" si="57"/>
        <v>0</v>
      </c>
      <c r="Z46" s="51">
        <f>-SUMIFS('Отчет 03-09.11'!P:P,'Отчет 03-09.11'!C:C,"Услуги доставки",'Отчет 03-09.11'!E:E,B46)</f>
        <v>0</v>
      </c>
      <c r="AA46" s="41">
        <v>0</v>
      </c>
      <c r="AB46" s="64"/>
      <c r="AC46" s="51"/>
      <c r="AD46" s="55">
        <f t="shared" si="42"/>
        <v>0</v>
      </c>
      <c r="AE46" s="56">
        <f t="shared" si="43"/>
        <v>0</v>
      </c>
      <c r="AF46" s="55"/>
      <c r="AG46" s="57">
        <f t="shared" si="44"/>
        <v>0</v>
      </c>
      <c r="AH46" s="58">
        <f t="shared" si="45"/>
        <v>552</v>
      </c>
      <c r="AI46" s="58">
        <f t="shared" si="46"/>
        <v>0</v>
      </c>
      <c r="AJ46" s="58">
        <f t="shared" si="47"/>
        <v>0</v>
      </c>
      <c r="AK46" s="58">
        <f t="shared" si="48"/>
        <v>0</v>
      </c>
      <c r="AL46" s="58">
        <f t="array" ref="AL46">_xlfn.IFS(R46=0,AE46,R46&lt;0,AE46/-R46,R46&gt;0,AE46/R46)</f>
        <v>0</v>
      </c>
      <c r="AM46" s="59">
        <f t="shared" si="49"/>
        <v>0</v>
      </c>
      <c r="AN46" s="60">
        <f t="shared" si="50"/>
        <v>0</v>
      </c>
      <c r="AP46" s="62">
        <f t="shared" si="51"/>
        <v>0</v>
      </c>
    </row>
    <row r="47" spans="1:42">
      <c r="A47" s="39">
        <v>2774719500</v>
      </c>
      <c r="B47" s="40" t="s">
        <v>245</v>
      </c>
      <c r="C47" s="41">
        <v>19</v>
      </c>
      <c r="D47" s="42"/>
      <c r="E47" s="42"/>
      <c r="F47" s="42"/>
      <c r="G47" s="43"/>
      <c r="H47" s="65">
        <v>552</v>
      </c>
      <c r="I47" s="63">
        <f>C47*H47</f>
        <v>10488</v>
      </c>
      <c r="J47" s="45"/>
      <c r="K47" s="41">
        <v>0</v>
      </c>
      <c r="L47" s="45"/>
      <c r="M47" s="45"/>
      <c r="N47" s="46">
        <f t="shared" si="52"/>
        <v>0</v>
      </c>
      <c r="O47" s="47">
        <f t="shared" si="37"/>
        <v>0</v>
      </c>
      <c r="P47" s="48">
        <f>SUMIFS('Отчет 03-09.11'!H:H,'Отчет 03-09.11'!D:D,"Выручка",'Отчет 03-09.11'!E:E,B47)</f>
        <v>0</v>
      </c>
      <c r="Q47" s="48">
        <f>SUMIFS('Отчет 03-09.11'!H:H,'Отчет 03-09.11'!D:D,"Возврат выручки",'Отчет 03-09.11'!E:E,B47)</f>
        <v>0</v>
      </c>
      <c r="R47" s="49">
        <f t="shared" si="53"/>
        <v>0</v>
      </c>
      <c r="S47" s="50">
        <f>SUMIFS('Отчет 03-09.11'!P:P,'Отчет 03-09.11'!C:C,"Продажи",'Отчет 03-09.11'!E:E,B47)</f>
        <v>0</v>
      </c>
      <c r="T47" s="51">
        <f>SUMIFS('Отчет 03-09.11'!P:P,'Отчет 03-09.11'!C:C,"Возвраты",'Отчет 03-09.11'!E:E,B47)</f>
        <v>0</v>
      </c>
      <c r="U47" s="49">
        <f t="shared" si="54"/>
        <v>0</v>
      </c>
      <c r="V47" s="52">
        <f t="shared" si="55"/>
        <v>0</v>
      </c>
      <c r="W47" s="53">
        <f t="shared" si="56"/>
        <v>0</v>
      </c>
      <c r="X47" s="51">
        <f>-SUMIFS('Отчет 03-09.11'!P:P,'Отчет 03-09.11'!C:C,"Вознаграждение Ozon",'Отчет 03-09.11'!E:E,B47)</f>
        <v>0</v>
      </c>
      <c r="Y47" s="54">
        <f t="shared" si="57"/>
        <v>0</v>
      </c>
      <c r="Z47" s="51">
        <f>-SUMIFS('Отчет 03-09.11'!P:P,'Отчет 03-09.11'!C:C,"Услуги доставки",'Отчет 03-09.11'!E:E,B47)</f>
        <v>0</v>
      </c>
      <c r="AA47" s="41">
        <v>0</v>
      </c>
      <c r="AB47" s="64"/>
      <c r="AC47" s="51"/>
      <c r="AD47" s="55">
        <f t="shared" si="42"/>
        <v>0</v>
      </c>
      <c r="AE47" s="56">
        <f t="shared" si="43"/>
        <v>0</v>
      </c>
      <c r="AF47" s="55"/>
      <c r="AG47" s="57">
        <f t="shared" si="44"/>
        <v>0</v>
      </c>
      <c r="AH47" s="58">
        <f t="shared" si="45"/>
        <v>552</v>
      </c>
      <c r="AI47" s="58">
        <f t="shared" si="46"/>
        <v>0</v>
      </c>
      <c r="AJ47" s="58">
        <f t="shared" si="47"/>
        <v>0</v>
      </c>
      <c r="AK47" s="58">
        <f t="shared" si="48"/>
        <v>0</v>
      </c>
      <c r="AL47" s="58">
        <f t="array" ref="AL47">_xlfn.IFS(R47=0,AE47,R47&lt;0,AE47/-R47,R47&gt;0,AE47/R47)</f>
        <v>0</v>
      </c>
      <c r="AM47" s="59">
        <f t="shared" si="49"/>
        <v>0</v>
      </c>
      <c r="AN47" s="60">
        <f t="shared" si="50"/>
        <v>0</v>
      </c>
      <c r="AP47" s="62">
        <f t="shared" si="51"/>
        <v>0</v>
      </c>
    </row>
    <row r="48" spans="1:42">
      <c r="A48" s="39"/>
      <c r="B48" s="40"/>
      <c r="C48" s="41"/>
      <c r="D48" s="42"/>
      <c r="E48" s="42"/>
      <c r="F48" s="42"/>
      <c r="G48" s="43"/>
      <c r="H48" s="65"/>
      <c r="I48" s="63"/>
      <c r="J48" s="45"/>
      <c r="K48" s="41"/>
      <c r="L48" s="45"/>
      <c r="M48" s="45"/>
      <c r="N48" s="46"/>
      <c r="O48" s="47"/>
      <c r="P48" s="48"/>
      <c r="Q48" s="48"/>
      <c r="R48" s="49"/>
      <c r="S48" s="50"/>
      <c r="T48" s="51"/>
      <c r="U48" s="49"/>
      <c r="V48" s="52"/>
      <c r="W48" s="53"/>
      <c r="X48" s="51"/>
      <c r="Y48" s="54"/>
      <c r="Z48" s="51"/>
      <c r="AA48" s="41"/>
      <c r="AB48" s="64"/>
      <c r="AC48" s="51"/>
      <c r="AD48" s="55"/>
      <c r="AE48" s="56"/>
      <c r="AF48" s="55"/>
      <c r="AG48" s="258">
        <f t="shared" ref="AG48:AN48" si="58">AVERAGEIF(AG28:AG47,"&lt;&gt;0",AG28:AG47)</f>
        <v>5182.666666666667</v>
      </c>
      <c r="AH48" s="259">
        <f t="shared" si="58"/>
        <v>617.25</v>
      </c>
      <c r="AI48" s="259">
        <f t="shared" si="58"/>
        <v>1969.4133333333332</v>
      </c>
      <c r="AJ48" s="259">
        <f t="shared" si="58"/>
        <v>137.45454545454547</v>
      </c>
      <c r="AK48" s="259">
        <f t="shared" si="58"/>
        <v>988.57720625000002</v>
      </c>
      <c r="AL48" s="259">
        <f t="shared" si="58"/>
        <v>-104.55638226923078</v>
      </c>
      <c r="AM48" s="260">
        <f t="shared" si="58"/>
        <v>0.20293042204698705</v>
      </c>
      <c r="AN48" s="260">
        <f t="shared" si="58"/>
        <v>-0.20387345525805117</v>
      </c>
      <c r="AO48" s="240"/>
      <c r="AP48" s="241"/>
    </row>
    <row r="49" spans="1:42">
      <c r="A49" s="218" t="s">
        <v>306</v>
      </c>
      <c r="B49" s="219"/>
      <c r="C49" s="220">
        <f>SUM(C28:C47)</f>
        <v>306</v>
      </c>
      <c r="D49" s="221"/>
      <c r="E49" s="221"/>
      <c r="F49" s="221"/>
      <c r="G49" s="221"/>
      <c r="H49" s="222"/>
      <c r="I49" s="220">
        <f>SUM(I28:I47)</f>
        <v>186882</v>
      </c>
      <c r="J49" s="223"/>
      <c r="K49" s="220">
        <f>SUM(K28:K47)</f>
        <v>16</v>
      </c>
      <c r="L49" s="223"/>
      <c r="M49" s="223"/>
      <c r="N49" s="224"/>
      <c r="O49" s="225"/>
      <c r="P49" s="220">
        <f t="shared" ref="P49:X49" si="59">SUM(P28:P47)</f>
        <v>7</v>
      </c>
      <c r="Q49" s="220">
        <f t="shared" si="59"/>
        <v>3</v>
      </c>
      <c r="R49" s="250">
        <f t="shared" si="59"/>
        <v>4</v>
      </c>
      <c r="S49" s="220">
        <f t="shared" si="59"/>
        <v>35645</v>
      </c>
      <c r="T49" s="220">
        <f t="shared" si="59"/>
        <v>-15549</v>
      </c>
      <c r="U49" s="250">
        <f t="shared" si="59"/>
        <v>20096</v>
      </c>
      <c r="V49" s="253">
        <f t="shared" si="59"/>
        <v>1</v>
      </c>
      <c r="W49" s="220">
        <f t="shared" si="59"/>
        <v>2748</v>
      </c>
      <c r="X49" s="220">
        <f t="shared" si="59"/>
        <v>7636.48</v>
      </c>
      <c r="Y49" s="226">
        <f>IF(U49=0,0,X49/U49)</f>
        <v>0.38</v>
      </c>
      <c r="Z49" s="220">
        <f>SUM(Z28:Z47)</f>
        <v>1848</v>
      </c>
      <c r="AA49" s="220">
        <f>IFERROR(P49*AA51/P51,0)</f>
        <v>7423.948823529412</v>
      </c>
      <c r="AB49" s="220">
        <f>SUM(AB28:AB47)</f>
        <v>0</v>
      </c>
      <c r="AC49" s="220">
        <f>SUM(AC28:AC47)</f>
        <v>0</v>
      </c>
      <c r="AD49" s="250">
        <f>SUM(AD28:AD47)</f>
        <v>1205.76</v>
      </c>
      <c r="AE49" s="220">
        <f>SUM(AE28:AE47)</f>
        <v>-900.00738199999978</v>
      </c>
      <c r="AF49" s="257"/>
      <c r="AG49" s="261"/>
      <c r="AH49" s="262"/>
      <c r="AI49" s="262"/>
      <c r="AJ49" s="262"/>
      <c r="AK49" s="263"/>
      <c r="AL49" s="262"/>
      <c r="AM49" s="264"/>
      <c r="AN49" s="268"/>
      <c r="AO49" s="267"/>
      <c r="AP49" s="265">
        <f>SUM(AP28:AP47)</f>
        <v>-38822.333642500002</v>
      </c>
    </row>
    <row r="50" spans="1:42">
      <c r="A50" s="66"/>
      <c r="B50" s="67"/>
      <c r="C50" s="68"/>
      <c r="D50" s="53"/>
      <c r="E50" s="53"/>
      <c r="F50" s="53"/>
      <c r="G50" s="43"/>
      <c r="H50" s="53"/>
      <c r="I50" s="53"/>
      <c r="J50" s="69"/>
      <c r="K50" s="70"/>
      <c r="L50" s="70"/>
      <c r="M50" s="70"/>
      <c r="N50" s="69"/>
      <c r="O50" s="71"/>
      <c r="P50" s="70"/>
      <c r="Q50" s="70"/>
      <c r="R50" s="251"/>
      <c r="S50" s="70"/>
      <c r="T50" s="70"/>
      <c r="U50" s="251"/>
      <c r="V50" s="254"/>
      <c r="W50" s="70"/>
      <c r="X50" s="70"/>
      <c r="Y50" s="54"/>
      <c r="Z50" s="70"/>
      <c r="AA50" s="284">
        <f>SUM(AA28:AA47)</f>
        <v>7557.7673820000009</v>
      </c>
      <c r="AB50" s="51"/>
      <c r="AC50" s="51"/>
      <c r="AD50" s="55"/>
      <c r="AE50" s="56"/>
      <c r="AF50" s="55"/>
      <c r="AG50" s="72"/>
      <c r="AH50" s="73"/>
      <c r="AI50" s="73"/>
      <c r="AJ50" s="73"/>
      <c r="AK50" s="73"/>
      <c r="AL50" s="73"/>
      <c r="AM50" s="59"/>
      <c r="AN50" s="60"/>
      <c r="AO50" s="266"/>
      <c r="AP50" s="62"/>
    </row>
    <row r="51" spans="1:42" s="77" customFormat="1" ht="15" customHeight="1">
      <c r="A51" s="227" t="s">
        <v>307</v>
      </c>
      <c r="B51" s="228"/>
      <c r="C51" s="229">
        <f>C26+C49</f>
        <v>4256</v>
      </c>
      <c r="D51" s="230">
        <f>SUM(D3:D47)</f>
        <v>0</v>
      </c>
      <c r="E51" s="230">
        <f>SUM(E3:E47)</f>
        <v>108496</v>
      </c>
      <c r="F51" s="230">
        <f>SUM(F3:F47)</f>
        <v>597</v>
      </c>
      <c r="G51" s="230">
        <f>SUM(G3:G47)</f>
        <v>295</v>
      </c>
      <c r="H51" s="230"/>
      <c r="I51" s="229">
        <f>I26+I49</f>
        <v>708211.58999999985</v>
      </c>
      <c r="J51" s="229">
        <f>J26+J49</f>
        <v>0</v>
      </c>
      <c r="K51" s="229">
        <f>K26+K49</f>
        <v>36</v>
      </c>
      <c r="L51" s="230"/>
      <c r="M51" s="230"/>
      <c r="N51" s="230"/>
      <c r="O51" s="230"/>
      <c r="P51" s="269">
        <f t="shared" ref="P51:X51" si="60">P26+P49</f>
        <v>17</v>
      </c>
      <c r="Q51" s="229">
        <f t="shared" si="60"/>
        <v>3</v>
      </c>
      <c r="R51" s="252">
        <f t="shared" si="60"/>
        <v>14</v>
      </c>
      <c r="S51" s="229">
        <f t="shared" si="60"/>
        <v>49963</v>
      </c>
      <c r="T51" s="229">
        <f t="shared" si="60"/>
        <v>-15549</v>
      </c>
      <c r="U51" s="252">
        <f t="shared" si="60"/>
        <v>34414</v>
      </c>
      <c r="V51" s="255">
        <f t="shared" si="60"/>
        <v>1.7124800955414012</v>
      </c>
      <c r="W51" s="229">
        <f t="shared" si="60"/>
        <v>4166.1000000000004</v>
      </c>
      <c r="X51" s="229">
        <f t="shared" si="60"/>
        <v>13077.32</v>
      </c>
      <c r="Y51" s="232">
        <f>X51/U51</f>
        <v>0.38</v>
      </c>
      <c r="Z51" s="229">
        <f>Z26+Z49</f>
        <v>3064</v>
      </c>
      <c r="AA51" s="75">
        <v>18029.59</v>
      </c>
      <c r="AB51" s="74"/>
      <c r="AC51" s="74">
        <f>SUM(AC3:AC47)</f>
        <v>0</v>
      </c>
      <c r="AD51" s="229">
        <f>AD26+AD49</f>
        <v>2064.84</v>
      </c>
      <c r="AE51" s="233">
        <f>AE26+AE49</f>
        <v>-4414.7746469999993</v>
      </c>
      <c r="AF51" s="76"/>
      <c r="AG51" s="234"/>
      <c r="AH51" s="235"/>
      <c r="AI51" s="235"/>
      <c r="AJ51" s="235"/>
      <c r="AK51" s="235">
        <f>AA52/P51</f>
        <v>1060.5641176470588</v>
      </c>
      <c r="AL51" s="235"/>
      <c r="AM51" s="235"/>
      <c r="AN51" s="236"/>
      <c r="AP51" s="233">
        <f>SUM(AP3:AP47)</f>
        <v>-1577315.6052278331</v>
      </c>
    </row>
    <row r="52" spans="1:42" s="78" customFormat="1">
      <c r="B52" s="79"/>
      <c r="C52" s="80"/>
      <c r="K52" s="81"/>
      <c r="L52" s="81"/>
      <c r="M52" s="81"/>
      <c r="O52" s="82"/>
      <c r="P52" s="83"/>
      <c r="Q52" s="83"/>
      <c r="R52" s="84"/>
      <c r="S52" s="83"/>
      <c r="T52" s="84"/>
      <c r="U52" s="84"/>
      <c r="X52" s="85"/>
      <c r="Z52" s="83"/>
      <c r="AA52" s="86">
        <f>AA26+AA49</f>
        <v>18029.59</v>
      </c>
      <c r="AB52" s="87"/>
      <c r="AC52" s="88"/>
    </row>
    <row r="53" spans="1:42" s="78" customFormat="1">
      <c r="B53" s="79"/>
      <c r="C53" s="80"/>
      <c r="I53" s="89"/>
      <c r="J53" s="89"/>
      <c r="K53" s="81"/>
      <c r="L53" s="81"/>
      <c r="M53" s="81"/>
      <c r="P53" s="90"/>
      <c r="Q53" s="81"/>
      <c r="X53" s="90"/>
      <c r="Y53" s="81"/>
      <c r="Z53" s="91"/>
      <c r="AA53" s="285">
        <f>AA27+AA50</f>
        <v>16456.514647</v>
      </c>
      <c r="AB53" s="87"/>
      <c r="AC53" s="15"/>
    </row>
    <row r="54" spans="1:42" s="78" customFormat="1">
      <c r="B54" s="79"/>
      <c r="C54" s="80"/>
      <c r="J54" s="89"/>
      <c r="K54" s="81"/>
      <c r="L54" s="81"/>
      <c r="M54" s="81"/>
      <c r="P54" s="90"/>
      <c r="Q54" s="81"/>
      <c r="X54" s="90"/>
      <c r="Y54" s="81"/>
      <c r="Z54" s="92"/>
      <c r="AA54" s="92"/>
      <c r="AB54" s="87"/>
      <c r="AC54" s="15"/>
    </row>
    <row r="55" spans="1:42" s="78" customFormat="1">
      <c r="B55" s="79"/>
      <c r="C55" s="80"/>
      <c r="K55" s="81"/>
      <c r="L55" s="81"/>
      <c r="M55" s="81"/>
      <c r="P55" s="90"/>
      <c r="Q55" s="81"/>
      <c r="X55" s="90"/>
      <c r="Y55" s="81"/>
      <c r="Z55" s="91"/>
      <c r="AA55" s="91"/>
      <c r="AB55" s="87"/>
      <c r="AC55" s="15"/>
    </row>
    <row r="56" spans="1:42" ht="29">
      <c r="B56" s="93"/>
      <c r="H56" s="95"/>
      <c r="I56" s="96" t="s">
        <v>191</v>
      </c>
      <c r="J56" s="96"/>
      <c r="K56" s="97" t="s">
        <v>221</v>
      </c>
      <c r="L56" s="97" t="s">
        <v>246</v>
      </c>
      <c r="W56" s="100"/>
      <c r="X56" s="100"/>
      <c r="Z56" s="101"/>
      <c r="AA56" s="101"/>
      <c r="AM56" s="98"/>
    </row>
    <row r="57" spans="1:42" ht="15.5">
      <c r="B57" s="93"/>
      <c r="H57" s="95"/>
      <c r="I57" s="96"/>
      <c r="J57" s="96"/>
      <c r="K57" s="97"/>
      <c r="L57" s="97"/>
      <c r="Y57" s="100"/>
    </row>
    <row r="58" spans="1:42" ht="15.5">
      <c r="B58" s="93"/>
      <c r="H58" s="102" t="s">
        <v>247</v>
      </c>
      <c r="I58" s="103">
        <f>SUMIF(J3:J47,"&lt;60",I3:I47)</f>
        <v>0</v>
      </c>
      <c r="J58" s="104">
        <f>I58/I51</f>
        <v>0</v>
      </c>
      <c r="K58" s="105">
        <f>SUMIF(J3:J47,"&lt;60",AP3:AP47)</f>
        <v>0</v>
      </c>
      <c r="L58" s="106" t="e">
        <f>K58/I58</f>
        <v>#DIV/0!</v>
      </c>
    </row>
    <row r="59" spans="1:42" ht="15.5">
      <c r="B59" s="93"/>
      <c r="H59" s="107" t="s">
        <v>248</v>
      </c>
      <c r="I59" s="108">
        <f>I51-I60-I58</f>
        <v>708211.58999999985</v>
      </c>
      <c r="J59" s="109">
        <f>I59/I51</f>
        <v>1</v>
      </c>
      <c r="K59" s="105">
        <f>AP51-K58-K60</f>
        <v>-1577315.6052278331</v>
      </c>
      <c r="L59" s="106">
        <f>K59/I59</f>
        <v>-2.227181293697599</v>
      </c>
    </row>
    <row r="60" spans="1:42" ht="15.5">
      <c r="B60" s="93"/>
      <c r="C60" s="110"/>
      <c r="D60" s="111"/>
      <c r="E60" s="111"/>
      <c r="F60" s="111"/>
      <c r="G60" s="111"/>
      <c r="H60" s="112" t="s">
        <v>249</v>
      </c>
      <c r="I60" s="113">
        <f>SUMIF(J3:J47,"&gt;120",I3:I47)</f>
        <v>0</v>
      </c>
      <c r="J60" s="114">
        <f>I60/I51</f>
        <v>0</v>
      </c>
      <c r="K60" s="105">
        <f>SUMIF(J3:J47,"&gt;120",AP3:AP47)</f>
        <v>0</v>
      </c>
      <c r="L60" s="106" t="e">
        <f>K60/I60</f>
        <v>#DIV/0!</v>
      </c>
    </row>
    <row r="61" spans="1:42" ht="15.5">
      <c r="B61" s="93"/>
      <c r="C61" s="110"/>
      <c r="D61" s="111"/>
      <c r="E61" s="111"/>
      <c r="F61" s="111"/>
      <c r="G61" s="111"/>
    </row>
    <row r="62" spans="1:42" ht="15.5">
      <c r="B62" s="93"/>
      <c r="H62" s="61" t="s">
        <v>250</v>
      </c>
    </row>
    <row r="63" spans="1:42" ht="15.5">
      <c r="B63" s="93"/>
    </row>
    <row r="64" spans="1:42" ht="15.5">
      <c r="B64" s="93"/>
    </row>
  </sheetData>
  <conditionalFormatting sqref="J50:L50 J3:J49">
    <cfRule type="cellIs" dxfId="142" priority="23" operator="greaterThan">
      <formula>120</formula>
    </cfRule>
  </conditionalFormatting>
  <conditionalFormatting sqref="N50">
    <cfRule type="cellIs" dxfId="141" priority="22" operator="between">
      <formula>0.000001</formula>
      <formula>25</formula>
    </cfRule>
  </conditionalFormatting>
  <conditionalFormatting sqref="V1 V52:V55 V57:V1048576">
    <cfRule type="cellIs" dxfId="140" priority="24" operator="greaterThan">
      <formula>0.23</formula>
    </cfRule>
  </conditionalFormatting>
  <conditionalFormatting sqref="AM5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{1D555C4E-EA1C-4518-840E-0C1014D5090E}</x14:id>
        </ext>
      </extLst>
    </cfRule>
  </conditionalFormatting>
  <conditionalFormatting sqref="AP27:AP47 AP50 AP3:AP2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{A96BC205-7428-4331-891A-4D42BA022A18}</x14:id>
        </ext>
      </extLst>
    </cfRule>
  </conditionalFormatting>
  <conditionalFormatting sqref="AE27:AE48 AE50 AE3:AE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{195A2A24-193C-41C5-8483-8D51007B154E}</x14:id>
        </ext>
      </extLst>
    </cfRule>
  </conditionalFormatting>
  <conditionalFormatting sqref="AL27:AL47 AL50 AL3:AL2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{C563F130-7A47-4549-96BF-EC937EA14325}</x14:id>
        </ext>
      </extLst>
    </cfRule>
  </conditionalFormatting>
  <conditionalFormatting sqref="AM27:AN47 AM50:AN50 AM3:AN2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{9EEE7471-A459-44B1-92E7-8E03AD0ADB12}</x14:id>
        </ext>
      </extLst>
    </cfRule>
  </conditionalFormatting>
  <conditionalFormatting sqref="AP27:AP47 AP3:AP2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{AE79FA40-CB2B-4CE5-8CF8-D8E2F7F8044F}</x14:id>
        </ext>
      </extLst>
    </cfRule>
  </conditionalFormatting>
  <conditionalFormatting sqref="AE27:AE48 AE3:AE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{847B2A1D-0B24-4E67-8585-DB65BFD9A26E}</x14:id>
        </ext>
      </extLst>
    </cfRule>
  </conditionalFormatting>
  <conditionalFormatting sqref="U27:V27 U48:V48 U25:V2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{DC9CBE88-0C61-4F3D-9B43-2D2B71C1A3C9}</x14:id>
        </ext>
      </extLst>
    </cfRule>
  </conditionalFormatting>
  <conditionalFormatting sqref="V27 V48 V2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{EE5429B7-6918-4753-8956-4A3A12FCC8F8}</x14:id>
        </ext>
      </extLst>
    </cfRule>
  </conditionalFormatting>
  <conditionalFormatting sqref="AP2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{2AE139BF-62ED-402C-8834-FF8B4A83C80F}</x14:id>
        </ext>
      </extLst>
    </cfRule>
  </conditionalFormatting>
  <conditionalFormatting sqref="AP2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{83E45FF1-ADEB-45A3-AAA3-8F7B6C72CFD1}</x14:id>
        </ext>
      </extLst>
    </cfRule>
  </conditionalFormatting>
  <conditionalFormatting sqref="P50">
    <cfRule type="cellIs" dxfId="139" priority="18" operator="greaterThan">
      <formula>120</formula>
    </cfRule>
  </conditionalFormatting>
  <conditionalFormatting sqref="Q50">
    <cfRule type="cellIs" dxfId="138" priority="17" operator="greaterThan">
      <formula>120</formula>
    </cfRule>
  </conditionalFormatting>
  <conditionalFormatting sqref="R50">
    <cfRule type="cellIs" dxfId="137" priority="16" operator="greaterThan">
      <formula>120</formula>
    </cfRule>
  </conditionalFormatting>
  <conditionalFormatting sqref="S50">
    <cfRule type="cellIs" dxfId="136" priority="15" operator="greaterThan">
      <formula>120</formula>
    </cfRule>
  </conditionalFormatting>
  <conditionalFormatting sqref="T50">
    <cfRule type="cellIs" dxfId="135" priority="14" operator="greaterThan">
      <formula>120</formula>
    </cfRule>
  </conditionalFormatting>
  <conditionalFormatting sqref="U50">
    <cfRule type="cellIs" dxfId="134" priority="13" operator="greaterThan">
      <formula>120</formula>
    </cfRule>
  </conditionalFormatting>
  <conditionalFormatting sqref="V50">
    <cfRule type="cellIs" dxfId="133" priority="12" operator="greaterThan">
      <formula>120</formula>
    </cfRule>
  </conditionalFormatting>
  <conditionalFormatting sqref="W50">
    <cfRule type="cellIs" dxfId="132" priority="11" operator="greaterThan">
      <formula>120</formula>
    </cfRule>
  </conditionalFormatting>
  <conditionalFormatting sqref="X50">
    <cfRule type="cellIs" dxfId="131" priority="10" operator="greaterThan">
      <formula>120</formula>
    </cfRule>
  </conditionalFormatting>
  <conditionalFormatting sqref="Z50">
    <cfRule type="cellIs" dxfId="130" priority="9" operator="greaterThan">
      <formula>120</formula>
    </cfRule>
  </conditionalFormatting>
  <conditionalFormatting sqref="AP4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{E7518812-3120-4120-BEA8-B02A1370F9FD}</x14:id>
        </ext>
      </extLst>
    </cfRule>
  </conditionalFormatting>
  <conditionalFormatting sqref="AP4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{2096003A-C31D-4C68-8BB4-FC0DA39E28FD}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{D268929B-134C-48C2-B8B5-92ECB41E59EA}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{74C197E6-4A21-48C0-B7C5-2EA249B5C3AB}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{5ED7453E-1F9C-4A76-BA4E-F19272508373}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{498BA382-7535-4CCF-A6B4-541725B13727}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555C4E-EA1C-4518-840E-0C1014D509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A96BC205-7428-4331-891A-4D42BA022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AP27:AP47 AP50 AP3:AP24</xm:sqref>
        </x14:conditionalFormatting>
        <x14:conditionalFormatting xmlns:xm="http://schemas.microsoft.com/office/excel/2006/main">
          <x14:cfRule type="dataBar" id="{195A2A24-193C-41C5-8483-8D51007B1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AE27:AE48 AE50 AE3:AE25</xm:sqref>
        </x14:conditionalFormatting>
        <x14:conditionalFormatting xmlns:xm="http://schemas.microsoft.com/office/excel/2006/main">
          <x14:cfRule type="dataBar" id="{C563F130-7A47-4549-96BF-EC937EA14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AL27:AL47 AL50 AL3:AL24</xm:sqref>
        </x14:conditionalFormatting>
        <x14:conditionalFormatting xmlns:xm="http://schemas.microsoft.com/office/excel/2006/main">
          <x14:cfRule type="dataBar" id="{9EEE7471-A459-44B1-92E7-8E03AD0ADB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AM27:AN47 AM50:AN50 AM3:AN24</xm:sqref>
        </x14:conditionalFormatting>
        <x14:conditionalFormatting xmlns:xm="http://schemas.microsoft.com/office/excel/2006/main">
          <x14:cfRule type="dataBar" id="{AE79FA40-CB2B-4CE5-8CF8-D8E2F7F804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AP27:AP47 AP3:AP24</xm:sqref>
        </x14:conditionalFormatting>
        <x14:conditionalFormatting xmlns:xm="http://schemas.microsoft.com/office/excel/2006/main">
          <x14:cfRule type="dataBar" id="{847B2A1D-0B24-4E67-8585-DB65BFD9A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AE27:AE48 AE3:AE25</xm:sqref>
        </x14:conditionalFormatting>
        <x14:conditionalFormatting xmlns:xm="http://schemas.microsoft.com/office/excel/2006/main">
          <x14:cfRule type="dataBar" id="{DC9CBE88-0C61-4F3D-9B43-2D2B71C1A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E5429B7-6918-4753-8956-4A3A12FCC8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AE139BF-62ED-402C-8834-FF8B4A83C8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3E45FF1-ADEB-45A3-AAA3-8F7B6C72CF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7518812-3120-4120-BEA8-B02A1370F9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2096003A-C31D-4C68-8BB4-FC0DA39E28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268929B-134C-48C2-B8B5-92ECB41E59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4C197E6-4A21-48C0-B7C5-2EA249B5C3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ED7453E-1F9C-4A76-BA4E-F192725083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498BA382-7535-4CCF-A6B4-541725B137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A705-4144-48F9-BE8A-FF85D86E8D03}">
  <dimension ref="A1:AZ62"/>
  <sheetViews>
    <sheetView zoomScale="70" zoomScaleNormal="70" workbookViewId="0">
      <pane xSplit="2" ySplit="2" topLeftCell="K36" activePane="bottomRight" state="frozen"/>
      <selection pane="topRight" activeCell="C1" sqref="C1"/>
      <selection pane="bottomLeft" activeCell="A3" sqref="A3"/>
      <selection pane="bottomRight" activeCell="S19" sqref="S19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951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950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f>'Юнит 01-02.11'!C3</f>
        <v>329</v>
      </c>
      <c r="D3" s="42"/>
      <c r="E3" s="42"/>
      <c r="F3" s="42"/>
      <c r="G3" s="43"/>
      <c r="H3" s="44">
        <v>142.97999999999999</v>
      </c>
      <c r="I3" s="42">
        <f t="shared" ref="I3:I22" si="0">C3*H3</f>
        <v>47040.42</v>
      </c>
      <c r="J3" s="45"/>
      <c r="K3" s="41">
        <f>'Юнит 27-31.10'!K3+'Юнит 01-02.11'!K3</f>
        <v>1</v>
      </c>
      <c r="L3" s="45"/>
      <c r="M3" s="45"/>
      <c r="N3" s="46">
        <f t="shared" ref="N3:N22" si="1">K3/7</f>
        <v>0.14285714285714285</v>
      </c>
      <c r="O3" s="47">
        <f t="shared" ref="O3:O22" si="2">R3/7</f>
        <v>0.8571428571428571</v>
      </c>
      <c r="P3" s="41">
        <f>'Юнит 27-31.10'!P3+'Юнит 01-02.11'!P3</f>
        <v>6</v>
      </c>
      <c r="Q3" s="41">
        <f>'Юнит 27-31.10'!Q3+'Юнит 01-02.11'!Q3</f>
        <v>0</v>
      </c>
      <c r="R3" s="49">
        <f t="shared" ref="R3" si="3">P3+Q3</f>
        <v>6</v>
      </c>
      <c r="S3" s="41">
        <f>'Юнит 27-31.10'!S3+'Юнит 01-02.11'!S3</f>
        <v>6702.0000000000009</v>
      </c>
      <c r="T3" s="41">
        <f>'Юнит 27-31.10'!T3+'Юнит 01-02.11'!T3</f>
        <v>0</v>
      </c>
      <c r="U3" s="49">
        <f t="shared" ref="U3" si="4">S3+T3</f>
        <v>6702.0000000000009</v>
      </c>
      <c r="V3" s="52">
        <f t="shared" ref="V3" si="5">U3/$U$49</f>
        <v>0.10473511486169715</v>
      </c>
      <c r="W3" s="53">
        <f t="shared" ref="W3" si="6">R3*H3</f>
        <v>857.87999999999988</v>
      </c>
      <c r="X3" s="41">
        <f>'Юнит 27-31.10'!X3+'Юнит 01-02.11'!X3</f>
        <v>2278.6799999999998</v>
      </c>
      <c r="Y3" s="54">
        <f t="shared" ref="Y3" si="7">IF(U3=0,0,X3/U3)</f>
        <v>0.33999999999999991</v>
      </c>
      <c r="Z3" s="41">
        <f>'Юнит 27-31.10'!Z3+'Юнит 01-02.11'!Z3</f>
        <v>460</v>
      </c>
      <c r="AA3" s="41">
        <f>'Юнит 27-31.10'!AA3+'Юнит 01-02.11'!AA3</f>
        <v>1950.8916649999999</v>
      </c>
      <c r="AB3" s="51"/>
      <c r="AC3" s="51"/>
      <c r="AD3" s="55">
        <f t="shared" ref="AD3:AD22" si="8">U3*6%</f>
        <v>402.12000000000006</v>
      </c>
      <c r="AE3" s="56">
        <f t="shared" ref="AE3:AE22" si="9">U3-W3-X3-Z3-AA3-AB3-AC3-AD3</f>
        <v>752.42833500000097</v>
      </c>
      <c r="AF3" s="55"/>
      <c r="AG3" s="57">
        <f t="shared" ref="AG3:AG22" si="10">IF(R3=0,0,U3/R3)</f>
        <v>1117.0000000000002</v>
      </c>
      <c r="AH3" s="58">
        <f t="shared" ref="AH3:AH22" si="11">H3</f>
        <v>142.97999999999999</v>
      </c>
      <c r="AI3" s="58">
        <f t="shared" ref="AI3:AI22" si="12">IF(R3=0,0,X3/R3)</f>
        <v>379.78</v>
      </c>
      <c r="AJ3" s="58">
        <f t="shared" ref="AJ3:AJ22" si="13">IF(P3=0,Z3/1,Z3/P3)</f>
        <v>76.666666666666671</v>
      </c>
      <c r="AK3" s="58">
        <f t="shared" ref="AK3:AK22" si="14">IF(P3=0,0,AA3/P3)</f>
        <v>325.14861083333329</v>
      </c>
      <c r="AL3" s="58">
        <f>_xlfn.IFS(R3=0,AE3,R3&lt;0,AE3/-R3,R3&gt;0,AE3/R3)</f>
        <v>125.40472250000016</v>
      </c>
      <c r="AM3" s="59">
        <f t="shared" ref="AM3:AM22" si="15">IF(AG3=0,0,AL3/AG3)</f>
        <v>0.11226922336615948</v>
      </c>
      <c r="AN3" s="60">
        <f t="shared" ref="AN3:AN22" si="16">IF(AH3=0,0,AL3/AH3)</f>
        <v>0.87707876975800936</v>
      </c>
      <c r="AP3" s="62">
        <f t="shared" ref="AP3:AP22" si="17">AL3*C3</f>
        <v>41258.153702500051</v>
      </c>
    </row>
    <row r="4" spans="1:42">
      <c r="A4" s="39">
        <v>2638638550</v>
      </c>
      <c r="B4" s="40" t="s">
        <v>92</v>
      </c>
      <c r="C4" s="41">
        <f>'Юнит 01-02.11'!C4</f>
        <v>388</v>
      </c>
      <c r="D4" s="42"/>
      <c r="E4" s="42"/>
      <c r="F4" s="42"/>
      <c r="G4" s="43"/>
      <c r="H4" s="44">
        <v>123.09</v>
      </c>
      <c r="I4" s="42">
        <f t="shared" si="0"/>
        <v>47758.92</v>
      </c>
      <c r="J4" s="45"/>
      <c r="K4" s="41">
        <f>'Юнит 27-31.10'!K4+'Юнит 01-02.11'!K4</f>
        <v>1</v>
      </c>
      <c r="L4" s="45"/>
      <c r="M4" s="45"/>
      <c r="N4" s="46">
        <f t="shared" si="1"/>
        <v>0.14285714285714285</v>
      </c>
      <c r="O4" s="47">
        <f t="shared" si="2"/>
        <v>0</v>
      </c>
      <c r="P4" s="41">
        <f>'Юнит 27-31.10'!P4+'Юнит 01-02.11'!P4</f>
        <v>0</v>
      </c>
      <c r="Q4" s="41">
        <f>'Юнит 27-31.10'!Q4+'Юнит 01-02.11'!Q4</f>
        <v>0</v>
      </c>
      <c r="R4" s="49">
        <f t="shared" ref="R4:R22" si="18">P4+Q4</f>
        <v>0</v>
      </c>
      <c r="S4" s="41">
        <f>'Юнит 27-31.10'!S4+'Юнит 01-02.11'!S4</f>
        <v>0</v>
      </c>
      <c r="T4" s="41">
        <f>'Юнит 27-31.10'!T4+'Юнит 01-02.11'!T4</f>
        <v>0</v>
      </c>
      <c r="U4" s="49">
        <f t="shared" ref="U4:U22" si="19">S4+T4</f>
        <v>0</v>
      </c>
      <c r="V4" s="52">
        <f t="shared" ref="V4:V22" si="20">U4/$U$49</f>
        <v>0</v>
      </c>
      <c r="W4" s="53">
        <f t="shared" ref="W4:W22" si="21">R4*H4</f>
        <v>0</v>
      </c>
      <c r="X4" s="41">
        <f>'Юнит 27-31.10'!X4+'Юнит 01-02.11'!X4</f>
        <v>0</v>
      </c>
      <c r="Y4" s="54">
        <f t="shared" ref="Y4:Y22" si="22">IF(U4=0,0,X4/U4)</f>
        <v>0</v>
      </c>
      <c r="Z4" s="41">
        <f>'Юнит 27-31.10'!Z4+'Юнит 01-02.11'!Z4</f>
        <v>92</v>
      </c>
      <c r="AA4" s="41">
        <f>'Юнит 27-31.10'!AA4+'Юнит 01-02.11'!AA4</f>
        <v>0</v>
      </c>
      <c r="AB4" s="51"/>
      <c r="AC4" s="51"/>
      <c r="AD4" s="55">
        <f t="shared" si="8"/>
        <v>0</v>
      </c>
      <c r="AE4" s="56">
        <f t="shared" si="9"/>
        <v>-92</v>
      </c>
      <c r="AF4" s="55"/>
      <c r="AG4" s="57">
        <f t="shared" si="10"/>
        <v>0</v>
      </c>
      <c r="AH4" s="58">
        <f t="shared" si="11"/>
        <v>123.09</v>
      </c>
      <c r="AI4" s="58">
        <f t="shared" si="12"/>
        <v>0</v>
      </c>
      <c r="AJ4" s="58">
        <f t="shared" si="13"/>
        <v>92</v>
      </c>
      <c r="AK4" s="58">
        <f t="shared" si="14"/>
        <v>0</v>
      </c>
      <c r="AL4" s="58">
        <f t="array" ref="AL4">_xlfn.IFS(R4=0,AE4,R4&lt;0,AE4/-R4,R4&gt;0,AE4/R4)</f>
        <v>-92</v>
      </c>
      <c r="AM4" s="59">
        <f t="shared" si="15"/>
        <v>0</v>
      </c>
      <c r="AN4" s="60">
        <f t="shared" si="16"/>
        <v>-0.74742058656267774</v>
      </c>
      <c r="AP4" s="62">
        <f t="shared" si="17"/>
        <v>-35696</v>
      </c>
    </row>
    <row r="5" spans="1:42">
      <c r="A5" s="39">
        <v>2638691131</v>
      </c>
      <c r="B5" s="40" t="s">
        <v>222</v>
      </c>
      <c r="C5" s="41">
        <f>'Юнит 01-02.11'!C5</f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1">
        <f>'Юнит 27-31.10'!K5+'Юнит 01-02.11'!K5</f>
        <v>1</v>
      </c>
      <c r="L5" s="45"/>
      <c r="M5" s="45"/>
      <c r="N5" s="46">
        <f t="shared" si="1"/>
        <v>0.14285714285714285</v>
      </c>
      <c r="O5" s="47">
        <f t="shared" si="2"/>
        <v>0.14285714285714285</v>
      </c>
      <c r="P5" s="41">
        <f>'Юнит 27-31.10'!P5+'Юнит 01-02.11'!P5</f>
        <v>1</v>
      </c>
      <c r="Q5" s="41">
        <f>'Юнит 27-31.10'!Q5+'Юнит 01-02.11'!Q5</f>
        <v>0</v>
      </c>
      <c r="R5" s="49">
        <f t="shared" si="18"/>
        <v>1</v>
      </c>
      <c r="S5" s="41">
        <f>'Юнит 27-31.10'!S5+'Юнит 01-02.11'!S5</f>
        <v>914</v>
      </c>
      <c r="T5" s="41">
        <f>'Юнит 27-31.10'!T5+'Юнит 01-02.11'!T5</f>
        <v>0</v>
      </c>
      <c r="U5" s="49">
        <f t="shared" si="19"/>
        <v>914</v>
      </c>
      <c r="V5" s="52">
        <f t="shared" si="20"/>
        <v>1.4283481794030318E-2</v>
      </c>
      <c r="W5" s="53">
        <f t="shared" si="21"/>
        <v>123.09</v>
      </c>
      <c r="X5" s="41">
        <f>'Юнит 27-31.10'!X5+'Юнит 01-02.11'!X5</f>
        <v>347.32</v>
      </c>
      <c r="Y5" s="54">
        <f t="shared" si="22"/>
        <v>0.38</v>
      </c>
      <c r="Z5" s="41">
        <f>'Юнит 27-31.10'!Z5+'Юнит 01-02.11'!Z5</f>
        <v>46</v>
      </c>
      <c r="AA5" s="41">
        <f>'Юнит 27-31.10'!AA5+'Юнит 01-02.11'!AA5</f>
        <v>0</v>
      </c>
      <c r="AB5" s="64"/>
      <c r="AC5" s="51"/>
      <c r="AD5" s="55">
        <f t="shared" si="8"/>
        <v>54.839999999999996</v>
      </c>
      <c r="AE5" s="56">
        <f t="shared" si="9"/>
        <v>342.75</v>
      </c>
      <c r="AF5" s="55"/>
      <c r="AG5" s="57">
        <f t="shared" si="10"/>
        <v>914</v>
      </c>
      <c r="AH5" s="58">
        <f t="shared" si="11"/>
        <v>123.09</v>
      </c>
      <c r="AI5" s="58">
        <f t="shared" si="12"/>
        <v>347.32</v>
      </c>
      <c r="AJ5" s="58">
        <f t="shared" si="13"/>
        <v>46</v>
      </c>
      <c r="AK5" s="58">
        <f t="shared" si="14"/>
        <v>0</v>
      </c>
      <c r="AL5" s="58">
        <f t="array" ref="AL5">_xlfn.IFS(R5=0,AE5,R5&lt;0,AE5/-R5,R5&gt;0,AE5/R5)</f>
        <v>342.75</v>
      </c>
      <c r="AM5" s="59">
        <f t="shared" si="15"/>
        <v>0.375</v>
      </c>
      <c r="AN5" s="60">
        <f t="shared" si="16"/>
        <v>2.7845478917864974</v>
      </c>
      <c r="AP5" s="62">
        <f t="shared" si="17"/>
        <v>134015.25</v>
      </c>
    </row>
    <row r="6" spans="1:42">
      <c r="A6" s="39">
        <v>2638382749</v>
      </c>
      <c r="B6" s="40" t="s">
        <v>223</v>
      </c>
      <c r="C6" s="41">
        <f>'Юнит 01-02.11'!C6</f>
        <v>899</v>
      </c>
      <c r="D6" s="42"/>
      <c r="E6" s="42"/>
      <c r="F6" s="42"/>
      <c r="G6" s="43"/>
      <c r="H6" s="44">
        <v>123.09</v>
      </c>
      <c r="I6" s="63">
        <f t="shared" si="0"/>
        <v>110657.91</v>
      </c>
      <c r="J6" s="45"/>
      <c r="K6" s="41">
        <f>'Юнит 27-31.10'!K6+'Юнит 01-02.11'!K6</f>
        <v>5</v>
      </c>
      <c r="L6" s="45"/>
      <c r="M6" s="45"/>
      <c r="N6" s="46">
        <f t="shared" si="1"/>
        <v>0.7142857142857143</v>
      </c>
      <c r="O6" s="47">
        <f t="shared" si="2"/>
        <v>0</v>
      </c>
      <c r="P6" s="41">
        <f>'Юнит 27-31.10'!P6+'Юнит 01-02.11'!P6</f>
        <v>0</v>
      </c>
      <c r="Q6" s="41">
        <f>'Юнит 27-31.10'!Q6+'Юнит 01-02.11'!Q6</f>
        <v>0</v>
      </c>
      <c r="R6" s="49">
        <f t="shared" si="18"/>
        <v>0</v>
      </c>
      <c r="S6" s="41">
        <f>'Юнит 27-31.10'!S6+'Юнит 01-02.11'!S6</f>
        <v>0</v>
      </c>
      <c r="T6" s="41">
        <f>'Юнит 27-31.10'!T6+'Юнит 01-02.11'!T6</f>
        <v>0</v>
      </c>
      <c r="U6" s="49">
        <f t="shared" si="19"/>
        <v>0</v>
      </c>
      <c r="V6" s="52">
        <f t="shared" si="20"/>
        <v>0</v>
      </c>
      <c r="W6" s="53">
        <f t="shared" si="21"/>
        <v>0</v>
      </c>
      <c r="X6" s="41">
        <f>'Юнит 27-31.10'!X6+'Юнит 01-02.11'!X6</f>
        <v>0</v>
      </c>
      <c r="Y6" s="54">
        <f t="shared" si="22"/>
        <v>0</v>
      </c>
      <c r="Z6" s="41">
        <f>'Юнит 27-31.10'!Z6+'Юнит 01-02.11'!Z6</f>
        <v>0</v>
      </c>
      <c r="AA6" s="41">
        <f>'Юнит 27-31.10'!AA6+'Юнит 01-02.11'!AA6</f>
        <v>2021.798959</v>
      </c>
      <c r="AB6" s="64"/>
      <c r="AC6" s="51"/>
      <c r="AD6" s="55">
        <f t="shared" si="8"/>
        <v>0</v>
      </c>
      <c r="AE6" s="56">
        <f t="shared" si="9"/>
        <v>-2021.798959</v>
      </c>
      <c r="AF6" s="55"/>
      <c r="AG6" s="57">
        <f t="shared" si="10"/>
        <v>0</v>
      </c>
      <c r="AH6" s="58">
        <f t="shared" si="11"/>
        <v>123.09</v>
      </c>
      <c r="AI6" s="58">
        <f t="shared" si="12"/>
        <v>0</v>
      </c>
      <c r="AJ6" s="58">
        <f t="shared" si="13"/>
        <v>0</v>
      </c>
      <c r="AK6" s="58">
        <f t="shared" si="14"/>
        <v>0</v>
      </c>
      <c r="AL6" s="58">
        <f t="array" ref="AL6">_xlfn.IFS(R6=0,AE6,R6&lt;0,AE6/-R6,R6&gt;0,AE6/R6)</f>
        <v>-2021.798959</v>
      </c>
      <c r="AM6" s="59">
        <f t="shared" si="15"/>
        <v>0</v>
      </c>
      <c r="AN6" s="60">
        <f t="shared" si="16"/>
        <v>-16.42537134616947</v>
      </c>
      <c r="AP6" s="62">
        <f t="shared" si="17"/>
        <v>-1817597.2641409999</v>
      </c>
    </row>
    <row r="7" spans="1:42">
      <c r="A7" s="39">
        <v>2638569317</v>
      </c>
      <c r="B7" s="40" t="s">
        <v>54</v>
      </c>
      <c r="C7" s="41">
        <f>'Юнит 01-02.11'!C7</f>
        <v>855</v>
      </c>
      <c r="D7" s="42"/>
      <c r="E7" s="42"/>
      <c r="F7" s="42"/>
      <c r="G7" s="43"/>
      <c r="H7" s="44">
        <v>117.24</v>
      </c>
      <c r="I7" s="63">
        <f t="shared" si="0"/>
        <v>100240.2</v>
      </c>
      <c r="J7" s="45"/>
      <c r="K7" s="41">
        <f>'Юнит 27-31.10'!K7+'Юнит 01-02.11'!K7</f>
        <v>0</v>
      </c>
      <c r="L7" s="45"/>
      <c r="M7" s="45"/>
      <c r="N7" s="46">
        <f t="shared" si="1"/>
        <v>0</v>
      </c>
      <c r="O7" s="47">
        <f t="shared" si="2"/>
        <v>0.14285714285714285</v>
      </c>
      <c r="P7" s="41">
        <f>'Юнит 27-31.10'!P7+'Юнит 01-02.11'!P7</f>
        <v>1</v>
      </c>
      <c r="Q7" s="41">
        <f>'Юнит 27-31.10'!Q7+'Юнит 01-02.11'!Q7</f>
        <v>0</v>
      </c>
      <c r="R7" s="49">
        <f t="shared" si="18"/>
        <v>1</v>
      </c>
      <c r="S7" s="41">
        <f>'Юнит 27-31.10'!S7+'Юнит 01-02.11'!S7</f>
        <v>1330</v>
      </c>
      <c r="T7" s="41">
        <f>'Юнит 27-31.10'!T7+'Юнит 01-02.11'!T7</f>
        <v>0</v>
      </c>
      <c r="U7" s="49">
        <f t="shared" si="19"/>
        <v>1330</v>
      </c>
      <c r="V7" s="52">
        <f t="shared" si="20"/>
        <v>2.0784497577746523E-2</v>
      </c>
      <c r="W7" s="53">
        <f t="shared" si="21"/>
        <v>117.24</v>
      </c>
      <c r="X7" s="41">
        <f>'Юнит 27-31.10'!X7+'Юнит 01-02.11'!X7</f>
        <v>452.2</v>
      </c>
      <c r="Y7" s="54">
        <f t="shared" si="22"/>
        <v>0.33999999999999997</v>
      </c>
      <c r="Z7" s="41">
        <f>'Юнит 27-31.10'!Z7+'Юнит 01-02.11'!Z7</f>
        <v>138</v>
      </c>
      <c r="AA7" s="41">
        <f>'Юнит 27-31.10'!AA7+'Юнит 01-02.11'!AA7</f>
        <v>210.22</v>
      </c>
      <c r="AB7" s="64"/>
      <c r="AC7" s="51"/>
      <c r="AD7" s="55">
        <f t="shared" si="8"/>
        <v>79.8</v>
      </c>
      <c r="AE7" s="56">
        <f t="shared" si="9"/>
        <v>332.53999999999991</v>
      </c>
      <c r="AF7" s="55"/>
      <c r="AG7" s="57">
        <f t="shared" si="10"/>
        <v>1330</v>
      </c>
      <c r="AH7" s="58">
        <f t="shared" si="11"/>
        <v>117.24</v>
      </c>
      <c r="AI7" s="58">
        <f t="shared" si="12"/>
        <v>452.2</v>
      </c>
      <c r="AJ7" s="58">
        <f t="shared" si="13"/>
        <v>138</v>
      </c>
      <c r="AK7" s="58">
        <f t="shared" si="14"/>
        <v>210.22</v>
      </c>
      <c r="AL7" s="58">
        <f t="array" ref="AL7">_xlfn.IFS(R7=0,AE7,R7&lt;0,AE7/-R7,R7&gt;0,AE7/R7)</f>
        <v>332.53999999999991</v>
      </c>
      <c r="AM7" s="59">
        <f t="shared" si="15"/>
        <v>0.25003007518796988</v>
      </c>
      <c r="AN7" s="60">
        <f t="shared" si="16"/>
        <v>2.8364039576936193</v>
      </c>
      <c r="AP7" s="62">
        <f t="shared" si="17"/>
        <v>284321.6999999999</v>
      </c>
    </row>
    <row r="8" spans="1:42">
      <c r="A8" s="39">
        <v>2638291563</v>
      </c>
      <c r="B8" s="40" t="s">
        <v>88</v>
      </c>
      <c r="C8" s="41">
        <f>'Юнит 01-02.11'!C8</f>
        <v>396</v>
      </c>
      <c r="D8" s="42"/>
      <c r="E8" s="42"/>
      <c r="F8" s="42"/>
      <c r="G8" s="43"/>
      <c r="H8" s="44">
        <v>169.89</v>
      </c>
      <c r="I8" s="63">
        <f t="shared" si="0"/>
        <v>67276.439999999988</v>
      </c>
      <c r="J8" s="45"/>
      <c r="K8" s="41">
        <f>'Юнит 27-31.10'!K8+'Юнит 01-02.11'!K8</f>
        <v>1</v>
      </c>
      <c r="L8" s="45"/>
      <c r="M8" s="45"/>
      <c r="N8" s="46">
        <f t="shared" si="1"/>
        <v>0.14285714285714285</v>
      </c>
      <c r="O8" s="47">
        <f t="shared" si="2"/>
        <v>0.14285714285714285</v>
      </c>
      <c r="P8" s="41">
        <f>'Юнит 27-31.10'!P8+'Юнит 01-02.11'!P8</f>
        <v>1</v>
      </c>
      <c r="Q8" s="41">
        <f>'Юнит 27-31.10'!Q8+'Юнит 01-02.11'!Q8</f>
        <v>0</v>
      </c>
      <c r="R8" s="49">
        <f t="shared" si="18"/>
        <v>1</v>
      </c>
      <c r="S8" s="41">
        <f>'Юнит 27-31.10'!S8+'Юнит 01-02.11'!S8</f>
        <v>1364</v>
      </c>
      <c r="T8" s="41">
        <f>'Юнит 27-31.10'!T8+'Юнит 01-02.11'!T8</f>
        <v>0</v>
      </c>
      <c r="U8" s="49">
        <f t="shared" si="19"/>
        <v>1364</v>
      </c>
      <c r="V8" s="52">
        <f t="shared" si="20"/>
        <v>2.1315830598531021E-2</v>
      </c>
      <c r="W8" s="53">
        <f t="shared" si="21"/>
        <v>169.89</v>
      </c>
      <c r="X8" s="41">
        <f>'Юнит 27-31.10'!X8+'Юнит 01-02.11'!X8</f>
        <v>518.32000000000005</v>
      </c>
      <c r="Y8" s="54">
        <f t="shared" si="22"/>
        <v>0.38000000000000006</v>
      </c>
      <c r="Z8" s="41">
        <f>'Юнит 27-31.10'!Z8+'Юнит 01-02.11'!Z8</f>
        <v>230</v>
      </c>
      <c r="AA8" s="41">
        <f>'Юнит 27-31.10'!AA8+'Юнит 01-02.11'!AA8</f>
        <v>313.72000000000003</v>
      </c>
      <c r="AB8" s="64"/>
      <c r="AC8" s="51"/>
      <c r="AD8" s="55">
        <f t="shared" si="8"/>
        <v>81.84</v>
      </c>
      <c r="AE8" s="56">
        <f t="shared" si="9"/>
        <v>50.230000000000047</v>
      </c>
      <c r="AF8" s="55"/>
      <c r="AG8" s="57">
        <f t="shared" si="10"/>
        <v>1364</v>
      </c>
      <c r="AH8" s="58">
        <f t="shared" si="11"/>
        <v>169.89</v>
      </c>
      <c r="AI8" s="58">
        <f t="shared" si="12"/>
        <v>518.32000000000005</v>
      </c>
      <c r="AJ8" s="58">
        <f t="shared" si="13"/>
        <v>230</v>
      </c>
      <c r="AK8" s="58">
        <f t="shared" si="14"/>
        <v>313.72000000000003</v>
      </c>
      <c r="AL8" s="58">
        <f t="array" ref="AL8">_xlfn.IFS(R8=0,AE8,R8&lt;0,AE8/-R8,R8&gt;0,AE8/R8)</f>
        <v>50.230000000000047</v>
      </c>
      <c r="AM8" s="59">
        <f t="shared" si="15"/>
        <v>3.6825513196480975E-2</v>
      </c>
      <c r="AN8" s="60">
        <f t="shared" si="16"/>
        <v>0.2956618988757434</v>
      </c>
      <c r="AP8" s="62">
        <f t="shared" si="17"/>
        <v>19891.08000000002</v>
      </c>
    </row>
    <row r="9" spans="1:42">
      <c r="A9" s="39">
        <v>2730130733</v>
      </c>
      <c r="B9" s="40" t="s">
        <v>224</v>
      </c>
      <c r="C9" s="41">
        <f>'Юнит 01-02.11'!C9</f>
        <v>48</v>
      </c>
      <c r="D9" s="42"/>
      <c r="E9" s="42"/>
      <c r="F9" s="42"/>
      <c r="G9" s="43"/>
      <c r="H9" s="44">
        <v>169.89</v>
      </c>
      <c r="I9" s="63">
        <f t="shared" si="0"/>
        <v>8154.7199999999993</v>
      </c>
      <c r="J9" s="45"/>
      <c r="K9" s="41">
        <f>'Юнит 27-31.10'!K9+'Юнит 01-02.11'!K9</f>
        <v>0</v>
      </c>
      <c r="L9" s="45"/>
      <c r="M9" s="45"/>
      <c r="N9" s="46">
        <f t="shared" si="1"/>
        <v>0</v>
      </c>
      <c r="O9" s="47">
        <f t="shared" si="2"/>
        <v>0</v>
      </c>
      <c r="P9" s="41">
        <f>'Юнит 27-31.10'!P9+'Юнит 01-02.11'!P9</f>
        <v>0</v>
      </c>
      <c r="Q9" s="41">
        <f>'Юнит 27-31.10'!Q9+'Юнит 01-02.11'!Q9</f>
        <v>0</v>
      </c>
      <c r="R9" s="49">
        <f t="shared" si="18"/>
        <v>0</v>
      </c>
      <c r="S9" s="41">
        <f>'Юнит 27-31.10'!S9+'Юнит 01-02.11'!S9</f>
        <v>0</v>
      </c>
      <c r="T9" s="41">
        <f>'Юнит 27-31.10'!T9+'Юнит 01-02.11'!T9</f>
        <v>0</v>
      </c>
      <c r="U9" s="49">
        <f t="shared" si="19"/>
        <v>0</v>
      </c>
      <c r="V9" s="52">
        <f t="shared" si="20"/>
        <v>0</v>
      </c>
      <c r="W9" s="53">
        <f t="shared" si="21"/>
        <v>0</v>
      </c>
      <c r="X9" s="41">
        <f>'Юнит 27-31.10'!X9+'Юнит 01-02.11'!X9</f>
        <v>0</v>
      </c>
      <c r="Y9" s="54">
        <f t="shared" si="22"/>
        <v>0</v>
      </c>
      <c r="Z9" s="41">
        <f>'Юнит 27-31.10'!Z9+'Юнит 01-02.11'!Z9</f>
        <v>0</v>
      </c>
      <c r="AA9" s="41">
        <f>'Юнит 27-31.10'!AA9+'Юнит 01-02.11'!AA9</f>
        <v>0</v>
      </c>
      <c r="AB9" s="64"/>
      <c r="AC9" s="51"/>
      <c r="AD9" s="55">
        <f t="shared" si="8"/>
        <v>0</v>
      </c>
      <c r="AE9" s="56">
        <f t="shared" si="9"/>
        <v>0</v>
      </c>
      <c r="AF9" s="55"/>
      <c r="AG9" s="57">
        <f t="shared" si="10"/>
        <v>0</v>
      </c>
      <c r="AH9" s="58">
        <f t="shared" si="11"/>
        <v>169.89</v>
      </c>
      <c r="AI9" s="58">
        <f t="shared" si="12"/>
        <v>0</v>
      </c>
      <c r="AJ9" s="58">
        <f t="shared" si="13"/>
        <v>0</v>
      </c>
      <c r="AK9" s="58">
        <f t="shared" si="14"/>
        <v>0</v>
      </c>
      <c r="AL9" s="58">
        <f t="array" ref="AL9">_xlfn.IFS(R9=0,AE9,R9&lt;0,AE9/-R9,R9&gt;0,AE9/R9)</f>
        <v>0</v>
      </c>
      <c r="AM9" s="59">
        <f t="shared" si="15"/>
        <v>0</v>
      </c>
      <c r="AN9" s="60">
        <f t="shared" si="16"/>
        <v>0</v>
      </c>
      <c r="AP9" s="62">
        <f t="shared" si="17"/>
        <v>0</v>
      </c>
    </row>
    <row r="10" spans="1:42">
      <c r="A10" s="39">
        <v>2730131249</v>
      </c>
      <c r="B10" s="40" t="s">
        <v>225</v>
      </c>
      <c r="C10" s="41">
        <f>'Юнит 01-02.11'!C10</f>
        <v>46</v>
      </c>
      <c r="D10" s="42"/>
      <c r="E10" s="42"/>
      <c r="F10" s="42"/>
      <c r="G10" s="43"/>
      <c r="H10" s="44">
        <v>169.89</v>
      </c>
      <c r="I10" s="63">
        <f t="shared" si="0"/>
        <v>7814.94</v>
      </c>
      <c r="J10" s="45"/>
      <c r="K10" s="41">
        <f>'Юнит 27-31.10'!K10+'Юнит 01-02.11'!K10</f>
        <v>0</v>
      </c>
      <c r="L10" s="45"/>
      <c r="M10" s="45"/>
      <c r="N10" s="46">
        <f t="shared" si="1"/>
        <v>0</v>
      </c>
      <c r="O10" s="47">
        <f t="shared" si="2"/>
        <v>0</v>
      </c>
      <c r="P10" s="41">
        <f>'Юнит 27-31.10'!P10+'Юнит 01-02.11'!P10</f>
        <v>0</v>
      </c>
      <c r="Q10" s="41">
        <f>'Юнит 27-31.10'!Q10+'Юнит 01-02.11'!Q10</f>
        <v>0</v>
      </c>
      <c r="R10" s="49">
        <f t="shared" si="18"/>
        <v>0</v>
      </c>
      <c r="S10" s="41">
        <f>'Юнит 27-31.10'!S10+'Юнит 01-02.11'!S10</f>
        <v>0</v>
      </c>
      <c r="T10" s="41">
        <f>'Юнит 27-31.10'!T10+'Юнит 01-02.11'!T10</f>
        <v>0</v>
      </c>
      <c r="U10" s="49">
        <f t="shared" si="19"/>
        <v>0</v>
      </c>
      <c r="V10" s="52">
        <f t="shared" si="20"/>
        <v>0</v>
      </c>
      <c r="W10" s="53">
        <f t="shared" si="21"/>
        <v>0</v>
      </c>
      <c r="X10" s="41">
        <f>'Юнит 27-31.10'!X10+'Юнит 01-02.11'!X10</f>
        <v>0</v>
      </c>
      <c r="Y10" s="54">
        <f t="shared" si="22"/>
        <v>0</v>
      </c>
      <c r="Z10" s="41">
        <f>'Юнит 27-31.10'!Z10+'Юнит 01-02.11'!Z10</f>
        <v>0</v>
      </c>
      <c r="AA10" s="41">
        <f>'Юнит 27-31.10'!AA10+'Юнит 01-02.11'!AA10</f>
        <v>0</v>
      </c>
      <c r="AB10" s="64"/>
      <c r="AC10" s="51"/>
      <c r="AD10" s="55">
        <f t="shared" si="8"/>
        <v>0</v>
      </c>
      <c r="AE10" s="56">
        <f t="shared" si="9"/>
        <v>0</v>
      </c>
      <c r="AF10" s="55"/>
      <c r="AG10" s="57">
        <f t="shared" si="10"/>
        <v>0</v>
      </c>
      <c r="AH10" s="58">
        <f t="shared" si="11"/>
        <v>169.89</v>
      </c>
      <c r="AI10" s="58">
        <f t="shared" si="12"/>
        <v>0</v>
      </c>
      <c r="AJ10" s="58">
        <f t="shared" si="13"/>
        <v>0</v>
      </c>
      <c r="AK10" s="58">
        <f t="shared" si="14"/>
        <v>0</v>
      </c>
      <c r="AL10" s="58">
        <f t="array" ref="AL10">_xlfn.IFS(R10=0,AE10,R10&lt;0,AE10/-R10,R10&gt;0,AE10/R10)</f>
        <v>0</v>
      </c>
      <c r="AM10" s="59">
        <f t="shared" si="15"/>
        <v>0</v>
      </c>
      <c r="AN10" s="60">
        <f t="shared" si="16"/>
        <v>0</v>
      </c>
      <c r="AP10" s="62">
        <f t="shared" si="17"/>
        <v>0</v>
      </c>
    </row>
    <row r="11" spans="1:42">
      <c r="A11" s="39">
        <v>2730130553</v>
      </c>
      <c r="B11" s="40" t="s">
        <v>226</v>
      </c>
      <c r="C11" s="41">
        <f>'Юнит 01-02.11'!C11</f>
        <v>42</v>
      </c>
      <c r="D11" s="42"/>
      <c r="E11" s="42"/>
      <c r="F11" s="42"/>
      <c r="G11" s="43"/>
      <c r="H11" s="44">
        <v>169.89</v>
      </c>
      <c r="I11" s="63">
        <f t="shared" si="0"/>
        <v>7135.3799999999992</v>
      </c>
      <c r="J11" s="45"/>
      <c r="K11" s="41">
        <f>'Юнит 27-31.10'!K11+'Юнит 01-02.11'!K11</f>
        <v>1</v>
      </c>
      <c r="L11" s="45"/>
      <c r="M11" s="45"/>
      <c r="N11" s="46">
        <f t="shared" si="1"/>
        <v>0.14285714285714285</v>
      </c>
      <c r="O11" s="47">
        <f t="shared" si="2"/>
        <v>0</v>
      </c>
      <c r="P11" s="41">
        <f>'Юнит 27-31.10'!P11+'Юнит 01-02.11'!P11</f>
        <v>0</v>
      </c>
      <c r="Q11" s="41">
        <f>'Юнит 27-31.10'!Q11+'Юнит 01-02.11'!Q11</f>
        <v>0</v>
      </c>
      <c r="R11" s="49">
        <f t="shared" si="18"/>
        <v>0</v>
      </c>
      <c r="S11" s="41">
        <f>'Юнит 27-31.10'!S11+'Юнит 01-02.11'!S11</f>
        <v>0</v>
      </c>
      <c r="T11" s="41">
        <f>'Юнит 27-31.10'!T11+'Юнит 01-02.11'!T11</f>
        <v>0</v>
      </c>
      <c r="U11" s="49">
        <f t="shared" si="19"/>
        <v>0</v>
      </c>
      <c r="V11" s="52">
        <f t="shared" si="20"/>
        <v>0</v>
      </c>
      <c r="W11" s="53">
        <f t="shared" si="21"/>
        <v>0</v>
      </c>
      <c r="X11" s="41">
        <f>'Юнит 27-31.10'!X11+'Юнит 01-02.11'!X11</f>
        <v>0</v>
      </c>
      <c r="Y11" s="54">
        <f t="shared" si="22"/>
        <v>0</v>
      </c>
      <c r="Z11" s="41">
        <f>'Юнит 27-31.10'!Z11+'Юнит 01-02.11'!Z11</f>
        <v>0</v>
      </c>
      <c r="AA11" s="41">
        <f>'Юнит 27-31.10'!AA11+'Юнит 01-02.11'!AA11</f>
        <v>0</v>
      </c>
      <c r="AB11" s="64"/>
      <c r="AC11" s="51"/>
      <c r="AD11" s="55">
        <f t="shared" si="8"/>
        <v>0</v>
      </c>
      <c r="AE11" s="56">
        <f t="shared" si="9"/>
        <v>0</v>
      </c>
      <c r="AF11" s="55"/>
      <c r="AG11" s="57">
        <f t="shared" si="10"/>
        <v>0</v>
      </c>
      <c r="AH11" s="58">
        <f t="shared" si="11"/>
        <v>169.89</v>
      </c>
      <c r="AI11" s="58">
        <f t="shared" si="12"/>
        <v>0</v>
      </c>
      <c r="AJ11" s="58">
        <f t="shared" si="13"/>
        <v>0</v>
      </c>
      <c r="AK11" s="58">
        <f t="shared" si="14"/>
        <v>0</v>
      </c>
      <c r="AL11" s="58">
        <f t="array" ref="AL11">_xlfn.IFS(R11=0,AE11,R11&lt;0,AE11/-R11,R11&gt;0,AE11/R11)</f>
        <v>0</v>
      </c>
      <c r="AM11" s="59">
        <f t="shared" si="15"/>
        <v>0</v>
      </c>
      <c r="AN11" s="60">
        <f t="shared" si="16"/>
        <v>0</v>
      </c>
      <c r="AP11" s="62">
        <f t="shared" si="17"/>
        <v>0</v>
      </c>
    </row>
    <row r="12" spans="1:42" ht="13.75" customHeight="1">
      <c r="A12" s="39">
        <v>2730129638</v>
      </c>
      <c r="B12" s="40" t="s">
        <v>227</v>
      </c>
      <c r="C12" s="41">
        <f>'Юнит 01-02.11'!C12</f>
        <v>12</v>
      </c>
      <c r="D12" s="42"/>
      <c r="E12" s="42"/>
      <c r="F12" s="42"/>
      <c r="G12" s="43"/>
      <c r="H12" s="44">
        <v>169.89</v>
      </c>
      <c r="I12" s="63">
        <f t="shared" si="0"/>
        <v>2038.6799999999998</v>
      </c>
      <c r="J12" s="45"/>
      <c r="K12" s="41">
        <f>'Юнит 27-31.10'!K12+'Юнит 01-02.11'!K12</f>
        <v>4</v>
      </c>
      <c r="L12" s="45"/>
      <c r="M12" s="45"/>
      <c r="N12" s="46">
        <f t="shared" si="1"/>
        <v>0.5714285714285714</v>
      </c>
      <c r="O12" s="47">
        <f t="shared" si="2"/>
        <v>0.14285714285714285</v>
      </c>
      <c r="P12" s="41">
        <f>'Юнит 27-31.10'!P12+'Юнит 01-02.11'!P12</f>
        <v>1</v>
      </c>
      <c r="Q12" s="41">
        <f>'Юнит 27-31.10'!Q12+'Юнит 01-02.11'!Q12</f>
        <v>0</v>
      </c>
      <c r="R12" s="49">
        <f t="shared" si="18"/>
        <v>1</v>
      </c>
      <c r="S12" s="41">
        <f>'Юнит 27-31.10'!S12+'Юнит 01-02.11'!S12</f>
        <v>1352</v>
      </c>
      <c r="T12" s="41">
        <f>'Юнит 27-31.10'!T12+'Юнит 01-02.11'!T12</f>
        <v>0</v>
      </c>
      <c r="U12" s="49">
        <f t="shared" si="19"/>
        <v>1352</v>
      </c>
      <c r="V12" s="52">
        <f t="shared" si="20"/>
        <v>2.1128301297077667E-2</v>
      </c>
      <c r="W12" s="53">
        <f t="shared" si="21"/>
        <v>169.89</v>
      </c>
      <c r="X12" s="41">
        <f>'Юнит 27-31.10'!X12+'Юнит 01-02.11'!X12</f>
        <v>513.76</v>
      </c>
      <c r="Y12" s="54">
        <f t="shared" si="22"/>
        <v>0.38</v>
      </c>
      <c r="Z12" s="41">
        <f>'Юнит 27-31.10'!Z12+'Юнит 01-02.11'!Z12</f>
        <v>138</v>
      </c>
      <c r="AA12" s="41">
        <f>'Юнит 27-31.10'!AA12+'Юнит 01-02.11'!AA12</f>
        <v>5079.7750979999992</v>
      </c>
      <c r="AB12" s="64"/>
      <c r="AC12" s="51"/>
      <c r="AD12" s="55">
        <f t="shared" si="8"/>
        <v>81.11999999999999</v>
      </c>
      <c r="AE12" s="56">
        <f t="shared" si="9"/>
        <v>-4630.5450979999987</v>
      </c>
      <c r="AF12" s="55"/>
      <c r="AG12" s="57">
        <f t="shared" si="10"/>
        <v>1352</v>
      </c>
      <c r="AH12" s="58">
        <f t="shared" si="11"/>
        <v>169.89</v>
      </c>
      <c r="AI12" s="58">
        <f t="shared" si="12"/>
        <v>513.76</v>
      </c>
      <c r="AJ12" s="58">
        <f t="shared" si="13"/>
        <v>138</v>
      </c>
      <c r="AK12" s="58">
        <f t="shared" si="14"/>
        <v>5079.7750979999992</v>
      </c>
      <c r="AL12" s="58">
        <f t="array" ref="AL12">_xlfn.IFS(R12=0,AE12,R12&lt;0,AE12/-R12,R12&gt;0,AE12/R12)</f>
        <v>-4630.5450979999987</v>
      </c>
      <c r="AM12" s="59">
        <f t="shared" si="15"/>
        <v>-3.4249593920118335</v>
      </c>
      <c r="AN12" s="60">
        <f t="shared" si="16"/>
        <v>-27.256136900347279</v>
      </c>
      <c r="AP12" s="62">
        <f t="shared" si="17"/>
        <v>-55566.541175999984</v>
      </c>
    </row>
    <row r="13" spans="1:42" ht="13.75" customHeight="1">
      <c r="A13" s="39">
        <v>2730130141</v>
      </c>
      <c r="B13" s="40" t="s">
        <v>228</v>
      </c>
      <c r="C13" s="41">
        <f>'Юнит 01-02.11'!C13</f>
        <v>45</v>
      </c>
      <c r="D13" s="42"/>
      <c r="E13" s="42"/>
      <c r="F13" s="42"/>
      <c r="G13" s="43"/>
      <c r="H13" s="44">
        <v>169.89</v>
      </c>
      <c r="I13" s="63">
        <f t="shared" si="0"/>
        <v>7645.0499999999993</v>
      </c>
      <c r="J13" s="45"/>
      <c r="K13" s="41">
        <f>'Юнит 27-31.10'!K13+'Юнит 01-02.11'!K13</f>
        <v>0</v>
      </c>
      <c r="L13" s="45"/>
      <c r="M13" s="45"/>
      <c r="N13" s="46">
        <f t="shared" si="1"/>
        <v>0</v>
      </c>
      <c r="O13" s="47">
        <f t="shared" si="2"/>
        <v>0</v>
      </c>
      <c r="P13" s="41">
        <f>'Юнит 27-31.10'!P13+'Юнит 01-02.11'!P13</f>
        <v>0</v>
      </c>
      <c r="Q13" s="41">
        <f>'Юнит 27-31.10'!Q13+'Юнит 01-02.11'!Q13</f>
        <v>0</v>
      </c>
      <c r="R13" s="49">
        <f t="shared" si="18"/>
        <v>0</v>
      </c>
      <c r="S13" s="41">
        <f>'Юнит 27-31.10'!S13+'Юнит 01-02.11'!S13</f>
        <v>0</v>
      </c>
      <c r="T13" s="41">
        <f>'Юнит 27-31.10'!T13+'Юнит 01-02.11'!T13</f>
        <v>0</v>
      </c>
      <c r="U13" s="49">
        <f t="shared" si="19"/>
        <v>0</v>
      </c>
      <c r="V13" s="52">
        <f t="shared" si="20"/>
        <v>0</v>
      </c>
      <c r="W13" s="53">
        <f t="shared" si="21"/>
        <v>0</v>
      </c>
      <c r="X13" s="41">
        <f>'Юнит 27-31.10'!X13+'Юнит 01-02.11'!X13</f>
        <v>0</v>
      </c>
      <c r="Y13" s="54">
        <f t="shared" si="22"/>
        <v>0</v>
      </c>
      <c r="Z13" s="41">
        <f>'Юнит 27-31.10'!Z13+'Юнит 01-02.11'!Z13</f>
        <v>0</v>
      </c>
      <c r="AA13" s="41">
        <f>'Юнит 27-31.10'!AA13+'Юнит 01-02.11'!AA13</f>
        <v>3881.1426289999999</v>
      </c>
      <c r="AB13" s="64"/>
      <c r="AC13" s="51"/>
      <c r="AD13" s="55">
        <f t="shared" si="8"/>
        <v>0</v>
      </c>
      <c r="AE13" s="56">
        <f t="shared" si="9"/>
        <v>-3881.1426289999999</v>
      </c>
      <c r="AF13" s="55"/>
      <c r="AG13" s="57">
        <f t="shared" si="10"/>
        <v>0</v>
      </c>
      <c r="AH13" s="58">
        <f t="shared" si="11"/>
        <v>169.89</v>
      </c>
      <c r="AI13" s="58">
        <f t="shared" si="12"/>
        <v>0</v>
      </c>
      <c r="AJ13" s="58">
        <f t="shared" si="13"/>
        <v>0</v>
      </c>
      <c r="AK13" s="58">
        <f t="shared" si="14"/>
        <v>0</v>
      </c>
      <c r="AL13" s="58">
        <f t="array" ref="AL13">_xlfn.IFS(R13=0,AE13,R13&lt;0,AE13/-R13,R13&gt;0,AE13/R13)</f>
        <v>-3881.1426289999999</v>
      </c>
      <c r="AM13" s="59">
        <f t="shared" si="15"/>
        <v>0</v>
      </c>
      <c r="AN13" s="60">
        <f t="shared" si="16"/>
        <v>-22.845032838895758</v>
      </c>
      <c r="AP13" s="62">
        <f t="shared" si="17"/>
        <v>-174651.418305</v>
      </c>
    </row>
    <row r="14" spans="1:42" ht="13.75" customHeight="1">
      <c r="A14" s="39">
        <v>2730129805</v>
      </c>
      <c r="B14" s="40" t="s">
        <v>19</v>
      </c>
      <c r="C14" s="41">
        <f>'Юнит 01-02.11'!C14</f>
        <v>27</v>
      </c>
      <c r="D14" s="42"/>
      <c r="E14" s="42"/>
      <c r="F14" s="42"/>
      <c r="G14" s="43"/>
      <c r="H14" s="44">
        <v>169.89</v>
      </c>
      <c r="I14" s="63">
        <f t="shared" si="0"/>
        <v>4587.03</v>
      </c>
      <c r="J14" s="45"/>
      <c r="K14" s="41">
        <f>'Юнит 27-31.10'!K14+'Юнит 01-02.11'!K14</f>
        <v>1</v>
      </c>
      <c r="L14" s="45"/>
      <c r="M14" s="45"/>
      <c r="N14" s="46">
        <f t="shared" si="1"/>
        <v>0.14285714285714285</v>
      </c>
      <c r="O14" s="47">
        <f t="shared" si="2"/>
        <v>0.14285714285714285</v>
      </c>
      <c r="P14" s="41">
        <f>'Юнит 27-31.10'!P14+'Юнит 01-02.11'!P14</f>
        <v>1</v>
      </c>
      <c r="Q14" s="41">
        <f>'Юнит 27-31.10'!Q14+'Юнит 01-02.11'!Q14</f>
        <v>0</v>
      </c>
      <c r="R14" s="49">
        <f t="shared" si="18"/>
        <v>1</v>
      </c>
      <c r="S14" s="41">
        <f>'Юнит 27-31.10'!S14+'Юнит 01-02.11'!S14</f>
        <v>1338</v>
      </c>
      <c r="T14" s="41">
        <f>'Юнит 27-31.10'!T14+'Юнит 01-02.11'!T14</f>
        <v>0</v>
      </c>
      <c r="U14" s="49">
        <f t="shared" si="19"/>
        <v>1338</v>
      </c>
      <c r="V14" s="52">
        <f t="shared" si="20"/>
        <v>2.0909517112048758E-2</v>
      </c>
      <c r="W14" s="53">
        <f t="shared" si="21"/>
        <v>169.89</v>
      </c>
      <c r="X14" s="41">
        <f>'Юнит 27-31.10'!X14+'Юнит 01-02.11'!X14</f>
        <v>508.44</v>
      </c>
      <c r="Y14" s="54">
        <f t="shared" si="22"/>
        <v>0.38</v>
      </c>
      <c r="Z14" s="41">
        <f>'Юнит 27-31.10'!Z14+'Юнит 01-02.11'!Z14</f>
        <v>46</v>
      </c>
      <c r="AA14" s="41">
        <f>'Юнит 27-31.10'!AA14+'Юнит 01-02.11'!AA14</f>
        <v>0</v>
      </c>
      <c r="AB14" s="64"/>
      <c r="AC14" s="51"/>
      <c r="AD14" s="55">
        <f t="shared" si="8"/>
        <v>80.28</v>
      </c>
      <c r="AE14" s="56">
        <f t="shared" si="9"/>
        <v>533.3900000000001</v>
      </c>
      <c r="AF14" s="55"/>
      <c r="AG14" s="57">
        <f t="shared" si="10"/>
        <v>1338</v>
      </c>
      <c r="AH14" s="58">
        <f t="shared" si="11"/>
        <v>169.89</v>
      </c>
      <c r="AI14" s="58">
        <f t="shared" si="12"/>
        <v>508.44</v>
      </c>
      <c r="AJ14" s="58">
        <f t="shared" si="13"/>
        <v>46</v>
      </c>
      <c r="AK14" s="58">
        <f t="shared" si="14"/>
        <v>0</v>
      </c>
      <c r="AL14" s="58">
        <f t="array" ref="AL14">_xlfn.IFS(R14=0,AE14,R14&lt;0,AE14/-R14,R14&gt;0,AE14/R14)</f>
        <v>533.3900000000001</v>
      </c>
      <c r="AM14" s="59">
        <f t="shared" si="15"/>
        <v>0.3986472346786249</v>
      </c>
      <c r="AN14" s="60">
        <f t="shared" si="16"/>
        <v>3.1396197539584447</v>
      </c>
      <c r="AP14" s="62">
        <f t="shared" si="17"/>
        <v>14401.530000000002</v>
      </c>
    </row>
    <row r="15" spans="1:42" ht="13.75" customHeight="1">
      <c r="A15" s="39">
        <v>2807226201</v>
      </c>
      <c r="B15" s="40" t="s">
        <v>229</v>
      </c>
      <c r="C15" s="41">
        <f>'Юнит 01-02.11'!C15</f>
        <v>2</v>
      </c>
      <c r="D15" s="42"/>
      <c r="E15" s="42"/>
      <c r="F15" s="42"/>
      <c r="G15" s="43"/>
      <c r="H15" s="44">
        <v>1002.82</v>
      </c>
      <c r="I15" s="63">
        <f t="shared" si="0"/>
        <v>2005.64</v>
      </c>
      <c r="J15" s="45"/>
      <c r="K15" s="41">
        <f>'Юнит 27-31.10'!K15+'Юнит 01-02.11'!K15</f>
        <v>1</v>
      </c>
      <c r="L15" s="45"/>
      <c r="M15" s="45"/>
      <c r="N15" s="46">
        <f t="shared" si="1"/>
        <v>0.14285714285714285</v>
      </c>
      <c r="O15" s="47">
        <f t="shared" si="2"/>
        <v>0.14285714285714285</v>
      </c>
      <c r="P15" s="41">
        <f>'Юнит 27-31.10'!P15+'Юнит 01-02.11'!P15</f>
        <v>1</v>
      </c>
      <c r="Q15" s="41">
        <f>'Юнит 27-31.10'!Q15+'Юнит 01-02.11'!Q15</f>
        <v>0</v>
      </c>
      <c r="R15" s="49">
        <f t="shared" si="18"/>
        <v>1</v>
      </c>
      <c r="S15" s="41">
        <f>'Юнит 27-31.10'!S15+'Юнит 01-02.11'!S15</f>
        <v>3250</v>
      </c>
      <c r="T15" s="41">
        <f>'Юнит 27-31.10'!T15+'Юнит 01-02.11'!T15</f>
        <v>0</v>
      </c>
      <c r="U15" s="49">
        <f t="shared" si="19"/>
        <v>3250</v>
      </c>
      <c r="V15" s="52">
        <f t="shared" si="20"/>
        <v>5.0789185810282855E-2</v>
      </c>
      <c r="W15" s="53">
        <f t="shared" si="21"/>
        <v>1002.82</v>
      </c>
      <c r="X15" s="41">
        <f>'Юнит 27-31.10'!X15+'Юнит 01-02.11'!X15</f>
        <v>1105</v>
      </c>
      <c r="Y15" s="54">
        <f t="shared" si="22"/>
        <v>0.34</v>
      </c>
      <c r="Z15" s="41">
        <f>'Юнит 27-31.10'!Z15+'Юнит 01-02.11'!Z15</f>
        <v>108</v>
      </c>
      <c r="AA15" s="41">
        <f>'Юнит 27-31.10'!AA15+'Юнит 01-02.11'!AA15</f>
        <v>4050.13546</v>
      </c>
      <c r="AB15" s="64"/>
      <c r="AC15" s="51"/>
      <c r="AD15" s="55">
        <f t="shared" si="8"/>
        <v>195</v>
      </c>
      <c r="AE15" s="56">
        <f t="shared" si="9"/>
        <v>-3210.9554600000001</v>
      </c>
      <c r="AF15" s="55"/>
      <c r="AG15" s="57">
        <f t="shared" si="10"/>
        <v>3250</v>
      </c>
      <c r="AH15" s="58">
        <f t="shared" si="11"/>
        <v>1002.82</v>
      </c>
      <c r="AI15" s="58">
        <f t="shared" si="12"/>
        <v>1105</v>
      </c>
      <c r="AJ15" s="58">
        <f t="shared" si="13"/>
        <v>108</v>
      </c>
      <c r="AK15" s="58">
        <f t="shared" si="14"/>
        <v>4050.13546</v>
      </c>
      <c r="AL15" s="58">
        <f t="array" ref="AL15">_xlfn.IFS(R15=0,AE15,R15&lt;0,AE15/-R15,R15&gt;0,AE15/R15)</f>
        <v>-3210.9554600000001</v>
      </c>
      <c r="AM15" s="59">
        <f t="shared" si="15"/>
        <v>-0.98798629538461546</v>
      </c>
      <c r="AN15" s="60">
        <f t="shared" si="16"/>
        <v>-3.2019260285993498</v>
      </c>
      <c r="AP15" s="62">
        <f t="shared" si="17"/>
        <v>-6421.9109200000003</v>
      </c>
    </row>
    <row r="16" spans="1:42" ht="13.75" customHeight="1">
      <c r="A16" s="39">
        <v>2807226228</v>
      </c>
      <c r="B16" s="40" t="s">
        <v>230</v>
      </c>
      <c r="C16" s="41">
        <f>'Юнит 01-02.11'!C16</f>
        <v>1</v>
      </c>
      <c r="D16" s="42"/>
      <c r="E16" s="42"/>
      <c r="F16" s="42"/>
      <c r="G16" s="43"/>
      <c r="H16" s="44">
        <v>909.22</v>
      </c>
      <c r="I16" s="63">
        <f t="shared" si="0"/>
        <v>909.22</v>
      </c>
      <c r="J16" s="45"/>
      <c r="K16" s="41">
        <f>'Юнит 27-31.10'!K16+'Юнит 01-02.11'!K16</f>
        <v>0</v>
      </c>
      <c r="L16" s="45"/>
      <c r="M16" s="45"/>
      <c r="N16" s="46">
        <f t="shared" si="1"/>
        <v>0</v>
      </c>
      <c r="O16" s="47">
        <f t="shared" si="2"/>
        <v>0</v>
      </c>
      <c r="P16" s="41">
        <f>'Юнит 27-31.10'!P16+'Юнит 01-02.11'!P16</f>
        <v>0</v>
      </c>
      <c r="Q16" s="41">
        <f>'Юнит 27-31.10'!Q16+'Юнит 01-02.11'!Q16</f>
        <v>0</v>
      </c>
      <c r="R16" s="49">
        <f t="shared" si="18"/>
        <v>0</v>
      </c>
      <c r="S16" s="41">
        <f>'Юнит 27-31.10'!S16+'Юнит 01-02.11'!S16</f>
        <v>0</v>
      </c>
      <c r="T16" s="41">
        <f>'Юнит 27-31.10'!T16+'Юнит 01-02.11'!T16</f>
        <v>0</v>
      </c>
      <c r="U16" s="49">
        <f t="shared" si="19"/>
        <v>0</v>
      </c>
      <c r="V16" s="52">
        <f t="shared" si="20"/>
        <v>0</v>
      </c>
      <c r="W16" s="53">
        <f t="shared" si="21"/>
        <v>0</v>
      </c>
      <c r="X16" s="41">
        <f>'Юнит 27-31.10'!X16+'Юнит 01-02.11'!X16</f>
        <v>0</v>
      </c>
      <c r="Y16" s="54">
        <f t="shared" si="22"/>
        <v>0</v>
      </c>
      <c r="Z16" s="41">
        <f>'Юнит 27-31.10'!Z16+'Юнит 01-02.11'!Z16</f>
        <v>0</v>
      </c>
      <c r="AA16" s="41">
        <f>'Юнит 27-31.10'!AA16+'Юнит 01-02.11'!AA16</f>
        <v>0</v>
      </c>
      <c r="AB16" s="64"/>
      <c r="AC16" s="51"/>
      <c r="AD16" s="55">
        <f t="shared" si="8"/>
        <v>0</v>
      </c>
      <c r="AE16" s="56">
        <f t="shared" si="9"/>
        <v>0</v>
      </c>
      <c r="AF16" s="55"/>
      <c r="AG16" s="57">
        <f t="shared" si="10"/>
        <v>0</v>
      </c>
      <c r="AH16" s="58">
        <f t="shared" si="11"/>
        <v>909.22</v>
      </c>
      <c r="AI16" s="58">
        <f t="shared" si="12"/>
        <v>0</v>
      </c>
      <c r="AJ16" s="58">
        <f t="shared" si="13"/>
        <v>0</v>
      </c>
      <c r="AK16" s="58">
        <f t="shared" si="14"/>
        <v>0</v>
      </c>
      <c r="AL16" s="58">
        <f t="array" ref="AL16">_xlfn.IFS(R16=0,AE16,R16&lt;0,AE16/-R16,R16&gt;0,AE16/R16)</f>
        <v>0</v>
      </c>
      <c r="AM16" s="59">
        <f t="shared" si="15"/>
        <v>0</v>
      </c>
      <c r="AN16" s="60">
        <f t="shared" si="16"/>
        <v>0</v>
      </c>
      <c r="AP16" s="62">
        <f t="shared" si="17"/>
        <v>0</v>
      </c>
    </row>
    <row r="17" spans="1:52" ht="13.75" customHeight="1">
      <c r="A17" s="39">
        <v>2807226016</v>
      </c>
      <c r="B17" s="40" t="s">
        <v>231</v>
      </c>
      <c r="C17" s="41">
        <f>'Юнит 01-02.11'!C17</f>
        <v>1</v>
      </c>
      <c r="D17" s="42"/>
      <c r="E17" s="42"/>
      <c r="F17" s="42"/>
      <c r="G17" s="43"/>
      <c r="H17" s="44">
        <v>909.22</v>
      </c>
      <c r="I17" s="63">
        <f t="shared" si="0"/>
        <v>909.22</v>
      </c>
      <c r="J17" s="45"/>
      <c r="K17" s="41">
        <f>'Юнит 27-31.10'!K17+'Юнит 01-02.11'!K17</f>
        <v>0</v>
      </c>
      <c r="L17" s="45"/>
      <c r="M17" s="45"/>
      <c r="N17" s="46">
        <f t="shared" si="1"/>
        <v>0</v>
      </c>
      <c r="O17" s="47">
        <f t="shared" si="2"/>
        <v>0</v>
      </c>
      <c r="P17" s="41">
        <f>'Юнит 27-31.10'!P17+'Юнит 01-02.11'!P17</f>
        <v>0</v>
      </c>
      <c r="Q17" s="41">
        <f>'Юнит 27-31.10'!Q17+'Юнит 01-02.11'!Q17</f>
        <v>0</v>
      </c>
      <c r="R17" s="49">
        <f t="shared" si="18"/>
        <v>0</v>
      </c>
      <c r="S17" s="41">
        <f>'Юнит 27-31.10'!S17+'Юнит 01-02.11'!S17</f>
        <v>0</v>
      </c>
      <c r="T17" s="41">
        <f>'Юнит 27-31.10'!T17+'Юнит 01-02.11'!T17</f>
        <v>0</v>
      </c>
      <c r="U17" s="49">
        <f t="shared" si="19"/>
        <v>0</v>
      </c>
      <c r="V17" s="52">
        <f t="shared" si="20"/>
        <v>0</v>
      </c>
      <c r="W17" s="53">
        <f t="shared" si="21"/>
        <v>0</v>
      </c>
      <c r="X17" s="41">
        <f>'Юнит 27-31.10'!X17+'Юнит 01-02.11'!X17</f>
        <v>0</v>
      </c>
      <c r="Y17" s="54">
        <f t="shared" si="22"/>
        <v>0</v>
      </c>
      <c r="Z17" s="41">
        <f>'Юнит 27-31.10'!Z17+'Юнит 01-02.11'!Z17</f>
        <v>0</v>
      </c>
      <c r="AA17" s="41">
        <f>'Юнит 27-31.10'!AA17+'Юнит 01-02.11'!AA17</f>
        <v>0</v>
      </c>
      <c r="AB17" s="64"/>
      <c r="AC17" s="51"/>
      <c r="AD17" s="55">
        <f t="shared" si="8"/>
        <v>0</v>
      </c>
      <c r="AE17" s="56">
        <f t="shared" si="9"/>
        <v>0</v>
      </c>
      <c r="AF17" s="55"/>
      <c r="AG17" s="57">
        <f t="shared" si="10"/>
        <v>0</v>
      </c>
      <c r="AH17" s="58">
        <f t="shared" si="11"/>
        <v>909.22</v>
      </c>
      <c r="AI17" s="58">
        <f t="shared" si="12"/>
        <v>0</v>
      </c>
      <c r="AJ17" s="58">
        <f t="shared" si="13"/>
        <v>0</v>
      </c>
      <c r="AK17" s="58">
        <f t="shared" si="14"/>
        <v>0</v>
      </c>
      <c r="AL17" s="58">
        <f t="array" ref="AL17">_xlfn.IFS(R17=0,AE17,R17&lt;0,AE17/-R17,R17&gt;0,AE17/R17)</f>
        <v>0</v>
      </c>
      <c r="AM17" s="59">
        <f t="shared" si="15"/>
        <v>0</v>
      </c>
      <c r="AN17" s="60">
        <f t="shared" si="16"/>
        <v>0</v>
      </c>
      <c r="AP17" s="62">
        <f t="shared" si="17"/>
        <v>0</v>
      </c>
    </row>
    <row r="18" spans="1:52" ht="13.75" customHeight="1">
      <c r="A18" s="39">
        <v>2807226072</v>
      </c>
      <c r="B18" s="40" t="s">
        <v>111</v>
      </c>
      <c r="C18" s="41">
        <f>'Юнит 01-02.11'!C18</f>
        <v>2</v>
      </c>
      <c r="D18" s="42"/>
      <c r="E18" s="42"/>
      <c r="F18" s="42"/>
      <c r="G18" s="43"/>
      <c r="H18" s="44">
        <v>932.62</v>
      </c>
      <c r="I18" s="63">
        <f t="shared" si="0"/>
        <v>1865.24</v>
      </c>
      <c r="J18" s="45"/>
      <c r="K18" s="41">
        <f>'Юнит 27-31.10'!K18+'Юнит 01-02.11'!K18</f>
        <v>0</v>
      </c>
      <c r="L18" s="45"/>
      <c r="M18" s="45"/>
      <c r="N18" s="46">
        <f t="shared" si="1"/>
        <v>0</v>
      </c>
      <c r="O18" s="47">
        <f t="shared" si="2"/>
        <v>0</v>
      </c>
      <c r="P18" s="41">
        <f>'Юнит 27-31.10'!P18+'Юнит 01-02.11'!P18</f>
        <v>0</v>
      </c>
      <c r="Q18" s="41">
        <f>'Юнит 27-31.10'!Q18+'Юнит 01-02.11'!Q18</f>
        <v>0</v>
      </c>
      <c r="R18" s="49">
        <f t="shared" si="18"/>
        <v>0</v>
      </c>
      <c r="S18" s="41">
        <f>'Юнит 27-31.10'!S18+'Юнит 01-02.11'!S18</f>
        <v>0</v>
      </c>
      <c r="T18" s="41">
        <f>'Юнит 27-31.10'!T18+'Юнит 01-02.11'!T18</f>
        <v>0</v>
      </c>
      <c r="U18" s="49">
        <f t="shared" si="19"/>
        <v>0</v>
      </c>
      <c r="V18" s="52">
        <f t="shared" si="20"/>
        <v>0</v>
      </c>
      <c r="W18" s="53">
        <f t="shared" si="21"/>
        <v>0</v>
      </c>
      <c r="X18" s="41">
        <f>'Юнит 27-31.10'!X18+'Юнит 01-02.11'!X18</f>
        <v>0</v>
      </c>
      <c r="Y18" s="54">
        <f t="shared" si="22"/>
        <v>0</v>
      </c>
      <c r="Z18" s="41">
        <f>'Юнит 27-31.10'!Z18+'Юнит 01-02.11'!Z18</f>
        <v>0</v>
      </c>
      <c r="AA18" s="41">
        <f>'Юнит 27-31.10'!AA18+'Юнит 01-02.11'!AA18</f>
        <v>0</v>
      </c>
      <c r="AB18" s="64"/>
      <c r="AC18" s="51"/>
      <c r="AD18" s="55">
        <f t="shared" si="8"/>
        <v>0</v>
      </c>
      <c r="AE18" s="56">
        <f t="shared" si="9"/>
        <v>0</v>
      </c>
      <c r="AF18" s="55"/>
      <c r="AG18" s="57">
        <f t="shared" si="10"/>
        <v>0</v>
      </c>
      <c r="AH18" s="58">
        <f t="shared" si="11"/>
        <v>932.62</v>
      </c>
      <c r="AI18" s="58">
        <f t="shared" si="12"/>
        <v>0</v>
      </c>
      <c r="AJ18" s="58">
        <f t="shared" si="13"/>
        <v>0</v>
      </c>
      <c r="AK18" s="58">
        <f t="shared" si="14"/>
        <v>0</v>
      </c>
      <c r="AL18" s="58">
        <f t="array" ref="AL18">_xlfn.IFS(R18=0,AE18,R18&lt;0,AE18/-R18,R18&gt;0,AE18/R18)</f>
        <v>0</v>
      </c>
      <c r="AM18" s="59">
        <f t="shared" si="15"/>
        <v>0</v>
      </c>
      <c r="AN18" s="60">
        <f t="shared" si="16"/>
        <v>0</v>
      </c>
      <c r="AP18" s="62">
        <f t="shared" si="17"/>
        <v>0</v>
      </c>
    </row>
    <row r="19" spans="1:52" ht="13.75" customHeight="1">
      <c r="A19" s="39">
        <v>2807226223</v>
      </c>
      <c r="B19" s="40" t="s">
        <v>232</v>
      </c>
      <c r="C19" s="41">
        <f>'Юнит 01-02.11'!C19</f>
        <v>0</v>
      </c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f>'Юнит 27-31.10'!K19+'Юнит 01-02.11'!K19</f>
        <v>0</v>
      </c>
      <c r="L19" s="45"/>
      <c r="M19" s="45"/>
      <c r="N19" s="46">
        <f t="shared" si="1"/>
        <v>0</v>
      </c>
      <c r="O19" s="47">
        <f t="shared" si="2"/>
        <v>0</v>
      </c>
      <c r="P19" s="41">
        <f>'Юнит 27-31.10'!P19+'Юнит 01-02.11'!P19</f>
        <v>0</v>
      </c>
      <c r="Q19" s="41">
        <f>'Юнит 27-31.10'!Q19+'Юнит 01-02.11'!Q19</f>
        <v>0</v>
      </c>
      <c r="R19" s="49">
        <f t="shared" si="18"/>
        <v>0</v>
      </c>
      <c r="S19" s="41">
        <f>'Юнит 27-31.10'!S19+'Юнит 01-02.11'!S19</f>
        <v>0</v>
      </c>
      <c r="T19" s="41">
        <f>'Юнит 27-31.10'!T19+'Юнит 01-02.11'!T19</f>
        <v>0</v>
      </c>
      <c r="U19" s="49">
        <f t="shared" si="19"/>
        <v>0</v>
      </c>
      <c r="V19" s="52">
        <f t="shared" si="20"/>
        <v>0</v>
      </c>
      <c r="W19" s="53">
        <f t="shared" si="21"/>
        <v>0</v>
      </c>
      <c r="X19" s="41">
        <f>'Юнит 27-31.10'!X19+'Юнит 01-02.11'!X19</f>
        <v>0</v>
      </c>
      <c r="Y19" s="54">
        <f t="shared" si="22"/>
        <v>0</v>
      </c>
      <c r="Z19" s="41">
        <f>'Юнит 27-31.10'!Z19+'Юнит 01-02.11'!Z19</f>
        <v>0</v>
      </c>
      <c r="AA19" s="41">
        <f>'Юнит 27-31.10'!AA19+'Юнит 01-02.11'!AA19</f>
        <v>0</v>
      </c>
      <c r="AB19" s="64"/>
      <c r="AC19" s="51"/>
      <c r="AD19" s="55">
        <f t="shared" si="8"/>
        <v>0</v>
      </c>
      <c r="AE19" s="56">
        <f t="shared" si="9"/>
        <v>0</v>
      </c>
      <c r="AF19" s="55"/>
      <c r="AG19" s="57">
        <f t="shared" si="10"/>
        <v>0</v>
      </c>
      <c r="AH19" s="58">
        <f t="shared" si="11"/>
        <v>1014.52</v>
      </c>
      <c r="AI19" s="58">
        <f t="shared" si="12"/>
        <v>0</v>
      </c>
      <c r="AJ19" s="58">
        <f t="shared" si="13"/>
        <v>0</v>
      </c>
      <c r="AK19" s="58">
        <f t="shared" si="14"/>
        <v>0</v>
      </c>
      <c r="AL19" s="58">
        <f t="array" ref="AL19">_xlfn.IFS(R19=0,AE19,R19&lt;0,AE19/-R19,R19&gt;0,AE19/R19)</f>
        <v>0</v>
      </c>
      <c r="AM19" s="59">
        <f t="shared" si="15"/>
        <v>0</v>
      </c>
      <c r="AN19" s="60">
        <f t="shared" si="16"/>
        <v>0</v>
      </c>
      <c r="AP19" s="62">
        <f t="shared" si="17"/>
        <v>0</v>
      </c>
    </row>
    <row r="20" spans="1:52" ht="13.75" customHeight="1">
      <c r="A20" s="39">
        <v>2807226341</v>
      </c>
      <c r="B20" s="40" t="s">
        <v>136</v>
      </c>
      <c r="C20" s="41">
        <f>'Юнит 01-02.11'!C20</f>
        <v>0</v>
      </c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f>'Юнит 27-31.10'!K20+'Юнит 01-02.11'!K20</f>
        <v>1</v>
      </c>
      <c r="L20" s="45"/>
      <c r="M20" s="45"/>
      <c r="N20" s="46">
        <f t="shared" si="1"/>
        <v>0.14285714285714285</v>
      </c>
      <c r="O20" s="47">
        <f t="shared" si="2"/>
        <v>0.14285714285714285</v>
      </c>
      <c r="P20" s="41">
        <f>'Юнит 27-31.10'!P20+'Юнит 01-02.11'!P20</f>
        <v>1</v>
      </c>
      <c r="Q20" s="41">
        <f>'Юнит 27-31.10'!Q20+'Юнит 01-02.11'!Q20</f>
        <v>0</v>
      </c>
      <c r="R20" s="49">
        <f t="shared" si="18"/>
        <v>1</v>
      </c>
      <c r="S20" s="41">
        <f>'Юнит 27-31.10'!S20+'Юнит 01-02.11'!S20</f>
        <v>4000</v>
      </c>
      <c r="T20" s="41">
        <f>'Юнит 27-31.10'!T20+'Юнит 01-02.11'!T20</f>
        <v>0</v>
      </c>
      <c r="U20" s="49">
        <f t="shared" si="19"/>
        <v>4000</v>
      </c>
      <c r="V20" s="52">
        <f t="shared" si="20"/>
        <v>6.2509767151117362E-2</v>
      </c>
      <c r="W20" s="53">
        <f t="shared" si="21"/>
        <v>1014.52</v>
      </c>
      <c r="X20" s="41">
        <f>'Юнит 27-31.10'!X20+'Юнит 01-02.11'!X20</f>
        <v>1520</v>
      </c>
      <c r="Y20" s="54">
        <f t="shared" si="22"/>
        <v>0.38</v>
      </c>
      <c r="Z20" s="41">
        <f>'Юнит 27-31.10'!Z20+'Юнит 01-02.11'!Z20</f>
        <v>56</v>
      </c>
      <c r="AA20" s="41">
        <f>'Юнит 27-31.10'!AA20+'Юнит 01-02.11'!AA20</f>
        <v>1495.60934</v>
      </c>
      <c r="AB20" s="64"/>
      <c r="AC20" s="51"/>
      <c r="AD20" s="55">
        <f t="shared" si="8"/>
        <v>240</v>
      </c>
      <c r="AE20" s="56">
        <f t="shared" si="9"/>
        <v>-326.12933999999996</v>
      </c>
      <c r="AF20" s="55"/>
      <c r="AG20" s="57">
        <f t="shared" si="10"/>
        <v>4000</v>
      </c>
      <c r="AH20" s="58">
        <f t="shared" si="11"/>
        <v>1014.52</v>
      </c>
      <c r="AI20" s="58">
        <f t="shared" si="12"/>
        <v>1520</v>
      </c>
      <c r="AJ20" s="58">
        <f t="shared" si="13"/>
        <v>56</v>
      </c>
      <c r="AK20" s="58">
        <f t="shared" si="14"/>
        <v>1495.60934</v>
      </c>
      <c r="AL20" s="58">
        <f t="array" ref="AL20">_xlfn.IFS(R20=0,AE20,R20&lt;0,AE20/-R20,R20&gt;0,AE20/R20)</f>
        <v>-326.12933999999996</v>
      </c>
      <c r="AM20" s="59">
        <f t="shared" si="15"/>
        <v>-8.1532334999999984E-2</v>
      </c>
      <c r="AN20" s="60">
        <f t="shared" si="16"/>
        <v>-0.32146171588534478</v>
      </c>
      <c r="AP20" s="62">
        <f t="shared" si="17"/>
        <v>0</v>
      </c>
    </row>
    <row r="21" spans="1:52" ht="13.75" customHeight="1">
      <c r="A21" s="39">
        <v>2807226351</v>
      </c>
      <c r="B21" s="40" t="s">
        <v>233</v>
      </c>
      <c r="C21" s="41">
        <f>'Юнит 01-02.11'!C21</f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f>'Юнит 27-31.10'!K21+'Юнит 01-02.11'!K21</f>
        <v>0</v>
      </c>
      <c r="L21" s="45"/>
      <c r="M21" s="45"/>
      <c r="N21" s="46">
        <f t="shared" si="1"/>
        <v>0</v>
      </c>
      <c r="O21" s="47">
        <f t="shared" si="2"/>
        <v>0</v>
      </c>
      <c r="P21" s="41">
        <f>'Юнит 27-31.10'!P21+'Юнит 01-02.11'!P21</f>
        <v>0</v>
      </c>
      <c r="Q21" s="41">
        <f>'Юнит 27-31.10'!Q21+'Юнит 01-02.11'!Q21</f>
        <v>0</v>
      </c>
      <c r="R21" s="49">
        <f t="shared" si="18"/>
        <v>0</v>
      </c>
      <c r="S21" s="41">
        <f>'Юнит 27-31.10'!S21+'Юнит 01-02.11'!S21</f>
        <v>0</v>
      </c>
      <c r="T21" s="41">
        <f>'Юнит 27-31.10'!T21+'Юнит 01-02.11'!T21</f>
        <v>0</v>
      </c>
      <c r="U21" s="49">
        <f t="shared" si="19"/>
        <v>0</v>
      </c>
      <c r="V21" s="52">
        <f t="shared" si="20"/>
        <v>0</v>
      </c>
      <c r="W21" s="53">
        <f t="shared" si="21"/>
        <v>0</v>
      </c>
      <c r="X21" s="41">
        <f>'Юнит 27-31.10'!X21+'Юнит 01-02.11'!X21</f>
        <v>0</v>
      </c>
      <c r="Y21" s="54">
        <f t="shared" si="22"/>
        <v>0</v>
      </c>
      <c r="Z21" s="41">
        <f>'Юнит 27-31.10'!Z21+'Юнит 01-02.11'!Z21</f>
        <v>0</v>
      </c>
      <c r="AA21" s="41">
        <f>'Юнит 27-31.10'!AA21+'Юнит 01-02.11'!AA21</f>
        <v>0</v>
      </c>
      <c r="AB21" s="64"/>
      <c r="AC21" s="51"/>
      <c r="AD21" s="55">
        <f t="shared" si="8"/>
        <v>0</v>
      </c>
      <c r="AE21" s="56">
        <f t="shared" si="9"/>
        <v>0</v>
      </c>
      <c r="AF21" s="55"/>
      <c r="AG21" s="57">
        <f t="shared" si="10"/>
        <v>0</v>
      </c>
      <c r="AH21" s="58">
        <f t="shared" si="11"/>
        <v>1014.52</v>
      </c>
      <c r="AI21" s="58">
        <f t="shared" si="12"/>
        <v>0</v>
      </c>
      <c r="AJ21" s="58">
        <f t="shared" si="13"/>
        <v>0</v>
      </c>
      <c r="AK21" s="58">
        <f t="shared" si="14"/>
        <v>0</v>
      </c>
      <c r="AL21" s="58">
        <f t="array" ref="AL21">_xlfn.IFS(R21=0,AE21,R21&lt;0,AE21/-R21,R21&gt;0,AE21/R21)</f>
        <v>0</v>
      </c>
      <c r="AM21" s="59">
        <f t="shared" si="15"/>
        <v>0</v>
      </c>
      <c r="AN21" s="60">
        <f t="shared" si="16"/>
        <v>0</v>
      </c>
      <c r="AP21" s="62">
        <f t="shared" si="17"/>
        <v>0</v>
      </c>
    </row>
    <row r="22" spans="1:52" ht="13.75" customHeight="1">
      <c r="A22" s="39">
        <v>2807226146</v>
      </c>
      <c r="B22" s="40" t="s">
        <v>234</v>
      </c>
      <c r="C22" s="41">
        <f>'Юнит 01-02.11'!C22</f>
        <v>0</v>
      </c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f>'Юнит 27-31.10'!K22+'Юнит 01-02.11'!K22</f>
        <v>0</v>
      </c>
      <c r="L22" s="45"/>
      <c r="M22" s="45"/>
      <c r="N22" s="46">
        <f t="shared" si="1"/>
        <v>0</v>
      </c>
      <c r="O22" s="47">
        <f t="shared" si="2"/>
        <v>0</v>
      </c>
      <c r="P22" s="41">
        <f>'Юнит 27-31.10'!P22+'Юнит 01-02.11'!P22</f>
        <v>0</v>
      </c>
      <c r="Q22" s="41">
        <f>'Юнит 27-31.10'!Q22+'Юнит 01-02.11'!Q22</f>
        <v>0</v>
      </c>
      <c r="R22" s="49">
        <f t="shared" si="18"/>
        <v>0</v>
      </c>
      <c r="S22" s="41">
        <f>'Юнит 27-31.10'!S22+'Юнит 01-02.11'!S22</f>
        <v>0</v>
      </c>
      <c r="T22" s="41">
        <f>'Юнит 27-31.10'!T22+'Юнит 01-02.11'!T22</f>
        <v>0</v>
      </c>
      <c r="U22" s="49">
        <f t="shared" si="19"/>
        <v>0</v>
      </c>
      <c r="V22" s="52">
        <f t="shared" si="20"/>
        <v>0</v>
      </c>
      <c r="W22" s="53">
        <f t="shared" si="21"/>
        <v>0</v>
      </c>
      <c r="X22" s="41">
        <f>'Юнит 27-31.10'!X22+'Юнит 01-02.11'!X22</f>
        <v>0</v>
      </c>
      <c r="Y22" s="54">
        <f t="shared" si="22"/>
        <v>0</v>
      </c>
      <c r="Z22" s="41">
        <f>'Юнит 27-31.10'!Z22+'Юнит 01-02.11'!Z22</f>
        <v>0</v>
      </c>
      <c r="AA22" s="41">
        <f>'Юнит 27-31.10'!AA22+'Юнит 01-02.11'!AA22</f>
        <v>0</v>
      </c>
      <c r="AB22" s="64"/>
      <c r="AC22" s="51"/>
      <c r="AD22" s="55">
        <f t="shared" si="8"/>
        <v>0</v>
      </c>
      <c r="AE22" s="56">
        <f t="shared" si="9"/>
        <v>0</v>
      </c>
      <c r="AF22" s="55"/>
      <c r="AG22" s="57">
        <f t="shared" si="10"/>
        <v>0</v>
      </c>
      <c r="AH22" s="58">
        <f t="shared" si="11"/>
        <v>991.12</v>
      </c>
      <c r="AI22" s="58">
        <f t="shared" si="12"/>
        <v>0</v>
      </c>
      <c r="AJ22" s="58">
        <f t="shared" si="13"/>
        <v>0</v>
      </c>
      <c r="AK22" s="58">
        <f t="shared" si="14"/>
        <v>0</v>
      </c>
      <c r="AL22" s="58">
        <f t="array" ref="AL22">_xlfn.IFS(R22=0,AE22,R22&lt;0,AE22/-R22,R22&gt;0,AE22/R22)</f>
        <v>0</v>
      </c>
      <c r="AM22" s="59">
        <f t="shared" si="15"/>
        <v>0</v>
      </c>
      <c r="AN22" s="60">
        <f t="shared" si="16"/>
        <v>0</v>
      </c>
      <c r="AP22" s="62">
        <f t="shared" si="17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23">AVERAGEIF(AG3:AG22,"&lt;&gt;0",AG3:AG22)</f>
        <v>1833.125</v>
      </c>
      <c r="AH23" s="247">
        <f t="shared" si="23"/>
        <v>480.36400000000003</v>
      </c>
      <c r="AI23" s="247">
        <f t="shared" si="23"/>
        <v>668.10249999999996</v>
      </c>
      <c r="AJ23" s="247">
        <f t="shared" si="23"/>
        <v>103.40740740740742</v>
      </c>
      <c r="AK23" s="247">
        <f t="shared" si="23"/>
        <v>1912.4347514722219</v>
      </c>
      <c r="AL23" s="247">
        <f t="shared" si="23"/>
        <v>-1161.659705772727</v>
      </c>
      <c r="AM23" s="249">
        <f t="shared" si="23"/>
        <v>-0.41521324699590173</v>
      </c>
      <c r="AN23" s="249">
        <f t="shared" si="23"/>
        <v>-5.5330942858534149</v>
      </c>
      <c r="AO23" s="240"/>
      <c r="AP23" s="241"/>
    </row>
    <row r="24" spans="1:52">
      <c r="A24" s="216" t="s">
        <v>305</v>
      </c>
      <c r="B24" s="209"/>
      <c r="C24" s="217">
        <f>SUM(C3:C22)</f>
        <v>3484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464167.19999999995</v>
      </c>
      <c r="J24" s="212"/>
      <c r="K24" s="217">
        <f>SUM(K3:K22)</f>
        <v>17</v>
      </c>
      <c r="L24" s="212"/>
      <c r="M24" s="212"/>
      <c r="N24" s="213"/>
      <c r="O24" s="214"/>
      <c r="P24" s="217">
        <f>SUM(P3:P22)</f>
        <v>13</v>
      </c>
      <c r="Q24" s="217">
        <f t="shared" ref="Q24:AE24" si="24">SUM(Q3:Q22)</f>
        <v>0</v>
      </c>
      <c r="R24" s="217">
        <f t="shared" si="24"/>
        <v>13</v>
      </c>
      <c r="S24" s="237">
        <f>SUM(S3:S22)</f>
        <v>20250</v>
      </c>
      <c r="T24" s="217">
        <f t="shared" si="24"/>
        <v>0</v>
      </c>
      <c r="U24" s="217">
        <f t="shared" si="24"/>
        <v>20250</v>
      </c>
      <c r="V24" s="256">
        <f t="shared" si="24"/>
        <v>0.31645569620253156</v>
      </c>
      <c r="W24" s="217">
        <f t="shared" si="24"/>
        <v>3625.22</v>
      </c>
      <c r="X24" s="217">
        <f t="shared" si="24"/>
        <v>7243.7199999999993</v>
      </c>
      <c r="Y24" s="215">
        <f>IF(U24=0,0,X24/U24)</f>
        <v>0.35771456790123451</v>
      </c>
      <c r="Z24" s="217">
        <f t="shared" si="24"/>
        <v>1314</v>
      </c>
      <c r="AA24" s="217">
        <f>IFERROR(P24*AA49/P49,0)</f>
        <v>14042.741304347826</v>
      </c>
      <c r="AB24" s="217">
        <f t="shared" si="24"/>
        <v>0</v>
      </c>
      <c r="AC24" s="217">
        <f t="shared" si="24"/>
        <v>0</v>
      </c>
      <c r="AD24" s="238">
        <f t="shared" si="24"/>
        <v>1215</v>
      </c>
      <c r="AE24" s="239">
        <f t="shared" si="24"/>
        <v>-12151.233150999997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-1596045.4208394997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19003.293150999998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>
        <f>'Юнит 01-02.11'!C26</f>
        <v>17</v>
      </c>
      <c r="D26" s="42"/>
      <c r="E26" s="42"/>
      <c r="F26" s="42"/>
      <c r="G26" s="43"/>
      <c r="H26" s="65">
        <v>672</v>
      </c>
      <c r="I26" s="63">
        <f t="shared" ref="I26:I44" si="25">C26*H26</f>
        <v>11424</v>
      </c>
      <c r="J26" s="45"/>
      <c r="K26" s="41">
        <f>'Юнит 27-31.10'!K26+'Юнит 01-02.11'!K26</f>
        <v>0</v>
      </c>
      <c r="L26" s="45"/>
      <c r="M26" s="45"/>
      <c r="N26" s="46">
        <f t="shared" ref="N26:N45" si="26">K26/7</f>
        <v>0</v>
      </c>
      <c r="O26" s="47">
        <f t="shared" ref="O26:O45" si="27">R26/7</f>
        <v>0</v>
      </c>
      <c r="P26" s="41">
        <f>'Юнит 27-31.10'!P26+'Юнит 01-02.11'!P26</f>
        <v>0</v>
      </c>
      <c r="Q26" s="41">
        <f>'Юнит 27-31.10'!Q26+'Юнит 01-02.11'!Q26</f>
        <v>0</v>
      </c>
      <c r="R26" s="49">
        <f t="shared" ref="R26" si="28">P26+Q26</f>
        <v>0</v>
      </c>
      <c r="S26" s="41">
        <f>'Юнит 27-31.10'!S26+'Юнит 01-02.11'!S26</f>
        <v>0</v>
      </c>
      <c r="T26" s="41">
        <f>'Юнит 27-31.10'!T26+'Юнит 01-02.11'!T26</f>
        <v>0</v>
      </c>
      <c r="U26" s="49">
        <f t="shared" ref="U26" si="29">S26+T26</f>
        <v>0</v>
      </c>
      <c r="V26" s="52">
        <f t="shared" ref="V26" si="30">U26/$U$49</f>
        <v>0</v>
      </c>
      <c r="W26" s="53">
        <f t="shared" ref="W26" si="31">R26*H26</f>
        <v>0</v>
      </c>
      <c r="X26" s="41">
        <f>'Юнит 27-31.10'!X26+'Юнит 01-02.11'!X26</f>
        <v>0</v>
      </c>
      <c r="Y26" s="54">
        <f t="shared" ref="Y26" si="32">IF(U26=0,0,X26/U26)</f>
        <v>0</v>
      </c>
      <c r="Z26" s="41">
        <f>'Юнит 27-31.10'!Z26+'Юнит 01-02.11'!Z26</f>
        <v>0</v>
      </c>
      <c r="AA26" s="41">
        <f>'Юнит 27-31.10'!AA26+'Юнит 01-02.11'!AA26</f>
        <v>658.39936</v>
      </c>
      <c r="AB26" s="64"/>
      <c r="AC26" s="51"/>
      <c r="AD26" s="55">
        <f t="shared" ref="AD26:AD45" si="33">U26*6%</f>
        <v>0</v>
      </c>
      <c r="AE26" s="56">
        <f t="shared" ref="AE26:AE45" si="34">U26-W26-X26-Z26-AA26-AB26-AC26-AD26</f>
        <v>-658.39936</v>
      </c>
      <c r="AF26" s="55"/>
      <c r="AG26" s="57">
        <f t="shared" ref="AG26:AG45" si="35">IF(R26=0,0,U26/R26)</f>
        <v>0</v>
      </c>
      <c r="AH26" s="58">
        <f t="shared" ref="AH26:AH45" si="36">H26</f>
        <v>672</v>
      </c>
      <c r="AI26" s="58">
        <f t="shared" ref="AI26:AI45" si="37">IF(R26=0,0,X26/R26)</f>
        <v>0</v>
      </c>
      <c r="AJ26" s="58">
        <f t="shared" ref="AJ26:AJ45" si="38">IF(P26=0,Z26/1,Z26/P26)</f>
        <v>0</v>
      </c>
      <c r="AK26" s="58">
        <f t="shared" ref="AK26:AK45" si="39">IF(P26=0,0,AA26/P26)</f>
        <v>0</v>
      </c>
      <c r="AL26" s="58">
        <f t="array" ref="AL26">_xlfn.IFS(R26=0,AE26,R26&lt;0,AE26/-R26,R26&gt;0,AE26/R26)</f>
        <v>-658.39936</v>
      </c>
      <c r="AM26" s="59">
        <f t="shared" ref="AM26:AM45" si="40">IF(AG26=0,0,AL26/AG26)</f>
        <v>0</v>
      </c>
      <c r="AN26" s="60">
        <f t="shared" ref="AN26:AN45" si="41">IF(AH26=0,0,AL26/AH26)</f>
        <v>-0.9797609523809524</v>
      </c>
      <c r="AP26" s="62">
        <f t="shared" ref="AP26:AP45" si="42">AL26*C26</f>
        <v>-11192.789119999999</v>
      </c>
    </row>
    <row r="27" spans="1:52">
      <c r="A27" s="39">
        <v>2774708622</v>
      </c>
      <c r="B27" s="40" t="s">
        <v>43</v>
      </c>
      <c r="C27" s="41">
        <f>'Юнит 01-02.11'!C27</f>
        <v>18</v>
      </c>
      <c r="D27" s="42"/>
      <c r="E27" s="42"/>
      <c r="F27" s="42"/>
      <c r="G27" s="43"/>
      <c r="H27" s="65">
        <v>627</v>
      </c>
      <c r="I27" s="63">
        <f t="shared" si="25"/>
        <v>11286</v>
      </c>
      <c r="J27" s="45"/>
      <c r="K27" s="41">
        <f>'Юнит 27-31.10'!K27+'Юнит 01-02.11'!K27</f>
        <v>3</v>
      </c>
      <c r="L27" s="45"/>
      <c r="M27" s="45"/>
      <c r="N27" s="46">
        <f t="shared" si="26"/>
        <v>0.42857142857142855</v>
      </c>
      <c r="O27" s="47">
        <f t="shared" si="27"/>
        <v>0.42857142857142855</v>
      </c>
      <c r="P27" s="41">
        <f>'Юнит 27-31.10'!P27+'Юнит 01-02.11'!P27</f>
        <v>2</v>
      </c>
      <c r="Q27" s="41">
        <f>'Юнит 27-31.10'!Q27+'Юнит 01-02.11'!Q27</f>
        <v>1</v>
      </c>
      <c r="R27" s="49">
        <f t="shared" ref="R27:R45" si="43">P27+Q27</f>
        <v>3</v>
      </c>
      <c r="S27" s="41">
        <f>'Юнит 27-31.10'!S27+'Юнит 01-02.11'!S27</f>
        <v>10500</v>
      </c>
      <c r="T27" s="41">
        <f>'Юнит 27-31.10'!T27+'Юнит 01-02.11'!T27</f>
        <v>-5000</v>
      </c>
      <c r="U27" s="49">
        <f t="shared" ref="U27:U45" si="44">S27+T27</f>
        <v>5500</v>
      </c>
      <c r="V27" s="52">
        <f t="shared" ref="V27:V45" si="45">U27/$U$49</f>
        <v>8.5950929832786377E-2</v>
      </c>
      <c r="W27" s="53">
        <f t="shared" ref="W27:W45" si="46">R27*H27</f>
        <v>1881</v>
      </c>
      <c r="X27" s="41">
        <f>'Юнит 27-31.10'!X27+'Юнит 01-02.11'!X27</f>
        <v>2090</v>
      </c>
      <c r="Y27" s="54">
        <f t="shared" ref="Y27:Y45" si="47">IF(U27=0,0,X27/U27)</f>
        <v>0.38</v>
      </c>
      <c r="Z27" s="41">
        <f>'Юнит 27-31.10'!Z27+'Юнит 01-02.11'!Z27</f>
        <v>280</v>
      </c>
      <c r="AA27" s="41">
        <f>'Юнит 27-31.10'!AA27+'Юнит 01-02.11'!AA27</f>
        <v>0</v>
      </c>
      <c r="AB27" s="64"/>
      <c r="AC27" s="51"/>
      <c r="AD27" s="55">
        <f t="shared" si="33"/>
        <v>330</v>
      </c>
      <c r="AE27" s="56">
        <f t="shared" si="34"/>
        <v>919</v>
      </c>
      <c r="AF27" s="55"/>
      <c r="AG27" s="57">
        <f t="shared" si="35"/>
        <v>1833.3333333333333</v>
      </c>
      <c r="AH27" s="58">
        <f t="shared" si="36"/>
        <v>627</v>
      </c>
      <c r="AI27" s="58">
        <f t="shared" si="37"/>
        <v>696.66666666666663</v>
      </c>
      <c r="AJ27" s="58">
        <f t="shared" si="38"/>
        <v>140</v>
      </c>
      <c r="AK27" s="58">
        <f t="shared" si="39"/>
        <v>0</v>
      </c>
      <c r="AL27" s="58">
        <f t="array" ref="AL27">_xlfn.IFS(R27=0,AE27,R27&lt;0,AE27/-R27,R27&gt;0,AE27/R27)</f>
        <v>306.33333333333331</v>
      </c>
      <c r="AM27" s="59">
        <f t="shared" si="40"/>
        <v>0.1670909090909091</v>
      </c>
      <c r="AN27" s="60">
        <f t="shared" si="41"/>
        <v>0.48856990962254115</v>
      </c>
      <c r="AP27" s="62">
        <f t="shared" si="42"/>
        <v>5514</v>
      </c>
    </row>
    <row r="28" spans="1:52">
      <c r="A28" s="39">
        <v>2774709606</v>
      </c>
      <c r="B28" s="40" t="s">
        <v>235</v>
      </c>
      <c r="C28" s="41">
        <f>'Юнит 01-02.11'!C28</f>
        <v>16</v>
      </c>
      <c r="D28" s="42"/>
      <c r="E28" s="42"/>
      <c r="F28" s="42"/>
      <c r="G28" s="43"/>
      <c r="H28" s="65">
        <v>627</v>
      </c>
      <c r="I28" s="63">
        <f t="shared" si="25"/>
        <v>10032</v>
      </c>
      <c r="J28" s="45"/>
      <c r="K28" s="41">
        <f>'Юнит 27-31.10'!K28+'Юнит 01-02.11'!K28</f>
        <v>3</v>
      </c>
      <c r="L28" s="45"/>
      <c r="M28" s="45"/>
      <c r="N28" s="46">
        <f t="shared" si="26"/>
        <v>0.42857142857142855</v>
      </c>
      <c r="O28" s="47">
        <f t="shared" si="27"/>
        <v>0.2857142857142857</v>
      </c>
      <c r="P28" s="41">
        <f>'Юнит 27-31.10'!P28+'Юнит 01-02.11'!P28</f>
        <v>2</v>
      </c>
      <c r="Q28" s="41">
        <f>'Юнит 27-31.10'!Q28+'Юнит 01-02.11'!Q28</f>
        <v>0</v>
      </c>
      <c r="R28" s="49">
        <f t="shared" si="43"/>
        <v>2</v>
      </c>
      <c r="S28" s="41">
        <f>'Юнит 27-31.10'!S28+'Юнит 01-02.11'!S28</f>
        <v>10500</v>
      </c>
      <c r="T28" s="41">
        <f>'Юнит 27-31.10'!T28+'Юнит 01-02.11'!T28</f>
        <v>0</v>
      </c>
      <c r="U28" s="49">
        <f t="shared" si="44"/>
        <v>10500</v>
      </c>
      <c r="V28" s="52">
        <f t="shared" si="45"/>
        <v>0.16408813877168307</v>
      </c>
      <c r="W28" s="53">
        <f t="shared" si="46"/>
        <v>1254</v>
      </c>
      <c r="X28" s="41">
        <f>'Юнит 27-31.10'!X28+'Юнит 01-02.11'!X28</f>
        <v>3990</v>
      </c>
      <c r="Y28" s="54">
        <f t="shared" si="47"/>
        <v>0.38</v>
      </c>
      <c r="Z28" s="41">
        <f>'Юнит 27-31.10'!Z28+'Юнит 01-02.11'!Z28</f>
        <v>112</v>
      </c>
      <c r="AA28" s="41">
        <f>'Юнит 27-31.10'!AA28+'Юнит 01-02.11'!AA28</f>
        <v>0</v>
      </c>
      <c r="AB28" s="64"/>
      <c r="AC28" s="51"/>
      <c r="AD28" s="55">
        <f t="shared" si="33"/>
        <v>630</v>
      </c>
      <c r="AE28" s="56">
        <f t="shared" si="34"/>
        <v>4514</v>
      </c>
      <c r="AF28" s="55"/>
      <c r="AG28" s="57">
        <f t="shared" si="35"/>
        <v>5250</v>
      </c>
      <c r="AH28" s="58">
        <f t="shared" si="36"/>
        <v>627</v>
      </c>
      <c r="AI28" s="58">
        <f t="shared" si="37"/>
        <v>1995</v>
      </c>
      <c r="AJ28" s="58">
        <f t="shared" si="38"/>
        <v>56</v>
      </c>
      <c r="AK28" s="58">
        <f t="shared" si="39"/>
        <v>0</v>
      </c>
      <c r="AL28" s="58">
        <f t="array" ref="AL28">_xlfn.IFS(R28=0,AE28,R28&lt;0,AE28/-R28,R28&gt;0,AE28/R28)</f>
        <v>2257</v>
      </c>
      <c r="AM28" s="59">
        <f t="shared" si="40"/>
        <v>0.4299047619047619</v>
      </c>
      <c r="AN28" s="60">
        <f t="shared" si="41"/>
        <v>3.5996810207336525</v>
      </c>
      <c r="AP28" s="62">
        <f t="shared" si="42"/>
        <v>36112</v>
      </c>
    </row>
    <row r="29" spans="1:52">
      <c r="A29" s="39">
        <v>2774720465</v>
      </c>
      <c r="B29" s="40" t="s">
        <v>171</v>
      </c>
      <c r="C29" s="41">
        <f>'Юнит 01-02.11'!C29</f>
        <v>16</v>
      </c>
      <c r="D29" s="42"/>
      <c r="E29" s="42"/>
      <c r="F29" s="42"/>
      <c r="G29" s="43"/>
      <c r="H29" s="65">
        <v>567</v>
      </c>
      <c r="I29" s="63">
        <f t="shared" si="25"/>
        <v>9072</v>
      </c>
      <c r="J29" s="45"/>
      <c r="K29" s="41">
        <f>'Юнит 27-31.10'!K29+'Юнит 01-02.11'!K29</f>
        <v>2</v>
      </c>
      <c r="L29" s="45"/>
      <c r="M29" s="45"/>
      <c r="N29" s="46">
        <f t="shared" si="26"/>
        <v>0.2857142857142857</v>
      </c>
      <c r="O29" s="47">
        <f t="shared" si="27"/>
        <v>0</v>
      </c>
      <c r="P29" s="41">
        <f>'Юнит 27-31.10'!P29+'Юнит 01-02.11'!P29</f>
        <v>0</v>
      </c>
      <c r="Q29" s="41">
        <f>'Юнит 27-31.10'!Q29+'Юнит 01-02.11'!Q29</f>
        <v>0</v>
      </c>
      <c r="R29" s="49">
        <f t="shared" si="43"/>
        <v>0</v>
      </c>
      <c r="S29" s="41">
        <f>'Юнит 27-31.10'!S29+'Юнит 01-02.11'!S29</f>
        <v>0</v>
      </c>
      <c r="T29" s="41">
        <f>'Юнит 27-31.10'!T29+'Юнит 01-02.11'!T29</f>
        <v>0</v>
      </c>
      <c r="U29" s="49">
        <f t="shared" si="44"/>
        <v>0</v>
      </c>
      <c r="V29" s="52">
        <f t="shared" si="45"/>
        <v>0</v>
      </c>
      <c r="W29" s="53">
        <f t="shared" si="46"/>
        <v>0</v>
      </c>
      <c r="X29" s="41">
        <f>'Юнит 27-31.10'!X29+'Юнит 01-02.11'!X29</f>
        <v>0</v>
      </c>
      <c r="Y29" s="54">
        <f t="shared" si="47"/>
        <v>0</v>
      </c>
      <c r="Z29" s="41">
        <f>'Юнит 27-31.10'!Z29+'Юнит 01-02.11'!Z29</f>
        <v>0</v>
      </c>
      <c r="AA29" s="41">
        <f>'Юнит 27-31.10'!AA29+'Юнит 01-02.11'!AA29</f>
        <v>0</v>
      </c>
      <c r="AB29" s="64"/>
      <c r="AC29" s="51"/>
      <c r="AD29" s="55">
        <f t="shared" si="33"/>
        <v>0</v>
      </c>
      <c r="AE29" s="56">
        <f t="shared" si="34"/>
        <v>0</v>
      </c>
      <c r="AF29" s="55"/>
      <c r="AG29" s="57">
        <f t="shared" si="35"/>
        <v>0</v>
      </c>
      <c r="AH29" s="58">
        <f t="shared" si="36"/>
        <v>567</v>
      </c>
      <c r="AI29" s="58">
        <f t="shared" si="37"/>
        <v>0</v>
      </c>
      <c r="AJ29" s="58">
        <f t="shared" si="38"/>
        <v>0</v>
      </c>
      <c r="AK29" s="58">
        <f t="shared" si="39"/>
        <v>0</v>
      </c>
      <c r="AL29" s="58">
        <f t="array" ref="AL29">_xlfn.IFS(R29=0,AE29,R29&lt;0,AE29/-R29,R29&gt;0,AE29/R29)</f>
        <v>0</v>
      </c>
      <c r="AM29" s="59">
        <f t="shared" si="40"/>
        <v>0</v>
      </c>
      <c r="AN29" s="60">
        <f t="shared" si="41"/>
        <v>0</v>
      </c>
      <c r="AP29" s="62">
        <f t="shared" si="42"/>
        <v>0</v>
      </c>
    </row>
    <row r="30" spans="1:52">
      <c r="A30" s="39">
        <v>2774718470</v>
      </c>
      <c r="B30" s="40" t="s">
        <v>39</v>
      </c>
      <c r="C30" s="41">
        <f>'Юнит 01-02.11'!C30</f>
        <v>19</v>
      </c>
      <c r="D30" s="42"/>
      <c r="E30" s="42"/>
      <c r="F30" s="42"/>
      <c r="G30" s="43"/>
      <c r="H30" s="65">
        <v>567</v>
      </c>
      <c r="I30" s="63">
        <f t="shared" si="25"/>
        <v>10773</v>
      </c>
      <c r="J30" s="45"/>
      <c r="K30" s="41">
        <f>'Юнит 27-31.10'!K30+'Юнит 01-02.11'!K30</f>
        <v>0</v>
      </c>
      <c r="L30" s="45"/>
      <c r="M30" s="45"/>
      <c r="N30" s="46">
        <f t="shared" si="26"/>
        <v>0</v>
      </c>
      <c r="O30" s="47">
        <f t="shared" si="27"/>
        <v>0</v>
      </c>
      <c r="P30" s="41">
        <f>'Юнит 27-31.10'!P30+'Юнит 01-02.11'!P30</f>
        <v>0</v>
      </c>
      <c r="Q30" s="41">
        <f>'Юнит 27-31.10'!Q30+'Юнит 01-02.11'!Q30</f>
        <v>0</v>
      </c>
      <c r="R30" s="49">
        <f t="shared" si="43"/>
        <v>0</v>
      </c>
      <c r="S30" s="41">
        <f>'Юнит 27-31.10'!S30+'Юнит 01-02.11'!S30</f>
        <v>0</v>
      </c>
      <c r="T30" s="41">
        <f>'Юнит 27-31.10'!T30+'Юнит 01-02.11'!T30</f>
        <v>0</v>
      </c>
      <c r="U30" s="49">
        <f t="shared" si="44"/>
        <v>0</v>
      </c>
      <c r="V30" s="52">
        <f t="shared" si="45"/>
        <v>0</v>
      </c>
      <c r="W30" s="53">
        <f t="shared" si="46"/>
        <v>0</v>
      </c>
      <c r="X30" s="41">
        <f>'Юнит 27-31.10'!X30+'Юнит 01-02.11'!X30</f>
        <v>0</v>
      </c>
      <c r="Y30" s="54">
        <f t="shared" si="47"/>
        <v>0</v>
      </c>
      <c r="Z30" s="41">
        <f>'Юнит 27-31.10'!Z30+'Юнит 01-02.11'!Z30</f>
        <v>0</v>
      </c>
      <c r="AA30" s="41">
        <f>'Юнит 27-31.10'!AA30+'Юнит 01-02.11'!AA30</f>
        <v>0</v>
      </c>
      <c r="AB30" s="64"/>
      <c r="AC30" s="51"/>
      <c r="AD30" s="55">
        <f t="shared" si="33"/>
        <v>0</v>
      </c>
      <c r="AE30" s="56">
        <f t="shared" si="34"/>
        <v>0</v>
      </c>
      <c r="AF30" s="55"/>
      <c r="AG30" s="57">
        <f t="shared" si="35"/>
        <v>0</v>
      </c>
      <c r="AH30" s="58">
        <f t="shared" si="36"/>
        <v>567</v>
      </c>
      <c r="AI30" s="58">
        <f t="shared" si="37"/>
        <v>0</v>
      </c>
      <c r="AJ30" s="58">
        <f t="shared" si="38"/>
        <v>0</v>
      </c>
      <c r="AK30" s="58">
        <f t="shared" si="39"/>
        <v>0</v>
      </c>
      <c r="AL30" s="58">
        <f t="array" ref="AL30">_xlfn.IFS(R30=0,AE30,R30&lt;0,AE30/-R30,R30&gt;0,AE30/R30)</f>
        <v>0</v>
      </c>
      <c r="AM30" s="59">
        <f t="shared" si="40"/>
        <v>0</v>
      </c>
      <c r="AN30" s="60">
        <f t="shared" si="41"/>
        <v>0</v>
      </c>
      <c r="AP30" s="62">
        <f t="shared" si="42"/>
        <v>0</v>
      </c>
    </row>
    <row r="31" spans="1:52">
      <c r="A31" s="39">
        <v>2774719022</v>
      </c>
      <c r="B31" s="40" t="s">
        <v>236</v>
      </c>
      <c r="C31" s="41">
        <f>'Юнит 01-02.11'!C31</f>
        <v>19</v>
      </c>
      <c r="D31" s="42"/>
      <c r="E31" s="42"/>
      <c r="F31" s="42"/>
      <c r="G31" s="43"/>
      <c r="H31" s="65">
        <v>657</v>
      </c>
      <c r="I31" s="63">
        <f t="shared" si="25"/>
        <v>12483</v>
      </c>
      <c r="J31" s="45"/>
      <c r="K31" s="41">
        <f>'Юнит 27-31.10'!K31+'Юнит 01-02.11'!K31</f>
        <v>1</v>
      </c>
      <c r="L31" s="45"/>
      <c r="M31" s="45"/>
      <c r="N31" s="46">
        <f t="shared" si="26"/>
        <v>0.14285714285714285</v>
      </c>
      <c r="O31" s="47">
        <f t="shared" si="27"/>
        <v>0</v>
      </c>
      <c r="P31" s="41">
        <f>'Юнит 27-31.10'!P31+'Юнит 01-02.11'!P31</f>
        <v>0</v>
      </c>
      <c r="Q31" s="41">
        <f>'Юнит 27-31.10'!Q31+'Юнит 01-02.11'!Q31</f>
        <v>0</v>
      </c>
      <c r="R31" s="49">
        <f t="shared" si="43"/>
        <v>0</v>
      </c>
      <c r="S31" s="41">
        <f>'Юнит 27-31.10'!S31+'Юнит 01-02.11'!S31</f>
        <v>0</v>
      </c>
      <c r="T31" s="41">
        <f>'Юнит 27-31.10'!T31+'Юнит 01-02.11'!T31</f>
        <v>0</v>
      </c>
      <c r="U31" s="49">
        <f t="shared" si="44"/>
        <v>0</v>
      </c>
      <c r="V31" s="52">
        <f t="shared" si="45"/>
        <v>0</v>
      </c>
      <c r="W31" s="53">
        <f t="shared" si="46"/>
        <v>0</v>
      </c>
      <c r="X31" s="41">
        <f>'Юнит 27-31.10'!X31+'Юнит 01-02.11'!X31</f>
        <v>0</v>
      </c>
      <c r="Y31" s="54">
        <f t="shared" si="47"/>
        <v>0</v>
      </c>
      <c r="Z31" s="41">
        <f>'Юнит 27-31.10'!Z31+'Юнит 01-02.11'!Z31</f>
        <v>0</v>
      </c>
      <c r="AA31" s="41">
        <f>'Юнит 27-31.10'!AA31+'Юнит 01-02.11'!AA31</f>
        <v>0</v>
      </c>
      <c r="AB31" s="64"/>
      <c r="AC31" s="51"/>
      <c r="AD31" s="55">
        <f t="shared" si="33"/>
        <v>0</v>
      </c>
      <c r="AE31" s="56">
        <f t="shared" si="34"/>
        <v>0</v>
      </c>
      <c r="AF31" s="55"/>
      <c r="AG31" s="57">
        <f t="shared" si="35"/>
        <v>0</v>
      </c>
      <c r="AH31" s="58">
        <f t="shared" si="36"/>
        <v>657</v>
      </c>
      <c r="AI31" s="58">
        <f t="shared" si="37"/>
        <v>0</v>
      </c>
      <c r="AJ31" s="58">
        <f t="shared" si="38"/>
        <v>0</v>
      </c>
      <c r="AK31" s="58">
        <f t="shared" si="39"/>
        <v>0</v>
      </c>
      <c r="AL31" s="58">
        <f t="array" ref="AL31">_xlfn.IFS(R31=0,AE31,R31&lt;0,AE31/-R31,R31&gt;0,AE31/R31)</f>
        <v>0</v>
      </c>
      <c r="AM31" s="59">
        <f t="shared" si="40"/>
        <v>0</v>
      </c>
      <c r="AN31" s="60">
        <f t="shared" si="41"/>
        <v>0</v>
      </c>
      <c r="AP31" s="62">
        <f t="shared" si="42"/>
        <v>0</v>
      </c>
    </row>
    <row r="32" spans="1:52">
      <c r="A32" s="39">
        <v>2774719501</v>
      </c>
      <c r="B32" s="40" t="s">
        <v>237</v>
      </c>
      <c r="C32" s="41">
        <f>'Юнит 01-02.11'!C32</f>
        <v>19</v>
      </c>
      <c r="D32" s="42"/>
      <c r="E32" s="42"/>
      <c r="F32" s="42"/>
      <c r="G32" s="43"/>
      <c r="H32" s="65">
        <v>597</v>
      </c>
      <c r="I32" s="63">
        <f t="shared" si="25"/>
        <v>11343</v>
      </c>
      <c r="J32" s="45"/>
      <c r="K32" s="41">
        <f>'Юнит 27-31.10'!K32+'Юнит 01-02.11'!K32</f>
        <v>0</v>
      </c>
      <c r="L32" s="45"/>
      <c r="M32" s="45"/>
      <c r="N32" s="46">
        <f t="shared" si="26"/>
        <v>0</v>
      </c>
      <c r="O32" s="47">
        <f t="shared" si="27"/>
        <v>0</v>
      </c>
      <c r="P32" s="41">
        <f>'Юнит 27-31.10'!P32+'Юнит 01-02.11'!P32</f>
        <v>0</v>
      </c>
      <c r="Q32" s="41">
        <f>'Юнит 27-31.10'!Q32+'Юнит 01-02.11'!Q32</f>
        <v>0</v>
      </c>
      <c r="R32" s="49">
        <f t="shared" si="43"/>
        <v>0</v>
      </c>
      <c r="S32" s="41">
        <f>'Юнит 27-31.10'!S32+'Юнит 01-02.11'!S32</f>
        <v>0</v>
      </c>
      <c r="T32" s="41">
        <f>'Юнит 27-31.10'!T32+'Юнит 01-02.11'!T32</f>
        <v>0</v>
      </c>
      <c r="U32" s="49">
        <f t="shared" si="44"/>
        <v>0</v>
      </c>
      <c r="V32" s="52">
        <f t="shared" si="45"/>
        <v>0</v>
      </c>
      <c r="W32" s="53">
        <f t="shared" si="46"/>
        <v>0</v>
      </c>
      <c r="X32" s="41">
        <f>'Юнит 27-31.10'!X32+'Юнит 01-02.11'!X32</f>
        <v>0</v>
      </c>
      <c r="Y32" s="54">
        <f t="shared" si="47"/>
        <v>0</v>
      </c>
      <c r="Z32" s="41">
        <f>'Юнит 27-31.10'!Z32+'Юнит 01-02.11'!Z32</f>
        <v>0</v>
      </c>
      <c r="AA32" s="41">
        <f>'Юнит 27-31.10'!AA32+'Юнит 01-02.11'!AA32</f>
        <v>0</v>
      </c>
      <c r="AB32" s="64"/>
      <c r="AC32" s="51"/>
      <c r="AD32" s="55">
        <f t="shared" si="33"/>
        <v>0</v>
      </c>
      <c r="AE32" s="56">
        <f t="shared" si="34"/>
        <v>0</v>
      </c>
      <c r="AF32" s="55"/>
      <c r="AG32" s="57">
        <f t="shared" si="35"/>
        <v>0</v>
      </c>
      <c r="AH32" s="58">
        <f t="shared" si="36"/>
        <v>597</v>
      </c>
      <c r="AI32" s="58">
        <f t="shared" si="37"/>
        <v>0</v>
      </c>
      <c r="AJ32" s="58">
        <f t="shared" si="38"/>
        <v>0</v>
      </c>
      <c r="AK32" s="58">
        <f t="shared" si="39"/>
        <v>0</v>
      </c>
      <c r="AL32" s="58">
        <f t="array" ref="AL32">_xlfn.IFS(R32=0,AE32,R32&lt;0,AE32/-R32,R32&gt;0,AE32/R32)</f>
        <v>0</v>
      </c>
      <c r="AM32" s="59">
        <f t="shared" si="40"/>
        <v>0</v>
      </c>
      <c r="AN32" s="60">
        <f t="shared" si="41"/>
        <v>0</v>
      </c>
      <c r="AP32" s="62">
        <f t="shared" si="42"/>
        <v>0</v>
      </c>
    </row>
    <row r="33" spans="1:42">
      <c r="A33" s="39">
        <v>2774714412</v>
      </c>
      <c r="B33" s="40" t="s">
        <v>142</v>
      </c>
      <c r="C33" s="41">
        <f>'Юнит 01-02.11'!C33</f>
        <v>17</v>
      </c>
      <c r="D33" s="42"/>
      <c r="E33" s="42"/>
      <c r="F33" s="42"/>
      <c r="G33" s="43"/>
      <c r="H33" s="65">
        <v>552</v>
      </c>
      <c r="I33" s="63">
        <f t="shared" si="25"/>
        <v>9384</v>
      </c>
      <c r="J33" s="45"/>
      <c r="K33" s="41">
        <f>'Юнит 27-31.10'!K33+'Юнит 01-02.11'!K33</f>
        <v>0</v>
      </c>
      <c r="L33" s="45"/>
      <c r="M33" s="45"/>
      <c r="N33" s="46">
        <f t="shared" si="26"/>
        <v>0</v>
      </c>
      <c r="O33" s="47">
        <f t="shared" si="27"/>
        <v>0</v>
      </c>
      <c r="P33" s="41">
        <f>'Юнит 27-31.10'!P33+'Юнит 01-02.11'!P33</f>
        <v>0</v>
      </c>
      <c r="Q33" s="41">
        <f>'Юнит 27-31.10'!Q33+'Юнит 01-02.11'!Q33</f>
        <v>0</v>
      </c>
      <c r="R33" s="49">
        <f t="shared" si="43"/>
        <v>0</v>
      </c>
      <c r="S33" s="41">
        <f>'Юнит 27-31.10'!S33+'Юнит 01-02.11'!S33</f>
        <v>0</v>
      </c>
      <c r="T33" s="41">
        <f>'Юнит 27-31.10'!T33+'Юнит 01-02.11'!T33</f>
        <v>0</v>
      </c>
      <c r="U33" s="49">
        <f t="shared" si="44"/>
        <v>0</v>
      </c>
      <c r="V33" s="52">
        <f t="shared" si="45"/>
        <v>0</v>
      </c>
      <c r="W33" s="53">
        <f t="shared" si="46"/>
        <v>0</v>
      </c>
      <c r="X33" s="41">
        <f>'Юнит 27-31.10'!X33+'Юнит 01-02.11'!X33</f>
        <v>0</v>
      </c>
      <c r="Y33" s="54">
        <f t="shared" si="47"/>
        <v>0</v>
      </c>
      <c r="Z33" s="41">
        <f>'Юнит 27-31.10'!Z33+'Юнит 01-02.11'!Z33</f>
        <v>112</v>
      </c>
      <c r="AA33" s="41">
        <f>'Юнит 27-31.10'!AA33+'Юнит 01-02.11'!AA33</f>
        <v>0</v>
      </c>
      <c r="AB33" s="64"/>
      <c r="AC33" s="51"/>
      <c r="AD33" s="55">
        <f t="shared" si="33"/>
        <v>0</v>
      </c>
      <c r="AE33" s="56">
        <f t="shared" si="34"/>
        <v>-112</v>
      </c>
      <c r="AF33" s="55"/>
      <c r="AG33" s="57">
        <f t="shared" si="35"/>
        <v>0</v>
      </c>
      <c r="AH33" s="58">
        <f t="shared" si="36"/>
        <v>552</v>
      </c>
      <c r="AI33" s="58">
        <f t="shared" si="37"/>
        <v>0</v>
      </c>
      <c r="AJ33" s="58">
        <f t="shared" si="38"/>
        <v>112</v>
      </c>
      <c r="AK33" s="58">
        <f t="shared" si="39"/>
        <v>0</v>
      </c>
      <c r="AL33" s="58">
        <f t="array" ref="AL33">_xlfn.IFS(R33=0,AE33,R33&lt;0,AE33/-R33,R33&gt;0,AE33/R33)</f>
        <v>-112</v>
      </c>
      <c r="AM33" s="59">
        <f t="shared" si="40"/>
        <v>0</v>
      </c>
      <c r="AN33" s="60">
        <f t="shared" si="41"/>
        <v>-0.20289855072463769</v>
      </c>
      <c r="AP33" s="62">
        <f t="shared" si="42"/>
        <v>-1904</v>
      </c>
    </row>
    <row r="34" spans="1:42">
      <c r="A34" s="39">
        <v>2774710430</v>
      </c>
      <c r="B34" s="40" t="s">
        <v>238</v>
      </c>
      <c r="C34" s="41">
        <f>'Юнит 01-02.11'!C34</f>
        <v>18</v>
      </c>
      <c r="D34" s="42"/>
      <c r="E34" s="42"/>
      <c r="F34" s="42"/>
      <c r="G34" s="43"/>
      <c r="H34" s="65">
        <v>552</v>
      </c>
      <c r="I34" s="63">
        <f t="shared" si="25"/>
        <v>9936</v>
      </c>
      <c r="J34" s="45"/>
      <c r="K34" s="41">
        <f>'Юнит 27-31.10'!K34+'Юнит 01-02.11'!K34</f>
        <v>0</v>
      </c>
      <c r="L34" s="45"/>
      <c r="M34" s="45"/>
      <c r="N34" s="46">
        <f t="shared" si="26"/>
        <v>0</v>
      </c>
      <c r="O34" s="47">
        <f t="shared" si="27"/>
        <v>0</v>
      </c>
      <c r="P34" s="41">
        <f>'Юнит 27-31.10'!P34+'Юнит 01-02.11'!P34</f>
        <v>0</v>
      </c>
      <c r="Q34" s="41">
        <f>'Юнит 27-31.10'!Q34+'Юнит 01-02.11'!Q34</f>
        <v>0</v>
      </c>
      <c r="R34" s="49">
        <f t="shared" si="43"/>
        <v>0</v>
      </c>
      <c r="S34" s="41">
        <f>'Юнит 27-31.10'!S34+'Юнит 01-02.11'!S34</f>
        <v>0</v>
      </c>
      <c r="T34" s="41">
        <f>'Юнит 27-31.10'!T34+'Юнит 01-02.11'!T34</f>
        <v>0</v>
      </c>
      <c r="U34" s="49">
        <f t="shared" si="44"/>
        <v>0</v>
      </c>
      <c r="V34" s="52">
        <f t="shared" si="45"/>
        <v>0</v>
      </c>
      <c r="W34" s="53">
        <f t="shared" si="46"/>
        <v>0</v>
      </c>
      <c r="X34" s="41">
        <f>'Юнит 27-31.10'!X34+'Юнит 01-02.11'!X34</f>
        <v>0</v>
      </c>
      <c r="Y34" s="54">
        <f t="shared" si="47"/>
        <v>0</v>
      </c>
      <c r="Z34" s="41">
        <f>'Юнит 27-31.10'!Z34+'Юнит 01-02.11'!Z34</f>
        <v>0</v>
      </c>
      <c r="AA34" s="41">
        <f>'Юнит 27-31.10'!AA34+'Юнит 01-02.11'!AA34</f>
        <v>0</v>
      </c>
      <c r="AB34" s="64"/>
      <c r="AC34" s="51"/>
      <c r="AD34" s="55">
        <f t="shared" si="33"/>
        <v>0</v>
      </c>
      <c r="AE34" s="56">
        <f t="shared" si="34"/>
        <v>0</v>
      </c>
      <c r="AF34" s="55"/>
      <c r="AG34" s="57">
        <f t="shared" si="35"/>
        <v>0</v>
      </c>
      <c r="AH34" s="58">
        <f t="shared" si="36"/>
        <v>552</v>
      </c>
      <c r="AI34" s="58">
        <f t="shared" si="37"/>
        <v>0</v>
      </c>
      <c r="AJ34" s="58">
        <f t="shared" si="38"/>
        <v>0</v>
      </c>
      <c r="AK34" s="58">
        <f t="shared" si="39"/>
        <v>0</v>
      </c>
      <c r="AL34" s="58">
        <f t="array" ref="AL34">_xlfn.IFS(R34=0,AE34,R34&lt;0,AE34/-R34,R34&gt;0,AE34/R34)</f>
        <v>0</v>
      </c>
      <c r="AM34" s="59">
        <f t="shared" si="40"/>
        <v>0</v>
      </c>
      <c r="AN34" s="60">
        <f t="shared" si="41"/>
        <v>0</v>
      </c>
      <c r="AP34" s="62">
        <f t="shared" si="42"/>
        <v>0</v>
      </c>
    </row>
    <row r="35" spans="1:42">
      <c r="A35" s="39">
        <v>2774712116</v>
      </c>
      <c r="B35" s="40" t="s">
        <v>62</v>
      </c>
      <c r="C35" s="41">
        <f>'Юнит 01-02.11'!C35</f>
        <v>15</v>
      </c>
      <c r="D35" s="42"/>
      <c r="E35" s="42"/>
      <c r="F35" s="42"/>
      <c r="G35" s="43"/>
      <c r="H35" s="65">
        <v>687</v>
      </c>
      <c r="I35" s="63">
        <f t="shared" si="25"/>
        <v>10305</v>
      </c>
      <c r="J35" s="45"/>
      <c r="K35" s="41">
        <f>'Юнит 27-31.10'!K35+'Юнит 01-02.11'!K35</f>
        <v>0</v>
      </c>
      <c r="L35" s="45"/>
      <c r="M35" s="45"/>
      <c r="N35" s="46">
        <f t="shared" si="26"/>
        <v>0</v>
      </c>
      <c r="O35" s="47">
        <f t="shared" si="27"/>
        <v>0</v>
      </c>
      <c r="P35" s="41">
        <f>'Юнит 27-31.10'!P35+'Юнит 01-02.11'!P35</f>
        <v>0</v>
      </c>
      <c r="Q35" s="41">
        <f>'Юнит 27-31.10'!Q35+'Юнит 01-02.11'!Q35</f>
        <v>0</v>
      </c>
      <c r="R35" s="49">
        <f t="shared" si="43"/>
        <v>0</v>
      </c>
      <c r="S35" s="41">
        <f>'Юнит 27-31.10'!S35+'Юнит 01-02.11'!S35</f>
        <v>0</v>
      </c>
      <c r="T35" s="41">
        <f>'Юнит 27-31.10'!T35+'Юнит 01-02.11'!T35</f>
        <v>0</v>
      </c>
      <c r="U35" s="49">
        <f t="shared" si="44"/>
        <v>0</v>
      </c>
      <c r="V35" s="52">
        <f t="shared" si="45"/>
        <v>0</v>
      </c>
      <c r="W35" s="53">
        <f t="shared" si="46"/>
        <v>0</v>
      </c>
      <c r="X35" s="41">
        <f>'Юнит 27-31.10'!X35+'Юнит 01-02.11'!X35</f>
        <v>0</v>
      </c>
      <c r="Y35" s="54">
        <f t="shared" si="47"/>
        <v>0</v>
      </c>
      <c r="Z35" s="41">
        <f>'Юнит 27-31.10'!Z35+'Юнит 01-02.11'!Z35</f>
        <v>112</v>
      </c>
      <c r="AA35" s="41">
        <f>'Юнит 27-31.10'!AA35+'Юнит 01-02.11'!AA35</f>
        <v>0</v>
      </c>
      <c r="AB35" s="64"/>
      <c r="AC35" s="51"/>
      <c r="AD35" s="55">
        <f t="shared" si="33"/>
        <v>0</v>
      </c>
      <c r="AE35" s="56">
        <f t="shared" si="34"/>
        <v>-112</v>
      </c>
      <c r="AF35" s="55"/>
      <c r="AG35" s="57">
        <f t="shared" si="35"/>
        <v>0</v>
      </c>
      <c r="AH35" s="58">
        <f t="shared" si="36"/>
        <v>687</v>
      </c>
      <c r="AI35" s="58">
        <f t="shared" si="37"/>
        <v>0</v>
      </c>
      <c r="AJ35" s="58">
        <f t="shared" si="38"/>
        <v>112</v>
      </c>
      <c r="AK35" s="58">
        <f t="shared" si="39"/>
        <v>0</v>
      </c>
      <c r="AL35" s="58">
        <f t="array" ref="AL35">_xlfn.IFS(R35=0,AE35,R35&lt;0,AE35/-R35,R35&gt;0,AE35/R35)</f>
        <v>-112</v>
      </c>
      <c r="AM35" s="59">
        <f t="shared" si="40"/>
        <v>0</v>
      </c>
      <c r="AN35" s="60">
        <f t="shared" si="41"/>
        <v>-0.16302765647743814</v>
      </c>
      <c r="AP35" s="62">
        <f t="shared" si="42"/>
        <v>-1680</v>
      </c>
    </row>
    <row r="36" spans="1:42">
      <c r="A36" s="39">
        <v>2774719012</v>
      </c>
      <c r="B36" s="40" t="s">
        <v>239</v>
      </c>
      <c r="C36" s="41">
        <f>'Юнит 01-02.11'!C36</f>
        <v>7</v>
      </c>
      <c r="D36" s="42"/>
      <c r="E36" s="42"/>
      <c r="F36" s="42"/>
      <c r="G36" s="43"/>
      <c r="H36" s="65">
        <v>687</v>
      </c>
      <c r="I36" s="63">
        <f t="shared" si="25"/>
        <v>4809</v>
      </c>
      <c r="J36" s="45"/>
      <c r="K36" s="41">
        <f>'Юнит 27-31.10'!K36+'Юнит 01-02.11'!K36</f>
        <v>6</v>
      </c>
      <c r="L36" s="45"/>
      <c r="M36" s="45"/>
      <c r="N36" s="46">
        <f t="shared" si="26"/>
        <v>0.8571428571428571</v>
      </c>
      <c r="O36" s="47">
        <f t="shared" si="27"/>
        <v>0.7142857142857143</v>
      </c>
      <c r="P36" s="41">
        <f>'Юнит 27-31.10'!P36+'Юнит 01-02.11'!P36</f>
        <v>5</v>
      </c>
      <c r="Q36" s="41">
        <f>'Юнит 27-31.10'!Q36+'Юнит 01-02.11'!Q36</f>
        <v>0</v>
      </c>
      <c r="R36" s="49">
        <f t="shared" si="43"/>
        <v>5</v>
      </c>
      <c r="S36" s="41">
        <f>'Юнит 27-31.10'!S36+'Юнит 01-02.11'!S36</f>
        <v>22740</v>
      </c>
      <c r="T36" s="41">
        <f>'Юнит 27-31.10'!T36+'Юнит 01-02.11'!T36</f>
        <v>0</v>
      </c>
      <c r="U36" s="49">
        <f t="shared" si="44"/>
        <v>22740</v>
      </c>
      <c r="V36" s="52">
        <f t="shared" si="45"/>
        <v>0.35536802625410219</v>
      </c>
      <c r="W36" s="53">
        <f t="shared" si="46"/>
        <v>3435</v>
      </c>
      <c r="X36" s="41">
        <f>'Юнит 27-31.10'!X36+'Юнит 01-02.11'!X36</f>
        <v>8277.36</v>
      </c>
      <c r="Y36" s="54">
        <f t="shared" si="47"/>
        <v>0.36400000000000005</v>
      </c>
      <c r="Z36" s="41">
        <f>'Юнит 27-31.10'!Z36+'Юнит 01-02.11'!Z36</f>
        <v>784</v>
      </c>
      <c r="AA36" s="41">
        <f>'Юнит 27-31.10'!AA36+'Юнит 01-02.11'!AA36</f>
        <v>7882.3464299999996</v>
      </c>
      <c r="AB36" s="64"/>
      <c r="AC36" s="51"/>
      <c r="AD36" s="55">
        <f t="shared" si="33"/>
        <v>1364.3999999999999</v>
      </c>
      <c r="AE36" s="56">
        <f t="shared" si="34"/>
        <v>996.89356999999995</v>
      </c>
      <c r="AF36" s="55"/>
      <c r="AG36" s="57">
        <f t="shared" si="35"/>
        <v>4548</v>
      </c>
      <c r="AH36" s="58">
        <f t="shared" si="36"/>
        <v>687</v>
      </c>
      <c r="AI36" s="58">
        <f t="shared" si="37"/>
        <v>1655.4720000000002</v>
      </c>
      <c r="AJ36" s="58">
        <f t="shared" si="38"/>
        <v>156.80000000000001</v>
      </c>
      <c r="AK36" s="58">
        <f t="shared" si="39"/>
        <v>1576.469286</v>
      </c>
      <c r="AL36" s="58">
        <f t="array" ref="AL36">_xlfn.IFS(R36=0,AE36,R36&lt;0,AE36/-R36,R36&gt;0,AE36/R36)</f>
        <v>199.378714</v>
      </c>
      <c r="AM36" s="59">
        <f t="shared" si="40"/>
        <v>4.3838767370272647E-2</v>
      </c>
      <c r="AN36" s="60">
        <f t="shared" si="41"/>
        <v>0.2902164687045124</v>
      </c>
      <c r="AP36" s="62">
        <f t="shared" si="42"/>
        <v>1395.6509980000001</v>
      </c>
    </row>
    <row r="37" spans="1:42">
      <c r="A37" s="39">
        <v>2774719433</v>
      </c>
      <c r="B37" s="40" t="s">
        <v>240</v>
      </c>
      <c r="C37" s="41">
        <f>'Юнит 01-02.11'!C37</f>
        <v>18</v>
      </c>
      <c r="D37" s="42"/>
      <c r="E37" s="42"/>
      <c r="F37" s="42"/>
      <c r="G37" s="43"/>
      <c r="H37" s="65">
        <v>597</v>
      </c>
      <c r="I37" s="63">
        <f t="shared" si="25"/>
        <v>10746</v>
      </c>
      <c r="J37" s="45"/>
      <c r="K37" s="41">
        <f>'Юнит 27-31.10'!K37+'Юнит 01-02.11'!K37</f>
        <v>1</v>
      </c>
      <c r="L37" s="45"/>
      <c r="M37" s="45"/>
      <c r="N37" s="46">
        <f t="shared" si="26"/>
        <v>0.14285714285714285</v>
      </c>
      <c r="O37" s="47">
        <f t="shared" si="27"/>
        <v>0</v>
      </c>
      <c r="P37" s="41">
        <f>'Юнит 27-31.10'!P37+'Юнит 01-02.11'!P37</f>
        <v>0</v>
      </c>
      <c r="Q37" s="41">
        <f>'Юнит 27-31.10'!Q37+'Юнит 01-02.11'!Q37</f>
        <v>0</v>
      </c>
      <c r="R37" s="49">
        <f t="shared" si="43"/>
        <v>0</v>
      </c>
      <c r="S37" s="41">
        <f>'Юнит 27-31.10'!S37+'Юнит 01-02.11'!S37</f>
        <v>0</v>
      </c>
      <c r="T37" s="41">
        <f>'Юнит 27-31.10'!T37+'Юнит 01-02.11'!T37</f>
        <v>0</v>
      </c>
      <c r="U37" s="49">
        <f t="shared" si="44"/>
        <v>0</v>
      </c>
      <c r="V37" s="52">
        <f t="shared" si="45"/>
        <v>0</v>
      </c>
      <c r="W37" s="53">
        <f t="shared" si="46"/>
        <v>0</v>
      </c>
      <c r="X37" s="41">
        <f>'Юнит 27-31.10'!X37+'Юнит 01-02.11'!X37</f>
        <v>0</v>
      </c>
      <c r="Y37" s="54">
        <f t="shared" si="47"/>
        <v>0</v>
      </c>
      <c r="Z37" s="41">
        <f>'Юнит 27-31.10'!Z37+'Юнит 01-02.11'!Z37</f>
        <v>0</v>
      </c>
      <c r="AA37" s="41">
        <f>'Юнит 27-31.10'!AA37+'Юнит 01-02.11'!AA37</f>
        <v>0</v>
      </c>
      <c r="AB37" s="64"/>
      <c r="AC37" s="51"/>
      <c r="AD37" s="55">
        <f t="shared" si="33"/>
        <v>0</v>
      </c>
      <c r="AE37" s="56">
        <f t="shared" si="34"/>
        <v>0</v>
      </c>
      <c r="AF37" s="55"/>
      <c r="AG37" s="57">
        <f t="shared" si="35"/>
        <v>0</v>
      </c>
      <c r="AH37" s="58">
        <f t="shared" si="36"/>
        <v>597</v>
      </c>
      <c r="AI37" s="58">
        <f t="shared" si="37"/>
        <v>0</v>
      </c>
      <c r="AJ37" s="58">
        <f t="shared" si="38"/>
        <v>0</v>
      </c>
      <c r="AK37" s="58">
        <f t="shared" si="39"/>
        <v>0</v>
      </c>
      <c r="AL37" s="58">
        <f t="array" ref="AL37">_xlfn.IFS(R37=0,AE37,R37&lt;0,AE37/-R37,R37&gt;0,AE37/R37)</f>
        <v>0</v>
      </c>
      <c r="AM37" s="59">
        <f t="shared" si="40"/>
        <v>0</v>
      </c>
      <c r="AN37" s="60">
        <f t="shared" si="41"/>
        <v>0</v>
      </c>
      <c r="AP37" s="62">
        <f t="shared" si="42"/>
        <v>0</v>
      </c>
    </row>
    <row r="38" spans="1:42">
      <c r="A38" s="39">
        <v>2774719029</v>
      </c>
      <c r="B38" s="40" t="s">
        <v>241</v>
      </c>
      <c r="C38" s="41">
        <f>'Юнит 01-02.11'!C38</f>
        <v>17</v>
      </c>
      <c r="D38" s="42"/>
      <c r="E38" s="42"/>
      <c r="F38" s="42"/>
      <c r="G38" s="43"/>
      <c r="H38" s="65">
        <v>597</v>
      </c>
      <c r="I38" s="63">
        <f t="shared" si="25"/>
        <v>10149</v>
      </c>
      <c r="J38" s="45"/>
      <c r="K38" s="41">
        <f>'Юнит 27-31.10'!K38+'Юнит 01-02.11'!K38</f>
        <v>1</v>
      </c>
      <c r="L38" s="45"/>
      <c r="M38" s="45"/>
      <c r="N38" s="46">
        <f t="shared" si="26"/>
        <v>0.14285714285714285</v>
      </c>
      <c r="O38" s="47">
        <f t="shared" si="27"/>
        <v>0</v>
      </c>
      <c r="P38" s="41">
        <f>'Юнит 27-31.10'!P38+'Юнит 01-02.11'!P38</f>
        <v>0</v>
      </c>
      <c r="Q38" s="41">
        <f>'Юнит 27-31.10'!Q38+'Юнит 01-02.11'!Q38</f>
        <v>0</v>
      </c>
      <c r="R38" s="49">
        <f t="shared" si="43"/>
        <v>0</v>
      </c>
      <c r="S38" s="41">
        <f>'Юнит 27-31.10'!S38+'Юнит 01-02.11'!S38</f>
        <v>0</v>
      </c>
      <c r="T38" s="41">
        <f>'Юнит 27-31.10'!T38+'Юнит 01-02.11'!T38</f>
        <v>0</v>
      </c>
      <c r="U38" s="49">
        <f t="shared" si="44"/>
        <v>0</v>
      </c>
      <c r="V38" s="52">
        <f t="shared" si="45"/>
        <v>0</v>
      </c>
      <c r="W38" s="53">
        <f t="shared" si="46"/>
        <v>0</v>
      </c>
      <c r="X38" s="41">
        <f>'Юнит 27-31.10'!X38+'Юнит 01-02.11'!X38</f>
        <v>0</v>
      </c>
      <c r="Y38" s="54">
        <f t="shared" si="47"/>
        <v>0</v>
      </c>
      <c r="Z38" s="41">
        <f>'Юнит 27-31.10'!Z38+'Юнит 01-02.11'!Z38</f>
        <v>112</v>
      </c>
      <c r="AA38" s="41">
        <f>'Юнит 27-31.10'!AA38+'Юнит 01-02.11'!AA38</f>
        <v>0</v>
      </c>
      <c r="AB38" s="64"/>
      <c r="AC38" s="51"/>
      <c r="AD38" s="55">
        <f t="shared" si="33"/>
        <v>0</v>
      </c>
      <c r="AE38" s="56">
        <f t="shared" si="34"/>
        <v>-112</v>
      </c>
      <c r="AF38" s="55"/>
      <c r="AG38" s="57">
        <f t="shared" si="35"/>
        <v>0</v>
      </c>
      <c r="AH38" s="58">
        <f t="shared" si="36"/>
        <v>597</v>
      </c>
      <c r="AI38" s="58">
        <f t="shared" si="37"/>
        <v>0</v>
      </c>
      <c r="AJ38" s="58">
        <f t="shared" si="38"/>
        <v>112</v>
      </c>
      <c r="AK38" s="58">
        <f t="shared" si="39"/>
        <v>0</v>
      </c>
      <c r="AL38" s="58">
        <f t="array" ref="AL38">_xlfn.IFS(R38=0,AE38,R38&lt;0,AE38/-R38,R38&gt;0,AE38/R38)</f>
        <v>-112</v>
      </c>
      <c r="AM38" s="59">
        <f t="shared" si="40"/>
        <v>0</v>
      </c>
      <c r="AN38" s="60">
        <f t="shared" si="41"/>
        <v>-0.18760469011725292</v>
      </c>
      <c r="AP38" s="62">
        <f t="shared" si="42"/>
        <v>-1904</v>
      </c>
    </row>
    <row r="39" spans="1:42">
      <c r="A39" s="39">
        <v>2774719553</v>
      </c>
      <c r="B39" s="40" t="s">
        <v>242</v>
      </c>
      <c r="C39" s="41">
        <f>'Юнит 01-02.11'!C39</f>
        <v>19</v>
      </c>
      <c r="D39" s="42"/>
      <c r="E39" s="42"/>
      <c r="F39" s="42"/>
      <c r="G39" s="43"/>
      <c r="H39" s="65">
        <v>597</v>
      </c>
      <c r="I39" s="63">
        <f t="shared" si="25"/>
        <v>11343</v>
      </c>
      <c r="J39" s="45"/>
      <c r="K39" s="41">
        <f>'Юнит 27-31.10'!K39+'Юнит 01-02.11'!K39</f>
        <v>0</v>
      </c>
      <c r="L39" s="45"/>
      <c r="M39" s="45"/>
      <c r="N39" s="46">
        <f t="shared" si="26"/>
        <v>0</v>
      </c>
      <c r="O39" s="47">
        <f t="shared" si="27"/>
        <v>0</v>
      </c>
      <c r="P39" s="41">
        <f>'Юнит 27-31.10'!P39+'Юнит 01-02.11'!P39</f>
        <v>0</v>
      </c>
      <c r="Q39" s="41">
        <f>'Юнит 27-31.10'!Q39+'Юнит 01-02.11'!Q39</f>
        <v>0</v>
      </c>
      <c r="R39" s="49">
        <f t="shared" si="43"/>
        <v>0</v>
      </c>
      <c r="S39" s="41">
        <f>'Юнит 27-31.10'!S39+'Юнит 01-02.11'!S39</f>
        <v>0</v>
      </c>
      <c r="T39" s="41">
        <f>'Юнит 27-31.10'!T39+'Юнит 01-02.11'!T39</f>
        <v>0</v>
      </c>
      <c r="U39" s="49">
        <f t="shared" si="44"/>
        <v>0</v>
      </c>
      <c r="V39" s="52">
        <f t="shared" si="45"/>
        <v>0</v>
      </c>
      <c r="W39" s="53">
        <f t="shared" si="46"/>
        <v>0</v>
      </c>
      <c r="X39" s="41">
        <f>'Юнит 27-31.10'!X39+'Юнит 01-02.11'!X39</f>
        <v>0</v>
      </c>
      <c r="Y39" s="54">
        <f t="shared" si="47"/>
        <v>0</v>
      </c>
      <c r="Z39" s="41">
        <f>'Юнит 27-31.10'!Z39+'Юнит 01-02.11'!Z39</f>
        <v>0</v>
      </c>
      <c r="AA39" s="41">
        <f>'Юнит 27-31.10'!AA39+'Юнит 01-02.11'!AA39</f>
        <v>0</v>
      </c>
      <c r="AB39" s="64"/>
      <c r="AC39" s="51"/>
      <c r="AD39" s="55">
        <f t="shared" si="33"/>
        <v>0</v>
      </c>
      <c r="AE39" s="56">
        <f t="shared" si="34"/>
        <v>0</v>
      </c>
      <c r="AF39" s="55"/>
      <c r="AG39" s="57">
        <f t="shared" si="35"/>
        <v>0</v>
      </c>
      <c r="AH39" s="58">
        <f t="shared" si="36"/>
        <v>597</v>
      </c>
      <c r="AI39" s="58">
        <f t="shared" si="37"/>
        <v>0</v>
      </c>
      <c r="AJ39" s="58">
        <f t="shared" si="38"/>
        <v>0</v>
      </c>
      <c r="AK39" s="58">
        <f t="shared" si="39"/>
        <v>0</v>
      </c>
      <c r="AL39" s="58">
        <f t="array" ref="AL39">_xlfn.IFS(R39=0,AE39,R39&lt;0,AE39/-R39,R39&gt;0,AE39/R39)</f>
        <v>0</v>
      </c>
      <c r="AM39" s="59">
        <f t="shared" si="40"/>
        <v>0</v>
      </c>
      <c r="AN39" s="60">
        <f t="shared" si="41"/>
        <v>0</v>
      </c>
      <c r="AP39" s="62">
        <f t="shared" si="42"/>
        <v>0</v>
      </c>
    </row>
    <row r="40" spans="1:42">
      <c r="A40" s="39">
        <v>2774710913</v>
      </c>
      <c r="B40" s="40" t="s">
        <v>243</v>
      </c>
      <c r="C40" s="41">
        <f>'Юнит 01-02.11'!C40</f>
        <v>19</v>
      </c>
      <c r="D40" s="42"/>
      <c r="E40" s="42"/>
      <c r="F40" s="42"/>
      <c r="G40" s="43"/>
      <c r="H40" s="65">
        <v>642</v>
      </c>
      <c r="I40" s="63">
        <f t="shared" si="25"/>
        <v>12198</v>
      </c>
      <c r="J40" s="45"/>
      <c r="K40" s="41">
        <f>'Юнит 27-31.10'!K40+'Юнит 01-02.11'!K40</f>
        <v>0</v>
      </c>
      <c r="L40" s="45"/>
      <c r="M40" s="45"/>
      <c r="N40" s="46">
        <f t="shared" si="26"/>
        <v>0</v>
      </c>
      <c r="O40" s="47">
        <f t="shared" si="27"/>
        <v>0</v>
      </c>
      <c r="P40" s="41">
        <f>'Юнит 27-31.10'!P40+'Юнит 01-02.11'!P40</f>
        <v>0</v>
      </c>
      <c r="Q40" s="41">
        <f>'Юнит 27-31.10'!Q40+'Юнит 01-02.11'!Q40</f>
        <v>0</v>
      </c>
      <c r="R40" s="49">
        <f t="shared" si="43"/>
        <v>0</v>
      </c>
      <c r="S40" s="41">
        <f>'Юнит 27-31.10'!S40+'Юнит 01-02.11'!S40</f>
        <v>0</v>
      </c>
      <c r="T40" s="41">
        <f>'Юнит 27-31.10'!T40+'Юнит 01-02.11'!T40</f>
        <v>0</v>
      </c>
      <c r="U40" s="49">
        <f t="shared" si="44"/>
        <v>0</v>
      </c>
      <c r="V40" s="52">
        <f t="shared" si="45"/>
        <v>0</v>
      </c>
      <c r="W40" s="53">
        <f t="shared" si="46"/>
        <v>0</v>
      </c>
      <c r="X40" s="41">
        <f>'Юнит 27-31.10'!X40+'Юнит 01-02.11'!X40</f>
        <v>0</v>
      </c>
      <c r="Y40" s="54">
        <f t="shared" si="47"/>
        <v>0</v>
      </c>
      <c r="Z40" s="41">
        <f>'Юнит 27-31.10'!Z40+'Юнит 01-02.11'!Z40</f>
        <v>0</v>
      </c>
      <c r="AA40" s="41">
        <f>'Юнит 27-31.10'!AA40+'Юнит 01-02.11'!AA40</f>
        <v>0</v>
      </c>
      <c r="AB40" s="64"/>
      <c r="AC40" s="51"/>
      <c r="AD40" s="55">
        <f t="shared" si="33"/>
        <v>0</v>
      </c>
      <c r="AE40" s="56">
        <f t="shared" si="34"/>
        <v>0</v>
      </c>
      <c r="AF40" s="55"/>
      <c r="AG40" s="57">
        <f t="shared" si="35"/>
        <v>0</v>
      </c>
      <c r="AH40" s="58">
        <f t="shared" si="36"/>
        <v>642</v>
      </c>
      <c r="AI40" s="58">
        <f t="shared" si="37"/>
        <v>0</v>
      </c>
      <c r="AJ40" s="58">
        <f t="shared" si="38"/>
        <v>0</v>
      </c>
      <c r="AK40" s="58">
        <f t="shared" si="39"/>
        <v>0</v>
      </c>
      <c r="AL40" s="58">
        <f t="array" ref="AL40">_xlfn.IFS(R40=0,AE40,R40&lt;0,AE40/-R40,R40&gt;0,AE40/R40)</f>
        <v>0</v>
      </c>
      <c r="AM40" s="59">
        <f t="shared" si="40"/>
        <v>0</v>
      </c>
      <c r="AN40" s="60">
        <f t="shared" si="41"/>
        <v>0</v>
      </c>
      <c r="AP40" s="62">
        <f t="shared" si="42"/>
        <v>0</v>
      </c>
    </row>
    <row r="41" spans="1:42">
      <c r="A41" s="39">
        <v>2774721668</v>
      </c>
      <c r="B41" s="40" t="s">
        <v>771</v>
      </c>
      <c r="C41" s="41">
        <f>'Юнит 01-02.11'!C41</f>
        <v>19</v>
      </c>
      <c r="D41" s="42"/>
      <c r="E41" s="42"/>
      <c r="F41" s="42"/>
      <c r="G41" s="43"/>
      <c r="H41" s="65">
        <v>642</v>
      </c>
      <c r="I41" s="63">
        <f t="shared" si="25"/>
        <v>12198</v>
      </c>
      <c r="J41" s="45"/>
      <c r="K41" s="41">
        <f>'Юнит 27-31.10'!K41+'Юнит 01-02.11'!K41</f>
        <v>0</v>
      </c>
      <c r="L41" s="45"/>
      <c r="M41" s="45"/>
      <c r="N41" s="46">
        <f t="shared" si="26"/>
        <v>0</v>
      </c>
      <c r="O41" s="47">
        <f t="shared" si="27"/>
        <v>0</v>
      </c>
      <c r="P41" s="41">
        <f>'Юнит 27-31.10'!P41+'Юнит 01-02.11'!P41</f>
        <v>0</v>
      </c>
      <c r="Q41" s="41">
        <f>'Юнит 27-31.10'!Q41+'Юнит 01-02.11'!Q41</f>
        <v>0</v>
      </c>
      <c r="R41" s="49">
        <f t="shared" si="43"/>
        <v>0</v>
      </c>
      <c r="S41" s="41">
        <f>'Юнит 27-31.10'!S41+'Юнит 01-02.11'!S41</f>
        <v>0</v>
      </c>
      <c r="T41" s="41">
        <f>'Юнит 27-31.10'!T41+'Юнит 01-02.11'!T41</f>
        <v>0</v>
      </c>
      <c r="U41" s="49">
        <f t="shared" si="44"/>
        <v>0</v>
      </c>
      <c r="V41" s="52">
        <f t="shared" si="45"/>
        <v>0</v>
      </c>
      <c r="W41" s="53">
        <f t="shared" si="46"/>
        <v>0</v>
      </c>
      <c r="X41" s="41">
        <f>'Юнит 27-31.10'!X41+'Юнит 01-02.11'!X41</f>
        <v>0</v>
      </c>
      <c r="Y41" s="54">
        <f t="shared" si="47"/>
        <v>0</v>
      </c>
      <c r="Z41" s="41">
        <f>'Юнит 27-31.10'!Z41+'Юнит 01-02.11'!Z41</f>
        <v>112</v>
      </c>
      <c r="AA41" s="41">
        <f>'Юнит 27-31.10'!AA41+'Юнит 01-02.11'!AA41</f>
        <v>0</v>
      </c>
      <c r="AB41" s="64"/>
      <c r="AC41" s="51"/>
      <c r="AD41" s="55">
        <f t="shared" si="33"/>
        <v>0</v>
      </c>
      <c r="AE41" s="56">
        <f t="shared" si="34"/>
        <v>-112</v>
      </c>
      <c r="AF41" s="55"/>
      <c r="AG41" s="57">
        <f t="shared" si="35"/>
        <v>0</v>
      </c>
      <c r="AH41" s="58">
        <f t="shared" si="36"/>
        <v>642</v>
      </c>
      <c r="AI41" s="58">
        <f t="shared" si="37"/>
        <v>0</v>
      </c>
      <c r="AJ41" s="58">
        <f t="shared" si="38"/>
        <v>112</v>
      </c>
      <c r="AK41" s="58">
        <f t="shared" si="39"/>
        <v>0</v>
      </c>
      <c r="AL41" s="58">
        <f t="array" ref="AL41">_xlfn.IFS(R41=0,AE41,R41&lt;0,AE41/-R41,R41&gt;0,AE41/R41)</f>
        <v>-112</v>
      </c>
      <c r="AM41" s="59">
        <f t="shared" si="40"/>
        <v>0</v>
      </c>
      <c r="AN41" s="60">
        <f t="shared" si="41"/>
        <v>-0.17445482866043613</v>
      </c>
      <c r="AP41" s="62">
        <f t="shared" si="42"/>
        <v>-2128</v>
      </c>
    </row>
    <row r="42" spans="1:42">
      <c r="A42" s="39">
        <v>2774722656</v>
      </c>
      <c r="B42" s="40" t="s">
        <v>51</v>
      </c>
      <c r="C42" s="41">
        <f>'Юнит 01-02.11'!C42</f>
        <v>8</v>
      </c>
      <c r="D42" s="42"/>
      <c r="E42" s="42"/>
      <c r="F42" s="42"/>
      <c r="G42" s="43"/>
      <c r="H42" s="65">
        <v>687</v>
      </c>
      <c r="I42" s="63">
        <f t="shared" si="25"/>
        <v>5496</v>
      </c>
      <c r="J42" s="45"/>
      <c r="K42" s="41">
        <f>'Юнит 27-31.10'!K42+'Юнит 01-02.11'!K42</f>
        <v>4</v>
      </c>
      <c r="L42" s="45"/>
      <c r="M42" s="45"/>
      <c r="N42" s="46">
        <f t="shared" si="26"/>
        <v>0.5714285714285714</v>
      </c>
      <c r="O42" s="47">
        <f t="shared" si="27"/>
        <v>0</v>
      </c>
      <c r="P42" s="41">
        <f>'Юнит 27-31.10'!P42+'Юнит 01-02.11'!P42</f>
        <v>0</v>
      </c>
      <c r="Q42" s="41">
        <f>'Юнит 27-31.10'!Q42+'Юнит 01-02.11'!Q42</f>
        <v>0</v>
      </c>
      <c r="R42" s="49">
        <f t="shared" si="43"/>
        <v>0</v>
      </c>
      <c r="S42" s="41">
        <f>'Юнит 27-31.10'!S42+'Юнит 01-02.11'!S42</f>
        <v>0</v>
      </c>
      <c r="T42" s="41">
        <f>'Юнит 27-31.10'!T42+'Юнит 01-02.11'!T42</f>
        <v>0</v>
      </c>
      <c r="U42" s="49">
        <f t="shared" si="44"/>
        <v>0</v>
      </c>
      <c r="V42" s="52">
        <f t="shared" si="45"/>
        <v>0</v>
      </c>
      <c r="W42" s="53">
        <f t="shared" si="46"/>
        <v>0</v>
      </c>
      <c r="X42" s="41">
        <f>'Юнит 27-31.10'!X42+'Юнит 01-02.11'!X42</f>
        <v>0</v>
      </c>
      <c r="Y42" s="54">
        <f t="shared" si="47"/>
        <v>0</v>
      </c>
      <c r="Z42" s="41">
        <f>'Юнит 27-31.10'!Z42+'Юнит 01-02.11'!Z42</f>
        <v>224</v>
      </c>
      <c r="AA42" s="41">
        <f>'Юнит 27-31.10'!AA42+'Юнит 01-02.11'!AA42</f>
        <v>0</v>
      </c>
      <c r="AB42" s="64"/>
      <c r="AC42" s="51"/>
      <c r="AD42" s="55">
        <f t="shared" si="33"/>
        <v>0</v>
      </c>
      <c r="AE42" s="56">
        <f t="shared" si="34"/>
        <v>-224</v>
      </c>
      <c r="AF42" s="55"/>
      <c r="AG42" s="57">
        <f t="shared" si="35"/>
        <v>0</v>
      </c>
      <c r="AH42" s="58">
        <f t="shared" si="36"/>
        <v>687</v>
      </c>
      <c r="AI42" s="58">
        <f t="shared" si="37"/>
        <v>0</v>
      </c>
      <c r="AJ42" s="58">
        <f t="shared" si="38"/>
        <v>224</v>
      </c>
      <c r="AK42" s="58">
        <f t="shared" si="39"/>
        <v>0</v>
      </c>
      <c r="AL42" s="58">
        <f t="array" ref="AL42">_xlfn.IFS(R42=0,AE42,R42&lt;0,AE42/-R42,R42&gt;0,AE42/R42)</f>
        <v>-224</v>
      </c>
      <c r="AM42" s="59">
        <f t="shared" si="40"/>
        <v>0</v>
      </c>
      <c r="AN42" s="60">
        <f t="shared" si="41"/>
        <v>-0.32605531295487628</v>
      </c>
      <c r="AP42" s="62">
        <f t="shared" si="42"/>
        <v>-1792</v>
      </c>
    </row>
    <row r="43" spans="1:42">
      <c r="A43" s="39">
        <v>2774721190</v>
      </c>
      <c r="B43" s="40" t="s">
        <v>70</v>
      </c>
      <c r="C43" s="41">
        <f>'Юнит 01-02.11'!C43</f>
        <v>5</v>
      </c>
      <c r="D43" s="42"/>
      <c r="E43" s="42"/>
      <c r="F43" s="42"/>
      <c r="G43" s="43"/>
      <c r="H43" s="65">
        <v>687</v>
      </c>
      <c r="I43" s="63">
        <f t="shared" si="25"/>
        <v>3435</v>
      </c>
      <c r="J43" s="45"/>
      <c r="K43" s="41">
        <f>'Юнит 27-31.10'!K43+'Юнит 01-02.11'!K43</f>
        <v>5</v>
      </c>
      <c r="L43" s="45"/>
      <c r="M43" s="45"/>
      <c r="N43" s="46">
        <f t="shared" si="26"/>
        <v>0.7142857142857143</v>
      </c>
      <c r="O43" s="47">
        <f t="shared" si="27"/>
        <v>0</v>
      </c>
      <c r="P43" s="41">
        <f>'Юнит 27-31.10'!P43+'Юнит 01-02.11'!P43</f>
        <v>0</v>
      </c>
      <c r="Q43" s="41">
        <f>'Юнит 27-31.10'!Q43+'Юнит 01-02.11'!Q43</f>
        <v>0</v>
      </c>
      <c r="R43" s="49">
        <f t="shared" si="43"/>
        <v>0</v>
      </c>
      <c r="S43" s="41">
        <f>'Юнит 27-31.10'!S43+'Юнит 01-02.11'!S43</f>
        <v>0</v>
      </c>
      <c r="T43" s="41">
        <f>'Юнит 27-31.10'!T43+'Юнит 01-02.11'!T43</f>
        <v>0</v>
      </c>
      <c r="U43" s="49">
        <f t="shared" si="44"/>
        <v>0</v>
      </c>
      <c r="V43" s="52">
        <f t="shared" si="45"/>
        <v>0</v>
      </c>
      <c r="W43" s="53">
        <f t="shared" si="46"/>
        <v>0</v>
      </c>
      <c r="X43" s="41">
        <f>'Юнит 27-31.10'!X43+'Юнит 01-02.11'!X43</f>
        <v>0</v>
      </c>
      <c r="Y43" s="54">
        <f t="shared" si="47"/>
        <v>0</v>
      </c>
      <c r="Z43" s="41">
        <f>'Юнит 27-31.10'!Z43+'Юнит 01-02.11'!Z43</f>
        <v>112</v>
      </c>
      <c r="AA43" s="41">
        <f>'Юнит 27-31.10'!AA43+'Юнит 01-02.11'!AA43</f>
        <v>4748.0821460000006</v>
      </c>
      <c r="AB43" s="64"/>
      <c r="AC43" s="51"/>
      <c r="AD43" s="55">
        <f t="shared" si="33"/>
        <v>0</v>
      </c>
      <c r="AE43" s="56">
        <f t="shared" si="34"/>
        <v>-4860.0821460000006</v>
      </c>
      <c r="AF43" s="55"/>
      <c r="AG43" s="57">
        <f t="shared" si="35"/>
        <v>0</v>
      </c>
      <c r="AH43" s="58">
        <f t="shared" si="36"/>
        <v>687</v>
      </c>
      <c r="AI43" s="58">
        <f t="shared" si="37"/>
        <v>0</v>
      </c>
      <c r="AJ43" s="58">
        <f t="shared" si="38"/>
        <v>112</v>
      </c>
      <c r="AK43" s="58">
        <f t="shared" si="39"/>
        <v>0</v>
      </c>
      <c r="AL43" s="58">
        <f t="array" ref="AL43">_xlfn.IFS(R43=0,AE43,R43&lt;0,AE43/-R43,R43&gt;0,AE43/R43)</f>
        <v>-4860.0821460000006</v>
      </c>
      <c r="AM43" s="59">
        <f t="shared" si="40"/>
        <v>0</v>
      </c>
      <c r="AN43" s="60">
        <f t="shared" si="41"/>
        <v>-7.0743553799126646</v>
      </c>
      <c r="AP43" s="62">
        <f t="shared" si="42"/>
        <v>-24300.410730000003</v>
      </c>
    </row>
    <row r="44" spans="1:42">
      <c r="A44" s="39">
        <v>2774718796</v>
      </c>
      <c r="B44" s="40" t="s">
        <v>66</v>
      </c>
      <c r="C44" s="41">
        <f>'Юнит 01-02.11'!C44</f>
        <v>6</v>
      </c>
      <c r="D44" s="42"/>
      <c r="E44" s="42"/>
      <c r="F44" s="42"/>
      <c r="G44" s="43"/>
      <c r="H44" s="65">
        <v>552</v>
      </c>
      <c r="I44" s="63">
        <f t="shared" si="25"/>
        <v>3312</v>
      </c>
      <c r="J44" s="45"/>
      <c r="K44" s="41">
        <f>'Юнит 27-31.10'!K44+'Юнит 01-02.11'!K44</f>
        <v>1</v>
      </c>
      <c r="L44" s="45"/>
      <c r="M44" s="45"/>
      <c r="N44" s="46">
        <f t="shared" si="26"/>
        <v>0.14285714285714285</v>
      </c>
      <c r="O44" s="47">
        <f t="shared" si="27"/>
        <v>0.14285714285714285</v>
      </c>
      <c r="P44" s="41">
        <f>'Юнит 27-31.10'!P44+'Юнит 01-02.11'!P44</f>
        <v>1</v>
      </c>
      <c r="Q44" s="41">
        <f>'Юнит 27-31.10'!Q44+'Юнит 01-02.11'!Q44</f>
        <v>0</v>
      </c>
      <c r="R44" s="49">
        <f t="shared" si="43"/>
        <v>1</v>
      </c>
      <c r="S44" s="41">
        <f>'Юнит 27-31.10'!S44+'Юнит 01-02.11'!S44</f>
        <v>5000</v>
      </c>
      <c r="T44" s="41">
        <f>'Юнит 27-31.10'!T44+'Юнит 01-02.11'!T44</f>
        <v>0</v>
      </c>
      <c r="U44" s="49">
        <f t="shared" si="44"/>
        <v>5000</v>
      </c>
      <c r="V44" s="52">
        <f t="shared" si="45"/>
        <v>7.8137208938896696E-2</v>
      </c>
      <c r="W44" s="53">
        <f t="shared" si="46"/>
        <v>552</v>
      </c>
      <c r="X44" s="41">
        <f>'Юнит 27-31.10'!X44+'Юнит 01-02.11'!X44</f>
        <v>1700</v>
      </c>
      <c r="Y44" s="54">
        <f t="shared" si="47"/>
        <v>0.34</v>
      </c>
      <c r="Z44" s="41">
        <f>'Юнит 27-31.10'!Z44+'Юнит 01-02.11'!Z44</f>
        <v>56</v>
      </c>
      <c r="AA44" s="41">
        <f>'Юнит 27-31.10'!AA44+'Юнит 01-02.11'!AA44</f>
        <v>0</v>
      </c>
      <c r="AB44" s="64"/>
      <c r="AC44" s="51"/>
      <c r="AD44" s="55">
        <f t="shared" si="33"/>
        <v>300</v>
      </c>
      <c r="AE44" s="56">
        <f t="shared" si="34"/>
        <v>2392</v>
      </c>
      <c r="AF44" s="55"/>
      <c r="AG44" s="57">
        <f t="shared" si="35"/>
        <v>5000</v>
      </c>
      <c r="AH44" s="58">
        <f t="shared" si="36"/>
        <v>552</v>
      </c>
      <c r="AI44" s="58">
        <f t="shared" si="37"/>
        <v>1700</v>
      </c>
      <c r="AJ44" s="58">
        <f t="shared" si="38"/>
        <v>56</v>
      </c>
      <c r="AK44" s="58">
        <f t="shared" si="39"/>
        <v>0</v>
      </c>
      <c r="AL44" s="58">
        <f t="array" ref="AL44">_xlfn.IFS(R44=0,AE44,R44&lt;0,AE44/-R44,R44&gt;0,AE44/R44)</f>
        <v>2392</v>
      </c>
      <c r="AM44" s="59">
        <f t="shared" si="40"/>
        <v>0.47839999999999999</v>
      </c>
      <c r="AN44" s="60">
        <f t="shared" si="41"/>
        <v>4.333333333333333</v>
      </c>
      <c r="AP44" s="62">
        <f t="shared" si="42"/>
        <v>14352</v>
      </c>
    </row>
    <row r="45" spans="1:42">
      <c r="A45" s="39">
        <v>2774719500</v>
      </c>
      <c r="B45" s="40" t="s">
        <v>245</v>
      </c>
      <c r="C45" s="41">
        <f>'Юнит 01-02.11'!C45</f>
        <v>19</v>
      </c>
      <c r="D45" s="42"/>
      <c r="E45" s="42"/>
      <c r="F45" s="42"/>
      <c r="G45" s="43"/>
      <c r="H45" s="65">
        <v>552</v>
      </c>
      <c r="I45" s="63">
        <f>C45*H45</f>
        <v>10488</v>
      </c>
      <c r="J45" s="45"/>
      <c r="K45" s="41">
        <f>'Юнит 27-31.10'!K45+'Юнит 01-02.11'!K45</f>
        <v>0</v>
      </c>
      <c r="L45" s="45"/>
      <c r="M45" s="45"/>
      <c r="N45" s="46">
        <f t="shared" si="26"/>
        <v>0</v>
      </c>
      <c r="O45" s="47">
        <f t="shared" si="27"/>
        <v>0</v>
      </c>
      <c r="P45" s="41">
        <f>'Юнит 27-31.10'!P45+'Юнит 01-02.11'!P45</f>
        <v>0</v>
      </c>
      <c r="Q45" s="41">
        <f>'Юнит 27-31.10'!Q45+'Юнит 01-02.11'!Q45</f>
        <v>0</v>
      </c>
      <c r="R45" s="49">
        <f t="shared" si="43"/>
        <v>0</v>
      </c>
      <c r="S45" s="41">
        <f>'Юнит 27-31.10'!S45+'Юнит 01-02.11'!S45</f>
        <v>0</v>
      </c>
      <c r="T45" s="41">
        <f>'Юнит 27-31.10'!T45+'Юнит 01-02.11'!T45</f>
        <v>0</v>
      </c>
      <c r="U45" s="49">
        <f t="shared" si="44"/>
        <v>0</v>
      </c>
      <c r="V45" s="52">
        <f t="shared" si="45"/>
        <v>0</v>
      </c>
      <c r="W45" s="53">
        <f t="shared" si="46"/>
        <v>0</v>
      </c>
      <c r="X45" s="41">
        <f>'Юнит 27-31.10'!X45+'Юнит 01-02.11'!X45</f>
        <v>0</v>
      </c>
      <c r="Y45" s="54">
        <f t="shared" si="47"/>
        <v>0</v>
      </c>
      <c r="Z45" s="41">
        <f>'Юнит 27-31.10'!Z45+'Юнит 01-02.11'!Z45</f>
        <v>56</v>
      </c>
      <c r="AA45" s="41">
        <f>'Юнит 27-31.10'!AA45+'Юнит 01-02.11'!AA45</f>
        <v>0</v>
      </c>
      <c r="AB45" s="64"/>
      <c r="AC45" s="51"/>
      <c r="AD45" s="55">
        <f t="shared" si="33"/>
        <v>0</v>
      </c>
      <c r="AE45" s="56">
        <f t="shared" si="34"/>
        <v>-56</v>
      </c>
      <c r="AF45" s="55"/>
      <c r="AG45" s="57">
        <f t="shared" si="35"/>
        <v>0</v>
      </c>
      <c r="AH45" s="58">
        <f t="shared" si="36"/>
        <v>552</v>
      </c>
      <c r="AI45" s="58">
        <f t="shared" si="37"/>
        <v>0</v>
      </c>
      <c r="AJ45" s="58">
        <f t="shared" si="38"/>
        <v>56</v>
      </c>
      <c r="AK45" s="58">
        <f t="shared" si="39"/>
        <v>0</v>
      </c>
      <c r="AL45" s="58">
        <f t="array" ref="AL45">_xlfn.IFS(R45=0,AE45,R45&lt;0,AE45/-R45,R45&gt;0,AE45/R45)</f>
        <v>-56</v>
      </c>
      <c r="AM45" s="59">
        <f t="shared" si="40"/>
        <v>0</v>
      </c>
      <c r="AN45" s="60">
        <f t="shared" si="41"/>
        <v>-0.10144927536231885</v>
      </c>
      <c r="AP45" s="62">
        <f t="shared" si="42"/>
        <v>-1064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48">AVERAGEIF(AG26:AG45,"&lt;&gt;0",AG26:AG45)</f>
        <v>4157.833333333333</v>
      </c>
      <c r="AH46" s="259">
        <f t="shared" si="48"/>
        <v>617.25</v>
      </c>
      <c r="AI46" s="259">
        <f t="shared" si="48"/>
        <v>1511.7846666666667</v>
      </c>
      <c r="AJ46" s="259">
        <f t="shared" si="48"/>
        <v>113.52727272727272</v>
      </c>
      <c r="AK46" s="259">
        <f t="shared" si="48"/>
        <v>1576.469286</v>
      </c>
      <c r="AL46" s="259">
        <f t="shared" si="48"/>
        <v>-90.980788222222301</v>
      </c>
      <c r="AM46" s="260">
        <f t="shared" si="48"/>
        <v>0.2798086095914859</v>
      </c>
      <c r="AN46" s="260">
        <f t="shared" si="48"/>
        <v>-4.1483826183044838E-2</v>
      </c>
      <c r="AO46" s="240"/>
      <c r="AP46" s="241"/>
    </row>
    <row r="47" spans="1:42">
      <c r="A47" s="218" t="s">
        <v>306</v>
      </c>
      <c r="B47" s="219"/>
      <c r="C47" s="220">
        <f>SUM(C26:C45)</f>
        <v>311</v>
      </c>
      <c r="D47" s="221"/>
      <c r="E47" s="221"/>
      <c r="F47" s="221"/>
      <c r="G47" s="221"/>
      <c r="H47" s="222"/>
      <c r="I47" s="220">
        <f>SUM(I26:I45)</f>
        <v>190212</v>
      </c>
      <c r="J47" s="223"/>
      <c r="K47" s="220">
        <f>SUM(K26:K45)</f>
        <v>27</v>
      </c>
      <c r="L47" s="223"/>
      <c r="M47" s="223"/>
      <c r="N47" s="224"/>
      <c r="O47" s="225"/>
      <c r="P47" s="220">
        <f t="shared" ref="P47:X47" si="49">SUM(P26:P45)</f>
        <v>10</v>
      </c>
      <c r="Q47" s="220">
        <f t="shared" si="49"/>
        <v>1</v>
      </c>
      <c r="R47" s="250">
        <f t="shared" si="49"/>
        <v>11</v>
      </c>
      <c r="S47" s="220">
        <f t="shared" si="49"/>
        <v>48740</v>
      </c>
      <c r="T47" s="220">
        <f t="shared" si="49"/>
        <v>-5000</v>
      </c>
      <c r="U47" s="250">
        <f t="shared" si="49"/>
        <v>43740</v>
      </c>
      <c r="V47" s="253">
        <f t="shared" si="49"/>
        <v>0.68354430379746844</v>
      </c>
      <c r="W47" s="220">
        <f t="shared" si="49"/>
        <v>7122</v>
      </c>
      <c r="X47" s="220">
        <f t="shared" si="49"/>
        <v>16057.36</v>
      </c>
      <c r="Y47" s="226">
        <f>IF(U47=0,0,X47/U47)</f>
        <v>0.3671092821216278</v>
      </c>
      <c r="Z47" s="220">
        <f>SUM(Z26:Z45)</f>
        <v>2072</v>
      </c>
      <c r="AA47" s="220">
        <f>IFERROR(P47*AA49/P49,0)</f>
        <v>10802.108695652174</v>
      </c>
      <c r="AB47" s="220">
        <f>SUM(AB26:AB45)</f>
        <v>0</v>
      </c>
      <c r="AC47" s="220">
        <f>SUM(AC26:AC45)</f>
        <v>0</v>
      </c>
      <c r="AD47" s="250">
        <f>SUM(AD26:AD45)</f>
        <v>2624.3999999999996</v>
      </c>
      <c r="AE47" s="220">
        <f>SUM(AE26:AE45)</f>
        <v>2575.4120639999992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11408.451147999996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13288.827936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3795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654379.19999999995</v>
      </c>
      <c r="J49" s="229">
        <f>J24+J47</f>
        <v>0</v>
      </c>
      <c r="K49" s="229">
        <f>K24+K47</f>
        <v>44</v>
      </c>
      <c r="L49" s="230"/>
      <c r="M49" s="230"/>
      <c r="N49" s="230"/>
      <c r="O49" s="230"/>
      <c r="P49" s="269">
        <f t="shared" ref="P49:X49" si="50">P24+P47</f>
        <v>23</v>
      </c>
      <c r="Q49" s="229">
        <f t="shared" si="50"/>
        <v>1</v>
      </c>
      <c r="R49" s="252">
        <f t="shared" si="50"/>
        <v>24</v>
      </c>
      <c r="S49" s="229">
        <f t="shared" si="50"/>
        <v>68990</v>
      </c>
      <c r="T49" s="229">
        <f t="shared" si="50"/>
        <v>-5000</v>
      </c>
      <c r="U49" s="252">
        <f t="shared" si="50"/>
        <v>63990</v>
      </c>
      <c r="V49" s="255">
        <f t="shared" si="50"/>
        <v>1</v>
      </c>
      <c r="W49" s="229">
        <f t="shared" si="50"/>
        <v>10747.22</v>
      </c>
      <c r="X49" s="229">
        <f t="shared" si="50"/>
        <v>23301.08</v>
      </c>
      <c r="Y49" s="232">
        <f>X49/U49</f>
        <v>0.36413627129238946</v>
      </c>
      <c r="Z49" s="229">
        <f>Z24+Z47</f>
        <v>3386</v>
      </c>
      <c r="AA49" s="75">
        <f>'Юнит 27-31.10'!AA49+'Юнит 01-02.11'!AA49</f>
        <v>24844.85</v>
      </c>
      <c r="AB49" s="74"/>
      <c r="AC49" s="74">
        <f>SUM(AC3:AC45)</f>
        <v>0</v>
      </c>
      <c r="AD49" s="229">
        <f>AD24+AD47</f>
        <v>3839.3999999999996</v>
      </c>
      <c r="AE49" s="233">
        <f>AE24+AE47</f>
        <v>-9575.8210869999966</v>
      </c>
      <c r="AF49" s="76"/>
      <c r="AG49" s="234"/>
      <c r="AH49" s="235"/>
      <c r="AI49" s="235"/>
      <c r="AJ49" s="235"/>
      <c r="AK49" s="235">
        <f>AA50/P49</f>
        <v>1080.2108695652173</v>
      </c>
      <c r="AL49" s="235"/>
      <c r="AM49" s="235"/>
      <c r="AN49" s="236"/>
      <c r="AP49" s="233">
        <f>SUM(AP3:AP45)</f>
        <v>-3180682.3905309993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24844.85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32292.121087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>
        <f>I56/I49</f>
        <v>0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654379.19999999995</v>
      </c>
      <c r="J57" s="109">
        <f>I57/I49</f>
        <v>1</v>
      </c>
      <c r="K57" s="105">
        <f>AP49-K56-K58</f>
        <v>-3180682.3905309993</v>
      </c>
      <c r="L57" s="106">
        <f>K57/I57</f>
        <v>-4.8606104694816086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>
        <f>I58/I49</f>
        <v>0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129" priority="19" operator="greaterThan">
      <formula>120</formula>
    </cfRule>
  </conditionalFormatting>
  <conditionalFormatting sqref="N48">
    <cfRule type="cellIs" dxfId="128" priority="18" operator="between">
      <formula>0.000001</formula>
      <formula>25</formula>
    </cfRule>
  </conditionalFormatting>
  <conditionalFormatting sqref="V1 V50:V53 V55:V1048576">
    <cfRule type="cellIs" dxfId="127" priority="20" operator="greaterThan">
      <formula>0.23</formula>
    </cfRule>
  </conditionalFormatting>
  <conditionalFormatting sqref="AM54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{C76291E7-4930-4B6B-A9ED-E03EC73C69F8}</x14:id>
        </ext>
      </extLst>
    </cfRule>
  </conditionalFormatting>
  <conditionalFormatting sqref="AP3:AP22 AP25:AP45 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{83FBDF1C-D6D5-4283-913E-89BB6299247D}</x14:id>
        </ext>
      </extLst>
    </cfRule>
  </conditionalFormatting>
  <conditionalFormatting sqref="AE3:AE23 AE25:AE46 AE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{052C9058-BEA7-47F6-85BC-76E9317EFE3C}</x14:id>
        </ext>
      </extLst>
    </cfRule>
  </conditionalFormatting>
  <conditionalFormatting sqref="AL3:AL22 AL25:AL45 AL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{3F52AC29-C0D8-4B6A-BC5B-47897D3F6C2B}</x14:id>
        </ext>
      </extLst>
    </cfRule>
  </conditionalFormatting>
  <conditionalFormatting sqref="AM3:AN22 AM25:AN45 AM48:AN48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{376FBBAA-5D3C-4AF5-A314-6A3558624D8D}</x14:id>
        </ext>
      </extLst>
    </cfRule>
  </conditionalFormatting>
  <conditionalFormatting sqref="AP3:AP22 AP25:AP4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{65D8897D-2BF8-4A78-8D9B-2AECD0E98829}</x14:id>
        </ext>
      </extLst>
    </cfRule>
  </conditionalFormatting>
  <conditionalFormatting sqref="AE3:AE23 AE25:AE4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{7D7BE79F-57F7-4C9F-BE4B-396A10247839}</x14:id>
        </ext>
      </extLst>
    </cfRule>
  </conditionalFormatting>
  <conditionalFormatting sqref="U25:V25 U3:V23 U46:V46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{A84A7E6D-3A12-4E42-B028-071D4741E791}</x14:id>
        </ext>
      </extLst>
    </cfRule>
  </conditionalFormatting>
  <conditionalFormatting sqref="V3:V23 V25 V46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{EDFAA6A4-3111-4B7A-BB82-BFB6EC793A17}</x14:id>
        </ext>
      </extLst>
    </cfRule>
  </conditionalFormatting>
  <conditionalFormatting sqref="AP2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{0104328E-36D7-443F-A753-D96459979019}</x14:id>
        </ext>
      </extLst>
    </cfRule>
  </conditionalFormatting>
  <conditionalFormatting sqref="AP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{E35FA89C-07E3-41A8-8687-DE377098A8DF}</x14:id>
        </ext>
      </extLst>
    </cfRule>
  </conditionalFormatting>
  <conditionalFormatting sqref="P48">
    <cfRule type="cellIs" dxfId="126" priority="14" operator="greaterThan">
      <formula>120</formula>
    </cfRule>
  </conditionalFormatting>
  <conditionalFormatting sqref="Q48">
    <cfRule type="cellIs" dxfId="125" priority="13" operator="greaterThan">
      <formula>120</formula>
    </cfRule>
  </conditionalFormatting>
  <conditionalFormatting sqref="R48">
    <cfRule type="cellIs" dxfId="124" priority="12" operator="greaterThan">
      <formula>120</formula>
    </cfRule>
  </conditionalFormatting>
  <conditionalFormatting sqref="S48">
    <cfRule type="cellIs" dxfId="123" priority="11" operator="greaterThan">
      <formula>120</formula>
    </cfRule>
  </conditionalFormatting>
  <conditionalFormatting sqref="T48">
    <cfRule type="cellIs" dxfId="122" priority="10" operator="greaterThan">
      <formula>120</formula>
    </cfRule>
  </conditionalFormatting>
  <conditionalFormatting sqref="U48">
    <cfRule type="cellIs" dxfId="121" priority="9" operator="greaterThan">
      <formula>120</formula>
    </cfRule>
  </conditionalFormatting>
  <conditionalFormatting sqref="V48">
    <cfRule type="cellIs" dxfId="120" priority="8" operator="greaterThan">
      <formula>120</formula>
    </cfRule>
  </conditionalFormatting>
  <conditionalFormatting sqref="W48">
    <cfRule type="cellIs" dxfId="119" priority="7" operator="greaterThan">
      <formula>120</formula>
    </cfRule>
  </conditionalFormatting>
  <conditionalFormatting sqref="X48">
    <cfRule type="cellIs" dxfId="118" priority="6" operator="greaterThan">
      <formula>120</formula>
    </cfRule>
  </conditionalFormatting>
  <conditionalFormatting sqref="Z48">
    <cfRule type="cellIs" dxfId="117" priority="5" operator="greaterThan">
      <formula>120</formula>
    </cfRule>
  </conditionalFormatting>
  <conditionalFormatting sqref="AP4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{A98EB9E5-759D-4CA0-9924-F30EF7E306CB}</x14:id>
        </ext>
      </extLst>
    </cfRule>
  </conditionalFormatting>
  <conditionalFormatting sqref="AP4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{4A29EC7B-609A-44FE-B11A-74ACF03D284D}</x14:id>
        </ext>
      </extLst>
    </cfRule>
  </conditionalFormatting>
  <conditionalFormatting sqref="U26:V4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{03499F75-E553-4B73-8B5B-593B7D874E17}</x14:id>
        </ext>
      </extLst>
    </cfRule>
  </conditionalFormatting>
  <conditionalFormatting sqref="V26:V4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{53AF9120-255B-4588-9E73-32971B88B68A}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6291E7-4930-4B6B-A9ED-E03EC73C6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83FBDF1C-D6D5-4283-913E-89BB629924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052C9058-BEA7-47F6-85BC-76E9317EF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3F52AC29-C0D8-4B6A-BC5B-47897D3F6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376FBBAA-5D3C-4AF5-A314-6A3558624D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65D8897D-2BF8-4A78-8D9B-2AECD0E988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7D7BE79F-57F7-4C9F-BE4B-396A102478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A84A7E6D-3A12-4E42-B028-071D4741E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U25:V25 U3:V23 U46:V46</xm:sqref>
        </x14:conditionalFormatting>
        <x14:conditionalFormatting xmlns:xm="http://schemas.microsoft.com/office/excel/2006/main">
          <x14:cfRule type="dataBar" id="{EDFAA6A4-3111-4B7A-BB82-BFB6EC793A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 V46</xm:sqref>
        </x14:conditionalFormatting>
        <x14:conditionalFormatting xmlns:xm="http://schemas.microsoft.com/office/excel/2006/main">
          <x14:cfRule type="dataBar" id="{0104328E-36D7-443F-A753-D964599790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E35FA89C-07E3-41A8-8687-DE377098A8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A98EB9E5-759D-4CA0-9924-F30EF7E306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4A29EC7B-609A-44FE-B11A-74ACF03D28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03499F75-E553-4B73-8B5B-593B7D874E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U26:V45</xm:sqref>
        </x14:conditionalFormatting>
        <x14:conditionalFormatting xmlns:xm="http://schemas.microsoft.com/office/excel/2006/main">
          <x14:cfRule type="dataBar" id="{53AF9120-255B-4588-9E73-32971B88B6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V26:V45</xm:sqref>
        </x14:conditionalFormatting>
      </x14:conditionalFormatting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B4A6-DCD3-40EA-B378-8E06857DBFF7}">
  <dimension ref="A1:AZ62"/>
  <sheetViews>
    <sheetView zoomScale="70" zoomScaleNormal="70" workbookViewId="0">
      <pane xSplit="2" ySplit="2" topLeftCell="N42" activePane="bottomRight" state="frozen"/>
      <selection pane="topRight" activeCell="C1" sqref="C1"/>
      <selection pane="bottomLeft" activeCell="A3" sqref="A3"/>
      <selection pane="bottomRight" activeCell="W8" sqref="W8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949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950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953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329</v>
      </c>
      <c r="D3" s="42"/>
      <c r="E3" s="42"/>
      <c r="F3" s="42"/>
      <c r="G3" s="43"/>
      <c r="H3" s="44">
        <v>142.97999999999999</v>
      </c>
      <c r="I3" s="42">
        <f t="shared" ref="I3:I22" si="0">C3*H3</f>
        <v>47040.42</v>
      </c>
      <c r="J3" s="45"/>
      <c r="K3" s="41">
        <v>0</v>
      </c>
      <c r="L3" s="45"/>
      <c r="M3" s="45"/>
      <c r="N3" s="46">
        <f>K3/2</f>
        <v>0</v>
      </c>
      <c r="O3" s="47">
        <f>R3/2</f>
        <v>0</v>
      </c>
      <c r="P3" s="48">
        <f>SUMIFS('Отчет 01-02.11'!H:H,'Отчет 01-02.11'!D:D,"Выручка",'Отчет 01-02.11'!E:E,B3)</f>
        <v>0</v>
      </c>
      <c r="Q3" s="48">
        <f>SUMIFS('Отчет 01-02.11'!H:H,'Отчет 01-02.11'!D:D,"Возврат выручки",'Отчет 01-02.11'!E:E,B3)</f>
        <v>0</v>
      </c>
      <c r="R3" s="49">
        <f t="shared" ref="R3:R22" si="1">P3+Q3</f>
        <v>0</v>
      </c>
      <c r="S3" s="50">
        <f>SUMIFS('Отчет 01-02.11'!P:P,'Отчет 01-02.11'!C:C,"Продажи",'Отчет 01-02.11'!E:E,B3)</f>
        <v>0</v>
      </c>
      <c r="T3" s="51">
        <f>SUMIFS('Отчет 01-02.11'!P:P,'Отчет 01-02.11'!C:C,"Возвраты",'Отчет 01-02.11'!E:E,B3)</f>
        <v>0</v>
      </c>
      <c r="U3" s="49">
        <f t="shared" ref="U3:U22" si="2">S3+T3</f>
        <v>0</v>
      </c>
      <c r="V3" s="52">
        <f t="shared" ref="V3:V22" si="3">U3/$U$49</f>
        <v>0</v>
      </c>
      <c r="W3" s="53">
        <f>R3*H3</f>
        <v>0</v>
      </c>
      <c r="X3" s="51">
        <f>-SUMIFS('Отчет 01-02.11'!P:P,'Отчет 01-02.11'!C:C,"Вознаграждение Ozon",'Отчет 01-02.11'!E:E,B3)</f>
        <v>0</v>
      </c>
      <c r="Y3" s="54">
        <f t="shared" ref="Y3:Y22" si="4">IF(U3=0,0,X3/U3)</f>
        <v>0</v>
      </c>
      <c r="Z3" s="51">
        <f>-SUMIFS('Отчет 01-02.11'!P:P,'Отчет 01-02.11'!C:C,"Услуги доставки",'Отчет 01-02.11'!E:E,B3)</f>
        <v>92</v>
      </c>
      <c r="AA3" s="41">
        <v>0</v>
      </c>
      <c r="AB3" s="51"/>
      <c r="AC3" s="51"/>
      <c r="AD3" s="55">
        <f t="shared" ref="AD3:AD22" si="5">U3*6%</f>
        <v>0</v>
      </c>
      <c r="AE3" s="56">
        <f t="shared" ref="AE3:AE22" si="6">U3-W3-X3-Z3-AA3-AB3-AC3-AD3</f>
        <v>-92</v>
      </c>
      <c r="AF3" s="55"/>
      <c r="AG3" s="57">
        <f t="shared" ref="AG3:AG22" si="7">IF(R3=0,0,U3/R3)</f>
        <v>0</v>
      </c>
      <c r="AH3" s="58">
        <f t="shared" ref="AH3:AH22" si="8">H3</f>
        <v>142.97999999999999</v>
      </c>
      <c r="AI3" s="58">
        <f t="shared" ref="AI3:AI22" si="9">IF(R3=0,0,X3/R3)</f>
        <v>0</v>
      </c>
      <c r="AJ3" s="58">
        <f t="shared" ref="AJ3:AJ22" si="10">IF(P3=0,Z3/1,Z3/P3)</f>
        <v>92</v>
      </c>
      <c r="AK3" s="58">
        <f t="shared" ref="AK3:AK22" si="11">IF(P3=0,0,AA3/P3)</f>
        <v>0</v>
      </c>
      <c r="AL3" s="58">
        <f>_xlfn.IFS(R3=0,AE3,R3&lt;0,AE3/-R3,R3&gt;0,AE3/R3)</f>
        <v>-92</v>
      </c>
      <c r="AM3" s="59">
        <f t="shared" ref="AM3:AM22" si="12">IF(AG3=0,0,AL3/AG3)</f>
        <v>0</v>
      </c>
      <c r="AN3" s="60">
        <f t="shared" ref="AN3:AN22" si="13">IF(AH3=0,0,AL3/AH3)</f>
        <v>-0.643446635893132</v>
      </c>
      <c r="AP3" s="62">
        <f t="shared" ref="AP3:AP22" si="14">AL3*C3</f>
        <v>-30268</v>
      </c>
    </row>
    <row r="4" spans="1:42">
      <c r="A4" s="39">
        <v>2638638550</v>
      </c>
      <c r="B4" s="40" t="s">
        <v>92</v>
      </c>
      <c r="C4" s="41">
        <v>388</v>
      </c>
      <c r="D4" s="42"/>
      <c r="E4" s="42"/>
      <c r="F4" s="42"/>
      <c r="G4" s="43"/>
      <c r="H4" s="44">
        <v>123.09</v>
      </c>
      <c r="I4" s="42">
        <f t="shared" si="0"/>
        <v>47758.92</v>
      </c>
      <c r="J4" s="45"/>
      <c r="K4" s="41">
        <v>0</v>
      </c>
      <c r="L4" s="45"/>
      <c r="M4" s="45"/>
      <c r="N4" s="46">
        <f t="shared" ref="N4:N22" si="15">K4/2</f>
        <v>0</v>
      </c>
      <c r="O4" s="47">
        <f t="shared" ref="O4:O22" si="16">R4/2</f>
        <v>0</v>
      </c>
      <c r="P4" s="48">
        <f>SUMIFS('Отчет 01-02.11'!H:H,'Отчет 01-02.11'!D:D,"Выручка",'Отчет 01-02.11'!E:E,B4)</f>
        <v>0</v>
      </c>
      <c r="Q4" s="48">
        <f>SUMIFS('Отчет 01-02.11'!H:H,'Отчет 01-02.11'!D:D,"Возврат выручки",'Отчет 01-02.11'!E:E,B4)</f>
        <v>0</v>
      </c>
      <c r="R4" s="49">
        <f t="shared" si="1"/>
        <v>0</v>
      </c>
      <c r="S4" s="50">
        <f>SUMIFS('Отчет 01-02.11'!P:P,'Отчет 01-02.11'!C:C,"Продажи",'Отчет 01-02.11'!E:E,B4)</f>
        <v>0</v>
      </c>
      <c r="T4" s="51">
        <f>SUMIFS('Отчет 01-02.11'!P:P,'Отчет 01-02.11'!C:C,"Возвраты",'Отчет 01-02.11'!E:E,B4)</f>
        <v>0</v>
      </c>
      <c r="U4" s="49">
        <f t="shared" si="2"/>
        <v>0</v>
      </c>
      <c r="V4" s="52">
        <f t="shared" si="3"/>
        <v>0</v>
      </c>
      <c r="W4" s="53">
        <f t="shared" ref="W4:W22" si="17">R4*H4</f>
        <v>0</v>
      </c>
      <c r="X4" s="51">
        <f>-SUMIFS('Отчет 01-02.11'!P:P,'Отчет 01-02.11'!C:C,"Вознаграждение Ozon",'Отчет 01-02.11'!E:E,B4)</f>
        <v>0</v>
      </c>
      <c r="Y4" s="54">
        <f t="shared" si="4"/>
        <v>0</v>
      </c>
      <c r="Z4" s="51">
        <f>-SUMIFS('Отчет 01-02.11'!P:P,'Отчет 01-02.11'!C:C,"Услуги доставки",'Отчет 01-02.11'!E:E,B4)</f>
        <v>0</v>
      </c>
      <c r="AA4" s="41">
        <v>0</v>
      </c>
      <c r="AB4" s="51"/>
      <c r="AC4" s="51"/>
      <c r="AD4" s="55">
        <f t="shared" si="5"/>
        <v>0</v>
      </c>
      <c r="AE4" s="56">
        <f t="shared" si="6"/>
        <v>0</v>
      </c>
      <c r="AF4" s="55"/>
      <c r="AG4" s="57">
        <f t="shared" si="7"/>
        <v>0</v>
      </c>
      <c r="AH4" s="58">
        <f t="shared" si="8"/>
        <v>123.09</v>
      </c>
      <c r="AI4" s="58">
        <f t="shared" si="9"/>
        <v>0</v>
      </c>
      <c r="AJ4" s="58">
        <f t="shared" si="10"/>
        <v>0</v>
      </c>
      <c r="AK4" s="58">
        <f t="shared" si="11"/>
        <v>0</v>
      </c>
      <c r="AL4" s="58">
        <f t="array" ref="AL4">_xlfn.IFS(R4=0,AE4,R4&lt;0,AE4/-R4,R4&gt;0,AE4/R4)</f>
        <v>0</v>
      </c>
      <c r="AM4" s="59">
        <f t="shared" si="12"/>
        <v>0</v>
      </c>
      <c r="AN4" s="60">
        <f t="shared" si="13"/>
        <v>0</v>
      </c>
      <c r="AP4" s="62">
        <f t="shared" si="14"/>
        <v>0</v>
      </c>
    </row>
    <row r="5" spans="1:42">
      <c r="A5" s="39">
        <v>2638691131</v>
      </c>
      <c r="B5" s="40" t="s">
        <v>222</v>
      </c>
      <c r="C5" s="41">
        <v>391</v>
      </c>
      <c r="D5" s="42"/>
      <c r="E5" s="42"/>
      <c r="F5" s="42"/>
      <c r="G5" s="43"/>
      <c r="H5" s="44">
        <v>123.09</v>
      </c>
      <c r="I5" s="63">
        <f t="shared" si="0"/>
        <v>48128.19</v>
      </c>
      <c r="J5" s="45"/>
      <c r="K5" s="41">
        <v>0</v>
      </c>
      <c r="L5" s="45"/>
      <c r="M5" s="45"/>
      <c r="N5" s="46">
        <f t="shared" si="15"/>
        <v>0</v>
      </c>
      <c r="O5" s="47">
        <f t="shared" si="16"/>
        <v>0.5</v>
      </c>
      <c r="P5" s="48">
        <f>SUMIFS('Отчет 01-02.11'!H:H,'Отчет 01-02.11'!D:D,"Выручка",'Отчет 01-02.11'!E:E,B5)</f>
        <v>1</v>
      </c>
      <c r="Q5" s="48">
        <f>SUMIFS('Отчет 01-02.11'!H:H,'Отчет 01-02.11'!D:D,"Возврат выручки",'Отчет 01-02.11'!E:E,B5)</f>
        <v>0</v>
      </c>
      <c r="R5" s="49">
        <f t="shared" si="1"/>
        <v>1</v>
      </c>
      <c r="S5" s="50">
        <f>SUMIFS('Отчет 01-02.11'!P:P,'Отчет 01-02.11'!C:C,"Продажи",'Отчет 01-02.11'!E:E,B5)</f>
        <v>914</v>
      </c>
      <c r="T5" s="51">
        <f>SUMIFS('Отчет 01-02.11'!P:P,'Отчет 01-02.11'!C:C,"Возвраты",'Отчет 01-02.11'!E:E,B5)</f>
        <v>0</v>
      </c>
      <c r="U5" s="49">
        <f t="shared" si="2"/>
        <v>914</v>
      </c>
      <c r="V5" s="52">
        <f t="shared" si="3"/>
        <v>5.7753064577277899E-2</v>
      </c>
      <c r="W5" s="53">
        <f t="shared" si="17"/>
        <v>123.09</v>
      </c>
      <c r="X5" s="51">
        <f>-SUMIFS('Отчет 01-02.11'!P:P,'Отчет 01-02.11'!C:C,"Вознаграждение Ozon",'Отчет 01-02.11'!E:E,B5)</f>
        <v>347.32</v>
      </c>
      <c r="Y5" s="54">
        <f t="shared" si="4"/>
        <v>0.38</v>
      </c>
      <c r="Z5" s="51">
        <f>-SUMIFS('Отчет 01-02.11'!P:P,'Отчет 01-02.11'!C:C,"Услуги доставки",'Отчет 01-02.11'!E:E,B5)</f>
        <v>46</v>
      </c>
      <c r="AA5" s="41">
        <v>0</v>
      </c>
      <c r="AB5" s="64"/>
      <c r="AC5" s="51"/>
      <c r="AD5" s="55">
        <f t="shared" si="5"/>
        <v>54.839999999999996</v>
      </c>
      <c r="AE5" s="56">
        <f t="shared" si="6"/>
        <v>342.75</v>
      </c>
      <c r="AF5" s="55"/>
      <c r="AG5" s="57">
        <f t="shared" si="7"/>
        <v>914</v>
      </c>
      <c r="AH5" s="58">
        <f t="shared" si="8"/>
        <v>123.09</v>
      </c>
      <c r="AI5" s="58">
        <f t="shared" si="9"/>
        <v>347.32</v>
      </c>
      <c r="AJ5" s="58">
        <f t="shared" si="10"/>
        <v>46</v>
      </c>
      <c r="AK5" s="58">
        <f t="shared" si="11"/>
        <v>0</v>
      </c>
      <c r="AL5" s="58">
        <f t="array" ref="AL5">_xlfn.IFS(R5=0,AE5,R5&lt;0,AE5/-R5,R5&gt;0,AE5/R5)</f>
        <v>342.75</v>
      </c>
      <c r="AM5" s="59">
        <f t="shared" si="12"/>
        <v>0.375</v>
      </c>
      <c r="AN5" s="60">
        <f t="shared" si="13"/>
        <v>2.7845478917864974</v>
      </c>
      <c r="AP5" s="62">
        <f t="shared" si="14"/>
        <v>134015.25</v>
      </c>
    </row>
    <row r="6" spans="1:42">
      <c r="A6" s="39">
        <v>2638382749</v>
      </c>
      <c r="B6" s="40" t="s">
        <v>223</v>
      </c>
      <c r="C6" s="41">
        <v>899</v>
      </c>
      <c r="D6" s="42"/>
      <c r="E6" s="42"/>
      <c r="F6" s="42"/>
      <c r="G6" s="43"/>
      <c r="H6" s="44">
        <v>123.09</v>
      </c>
      <c r="I6" s="63">
        <f t="shared" si="0"/>
        <v>110657.91</v>
      </c>
      <c r="J6" s="45"/>
      <c r="K6" s="41">
        <v>4</v>
      </c>
      <c r="L6" s="45"/>
      <c r="M6" s="45"/>
      <c r="N6" s="46">
        <f t="shared" si="15"/>
        <v>2</v>
      </c>
      <c r="O6" s="47">
        <f t="shared" si="16"/>
        <v>0</v>
      </c>
      <c r="P6" s="48">
        <f>SUMIFS('Отчет 01-02.11'!H:H,'Отчет 01-02.11'!D:D,"Выручка",'Отчет 01-02.11'!E:E,B6)</f>
        <v>0</v>
      </c>
      <c r="Q6" s="48">
        <f>SUMIFS('Отчет 01-02.11'!H:H,'Отчет 01-02.11'!D:D,"Возврат выручки",'Отчет 01-02.11'!E:E,B6)</f>
        <v>0</v>
      </c>
      <c r="R6" s="49">
        <f t="shared" si="1"/>
        <v>0</v>
      </c>
      <c r="S6" s="50">
        <f>SUMIFS('Отчет 01-02.11'!P:P,'Отчет 01-02.11'!C:C,"Продажи",'Отчет 01-02.11'!E:E,B6)</f>
        <v>0</v>
      </c>
      <c r="T6" s="51">
        <f>SUMIFS('Отчет 01-02.11'!P:P,'Отчет 01-02.11'!C:C,"Возвраты",'Отчет 01-02.11'!E:E,B6)</f>
        <v>0</v>
      </c>
      <c r="U6" s="49">
        <f t="shared" si="2"/>
        <v>0</v>
      </c>
      <c r="V6" s="52">
        <f t="shared" si="3"/>
        <v>0</v>
      </c>
      <c r="W6" s="53">
        <f t="shared" si="17"/>
        <v>0</v>
      </c>
      <c r="X6" s="51">
        <f>-SUMIFS('Отчет 01-02.11'!P:P,'Отчет 01-02.11'!C:C,"Вознаграждение Ozon",'Отчет 01-02.11'!E:E,B6)</f>
        <v>0</v>
      </c>
      <c r="Y6" s="54">
        <f t="shared" si="4"/>
        <v>0</v>
      </c>
      <c r="Z6" s="51">
        <f>-SUMIFS('Отчет 01-02.11'!P:P,'Отчет 01-02.11'!C:C,"Услуги доставки",'Отчет 01-02.11'!E:E,B6)</f>
        <v>0</v>
      </c>
      <c r="AA6" s="41">
        <v>820.19352200000003</v>
      </c>
      <c r="AB6" s="64"/>
      <c r="AC6" s="51"/>
      <c r="AD6" s="55">
        <f t="shared" si="5"/>
        <v>0</v>
      </c>
      <c r="AE6" s="56">
        <f t="shared" si="6"/>
        <v>-820.19352200000003</v>
      </c>
      <c r="AF6" s="55"/>
      <c r="AG6" s="57">
        <f t="shared" si="7"/>
        <v>0</v>
      </c>
      <c r="AH6" s="58">
        <f t="shared" si="8"/>
        <v>123.09</v>
      </c>
      <c r="AI6" s="58">
        <f t="shared" si="9"/>
        <v>0</v>
      </c>
      <c r="AJ6" s="58">
        <f t="shared" si="10"/>
        <v>0</v>
      </c>
      <c r="AK6" s="58">
        <f t="shared" si="11"/>
        <v>0</v>
      </c>
      <c r="AL6" s="58">
        <f t="array" ref="AL6">_xlfn.IFS(R6=0,AE6,R6&lt;0,AE6/-R6,R6&gt;0,AE6/R6)</f>
        <v>-820.19352200000003</v>
      </c>
      <c r="AM6" s="59">
        <f t="shared" si="12"/>
        <v>0</v>
      </c>
      <c r="AN6" s="60">
        <f t="shared" si="13"/>
        <v>-6.6633643837842227</v>
      </c>
      <c r="AP6" s="62">
        <f t="shared" si="14"/>
        <v>-737353.97627800005</v>
      </c>
    </row>
    <row r="7" spans="1:42">
      <c r="A7" s="39">
        <v>2638569317</v>
      </c>
      <c r="B7" s="40" t="s">
        <v>54</v>
      </c>
      <c r="C7" s="41">
        <v>855</v>
      </c>
      <c r="D7" s="42"/>
      <c r="E7" s="42"/>
      <c r="F7" s="42"/>
      <c r="G7" s="43"/>
      <c r="H7" s="44">
        <v>117.24</v>
      </c>
      <c r="I7" s="63">
        <f t="shared" si="0"/>
        <v>100240.2</v>
      </c>
      <c r="J7" s="45"/>
      <c r="K7" s="41">
        <v>0</v>
      </c>
      <c r="L7" s="45"/>
      <c r="M7" s="45"/>
      <c r="N7" s="46">
        <f t="shared" si="15"/>
        <v>0</v>
      </c>
      <c r="O7" s="47">
        <f t="shared" si="16"/>
        <v>0</v>
      </c>
      <c r="P7" s="48">
        <f>SUMIFS('Отчет 01-02.11'!H:H,'Отчет 01-02.11'!D:D,"Выручка",'Отчет 01-02.11'!E:E,B7)</f>
        <v>0</v>
      </c>
      <c r="Q7" s="48">
        <f>SUMIFS('Отчет 01-02.11'!H:H,'Отчет 01-02.11'!D:D,"Возврат выручки",'Отчет 01-02.11'!E:E,B7)</f>
        <v>0</v>
      </c>
      <c r="R7" s="49">
        <f t="shared" si="1"/>
        <v>0</v>
      </c>
      <c r="S7" s="50">
        <f>SUMIFS('Отчет 01-02.11'!P:P,'Отчет 01-02.11'!C:C,"Продажи",'Отчет 01-02.11'!E:E,B7)</f>
        <v>0</v>
      </c>
      <c r="T7" s="51">
        <f>SUMIFS('Отчет 01-02.11'!P:P,'Отчет 01-02.11'!C:C,"Возвраты",'Отчет 01-02.11'!E:E,B7)</f>
        <v>0</v>
      </c>
      <c r="U7" s="49">
        <f t="shared" si="2"/>
        <v>0</v>
      </c>
      <c r="V7" s="52">
        <f t="shared" si="3"/>
        <v>0</v>
      </c>
      <c r="W7" s="53">
        <f t="shared" si="17"/>
        <v>0</v>
      </c>
      <c r="X7" s="51">
        <f>-SUMIFS('Отчет 01-02.11'!P:P,'Отчет 01-02.11'!C:C,"Вознаграждение Ozon",'Отчет 01-02.11'!E:E,B7)</f>
        <v>0</v>
      </c>
      <c r="Y7" s="54">
        <f t="shared" si="4"/>
        <v>0</v>
      </c>
      <c r="Z7" s="51">
        <f>-SUMIFS('Отчет 01-02.11'!P:P,'Отчет 01-02.11'!C:C,"Услуги доставки",'Отчет 01-02.11'!E:E,B7)</f>
        <v>0</v>
      </c>
      <c r="AA7" s="41">
        <v>0</v>
      </c>
      <c r="AB7" s="64"/>
      <c r="AC7" s="51"/>
      <c r="AD7" s="55">
        <f t="shared" si="5"/>
        <v>0</v>
      </c>
      <c r="AE7" s="56">
        <f t="shared" si="6"/>
        <v>0</v>
      </c>
      <c r="AF7" s="55"/>
      <c r="AG7" s="57">
        <f t="shared" si="7"/>
        <v>0</v>
      </c>
      <c r="AH7" s="58">
        <f t="shared" si="8"/>
        <v>117.24</v>
      </c>
      <c r="AI7" s="58">
        <f t="shared" si="9"/>
        <v>0</v>
      </c>
      <c r="AJ7" s="58">
        <f t="shared" si="10"/>
        <v>0</v>
      </c>
      <c r="AK7" s="58">
        <f t="shared" si="11"/>
        <v>0</v>
      </c>
      <c r="AL7" s="58">
        <f t="array" ref="AL7">_xlfn.IFS(R7=0,AE7,R7&lt;0,AE7/-R7,R7&gt;0,AE7/R7)</f>
        <v>0</v>
      </c>
      <c r="AM7" s="59">
        <f t="shared" si="12"/>
        <v>0</v>
      </c>
      <c r="AN7" s="60">
        <f t="shared" si="13"/>
        <v>0</v>
      </c>
      <c r="AP7" s="62">
        <f t="shared" si="14"/>
        <v>0</v>
      </c>
    </row>
    <row r="8" spans="1:42">
      <c r="A8" s="39">
        <v>2638291563</v>
      </c>
      <c r="B8" s="40" t="s">
        <v>88</v>
      </c>
      <c r="C8" s="41">
        <v>396</v>
      </c>
      <c r="D8" s="42"/>
      <c r="E8" s="42"/>
      <c r="F8" s="42"/>
      <c r="G8" s="43"/>
      <c r="H8" s="44">
        <v>169.89</v>
      </c>
      <c r="I8" s="63">
        <f t="shared" si="0"/>
        <v>67276.439999999988</v>
      </c>
      <c r="J8" s="45"/>
      <c r="K8" s="41">
        <v>0</v>
      </c>
      <c r="L8" s="45"/>
      <c r="M8" s="45"/>
      <c r="N8" s="46">
        <f t="shared" si="15"/>
        <v>0</v>
      </c>
      <c r="O8" s="47">
        <f t="shared" si="16"/>
        <v>0.5</v>
      </c>
      <c r="P8" s="48">
        <f>SUMIFS('Отчет 01-02.11'!H:H,'Отчет 01-02.11'!D:D,"Выручка",'Отчет 01-02.11'!E:E,B8)</f>
        <v>1</v>
      </c>
      <c r="Q8" s="48">
        <f>SUMIFS('Отчет 01-02.11'!H:H,'Отчет 01-02.11'!D:D,"Возврат выручки",'Отчет 01-02.11'!E:E,B8)</f>
        <v>0</v>
      </c>
      <c r="R8" s="49">
        <f t="shared" si="1"/>
        <v>1</v>
      </c>
      <c r="S8" s="50">
        <f>SUMIFS('Отчет 01-02.11'!P:P,'Отчет 01-02.11'!C:C,"Продажи",'Отчет 01-02.11'!E:E,B8)</f>
        <v>1364</v>
      </c>
      <c r="T8" s="51">
        <f>SUMIFS('Отчет 01-02.11'!P:P,'Отчет 01-02.11'!C:C,"Возвраты",'Отчет 01-02.11'!E:E,B8)</f>
        <v>0</v>
      </c>
      <c r="U8" s="49">
        <f t="shared" si="2"/>
        <v>1364</v>
      </c>
      <c r="V8" s="52">
        <f t="shared" si="3"/>
        <v>8.6187286743333757E-2</v>
      </c>
      <c r="W8" s="53">
        <f t="shared" si="17"/>
        <v>169.89</v>
      </c>
      <c r="X8" s="51">
        <f>-SUMIFS('Отчет 01-02.11'!P:P,'Отчет 01-02.11'!C:C,"Вознаграждение Ozon",'Отчет 01-02.11'!E:E,B8)</f>
        <v>518.32000000000005</v>
      </c>
      <c r="Y8" s="54">
        <f t="shared" si="4"/>
        <v>0.38000000000000006</v>
      </c>
      <c r="Z8" s="51">
        <f>-SUMIFS('Отчет 01-02.11'!P:P,'Отчет 01-02.11'!C:C,"Услуги доставки",'Отчет 01-02.11'!E:E,B8)</f>
        <v>46</v>
      </c>
      <c r="AA8" s="41">
        <v>313.72000000000003</v>
      </c>
      <c r="AB8" s="64"/>
      <c r="AC8" s="51"/>
      <c r="AD8" s="55">
        <f t="shared" si="5"/>
        <v>81.84</v>
      </c>
      <c r="AE8" s="56">
        <f t="shared" si="6"/>
        <v>234.23000000000005</v>
      </c>
      <c r="AF8" s="55"/>
      <c r="AG8" s="57">
        <f t="shared" si="7"/>
        <v>1364</v>
      </c>
      <c r="AH8" s="58">
        <f t="shared" si="8"/>
        <v>169.89</v>
      </c>
      <c r="AI8" s="58">
        <f t="shared" si="9"/>
        <v>518.32000000000005</v>
      </c>
      <c r="AJ8" s="58">
        <f t="shared" si="10"/>
        <v>46</v>
      </c>
      <c r="AK8" s="58">
        <f t="shared" si="11"/>
        <v>313.72000000000003</v>
      </c>
      <c r="AL8" s="58">
        <f t="array" ref="AL8">_xlfn.IFS(R8=0,AE8,R8&lt;0,AE8/-R8,R8&gt;0,AE8/R8)</f>
        <v>234.23000000000005</v>
      </c>
      <c r="AM8" s="59">
        <f t="shared" si="12"/>
        <v>0.17172287390029328</v>
      </c>
      <c r="AN8" s="60">
        <f t="shared" si="13"/>
        <v>1.3787156395314619</v>
      </c>
      <c r="AP8" s="62">
        <f t="shared" si="14"/>
        <v>92755.080000000016</v>
      </c>
    </row>
    <row r="9" spans="1:42">
      <c r="A9" s="39">
        <v>2730130733</v>
      </c>
      <c r="B9" s="40" t="s">
        <v>224</v>
      </c>
      <c r="C9" s="41">
        <v>48</v>
      </c>
      <c r="D9" s="42"/>
      <c r="E9" s="42"/>
      <c r="F9" s="42"/>
      <c r="G9" s="43"/>
      <c r="H9" s="44">
        <v>169.89</v>
      </c>
      <c r="I9" s="63">
        <f t="shared" si="0"/>
        <v>8154.7199999999993</v>
      </c>
      <c r="J9" s="45"/>
      <c r="K9" s="41">
        <v>0</v>
      </c>
      <c r="L9" s="45"/>
      <c r="M9" s="45"/>
      <c r="N9" s="46">
        <f t="shared" si="15"/>
        <v>0</v>
      </c>
      <c r="O9" s="47">
        <f t="shared" si="16"/>
        <v>0</v>
      </c>
      <c r="P9" s="48">
        <f>SUMIFS('Отчет 01-02.11'!H:H,'Отчет 01-02.11'!D:D,"Выручка",'Отчет 01-02.11'!E:E,B9)</f>
        <v>0</v>
      </c>
      <c r="Q9" s="48">
        <f>SUMIFS('Отчет 01-02.11'!H:H,'Отчет 01-02.11'!D:D,"Возврат выручки",'Отчет 01-02.11'!E:E,B9)</f>
        <v>0</v>
      </c>
      <c r="R9" s="49">
        <f t="shared" si="1"/>
        <v>0</v>
      </c>
      <c r="S9" s="50">
        <f>SUMIFS('Отчет 01-02.11'!P:P,'Отчет 01-02.11'!C:C,"Продажи",'Отчет 01-02.11'!E:E,B9)</f>
        <v>0</v>
      </c>
      <c r="T9" s="51">
        <f>SUMIFS('Отчет 01-02.11'!P:P,'Отчет 01-02.11'!C:C,"Возвраты",'Отчет 01-02.11'!E:E,B9)</f>
        <v>0</v>
      </c>
      <c r="U9" s="49">
        <f t="shared" si="2"/>
        <v>0</v>
      </c>
      <c r="V9" s="52">
        <f t="shared" si="3"/>
        <v>0</v>
      </c>
      <c r="W9" s="53">
        <f t="shared" si="17"/>
        <v>0</v>
      </c>
      <c r="X9" s="51">
        <f>-SUMIFS('Отчет 01-02.11'!P:P,'Отчет 01-02.11'!C:C,"Вознаграждение Ozon",'Отчет 01-02.11'!E:E,B9)</f>
        <v>0</v>
      </c>
      <c r="Y9" s="54">
        <f t="shared" si="4"/>
        <v>0</v>
      </c>
      <c r="Z9" s="51">
        <f>-SUMIFS('Отчет 01-02.11'!P:P,'Отчет 01-02.11'!C:C,"Услуги доставки",'Отчет 01-02.11'!E:E,B9)</f>
        <v>0</v>
      </c>
      <c r="AA9" s="41">
        <v>0</v>
      </c>
      <c r="AB9" s="64"/>
      <c r="AC9" s="51"/>
      <c r="AD9" s="55">
        <f t="shared" si="5"/>
        <v>0</v>
      </c>
      <c r="AE9" s="56">
        <f t="shared" si="6"/>
        <v>0</v>
      </c>
      <c r="AF9" s="55"/>
      <c r="AG9" s="57">
        <f t="shared" si="7"/>
        <v>0</v>
      </c>
      <c r="AH9" s="58">
        <f t="shared" si="8"/>
        <v>169.89</v>
      </c>
      <c r="AI9" s="58">
        <f t="shared" si="9"/>
        <v>0</v>
      </c>
      <c r="AJ9" s="58">
        <f t="shared" si="10"/>
        <v>0</v>
      </c>
      <c r="AK9" s="58">
        <f t="shared" si="11"/>
        <v>0</v>
      </c>
      <c r="AL9" s="58">
        <f t="array" ref="AL9">_xlfn.IFS(R9=0,AE9,R9&lt;0,AE9/-R9,R9&gt;0,AE9/R9)</f>
        <v>0</v>
      </c>
      <c r="AM9" s="59">
        <f t="shared" si="12"/>
        <v>0</v>
      </c>
      <c r="AN9" s="60">
        <f t="shared" si="13"/>
        <v>0</v>
      </c>
      <c r="AP9" s="62">
        <f t="shared" si="14"/>
        <v>0</v>
      </c>
    </row>
    <row r="10" spans="1:42">
      <c r="A10" s="39">
        <v>2730131249</v>
      </c>
      <c r="B10" s="40" t="s">
        <v>225</v>
      </c>
      <c r="C10" s="41">
        <v>46</v>
      </c>
      <c r="D10" s="42"/>
      <c r="E10" s="42"/>
      <c r="F10" s="42"/>
      <c r="G10" s="43"/>
      <c r="H10" s="44">
        <v>169.89</v>
      </c>
      <c r="I10" s="63">
        <f t="shared" si="0"/>
        <v>7814.94</v>
      </c>
      <c r="J10" s="45"/>
      <c r="K10" s="41">
        <v>0</v>
      </c>
      <c r="L10" s="45"/>
      <c r="M10" s="45"/>
      <c r="N10" s="46">
        <f t="shared" si="15"/>
        <v>0</v>
      </c>
      <c r="O10" s="47">
        <f t="shared" si="16"/>
        <v>0</v>
      </c>
      <c r="P10" s="48">
        <f>SUMIFS('Отчет 01-02.11'!H:H,'Отчет 01-02.11'!D:D,"Выручка",'Отчет 01-02.11'!E:E,B10)</f>
        <v>0</v>
      </c>
      <c r="Q10" s="48">
        <f>SUMIFS('Отчет 01-02.11'!H:H,'Отчет 01-02.11'!D:D,"Возврат выручки",'Отчет 01-02.11'!E:E,B10)</f>
        <v>0</v>
      </c>
      <c r="R10" s="49">
        <f t="shared" si="1"/>
        <v>0</v>
      </c>
      <c r="S10" s="50">
        <f>SUMIFS('Отчет 01-02.11'!P:P,'Отчет 01-02.11'!C:C,"Продажи",'Отчет 01-02.11'!E:E,B10)</f>
        <v>0</v>
      </c>
      <c r="T10" s="51">
        <f>SUMIFS('Отчет 01-02.11'!P:P,'Отчет 01-02.11'!C:C,"Возвраты",'Отчет 01-02.11'!E:E,B10)</f>
        <v>0</v>
      </c>
      <c r="U10" s="49">
        <f t="shared" si="2"/>
        <v>0</v>
      </c>
      <c r="V10" s="52">
        <f t="shared" si="3"/>
        <v>0</v>
      </c>
      <c r="W10" s="53">
        <f t="shared" si="17"/>
        <v>0</v>
      </c>
      <c r="X10" s="51">
        <f>-SUMIFS('Отчет 01-02.11'!P:P,'Отчет 01-02.11'!C:C,"Вознаграждение Ozon",'Отчет 01-02.11'!E:E,B10)</f>
        <v>0</v>
      </c>
      <c r="Y10" s="54">
        <f t="shared" si="4"/>
        <v>0</v>
      </c>
      <c r="Z10" s="51">
        <f>-SUMIFS('Отчет 01-02.11'!P:P,'Отчет 01-02.11'!C:C,"Услуги доставки",'Отчет 01-02.11'!E:E,B10)</f>
        <v>0</v>
      </c>
      <c r="AA10" s="41">
        <v>0</v>
      </c>
      <c r="AB10" s="64"/>
      <c r="AC10" s="51"/>
      <c r="AD10" s="55">
        <f t="shared" si="5"/>
        <v>0</v>
      </c>
      <c r="AE10" s="56">
        <f t="shared" si="6"/>
        <v>0</v>
      </c>
      <c r="AF10" s="55"/>
      <c r="AG10" s="57">
        <f t="shared" si="7"/>
        <v>0</v>
      </c>
      <c r="AH10" s="58">
        <f t="shared" si="8"/>
        <v>169.89</v>
      </c>
      <c r="AI10" s="58">
        <f t="shared" si="9"/>
        <v>0</v>
      </c>
      <c r="AJ10" s="58">
        <f t="shared" si="10"/>
        <v>0</v>
      </c>
      <c r="AK10" s="58">
        <f t="shared" si="11"/>
        <v>0</v>
      </c>
      <c r="AL10" s="58">
        <f t="array" ref="AL10">_xlfn.IFS(R10=0,AE10,R10&lt;0,AE10/-R10,R10&gt;0,AE10/R10)</f>
        <v>0</v>
      </c>
      <c r="AM10" s="59">
        <f t="shared" si="12"/>
        <v>0</v>
      </c>
      <c r="AN10" s="60">
        <f t="shared" si="13"/>
        <v>0</v>
      </c>
      <c r="AP10" s="62">
        <f t="shared" si="14"/>
        <v>0</v>
      </c>
    </row>
    <row r="11" spans="1:42">
      <c r="A11" s="39">
        <v>2730130553</v>
      </c>
      <c r="B11" s="40" t="s">
        <v>226</v>
      </c>
      <c r="C11" s="41">
        <v>42</v>
      </c>
      <c r="D11" s="42"/>
      <c r="E11" s="42"/>
      <c r="F11" s="42"/>
      <c r="G11" s="43"/>
      <c r="H11" s="44">
        <v>169.89</v>
      </c>
      <c r="I11" s="63">
        <f t="shared" si="0"/>
        <v>7135.3799999999992</v>
      </c>
      <c r="J11" s="45"/>
      <c r="K11" s="41">
        <v>0</v>
      </c>
      <c r="L11" s="45"/>
      <c r="M11" s="45"/>
      <c r="N11" s="46">
        <f t="shared" si="15"/>
        <v>0</v>
      </c>
      <c r="O11" s="47">
        <f t="shared" si="16"/>
        <v>0</v>
      </c>
      <c r="P11" s="48">
        <f>SUMIFS('Отчет 01-02.11'!H:H,'Отчет 01-02.11'!D:D,"Выручка",'Отчет 01-02.11'!E:E,B11)</f>
        <v>0</v>
      </c>
      <c r="Q11" s="48">
        <f>SUMIFS('Отчет 01-02.11'!H:H,'Отчет 01-02.11'!D:D,"Возврат выручки",'Отчет 01-02.11'!E:E,B11)</f>
        <v>0</v>
      </c>
      <c r="R11" s="49">
        <f t="shared" si="1"/>
        <v>0</v>
      </c>
      <c r="S11" s="50">
        <f>SUMIFS('Отчет 01-02.11'!P:P,'Отчет 01-02.11'!C:C,"Продажи",'Отчет 01-02.11'!E:E,B11)</f>
        <v>0</v>
      </c>
      <c r="T11" s="51">
        <f>SUMIFS('Отчет 01-02.11'!P:P,'Отчет 01-02.11'!C:C,"Возвраты",'Отчет 01-02.11'!E:E,B11)</f>
        <v>0</v>
      </c>
      <c r="U11" s="49">
        <f t="shared" si="2"/>
        <v>0</v>
      </c>
      <c r="V11" s="52">
        <f t="shared" si="3"/>
        <v>0</v>
      </c>
      <c r="W11" s="53">
        <f t="shared" si="17"/>
        <v>0</v>
      </c>
      <c r="X11" s="51">
        <f>-SUMIFS('Отчет 01-02.11'!P:P,'Отчет 01-02.11'!C:C,"Вознаграждение Ozon",'Отчет 01-02.11'!E:E,B11)</f>
        <v>0</v>
      </c>
      <c r="Y11" s="54">
        <f t="shared" si="4"/>
        <v>0</v>
      </c>
      <c r="Z11" s="51">
        <f>-SUMIFS('Отчет 01-02.11'!P:P,'Отчет 01-02.11'!C:C,"Услуги доставки",'Отчет 01-02.11'!E:E,B11)</f>
        <v>0</v>
      </c>
      <c r="AA11" s="41">
        <v>0</v>
      </c>
      <c r="AB11" s="64"/>
      <c r="AC11" s="51"/>
      <c r="AD11" s="55">
        <f t="shared" si="5"/>
        <v>0</v>
      </c>
      <c r="AE11" s="56">
        <f t="shared" si="6"/>
        <v>0</v>
      </c>
      <c r="AF11" s="55"/>
      <c r="AG11" s="57">
        <f t="shared" si="7"/>
        <v>0</v>
      </c>
      <c r="AH11" s="58">
        <f t="shared" si="8"/>
        <v>169.89</v>
      </c>
      <c r="AI11" s="58">
        <f t="shared" si="9"/>
        <v>0</v>
      </c>
      <c r="AJ11" s="58">
        <f t="shared" si="10"/>
        <v>0</v>
      </c>
      <c r="AK11" s="58">
        <f t="shared" si="11"/>
        <v>0</v>
      </c>
      <c r="AL11" s="58">
        <f t="array" ref="AL11">_xlfn.IFS(R11=0,AE11,R11&lt;0,AE11/-R11,R11&gt;0,AE11/R11)</f>
        <v>0</v>
      </c>
      <c r="AM11" s="59">
        <f t="shared" si="12"/>
        <v>0</v>
      </c>
      <c r="AN11" s="60">
        <f t="shared" si="13"/>
        <v>0</v>
      </c>
      <c r="AP11" s="62">
        <f t="shared" si="14"/>
        <v>0</v>
      </c>
    </row>
    <row r="12" spans="1:42" ht="13.75" customHeight="1">
      <c r="A12" s="39">
        <v>2730129638</v>
      </c>
      <c r="B12" s="40" t="s">
        <v>227</v>
      </c>
      <c r="C12" s="41">
        <v>12</v>
      </c>
      <c r="D12" s="42"/>
      <c r="E12" s="42"/>
      <c r="F12" s="42"/>
      <c r="G12" s="43"/>
      <c r="H12" s="44">
        <v>169.89</v>
      </c>
      <c r="I12" s="63">
        <f t="shared" si="0"/>
        <v>2038.6799999999998</v>
      </c>
      <c r="J12" s="45"/>
      <c r="K12" s="41">
        <v>0</v>
      </c>
      <c r="L12" s="45"/>
      <c r="M12" s="45"/>
      <c r="N12" s="46">
        <f t="shared" si="15"/>
        <v>0</v>
      </c>
      <c r="O12" s="47">
        <f t="shared" si="16"/>
        <v>0</v>
      </c>
      <c r="P12" s="48">
        <f>SUMIFS('Отчет 01-02.11'!H:H,'Отчет 01-02.11'!D:D,"Выручка",'Отчет 01-02.11'!E:E,B12)</f>
        <v>0</v>
      </c>
      <c r="Q12" s="48">
        <f>SUMIFS('Отчет 01-02.11'!H:H,'Отчет 01-02.11'!D:D,"Возврат выручки",'Отчет 01-02.11'!E:E,B12)</f>
        <v>0</v>
      </c>
      <c r="R12" s="49">
        <f t="shared" si="1"/>
        <v>0</v>
      </c>
      <c r="S12" s="50">
        <f>SUMIFS('Отчет 01-02.11'!P:P,'Отчет 01-02.11'!C:C,"Продажи",'Отчет 01-02.11'!E:E,B12)</f>
        <v>0</v>
      </c>
      <c r="T12" s="51">
        <f>SUMIFS('Отчет 01-02.11'!P:P,'Отчет 01-02.11'!C:C,"Возвраты",'Отчет 01-02.11'!E:E,B12)</f>
        <v>0</v>
      </c>
      <c r="U12" s="49">
        <f t="shared" si="2"/>
        <v>0</v>
      </c>
      <c r="V12" s="52">
        <f t="shared" si="3"/>
        <v>0</v>
      </c>
      <c r="W12" s="53">
        <f t="shared" si="17"/>
        <v>0</v>
      </c>
      <c r="X12" s="51">
        <f>-SUMIFS('Отчет 01-02.11'!P:P,'Отчет 01-02.11'!C:C,"Вознаграждение Ozon",'Отчет 01-02.11'!E:E,B12)</f>
        <v>0</v>
      </c>
      <c r="Y12" s="54">
        <f t="shared" si="4"/>
        <v>0</v>
      </c>
      <c r="Z12" s="51">
        <f>-SUMIFS('Отчет 01-02.11'!P:P,'Отчет 01-02.11'!C:C,"Услуги доставки",'Отчет 01-02.11'!E:E,B12)</f>
        <v>0</v>
      </c>
      <c r="AA12" s="41">
        <v>224.69345000000001</v>
      </c>
      <c r="AB12" s="64"/>
      <c r="AC12" s="51"/>
      <c r="AD12" s="55">
        <f t="shared" si="5"/>
        <v>0</v>
      </c>
      <c r="AE12" s="56">
        <f t="shared" si="6"/>
        <v>-224.69345000000001</v>
      </c>
      <c r="AF12" s="55"/>
      <c r="AG12" s="57">
        <f t="shared" si="7"/>
        <v>0</v>
      </c>
      <c r="AH12" s="58">
        <f t="shared" si="8"/>
        <v>169.89</v>
      </c>
      <c r="AI12" s="58">
        <f t="shared" si="9"/>
        <v>0</v>
      </c>
      <c r="AJ12" s="58">
        <f t="shared" si="10"/>
        <v>0</v>
      </c>
      <c r="AK12" s="58">
        <f t="shared" si="11"/>
        <v>0</v>
      </c>
      <c r="AL12" s="58">
        <f t="array" ref="AL12">_xlfn.IFS(R12=0,AE12,R12&lt;0,AE12/-R12,R12&gt;0,AE12/R12)</f>
        <v>-224.69345000000001</v>
      </c>
      <c r="AM12" s="59">
        <f t="shared" si="12"/>
        <v>0</v>
      </c>
      <c r="AN12" s="60">
        <f t="shared" si="13"/>
        <v>-1.3225819648007535</v>
      </c>
      <c r="AP12" s="62">
        <f t="shared" si="14"/>
        <v>-2696.3214000000003</v>
      </c>
    </row>
    <row r="13" spans="1:42" ht="13.75" customHeight="1">
      <c r="A13" s="39">
        <v>2730130141</v>
      </c>
      <c r="B13" s="40" t="s">
        <v>228</v>
      </c>
      <c r="C13" s="41">
        <v>45</v>
      </c>
      <c r="D13" s="42"/>
      <c r="E13" s="42"/>
      <c r="F13" s="42"/>
      <c r="G13" s="43"/>
      <c r="H13" s="44">
        <v>169.89</v>
      </c>
      <c r="I13" s="63">
        <f t="shared" si="0"/>
        <v>7645.0499999999993</v>
      </c>
      <c r="J13" s="45"/>
      <c r="K13" s="41">
        <v>0</v>
      </c>
      <c r="L13" s="45"/>
      <c r="M13" s="45"/>
      <c r="N13" s="46">
        <f t="shared" si="15"/>
        <v>0</v>
      </c>
      <c r="O13" s="47">
        <f t="shared" si="16"/>
        <v>0</v>
      </c>
      <c r="P13" s="48">
        <f>SUMIFS('Отчет 01-02.11'!H:H,'Отчет 01-02.11'!D:D,"Выручка",'Отчет 01-02.11'!E:E,B13)</f>
        <v>0</v>
      </c>
      <c r="Q13" s="48">
        <f>SUMIFS('Отчет 01-02.11'!H:H,'Отчет 01-02.11'!D:D,"Возврат выручки",'Отчет 01-02.11'!E:E,B13)</f>
        <v>0</v>
      </c>
      <c r="R13" s="49">
        <f t="shared" si="1"/>
        <v>0</v>
      </c>
      <c r="S13" s="50">
        <f>SUMIFS('Отчет 01-02.11'!P:P,'Отчет 01-02.11'!C:C,"Продажи",'Отчет 01-02.11'!E:E,B13)</f>
        <v>0</v>
      </c>
      <c r="T13" s="51">
        <f>SUMIFS('Отчет 01-02.11'!P:P,'Отчет 01-02.11'!C:C,"Возвраты",'Отчет 01-02.11'!E:E,B13)</f>
        <v>0</v>
      </c>
      <c r="U13" s="49">
        <f t="shared" si="2"/>
        <v>0</v>
      </c>
      <c r="V13" s="52">
        <f t="shared" si="3"/>
        <v>0</v>
      </c>
      <c r="W13" s="53">
        <f t="shared" si="17"/>
        <v>0</v>
      </c>
      <c r="X13" s="51">
        <f>-SUMIFS('Отчет 01-02.11'!P:P,'Отчет 01-02.11'!C:C,"Вознаграждение Ozon",'Отчет 01-02.11'!E:E,B13)</f>
        <v>0</v>
      </c>
      <c r="Y13" s="54">
        <f t="shared" si="4"/>
        <v>0</v>
      </c>
      <c r="Z13" s="51">
        <f>-SUMIFS('Отчет 01-02.11'!P:P,'Отчет 01-02.11'!C:C,"Услуги доставки",'Отчет 01-02.11'!E:E,B13)</f>
        <v>0</v>
      </c>
      <c r="AA13" s="41">
        <v>700.22806500000002</v>
      </c>
      <c r="AB13" s="64"/>
      <c r="AC13" s="51"/>
      <c r="AD13" s="55">
        <f t="shared" si="5"/>
        <v>0</v>
      </c>
      <c r="AE13" s="56">
        <f t="shared" si="6"/>
        <v>-700.22806500000002</v>
      </c>
      <c r="AF13" s="55"/>
      <c r="AG13" s="57">
        <f t="shared" si="7"/>
        <v>0</v>
      </c>
      <c r="AH13" s="58">
        <f t="shared" si="8"/>
        <v>169.89</v>
      </c>
      <c r="AI13" s="58">
        <f t="shared" si="9"/>
        <v>0</v>
      </c>
      <c r="AJ13" s="58">
        <f t="shared" si="10"/>
        <v>0</v>
      </c>
      <c r="AK13" s="58">
        <f t="shared" si="11"/>
        <v>0</v>
      </c>
      <c r="AL13" s="58">
        <f t="array" ref="AL13">_xlfn.IFS(R13=0,AE13,R13&lt;0,AE13/-R13,R13&gt;0,AE13/R13)</f>
        <v>-700.22806500000002</v>
      </c>
      <c r="AM13" s="59">
        <f t="shared" si="12"/>
        <v>0</v>
      </c>
      <c r="AN13" s="60">
        <f t="shared" si="13"/>
        <v>-4.1216555712519867</v>
      </c>
      <c r="AP13" s="62">
        <f t="shared" si="14"/>
        <v>-31510.262924999999</v>
      </c>
    </row>
    <row r="14" spans="1:42" ht="13.75" customHeight="1">
      <c r="A14" s="39">
        <v>2730129805</v>
      </c>
      <c r="B14" s="40" t="s">
        <v>19</v>
      </c>
      <c r="C14" s="41">
        <v>27</v>
      </c>
      <c r="D14" s="42"/>
      <c r="E14" s="42"/>
      <c r="F14" s="42"/>
      <c r="G14" s="43"/>
      <c r="H14" s="44">
        <v>169.89</v>
      </c>
      <c r="I14" s="63">
        <f t="shared" si="0"/>
        <v>4587.03</v>
      </c>
      <c r="J14" s="45"/>
      <c r="K14" s="41">
        <v>0</v>
      </c>
      <c r="L14" s="45"/>
      <c r="M14" s="45"/>
      <c r="N14" s="46">
        <f t="shared" si="15"/>
        <v>0</v>
      </c>
      <c r="O14" s="47">
        <f t="shared" si="16"/>
        <v>0</v>
      </c>
      <c r="P14" s="48">
        <f>SUMIFS('Отчет 01-02.11'!H:H,'Отчет 01-02.11'!D:D,"Выручка",'Отчет 01-02.11'!E:E,B14)</f>
        <v>0</v>
      </c>
      <c r="Q14" s="48">
        <f>SUMIFS('Отчет 01-02.11'!H:H,'Отчет 01-02.11'!D:D,"Возврат выручки",'Отчет 01-02.11'!E:E,B14)</f>
        <v>0</v>
      </c>
      <c r="R14" s="49">
        <f t="shared" si="1"/>
        <v>0</v>
      </c>
      <c r="S14" s="50">
        <f>SUMIFS('Отчет 01-02.11'!P:P,'Отчет 01-02.11'!C:C,"Продажи",'Отчет 01-02.11'!E:E,B14)</f>
        <v>0</v>
      </c>
      <c r="T14" s="51">
        <f>SUMIFS('Отчет 01-02.11'!P:P,'Отчет 01-02.11'!C:C,"Возвраты",'Отчет 01-02.11'!E:E,B14)</f>
        <v>0</v>
      </c>
      <c r="U14" s="49">
        <f t="shared" si="2"/>
        <v>0</v>
      </c>
      <c r="V14" s="52">
        <f t="shared" si="3"/>
        <v>0</v>
      </c>
      <c r="W14" s="53">
        <f t="shared" si="17"/>
        <v>0</v>
      </c>
      <c r="X14" s="51">
        <f>-SUMIFS('Отчет 01-02.11'!P:P,'Отчет 01-02.11'!C:C,"Вознаграждение Ozon",'Отчет 01-02.11'!E:E,B14)</f>
        <v>0</v>
      </c>
      <c r="Y14" s="54">
        <f t="shared" si="4"/>
        <v>0</v>
      </c>
      <c r="Z14" s="51">
        <f>-SUMIFS('Отчет 01-02.11'!P:P,'Отчет 01-02.11'!C:C,"Услуги доставки",'Отчет 01-02.11'!E:E,B14)</f>
        <v>0</v>
      </c>
      <c r="AA14" s="41">
        <v>0</v>
      </c>
      <c r="AB14" s="64"/>
      <c r="AC14" s="51"/>
      <c r="AD14" s="55">
        <f t="shared" si="5"/>
        <v>0</v>
      </c>
      <c r="AE14" s="56">
        <f t="shared" si="6"/>
        <v>0</v>
      </c>
      <c r="AF14" s="55"/>
      <c r="AG14" s="57">
        <f t="shared" si="7"/>
        <v>0</v>
      </c>
      <c r="AH14" s="58">
        <f t="shared" si="8"/>
        <v>169.89</v>
      </c>
      <c r="AI14" s="58">
        <f t="shared" si="9"/>
        <v>0</v>
      </c>
      <c r="AJ14" s="58">
        <f t="shared" si="10"/>
        <v>0</v>
      </c>
      <c r="AK14" s="58">
        <f t="shared" si="11"/>
        <v>0</v>
      </c>
      <c r="AL14" s="58">
        <f t="array" ref="AL14">_xlfn.IFS(R14=0,AE14,R14&lt;0,AE14/-R14,R14&gt;0,AE14/R14)</f>
        <v>0</v>
      </c>
      <c r="AM14" s="59">
        <f t="shared" si="12"/>
        <v>0</v>
      </c>
      <c r="AN14" s="60">
        <f t="shared" si="13"/>
        <v>0</v>
      </c>
      <c r="AP14" s="62">
        <f t="shared" si="14"/>
        <v>0</v>
      </c>
    </row>
    <row r="15" spans="1:42" ht="13.75" customHeight="1">
      <c r="A15" s="39">
        <v>2807226201</v>
      </c>
      <c r="B15" s="40" t="s">
        <v>229</v>
      </c>
      <c r="C15" s="41">
        <v>2</v>
      </c>
      <c r="D15" s="42"/>
      <c r="E15" s="42"/>
      <c r="F15" s="42"/>
      <c r="G15" s="43"/>
      <c r="H15" s="44">
        <v>1002.82</v>
      </c>
      <c r="I15" s="63">
        <f t="shared" si="0"/>
        <v>2005.64</v>
      </c>
      <c r="J15" s="45"/>
      <c r="K15" s="41">
        <v>0</v>
      </c>
      <c r="L15" s="45"/>
      <c r="M15" s="45"/>
      <c r="N15" s="46">
        <f t="shared" si="15"/>
        <v>0</v>
      </c>
      <c r="O15" s="47">
        <f t="shared" si="16"/>
        <v>0</v>
      </c>
      <c r="P15" s="48">
        <f>SUMIFS('Отчет 01-02.11'!H:H,'Отчет 01-02.11'!D:D,"Выручка",'Отчет 01-02.11'!E:E,B15)</f>
        <v>0</v>
      </c>
      <c r="Q15" s="48">
        <f>SUMIFS('Отчет 01-02.11'!H:H,'Отчет 01-02.11'!D:D,"Возврат выручки",'Отчет 01-02.11'!E:E,B15)</f>
        <v>0</v>
      </c>
      <c r="R15" s="49">
        <f t="shared" si="1"/>
        <v>0</v>
      </c>
      <c r="S15" s="50">
        <f>SUMIFS('Отчет 01-02.11'!P:P,'Отчет 01-02.11'!C:C,"Продажи",'Отчет 01-02.11'!E:E,B15)</f>
        <v>0</v>
      </c>
      <c r="T15" s="51">
        <f>SUMIFS('Отчет 01-02.11'!P:P,'Отчет 01-02.11'!C:C,"Возвраты",'Отчет 01-02.11'!E:E,B15)</f>
        <v>0</v>
      </c>
      <c r="U15" s="49">
        <f t="shared" si="2"/>
        <v>0</v>
      </c>
      <c r="V15" s="52">
        <f t="shared" si="3"/>
        <v>0</v>
      </c>
      <c r="W15" s="53">
        <f t="shared" si="17"/>
        <v>0</v>
      </c>
      <c r="X15" s="51">
        <f>-SUMIFS('Отчет 01-02.11'!P:P,'Отчет 01-02.11'!C:C,"Вознаграждение Ozon",'Отчет 01-02.11'!E:E,B15)</f>
        <v>0</v>
      </c>
      <c r="Y15" s="54">
        <f t="shared" si="4"/>
        <v>0</v>
      </c>
      <c r="Z15" s="51">
        <f>-SUMIFS('Отчет 01-02.11'!P:P,'Отчет 01-02.11'!C:C,"Услуги доставки",'Отчет 01-02.11'!E:E,B15)</f>
        <v>0</v>
      </c>
      <c r="AA15" s="41">
        <v>849.14172799999994</v>
      </c>
      <c r="AB15" s="64"/>
      <c r="AC15" s="51"/>
      <c r="AD15" s="55">
        <f t="shared" si="5"/>
        <v>0</v>
      </c>
      <c r="AE15" s="56">
        <f t="shared" si="6"/>
        <v>-849.14172799999994</v>
      </c>
      <c r="AF15" s="55"/>
      <c r="AG15" s="57">
        <f t="shared" si="7"/>
        <v>0</v>
      </c>
      <c r="AH15" s="58">
        <f t="shared" si="8"/>
        <v>1002.82</v>
      </c>
      <c r="AI15" s="58">
        <f t="shared" si="9"/>
        <v>0</v>
      </c>
      <c r="AJ15" s="58">
        <f t="shared" si="10"/>
        <v>0</v>
      </c>
      <c r="AK15" s="58">
        <f t="shared" si="11"/>
        <v>0</v>
      </c>
      <c r="AL15" s="58">
        <f t="array" ref="AL15">_xlfn.IFS(R15=0,AE15,R15&lt;0,AE15/-R15,R15&gt;0,AE15/R15)</f>
        <v>-849.14172799999994</v>
      </c>
      <c r="AM15" s="59">
        <f t="shared" si="12"/>
        <v>0</v>
      </c>
      <c r="AN15" s="60">
        <f t="shared" si="13"/>
        <v>-0.84675388205261148</v>
      </c>
      <c r="AP15" s="62">
        <f t="shared" si="14"/>
        <v>-1698.2834559999999</v>
      </c>
    </row>
    <row r="16" spans="1:42" ht="13.75" customHeight="1">
      <c r="A16" s="39">
        <v>2807226228</v>
      </c>
      <c r="B16" s="40" t="s">
        <v>230</v>
      </c>
      <c r="C16" s="41">
        <v>1</v>
      </c>
      <c r="D16" s="42"/>
      <c r="E16" s="42"/>
      <c r="F16" s="42"/>
      <c r="G16" s="43"/>
      <c r="H16" s="44">
        <v>909.22</v>
      </c>
      <c r="I16" s="63">
        <f t="shared" si="0"/>
        <v>909.22</v>
      </c>
      <c r="J16" s="45"/>
      <c r="K16" s="41">
        <v>0</v>
      </c>
      <c r="L16" s="45"/>
      <c r="M16" s="45"/>
      <c r="N16" s="46">
        <f t="shared" si="15"/>
        <v>0</v>
      </c>
      <c r="O16" s="47">
        <f t="shared" si="16"/>
        <v>0</v>
      </c>
      <c r="P16" s="48">
        <f>SUMIFS('Отчет 01-02.11'!H:H,'Отчет 01-02.11'!D:D,"Выручка",'Отчет 01-02.11'!E:E,B16)</f>
        <v>0</v>
      </c>
      <c r="Q16" s="48">
        <f>SUMIFS('Отчет 01-02.11'!H:H,'Отчет 01-02.11'!D:D,"Возврат выручки",'Отчет 01-02.11'!E:E,B16)</f>
        <v>0</v>
      </c>
      <c r="R16" s="49">
        <f t="shared" si="1"/>
        <v>0</v>
      </c>
      <c r="S16" s="50">
        <f>SUMIFS('Отчет 01-02.11'!P:P,'Отчет 01-02.11'!C:C,"Продажи",'Отчет 01-02.11'!E:E,B16)</f>
        <v>0</v>
      </c>
      <c r="T16" s="51">
        <f>SUMIFS('Отчет 01-02.11'!P:P,'Отчет 01-02.11'!C:C,"Возвраты",'Отчет 01-02.11'!E:E,B16)</f>
        <v>0</v>
      </c>
      <c r="U16" s="49">
        <f t="shared" si="2"/>
        <v>0</v>
      </c>
      <c r="V16" s="52">
        <f t="shared" si="3"/>
        <v>0</v>
      </c>
      <c r="W16" s="53">
        <f t="shared" si="17"/>
        <v>0</v>
      </c>
      <c r="X16" s="51">
        <f>-SUMIFS('Отчет 01-02.11'!P:P,'Отчет 01-02.11'!C:C,"Вознаграждение Ozon",'Отчет 01-02.11'!E:E,B16)</f>
        <v>0</v>
      </c>
      <c r="Y16" s="54">
        <f t="shared" si="4"/>
        <v>0</v>
      </c>
      <c r="Z16" s="51">
        <f>-SUMIFS('Отчет 01-02.11'!P:P,'Отчет 01-02.11'!C:C,"Услуги доставки",'Отчет 01-02.11'!E:E,B16)</f>
        <v>0</v>
      </c>
      <c r="AA16" s="41">
        <v>0</v>
      </c>
      <c r="AB16" s="64"/>
      <c r="AC16" s="51"/>
      <c r="AD16" s="55">
        <f t="shared" si="5"/>
        <v>0</v>
      </c>
      <c r="AE16" s="56">
        <f t="shared" si="6"/>
        <v>0</v>
      </c>
      <c r="AF16" s="55"/>
      <c r="AG16" s="57">
        <f t="shared" si="7"/>
        <v>0</v>
      </c>
      <c r="AH16" s="58">
        <f t="shared" si="8"/>
        <v>909.22</v>
      </c>
      <c r="AI16" s="58">
        <f t="shared" si="9"/>
        <v>0</v>
      </c>
      <c r="AJ16" s="58">
        <f t="shared" si="10"/>
        <v>0</v>
      </c>
      <c r="AK16" s="58">
        <f t="shared" si="11"/>
        <v>0</v>
      </c>
      <c r="AL16" s="58">
        <f t="array" ref="AL16">_xlfn.IFS(R16=0,AE16,R16&lt;0,AE16/-R16,R16&gt;0,AE16/R16)</f>
        <v>0</v>
      </c>
      <c r="AM16" s="59">
        <f t="shared" si="12"/>
        <v>0</v>
      </c>
      <c r="AN16" s="60">
        <f t="shared" si="13"/>
        <v>0</v>
      </c>
      <c r="AP16" s="62">
        <f t="shared" si="14"/>
        <v>0</v>
      </c>
    </row>
    <row r="17" spans="1:52" ht="13.75" customHeight="1">
      <c r="A17" s="39">
        <v>2807226016</v>
      </c>
      <c r="B17" s="40" t="s">
        <v>231</v>
      </c>
      <c r="C17" s="41">
        <v>1</v>
      </c>
      <c r="D17" s="42"/>
      <c r="E17" s="42"/>
      <c r="F17" s="42"/>
      <c r="G17" s="43"/>
      <c r="H17" s="44">
        <v>909.22</v>
      </c>
      <c r="I17" s="63">
        <f t="shared" si="0"/>
        <v>909.22</v>
      </c>
      <c r="J17" s="45"/>
      <c r="K17" s="41">
        <v>0</v>
      </c>
      <c r="L17" s="45"/>
      <c r="M17" s="45"/>
      <c r="N17" s="46">
        <f t="shared" si="15"/>
        <v>0</v>
      </c>
      <c r="O17" s="47">
        <f t="shared" si="16"/>
        <v>0</v>
      </c>
      <c r="P17" s="48">
        <f>SUMIFS('Отчет 01-02.11'!H:H,'Отчет 01-02.11'!D:D,"Выручка",'Отчет 01-02.11'!E:E,B17)</f>
        <v>0</v>
      </c>
      <c r="Q17" s="48">
        <f>SUMIFS('Отчет 01-02.11'!H:H,'Отчет 01-02.11'!D:D,"Возврат выручки",'Отчет 01-02.11'!E:E,B17)</f>
        <v>0</v>
      </c>
      <c r="R17" s="49">
        <f t="shared" si="1"/>
        <v>0</v>
      </c>
      <c r="S17" s="50">
        <f>SUMIFS('Отчет 01-02.11'!P:P,'Отчет 01-02.11'!C:C,"Продажи",'Отчет 01-02.11'!E:E,B17)</f>
        <v>0</v>
      </c>
      <c r="T17" s="51">
        <f>SUMIFS('Отчет 01-02.11'!P:P,'Отчет 01-02.11'!C:C,"Возвраты",'Отчет 01-02.11'!E:E,B17)</f>
        <v>0</v>
      </c>
      <c r="U17" s="49">
        <f t="shared" si="2"/>
        <v>0</v>
      </c>
      <c r="V17" s="52">
        <f t="shared" si="3"/>
        <v>0</v>
      </c>
      <c r="W17" s="53">
        <f t="shared" si="17"/>
        <v>0</v>
      </c>
      <c r="X17" s="51">
        <f>-SUMIFS('Отчет 01-02.11'!P:P,'Отчет 01-02.11'!C:C,"Вознаграждение Ozon",'Отчет 01-02.11'!E:E,B17)</f>
        <v>0</v>
      </c>
      <c r="Y17" s="54">
        <f t="shared" si="4"/>
        <v>0</v>
      </c>
      <c r="Z17" s="51">
        <f>-SUMIFS('Отчет 01-02.11'!P:P,'Отчет 01-02.11'!C:C,"Услуги доставки",'Отчет 01-02.11'!E:E,B17)</f>
        <v>0</v>
      </c>
      <c r="AA17" s="41">
        <v>0</v>
      </c>
      <c r="AB17" s="64"/>
      <c r="AC17" s="51"/>
      <c r="AD17" s="55">
        <f t="shared" si="5"/>
        <v>0</v>
      </c>
      <c r="AE17" s="56">
        <f t="shared" si="6"/>
        <v>0</v>
      </c>
      <c r="AF17" s="55"/>
      <c r="AG17" s="57">
        <f t="shared" si="7"/>
        <v>0</v>
      </c>
      <c r="AH17" s="58">
        <f t="shared" si="8"/>
        <v>909.22</v>
      </c>
      <c r="AI17" s="58">
        <f t="shared" si="9"/>
        <v>0</v>
      </c>
      <c r="AJ17" s="58">
        <f t="shared" si="10"/>
        <v>0</v>
      </c>
      <c r="AK17" s="58">
        <f t="shared" si="11"/>
        <v>0</v>
      </c>
      <c r="AL17" s="58">
        <f t="array" ref="AL17">_xlfn.IFS(R17=0,AE17,R17&lt;0,AE17/-R17,R17&gt;0,AE17/R17)</f>
        <v>0</v>
      </c>
      <c r="AM17" s="59">
        <f t="shared" si="12"/>
        <v>0</v>
      </c>
      <c r="AN17" s="60">
        <f t="shared" si="13"/>
        <v>0</v>
      </c>
      <c r="AP17" s="62">
        <f t="shared" si="14"/>
        <v>0</v>
      </c>
    </row>
    <row r="18" spans="1:52" ht="13.75" customHeight="1">
      <c r="A18" s="39">
        <v>2807226072</v>
      </c>
      <c r="B18" s="40" t="s">
        <v>111</v>
      </c>
      <c r="C18" s="41">
        <v>2</v>
      </c>
      <c r="D18" s="42"/>
      <c r="E18" s="42"/>
      <c r="F18" s="42"/>
      <c r="G18" s="43"/>
      <c r="H18" s="44">
        <v>932.62</v>
      </c>
      <c r="I18" s="63">
        <f t="shared" si="0"/>
        <v>1865.24</v>
      </c>
      <c r="J18" s="45"/>
      <c r="K18" s="41">
        <v>0</v>
      </c>
      <c r="L18" s="45"/>
      <c r="M18" s="45"/>
      <c r="N18" s="46">
        <f t="shared" si="15"/>
        <v>0</v>
      </c>
      <c r="O18" s="47">
        <f t="shared" si="16"/>
        <v>0</v>
      </c>
      <c r="P18" s="48">
        <f>SUMIFS('Отчет 01-02.11'!H:H,'Отчет 01-02.11'!D:D,"Выручка",'Отчет 01-02.11'!E:E,B18)</f>
        <v>0</v>
      </c>
      <c r="Q18" s="48">
        <f>SUMIFS('Отчет 01-02.11'!H:H,'Отчет 01-02.11'!D:D,"Возврат выручки",'Отчет 01-02.11'!E:E,B18)</f>
        <v>0</v>
      </c>
      <c r="R18" s="49">
        <f t="shared" si="1"/>
        <v>0</v>
      </c>
      <c r="S18" s="50">
        <f>SUMIFS('Отчет 01-02.11'!P:P,'Отчет 01-02.11'!C:C,"Продажи",'Отчет 01-02.11'!E:E,B18)</f>
        <v>0</v>
      </c>
      <c r="T18" s="51">
        <f>SUMIFS('Отчет 01-02.11'!P:P,'Отчет 01-02.11'!C:C,"Возвраты",'Отчет 01-02.11'!E:E,B18)</f>
        <v>0</v>
      </c>
      <c r="U18" s="49">
        <f t="shared" si="2"/>
        <v>0</v>
      </c>
      <c r="V18" s="52">
        <f t="shared" si="3"/>
        <v>0</v>
      </c>
      <c r="W18" s="53">
        <f t="shared" si="17"/>
        <v>0</v>
      </c>
      <c r="X18" s="51">
        <f>-SUMIFS('Отчет 01-02.11'!P:P,'Отчет 01-02.11'!C:C,"Вознаграждение Ozon",'Отчет 01-02.11'!E:E,B18)</f>
        <v>0</v>
      </c>
      <c r="Y18" s="54">
        <f t="shared" si="4"/>
        <v>0</v>
      </c>
      <c r="Z18" s="51">
        <f>-SUMIFS('Отчет 01-02.11'!P:P,'Отчет 01-02.11'!C:C,"Услуги доставки",'Отчет 01-02.11'!E:E,B18)</f>
        <v>0</v>
      </c>
      <c r="AA18" s="41">
        <v>0</v>
      </c>
      <c r="AB18" s="64"/>
      <c r="AC18" s="51"/>
      <c r="AD18" s="55">
        <f t="shared" si="5"/>
        <v>0</v>
      </c>
      <c r="AE18" s="56">
        <f t="shared" si="6"/>
        <v>0</v>
      </c>
      <c r="AF18" s="55"/>
      <c r="AG18" s="57">
        <f t="shared" si="7"/>
        <v>0</v>
      </c>
      <c r="AH18" s="58">
        <f t="shared" si="8"/>
        <v>932.62</v>
      </c>
      <c r="AI18" s="58">
        <f t="shared" si="9"/>
        <v>0</v>
      </c>
      <c r="AJ18" s="58">
        <f t="shared" si="10"/>
        <v>0</v>
      </c>
      <c r="AK18" s="58">
        <f t="shared" si="11"/>
        <v>0</v>
      </c>
      <c r="AL18" s="58">
        <f t="array" ref="AL18">_xlfn.IFS(R18=0,AE18,R18&lt;0,AE18/-R18,R18&gt;0,AE18/R18)</f>
        <v>0</v>
      </c>
      <c r="AM18" s="59">
        <f t="shared" si="12"/>
        <v>0</v>
      </c>
      <c r="AN18" s="60">
        <f t="shared" si="13"/>
        <v>0</v>
      </c>
      <c r="AP18" s="62">
        <f t="shared" si="14"/>
        <v>0</v>
      </c>
    </row>
    <row r="19" spans="1:52" ht="13.75" customHeight="1">
      <c r="A19" s="39">
        <v>2807226223</v>
      </c>
      <c r="B19" s="40" t="s">
        <v>232</v>
      </c>
      <c r="C19" s="41">
        <v>0</v>
      </c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5"/>
        <v>0</v>
      </c>
      <c r="O19" s="47">
        <f t="shared" si="16"/>
        <v>0</v>
      </c>
      <c r="P19" s="48">
        <f>SUMIFS('Отчет 01-02.11'!H:H,'Отчет 01-02.11'!D:D,"Выручка",'Отчет 01-02.11'!E:E,B19)</f>
        <v>0</v>
      </c>
      <c r="Q19" s="48">
        <f>SUMIFS('Отчет 01-02.11'!H:H,'Отчет 01-02.11'!D:D,"Возврат выручки",'Отчет 01-02.11'!E:E,B19)</f>
        <v>0</v>
      </c>
      <c r="R19" s="49">
        <f t="shared" si="1"/>
        <v>0</v>
      </c>
      <c r="S19" s="50">
        <f>SUMIFS('Отчет 01-02.11'!P:P,'Отчет 01-02.11'!C:C,"Продажи",'Отчет 01-02.11'!E:E,B19)</f>
        <v>0</v>
      </c>
      <c r="T19" s="51">
        <f>SUMIFS('Отчет 01-02.11'!P:P,'Отчет 01-02.11'!C:C,"Возвраты",'Отчет 01-02.11'!E:E,B19)</f>
        <v>0</v>
      </c>
      <c r="U19" s="49">
        <f t="shared" si="2"/>
        <v>0</v>
      </c>
      <c r="V19" s="52">
        <f t="shared" si="3"/>
        <v>0</v>
      </c>
      <c r="W19" s="53">
        <f t="shared" si="17"/>
        <v>0</v>
      </c>
      <c r="X19" s="51">
        <f>-SUMIFS('Отчет 01-02.11'!P:P,'Отчет 01-02.11'!C:C,"Вознаграждение Ozon",'Отчет 01-02.11'!E:E,B19)</f>
        <v>0</v>
      </c>
      <c r="Y19" s="54">
        <f t="shared" si="4"/>
        <v>0</v>
      </c>
      <c r="Z19" s="51">
        <f>-SUMIFS('Отчет 01-02.11'!P:P,'Отчет 01-02.11'!C:C,"Услуги доставки",'Отчет 01-02.11'!E:E,B19)</f>
        <v>0</v>
      </c>
      <c r="AA19" s="41">
        <v>0</v>
      </c>
      <c r="AB19" s="64"/>
      <c r="AC19" s="51"/>
      <c r="AD19" s="55">
        <f t="shared" si="5"/>
        <v>0</v>
      </c>
      <c r="AE19" s="56">
        <f t="shared" si="6"/>
        <v>0</v>
      </c>
      <c r="AF19" s="55"/>
      <c r="AG19" s="57">
        <f t="shared" si="7"/>
        <v>0</v>
      </c>
      <c r="AH19" s="58">
        <f t="shared" si="8"/>
        <v>1014.52</v>
      </c>
      <c r="AI19" s="58">
        <f t="shared" si="9"/>
        <v>0</v>
      </c>
      <c r="AJ19" s="58">
        <f t="shared" si="10"/>
        <v>0</v>
      </c>
      <c r="AK19" s="58">
        <f t="shared" si="11"/>
        <v>0</v>
      </c>
      <c r="AL19" s="58">
        <f t="array" ref="AL19">_xlfn.IFS(R19=0,AE19,R19&lt;0,AE19/-R19,R19&gt;0,AE19/R19)</f>
        <v>0</v>
      </c>
      <c r="AM19" s="59">
        <f t="shared" si="12"/>
        <v>0</v>
      </c>
      <c r="AN19" s="60">
        <f t="shared" si="13"/>
        <v>0</v>
      </c>
      <c r="AP19" s="62">
        <f t="shared" si="14"/>
        <v>0</v>
      </c>
    </row>
    <row r="20" spans="1:52" ht="13.75" customHeight="1">
      <c r="A20" s="39">
        <v>2807226341</v>
      </c>
      <c r="B20" s="40" t="s">
        <v>136</v>
      </c>
      <c r="C20" s="41">
        <v>0</v>
      </c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v>0</v>
      </c>
      <c r="L20" s="45"/>
      <c r="M20" s="45"/>
      <c r="N20" s="46">
        <f t="shared" si="15"/>
        <v>0</v>
      </c>
      <c r="O20" s="47">
        <f t="shared" si="16"/>
        <v>0.5</v>
      </c>
      <c r="P20" s="48">
        <f>SUMIFS('Отчет 01-02.11'!H:H,'Отчет 01-02.11'!D:D,"Выручка",'Отчет 01-02.11'!E:E,B20)</f>
        <v>1</v>
      </c>
      <c r="Q20" s="48">
        <f>SUMIFS('Отчет 01-02.11'!H:H,'Отчет 01-02.11'!D:D,"Возврат выручки",'Отчет 01-02.11'!E:E,B20)</f>
        <v>0</v>
      </c>
      <c r="R20" s="49">
        <f t="shared" si="1"/>
        <v>1</v>
      </c>
      <c r="S20" s="50">
        <f>SUMIFS('Отчет 01-02.11'!P:P,'Отчет 01-02.11'!C:C,"Продажи",'Отчет 01-02.11'!E:E,B20)</f>
        <v>4000</v>
      </c>
      <c r="T20" s="51">
        <f>SUMIFS('Отчет 01-02.11'!P:P,'Отчет 01-02.11'!C:C,"Возвраты",'Отчет 01-02.11'!E:E,B20)</f>
        <v>0</v>
      </c>
      <c r="U20" s="49">
        <f t="shared" si="2"/>
        <v>4000</v>
      </c>
      <c r="V20" s="52">
        <f t="shared" si="3"/>
        <v>0.25274864147605208</v>
      </c>
      <c r="W20" s="53">
        <f t="shared" si="17"/>
        <v>1014.52</v>
      </c>
      <c r="X20" s="51">
        <f>-SUMIFS('Отчет 01-02.11'!P:P,'Отчет 01-02.11'!C:C,"Вознаграждение Ozon",'Отчет 01-02.11'!E:E,B20)</f>
        <v>1520</v>
      </c>
      <c r="Y20" s="54">
        <f t="shared" si="4"/>
        <v>0.38</v>
      </c>
      <c r="Z20" s="51">
        <f>-SUMIFS('Отчет 01-02.11'!P:P,'Отчет 01-02.11'!C:C,"Услуги доставки",'Отчет 01-02.11'!E:E,B20)</f>
        <v>56</v>
      </c>
      <c r="AA20" s="41">
        <v>0</v>
      </c>
      <c r="AB20" s="64"/>
      <c r="AC20" s="51"/>
      <c r="AD20" s="55">
        <f t="shared" si="5"/>
        <v>240</v>
      </c>
      <c r="AE20" s="56">
        <f t="shared" si="6"/>
        <v>1169.48</v>
      </c>
      <c r="AF20" s="55"/>
      <c r="AG20" s="57">
        <f t="shared" si="7"/>
        <v>4000</v>
      </c>
      <c r="AH20" s="58">
        <f t="shared" si="8"/>
        <v>1014.52</v>
      </c>
      <c r="AI20" s="58">
        <f t="shared" si="9"/>
        <v>1520</v>
      </c>
      <c r="AJ20" s="58">
        <f t="shared" si="10"/>
        <v>56</v>
      </c>
      <c r="AK20" s="58">
        <f t="shared" si="11"/>
        <v>0</v>
      </c>
      <c r="AL20" s="58">
        <f t="array" ref="AL20">_xlfn.IFS(R20=0,AE20,R20&lt;0,AE20/-R20,R20&gt;0,AE20/R20)</f>
        <v>1169.48</v>
      </c>
      <c r="AM20" s="59">
        <f t="shared" si="12"/>
        <v>0.29237000000000002</v>
      </c>
      <c r="AN20" s="60">
        <f t="shared" si="13"/>
        <v>1.1527421834956433</v>
      </c>
      <c r="AP20" s="62">
        <f t="shared" si="14"/>
        <v>0</v>
      </c>
    </row>
    <row r="21" spans="1:52" ht="13.75" customHeight="1">
      <c r="A21" s="39">
        <v>2807226351</v>
      </c>
      <c r="B21" s="40" t="s">
        <v>233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5"/>
        <v>0</v>
      </c>
      <c r="O21" s="47">
        <f t="shared" si="16"/>
        <v>0</v>
      </c>
      <c r="P21" s="48">
        <f>SUMIFS('Отчет 01-02.11'!H:H,'Отчет 01-02.11'!D:D,"Выручка",'Отчет 01-02.11'!E:E,B21)</f>
        <v>0</v>
      </c>
      <c r="Q21" s="48">
        <f>SUMIFS('Отчет 01-02.11'!H:H,'Отчет 01-02.11'!D:D,"Возврат выручки",'Отчет 01-02.11'!E:E,B21)</f>
        <v>0</v>
      </c>
      <c r="R21" s="49">
        <f t="shared" si="1"/>
        <v>0</v>
      </c>
      <c r="S21" s="50">
        <f>SUMIFS('Отчет 01-02.11'!P:P,'Отчет 01-02.11'!C:C,"Продажи",'Отчет 01-02.11'!E:E,B21)</f>
        <v>0</v>
      </c>
      <c r="T21" s="51">
        <f>SUMIFS('Отчет 01-02.11'!P:P,'Отчет 01-02.11'!C:C,"Возвраты",'Отчет 01-02.11'!E:E,B21)</f>
        <v>0</v>
      </c>
      <c r="U21" s="49">
        <f t="shared" si="2"/>
        <v>0</v>
      </c>
      <c r="V21" s="52">
        <f t="shared" si="3"/>
        <v>0</v>
      </c>
      <c r="W21" s="53">
        <f t="shared" si="17"/>
        <v>0</v>
      </c>
      <c r="X21" s="51">
        <f>-SUMIFS('Отчет 01-02.11'!P:P,'Отчет 01-02.11'!C:C,"Вознаграждение Ozon",'Отчет 01-02.11'!E:E,B21)</f>
        <v>0</v>
      </c>
      <c r="Y21" s="54">
        <f t="shared" si="4"/>
        <v>0</v>
      </c>
      <c r="Z21" s="51">
        <f>-SUMIFS('Отчет 01-02.11'!P:P,'Отчет 01-02.11'!C:C,"Услуги доставки",'Отчет 01-02.11'!E:E,B21)</f>
        <v>0</v>
      </c>
      <c r="AA21" s="41">
        <v>0</v>
      </c>
      <c r="AB21" s="64"/>
      <c r="AC21" s="51"/>
      <c r="AD21" s="55">
        <f t="shared" si="5"/>
        <v>0</v>
      </c>
      <c r="AE21" s="56">
        <f t="shared" si="6"/>
        <v>0</v>
      </c>
      <c r="AF21" s="55"/>
      <c r="AG21" s="57">
        <f t="shared" si="7"/>
        <v>0</v>
      </c>
      <c r="AH21" s="58">
        <f t="shared" si="8"/>
        <v>1014.52</v>
      </c>
      <c r="AI21" s="58">
        <f t="shared" si="9"/>
        <v>0</v>
      </c>
      <c r="AJ21" s="58">
        <f t="shared" si="10"/>
        <v>0</v>
      </c>
      <c r="AK21" s="58">
        <f t="shared" si="11"/>
        <v>0</v>
      </c>
      <c r="AL21" s="58">
        <f t="array" ref="AL21">_xlfn.IFS(R21=0,AE21,R21&lt;0,AE21/-R21,R21&gt;0,AE21/R21)</f>
        <v>0</v>
      </c>
      <c r="AM21" s="59">
        <f t="shared" si="12"/>
        <v>0</v>
      </c>
      <c r="AN21" s="60">
        <f t="shared" si="13"/>
        <v>0</v>
      </c>
      <c r="AP21" s="62">
        <f t="shared" si="14"/>
        <v>0</v>
      </c>
    </row>
    <row r="22" spans="1:52" ht="13.75" customHeight="1">
      <c r="A22" s="39">
        <v>2807226146</v>
      </c>
      <c r="B22" s="40" t="s">
        <v>234</v>
      </c>
      <c r="C22" s="41">
        <v>0</v>
      </c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5"/>
        <v>0</v>
      </c>
      <c r="O22" s="47">
        <f t="shared" si="16"/>
        <v>0</v>
      </c>
      <c r="P22" s="48">
        <f>SUMIFS('Отчет 01-02.11'!H:H,'Отчет 01-02.11'!D:D,"Выручка",'Отчет 01-02.11'!E:E,B22)</f>
        <v>0</v>
      </c>
      <c r="Q22" s="48">
        <f>SUMIFS('Отчет 01-02.11'!H:H,'Отчет 01-02.11'!D:D,"Возврат выручки",'Отчет 01-02.11'!E:E,B22)</f>
        <v>0</v>
      </c>
      <c r="R22" s="49">
        <f t="shared" si="1"/>
        <v>0</v>
      </c>
      <c r="S22" s="50">
        <f>SUMIFS('Отчет 01-02.11'!P:P,'Отчет 01-02.11'!C:C,"Продажи",'Отчет 01-02.11'!E:E,B22)</f>
        <v>0</v>
      </c>
      <c r="T22" s="51">
        <f>SUMIFS('Отчет 01-02.11'!P:P,'Отчет 01-02.11'!C:C,"Возвраты",'Отчет 01-02.11'!E:E,B22)</f>
        <v>0</v>
      </c>
      <c r="U22" s="49">
        <f t="shared" si="2"/>
        <v>0</v>
      </c>
      <c r="V22" s="52">
        <f t="shared" si="3"/>
        <v>0</v>
      </c>
      <c r="W22" s="53">
        <f t="shared" si="17"/>
        <v>0</v>
      </c>
      <c r="X22" s="51">
        <f>-SUMIFS('Отчет 01-02.11'!P:P,'Отчет 01-02.11'!C:C,"Вознаграждение Ozon",'Отчет 01-02.11'!E:E,B22)</f>
        <v>0</v>
      </c>
      <c r="Y22" s="54">
        <f t="shared" si="4"/>
        <v>0</v>
      </c>
      <c r="Z22" s="51">
        <f>-SUMIFS('Отчет 01-02.11'!P:P,'Отчет 01-02.11'!C:C,"Услуги доставки",'Отчет 01-02.11'!E:E,B22)</f>
        <v>0</v>
      </c>
      <c r="AA22" s="41">
        <v>0</v>
      </c>
      <c r="AB22" s="64"/>
      <c r="AC22" s="51"/>
      <c r="AD22" s="55">
        <f t="shared" si="5"/>
        <v>0</v>
      </c>
      <c r="AE22" s="56">
        <f t="shared" si="6"/>
        <v>0</v>
      </c>
      <c r="AF22" s="55"/>
      <c r="AG22" s="57">
        <f t="shared" si="7"/>
        <v>0</v>
      </c>
      <c r="AH22" s="58">
        <f t="shared" si="8"/>
        <v>991.12</v>
      </c>
      <c r="AI22" s="58">
        <f t="shared" si="9"/>
        <v>0</v>
      </c>
      <c r="AJ22" s="58">
        <f t="shared" si="10"/>
        <v>0</v>
      </c>
      <c r="AK22" s="58">
        <f t="shared" si="11"/>
        <v>0</v>
      </c>
      <c r="AL22" s="58">
        <f t="array" ref="AL22">_xlfn.IFS(R22=0,AE22,R22&lt;0,AE22/-R22,R22&gt;0,AE22/R22)</f>
        <v>0</v>
      </c>
      <c r="AM22" s="59">
        <f t="shared" si="12"/>
        <v>0</v>
      </c>
      <c r="AN22" s="60">
        <f t="shared" si="13"/>
        <v>0</v>
      </c>
      <c r="AP22" s="62">
        <f t="shared" si="14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2092.6666666666665</v>
      </c>
      <c r="AH23" s="247">
        <f t="shared" si="18"/>
        <v>480.36400000000003</v>
      </c>
      <c r="AI23" s="247">
        <f t="shared" si="18"/>
        <v>795.21333333333348</v>
      </c>
      <c r="AJ23" s="247">
        <f t="shared" si="18"/>
        <v>60</v>
      </c>
      <c r="AK23" s="247">
        <f t="shared" si="18"/>
        <v>313.72000000000003</v>
      </c>
      <c r="AL23" s="247">
        <f t="shared" si="18"/>
        <v>-117.47459562500001</v>
      </c>
      <c r="AM23" s="249">
        <f t="shared" si="18"/>
        <v>0.27969762463343112</v>
      </c>
      <c r="AN23" s="249">
        <f t="shared" si="18"/>
        <v>-1.0352245903711379</v>
      </c>
      <c r="AO23" s="240"/>
      <c r="AP23" s="241"/>
    </row>
    <row r="24" spans="1:52">
      <c r="A24" s="216" t="s">
        <v>305</v>
      </c>
      <c r="B24" s="209"/>
      <c r="C24" s="217">
        <f>SUM(C3:C22)</f>
        <v>3484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464167.19999999995</v>
      </c>
      <c r="J24" s="212"/>
      <c r="K24" s="217">
        <f>SUM(K3:K22)</f>
        <v>4</v>
      </c>
      <c r="L24" s="212"/>
      <c r="M24" s="212"/>
      <c r="N24" s="213"/>
      <c r="O24" s="214"/>
      <c r="P24" s="217">
        <f>SUM(P3:P22)</f>
        <v>3</v>
      </c>
      <c r="Q24" s="217">
        <f t="shared" ref="Q24:AE24" si="19">SUM(Q3:Q22)</f>
        <v>0</v>
      </c>
      <c r="R24" s="217">
        <f t="shared" si="19"/>
        <v>3</v>
      </c>
      <c r="S24" s="237">
        <f>SUM(S3:S22)</f>
        <v>6278</v>
      </c>
      <c r="T24" s="217">
        <f t="shared" si="19"/>
        <v>0</v>
      </c>
      <c r="U24" s="217">
        <f t="shared" si="19"/>
        <v>6278</v>
      </c>
      <c r="V24" s="256">
        <f t="shared" si="19"/>
        <v>0.39668899279666375</v>
      </c>
      <c r="W24" s="217">
        <f>SUM(W3:W22)</f>
        <v>1307.5</v>
      </c>
      <c r="X24" s="217">
        <f t="shared" si="19"/>
        <v>2385.6400000000003</v>
      </c>
      <c r="Y24" s="215">
        <f>IF(U24=0,0,X24/U24)</f>
        <v>0.38000000000000006</v>
      </c>
      <c r="Z24" s="217">
        <f t="shared" si="19"/>
        <v>240</v>
      </c>
      <c r="AA24" s="217">
        <f>IFERROR(P24*AA49/P49,0)</f>
        <v>2850.2640000000001</v>
      </c>
      <c r="AB24" s="217">
        <f t="shared" si="19"/>
        <v>0</v>
      </c>
      <c r="AC24" s="217">
        <f t="shared" si="19"/>
        <v>0</v>
      </c>
      <c r="AD24" s="238">
        <f t="shared" si="19"/>
        <v>376.68</v>
      </c>
      <c r="AE24" s="239">
        <f t="shared" si="19"/>
        <v>-939.79676500000005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-576756.51405900007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2907.9767649999999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>
        <v>17</v>
      </c>
      <c r="D26" s="42"/>
      <c r="E26" s="42"/>
      <c r="F26" s="42"/>
      <c r="G26" s="43"/>
      <c r="H26" s="65">
        <v>672</v>
      </c>
      <c r="I26" s="63">
        <f t="shared" ref="I26:I45" si="20">C26*H26</f>
        <v>11424</v>
      </c>
      <c r="J26" s="45"/>
      <c r="K26" s="41">
        <v>0</v>
      </c>
      <c r="L26" s="45"/>
      <c r="M26" s="45"/>
      <c r="N26" s="46">
        <f t="shared" ref="N26" si="21">K26/2</f>
        <v>0</v>
      </c>
      <c r="O26" s="47">
        <f t="shared" ref="O26" si="22">R26/2</f>
        <v>0</v>
      </c>
      <c r="P26" s="48">
        <f>SUMIFS('Отчет 01-02.11'!H:H,'Отчет 01-02.11'!D:D,"Выручка",'Отчет 01-02.11'!E:E,B26)</f>
        <v>0</v>
      </c>
      <c r="Q26" s="48">
        <f>SUMIFS('Отчет 01-02.11'!H:H,'Отчет 01-02.11'!D:D,"Возврат выручки",'Отчет 01-02.11'!E:E,B26)</f>
        <v>0</v>
      </c>
      <c r="R26" s="49">
        <f t="shared" ref="R26:R45" si="23">P26+Q26</f>
        <v>0</v>
      </c>
      <c r="S26" s="50">
        <f>SUMIFS('Отчет 01-02.11'!P:P,'Отчет 01-02.11'!C:C,"Продажи",'Отчет 01-02.11'!E:E,B26)</f>
        <v>0</v>
      </c>
      <c r="T26" s="51">
        <f>SUMIFS('Отчет 01-02.11'!P:P,'Отчет 01-02.11'!C:C,"Возвраты",'Отчет 01-02.11'!E:E,B26)</f>
        <v>0</v>
      </c>
      <c r="U26" s="49">
        <f t="shared" ref="U26:U45" si="24">S26+T26</f>
        <v>0</v>
      </c>
      <c r="V26" s="52">
        <f t="shared" ref="V26:V45" si="25">U26/$U$49</f>
        <v>0</v>
      </c>
      <c r="W26" s="53">
        <f>R26*H26</f>
        <v>0</v>
      </c>
      <c r="X26" s="51">
        <f>-SUMIFS('Отчет 01-02.11'!P:P,'Отчет 01-02.11'!C:C,"Вознаграждение Ozon",'Отчет 01-02.11'!E:E,B26)</f>
        <v>0</v>
      </c>
      <c r="Y26" s="54">
        <f t="shared" ref="Y26:Y45" si="26">IF(U26=0,0,X26/U26)</f>
        <v>0</v>
      </c>
      <c r="Z26" s="51">
        <f>-SUMIFS('Отчет 01-02.11'!P:P,'Отчет 01-02.11'!C:C,"Услуги доставки",'Отчет 01-02.11'!E:E,B26)</f>
        <v>0</v>
      </c>
      <c r="AA26" s="41">
        <v>658.39936</v>
      </c>
      <c r="AB26" s="64"/>
      <c r="AC26" s="51"/>
      <c r="AD26" s="55">
        <f t="shared" ref="AD26:AD45" si="27">U26*6%</f>
        <v>0</v>
      </c>
      <c r="AE26" s="56">
        <f t="shared" ref="AE26:AE45" si="28">U26-W26-X26-Z26-AA26-AB26-AC26-AD26</f>
        <v>-658.39936</v>
      </c>
      <c r="AF26" s="55"/>
      <c r="AG26" s="57">
        <f t="shared" ref="AG26:AG45" si="29">IF(R26=0,0,U26/R26)</f>
        <v>0</v>
      </c>
      <c r="AH26" s="58">
        <f t="shared" ref="AH26:AH45" si="30">H26</f>
        <v>672</v>
      </c>
      <c r="AI26" s="58">
        <f t="shared" ref="AI26:AI45" si="31">IF(R26=0,0,X26/R26)</f>
        <v>0</v>
      </c>
      <c r="AJ26" s="58">
        <f t="shared" ref="AJ26:AJ45" si="32">IF(P26=0,Z26/1,Z26/P26)</f>
        <v>0</v>
      </c>
      <c r="AK26" s="58">
        <f t="shared" ref="AK26:AK45" si="33">IF(P26=0,0,AA26/P26)</f>
        <v>0</v>
      </c>
      <c r="AL26" s="58">
        <f t="array" ref="AL26">_xlfn.IFS(R26=0,AE26,R26&lt;0,AE26/-R26,R26&gt;0,AE26/R26)</f>
        <v>-658.39936</v>
      </c>
      <c r="AM26" s="59">
        <f t="shared" ref="AM26:AM45" si="34">IF(AG26=0,0,AL26/AG26)</f>
        <v>0</v>
      </c>
      <c r="AN26" s="60">
        <f t="shared" ref="AN26:AN45" si="35">IF(AH26=0,0,AL26/AH26)</f>
        <v>-0.9797609523809524</v>
      </c>
      <c r="AP26" s="62">
        <f t="shared" ref="AP26:AP45" si="36">AL26*C26</f>
        <v>-11192.789119999999</v>
      </c>
    </row>
    <row r="27" spans="1:52">
      <c r="A27" s="39">
        <v>2774708622</v>
      </c>
      <c r="B27" s="40" t="s">
        <v>43</v>
      </c>
      <c r="C27" s="41">
        <v>18</v>
      </c>
      <c r="D27" s="42"/>
      <c r="E27" s="42"/>
      <c r="F27" s="42"/>
      <c r="G27" s="43"/>
      <c r="H27" s="65">
        <v>627</v>
      </c>
      <c r="I27" s="63">
        <f t="shared" si="20"/>
        <v>11286</v>
      </c>
      <c r="J27" s="45"/>
      <c r="K27" s="41">
        <v>0</v>
      </c>
      <c r="L27" s="45"/>
      <c r="M27" s="45"/>
      <c r="N27" s="46">
        <f t="shared" ref="N27:N45" si="37">K27/2</f>
        <v>0</v>
      </c>
      <c r="O27" s="47">
        <f t="shared" ref="O27:O45" si="38">R27/2</f>
        <v>0</v>
      </c>
      <c r="P27" s="48">
        <f>SUMIFS('Отчет 01-02.11'!H:H,'Отчет 01-02.11'!D:D,"Выручка",'Отчет 01-02.11'!E:E,B27)</f>
        <v>0</v>
      </c>
      <c r="Q27" s="48">
        <f>SUMIFS('Отчет 01-02.11'!H:H,'Отчет 01-02.11'!D:D,"Возврат выручки",'Отчет 01-02.11'!E:E,B27)</f>
        <v>0</v>
      </c>
      <c r="R27" s="49">
        <f t="shared" si="23"/>
        <v>0</v>
      </c>
      <c r="S27" s="50">
        <f>SUMIFS('Отчет 01-02.11'!P:P,'Отчет 01-02.11'!C:C,"Продажи",'Отчет 01-02.11'!E:E,B27)</f>
        <v>0</v>
      </c>
      <c r="T27" s="51">
        <f>SUMIFS('Отчет 01-02.11'!P:P,'Отчет 01-02.11'!C:C,"Возвраты",'Отчет 01-02.11'!E:E,B27)</f>
        <v>0</v>
      </c>
      <c r="U27" s="49">
        <f t="shared" si="24"/>
        <v>0</v>
      </c>
      <c r="V27" s="52">
        <f t="shared" si="25"/>
        <v>0</v>
      </c>
      <c r="W27" s="53">
        <f t="shared" ref="W27:W45" si="39">R27*H27</f>
        <v>0</v>
      </c>
      <c r="X27" s="51">
        <f>-SUMIFS('Отчет 01-02.11'!P:P,'Отчет 01-02.11'!C:C,"Вознаграждение Ozon",'Отчет 01-02.11'!E:E,B27)</f>
        <v>0</v>
      </c>
      <c r="Y27" s="54">
        <f t="shared" si="26"/>
        <v>0</v>
      </c>
      <c r="Z27" s="51">
        <f>-SUMIFS('Отчет 01-02.11'!P:P,'Отчет 01-02.11'!C:C,"Услуги доставки",'Отчет 01-02.11'!E:E,B27)</f>
        <v>56</v>
      </c>
      <c r="AA27" s="41">
        <v>0</v>
      </c>
      <c r="AB27" s="64"/>
      <c r="AC27" s="51"/>
      <c r="AD27" s="55">
        <f t="shared" si="27"/>
        <v>0</v>
      </c>
      <c r="AE27" s="56">
        <f t="shared" si="28"/>
        <v>-56</v>
      </c>
      <c r="AF27" s="55"/>
      <c r="AG27" s="57">
        <f t="shared" si="29"/>
        <v>0</v>
      </c>
      <c r="AH27" s="58">
        <f t="shared" si="30"/>
        <v>627</v>
      </c>
      <c r="AI27" s="58">
        <f t="shared" si="31"/>
        <v>0</v>
      </c>
      <c r="AJ27" s="58">
        <f t="shared" si="32"/>
        <v>56</v>
      </c>
      <c r="AK27" s="58">
        <f t="shared" si="33"/>
        <v>0</v>
      </c>
      <c r="AL27" s="58">
        <f t="array" ref="AL27">_xlfn.IFS(R27=0,AE27,R27&lt;0,AE27/-R27,R27&gt;0,AE27/R27)</f>
        <v>-56</v>
      </c>
      <c r="AM27" s="59">
        <f t="shared" si="34"/>
        <v>0</v>
      </c>
      <c r="AN27" s="60">
        <f t="shared" si="35"/>
        <v>-8.9314194577352471E-2</v>
      </c>
      <c r="AP27" s="62">
        <f t="shared" si="36"/>
        <v>-1008</v>
      </c>
    </row>
    <row r="28" spans="1:52">
      <c r="A28" s="39">
        <v>2774709606</v>
      </c>
      <c r="B28" s="40" t="s">
        <v>235</v>
      </c>
      <c r="C28" s="41">
        <v>16</v>
      </c>
      <c r="D28" s="42"/>
      <c r="E28" s="42"/>
      <c r="F28" s="42"/>
      <c r="G28" s="43"/>
      <c r="H28" s="65">
        <v>627</v>
      </c>
      <c r="I28" s="63">
        <f t="shared" si="20"/>
        <v>10032</v>
      </c>
      <c r="J28" s="45"/>
      <c r="K28" s="41">
        <v>1</v>
      </c>
      <c r="L28" s="45"/>
      <c r="M28" s="45"/>
      <c r="N28" s="46">
        <f t="shared" si="37"/>
        <v>0.5</v>
      </c>
      <c r="O28" s="47">
        <f t="shared" si="38"/>
        <v>0.5</v>
      </c>
      <c r="P28" s="48">
        <f>SUMIFS('Отчет 01-02.11'!H:H,'Отчет 01-02.11'!D:D,"Выручка",'Отчет 01-02.11'!E:E,B28)</f>
        <v>1</v>
      </c>
      <c r="Q28" s="48">
        <f>SUMIFS('Отчет 01-02.11'!H:H,'Отчет 01-02.11'!D:D,"Возврат выручки",'Отчет 01-02.11'!E:E,B28)</f>
        <v>0</v>
      </c>
      <c r="R28" s="49">
        <f t="shared" si="23"/>
        <v>1</v>
      </c>
      <c r="S28" s="50">
        <f>SUMIFS('Отчет 01-02.11'!P:P,'Отчет 01-02.11'!C:C,"Продажи",'Отчет 01-02.11'!E:E,B28)</f>
        <v>5000</v>
      </c>
      <c r="T28" s="51">
        <f>SUMIFS('Отчет 01-02.11'!P:P,'Отчет 01-02.11'!C:C,"Возвраты",'Отчет 01-02.11'!E:E,B28)</f>
        <v>0</v>
      </c>
      <c r="U28" s="49">
        <f t="shared" si="24"/>
        <v>5000</v>
      </c>
      <c r="V28" s="52">
        <f t="shared" si="25"/>
        <v>0.31593580184506509</v>
      </c>
      <c r="W28" s="53">
        <f t="shared" si="39"/>
        <v>627</v>
      </c>
      <c r="X28" s="51">
        <f>-SUMIFS('Отчет 01-02.11'!P:P,'Отчет 01-02.11'!C:C,"Вознаграждение Ozon",'Отчет 01-02.11'!E:E,B28)</f>
        <v>1900</v>
      </c>
      <c r="Y28" s="54">
        <f t="shared" si="26"/>
        <v>0.38</v>
      </c>
      <c r="Z28" s="51">
        <f>-SUMIFS('Отчет 01-02.11'!P:P,'Отчет 01-02.11'!C:C,"Услуги доставки",'Отчет 01-02.11'!E:E,B28)</f>
        <v>56</v>
      </c>
      <c r="AA28" s="41">
        <v>0</v>
      </c>
      <c r="AB28" s="64"/>
      <c r="AC28" s="51"/>
      <c r="AD28" s="55">
        <f t="shared" si="27"/>
        <v>300</v>
      </c>
      <c r="AE28" s="56">
        <f t="shared" si="28"/>
        <v>2117</v>
      </c>
      <c r="AF28" s="55"/>
      <c r="AG28" s="57">
        <f t="shared" si="29"/>
        <v>5000</v>
      </c>
      <c r="AH28" s="58">
        <f t="shared" si="30"/>
        <v>627</v>
      </c>
      <c r="AI28" s="58">
        <f t="shared" si="31"/>
        <v>1900</v>
      </c>
      <c r="AJ28" s="58">
        <f t="shared" si="32"/>
        <v>56</v>
      </c>
      <c r="AK28" s="58">
        <f t="shared" si="33"/>
        <v>0</v>
      </c>
      <c r="AL28" s="58">
        <f t="array" ref="AL28">_xlfn.IFS(R28=0,AE28,R28&lt;0,AE28/-R28,R28&gt;0,AE28/R28)</f>
        <v>2117</v>
      </c>
      <c r="AM28" s="59">
        <f t="shared" si="34"/>
        <v>0.4234</v>
      </c>
      <c r="AN28" s="60">
        <f t="shared" si="35"/>
        <v>3.3763955342902712</v>
      </c>
      <c r="AP28" s="62">
        <f t="shared" si="36"/>
        <v>33872</v>
      </c>
    </row>
    <row r="29" spans="1:52">
      <c r="A29" s="39">
        <v>2774720465</v>
      </c>
      <c r="B29" s="40" t="s">
        <v>171</v>
      </c>
      <c r="C29" s="41">
        <v>16</v>
      </c>
      <c r="D29" s="42"/>
      <c r="E29" s="42"/>
      <c r="F29" s="42"/>
      <c r="G29" s="43"/>
      <c r="H29" s="65">
        <v>567</v>
      </c>
      <c r="I29" s="63">
        <f t="shared" si="20"/>
        <v>9072</v>
      </c>
      <c r="J29" s="45"/>
      <c r="K29" s="41">
        <v>0</v>
      </c>
      <c r="L29" s="45"/>
      <c r="M29" s="45"/>
      <c r="N29" s="46">
        <f t="shared" si="37"/>
        <v>0</v>
      </c>
      <c r="O29" s="47">
        <f t="shared" si="38"/>
        <v>0</v>
      </c>
      <c r="P29" s="48">
        <f>SUMIFS('Отчет 01-02.11'!H:H,'Отчет 01-02.11'!D:D,"Выручка",'Отчет 01-02.11'!E:E,B29)</f>
        <v>0</v>
      </c>
      <c r="Q29" s="48">
        <f>SUMIFS('Отчет 01-02.11'!H:H,'Отчет 01-02.11'!D:D,"Возврат выручки",'Отчет 01-02.11'!E:E,B29)</f>
        <v>0</v>
      </c>
      <c r="R29" s="49">
        <f t="shared" si="23"/>
        <v>0</v>
      </c>
      <c r="S29" s="50">
        <f>SUMIFS('Отчет 01-02.11'!P:P,'Отчет 01-02.11'!C:C,"Продажи",'Отчет 01-02.11'!E:E,B29)</f>
        <v>0</v>
      </c>
      <c r="T29" s="51">
        <f>SUMIFS('Отчет 01-02.11'!P:P,'Отчет 01-02.11'!C:C,"Возвраты",'Отчет 01-02.11'!E:E,B29)</f>
        <v>0</v>
      </c>
      <c r="U29" s="49">
        <f t="shared" si="24"/>
        <v>0</v>
      </c>
      <c r="V29" s="52">
        <f t="shared" si="25"/>
        <v>0</v>
      </c>
      <c r="W29" s="53">
        <f t="shared" si="39"/>
        <v>0</v>
      </c>
      <c r="X29" s="51">
        <f>-SUMIFS('Отчет 01-02.11'!P:P,'Отчет 01-02.11'!C:C,"Вознаграждение Ozon",'Отчет 01-02.11'!E:E,B29)</f>
        <v>0</v>
      </c>
      <c r="Y29" s="54">
        <f t="shared" si="26"/>
        <v>0</v>
      </c>
      <c r="Z29" s="51">
        <f>-SUMIFS('Отчет 01-02.11'!P:P,'Отчет 01-02.11'!C:C,"Услуги доставки",'Отчет 01-02.11'!E:E,B29)</f>
        <v>0</v>
      </c>
      <c r="AA29" s="41">
        <v>0</v>
      </c>
      <c r="AB29" s="64"/>
      <c r="AC29" s="51"/>
      <c r="AD29" s="55">
        <f t="shared" si="27"/>
        <v>0</v>
      </c>
      <c r="AE29" s="56">
        <f t="shared" si="28"/>
        <v>0</v>
      </c>
      <c r="AF29" s="55"/>
      <c r="AG29" s="57">
        <f t="shared" si="29"/>
        <v>0</v>
      </c>
      <c r="AH29" s="58">
        <f t="shared" si="30"/>
        <v>567</v>
      </c>
      <c r="AI29" s="58">
        <f t="shared" si="31"/>
        <v>0</v>
      </c>
      <c r="AJ29" s="58">
        <f t="shared" si="32"/>
        <v>0</v>
      </c>
      <c r="AK29" s="58">
        <f t="shared" si="33"/>
        <v>0</v>
      </c>
      <c r="AL29" s="58">
        <f t="array" ref="AL29">_xlfn.IFS(R29=0,AE29,R29&lt;0,AE29/-R29,R29&gt;0,AE29/R29)</f>
        <v>0</v>
      </c>
      <c r="AM29" s="59">
        <f t="shared" si="34"/>
        <v>0</v>
      </c>
      <c r="AN29" s="60">
        <f t="shared" si="35"/>
        <v>0</v>
      </c>
      <c r="AP29" s="62">
        <f t="shared" si="36"/>
        <v>0</v>
      </c>
    </row>
    <row r="30" spans="1:52">
      <c r="A30" s="39">
        <v>2774718470</v>
      </c>
      <c r="B30" s="40" t="s">
        <v>39</v>
      </c>
      <c r="C30" s="41">
        <v>19</v>
      </c>
      <c r="D30" s="42"/>
      <c r="E30" s="42"/>
      <c r="F30" s="42"/>
      <c r="G30" s="43"/>
      <c r="H30" s="65">
        <v>567</v>
      </c>
      <c r="I30" s="63">
        <f t="shared" si="20"/>
        <v>10773</v>
      </c>
      <c r="J30" s="45"/>
      <c r="K30" s="41">
        <v>0</v>
      </c>
      <c r="L30" s="45"/>
      <c r="M30" s="45"/>
      <c r="N30" s="46">
        <f t="shared" si="37"/>
        <v>0</v>
      </c>
      <c r="O30" s="47">
        <f t="shared" si="38"/>
        <v>0</v>
      </c>
      <c r="P30" s="48">
        <f>SUMIFS('Отчет 01-02.11'!H:H,'Отчет 01-02.11'!D:D,"Выручка",'Отчет 01-02.11'!E:E,B30)</f>
        <v>0</v>
      </c>
      <c r="Q30" s="48">
        <f>SUMIFS('Отчет 01-02.11'!H:H,'Отчет 01-02.11'!D:D,"Возврат выручки",'Отчет 01-02.11'!E:E,B30)</f>
        <v>0</v>
      </c>
      <c r="R30" s="49">
        <f t="shared" si="23"/>
        <v>0</v>
      </c>
      <c r="S30" s="50">
        <f>SUMIFS('Отчет 01-02.11'!P:P,'Отчет 01-02.11'!C:C,"Продажи",'Отчет 01-02.11'!E:E,B30)</f>
        <v>0</v>
      </c>
      <c r="T30" s="51">
        <f>SUMIFS('Отчет 01-02.11'!P:P,'Отчет 01-02.11'!C:C,"Возвраты",'Отчет 01-02.11'!E:E,B30)</f>
        <v>0</v>
      </c>
      <c r="U30" s="49">
        <f t="shared" si="24"/>
        <v>0</v>
      </c>
      <c r="V30" s="52">
        <f t="shared" si="25"/>
        <v>0</v>
      </c>
      <c r="W30" s="53">
        <f t="shared" si="39"/>
        <v>0</v>
      </c>
      <c r="X30" s="51">
        <f>-SUMIFS('Отчет 01-02.11'!P:P,'Отчет 01-02.11'!C:C,"Вознаграждение Ozon",'Отчет 01-02.11'!E:E,B30)</f>
        <v>0</v>
      </c>
      <c r="Y30" s="54">
        <f t="shared" si="26"/>
        <v>0</v>
      </c>
      <c r="Z30" s="51">
        <f>-SUMIFS('Отчет 01-02.11'!P:P,'Отчет 01-02.11'!C:C,"Услуги доставки",'Отчет 01-02.11'!E:E,B30)</f>
        <v>0</v>
      </c>
      <c r="AA30" s="41">
        <v>0</v>
      </c>
      <c r="AB30" s="64"/>
      <c r="AC30" s="51"/>
      <c r="AD30" s="55">
        <f t="shared" si="27"/>
        <v>0</v>
      </c>
      <c r="AE30" s="56">
        <f t="shared" si="28"/>
        <v>0</v>
      </c>
      <c r="AF30" s="55"/>
      <c r="AG30" s="57">
        <f t="shared" si="29"/>
        <v>0</v>
      </c>
      <c r="AH30" s="58">
        <f t="shared" si="30"/>
        <v>567</v>
      </c>
      <c r="AI30" s="58">
        <f t="shared" si="31"/>
        <v>0</v>
      </c>
      <c r="AJ30" s="58">
        <f t="shared" si="32"/>
        <v>0</v>
      </c>
      <c r="AK30" s="58">
        <f t="shared" si="33"/>
        <v>0</v>
      </c>
      <c r="AL30" s="58">
        <f t="array" ref="AL30">_xlfn.IFS(R30=0,AE30,R30&lt;0,AE30/-R30,R30&gt;0,AE30/R30)</f>
        <v>0</v>
      </c>
      <c r="AM30" s="59">
        <f t="shared" si="34"/>
        <v>0</v>
      </c>
      <c r="AN30" s="60">
        <f t="shared" si="35"/>
        <v>0</v>
      </c>
      <c r="AP30" s="62">
        <f t="shared" si="36"/>
        <v>0</v>
      </c>
    </row>
    <row r="31" spans="1:52">
      <c r="A31" s="39">
        <v>2774719022</v>
      </c>
      <c r="B31" s="40" t="s">
        <v>236</v>
      </c>
      <c r="C31" s="41">
        <v>19</v>
      </c>
      <c r="D31" s="42"/>
      <c r="E31" s="42"/>
      <c r="F31" s="42"/>
      <c r="G31" s="43"/>
      <c r="H31" s="65">
        <v>657</v>
      </c>
      <c r="I31" s="63">
        <f t="shared" si="20"/>
        <v>12483</v>
      </c>
      <c r="J31" s="45"/>
      <c r="K31" s="41">
        <v>0</v>
      </c>
      <c r="L31" s="45"/>
      <c r="M31" s="45"/>
      <c r="N31" s="46">
        <f t="shared" si="37"/>
        <v>0</v>
      </c>
      <c r="O31" s="47">
        <f t="shared" si="38"/>
        <v>0</v>
      </c>
      <c r="P31" s="48">
        <f>SUMIFS('Отчет 01-02.11'!H:H,'Отчет 01-02.11'!D:D,"Выручка",'Отчет 01-02.11'!E:E,B31)</f>
        <v>0</v>
      </c>
      <c r="Q31" s="48">
        <f>SUMIFS('Отчет 01-02.11'!H:H,'Отчет 01-02.11'!D:D,"Возврат выручки",'Отчет 01-02.11'!E:E,B31)</f>
        <v>0</v>
      </c>
      <c r="R31" s="49">
        <f t="shared" si="23"/>
        <v>0</v>
      </c>
      <c r="S31" s="50">
        <f>SUMIFS('Отчет 01-02.11'!P:P,'Отчет 01-02.11'!C:C,"Продажи",'Отчет 01-02.11'!E:E,B31)</f>
        <v>0</v>
      </c>
      <c r="T31" s="51">
        <f>SUMIFS('Отчет 01-02.11'!P:P,'Отчет 01-02.11'!C:C,"Возвраты",'Отчет 01-02.11'!E:E,B31)</f>
        <v>0</v>
      </c>
      <c r="U31" s="49">
        <f t="shared" si="24"/>
        <v>0</v>
      </c>
      <c r="V31" s="52">
        <f t="shared" si="25"/>
        <v>0</v>
      </c>
      <c r="W31" s="53">
        <f t="shared" si="39"/>
        <v>0</v>
      </c>
      <c r="X31" s="51">
        <f>-SUMIFS('Отчет 01-02.11'!P:P,'Отчет 01-02.11'!C:C,"Вознаграждение Ozon",'Отчет 01-02.11'!E:E,B31)</f>
        <v>0</v>
      </c>
      <c r="Y31" s="54">
        <f t="shared" si="26"/>
        <v>0</v>
      </c>
      <c r="Z31" s="51">
        <f>-SUMIFS('Отчет 01-02.11'!P:P,'Отчет 01-02.11'!C:C,"Услуги доставки",'Отчет 01-02.11'!E:E,B31)</f>
        <v>0</v>
      </c>
      <c r="AA31" s="41">
        <v>0</v>
      </c>
      <c r="AB31" s="64"/>
      <c r="AC31" s="51"/>
      <c r="AD31" s="55">
        <f t="shared" si="27"/>
        <v>0</v>
      </c>
      <c r="AE31" s="56">
        <f t="shared" si="28"/>
        <v>0</v>
      </c>
      <c r="AF31" s="55"/>
      <c r="AG31" s="57">
        <f t="shared" si="29"/>
        <v>0</v>
      </c>
      <c r="AH31" s="58">
        <f t="shared" si="30"/>
        <v>657</v>
      </c>
      <c r="AI31" s="58">
        <f t="shared" si="31"/>
        <v>0</v>
      </c>
      <c r="AJ31" s="58">
        <f t="shared" si="32"/>
        <v>0</v>
      </c>
      <c r="AK31" s="58">
        <f t="shared" si="33"/>
        <v>0</v>
      </c>
      <c r="AL31" s="58">
        <f t="array" ref="AL31">_xlfn.IFS(R31=0,AE31,R31&lt;0,AE31/-R31,R31&gt;0,AE31/R31)</f>
        <v>0</v>
      </c>
      <c r="AM31" s="59">
        <f t="shared" si="34"/>
        <v>0</v>
      </c>
      <c r="AN31" s="60">
        <f t="shared" si="35"/>
        <v>0</v>
      </c>
      <c r="AP31" s="62">
        <f t="shared" si="36"/>
        <v>0</v>
      </c>
    </row>
    <row r="32" spans="1:52">
      <c r="A32" s="39">
        <v>2774719501</v>
      </c>
      <c r="B32" s="40" t="s">
        <v>237</v>
      </c>
      <c r="C32" s="41">
        <v>19</v>
      </c>
      <c r="D32" s="42"/>
      <c r="E32" s="42"/>
      <c r="F32" s="42"/>
      <c r="G32" s="43"/>
      <c r="H32" s="65">
        <v>597</v>
      </c>
      <c r="I32" s="63">
        <f t="shared" si="20"/>
        <v>11343</v>
      </c>
      <c r="J32" s="45"/>
      <c r="K32" s="41">
        <v>0</v>
      </c>
      <c r="L32" s="45"/>
      <c r="M32" s="45"/>
      <c r="N32" s="46">
        <f t="shared" si="37"/>
        <v>0</v>
      </c>
      <c r="O32" s="47">
        <f t="shared" si="38"/>
        <v>0</v>
      </c>
      <c r="P32" s="48">
        <f>SUMIFS('Отчет 01-02.11'!H:H,'Отчет 01-02.11'!D:D,"Выручка",'Отчет 01-02.11'!E:E,B32)</f>
        <v>0</v>
      </c>
      <c r="Q32" s="48">
        <f>SUMIFS('Отчет 01-02.11'!H:H,'Отчет 01-02.11'!D:D,"Возврат выручки",'Отчет 01-02.11'!E:E,B32)</f>
        <v>0</v>
      </c>
      <c r="R32" s="49">
        <f t="shared" si="23"/>
        <v>0</v>
      </c>
      <c r="S32" s="50">
        <f>SUMIFS('Отчет 01-02.11'!P:P,'Отчет 01-02.11'!C:C,"Продажи",'Отчет 01-02.11'!E:E,B32)</f>
        <v>0</v>
      </c>
      <c r="T32" s="51">
        <f>SUMIFS('Отчет 01-02.11'!P:P,'Отчет 01-02.11'!C:C,"Возвраты",'Отчет 01-02.11'!E:E,B32)</f>
        <v>0</v>
      </c>
      <c r="U32" s="49">
        <f t="shared" si="24"/>
        <v>0</v>
      </c>
      <c r="V32" s="52">
        <f t="shared" si="25"/>
        <v>0</v>
      </c>
      <c r="W32" s="53">
        <f t="shared" si="39"/>
        <v>0</v>
      </c>
      <c r="X32" s="51">
        <f>-SUMIFS('Отчет 01-02.11'!P:P,'Отчет 01-02.11'!C:C,"Вознаграждение Ozon",'Отчет 01-02.11'!E:E,B32)</f>
        <v>0</v>
      </c>
      <c r="Y32" s="54">
        <f t="shared" si="26"/>
        <v>0</v>
      </c>
      <c r="Z32" s="51">
        <f>-SUMIFS('Отчет 01-02.11'!P:P,'Отчет 01-02.11'!C:C,"Услуги доставки",'Отчет 01-02.11'!E:E,B32)</f>
        <v>0</v>
      </c>
      <c r="AA32" s="41">
        <v>0</v>
      </c>
      <c r="AB32" s="64"/>
      <c r="AC32" s="51"/>
      <c r="AD32" s="55">
        <f t="shared" si="27"/>
        <v>0</v>
      </c>
      <c r="AE32" s="56">
        <f t="shared" si="28"/>
        <v>0</v>
      </c>
      <c r="AF32" s="55"/>
      <c r="AG32" s="57">
        <f t="shared" si="29"/>
        <v>0</v>
      </c>
      <c r="AH32" s="58">
        <f t="shared" si="30"/>
        <v>597</v>
      </c>
      <c r="AI32" s="58">
        <f t="shared" si="31"/>
        <v>0</v>
      </c>
      <c r="AJ32" s="58">
        <f t="shared" si="32"/>
        <v>0</v>
      </c>
      <c r="AK32" s="58">
        <f t="shared" si="33"/>
        <v>0</v>
      </c>
      <c r="AL32" s="58">
        <f t="array" ref="AL32">_xlfn.IFS(R32=0,AE32,R32&lt;0,AE32/-R32,R32&gt;0,AE32/R32)</f>
        <v>0</v>
      </c>
      <c r="AM32" s="59">
        <f t="shared" si="34"/>
        <v>0</v>
      </c>
      <c r="AN32" s="60">
        <f t="shared" si="35"/>
        <v>0</v>
      </c>
      <c r="AP32" s="62">
        <f t="shared" si="36"/>
        <v>0</v>
      </c>
    </row>
    <row r="33" spans="1:42">
      <c r="A33" s="39">
        <v>2774714412</v>
      </c>
      <c r="B33" s="40" t="s">
        <v>142</v>
      </c>
      <c r="C33" s="41">
        <v>17</v>
      </c>
      <c r="D33" s="42"/>
      <c r="E33" s="42"/>
      <c r="F33" s="42"/>
      <c r="G33" s="43"/>
      <c r="H33" s="65">
        <v>552</v>
      </c>
      <c r="I33" s="63">
        <f t="shared" si="20"/>
        <v>9384</v>
      </c>
      <c r="J33" s="45"/>
      <c r="K33" s="41">
        <v>0</v>
      </c>
      <c r="L33" s="45"/>
      <c r="M33" s="45"/>
      <c r="N33" s="46">
        <f t="shared" si="37"/>
        <v>0</v>
      </c>
      <c r="O33" s="47">
        <f t="shared" si="38"/>
        <v>0</v>
      </c>
      <c r="P33" s="48">
        <f>SUMIFS('Отчет 01-02.11'!H:H,'Отчет 01-02.11'!D:D,"Выручка",'Отчет 01-02.11'!E:E,B33)</f>
        <v>0</v>
      </c>
      <c r="Q33" s="48">
        <f>SUMIFS('Отчет 01-02.11'!H:H,'Отчет 01-02.11'!D:D,"Возврат выручки",'Отчет 01-02.11'!E:E,B33)</f>
        <v>0</v>
      </c>
      <c r="R33" s="49">
        <f t="shared" si="23"/>
        <v>0</v>
      </c>
      <c r="S33" s="50">
        <f>SUMIFS('Отчет 01-02.11'!P:P,'Отчет 01-02.11'!C:C,"Продажи",'Отчет 01-02.11'!E:E,B33)</f>
        <v>0</v>
      </c>
      <c r="T33" s="51">
        <f>SUMIFS('Отчет 01-02.11'!P:P,'Отчет 01-02.11'!C:C,"Возвраты",'Отчет 01-02.11'!E:E,B33)</f>
        <v>0</v>
      </c>
      <c r="U33" s="49">
        <f t="shared" si="24"/>
        <v>0</v>
      </c>
      <c r="V33" s="52">
        <f t="shared" si="25"/>
        <v>0</v>
      </c>
      <c r="W33" s="53">
        <f t="shared" si="39"/>
        <v>0</v>
      </c>
      <c r="X33" s="51">
        <f>-SUMIFS('Отчет 01-02.11'!P:P,'Отчет 01-02.11'!C:C,"Вознаграждение Ozon",'Отчет 01-02.11'!E:E,B33)</f>
        <v>0</v>
      </c>
      <c r="Y33" s="54">
        <f t="shared" si="26"/>
        <v>0</v>
      </c>
      <c r="Z33" s="51">
        <f>-SUMIFS('Отчет 01-02.11'!P:P,'Отчет 01-02.11'!C:C,"Услуги доставки",'Отчет 01-02.11'!E:E,B33)</f>
        <v>0</v>
      </c>
      <c r="AA33" s="41">
        <v>0</v>
      </c>
      <c r="AB33" s="64"/>
      <c r="AC33" s="51"/>
      <c r="AD33" s="55">
        <f t="shared" si="27"/>
        <v>0</v>
      </c>
      <c r="AE33" s="56">
        <f t="shared" si="28"/>
        <v>0</v>
      </c>
      <c r="AF33" s="55"/>
      <c r="AG33" s="57">
        <f t="shared" si="29"/>
        <v>0</v>
      </c>
      <c r="AH33" s="58">
        <f t="shared" si="30"/>
        <v>552</v>
      </c>
      <c r="AI33" s="58">
        <f t="shared" si="31"/>
        <v>0</v>
      </c>
      <c r="AJ33" s="58">
        <f t="shared" si="32"/>
        <v>0</v>
      </c>
      <c r="AK33" s="58">
        <f t="shared" si="33"/>
        <v>0</v>
      </c>
      <c r="AL33" s="58">
        <f t="array" ref="AL33">_xlfn.IFS(R33=0,AE33,R33&lt;0,AE33/-R33,R33&gt;0,AE33/R33)</f>
        <v>0</v>
      </c>
      <c r="AM33" s="59">
        <f t="shared" si="34"/>
        <v>0</v>
      </c>
      <c r="AN33" s="60">
        <f t="shared" si="35"/>
        <v>0</v>
      </c>
      <c r="AP33" s="62">
        <f t="shared" si="36"/>
        <v>0</v>
      </c>
    </row>
    <row r="34" spans="1:42">
      <c r="A34" s="39">
        <v>2774710430</v>
      </c>
      <c r="B34" s="40" t="s">
        <v>238</v>
      </c>
      <c r="C34" s="41">
        <v>18</v>
      </c>
      <c r="D34" s="42"/>
      <c r="E34" s="42"/>
      <c r="F34" s="42"/>
      <c r="G34" s="43"/>
      <c r="H34" s="65">
        <v>552</v>
      </c>
      <c r="I34" s="63">
        <f t="shared" si="20"/>
        <v>9936</v>
      </c>
      <c r="J34" s="45"/>
      <c r="K34" s="41">
        <v>0</v>
      </c>
      <c r="L34" s="45"/>
      <c r="M34" s="45"/>
      <c r="N34" s="46">
        <f t="shared" si="37"/>
        <v>0</v>
      </c>
      <c r="O34" s="47">
        <f t="shared" si="38"/>
        <v>0</v>
      </c>
      <c r="P34" s="48">
        <f>SUMIFS('Отчет 01-02.11'!H:H,'Отчет 01-02.11'!D:D,"Выручка",'Отчет 01-02.11'!E:E,B34)</f>
        <v>0</v>
      </c>
      <c r="Q34" s="48">
        <f>SUMIFS('Отчет 01-02.11'!H:H,'Отчет 01-02.11'!D:D,"Возврат выручки",'Отчет 01-02.11'!E:E,B34)</f>
        <v>0</v>
      </c>
      <c r="R34" s="49">
        <f t="shared" si="23"/>
        <v>0</v>
      </c>
      <c r="S34" s="50">
        <f>SUMIFS('Отчет 01-02.11'!P:P,'Отчет 01-02.11'!C:C,"Продажи",'Отчет 01-02.11'!E:E,B34)</f>
        <v>0</v>
      </c>
      <c r="T34" s="51">
        <f>SUMIFS('Отчет 01-02.11'!P:P,'Отчет 01-02.11'!C:C,"Возвраты",'Отчет 01-02.11'!E:E,B34)</f>
        <v>0</v>
      </c>
      <c r="U34" s="49">
        <f t="shared" si="24"/>
        <v>0</v>
      </c>
      <c r="V34" s="52">
        <f t="shared" si="25"/>
        <v>0</v>
      </c>
      <c r="W34" s="53">
        <f t="shared" si="39"/>
        <v>0</v>
      </c>
      <c r="X34" s="51">
        <f>-SUMIFS('Отчет 01-02.11'!P:P,'Отчет 01-02.11'!C:C,"Вознаграждение Ozon",'Отчет 01-02.11'!E:E,B34)</f>
        <v>0</v>
      </c>
      <c r="Y34" s="54">
        <f t="shared" si="26"/>
        <v>0</v>
      </c>
      <c r="Z34" s="51">
        <f>-SUMIFS('Отчет 01-02.11'!P:P,'Отчет 01-02.11'!C:C,"Услуги доставки",'Отчет 01-02.11'!E:E,B34)</f>
        <v>0</v>
      </c>
      <c r="AA34" s="41">
        <v>0</v>
      </c>
      <c r="AB34" s="64"/>
      <c r="AC34" s="51"/>
      <c r="AD34" s="55">
        <f t="shared" si="27"/>
        <v>0</v>
      </c>
      <c r="AE34" s="56">
        <f t="shared" si="28"/>
        <v>0</v>
      </c>
      <c r="AF34" s="55"/>
      <c r="AG34" s="57">
        <f t="shared" si="29"/>
        <v>0</v>
      </c>
      <c r="AH34" s="58">
        <f t="shared" si="30"/>
        <v>552</v>
      </c>
      <c r="AI34" s="58">
        <f t="shared" si="31"/>
        <v>0</v>
      </c>
      <c r="AJ34" s="58">
        <f t="shared" si="32"/>
        <v>0</v>
      </c>
      <c r="AK34" s="58">
        <f t="shared" si="33"/>
        <v>0</v>
      </c>
      <c r="AL34" s="58">
        <f t="array" ref="AL34">_xlfn.IFS(R34=0,AE34,R34&lt;0,AE34/-R34,R34&gt;0,AE34/R34)</f>
        <v>0</v>
      </c>
      <c r="AM34" s="59">
        <f t="shared" si="34"/>
        <v>0</v>
      </c>
      <c r="AN34" s="60">
        <f t="shared" si="35"/>
        <v>0</v>
      </c>
      <c r="AP34" s="62">
        <f t="shared" si="36"/>
        <v>0</v>
      </c>
    </row>
    <row r="35" spans="1:42">
      <c r="A35" s="39">
        <v>2774712116</v>
      </c>
      <c r="B35" s="40" t="s">
        <v>62</v>
      </c>
      <c r="C35" s="41">
        <v>15</v>
      </c>
      <c r="D35" s="42"/>
      <c r="E35" s="42"/>
      <c r="F35" s="42"/>
      <c r="G35" s="43"/>
      <c r="H35" s="65">
        <v>687</v>
      </c>
      <c r="I35" s="63">
        <f t="shared" si="20"/>
        <v>10305</v>
      </c>
      <c r="J35" s="45"/>
      <c r="K35" s="41">
        <v>0</v>
      </c>
      <c r="L35" s="45"/>
      <c r="M35" s="45"/>
      <c r="N35" s="46">
        <f t="shared" si="37"/>
        <v>0</v>
      </c>
      <c r="O35" s="47">
        <f t="shared" si="38"/>
        <v>0</v>
      </c>
      <c r="P35" s="48">
        <f>SUMIFS('Отчет 01-02.11'!H:H,'Отчет 01-02.11'!D:D,"Выручка",'Отчет 01-02.11'!E:E,B35)</f>
        <v>0</v>
      </c>
      <c r="Q35" s="48">
        <f>SUMIFS('Отчет 01-02.11'!H:H,'Отчет 01-02.11'!D:D,"Возврат выручки",'Отчет 01-02.11'!E:E,B35)</f>
        <v>0</v>
      </c>
      <c r="R35" s="49">
        <f t="shared" si="23"/>
        <v>0</v>
      </c>
      <c r="S35" s="50">
        <f>SUMIFS('Отчет 01-02.11'!P:P,'Отчет 01-02.11'!C:C,"Продажи",'Отчет 01-02.11'!E:E,B35)</f>
        <v>0</v>
      </c>
      <c r="T35" s="51">
        <f>SUMIFS('Отчет 01-02.11'!P:P,'Отчет 01-02.11'!C:C,"Возвраты",'Отчет 01-02.11'!E:E,B35)</f>
        <v>0</v>
      </c>
      <c r="U35" s="49">
        <f t="shared" si="24"/>
        <v>0</v>
      </c>
      <c r="V35" s="52">
        <f t="shared" si="25"/>
        <v>0</v>
      </c>
      <c r="W35" s="53">
        <f t="shared" si="39"/>
        <v>0</v>
      </c>
      <c r="X35" s="51">
        <f>-SUMIFS('Отчет 01-02.11'!P:P,'Отчет 01-02.11'!C:C,"Вознаграждение Ozon",'Отчет 01-02.11'!E:E,B35)</f>
        <v>0</v>
      </c>
      <c r="Y35" s="54">
        <f t="shared" si="26"/>
        <v>0</v>
      </c>
      <c r="Z35" s="51">
        <f>-SUMIFS('Отчет 01-02.11'!P:P,'Отчет 01-02.11'!C:C,"Услуги доставки",'Отчет 01-02.11'!E:E,B35)</f>
        <v>112</v>
      </c>
      <c r="AA35" s="41">
        <v>0</v>
      </c>
      <c r="AB35" s="64"/>
      <c r="AC35" s="51"/>
      <c r="AD35" s="55">
        <f t="shared" si="27"/>
        <v>0</v>
      </c>
      <c r="AE35" s="56">
        <f t="shared" si="28"/>
        <v>-112</v>
      </c>
      <c r="AF35" s="55"/>
      <c r="AG35" s="57">
        <f t="shared" si="29"/>
        <v>0</v>
      </c>
      <c r="AH35" s="58">
        <f t="shared" si="30"/>
        <v>687</v>
      </c>
      <c r="AI35" s="58">
        <f t="shared" si="31"/>
        <v>0</v>
      </c>
      <c r="AJ35" s="58">
        <f t="shared" si="32"/>
        <v>112</v>
      </c>
      <c r="AK35" s="58">
        <f t="shared" si="33"/>
        <v>0</v>
      </c>
      <c r="AL35" s="58">
        <f t="array" ref="AL35">_xlfn.IFS(R35=0,AE35,R35&lt;0,AE35/-R35,R35&gt;0,AE35/R35)</f>
        <v>-112</v>
      </c>
      <c r="AM35" s="59">
        <f t="shared" si="34"/>
        <v>0</v>
      </c>
      <c r="AN35" s="60">
        <f t="shared" si="35"/>
        <v>-0.16302765647743814</v>
      </c>
      <c r="AP35" s="62">
        <f t="shared" si="36"/>
        <v>-1680</v>
      </c>
    </row>
    <row r="36" spans="1:42">
      <c r="A36" s="39">
        <v>2774719012</v>
      </c>
      <c r="B36" s="40" t="s">
        <v>239</v>
      </c>
      <c r="C36" s="41">
        <v>7</v>
      </c>
      <c r="D36" s="42"/>
      <c r="E36" s="42"/>
      <c r="F36" s="42"/>
      <c r="G36" s="43"/>
      <c r="H36" s="65">
        <v>687</v>
      </c>
      <c r="I36" s="63">
        <f t="shared" si="20"/>
        <v>4809</v>
      </c>
      <c r="J36" s="45"/>
      <c r="K36" s="41">
        <v>0</v>
      </c>
      <c r="L36" s="45"/>
      <c r="M36" s="45"/>
      <c r="N36" s="46">
        <f t="shared" si="37"/>
        <v>0</v>
      </c>
      <c r="O36" s="47">
        <f t="shared" si="38"/>
        <v>0.5</v>
      </c>
      <c r="P36" s="48">
        <f>SUMIFS('Отчет 01-02.11'!H:H,'Отчет 01-02.11'!D:D,"Выручка",'Отчет 01-02.11'!E:E,B36)</f>
        <v>1</v>
      </c>
      <c r="Q36" s="48">
        <f>SUMIFS('Отчет 01-02.11'!H:H,'Отчет 01-02.11'!D:D,"Возврат выручки",'Отчет 01-02.11'!E:E,B36)</f>
        <v>0</v>
      </c>
      <c r="R36" s="49">
        <f t="shared" si="23"/>
        <v>1</v>
      </c>
      <c r="S36" s="50">
        <f>SUMIFS('Отчет 01-02.11'!P:P,'Отчет 01-02.11'!C:C,"Продажи",'Отчет 01-02.11'!E:E,B36)</f>
        <v>4548</v>
      </c>
      <c r="T36" s="51">
        <f>SUMIFS('Отчет 01-02.11'!P:P,'Отчет 01-02.11'!C:C,"Возвраты",'Отчет 01-02.11'!E:E,B36)</f>
        <v>0</v>
      </c>
      <c r="U36" s="49">
        <f t="shared" si="24"/>
        <v>4548</v>
      </c>
      <c r="V36" s="52">
        <f t="shared" si="25"/>
        <v>0.28737520535827121</v>
      </c>
      <c r="W36" s="53">
        <f t="shared" si="39"/>
        <v>687</v>
      </c>
      <c r="X36" s="51">
        <f>-SUMIFS('Отчет 01-02.11'!P:P,'Отчет 01-02.11'!C:C,"Вознаграждение Ozon",'Отчет 01-02.11'!E:E,B36)</f>
        <v>1728.24</v>
      </c>
      <c r="Y36" s="54">
        <f t="shared" si="26"/>
        <v>0.38</v>
      </c>
      <c r="Z36" s="51">
        <f>-SUMIFS('Отчет 01-02.11'!P:P,'Отчет 01-02.11'!C:C,"Услуги доставки",'Отчет 01-02.11'!E:E,B36)</f>
        <v>168</v>
      </c>
      <c r="AA36" s="41">
        <v>1589.44623</v>
      </c>
      <c r="AB36" s="64"/>
      <c r="AC36" s="51"/>
      <c r="AD36" s="55">
        <f t="shared" si="27"/>
        <v>272.88</v>
      </c>
      <c r="AE36" s="56">
        <f t="shared" si="28"/>
        <v>102.43377000000021</v>
      </c>
      <c r="AF36" s="55"/>
      <c r="AG36" s="57">
        <f t="shared" si="29"/>
        <v>4548</v>
      </c>
      <c r="AH36" s="58">
        <f t="shared" si="30"/>
        <v>687</v>
      </c>
      <c r="AI36" s="58">
        <f t="shared" si="31"/>
        <v>1728.24</v>
      </c>
      <c r="AJ36" s="58">
        <f t="shared" si="32"/>
        <v>168</v>
      </c>
      <c r="AK36" s="58">
        <f t="shared" si="33"/>
        <v>1589.44623</v>
      </c>
      <c r="AL36" s="58">
        <f t="array" ref="AL36">_xlfn.IFS(R36=0,AE36,R36&lt;0,AE36/-R36,R36&gt;0,AE36/R36)</f>
        <v>102.43377000000021</v>
      </c>
      <c r="AM36" s="59">
        <f t="shared" si="34"/>
        <v>2.2522816622691337E-2</v>
      </c>
      <c r="AN36" s="60">
        <f t="shared" si="35"/>
        <v>0.149103013100437</v>
      </c>
      <c r="AP36" s="62">
        <f t="shared" si="36"/>
        <v>717.03639000000146</v>
      </c>
    </row>
    <row r="37" spans="1:42">
      <c r="A37" s="39">
        <v>2774719433</v>
      </c>
      <c r="B37" s="40" t="s">
        <v>240</v>
      </c>
      <c r="C37" s="41">
        <v>18</v>
      </c>
      <c r="D37" s="42"/>
      <c r="E37" s="42"/>
      <c r="F37" s="42"/>
      <c r="G37" s="43"/>
      <c r="H37" s="65">
        <v>597</v>
      </c>
      <c r="I37" s="63">
        <f t="shared" si="20"/>
        <v>10746</v>
      </c>
      <c r="J37" s="45"/>
      <c r="K37" s="41">
        <v>0</v>
      </c>
      <c r="L37" s="45"/>
      <c r="M37" s="45"/>
      <c r="N37" s="46">
        <f t="shared" si="37"/>
        <v>0</v>
      </c>
      <c r="O37" s="47">
        <f t="shared" si="38"/>
        <v>0</v>
      </c>
      <c r="P37" s="48">
        <f>SUMIFS('Отчет 01-02.11'!H:H,'Отчет 01-02.11'!D:D,"Выручка",'Отчет 01-02.11'!E:E,B37)</f>
        <v>0</v>
      </c>
      <c r="Q37" s="48">
        <f>SUMIFS('Отчет 01-02.11'!H:H,'Отчет 01-02.11'!D:D,"Возврат выручки",'Отчет 01-02.11'!E:E,B37)</f>
        <v>0</v>
      </c>
      <c r="R37" s="49">
        <f t="shared" si="23"/>
        <v>0</v>
      </c>
      <c r="S37" s="50">
        <f>SUMIFS('Отчет 01-02.11'!P:P,'Отчет 01-02.11'!C:C,"Продажи",'Отчет 01-02.11'!E:E,B37)</f>
        <v>0</v>
      </c>
      <c r="T37" s="51">
        <f>SUMIFS('Отчет 01-02.11'!P:P,'Отчет 01-02.11'!C:C,"Возвраты",'Отчет 01-02.11'!E:E,B37)</f>
        <v>0</v>
      </c>
      <c r="U37" s="49">
        <f t="shared" si="24"/>
        <v>0</v>
      </c>
      <c r="V37" s="52">
        <f t="shared" si="25"/>
        <v>0</v>
      </c>
      <c r="W37" s="53">
        <f t="shared" si="39"/>
        <v>0</v>
      </c>
      <c r="X37" s="51">
        <f>-SUMIFS('Отчет 01-02.11'!P:P,'Отчет 01-02.11'!C:C,"Вознаграждение Ozon",'Отчет 01-02.11'!E:E,B37)</f>
        <v>0</v>
      </c>
      <c r="Y37" s="54">
        <f t="shared" si="26"/>
        <v>0</v>
      </c>
      <c r="Z37" s="51">
        <f>-SUMIFS('Отчет 01-02.11'!P:P,'Отчет 01-02.11'!C:C,"Услуги доставки",'Отчет 01-02.11'!E:E,B37)</f>
        <v>0</v>
      </c>
      <c r="AA37" s="41">
        <v>0</v>
      </c>
      <c r="AB37" s="64"/>
      <c r="AC37" s="51"/>
      <c r="AD37" s="55">
        <f t="shared" si="27"/>
        <v>0</v>
      </c>
      <c r="AE37" s="56">
        <f t="shared" si="28"/>
        <v>0</v>
      </c>
      <c r="AF37" s="55"/>
      <c r="AG37" s="57">
        <f t="shared" si="29"/>
        <v>0</v>
      </c>
      <c r="AH37" s="58">
        <f t="shared" si="30"/>
        <v>597</v>
      </c>
      <c r="AI37" s="58">
        <f t="shared" si="31"/>
        <v>0</v>
      </c>
      <c r="AJ37" s="58">
        <f t="shared" si="32"/>
        <v>0</v>
      </c>
      <c r="AK37" s="58">
        <f t="shared" si="33"/>
        <v>0</v>
      </c>
      <c r="AL37" s="58">
        <f t="array" ref="AL37">_xlfn.IFS(R37=0,AE37,R37&lt;0,AE37/-R37,R37&gt;0,AE37/R37)</f>
        <v>0</v>
      </c>
      <c r="AM37" s="59">
        <f t="shared" si="34"/>
        <v>0</v>
      </c>
      <c r="AN37" s="60">
        <f t="shared" si="35"/>
        <v>0</v>
      </c>
      <c r="AP37" s="62">
        <f t="shared" si="36"/>
        <v>0</v>
      </c>
    </row>
    <row r="38" spans="1:42">
      <c r="A38" s="39">
        <v>2774719029</v>
      </c>
      <c r="B38" s="40" t="s">
        <v>241</v>
      </c>
      <c r="C38" s="41">
        <v>17</v>
      </c>
      <c r="D38" s="42"/>
      <c r="E38" s="42"/>
      <c r="F38" s="42"/>
      <c r="G38" s="43"/>
      <c r="H38" s="65">
        <v>597</v>
      </c>
      <c r="I38" s="63">
        <f t="shared" si="20"/>
        <v>10149</v>
      </c>
      <c r="J38" s="45"/>
      <c r="K38" s="41">
        <v>0</v>
      </c>
      <c r="L38" s="45"/>
      <c r="M38" s="45"/>
      <c r="N38" s="46">
        <f t="shared" si="37"/>
        <v>0</v>
      </c>
      <c r="O38" s="47">
        <f t="shared" si="38"/>
        <v>0</v>
      </c>
      <c r="P38" s="48">
        <f>SUMIFS('Отчет 01-02.11'!H:H,'Отчет 01-02.11'!D:D,"Выручка",'Отчет 01-02.11'!E:E,B38)</f>
        <v>0</v>
      </c>
      <c r="Q38" s="48">
        <f>SUMIFS('Отчет 01-02.11'!H:H,'Отчет 01-02.11'!D:D,"Возврат выручки",'Отчет 01-02.11'!E:E,B38)</f>
        <v>0</v>
      </c>
      <c r="R38" s="49">
        <f t="shared" si="23"/>
        <v>0</v>
      </c>
      <c r="S38" s="50">
        <f>SUMIFS('Отчет 01-02.11'!P:P,'Отчет 01-02.11'!C:C,"Продажи",'Отчет 01-02.11'!E:E,B38)</f>
        <v>0</v>
      </c>
      <c r="T38" s="51">
        <f>SUMIFS('Отчет 01-02.11'!P:P,'Отчет 01-02.11'!C:C,"Возвраты",'Отчет 01-02.11'!E:E,B38)</f>
        <v>0</v>
      </c>
      <c r="U38" s="49">
        <f t="shared" si="24"/>
        <v>0</v>
      </c>
      <c r="V38" s="52">
        <f t="shared" si="25"/>
        <v>0</v>
      </c>
      <c r="W38" s="53">
        <f t="shared" si="39"/>
        <v>0</v>
      </c>
      <c r="X38" s="51">
        <f>-SUMIFS('Отчет 01-02.11'!P:P,'Отчет 01-02.11'!C:C,"Вознаграждение Ozon",'Отчет 01-02.11'!E:E,B38)</f>
        <v>0</v>
      </c>
      <c r="Y38" s="54">
        <f t="shared" si="26"/>
        <v>0</v>
      </c>
      <c r="Z38" s="51">
        <f>-SUMIFS('Отчет 01-02.11'!P:P,'Отчет 01-02.11'!C:C,"Услуги доставки",'Отчет 01-02.11'!E:E,B38)</f>
        <v>112</v>
      </c>
      <c r="AA38" s="41">
        <v>0</v>
      </c>
      <c r="AB38" s="64"/>
      <c r="AC38" s="51"/>
      <c r="AD38" s="55">
        <f t="shared" si="27"/>
        <v>0</v>
      </c>
      <c r="AE38" s="56">
        <f t="shared" si="28"/>
        <v>-112</v>
      </c>
      <c r="AF38" s="55"/>
      <c r="AG38" s="57">
        <f t="shared" si="29"/>
        <v>0</v>
      </c>
      <c r="AH38" s="58">
        <f t="shared" si="30"/>
        <v>597</v>
      </c>
      <c r="AI38" s="58">
        <f t="shared" si="31"/>
        <v>0</v>
      </c>
      <c r="AJ38" s="58">
        <f t="shared" si="32"/>
        <v>112</v>
      </c>
      <c r="AK38" s="58">
        <f t="shared" si="33"/>
        <v>0</v>
      </c>
      <c r="AL38" s="58">
        <f t="array" ref="AL38">_xlfn.IFS(R38=0,AE38,R38&lt;0,AE38/-R38,R38&gt;0,AE38/R38)</f>
        <v>-112</v>
      </c>
      <c r="AM38" s="59">
        <f t="shared" si="34"/>
        <v>0</v>
      </c>
      <c r="AN38" s="60">
        <f t="shared" si="35"/>
        <v>-0.18760469011725292</v>
      </c>
      <c r="AP38" s="62">
        <f t="shared" si="36"/>
        <v>-1904</v>
      </c>
    </row>
    <row r="39" spans="1:42">
      <c r="A39" s="39">
        <v>2774719553</v>
      </c>
      <c r="B39" s="40" t="s">
        <v>242</v>
      </c>
      <c r="C39" s="41">
        <v>19</v>
      </c>
      <c r="D39" s="42"/>
      <c r="E39" s="42"/>
      <c r="F39" s="42"/>
      <c r="G39" s="43"/>
      <c r="H39" s="65">
        <v>597</v>
      </c>
      <c r="I39" s="63">
        <f t="shared" si="20"/>
        <v>11343</v>
      </c>
      <c r="J39" s="45"/>
      <c r="K39" s="41">
        <v>0</v>
      </c>
      <c r="L39" s="45"/>
      <c r="M39" s="45"/>
      <c r="N39" s="46">
        <f t="shared" si="37"/>
        <v>0</v>
      </c>
      <c r="O39" s="47">
        <f t="shared" si="38"/>
        <v>0</v>
      </c>
      <c r="P39" s="48">
        <f>SUMIFS('Отчет 01-02.11'!H:H,'Отчет 01-02.11'!D:D,"Выручка",'Отчет 01-02.11'!E:E,B39)</f>
        <v>0</v>
      </c>
      <c r="Q39" s="48">
        <f>SUMIFS('Отчет 01-02.11'!H:H,'Отчет 01-02.11'!D:D,"Возврат выручки",'Отчет 01-02.11'!E:E,B39)</f>
        <v>0</v>
      </c>
      <c r="R39" s="49">
        <f t="shared" si="23"/>
        <v>0</v>
      </c>
      <c r="S39" s="50">
        <f>SUMIFS('Отчет 01-02.11'!P:P,'Отчет 01-02.11'!C:C,"Продажи",'Отчет 01-02.11'!E:E,B39)</f>
        <v>0</v>
      </c>
      <c r="T39" s="51">
        <f>SUMIFS('Отчет 01-02.11'!P:P,'Отчет 01-02.11'!C:C,"Возвраты",'Отчет 01-02.11'!E:E,B39)</f>
        <v>0</v>
      </c>
      <c r="U39" s="49">
        <f t="shared" si="24"/>
        <v>0</v>
      </c>
      <c r="V39" s="52">
        <f t="shared" si="25"/>
        <v>0</v>
      </c>
      <c r="W39" s="53">
        <f t="shared" si="39"/>
        <v>0</v>
      </c>
      <c r="X39" s="51">
        <f>-SUMIFS('Отчет 01-02.11'!P:P,'Отчет 01-02.11'!C:C,"Вознаграждение Ozon",'Отчет 01-02.11'!E:E,B39)</f>
        <v>0</v>
      </c>
      <c r="Y39" s="54">
        <f t="shared" si="26"/>
        <v>0</v>
      </c>
      <c r="Z39" s="51">
        <f>-SUMIFS('Отчет 01-02.11'!P:P,'Отчет 01-02.11'!C:C,"Услуги доставки",'Отчет 01-02.11'!E:E,B39)</f>
        <v>0</v>
      </c>
      <c r="AA39" s="41">
        <v>0</v>
      </c>
      <c r="AB39" s="64"/>
      <c r="AC39" s="51"/>
      <c r="AD39" s="55">
        <f t="shared" si="27"/>
        <v>0</v>
      </c>
      <c r="AE39" s="56">
        <f t="shared" si="28"/>
        <v>0</v>
      </c>
      <c r="AF39" s="55"/>
      <c r="AG39" s="57">
        <f t="shared" si="29"/>
        <v>0</v>
      </c>
      <c r="AH39" s="58">
        <f t="shared" si="30"/>
        <v>597</v>
      </c>
      <c r="AI39" s="58">
        <f t="shared" si="31"/>
        <v>0</v>
      </c>
      <c r="AJ39" s="58">
        <f t="shared" si="32"/>
        <v>0</v>
      </c>
      <c r="AK39" s="58">
        <f t="shared" si="33"/>
        <v>0</v>
      </c>
      <c r="AL39" s="58">
        <f t="array" ref="AL39">_xlfn.IFS(R39=0,AE39,R39&lt;0,AE39/-R39,R39&gt;0,AE39/R39)</f>
        <v>0</v>
      </c>
      <c r="AM39" s="59">
        <f t="shared" si="34"/>
        <v>0</v>
      </c>
      <c r="AN39" s="60">
        <f t="shared" si="35"/>
        <v>0</v>
      </c>
      <c r="AP39" s="62">
        <f t="shared" si="36"/>
        <v>0</v>
      </c>
    </row>
    <row r="40" spans="1:42">
      <c r="A40" s="39">
        <v>2774710913</v>
      </c>
      <c r="B40" s="40" t="s">
        <v>243</v>
      </c>
      <c r="C40" s="41">
        <v>19</v>
      </c>
      <c r="D40" s="42"/>
      <c r="E40" s="42"/>
      <c r="F40" s="42"/>
      <c r="G40" s="43"/>
      <c r="H40" s="65">
        <v>642</v>
      </c>
      <c r="I40" s="63">
        <f t="shared" si="20"/>
        <v>12198</v>
      </c>
      <c r="J40" s="45"/>
      <c r="K40" s="41">
        <v>0</v>
      </c>
      <c r="L40" s="45"/>
      <c r="M40" s="45"/>
      <c r="N40" s="46">
        <f t="shared" si="37"/>
        <v>0</v>
      </c>
      <c r="O40" s="47">
        <f t="shared" si="38"/>
        <v>0</v>
      </c>
      <c r="P40" s="48">
        <f>SUMIFS('Отчет 01-02.11'!H:H,'Отчет 01-02.11'!D:D,"Выручка",'Отчет 01-02.11'!E:E,B40)</f>
        <v>0</v>
      </c>
      <c r="Q40" s="48">
        <f>SUMIFS('Отчет 01-02.11'!H:H,'Отчет 01-02.11'!D:D,"Возврат выручки",'Отчет 01-02.11'!E:E,B40)</f>
        <v>0</v>
      </c>
      <c r="R40" s="49">
        <f t="shared" si="23"/>
        <v>0</v>
      </c>
      <c r="S40" s="50">
        <f>SUMIFS('Отчет 01-02.11'!P:P,'Отчет 01-02.11'!C:C,"Продажи",'Отчет 01-02.11'!E:E,B40)</f>
        <v>0</v>
      </c>
      <c r="T40" s="51">
        <f>SUMIFS('Отчет 01-02.11'!P:P,'Отчет 01-02.11'!C:C,"Возвраты",'Отчет 01-02.11'!E:E,B40)</f>
        <v>0</v>
      </c>
      <c r="U40" s="49">
        <f t="shared" si="24"/>
        <v>0</v>
      </c>
      <c r="V40" s="52">
        <f t="shared" si="25"/>
        <v>0</v>
      </c>
      <c r="W40" s="53">
        <f t="shared" si="39"/>
        <v>0</v>
      </c>
      <c r="X40" s="51">
        <f>-SUMIFS('Отчет 01-02.11'!P:P,'Отчет 01-02.11'!C:C,"Вознаграждение Ozon",'Отчет 01-02.11'!E:E,B40)</f>
        <v>0</v>
      </c>
      <c r="Y40" s="54">
        <f t="shared" si="26"/>
        <v>0</v>
      </c>
      <c r="Z40" s="51">
        <f>-SUMIFS('Отчет 01-02.11'!P:P,'Отчет 01-02.11'!C:C,"Услуги доставки",'Отчет 01-02.11'!E:E,B40)</f>
        <v>0</v>
      </c>
      <c r="AA40" s="41">
        <v>0</v>
      </c>
      <c r="AB40" s="64"/>
      <c r="AC40" s="51"/>
      <c r="AD40" s="55">
        <f t="shared" si="27"/>
        <v>0</v>
      </c>
      <c r="AE40" s="56">
        <f t="shared" si="28"/>
        <v>0</v>
      </c>
      <c r="AF40" s="55"/>
      <c r="AG40" s="57">
        <f t="shared" si="29"/>
        <v>0</v>
      </c>
      <c r="AH40" s="58">
        <f t="shared" si="30"/>
        <v>642</v>
      </c>
      <c r="AI40" s="58">
        <f t="shared" si="31"/>
        <v>0</v>
      </c>
      <c r="AJ40" s="58">
        <f t="shared" si="32"/>
        <v>0</v>
      </c>
      <c r="AK40" s="58">
        <f t="shared" si="33"/>
        <v>0</v>
      </c>
      <c r="AL40" s="58">
        <f t="array" ref="AL40">_xlfn.IFS(R40=0,AE40,R40&lt;0,AE40/-R40,R40&gt;0,AE40/R40)</f>
        <v>0</v>
      </c>
      <c r="AM40" s="59">
        <f t="shared" si="34"/>
        <v>0</v>
      </c>
      <c r="AN40" s="60">
        <f t="shared" si="35"/>
        <v>0</v>
      </c>
      <c r="AP40" s="62">
        <f t="shared" si="36"/>
        <v>0</v>
      </c>
    </row>
    <row r="41" spans="1:42">
      <c r="A41" s="39">
        <v>2774721668</v>
      </c>
      <c r="B41" s="40" t="s">
        <v>771</v>
      </c>
      <c r="C41" s="41">
        <v>19</v>
      </c>
      <c r="D41" s="42"/>
      <c r="E41" s="42"/>
      <c r="F41" s="42"/>
      <c r="G41" s="43"/>
      <c r="H41" s="65">
        <v>642</v>
      </c>
      <c r="I41" s="63">
        <f t="shared" si="20"/>
        <v>12198</v>
      </c>
      <c r="J41" s="45"/>
      <c r="K41" s="41">
        <v>0</v>
      </c>
      <c r="L41" s="45"/>
      <c r="M41" s="45"/>
      <c r="N41" s="46">
        <f t="shared" si="37"/>
        <v>0</v>
      </c>
      <c r="O41" s="47">
        <f t="shared" si="38"/>
        <v>0</v>
      </c>
      <c r="P41" s="48">
        <f>SUMIFS('Отчет 01-02.11'!H:H,'Отчет 01-02.11'!D:D,"Выручка",'Отчет 01-02.11'!E:E,B41)</f>
        <v>0</v>
      </c>
      <c r="Q41" s="48">
        <f>SUMIFS('Отчет 01-02.11'!H:H,'Отчет 01-02.11'!D:D,"Возврат выручки",'Отчет 01-02.11'!E:E,B41)</f>
        <v>0</v>
      </c>
      <c r="R41" s="49">
        <f t="shared" si="23"/>
        <v>0</v>
      </c>
      <c r="S41" s="50">
        <f>SUMIFS('Отчет 01-02.11'!P:P,'Отчет 01-02.11'!C:C,"Продажи",'Отчет 01-02.11'!E:E,B41)</f>
        <v>0</v>
      </c>
      <c r="T41" s="51">
        <f>SUMIFS('Отчет 01-02.11'!P:P,'Отчет 01-02.11'!C:C,"Возвраты",'Отчет 01-02.11'!E:E,B41)</f>
        <v>0</v>
      </c>
      <c r="U41" s="49">
        <f t="shared" si="24"/>
        <v>0</v>
      </c>
      <c r="V41" s="52">
        <f t="shared" si="25"/>
        <v>0</v>
      </c>
      <c r="W41" s="53">
        <f t="shared" si="39"/>
        <v>0</v>
      </c>
      <c r="X41" s="51">
        <f>-SUMIFS('Отчет 01-02.11'!P:P,'Отчет 01-02.11'!C:C,"Вознаграждение Ozon",'Отчет 01-02.11'!E:E,B41)</f>
        <v>0</v>
      </c>
      <c r="Y41" s="54">
        <f t="shared" si="26"/>
        <v>0</v>
      </c>
      <c r="Z41" s="51">
        <f>-SUMIFS('Отчет 01-02.11'!P:P,'Отчет 01-02.11'!C:C,"Услуги доставки",'Отчет 01-02.11'!E:E,B41)</f>
        <v>112</v>
      </c>
      <c r="AA41" s="41">
        <v>0</v>
      </c>
      <c r="AB41" s="64"/>
      <c r="AC41" s="51"/>
      <c r="AD41" s="55">
        <f t="shared" si="27"/>
        <v>0</v>
      </c>
      <c r="AE41" s="56">
        <f t="shared" si="28"/>
        <v>-112</v>
      </c>
      <c r="AF41" s="55"/>
      <c r="AG41" s="57">
        <f t="shared" si="29"/>
        <v>0</v>
      </c>
      <c r="AH41" s="58">
        <f t="shared" si="30"/>
        <v>642</v>
      </c>
      <c r="AI41" s="58">
        <f t="shared" si="31"/>
        <v>0</v>
      </c>
      <c r="AJ41" s="58">
        <f t="shared" si="32"/>
        <v>112</v>
      </c>
      <c r="AK41" s="58">
        <f t="shared" si="33"/>
        <v>0</v>
      </c>
      <c r="AL41" s="58">
        <f t="array" ref="AL41">_xlfn.IFS(R41=0,AE41,R41&lt;0,AE41/-R41,R41&gt;0,AE41/R41)</f>
        <v>-112</v>
      </c>
      <c r="AM41" s="59">
        <f t="shared" si="34"/>
        <v>0</v>
      </c>
      <c r="AN41" s="60">
        <f t="shared" si="35"/>
        <v>-0.17445482866043613</v>
      </c>
      <c r="AP41" s="62">
        <f t="shared" si="36"/>
        <v>-2128</v>
      </c>
    </row>
    <row r="42" spans="1:42">
      <c r="A42" s="39">
        <v>2774722656</v>
      </c>
      <c r="B42" s="40" t="s">
        <v>51</v>
      </c>
      <c r="C42" s="41">
        <v>8</v>
      </c>
      <c r="D42" s="42"/>
      <c r="E42" s="42"/>
      <c r="F42" s="42"/>
      <c r="G42" s="43"/>
      <c r="H42" s="65">
        <v>687</v>
      </c>
      <c r="I42" s="63">
        <f t="shared" si="20"/>
        <v>5496</v>
      </c>
      <c r="J42" s="45"/>
      <c r="K42" s="41">
        <v>1</v>
      </c>
      <c r="L42" s="45"/>
      <c r="M42" s="45"/>
      <c r="N42" s="46">
        <f t="shared" si="37"/>
        <v>0.5</v>
      </c>
      <c r="O42" s="47">
        <f t="shared" si="38"/>
        <v>0</v>
      </c>
      <c r="P42" s="48">
        <f>SUMIFS('Отчет 01-02.11'!H:H,'Отчет 01-02.11'!D:D,"Выручка",'Отчет 01-02.11'!E:E,B42)</f>
        <v>0</v>
      </c>
      <c r="Q42" s="48">
        <f>SUMIFS('Отчет 01-02.11'!H:H,'Отчет 01-02.11'!D:D,"Возврат выручки",'Отчет 01-02.11'!E:E,B42)</f>
        <v>0</v>
      </c>
      <c r="R42" s="49">
        <f t="shared" si="23"/>
        <v>0</v>
      </c>
      <c r="S42" s="50">
        <f>SUMIFS('Отчет 01-02.11'!P:P,'Отчет 01-02.11'!C:C,"Продажи",'Отчет 01-02.11'!E:E,B42)</f>
        <v>0</v>
      </c>
      <c r="T42" s="51">
        <f>SUMIFS('Отчет 01-02.11'!P:P,'Отчет 01-02.11'!C:C,"Возвраты",'Отчет 01-02.11'!E:E,B42)</f>
        <v>0</v>
      </c>
      <c r="U42" s="49">
        <f t="shared" si="24"/>
        <v>0</v>
      </c>
      <c r="V42" s="52">
        <f t="shared" si="25"/>
        <v>0</v>
      </c>
      <c r="W42" s="53">
        <f t="shared" si="39"/>
        <v>0</v>
      </c>
      <c r="X42" s="51">
        <f>-SUMIFS('Отчет 01-02.11'!P:P,'Отчет 01-02.11'!C:C,"Вознаграждение Ozon",'Отчет 01-02.11'!E:E,B42)</f>
        <v>0</v>
      </c>
      <c r="Y42" s="54">
        <f t="shared" si="26"/>
        <v>0</v>
      </c>
      <c r="Z42" s="51">
        <f>-SUMIFS('Отчет 01-02.11'!P:P,'Отчет 01-02.11'!C:C,"Услуги доставки",'Отчет 01-02.11'!E:E,B42)</f>
        <v>224</v>
      </c>
      <c r="AA42" s="41">
        <v>0</v>
      </c>
      <c r="AB42" s="64"/>
      <c r="AC42" s="51"/>
      <c r="AD42" s="55">
        <f t="shared" si="27"/>
        <v>0</v>
      </c>
      <c r="AE42" s="56">
        <f t="shared" si="28"/>
        <v>-224</v>
      </c>
      <c r="AF42" s="55"/>
      <c r="AG42" s="57">
        <f t="shared" si="29"/>
        <v>0</v>
      </c>
      <c r="AH42" s="58">
        <f t="shared" si="30"/>
        <v>687</v>
      </c>
      <c r="AI42" s="58">
        <f t="shared" si="31"/>
        <v>0</v>
      </c>
      <c r="AJ42" s="58">
        <f t="shared" si="32"/>
        <v>224</v>
      </c>
      <c r="AK42" s="58">
        <f t="shared" si="33"/>
        <v>0</v>
      </c>
      <c r="AL42" s="58">
        <f t="array" ref="AL42">_xlfn.IFS(R42=0,AE42,R42&lt;0,AE42/-R42,R42&gt;0,AE42/R42)</f>
        <v>-224</v>
      </c>
      <c r="AM42" s="59">
        <f t="shared" si="34"/>
        <v>0</v>
      </c>
      <c r="AN42" s="60">
        <f t="shared" si="35"/>
        <v>-0.32605531295487628</v>
      </c>
      <c r="AP42" s="62">
        <f t="shared" si="36"/>
        <v>-1792</v>
      </c>
    </row>
    <row r="43" spans="1:42">
      <c r="A43" s="39">
        <v>2774721190</v>
      </c>
      <c r="B43" s="40" t="s">
        <v>70</v>
      </c>
      <c r="C43" s="41">
        <v>5</v>
      </c>
      <c r="D43" s="42"/>
      <c r="E43" s="42"/>
      <c r="F43" s="42"/>
      <c r="G43" s="43"/>
      <c r="H43" s="65">
        <v>687</v>
      </c>
      <c r="I43" s="63">
        <f t="shared" si="20"/>
        <v>3435</v>
      </c>
      <c r="J43" s="45"/>
      <c r="K43" s="41">
        <v>1</v>
      </c>
      <c r="L43" s="45"/>
      <c r="M43" s="45"/>
      <c r="N43" s="46">
        <f t="shared" si="37"/>
        <v>0.5</v>
      </c>
      <c r="O43" s="47">
        <f t="shared" si="38"/>
        <v>0</v>
      </c>
      <c r="P43" s="48">
        <f>SUMIFS('Отчет 01-02.11'!H:H,'Отчет 01-02.11'!D:D,"Выручка",'Отчет 01-02.11'!E:E,B43)</f>
        <v>0</v>
      </c>
      <c r="Q43" s="48">
        <f>SUMIFS('Отчет 01-02.11'!H:H,'Отчет 01-02.11'!D:D,"Возврат выручки",'Отчет 01-02.11'!E:E,B43)</f>
        <v>0</v>
      </c>
      <c r="R43" s="49">
        <f t="shared" si="23"/>
        <v>0</v>
      </c>
      <c r="S43" s="50">
        <f>SUMIFS('Отчет 01-02.11'!P:P,'Отчет 01-02.11'!C:C,"Продажи",'Отчет 01-02.11'!E:E,B43)</f>
        <v>0</v>
      </c>
      <c r="T43" s="51">
        <f>SUMIFS('Отчет 01-02.11'!P:P,'Отчет 01-02.11'!C:C,"Возвраты",'Отчет 01-02.11'!E:E,B43)</f>
        <v>0</v>
      </c>
      <c r="U43" s="49">
        <f t="shared" si="24"/>
        <v>0</v>
      </c>
      <c r="V43" s="52">
        <f t="shared" si="25"/>
        <v>0</v>
      </c>
      <c r="W43" s="53">
        <f t="shared" si="39"/>
        <v>0</v>
      </c>
      <c r="X43" s="51">
        <f>-SUMIFS('Отчет 01-02.11'!P:P,'Отчет 01-02.11'!C:C,"Вознаграждение Ozon",'Отчет 01-02.11'!E:E,B43)</f>
        <v>0</v>
      </c>
      <c r="Y43" s="54">
        <f t="shared" si="26"/>
        <v>0</v>
      </c>
      <c r="Z43" s="51">
        <f>-SUMIFS('Отчет 01-02.11'!P:P,'Отчет 01-02.11'!C:C,"Услуги доставки",'Отчет 01-02.11'!E:E,B43)</f>
        <v>112</v>
      </c>
      <c r="AA43" s="41">
        <v>161.33381600000001</v>
      </c>
      <c r="AB43" s="64"/>
      <c r="AC43" s="51"/>
      <c r="AD43" s="55">
        <f t="shared" si="27"/>
        <v>0</v>
      </c>
      <c r="AE43" s="56">
        <f t="shared" si="28"/>
        <v>-273.33381600000001</v>
      </c>
      <c r="AF43" s="55"/>
      <c r="AG43" s="57">
        <f t="shared" si="29"/>
        <v>0</v>
      </c>
      <c r="AH43" s="58">
        <f t="shared" si="30"/>
        <v>687</v>
      </c>
      <c r="AI43" s="58">
        <f t="shared" si="31"/>
        <v>0</v>
      </c>
      <c r="AJ43" s="58">
        <f t="shared" si="32"/>
        <v>112</v>
      </c>
      <c r="AK43" s="58">
        <f t="shared" si="33"/>
        <v>0</v>
      </c>
      <c r="AL43" s="58">
        <f t="array" ref="AL43">_xlfn.IFS(R43=0,AE43,R43&lt;0,AE43/-R43,R43&gt;0,AE43/R43)</f>
        <v>-273.33381600000001</v>
      </c>
      <c r="AM43" s="59">
        <f t="shared" si="34"/>
        <v>0</v>
      </c>
      <c r="AN43" s="60">
        <f t="shared" si="35"/>
        <v>-0.39786581659388648</v>
      </c>
      <c r="AP43" s="62">
        <f t="shared" si="36"/>
        <v>-1366.6690800000001</v>
      </c>
    </row>
    <row r="44" spans="1:42">
      <c r="A44" s="39">
        <v>2774718796</v>
      </c>
      <c r="B44" s="40" t="s">
        <v>66</v>
      </c>
      <c r="C44" s="41">
        <v>6</v>
      </c>
      <c r="D44" s="42"/>
      <c r="E44" s="42"/>
      <c r="F44" s="42"/>
      <c r="G44" s="43"/>
      <c r="H44" s="65">
        <v>552</v>
      </c>
      <c r="I44" s="63">
        <f t="shared" si="20"/>
        <v>3312</v>
      </c>
      <c r="J44" s="45"/>
      <c r="K44" s="41">
        <v>0</v>
      </c>
      <c r="L44" s="45"/>
      <c r="M44" s="45"/>
      <c r="N44" s="46">
        <f t="shared" si="37"/>
        <v>0</v>
      </c>
      <c r="O44" s="47">
        <f t="shared" si="38"/>
        <v>0</v>
      </c>
      <c r="P44" s="48">
        <f>SUMIFS('Отчет 01-02.11'!H:H,'Отчет 01-02.11'!D:D,"Выручка",'Отчет 01-02.11'!E:E,B44)</f>
        <v>0</v>
      </c>
      <c r="Q44" s="48">
        <f>SUMIFS('Отчет 01-02.11'!H:H,'Отчет 01-02.11'!D:D,"Возврат выручки",'Отчет 01-02.11'!E:E,B44)</f>
        <v>0</v>
      </c>
      <c r="R44" s="49">
        <f t="shared" si="23"/>
        <v>0</v>
      </c>
      <c r="S44" s="50">
        <f>SUMIFS('Отчет 01-02.11'!P:P,'Отчет 01-02.11'!C:C,"Продажи",'Отчет 01-02.11'!E:E,B44)</f>
        <v>0</v>
      </c>
      <c r="T44" s="51">
        <f>SUMIFS('Отчет 01-02.11'!P:P,'Отчет 01-02.11'!C:C,"Возвраты",'Отчет 01-02.11'!E:E,B44)</f>
        <v>0</v>
      </c>
      <c r="U44" s="49">
        <f t="shared" si="24"/>
        <v>0</v>
      </c>
      <c r="V44" s="52">
        <f t="shared" si="25"/>
        <v>0</v>
      </c>
      <c r="W44" s="53">
        <f t="shared" si="39"/>
        <v>0</v>
      </c>
      <c r="X44" s="51">
        <f>-SUMIFS('Отчет 01-02.11'!P:P,'Отчет 01-02.11'!C:C,"Вознаграждение Ozon",'Отчет 01-02.11'!E:E,B44)</f>
        <v>0</v>
      </c>
      <c r="Y44" s="54">
        <f t="shared" si="26"/>
        <v>0</v>
      </c>
      <c r="Z44" s="51">
        <f>-SUMIFS('Отчет 01-02.11'!P:P,'Отчет 01-02.11'!C:C,"Услуги доставки",'Отчет 01-02.11'!E:E,B44)</f>
        <v>0</v>
      </c>
      <c r="AA44" s="41">
        <v>0</v>
      </c>
      <c r="AB44" s="64"/>
      <c r="AC44" s="51"/>
      <c r="AD44" s="55">
        <f t="shared" si="27"/>
        <v>0</v>
      </c>
      <c r="AE44" s="56">
        <f t="shared" si="28"/>
        <v>0</v>
      </c>
      <c r="AF44" s="55"/>
      <c r="AG44" s="57">
        <f t="shared" si="29"/>
        <v>0</v>
      </c>
      <c r="AH44" s="58">
        <f t="shared" si="30"/>
        <v>552</v>
      </c>
      <c r="AI44" s="58">
        <f t="shared" si="31"/>
        <v>0</v>
      </c>
      <c r="AJ44" s="58">
        <f t="shared" si="32"/>
        <v>0</v>
      </c>
      <c r="AK44" s="58">
        <f t="shared" si="33"/>
        <v>0</v>
      </c>
      <c r="AL44" s="58">
        <f t="array" ref="AL44">_xlfn.IFS(R44=0,AE44,R44&lt;0,AE44/-R44,R44&gt;0,AE44/R44)</f>
        <v>0</v>
      </c>
      <c r="AM44" s="59">
        <f t="shared" si="34"/>
        <v>0</v>
      </c>
      <c r="AN44" s="60">
        <f t="shared" si="35"/>
        <v>0</v>
      </c>
      <c r="AP44" s="62">
        <f t="shared" si="36"/>
        <v>0</v>
      </c>
    </row>
    <row r="45" spans="1:42">
      <c r="A45" s="39">
        <v>2774719500</v>
      </c>
      <c r="B45" s="40" t="s">
        <v>245</v>
      </c>
      <c r="C45" s="41">
        <v>19</v>
      </c>
      <c r="D45" s="42"/>
      <c r="E45" s="42"/>
      <c r="F45" s="42"/>
      <c r="G45" s="43"/>
      <c r="H45" s="65">
        <v>552</v>
      </c>
      <c r="I45" s="63">
        <f t="shared" si="20"/>
        <v>10488</v>
      </c>
      <c r="J45" s="45"/>
      <c r="K45" s="41">
        <v>0</v>
      </c>
      <c r="L45" s="45"/>
      <c r="M45" s="45"/>
      <c r="N45" s="46">
        <f t="shared" si="37"/>
        <v>0</v>
      </c>
      <c r="O45" s="47">
        <f t="shared" si="38"/>
        <v>0</v>
      </c>
      <c r="P45" s="48">
        <f>SUMIFS('Отчет 01-02.11'!H:H,'Отчет 01-02.11'!D:D,"Выручка",'Отчет 01-02.11'!E:E,B45)</f>
        <v>0</v>
      </c>
      <c r="Q45" s="48">
        <f>SUMIFS('Отчет 01-02.11'!H:H,'Отчет 01-02.11'!D:D,"Возврат выручки",'Отчет 01-02.11'!E:E,B45)</f>
        <v>0</v>
      </c>
      <c r="R45" s="49">
        <f t="shared" si="23"/>
        <v>0</v>
      </c>
      <c r="S45" s="50">
        <f>SUMIFS('Отчет 01-02.11'!P:P,'Отчет 01-02.11'!C:C,"Продажи",'Отчет 01-02.11'!E:E,B45)</f>
        <v>0</v>
      </c>
      <c r="T45" s="51">
        <f>SUMIFS('Отчет 01-02.11'!P:P,'Отчет 01-02.11'!C:C,"Возвраты",'Отчет 01-02.11'!E:E,B45)</f>
        <v>0</v>
      </c>
      <c r="U45" s="49">
        <f t="shared" si="24"/>
        <v>0</v>
      </c>
      <c r="V45" s="52">
        <f t="shared" si="25"/>
        <v>0</v>
      </c>
      <c r="W45" s="53">
        <f t="shared" si="39"/>
        <v>0</v>
      </c>
      <c r="X45" s="51">
        <f>-SUMIFS('Отчет 01-02.11'!P:P,'Отчет 01-02.11'!C:C,"Вознаграждение Ozon",'Отчет 01-02.11'!E:E,B45)</f>
        <v>0</v>
      </c>
      <c r="Y45" s="54">
        <f t="shared" si="26"/>
        <v>0</v>
      </c>
      <c r="Z45" s="51">
        <f>-SUMIFS('Отчет 01-02.11'!P:P,'Отчет 01-02.11'!C:C,"Услуги доставки",'Отчет 01-02.11'!E:E,B45)</f>
        <v>0</v>
      </c>
      <c r="AA45" s="41">
        <v>0</v>
      </c>
      <c r="AB45" s="64"/>
      <c r="AC45" s="51"/>
      <c r="AD45" s="55">
        <f t="shared" si="27"/>
        <v>0</v>
      </c>
      <c r="AE45" s="56">
        <f t="shared" si="28"/>
        <v>0</v>
      </c>
      <c r="AF45" s="55"/>
      <c r="AG45" s="57">
        <f t="shared" si="29"/>
        <v>0</v>
      </c>
      <c r="AH45" s="58">
        <f t="shared" si="30"/>
        <v>552</v>
      </c>
      <c r="AI45" s="58">
        <f t="shared" si="31"/>
        <v>0</v>
      </c>
      <c r="AJ45" s="58">
        <f t="shared" si="32"/>
        <v>0</v>
      </c>
      <c r="AK45" s="58">
        <f t="shared" si="33"/>
        <v>0</v>
      </c>
      <c r="AL45" s="58">
        <f t="array" ref="AL45">_xlfn.IFS(R45=0,AE45,R45&lt;0,AE45/-R45,R45&gt;0,AE45/R45)</f>
        <v>0</v>
      </c>
      <c r="AM45" s="59">
        <f t="shared" si="34"/>
        <v>0</v>
      </c>
      <c r="AN45" s="60">
        <f t="shared" si="35"/>
        <v>0</v>
      </c>
      <c r="AP45" s="62">
        <f t="shared" si="36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40">AVERAGEIF(AG26:AG45,"&lt;&gt;0",AG26:AG45)</f>
        <v>4774</v>
      </c>
      <c r="AH46" s="259">
        <f t="shared" si="40"/>
        <v>617.25</v>
      </c>
      <c r="AI46" s="259">
        <f t="shared" si="40"/>
        <v>1814.12</v>
      </c>
      <c r="AJ46" s="259">
        <f t="shared" si="40"/>
        <v>119</v>
      </c>
      <c r="AK46" s="259">
        <f t="shared" si="40"/>
        <v>1589.44623</v>
      </c>
      <c r="AL46" s="259">
        <f t="shared" si="40"/>
        <v>74.633399333333344</v>
      </c>
      <c r="AM46" s="260">
        <f t="shared" si="40"/>
        <v>0.22296140831134567</v>
      </c>
      <c r="AN46" s="260">
        <f t="shared" si="40"/>
        <v>0.13415723284761258</v>
      </c>
      <c r="AO46" s="240"/>
      <c r="AP46" s="241"/>
    </row>
    <row r="47" spans="1:42">
      <c r="A47" s="218" t="s">
        <v>306</v>
      </c>
      <c r="B47" s="219"/>
      <c r="C47" s="220">
        <f>SUM(C26:C45)</f>
        <v>311</v>
      </c>
      <c r="D47" s="221"/>
      <c r="E47" s="221"/>
      <c r="F47" s="221"/>
      <c r="G47" s="221"/>
      <c r="H47" s="222"/>
      <c r="I47" s="220">
        <f>SUM(I26:I45)</f>
        <v>190212</v>
      </c>
      <c r="J47" s="223"/>
      <c r="K47" s="220">
        <f>SUM(K26:K45)</f>
        <v>3</v>
      </c>
      <c r="L47" s="223"/>
      <c r="M47" s="223"/>
      <c r="N47" s="224"/>
      <c r="O47" s="225"/>
      <c r="P47" s="220">
        <f t="shared" ref="P47:X47" si="41">SUM(P26:P45)</f>
        <v>2</v>
      </c>
      <c r="Q47" s="220">
        <f t="shared" si="41"/>
        <v>0</v>
      </c>
      <c r="R47" s="250">
        <f t="shared" si="41"/>
        <v>2</v>
      </c>
      <c r="S47" s="220">
        <f t="shared" si="41"/>
        <v>9548</v>
      </c>
      <c r="T47" s="220">
        <f t="shared" si="41"/>
        <v>0</v>
      </c>
      <c r="U47" s="250">
        <f t="shared" si="41"/>
        <v>9548</v>
      </c>
      <c r="V47" s="253">
        <f t="shared" si="41"/>
        <v>0.6033110072033363</v>
      </c>
      <c r="W47" s="220">
        <f>SUM(W26:W45)</f>
        <v>1314</v>
      </c>
      <c r="X47" s="220">
        <f t="shared" si="41"/>
        <v>3628.24</v>
      </c>
      <c r="Y47" s="226">
        <f>IF(U47=0,0,X47/U47)</f>
        <v>0.38</v>
      </c>
      <c r="Z47" s="220">
        <f>SUM(Z26:Z45)</f>
        <v>952</v>
      </c>
      <c r="AA47" s="220">
        <f>IFERROR(P47*AA49/P49,0)</f>
        <v>1900.1759999999999</v>
      </c>
      <c r="AB47" s="220">
        <f>SUM(AB26:AB45)</f>
        <v>0</v>
      </c>
      <c r="AC47" s="220">
        <f>SUM(AC26:AC45)</f>
        <v>0</v>
      </c>
      <c r="AD47" s="250">
        <f>SUM(AD26:AD45)</f>
        <v>572.88</v>
      </c>
      <c r="AE47" s="220">
        <f>SUM(AE26:AE45)</f>
        <v>671.70059400000014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13517.57819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2409.1794059999997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3795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654379.19999999995</v>
      </c>
      <c r="J49" s="229">
        <f>J24+J47</f>
        <v>0</v>
      </c>
      <c r="K49" s="229">
        <f>K24+K47</f>
        <v>7</v>
      </c>
      <c r="L49" s="230"/>
      <c r="M49" s="230"/>
      <c r="N49" s="230"/>
      <c r="O49" s="230"/>
      <c r="P49" s="269">
        <f t="shared" ref="P49:X49" si="42">P24+P47</f>
        <v>5</v>
      </c>
      <c r="Q49" s="229">
        <f t="shared" si="42"/>
        <v>0</v>
      </c>
      <c r="R49" s="252">
        <f t="shared" si="42"/>
        <v>5</v>
      </c>
      <c r="S49" s="229">
        <f t="shared" si="42"/>
        <v>15826</v>
      </c>
      <c r="T49" s="229">
        <f t="shared" si="42"/>
        <v>0</v>
      </c>
      <c r="U49" s="252">
        <f t="shared" si="42"/>
        <v>15826</v>
      </c>
      <c r="V49" s="255">
        <f t="shared" si="42"/>
        <v>1</v>
      </c>
      <c r="W49" s="229">
        <f>W24+W47</f>
        <v>2621.5</v>
      </c>
      <c r="X49" s="229">
        <f t="shared" si="42"/>
        <v>6013.88</v>
      </c>
      <c r="Y49" s="232">
        <f>X49/U49</f>
        <v>0.38</v>
      </c>
      <c r="Z49" s="229">
        <f>Z24+Z47</f>
        <v>1192</v>
      </c>
      <c r="AA49" s="75">
        <v>4750.4399999999996</v>
      </c>
      <c r="AB49" s="74"/>
      <c r="AC49" s="74">
        <f>SUM(AC3:AC45)</f>
        <v>0</v>
      </c>
      <c r="AD49" s="229">
        <f>AD24+AD47</f>
        <v>949.56</v>
      </c>
      <c r="AE49" s="233">
        <f>AE24+AE47</f>
        <v>-268.09617099999991</v>
      </c>
      <c r="AF49" s="76"/>
      <c r="AG49" s="234"/>
      <c r="AH49" s="235"/>
      <c r="AI49" s="235"/>
      <c r="AJ49" s="235"/>
      <c r="AK49" s="235">
        <f>AA50/P49</f>
        <v>950.08800000000008</v>
      </c>
      <c r="AL49" s="235"/>
      <c r="AM49" s="235"/>
      <c r="AN49" s="236"/>
      <c r="AP49" s="233">
        <f>SUM(AP3:AP45)</f>
        <v>-1139995.4499280001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4750.4400000000005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5317.1561709999996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>
        <f>I56/I49</f>
        <v>0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654379.19999999995</v>
      </c>
      <c r="J57" s="109">
        <f>I57/I49</f>
        <v>1</v>
      </c>
      <c r="K57" s="105">
        <f>AP49-K56-K58</f>
        <v>-1139995.4499280001</v>
      </c>
      <c r="L57" s="106">
        <f>K57/I57</f>
        <v>-1.7421022091288969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>
        <f>I58/I49</f>
        <v>0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116" priority="17" operator="greaterThan">
      <formula>120</formula>
    </cfRule>
  </conditionalFormatting>
  <conditionalFormatting sqref="N48">
    <cfRule type="cellIs" dxfId="115" priority="16" operator="between">
      <formula>0.000001</formula>
      <formula>25</formula>
    </cfRule>
  </conditionalFormatting>
  <conditionalFormatting sqref="V1 V50:V53 V55:V1048576">
    <cfRule type="cellIs" dxfId="114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{9D6902FC-8C87-417E-942E-3B1658FCC317}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{80944D3E-A5D7-489D-B985-4CABB719A757}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{61843B94-8D35-499D-8AB1-DED2D34AA1EC}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{F8A83028-E859-447A-9FE3-BBFF32383983}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{97C35E42-AEAF-4340-BE3C-0430F09DE2FD}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{2283CD08-2F66-4F1C-BE2C-281817BD1F18}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{09927759-D92A-4FE4-98A6-BFA103EFFBBE}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{0BD84A3C-B492-4572-854D-850508A80BB1}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{87E8E50B-EE75-4DAA-A92E-EDAB6108E36D}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{EEEEBF0D-61D5-45F2-B412-ADF611FD2103}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{4A1E253B-9149-4D63-A29C-F24EF5A4EEF5}</x14:id>
        </ext>
      </extLst>
    </cfRule>
  </conditionalFormatting>
  <conditionalFormatting sqref="P48">
    <cfRule type="cellIs" dxfId="113" priority="12" operator="greaterThan">
      <formula>120</formula>
    </cfRule>
  </conditionalFormatting>
  <conditionalFormatting sqref="Q48">
    <cfRule type="cellIs" dxfId="112" priority="11" operator="greaterThan">
      <formula>120</formula>
    </cfRule>
  </conditionalFormatting>
  <conditionalFormatting sqref="R48">
    <cfRule type="cellIs" dxfId="111" priority="10" operator="greaterThan">
      <formula>120</formula>
    </cfRule>
  </conditionalFormatting>
  <conditionalFormatting sqref="S48">
    <cfRule type="cellIs" dxfId="110" priority="9" operator="greaterThan">
      <formula>120</formula>
    </cfRule>
  </conditionalFormatting>
  <conditionalFormatting sqref="T48">
    <cfRule type="cellIs" dxfId="109" priority="8" operator="greaterThan">
      <formula>120</formula>
    </cfRule>
  </conditionalFormatting>
  <conditionalFormatting sqref="U48">
    <cfRule type="cellIs" dxfId="108" priority="7" operator="greaterThan">
      <formula>120</formula>
    </cfRule>
  </conditionalFormatting>
  <conditionalFormatting sqref="V48">
    <cfRule type="cellIs" dxfId="107" priority="6" operator="greaterThan">
      <formula>120</formula>
    </cfRule>
  </conditionalFormatting>
  <conditionalFormatting sqref="W48">
    <cfRule type="cellIs" dxfId="106" priority="5" operator="greaterThan">
      <formula>120</formula>
    </cfRule>
  </conditionalFormatting>
  <conditionalFormatting sqref="X48">
    <cfRule type="cellIs" dxfId="105" priority="4" operator="greaterThan">
      <formula>120</formula>
    </cfRule>
  </conditionalFormatting>
  <conditionalFormatting sqref="Z48">
    <cfRule type="cellIs" dxfId="104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{5C9F7DFB-BD61-4788-A546-BC9949DA1938}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{83A7042E-C858-4E69-8703-D89975E0A1E4}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6902FC-8C87-417E-942E-3B1658FCC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80944D3E-A5D7-489D-B985-4CABB719A7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61843B94-8D35-499D-8AB1-DED2D34AA1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F8A83028-E859-447A-9FE3-BBFF32383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97C35E42-AEAF-4340-BE3C-0430F09DE2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2283CD08-2F66-4F1C-BE2C-281817BD1F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09927759-D92A-4FE4-98A6-BFA103EFF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0BD84A3C-B492-4572-854D-850508A80B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87E8E50B-EE75-4DAA-A92E-EDAB6108E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EEEEBF0D-61D5-45F2-B412-ADF611FD21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4A1E253B-9149-4D63-A29C-F24EF5A4EE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5C9F7DFB-BD61-4788-A546-BC9949DA19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83A7042E-C858-4E69-8703-D89975E0A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66B0-AA16-4C78-8C69-155F9ECBFFDE}">
  <dimension ref="A1:AZ62"/>
  <sheetViews>
    <sheetView zoomScale="70" zoomScaleNormal="70" workbookViewId="0">
      <pane xSplit="2" ySplit="2" topLeftCell="K3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760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759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1340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1996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2" si="0">C3*H3</f>
        <v>0</v>
      </c>
      <c r="J3" s="45"/>
      <c r="K3" s="41">
        <f>'Юнит 27-31.10'!K3+'Юнит 20-26.10'!K3+'Юнит 13-19.10'!K3+'Юнит 06-12.10'!K3+'Юнит 01-05.10'!K3</f>
        <v>74</v>
      </c>
      <c r="L3" s="45"/>
      <c r="M3" s="45"/>
      <c r="N3" s="46">
        <f>K3/31</f>
        <v>2.3870967741935485</v>
      </c>
      <c r="O3" s="47">
        <f>R3/31</f>
        <v>1.6774193548387097</v>
      </c>
      <c r="P3" s="41">
        <f>'Юнит 27-31.10'!P3+'Юнит 20-26.10'!P3+'Юнит 13-19.10'!P3+'Юнит 06-12.10'!P3+'Юнит 01-05.10'!P3</f>
        <v>50</v>
      </c>
      <c r="Q3" s="41">
        <f>'Юнит 27-31.10'!Q3+'Юнит 20-26.10'!Q3+'Юнит 13-19.10'!Q3+'Юнит 06-12.10'!Q3+'Юнит 01-05.10'!Q3</f>
        <v>2</v>
      </c>
      <c r="R3" s="49">
        <f t="shared" ref="R3:R22" si="1">P3+Q3</f>
        <v>52</v>
      </c>
      <c r="S3" s="41">
        <f>'Юнит 27-31.10'!S3+'Юнит 20-26.10'!S3+'Юнит 13-19.10'!S3+'Юнит 06-12.10'!S3+'Юнит 01-05.10'!S3</f>
        <v>57857</v>
      </c>
      <c r="T3" s="41">
        <f>'Юнит 27-31.10'!T3+'Юнит 20-26.10'!T3+'Юнит 13-19.10'!T3+'Юнит 06-12.10'!T3+'Юнит 01-05.10'!T3</f>
        <v>-2400</v>
      </c>
      <c r="U3" s="49">
        <f t="shared" ref="U3:U22" si="2">S3+T3</f>
        <v>55457</v>
      </c>
      <c r="V3" s="52">
        <f t="shared" ref="V3:V22" si="3">U3/$U$49</f>
        <v>0.18755051726295355</v>
      </c>
      <c r="W3" s="53">
        <f t="shared" ref="W3:W22" si="4">R3*H3</f>
        <v>7434.9599999999991</v>
      </c>
      <c r="X3" s="41">
        <f>'Юнит 27-31.10'!X3+'Юнит 20-26.10'!X3+'Юнит 13-19.10'!X3+'Юнит 06-12.10'!X3+'Юнит 01-05.10'!X3</f>
        <v>15723.8</v>
      </c>
      <c r="Y3" s="54">
        <f t="shared" ref="Y3:Y22" si="5">IF(U3=0,0,X3/U3)</f>
        <v>0.28353138467641598</v>
      </c>
      <c r="Z3" s="41">
        <f>'Юнит 27-31.10'!Z3+'Юнит 20-26.10'!Z3+'Юнит 13-19.10'!Z3+'Юнит 06-12.10'!Z3+'Юнит 01-05.10'!Z3</f>
        <v>5588</v>
      </c>
      <c r="AA3" s="41">
        <f>'Юнит 27-31.10'!AA3+'Юнит 20-26.10'!AA3+'Юнит 13-19.10'!AA3+'Юнит 06-12.10'!AA3+'Юнит 01-05.10'!AA3</f>
        <v>24426.988882000001</v>
      </c>
      <c r="AB3" s="51"/>
      <c r="AC3" s="51"/>
      <c r="AD3" s="55">
        <f>U3*1%</f>
        <v>554.57000000000005</v>
      </c>
      <c r="AE3" s="56">
        <f t="shared" ref="AE3:AE22" si="6">U3-W3-X3-Z3-AA3-AB3-AC3-AD3</f>
        <v>1728.681118</v>
      </c>
      <c r="AF3" s="55"/>
      <c r="AG3" s="57">
        <f t="shared" ref="AG3:AG22" si="7">IF(R3=0,0,U3/R3)</f>
        <v>1066.4807692307693</v>
      </c>
      <c r="AH3" s="58">
        <f t="shared" ref="AH3:AH22" si="8">H3</f>
        <v>142.97999999999999</v>
      </c>
      <c r="AI3" s="58">
        <f t="shared" ref="AI3:AI22" si="9">IF(R3=0,0,X3/R3)</f>
        <v>302.3807692307692</v>
      </c>
      <c r="AJ3" s="58">
        <f t="shared" ref="AJ3:AJ22" si="10">IF(P3=0,Z3/1,Z3/P3)</f>
        <v>111.76</v>
      </c>
      <c r="AK3" s="58">
        <f t="shared" ref="AK3:AK22" si="11">IF(P3=0,0,AA3/P3)</f>
        <v>488.53977764000001</v>
      </c>
      <c r="AL3" s="58">
        <f>_xlfn.IFS(R3=0,AE3,R3&lt;0,AE3/-R3,R3&gt;0,AE3/R3)</f>
        <v>33.243867653846152</v>
      </c>
      <c r="AM3" s="59">
        <f t="shared" ref="AM3:AM22" si="12">IF(AG3=0,0,AL3/AG3)</f>
        <v>3.1171558468723513E-2</v>
      </c>
      <c r="AN3" s="60">
        <f t="shared" ref="AN3:AN22" si="13">IF(AH3=0,0,AL3/AH3)</f>
        <v>0.23250711745591099</v>
      </c>
      <c r="AP3" s="62">
        <f t="shared" ref="AP3:AP22" si="14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f>'Юнит 27-31.10'!K4+'Юнит 20-26.10'!K4+'Юнит 13-19.10'!K4+'Юнит 06-12.10'!K4+'Юнит 01-05.10'!K4</f>
        <v>6</v>
      </c>
      <c r="L4" s="45"/>
      <c r="M4" s="45"/>
      <c r="N4" s="46">
        <f t="shared" ref="N4:N22" si="15">K4/31</f>
        <v>0.19354838709677419</v>
      </c>
      <c r="O4" s="47">
        <f t="shared" ref="O4:O22" si="16">R4/31</f>
        <v>0.12903225806451613</v>
      </c>
      <c r="P4" s="41">
        <f>'Юнит 27-31.10'!P4+'Юнит 20-26.10'!P4+'Юнит 13-19.10'!P4+'Юнит 06-12.10'!P4+'Юнит 01-05.10'!P4</f>
        <v>4</v>
      </c>
      <c r="Q4" s="41">
        <f>'Юнит 27-31.10'!Q4+'Юнит 20-26.10'!Q4+'Юнит 13-19.10'!Q4+'Юнит 06-12.10'!Q4+'Юнит 01-05.10'!Q4</f>
        <v>0</v>
      </c>
      <c r="R4" s="49">
        <f t="shared" si="1"/>
        <v>4</v>
      </c>
      <c r="S4" s="41">
        <f>'Юнит 27-31.10'!S4+'Юнит 20-26.10'!S4+'Юнит 13-19.10'!S4+'Юнит 06-12.10'!S4+'Юнит 01-05.10'!S4</f>
        <v>5096</v>
      </c>
      <c r="T4" s="41">
        <f>'Юнит 27-31.10'!T4+'Юнит 20-26.10'!T4+'Юнит 13-19.10'!T4+'Юнит 06-12.10'!T4+'Юнит 01-05.10'!T4</f>
        <v>0</v>
      </c>
      <c r="U4" s="49">
        <f t="shared" si="2"/>
        <v>5096</v>
      </c>
      <c r="V4" s="52">
        <f t="shared" si="3"/>
        <v>1.7234207331301932E-2</v>
      </c>
      <c r="W4" s="53">
        <f t="shared" si="4"/>
        <v>492.36</v>
      </c>
      <c r="X4" s="41">
        <f>'Юнит 27-31.10'!X4+'Юнит 20-26.10'!X4+'Юнит 13-19.10'!X4+'Юнит 06-12.10'!X4+'Юнит 01-05.10'!X4</f>
        <v>1324.96</v>
      </c>
      <c r="Y4" s="54">
        <f t="shared" si="5"/>
        <v>0.26</v>
      </c>
      <c r="Z4" s="41">
        <f>'Юнит 27-31.10'!Z4+'Юнит 20-26.10'!Z4+'Юнит 13-19.10'!Z4+'Юнит 06-12.10'!Z4+'Юнит 01-05.10'!Z4</f>
        <v>552</v>
      </c>
      <c r="AA4" s="41">
        <f>'Юнит 27-31.10'!AA4+'Юнит 20-26.10'!AA4+'Юнит 13-19.10'!AA4+'Юнит 06-12.10'!AA4+'Юнит 01-05.10'!AA4</f>
        <v>309.12</v>
      </c>
      <c r="AB4" s="51"/>
      <c r="AC4" s="51"/>
      <c r="AD4" s="55">
        <f>U4*1%</f>
        <v>50.96</v>
      </c>
      <c r="AE4" s="56">
        <f t="shared" si="6"/>
        <v>2366.6000000000004</v>
      </c>
      <c r="AF4" s="55"/>
      <c r="AG4" s="57">
        <f t="shared" si="7"/>
        <v>1274</v>
      </c>
      <c r="AH4" s="58">
        <f t="shared" si="8"/>
        <v>123.09</v>
      </c>
      <c r="AI4" s="58">
        <f t="shared" si="9"/>
        <v>331.24</v>
      </c>
      <c r="AJ4" s="58">
        <f t="shared" si="10"/>
        <v>138</v>
      </c>
      <c r="AK4" s="58">
        <f t="shared" si="11"/>
        <v>77.28</v>
      </c>
      <c r="AL4" s="58">
        <f t="array" ref="AL4">_xlfn.IFS(R4=0,AE4,R4&lt;0,AE4/-R4,R4&gt;0,AE4/R4)</f>
        <v>591.65000000000009</v>
      </c>
      <c r="AM4" s="59">
        <f t="shared" si="12"/>
        <v>0.46440345368916802</v>
      </c>
      <c r="AN4" s="60">
        <f t="shared" si="13"/>
        <v>4.8066455439109603</v>
      </c>
      <c r="AP4" s="62">
        <f t="shared" si="14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f>'Юнит 27-31.10'!K5+'Юнит 20-26.10'!K5+'Юнит 13-19.10'!K5+'Юнит 06-12.10'!K5+'Юнит 01-05.10'!K5</f>
        <v>2</v>
      </c>
      <c r="L5" s="45"/>
      <c r="M5" s="45"/>
      <c r="N5" s="46">
        <f t="shared" si="15"/>
        <v>6.4516129032258063E-2</v>
      </c>
      <c r="O5" s="47">
        <f t="shared" si="16"/>
        <v>3.2258064516129031E-2</v>
      </c>
      <c r="P5" s="41">
        <f>'Юнит 27-31.10'!P5+'Юнит 20-26.10'!P5+'Юнит 13-19.10'!P5+'Юнит 06-12.10'!P5+'Юнит 01-05.10'!P5</f>
        <v>1</v>
      </c>
      <c r="Q5" s="41">
        <f>'Юнит 27-31.10'!Q5+'Юнит 20-26.10'!Q5+'Юнит 13-19.10'!Q5+'Юнит 06-12.10'!Q5+'Юнит 01-05.10'!Q5</f>
        <v>0</v>
      </c>
      <c r="R5" s="49">
        <f t="shared" si="1"/>
        <v>1</v>
      </c>
      <c r="S5" s="41">
        <f>'Юнит 27-31.10'!S5+'Юнит 20-26.10'!S5+'Юнит 13-19.10'!S5+'Юнит 06-12.10'!S5+'Юнит 01-05.10'!S5</f>
        <v>1300</v>
      </c>
      <c r="T5" s="41">
        <f>'Юнит 27-31.10'!T5+'Юнит 20-26.10'!T5+'Юнит 13-19.10'!T5+'Юнит 06-12.10'!T5+'Юнит 01-05.10'!T5</f>
        <v>0</v>
      </c>
      <c r="U5" s="49">
        <f t="shared" si="2"/>
        <v>1300</v>
      </c>
      <c r="V5" s="52">
        <f t="shared" si="3"/>
        <v>4.3964814620668195E-3</v>
      </c>
      <c r="W5" s="53">
        <f t="shared" si="4"/>
        <v>123.09</v>
      </c>
      <c r="X5" s="41">
        <f>'Юнит 27-31.10'!X5+'Юнит 20-26.10'!X5+'Юнит 13-19.10'!X5+'Юнит 06-12.10'!X5+'Юнит 01-05.10'!X5</f>
        <v>338</v>
      </c>
      <c r="Y5" s="54">
        <f t="shared" si="5"/>
        <v>0.26</v>
      </c>
      <c r="Z5" s="41">
        <f>'Юнит 27-31.10'!Z5+'Юнит 20-26.10'!Z5+'Юнит 13-19.10'!Z5+'Юнит 06-12.10'!Z5+'Юнит 01-05.10'!Z5</f>
        <v>46</v>
      </c>
      <c r="AA5" s="41">
        <f>'Юнит 27-31.10'!AA5+'Юнит 20-26.10'!AA5+'Юнит 13-19.10'!AA5+'Юнит 06-12.10'!AA5+'Юнит 01-05.10'!AA5</f>
        <v>0</v>
      </c>
      <c r="AB5" s="64"/>
      <c r="AC5" s="51"/>
      <c r="AD5" s="55">
        <f>U5*1%</f>
        <v>13</v>
      </c>
      <c r="AE5" s="56">
        <f t="shared" si="6"/>
        <v>779.91000000000008</v>
      </c>
      <c r="AF5" s="55"/>
      <c r="AG5" s="57">
        <f t="shared" si="7"/>
        <v>1300</v>
      </c>
      <c r="AH5" s="58">
        <f t="shared" si="8"/>
        <v>123.09</v>
      </c>
      <c r="AI5" s="58">
        <f t="shared" si="9"/>
        <v>338</v>
      </c>
      <c r="AJ5" s="58">
        <f t="shared" si="10"/>
        <v>46</v>
      </c>
      <c r="AK5" s="58">
        <f t="shared" si="11"/>
        <v>0</v>
      </c>
      <c r="AL5" s="58">
        <f t="array" ref="AL5">_xlfn.IFS(R5=0,AE5,R5&lt;0,AE5/-R5,R5&gt;0,AE5/R5)</f>
        <v>779.91000000000008</v>
      </c>
      <c r="AM5" s="59">
        <f t="shared" si="12"/>
        <v>0.59993076923076927</v>
      </c>
      <c r="AN5" s="60">
        <f t="shared" si="13"/>
        <v>6.3360955398488912</v>
      </c>
      <c r="AP5" s="62">
        <f t="shared" si="14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f>'Юнит 27-31.10'!K6+'Юнит 20-26.10'!K6+'Юнит 13-19.10'!K6+'Юнит 06-12.10'!K6+'Юнит 01-05.10'!K6</f>
        <v>3</v>
      </c>
      <c r="L6" s="45"/>
      <c r="M6" s="45"/>
      <c r="N6" s="46">
        <f t="shared" si="15"/>
        <v>9.6774193548387094E-2</v>
      </c>
      <c r="O6" s="47">
        <f t="shared" si="16"/>
        <v>3.2258064516129031E-2</v>
      </c>
      <c r="P6" s="41">
        <f>'Юнит 27-31.10'!P6+'Юнит 20-26.10'!P6+'Юнит 13-19.10'!P6+'Юнит 06-12.10'!P6+'Юнит 01-05.10'!P6</f>
        <v>1</v>
      </c>
      <c r="Q6" s="41">
        <f>'Юнит 27-31.10'!Q6+'Юнит 20-26.10'!Q6+'Юнит 13-19.10'!Q6+'Юнит 06-12.10'!Q6+'Юнит 01-05.10'!Q6</f>
        <v>0</v>
      </c>
      <c r="R6" s="49">
        <f t="shared" si="1"/>
        <v>1</v>
      </c>
      <c r="S6" s="41">
        <f>'Юнит 27-31.10'!S6+'Юнит 20-26.10'!S6+'Юнит 13-19.10'!S6+'Юнит 06-12.10'!S6+'Юнит 01-05.10'!S6</f>
        <v>1378</v>
      </c>
      <c r="T6" s="41">
        <f>'Юнит 27-31.10'!T6+'Юнит 20-26.10'!T6+'Юнит 13-19.10'!T6+'Юнит 06-12.10'!T6+'Юнит 01-05.10'!T6</f>
        <v>0</v>
      </c>
      <c r="U6" s="49">
        <f t="shared" si="2"/>
        <v>1378</v>
      </c>
      <c r="V6" s="52">
        <f t="shared" si="3"/>
        <v>4.6602703497908293E-3</v>
      </c>
      <c r="W6" s="53">
        <f t="shared" si="4"/>
        <v>123.09</v>
      </c>
      <c r="X6" s="41">
        <f>'Юнит 27-31.10'!X6+'Юнит 20-26.10'!X6+'Юнит 13-19.10'!X6+'Юнит 06-12.10'!X6+'Юнит 01-05.10'!X6</f>
        <v>468.52</v>
      </c>
      <c r="Y6" s="54">
        <f t="shared" si="5"/>
        <v>0.33999999999999997</v>
      </c>
      <c r="Z6" s="41">
        <f>'Юнит 27-31.10'!Z6+'Юнит 20-26.10'!Z6+'Юнит 13-19.10'!Z6+'Юнит 06-12.10'!Z6+'Юнит 01-05.10'!Z6</f>
        <v>230</v>
      </c>
      <c r="AA6" s="41">
        <f>'Юнит 27-31.10'!AA6+'Юнит 20-26.10'!AA6+'Юнит 13-19.10'!AA6+'Юнит 06-12.10'!AA6+'Юнит 01-05.10'!AA6</f>
        <v>1201.6054369999999</v>
      </c>
      <c r="AB6" s="64"/>
      <c r="AC6" s="51"/>
      <c r="AD6" s="55">
        <f>U6*1%</f>
        <v>13.780000000000001</v>
      </c>
      <c r="AE6" s="56">
        <f t="shared" si="6"/>
        <v>-658.99543699999981</v>
      </c>
      <c r="AF6" s="55"/>
      <c r="AG6" s="57">
        <f t="shared" si="7"/>
        <v>1378</v>
      </c>
      <c r="AH6" s="58">
        <f t="shared" si="8"/>
        <v>123.09</v>
      </c>
      <c r="AI6" s="58">
        <f t="shared" si="9"/>
        <v>468.52</v>
      </c>
      <c r="AJ6" s="58">
        <f t="shared" si="10"/>
        <v>230</v>
      </c>
      <c r="AK6" s="58">
        <f t="shared" si="11"/>
        <v>1201.6054369999999</v>
      </c>
      <c r="AL6" s="58">
        <f t="array" ref="AL6">_xlfn.IFS(R6=0,AE6,R6&lt;0,AE6/-R6,R6&gt;0,AE6/R6)</f>
        <v>-658.99543699999981</v>
      </c>
      <c r="AM6" s="59">
        <f t="shared" si="12"/>
        <v>-0.47822600653120451</v>
      </c>
      <c r="AN6" s="60">
        <f t="shared" si="13"/>
        <v>-5.3537690876594342</v>
      </c>
      <c r="AP6" s="62">
        <f t="shared" si="14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f>'Юнит 27-31.10'!K7+'Юнит 20-26.10'!K7+'Юнит 13-19.10'!K7+'Юнит 06-12.10'!K7+'Юнит 01-05.10'!K7</f>
        <v>6</v>
      </c>
      <c r="L7" s="45"/>
      <c r="M7" s="45"/>
      <c r="N7" s="46">
        <f t="shared" si="15"/>
        <v>0.19354838709677419</v>
      </c>
      <c r="O7" s="47">
        <f t="shared" si="16"/>
        <v>0.22580645161290322</v>
      </c>
      <c r="P7" s="41">
        <f>'Юнит 27-31.10'!P7+'Юнит 20-26.10'!P7+'Юнит 13-19.10'!P7+'Юнит 06-12.10'!P7+'Юнит 01-05.10'!P7</f>
        <v>7</v>
      </c>
      <c r="Q7" s="41">
        <f>'Юнит 27-31.10'!Q7+'Юнит 20-26.10'!Q7+'Юнит 13-19.10'!Q7+'Юнит 06-12.10'!Q7+'Юнит 01-05.10'!Q7</f>
        <v>0</v>
      </c>
      <c r="R7" s="49">
        <f t="shared" si="1"/>
        <v>7</v>
      </c>
      <c r="S7" s="41">
        <f>'Юнит 27-31.10'!S7+'Юнит 20-26.10'!S7+'Юнит 13-19.10'!S7+'Юнит 06-12.10'!S7+'Юнит 01-05.10'!S7</f>
        <v>9144</v>
      </c>
      <c r="T7" s="41">
        <f>'Юнит 27-31.10'!T7+'Юнит 20-26.10'!T7+'Юнит 13-19.10'!T7+'Юнит 06-12.10'!T7+'Юнит 01-05.10'!T7</f>
        <v>0</v>
      </c>
      <c r="U7" s="49">
        <f t="shared" si="2"/>
        <v>9144</v>
      </c>
      <c r="V7" s="52">
        <f t="shared" si="3"/>
        <v>3.0924174222414617E-2</v>
      </c>
      <c r="W7" s="53">
        <f t="shared" si="4"/>
        <v>820.68</v>
      </c>
      <c r="X7" s="41">
        <f>'Юнит 27-31.10'!X7+'Юнит 20-26.10'!X7+'Юнит 13-19.10'!X7+'Юнит 06-12.10'!X7+'Юнит 01-05.10'!X7</f>
        <v>2403.1999999999998</v>
      </c>
      <c r="Y7" s="54">
        <f t="shared" si="5"/>
        <v>0.26281714785651794</v>
      </c>
      <c r="Z7" s="41">
        <f>'Юнит 27-31.10'!Z7+'Юнит 20-26.10'!Z7+'Юнит 13-19.10'!Z7+'Юнит 06-12.10'!Z7+'Юнит 01-05.10'!Z7</f>
        <v>598</v>
      </c>
      <c r="AA7" s="41">
        <f>'Юнит 27-31.10'!AA7+'Юнит 20-26.10'!AA7+'Юнит 13-19.10'!AA7+'Юнит 06-12.10'!AA7+'Юнит 01-05.10'!AA7</f>
        <v>210.22</v>
      </c>
      <c r="AB7" s="64"/>
      <c r="AC7" s="51"/>
      <c r="AD7" s="55">
        <f>U7*1%</f>
        <v>91.44</v>
      </c>
      <c r="AE7" s="56">
        <f t="shared" si="6"/>
        <v>5020.46</v>
      </c>
      <c r="AF7" s="55"/>
      <c r="AG7" s="57">
        <f t="shared" si="7"/>
        <v>1306.2857142857142</v>
      </c>
      <c r="AH7" s="58">
        <f t="shared" si="8"/>
        <v>117.24</v>
      </c>
      <c r="AI7" s="58">
        <f t="shared" si="9"/>
        <v>343.31428571428569</v>
      </c>
      <c r="AJ7" s="58">
        <f t="shared" si="10"/>
        <v>85.428571428571431</v>
      </c>
      <c r="AK7" s="58">
        <f t="shared" si="11"/>
        <v>30.03142857142857</v>
      </c>
      <c r="AL7" s="58">
        <f t="array" ref="AL7">_xlfn.IFS(R7=0,AE7,R7&lt;0,AE7/-R7,R7&gt;0,AE7/R7)</f>
        <v>717.20857142857142</v>
      </c>
      <c r="AM7" s="59">
        <f t="shared" si="12"/>
        <v>0.54904418197725291</v>
      </c>
      <c r="AN7" s="60">
        <f t="shared" si="13"/>
        <v>6.1174391967636597</v>
      </c>
      <c r="AP7" s="62">
        <f t="shared" si="14"/>
        <v>0</v>
      </c>
    </row>
    <row r="8" spans="1:42">
      <c r="A8" s="39">
        <v>2638291563</v>
      </c>
      <c r="B8" s="40" t="s">
        <v>88</v>
      </c>
      <c r="C8" s="41"/>
      <c r="D8" s="42"/>
      <c r="E8" s="42"/>
      <c r="F8" s="42"/>
      <c r="G8" s="43"/>
      <c r="H8" s="44">
        <v>169.89</v>
      </c>
      <c r="I8" s="63">
        <f t="shared" si="0"/>
        <v>0</v>
      </c>
      <c r="J8" s="45"/>
      <c r="K8" s="41">
        <f>'Юнит 27-31.10'!K8+'Юнит 20-26.10'!K8+'Юнит 13-19.10'!K8+'Юнит 06-12.10'!K8+'Юнит 01-05.10'!K8</f>
        <v>3</v>
      </c>
      <c r="L8" s="45"/>
      <c r="M8" s="45"/>
      <c r="N8" s="46">
        <f t="shared" si="15"/>
        <v>9.6774193548387094E-2</v>
      </c>
      <c r="O8" s="47">
        <f t="shared" si="16"/>
        <v>0</v>
      </c>
      <c r="P8" s="41">
        <f>'Юнит 27-31.10'!P8+'Юнит 20-26.10'!P8+'Юнит 13-19.10'!P8+'Юнит 06-12.10'!P8+'Юнит 01-05.10'!P8</f>
        <v>0</v>
      </c>
      <c r="Q8" s="41">
        <f>'Юнит 27-31.10'!Q8+'Юнит 20-26.10'!Q8+'Юнит 13-19.10'!Q8+'Юнит 06-12.10'!Q8+'Юнит 01-05.10'!Q8</f>
        <v>0</v>
      </c>
      <c r="R8" s="49">
        <f t="shared" si="1"/>
        <v>0</v>
      </c>
      <c r="S8" s="41">
        <f>'Юнит 27-31.10'!S8+'Юнит 20-26.10'!S8+'Юнит 13-19.10'!S8+'Юнит 06-12.10'!S8+'Юнит 01-05.10'!S8</f>
        <v>0</v>
      </c>
      <c r="T8" s="41">
        <f>'Юнит 27-31.10'!T8+'Юнит 20-26.10'!T8+'Юнит 13-19.10'!T8+'Юнит 06-12.10'!T8+'Юнит 01-05.10'!T8</f>
        <v>0</v>
      </c>
      <c r="U8" s="49">
        <f t="shared" si="2"/>
        <v>0</v>
      </c>
      <c r="V8" s="52">
        <f t="shared" si="3"/>
        <v>0</v>
      </c>
      <c r="W8" s="53">
        <f t="shared" si="4"/>
        <v>0</v>
      </c>
      <c r="X8" s="41">
        <f>'Юнит 27-31.10'!X8+'Юнит 20-26.10'!X8+'Юнит 13-19.10'!X8+'Юнит 06-12.10'!X8+'Юнит 01-05.10'!X8</f>
        <v>0</v>
      </c>
      <c r="Y8" s="54">
        <f t="shared" si="5"/>
        <v>0</v>
      </c>
      <c r="Z8" s="41">
        <f>'Юнит 27-31.10'!Z8+'Юнит 20-26.10'!Z8+'Юнит 13-19.10'!Z8+'Юнит 06-12.10'!Z8+'Юнит 01-05.10'!Z8</f>
        <v>460</v>
      </c>
      <c r="AA8" s="41">
        <f>'Юнит 27-31.10'!AA8+'Юнит 20-26.10'!AA8+'Юнит 13-19.10'!AA8+'Юнит 06-12.10'!AA8+'Юнит 01-05.10'!AA8</f>
        <v>0</v>
      </c>
      <c r="AB8" s="64"/>
      <c r="AC8" s="51"/>
      <c r="AD8" s="55">
        <f>U8*1%</f>
        <v>0</v>
      </c>
      <c r="AE8" s="56">
        <f t="shared" si="6"/>
        <v>-460</v>
      </c>
      <c r="AF8" s="55"/>
      <c r="AG8" s="57">
        <f t="shared" si="7"/>
        <v>0</v>
      </c>
      <c r="AH8" s="58">
        <f t="shared" si="8"/>
        <v>169.89</v>
      </c>
      <c r="AI8" s="58">
        <f t="shared" si="9"/>
        <v>0</v>
      </c>
      <c r="AJ8" s="58">
        <f t="shared" si="10"/>
        <v>460</v>
      </c>
      <c r="AK8" s="58">
        <f t="shared" si="11"/>
        <v>0</v>
      </c>
      <c r="AL8" s="58">
        <f t="array" ref="AL8">_xlfn.IFS(R8=0,AE8,R8&lt;0,AE8/-R8,R8&gt;0,AE8/R8)</f>
        <v>-460</v>
      </c>
      <c r="AM8" s="59">
        <f t="shared" si="12"/>
        <v>0</v>
      </c>
      <c r="AN8" s="60">
        <f t="shared" si="13"/>
        <v>-2.7076343516392964</v>
      </c>
      <c r="AP8" s="62">
        <f t="shared" si="14"/>
        <v>0</v>
      </c>
    </row>
    <row r="9" spans="1:42">
      <c r="A9" s="39">
        <v>2730130733</v>
      </c>
      <c r="B9" s="40" t="s">
        <v>224</v>
      </c>
      <c r="C9" s="41"/>
      <c r="D9" s="42"/>
      <c r="E9" s="42"/>
      <c r="F9" s="42"/>
      <c r="G9" s="43"/>
      <c r="H9" s="44">
        <v>169.89</v>
      </c>
      <c r="I9" s="63">
        <f t="shared" si="0"/>
        <v>0</v>
      </c>
      <c r="J9" s="45"/>
      <c r="K9" s="41">
        <f>'Юнит 27-31.10'!K9+'Юнит 20-26.10'!K9+'Юнит 13-19.10'!K9+'Юнит 06-12.10'!K9+'Юнит 01-05.10'!K9</f>
        <v>0</v>
      </c>
      <c r="L9" s="45"/>
      <c r="M9" s="45"/>
      <c r="N9" s="46">
        <f t="shared" si="15"/>
        <v>0</v>
      </c>
      <c r="O9" s="47">
        <f t="shared" si="16"/>
        <v>0</v>
      </c>
      <c r="P9" s="41">
        <f>'Юнит 27-31.10'!P9+'Юнит 20-26.10'!P9+'Юнит 13-19.10'!P9+'Юнит 06-12.10'!P9+'Юнит 01-05.10'!P9</f>
        <v>0</v>
      </c>
      <c r="Q9" s="41">
        <f>'Юнит 27-31.10'!Q9+'Юнит 20-26.10'!Q9+'Юнит 13-19.10'!Q9+'Юнит 06-12.10'!Q9+'Юнит 01-05.10'!Q9</f>
        <v>0</v>
      </c>
      <c r="R9" s="49">
        <f t="shared" si="1"/>
        <v>0</v>
      </c>
      <c r="S9" s="41">
        <f>'Юнит 27-31.10'!S9+'Юнит 20-26.10'!S9+'Юнит 13-19.10'!S9+'Юнит 06-12.10'!S9+'Юнит 01-05.10'!S9</f>
        <v>0</v>
      </c>
      <c r="T9" s="41">
        <f>'Юнит 27-31.10'!T9+'Юнит 20-26.10'!T9+'Юнит 13-19.10'!T9+'Юнит 06-12.10'!T9+'Юнит 01-05.10'!T9</f>
        <v>0</v>
      </c>
      <c r="U9" s="49">
        <f t="shared" si="2"/>
        <v>0</v>
      </c>
      <c r="V9" s="52">
        <f t="shared" si="3"/>
        <v>0</v>
      </c>
      <c r="W9" s="53">
        <f t="shared" si="4"/>
        <v>0</v>
      </c>
      <c r="X9" s="41">
        <f>'Юнит 27-31.10'!X9+'Юнит 20-26.10'!X9+'Юнит 13-19.10'!X9+'Юнит 06-12.10'!X9+'Юнит 01-05.10'!X9</f>
        <v>0</v>
      </c>
      <c r="Y9" s="54">
        <f t="shared" si="5"/>
        <v>0</v>
      </c>
      <c r="Z9" s="41">
        <f>'Юнит 27-31.10'!Z9+'Юнит 20-26.10'!Z9+'Юнит 13-19.10'!Z9+'Юнит 06-12.10'!Z9+'Юнит 01-05.10'!Z9</f>
        <v>0</v>
      </c>
      <c r="AA9" s="41">
        <f>'Юнит 27-31.10'!AA9+'Юнит 20-26.10'!AA9+'Юнит 13-19.10'!AA9+'Юнит 06-12.10'!AA9+'Юнит 01-05.10'!AA9</f>
        <v>0</v>
      </c>
      <c r="AB9" s="64"/>
      <c r="AC9" s="51"/>
      <c r="AD9" s="55">
        <f>U9*1%</f>
        <v>0</v>
      </c>
      <c r="AE9" s="56">
        <f t="shared" si="6"/>
        <v>0</v>
      </c>
      <c r="AF9" s="55"/>
      <c r="AG9" s="57">
        <f t="shared" si="7"/>
        <v>0</v>
      </c>
      <c r="AH9" s="58">
        <f t="shared" si="8"/>
        <v>169.89</v>
      </c>
      <c r="AI9" s="58">
        <f t="shared" si="9"/>
        <v>0</v>
      </c>
      <c r="AJ9" s="58">
        <f t="shared" si="10"/>
        <v>0</v>
      </c>
      <c r="AK9" s="58">
        <f t="shared" si="11"/>
        <v>0</v>
      </c>
      <c r="AL9" s="58">
        <f t="array" ref="AL9">_xlfn.IFS(R9=0,AE9,R9&lt;0,AE9/-R9,R9&gt;0,AE9/R9)</f>
        <v>0</v>
      </c>
      <c r="AM9" s="59">
        <f t="shared" si="12"/>
        <v>0</v>
      </c>
      <c r="AN9" s="60">
        <f t="shared" si="13"/>
        <v>0</v>
      </c>
      <c r="AP9" s="62">
        <f t="shared" si="14"/>
        <v>0</v>
      </c>
    </row>
    <row r="10" spans="1:42">
      <c r="A10" s="39">
        <v>2730131249</v>
      </c>
      <c r="B10" s="40" t="s">
        <v>225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f>'Юнит 27-31.10'!K10+'Юнит 20-26.10'!K10+'Юнит 13-19.10'!K10+'Юнит 06-12.10'!K10+'Юнит 01-05.10'!K10</f>
        <v>1</v>
      </c>
      <c r="L10" s="45"/>
      <c r="M10" s="45"/>
      <c r="N10" s="46">
        <f t="shared" si="15"/>
        <v>3.2258064516129031E-2</v>
      </c>
      <c r="O10" s="47">
        <f t="shared" si="16"/>
        <v>3.2258064516129031E-2</v>
      </c>
      <c r="P10" s="41">
        <f>'Юнит 27-31.10'!P10+'Юнит 20-26.10'!P10+'Юнит 13-19.10'!P10+'Юнит 06-12.10'!P10+'Юнит 01-05.10'!P10</f>
        <v>1</v>
      </c>
      <c r="Q10" s="41">
        <f>'Юнит 27-31.10'!Q10+'Юнит 20-26.10'!Q10+'Юнит 13-19.10'!Q10+'Юнит 06-12.10'!Q10+'Юнит 01-05.10'!Q10</f>
        <v>0</v>
      </c>
      <c r="R10" s="49">
        <f t="shared" si="1"/>
        <v>1</v>
      </c>
      <c r="S10" s="41">
        <f>'Юнит 27-31.10'!S10+'Юнит 20-26.10'!S10+'Юнит 13-19.10'!S10+'Юнит 06-12.10'!S10+'Юнит 01-05.10'!S10</f>
        <v>1500</v>
      </c>
      <c r="T10" s="41">
        <f>'Юнит 27-31.10'!T10+'Юнит 20-26.10'!T10+'Юнит 13-19.10'!T10+'Юнит 06-12.10'!T10+'Юнит 01-05.10'!T10</f>
        <v>0</v>
      </c>
      <c r="U10" s="49">
        <f t="shared" si="2"/>
        <v>1500</v>
      </c>
      <c r="V10" s="52">
        <f t="shared" si="3"/>
        <v>5.0728632254617148E-3</v>
      </c>
      <c r="W10" s="53">
        <f t="shared" si="4"/>
        <v>169.89</v>
      </c>
      <c r="X10" s="41">
        <f>'Юнит 27-31.10'!X10+'Юнит 20-26.10'!X10+'Юнит 13-19.10'!X10+'Юнит 06-12.10'!X10+'Юнит 01-05.10'!X10</f>
        <v>390</v>
      </c>
      <c r="Y10" s="54">
        <f t="shared" si="5"/>
        <v>0.26</v>
      </c>
      <c r="Z10" s="41">
        <f>'Юнит 27-31.10'!Z10+'Юнит 20-26.10'!Z10+'Юнит 13-19.10'!Z10+'Юнит 06-12.10'!Z10+'Юнит 01-05.10'!Z10</f>
        <v>46</v>
      </c>
      <c r="AA10" s="41">
        <f>'Юнит 27-31.10'!AA10+'Юнит 20-26.10'!AA10+'Юнит 13-19.10'!AA10+'Юнит 06-12.10'!AA10+'Юнит 01-05.10'!AA10</f>
        <v>0</v>
      </c>
      <c r="AB10" s="64"/>
      <c r="AC10" s="51"/>
      <c r="AD10" s="55">
        <f>U10*1%</f>
        <v>15</v>
      </c>
      <c r="AE10" s="56">
        <f t="shared" si="6"/>
        <v>879.11000000000013</v>
      </c>
      <c r="AF10" s="55"/>
      <c r="AG10" s="57">
        <f t="shared" si="7"/>
        <v>1500</v>
      </c>
      <c r="AH10" s="58">
        <f t="shared" si="8"/>
        <v>169.89</v>
      </c>
      <c r="AI10" s="58">
        <f t="shared" si="9"/>
        <v>390</v>
      </c>
      <c r="AJ10" s="58">
        <f t="shared" si="10"/>
        <v>46</v>
      </c>
      <c r="AK10" s="58">
        <f t="shared" si="11"/>
        <v>0</v>
      </c>
      <c r="AL10" s="58">
        <f t="array" ref="AL10">_xlfn.IFS(R10=0,AE10,R10&lt;0,AE10/-R10,R10&gt;0,AE10/R10)</f>
        <v>879.11000000000013</v>
      </c>
      <c r="AM10" s="59">
        <f t="shared" si="12"/>
        <v>0.58607333333333345</v>
      </c>
      <c r="AN10" s="60">
        <f t="shared" si="13"/>
        <v>5.1745835540643954</v>
      </c>
      <c r="AP10" s="62">
        <f t="shared" si="14"/>
        <v>0</v>
      </c>
    </row>
    <row r="11" spans="1:42">
      <c r="A11" s="39">
        <v>2730130553</v>
      </c>
      <c r="B11" s="40" t="s">
        <v>226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1">
        <f>'Юнит 27-31.10'!K11+'Юнит 20-26.10'!K11+'Юнит 13-19.10'!K11+'Юнит 06-12.10'!K11+'Юнит 01-05.10'!K11</f>
        <v>5</v>
      </c>
      <c r="L11" s="45"/>
      <c r="M11" s="45"/>
      <c r="N11" s="46">
        <f t="shared" si="15"/>
        <v>0.16129032258064516</v>
      </c>
      <c r="O11" s="47">
        <f t="shared" si="16"/>
        <v>9.6774193548387094E-2</v>
      </c>
      <c r="P11" s="41">
        <f>'Юнит 27-31.10'!P11+'Юнит 20-26.10'!P11+'Юнит 13-19.10'!P11+'Юнит 06-12.10'!P11+'Юнит 01-05.10'!P11</f>
        <v>3</v>
      </c>
      <c r="Q11" s="41">
        <f>'Юнит 27-31.10'!Q11+'Юнит 20-26.10'!Q11+'Юнит 13-19.10'!Q11+'Юнит 06-12.10'!Q11+'Юнит 01-05.10'!Q11</f>
        <v>0</v>
      </c>
      <c r="R11" s="49">
        <f t="shared" si="1"/>
        <v>3</v>
      </c>
      <c r="S11" s="41">
        <f>'Юнит 27-31.10'!S11+'Юнит 20-26.10'!S11+'Юнит 13-19.10'!S11+'Юнит 06-12.10'!S11+'Юнит 01-05.10'!S11</f>
        <v>3688</v>
      </c>
      <c r="T11" s="41">
        <f>'Юнит 27-31.10'!T11+'Юнит 20-26.10'!T11+'Юнит 13-19.10'!T11+'Юнит 06-12.10'!T11+'Юнит 01-05.10'!T11</f>
        <v>0</v>
      </c>
      <c r="U11" s="49">
        <f t="shared" si="2"/>
        <v>3688</v>
      </c>
      <c r="V11" s="52">
        <f t="shared" si="3"/>
        <v>1.2472479717001871E-2</v>
      </c>
      <c r="W11" s="53">
        <f t="shared" si="4"/>
        <v>509.66999999999996</v>
      </c>
      <c r="X11" s="41">
        <f>'Юнит 27-31.10'!X11+'Юнит 20-26.10'!X11+'Юнит 13-19.10'!X11+'Юнит 06-12.10'!X11+'Юнит 01-05.10'!X11</f>
        <v>1253.92</v>
      </c>
      <c r="Y11" s="54">
        <f t="shared" si="5"/>
        <v>0.34</v>
      </c>
      <c r="Z11" s="41">
        <f>'Юнит 27-31.10'!Z11+'Юнит 20-26.10'!Z11+'Юнит 13-19.10'!Z11+'Юнит 06-12.10'!Z11+'Юнит 01-05.10'!Z11</f>
        <v>230</v>
      </c>
      <c r="AA11" s="41">
        <f>'Юнит 27-31.10'!AA11+'Юнит 20-26.10'!AA11+'Юнит 13-19.10'!AA11+'Юнит 06-12.10'!AA11+'Юнит 01-05.10'!AA11</f>
        <v>1694.6653339999998</v>
      </c>
      <c r="AB11" s="64"/>
      <c r="AC11" s="51"/>
      <c r="AD11" s="55">
        <f>U11*1%</f>
        <v>36.880000000000003</v>
      </c>
      <c r="AE11" s="56">
        <f t="shared" si="6"/>
        <v>-37.135333999999951</v>
      </c>
      <c r="AF11" s="55"/>
      <c r="AG11" s="57">
        <f t="shared" si="7"/>
        <v>1229.3333333333333</v>
      </c>
      <c r="AH11" s="58">
        <f t="shared" si="8"/>
        <v>169.89</v>
      </c>
      <c r="AI11" s="58">
        <f t="shared" si="9"/>
        <v>417.97333333333336</v>
      </c>
      <c r="AJ11" s="58">
        <f t="shared" si="10"/>
        <v>76.666666666666671</v>
      </c>
      <c r="AK11" s="58">
        <f t="shared" si="11"/>
        <v>564.8884446666666</v>
      </c>
      <c r="AL11" s="58">
        <f t="array" ref="AL11">_xlfn.IFS(R11=0,AE11,R11&lt;0,AE11/-R11,R11&gt;0,AE11/R11)</f>
        <v>-12.378444666666651</v>
      </c>
      <c r="AM11" s="59">
        <f t="shared" si="12"/>
        <v>-1.0069233731019511E-2</v>
      </c>
      <c r="AN11" s="60">
        <f t="shared" si="13"/>
        <v>-7.2861526085506223E-2</v>
      </c>
      <c r="AP11" s="62">
        <f t="shared" si="14"/>
        <v>0</v>
      </c>
    </row>
    <row r="12" spans="1:42" ht="13.75" customHeight="1">
      <c r="A12" s="39">
        <v>2730129638</v>
      </c>
      <c r="B12" s="40" t="s">
        <v>227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1">
        <f>'Юнит 27-31.10'!K12+'Юнит 20-26.10'!K12+'Юнит 13-19.10'!K12+'Юнит 06-12.10'!K12+'Юнит 01-05.10'!K12</f>
        <v>4</v>
      </c>
      <c r="L12" s="45"/>
      <c r="M12" s="45"/>
      <c r="N12" s="46">
        <f t="shared" si="15"/>
        <v>0.12903225806451613</v>
      </c>
      <c r="O12" s="47">
        <f t="shared" si="16"/>
        <v>6.4516129032258063E-2</v>
      </c>
      <c r="P12" s="41">
        <f>'Юнит 27-31.10'!P12+'Юнит 20-26.10'!P12+'Юнит 13-19.10'!P12+'Юнит 06-12.10'!P12+'Юнит 01-05.10'!P12</f>
        <v>2</v>
      </c>
      <c r="Q12" s="41">
        <f>'Юнит 27-31.10'!Q12+'Юнит 20-26.10'!Q12+'Юнит 13-19.10'!Q12+'Юнит 06-12.10'!Q12+'Юнит 01-05.10'!Q12</f>
        <v>0</v>
      </c>
      <c r="R12" s="49">
        <f t="shared" si="1"/>
        <v>2</v>
      </c>
      <c r="S12" s="41">
        <f>'Юнит 27-31.10'!S12+'Юнит 20-26.10'!S12+'Юнит 13-19.10'!S12+'Юнит 06-12.10'!S12+'Юнит 01-05.10'!S12</f>
        <v>2732</v>
      </c>
      <c r="T12" s="41">
        <f>'Юнит 27-31.10'!T12+'Юнит 20-26.10'!T12+'Юнит 13-19.10'!T12+'Юнит 06-12.10'!T12+'Юнит 01-05.10'!T12</f>
        <v>0</v>
      </c>
      <c r="U12" s="49">
        <f t="shared" si="2"/>
        <v>2732</v>
      </c>
      <c r="V12" s="52">
        <f t="shared" si="3"/>
        <v>9.2393748879742704E-3</v>
      </c>
      <c r="W12" s="53">
        <f t="shared" si="4"/>
        <v>339.78</v>
      </c>
      <c r="X12" s="41">
        <f>'Юнит 27-31.10'!X12+'Юнит 20-26.10'!X12+'Юнит 13-19.10'!X12+'Юнит 06-12.10'!X12+'Юнит 01-05.10'!X12</f>
        <v>789.76</v>
      </c>
      <c r="Y12" s="54">
        <f t="shared" si="5"/>
        <v>0.28907759882869694</v>
      </c>
      <c r="Z12" s="41">
        <f>'Юнит 27-31.10'!Z12+'Юнит 20-26.10'!Z12+'Юнит 13-19.10'!Z12+'Юнит 06-12.10'!Z12+'Юнит 01-05.10'!Z12</f>
        <v>368</v>
      </c>
      <c r="AA12" s="41">
        <f>'Юнит 27-31.10'!AA12+'Юнит 20-26.10'!AA12+'Юнит 13-19.10'!AA12+'Юнит 06-12.10'!AA12+'Юнит 01-05.10'!AA12</f>
        <v>5383.0622039999998</v>
      </c>
      <c r="AB12" s="64"/>
      <c r="AC12" s="51"/>
      <c r="AD12" s="55">
        <f>U12*1%</f>
        <v>27.32</v>
      </c>
      <c r="AE12" s="56">
        <f t="shared" si="6"/>
        <v>-4175.9222039999995</v>
      </c>
      <c r="AF12" s="55"/>
      <c r="AG12" s="57">
        <f t="shared" si="7"/>
        <v>1366</v>
      </c>
      <c r="AH12" s="58">
        <f t="shared" si="8"/>
        <v>169.89</v>
      </c>
      <c r="AI12" s="58">
        <f t="shared" si="9"/>
        <v>394.88</v>
      </c>
      <c r="AJ12" s="58">
        <f t="shared" si="10"/>
        <v>184</v>
      </c>
      <c r="AK12" s="58">
        <f t="shared" si="11"/>
        <v>2691.5311019999999</v>
      </c>
      <c r="AL12" s="58">
        <f t="array" ref="AL12">_xlfn.IFS(R12=0,AE12,R12&lt;0,AE12/-R12,R12&gt;0,AE12/R12)</f>
        <v>-2087.9611019999998</v>
      </c>
      <c r="AM12" s="59">
        <f t="shared" si="12"/>
        <v>-1.5285220366032208</v>
      </c>
      <c r="AN12" s="60">
        <f t="shared" si="13"/>
        <v>-12.290076531873565</v>
      </c>
      <c r="AP12" s="62">
        <f t="shared" si="14"/>
        <v>0</v>
      </c>
    </row>
    <row r="13" spans="1:42" ht="13.75" customHeight="1">
      <c r="A13" s="39">
        <v>2730130141</v>
      </c>
      <c r="B13" s="40" t="s">
        <v>228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1">
        <f>'Юнит 27-31.10'!K13+'Юнит 20-26.10'!K13+'Юнит 13-19.10'!K13+'Юнит 06-12.10'!K13+'Юнит 01-05.10'!K13</f>
        <v>0</v>
      </c>
      <c r="L13" s="45"/>
      <c r="M13" s="45"/>
      <c r="N13" s="46">
        <f t="shared" si="15"/>
        <v>0</v>
      </c>
      <c r="O13" s="47">
        <f t="shared" si="16"/>
        <v>0</v>
      </c>
      <c r="P13" s="41">
        <f>'Юнит 27-31.10'!P13+'Юнит 20-26.10'!P13+'Юнит 13-19.10'!P13+'Юнит 06-12.10'!P13+'Юнит 01-05.10'!P13</f>
        <v>0</v>
      </c>
      <c r="Q13" s="41">
        <f>'Юнит 27-31.10'!Q13+'Юнит 20-26.10'!Q13+'Юнит 13-19.10'!Q13+'Юнит 06-12.10'!Q13+'Юнит 01-05.10'!Q13</f>
        <v>0</v>
      </c>
      <c r="R13" s="49">
        <f t="shared" si="1"/>
        <v>0</v>
      </c>
      <c r="S13" s="41">
        <f>'Юнит 27-31.10'!S13+'Юнит 20-26.10'!S13+'Юнит 13-19.10'!S13+'Юнит 06-12.10'!S13+'Юнит 01-05.10'!S13</f>
        <v>0</v>
      </c>
      <c r="T13" s="41">
        <f>'Юнит 27-31.10'!T13+'Юнит 20-26.10'!T13+'Юнит 13-19.10'!T13+'Юнит 06-12.10'!T13+'Юнит 01-05.10'!T13</f>
        <v>0</v>
      </c>
      <c r="U13" s="49">
        <f t="shared" si="2"/>
        <v>0</v>
      </c>
      <c r="V13" s="52">
        <f t="shared" si="3"/>
        <v>0</v>
      </c>
      <c r="W13" s="53">
        <f t="shared" si="4"/>
        <v>0</v>
      </c>
      <c r="X13" s="41">
        <f>'Юнит 27-31.10'!X13+'Юнит 20-26.10'!X13+'Юнит 13-19.10'!X13+'Юнит 06-12.10'!X13+'Юнит 01-05.10'!X13</f>
        <v>0</v>
      </c>
      <c r="Y13" s="54">
        <f t="shared" si="5"/>
        <v>0</v>
      </c>
      <c r="Z13" s="41">
        <f>'Юнит 27-31.10'!Z13+'Юнит 20-26.10'!Z13+'Юнит 13-19.10'!Z13+'Юнит 06-12.10'!Z13+'Юнит 01-05.10'!Z13</f>
        <v>0</v>
      </c>
      <c r="AA13" s="41">
        <f>'Юнит 27-31.10'!AA13+'Юнит 20-26.10'!AA13+'Юнит 13-19.10'!AA13+'Юнит 06-12.10'!AA13+'Юнит 01-05.10'!AA13</f>
        <v>3896.9638709999999</v>
      </c>
      <c r="AB13" s="64"/>
      <c r="AC13" s="51"/>
      <c r="AD13" s="55">
        <f>U13*1%</f>
        <v>0</v>
      </c>
      <c r="AE13" s="56">
        <f t="shared" si="6"/>
        <v>-3896.9638709999999</v>
      </c>
      <c r="AF13" s="55"/>
      <c r="AG13" s="57">
        <f t="shared" si="7"/>
        <v>0</v>
      </c>
      <c r="AH13" s="58">
        <f t="shared" si="8"/>
        <v>169.89</v>
      </c>
      <c r="AI13" s="58">
        <f t="shared" si="9"/>
        <v>0</v>
      </c>
      <c r="AJ13" s="58">
        <f t="shared" si="10"/>
        <v>0</v>
      </c>
      <c r="AK13" s="58">
        <f t="shared" si="11"/>
        <v>0</v>
      </c>
      <c r="AL13" s="58">
        <f t="array" ref="AL13">_xlfn.IFS(R13=0,AE13,R13&lt;0,AE13/-R13,R13&gt;0,AE13/R13)</f>
        <v>-3896.9638709999999</v>
      </c>
      <c r="AM13" s="59">
        <f t="shared" si="12"/>
        <v>0</v>
      </c>
      <c r="AN13" s="60">
        <f t="shared" si="13"/>
        <v>-22.938159226558362</v>
      </c>
      <c r="AP13" s="62">
        <f t="shared" si="14"/>
        <v>0</v>
      </c>
    </row>
    <row r="14" spans="1:42" ht="13.75" customHeight="1">
      <c r="A14" s="39">
        <v>2730129805</v>
      </c>
      <c r="B14" s="40" t="s">
        <v>19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1">
        <f>'Юнит 27-31.10'!K14+'Юнит 20-26.10'!K14+'Юнит 13-19.10'!K14+'Юнит 06-12.10'!K14+'Юнит 01-05.10'!K14</f>
        <v>16</v>
      </c>
      <c r="L14" s="45"/>
      <c r="M14" s="45"/>
      <c r="N14" s="46">
        <f t="shared" si="15"/>
        <v>0.5161290322580645</v>
      </c>
      <c r="O14" s="47">
        <f t="shared" si="16"/>
        <v>0.19354838709677419</v>
      </c>
      <c r="P14" s="41">
        <f>'Юнит 27-31.10'!P14+'Юнит 20-26.10'!P14+'Юнит 13-19.10'!P14+'Юнит 06-12.10'!P14+'Юнит 01-05.10'!P14</f>
        <v>6</v>
      </c>
      <c r="Q14" s="41">
        <f>'Юнит 27-31.10'!Q14+'Юнит 20-26.10'!Q14+'Юнит 13-19.10'!Q14+'Юнит 06-12.10'!Q14+'Юнит 01-05.10'!Q14</f>
        <v>0</v>
      </c>
      <c r="R14" s="49">
        <f t="shared" si="1"/>
        <v>6</v>
      </c>
      <c r="S14" s="41">
        <f>'Юнит 27-31.10'!S14+'Юнит 20-26.10'!S14+'Юнит 13-19.10'!S14+'Юнит 06-12.10'!S14+'Юнит 01-05.10'!S14</f>
        <v>8395</v>
      </c>
      <c r="T14" s="41">
        <f>'Юнит 27-31.10'!T14+'Юнит 20-26.10'!T14+'Юнит 13-19.10'!T14+'Юнит 06-12.10'!T14+'Юнит 01-05.10'!T14</f>
        <v>0</v>
      </c>
      <c r="U14" s="49">
        <f t="shared" si="2"/>
        <v>8395</v>
      </c>
      <c r="V14" s="52">
        <f t="shared" si="3"/>
        <v>2.8391124518500732E-2</v>
      </c>
      <c r="W14" s="53">
        <f t="shared" si="4"/>
        <v>1019.3399999999999</v>
      </c>
      <c r="X14" s="41">
        <f>'Юнит 27-31.10'!X14+'Юнит 20-26.10'!X14+'Юнит 13-19.10'!X14+'Юнит 06-12.10'!X14+'Юнит 01-05.10'!X14</f>
        <v>2449.2600000000002</v>
      </c>
      <c r="Y14" s="54">
        <f t="shared" si="5"/>
        <v>0.29175223347230494</v>
      </c>
      <c r="Z14" s="41">
        <f>'Юнит 27-31.10'!Z14+'Юнит 20-26.10'!Z14+'Юнит 13-19.10'!Z14+'Юнит 06-12.10'!Z14+'Юнит 01-05.10'!Z14</f>
        <v>1288</v>
      </c>
      <c r="AA14" s="41">
        <f>'Юнит 27-31.10'!AA14+'Юнит 20-26.10'!AA14+'Юнит 13-19.10'!AA14+'Юнит 06-12.10'!AA14+'Юнит 01-05.10'!AA14</f>
        <v>11179.054698</v>
      </c>
      <c r="AB14" s="64"/>
      <c r="AC14" s="51"/>
      <c r="AD14" s="55">
        <f>U14*1%</f>
        <v>83.95</v>
      </c>
      <c r="AE14" s="56">
        <f t="shared" si="6"/>
        <v>-7624.6046980000001</v>
      </c>
      <c r="AF14" s="55"/>
      <c r="AG14" s="57">
        <f t="shared" si="7"/>
        <v>1399.1666666666667</v>
      </c>
      <c r="AH14" s="58">
        <f t="shared" si="8"/>
        <v>169.89</v>
      </c>
      <c r="AI14" s="58">
        <f t="shared" si="9"/>
        <v>408.21000000000004</v>
      </c>
      <c r="AJ14" s="58">
        <f t="shared" si="10"/>
        <v>214.66666666666666</v>
      </c>
      <c r="AK14" s="58">
        <f t="shared" si="11"/>
        <v>1863.1757829999999</v>
      </c>
      <c r="AL14" s="58">
        <f t="array" ref="AL14">_xlfn.IFS(R14=0,AE14,R14&lt;0,AE14/-R14,R14&gt;0,AE14/R14)</f>
        <v>-1270.7674496666666</v>
      </c>
      <c r="AM14" s="59">
        <f t="shared" si="12"/>
        <v>-0.90823164955330549</v>
      </c>
      <c r="AN14" s="60">
        <f t="shared" si="13"/>
        <v>-7.4799426079620153</v>
      </c>
      <c r="AP14" s="62">
        <f t="shared" si="14"/>
        <v>0</v>
      </c>
    </row>
    <row r="15" spans="1:42" ht="13.75" customHeight="1">
      <c r="A15" s="39">
        <v>2807226201</v>
      </c>
      <c r="B15" s="40" t="s">
        <v>229</v>
      </c>
      <c r="C15" s="41"/>
      <c r="D15" s="42"/>
      <c r="E15" s="42"/>
      <c r="F15" s="42"/>
      <c r="G15" s="43"/>
      <c r="H15" s="44">
        <v>1002.82</v>
      </c>
      <c r="I15" s="63">
        <f t="shared" si="0"/>
        <v>0</v>
      </c>
      <c r="J15" s="45"/>
      <c r="K15" s="41">
        <f>'Юнит 27-31.10'!K15+'Юнит 20-26.10'!K15+'Юнит 13-19.10'!K15+'Юнит 06-12.10'!K15+'Юнит 01-05.10'!K15</f>
        <v>2</v>
      </c>
      <c r="L15" s="45"/>
      <c r="M15" s="45"/>
      <c r="N15" s="46">
        <f t="shared" si="15"/>
        <v>6.4516129032258063E-2</v>
      </c>
      <c r="O15" s="47">
        <f t="shared" si="16"/>
        <v>3.2258064516129031E-2</v>
      </c>
      <c r="P15" s="41">
        <f>'Юнит 27-31.10'!P15+'Юнит 20-26.10'!P15+'Юнит 13-19.10'!P15+'Юнит 06-12.10'!P15+'Юнит 01-05.10'!P15</f>
        <v>1</v>
      </c>
      <c r="Q15" s="41">
        <f>'Юнит 27-31.10'!Q15+'Юнит 20-26.10'!Q15+'Юнит 13-19.10'!Q15+'Юнит 06-12.10'!Q15+'Юнит 01-05.10'!Q15</f>
        <v>0</v>
      </c>
      <c r="R15" s="49">
        <f t="shared" si="1"/>
        <v>1</v>
      </c>
      <c r="S15" s="41">
        <f>'Юнит 27-31.10'!S15+'Юнит 20-26.10'!S15+'Юнит 13-19.10'!S15+'Юнит 06-12.10'!S15+'Юнит 01-05.10'!S15</f>
        <v>3250</v>
      </c>
      <c r="T15" s="41">
        <f>'Юнит 27-31.10'!T15+'Юнит 20-26.10'!T15+'Юнит 13-19.10'!T15+'Юнит 06-12.10'!T15+'Юнит 01-05.10'!T15</f>
        <v>0</v>
      </c>
      <c r="U15" s="49">
        <f t="shared" si="2"/>
        <v>3250</v>
      </c>
      <c r="V15" s="52">
        <f t="shared" si="3"/>
        <v>1.0991203655167049E-2</v>
      </c>
      <c r="W15" s="53">
        <f t="shared" si="4"/>
        <v>1002.82</v>
      </c>
      <c r="X15" s="41">
        <f>'Юнит 27-31.10'!X15+'Юнит 20-26.10'!X15+'Юнит 13-19.10'!X15+'Юнит 06-12.10'!X15+'Юнит 01-05.10'!X15</f>
        <v>1105</v>
      </c>
      <c r="Y15" s="54">
        <f t="shared" si="5"/>
        <v>0.34</v>
      </c>
      <c r="Z15" s="41">
        <f>'Юнит 27-31.10'!Z15+'Юнит 20-26.10'!Z15+'Юнит 13-19.10'!Z15+'Юнит 06-12.10'!Z15+'Юнит 01-05.10'!Z15</f>
        <v>384</v>
      </c>
      <c r="AA15" s="41">
        <f>'Юнит 27-31.10'!AA15+'Юнит 20-26.10'!AA15+'Юнит 13-19.10'!AA15+'Юнит 06-12.10'!AA15+'Юнит 01-05.10'!AA15</f>
        <v>7082.5020100000002</v>
      </c>
      <c r="AB15" s="64"/>
      <c r="AC15" s="51"/>
      <c r="AD15" s="55">
        <f>U15*1%</f>
        <v>32.5</v>
      </c>
      <c r="AE15" s="56">
        <f t="shared" si="6"/>
        <v>-6356.8220099999999</v>
      </c>
      <c r="AF15" s="55"/>
      <c r="AG15" s="57">
        <f t="shared" si="7"/>
        <v>3250</v>
      </c>
      <c r="AH15" s="58">
        <f t="shared" si="8"/>
        <v>1002.82</v>
      </c>
      <c r="AI15" s="58">
        <f t="shared" si="9"/>
        <v>1105</v>
      </c>
      <c r="AJ15" s="58">
        <f t="shared" si="10"/>
        <v>384</v>
      </c>
      <c r="AK15" s="58">
        <f t="shared" si="11"/>
        <v>7082.5020100000002</v>
      </c>
      <c r="AL15" s="58">
        <f t="array" ref="AL15">_xlfn.IFS(R15=0,AE15,R15&lt;0,AE15/-R15,R15&gt;0,AE15/R15)</f>
        <v>-6356.8220099999999</v>
      </c>
      <c r="AM15" s="59">
        <f t="shared" si="12"/>
        <v>-1.9559452338461538</v>
      </c>
      <c r="AN15" s="60">
        <f t="shared" si="13"/>
        <v>-6.3389461817674153</v>
      </c>
      <c r="AP15" s="62">
        <f t="shared" si="14"/>
        <v>0</v>
      </c>
    </row>
    <row r="16" spans="1:42" ht="13.75" customHeight="1">
      <c r="A16" s="39">
        <v>2807226228</v>
      </c>
      <c r="B16" s="40" t="s">
        <v>230</v>
      </c>
      <c r="C16" s="41"/>
      <c r="D16" s="42"/>
      <c r="E16" s="42"/>
      <c r="F16" s="42"/>
      <c r="G16" s="43"/>
      <c r="H16" s="44">
        <v>909.22</v>
      </c>
      <c r="I16" s="63">
        <f t="shared" si="0"/>
        <v>0</v>
      </c>
      <c r="J16" s="45"/>
      <c r="K16" s="41">
        <f>'Юнит 27-31.10'!K16+'Юнит 20-26.10'!K16+'Юнит 13-19.10'!K16+'Юнит 06-12.10'!K16+'Юнит 01-05.10'!K16</f>
        <v>0</v>
      </c>
      <c r="L16" s="45"/>
      <c r="M16" s="45"/>
      <c r="N16" s="46">
        <f t="shared" si="15"/>
        <v>0</v>
      </c>
      <c r="O16" s="47">
        <f t="shared" si="16"/>
        <v>0</v>
      </c>
      <c r="P16" s="41">
        <f>'Юнит 27-31.10'!P16+'Юнит 20-26.10'!P16+'Юнит 13-19.10'!P16+'Юнит 06-12.10'!P16+'Юнит 01-05.10'!P16</f>
        <v>0</v>
      </c>
      <c r="Q16" s="41">
        <f>'Юнит 27-31.10'!Q16+'Юнит 20-26.10'!Q16+'Юнит 13-19.10'!Q16+'Юнит 06-12.10'!Q16+'Юнит 01-05.10'!Q16</f>
        <v>0</v>
      </c>
      <c r="R16" s="49">
        <f t="shared" si="1"/>
        <v>0</v>
      </c>
      <c r="S16" s="41">
        <f>'Юнит 27-31.10'!S16+'Юнит 20-26.10'!S16+'Юнит 13-19.10'!S16+'Юнит 06-12.10'!S16+'Юнит 01-05.10'!S16</f>
        <v>0</v>
      </c>
      <c r="T16" s="41">
        <f>'Юнит 27-31.10'!T16+'Юнит 20-26.10'!T16+'Юнит 13-19.10'!T16+'Юнит 06-12.10'!T16+'Юнит 01-05.10'!T16</f>
        <v>0</v>
      </c>
      <c r="U16" s="49">
        <f t="shared" si="2"/>
        <v>0</v>
      </c>
      <c r="V16" s="52">
        <f t="shared" si="3"/>
        <v>0</v>
      </c>
      <c r="W16" s="53">
        <f t="shared" si="4"/>
        <v>0</v>
      </c>
      <c r="X16" s="41">
        <f>'Юнит 27-31.10'!X16+'Юнит 20-26.10'!X16+'Юнит 13-19.10'!X16+'Юнит 06-12.10'!X16+'Юнит 01-05.10'!X16</f>
        <v>0</v>
      </c>
      <c r="Y16" s="54">
        <f t="shared" si="5"/>
        <v>0</v>
      </c>
      <c r="Z16" s="41">
        <f>'Юнит 27-31.10'!Z16+'Юнит 20-26.10'!Z16+'Юнит 13-19.10'!Z16+'Юнит 06-12.10'!Z16+'Юнит 01-05.10'!Z16</f>
        <v>0</v>
      </c>
      <c r="AA16" s="41">
        <f>'Юнит 27-31.10'!AA16+'Юнит 20-26.10'!AA16+'Юнит 13-19.10'!AA16+'Юнит 06-12.10'!AA16+'Юнит 01-05.10'!AA16</f>
        <v>635.89006600000005</v>
      </c>
      <c r="AB16" s="64"/>
      <c r="AC16" s="51"/>
      <c r="AD16" s="55">
        <f>U16*1%</f>
        <v>0</v>
      </c>
      <c r="AE16" s="56">
        <f t="shared" si="6"/>
        <v>-635.89006600000005</v>
      </c>
      <c r="AF16" s="55"/>
      <c r="AG16" s="57">
        <f t="shared" si="7"/>
        <v>0</v>
      </c>
      <c r="AH16" s="58">
        <f t="shared" si="8"/>
        <v>909.22</v>
      </c>
      <c r="AI16" s="58">
        <f t="shared" si="9"/>
        <v>0</v>
      </c>
      <c r="AJ16" s="58">
        <f t="shared" si="10"/>
        <v>0</v>
      </c>
      <c r="AK16" s="58">
        <f t="shared" si="11"/>
        <v>0</v>
      </c>
      <c r="AL16" s="58">
        <f t="array" ref="AL16">_xlfn.IFS(R16=0,AE16,R16&lt;0,AE16/-R16,R16&gt;0,AE16/R16)</f>
        <v>-635.89006600000005</v>
      </c>
      <c r="AM16" s="59">
        <f t="shared" si="12"/>
        <v>0</v>
      </c>
      <c r="AN16" s="60">
        <f t="shared" si="13"/>
        <v>-0.69937976067398433</v>
      </c>
      <c r="AP16" s="62">
        <f t="shared" si="14"/>
        <v>0</v>
      </c>
    </row>
    <row r="17" spans="1:52" ht="13.75" customHeight="1">
      <c r="A17" s="39">
        <v>2807226016</v>
      </c>
      <c r="B17" s="40" t="s">
        <v>231</v>
      </c>
      <c r="C17" s="41"/>
      <c r="D17" s="42"/>
      <c r="E17" s="42"/>
      <c r="F17" s="42"/>
      <c r="G17" s="43"/>
      <c r="H17" s="44">
        <v>909.22</v>
      </c>
      <c r="I17" s="63">
        <f t="shared" si="0"/>
        <v>0</v>
      </c>
      <c r="J17" s="45"/>
      <c r="K17" s="41">
        <f>'Юнит 27-31.10'!K17+'Юнит 20-26.10'!K17+'Юнит 13-19.10'!K17+'Юнит 06-12.10'!K17+'Юнит 01-05.10'!K17</f>
        <v>1</v>
      </c>
      <c r="L17" s="45"/>
      <c r="M17" s="45"/>
      <c r="N17" s="46">
        <f t="shared" si="15"/>
        <v>3.2258064516129031E-2</v>
      </c>
      <c r="O17" s="47">
        <f t="shared" si="16"/>
        <v>3.2258064516129031E-2</v>
      </c>
      <c r="P17" s="41">
        <f>'Юнит 27-31.10'!P17+'Юнит 20-26.10'!P17+'Юнит 13-19.10'!P17+'Юнит 06-12.10'!P17+'Юнит 01-05.10'!P17</f>
        <v>1</v>
      </c>
      <c r="Q17" s="41">
        <f>'Юнит 27-31.10'!Q17+'Юнит 20-26.10'!Q17+'Юнит 13-19.10'!Q17+'Юнит 06-12.10'!Q17+'Юнит 01-05.10'!Q17</f>
        <v>0</v>
      </c>
      <c r="R17" s="49">
        <f t="shared" si="1"/>
        <v>1</v>
      </c>
      <c r="S17" s="41">
        <f>'Юнит 27-31.10'!S17+'Юнит 20-26.10'!S17+'Юнит 13-19.10'!S17+'Юнит 06-12.10'!S17+'Юнит 01-05.10'!S17</f>
        <v>3395</v>
      </c>
      <c r="T17" s="41">
        <f>'Юнит 27-31.10'!T17+'Юнит 20-26.10'!T17+'Юнит 13-19.10'!T17+'Юнит 06-12.10'!T17+'Юнит 01-05.10'!T17</f>
        <v>0</v>
      </c>
      <c r="U17" s="49">
        <f t="shared" si="2"/>
        <v>3395</v>
      </c>
      <c r="V17" s="52">
        <f t="shared" si="3"/>
        <v>1.1481580433628348E-2</v>
      </c>
      <c r="W17" s="53">
        <f t="shared" si="4"/>
        <v>909.22</v>
      </c>
      <c r="X17" s="41">
        <f>'Юнит 27-31.10'!X17+'Юнит 20-26.10'!X17+'Юнит 13-19.10'!X17+'Юнит 06-12.10'!X17+'Юнит 01-05.10'!X17</f>
        <v>1154.3</v>
      </c>
      <c r="Y17" s="54">
        <f t="shared" si="5"/>
        <v>0.33999999999999997</v>
      </c>
      <c r="Z17" s="41">
        <f>'Юнит 27-31.10'!Z17+'Юнит 20-26.10'!Z17+'Юнит 13-19.10'!Z17+'Юнит 06-12.10'!Z17+'Юнит 01-05.10'!Z17</f>
        <v>210</v>
      </c>
      <c r="AA17" s="41">
        <f>'Юнит 27-31.10'!AA17+'Юнит 20-26.10'!AA17+'Юнит 13-19.10'!AA17+'Юнит 06-12.10'!AA17+'Юнит 01-05.10'!AA17</f>
        <v>3825.1409759999997</v>
      </c>
      <c r="AB17" s="64"/>
      <c r="AC17" s="51"/>
      <c r="AD17" s="55">
        <f>U17*1%</f>
        <v>33.950000000000003</v>
      </c>
      <c r="AE17" s="56">
        <f t="shared" si="6"/>
        <v>-2737.6109759999999</v>
      </c>
      <c r="AF17" s="55"/>
      <c r="AG17" s="57">
        <f t="shared" si="7"/>
        <v>3395</v>
      </c>
      <c r="AH17" s="58">
        <f t="shared" si="8"/>
        <v>909.22</v>
      </c>
      <c r="AI17" s="58">
        <f t="shared" si="9"/>
        <v>1154.3</v>
      </c>
      <c r="AJ17" s="58">
        <f t="shared" si="10"/>
        <v>210</v>
      </c>
      <c r="AK17" s="58">
        <f t="shared" si="11"/>
        <v>3825.1409759999997</v>
      </c>
      <c r="AL17" s="58">
        <f t="array" ref="AL17">_xlfn.IFS(R17=0,AE17,R17&lt;0,AE17/-R17,R17&gt;0,AE17/R17)</f>
        <v>-2737.6109759999999</v>
      </c>
      <c r="AM17" s="59">
        <f t="shared" si="12"/>
        <v>-0.80636553048600879</v>
      </c>
      <c r="AN17" s="60">
        <f t="shared" si="13"/>
        <v>-3.010944519478234</v>
      </c>
      <c r="AP17" s="62">
        <f t="shared" si="14"/>
        <v>0</v>
      </c>
    </row>
    <row r="18" spans="1:52" ht="13.75" customHeight="1">
      <c r="A18" s="39">
        <v>2807226072</v>
      </c>
      <c r="B18" s="40" t="s">
        <v>111</v>
      </c>
      <c r="C18" s="41"/>
      <c r="D18" s="42"/>
      <c r="E18" s="42"/>
      <c r="F18" s="42"/>
      <c r="G18" s="43"/>
      <c r="H18" s="44">
        <v>932.62</v>
      </c>
      <c r="I18" s="63">
        <f t="shared" si="0"/>
        <v>0</v>
      </c>
      <c r="J18" s="45"/>
      <c r="K18" s="41">
        <f>'Юнит 27-31.10'!K18+'Юнит 20-26.10'!K18+'Юнит 13-19.10'!K18+'Юнит 06-12.10'!K18+'Юнит 01-05.10'!K18</f>
        <v>1</v>
      </c>
      <c r="L18" s="45"/>
      <c r="M18" s="45"/>
      <c r="N18" s="46">
        <f t="shared" si="15"/>
        <v>3.2258064516129031E-2</v>
      </c>
      <c r="O18" s="47">
        <f t="shared" si="16"/>
        <v>6.4516129032258063E-2</v>
      </c>
      <c r="P18" s="41">
        <f>'Юнит 27-31.10'!P18+'Юнит 20-26.10'!P18+'Юнит 13-19.10'!P18+'Юнит 06-12.10'!P18+'Юнит 01-05.10'!P18</f>
        <v>1</v>
      </c>
      <c r="Q18" s="41">
        <f>'Юнит 27-31.10'!Q18+'Юнит 20-26.10'!Q18+'Юнит 13-19.10'!Q18+'Юнит 06-12.10'!Q18+'Юнит 01-05.10'!Q18</f>
        <v>1</v>
      </c>
      <c r="R18" s="49">
        <f t="shared" si="1"/>
        <v>2</v>
      </c>
      <c r="S18" s="41">
        <f>'Юнит 27-31.10'!S18+'Юнит 20-26.10'!S18+'Юнит 13-19.10'!S18+'Юнит 06-12.10'!S18+'Юнит 01-05.10'!S18</f>
        <v>3205</v>
      </c>
      <c r="T18" s="41">
        <f>'Юнит 27-31.10'!T18+'Юнит 20-26.10'!T18+'Юнит 13-19.10'!T18+'Юнит 06-12.10'!T18+'Юнит 01-05.10'!T18</f>
        <v>-3205</v>
      </c>
      <c r="U18" s="49">
        <f t="shared" si="2"/>
        <v>0</v>
      </c>
      <c r="V18" s="52">
        <f t="shared" si="3"/>
        <v>0</v>
      </c>
      <c r="W18" s="53">
        <f t="shared" si="4"/>
        <v>1865.24</v>
      </c>
      <c r="X18" s="41">
        <f>'Юнит 27-31.10'!X18+'Юнит 20-26.10'!X18+'Юнит 13-19.10'!X18+'Юнит 06-12.10'!X18+'Юнит 01-05.10'!X18</f>
        <v>0</v>
      </c>
      <c r="Y18" s="54">
        <f t="shared" si="5"/>
        <v>0</v>
      </c>
      <c r="Z18" s="41">
        <f>'Юнит 27-31.10'!Z18+'Юнит 20-26.10'!Z18+'Юнит 13-19.10'!Z18+'Юнит 06-12.10'!Z18+'Юнит 01-05.10'!Z18</f>
        <v>276</v>
      </c>
      <c r="AA18" s="41">
        <f>'Юнит 27-31.10'!AA18+'Юнит 20-26.10'!AA18+'Юнит 13-19.10'!AA18+'Юнит 06-12.10'!AA18+'Юнит 01-05.10'!AA18</f>
        <v>2640.4932099999996</v>
      </c>
      <c r="AB18" s="64"/>
      <c r="AC18" s="51"/>
      <c r="AD18" s="55">
        <f>U18*1%</f>
        <v>0</v>
      </c>
      <c r="AE18" s="56">
        <f t="shared" si="6"/>
        <v>-4781.7332099999994</v>
      </c>
      <c r="AF18" s="55"/>
      <c r="AG18" s="57">
        <f t="shared" si="7"/>
        <v>0</v>
      </c>
      <c r="AH18" s="58">
        <f t="shared" si="8"/>
        <v>932.62</v>
      </c>
      <c r="AI18" s="58">
        <f t="shared" si="9"/>
        <v>0</v>
      </c>
      <c r="AJ18" s="58">
        <f t="shared" si="10"/>
        <v>276</v>
      </c>
      <c r="AK18" s="58">
        <f t="shared" si="11"/>
        <v>2640.4932099999996</v>
      </c>
      <c r="AL18" s="58">
        <f t="array" ref="AL18">_xlfn.IFS(R18=0,AE18,R18&lt;0,AE18/-R18,R18&gt;0,AE18/R18)</f>
        <v>-2390.8666049999997</v>
      </c>
      <c r="AM18" s="59">
        <f t="shared" si="12"/>
        <v>0</v>
      </c>
      <c r="AN18" s="60">
        <f t="shared" si="13"/>
        <v>-2.5636021155454523</v>
      </c>
      <c r="AP18" s="62">
        <f t="shared" si="14"/>
        <v>0</v>
      </c>
    </row>
    <row r="19" spans="1:52" ht="13.75" customHeight="1">
      <c r="A19" s="39">
        <v>2807226223</v>
      </c>
      <c r="B19" s="40" t="s">
        <v>232</v>
      </c>
      <c r="C19" s="41"/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f>'Юнит 27-31.10'!K19+'Юнит 20-26.10'!K19+'Юнит 13-19.10'!K19+'Юнит 06-12.10'!K19+'Юнит 01-05.10'!K19</f>
        <v>0</v>
      </c>
      <c r="L19" s="45"/>
      <c r="M19" s="45"/>
      <c r="N19" s="46">
        <f t="shared" si="15"/>
        <v>0</v>
      </c>
      <c r="O19" s="47">
        <f t="shared" si="16"/>
        <v>3.2258064516129031E-2</v>
      </c>
      <c r="P19" s="41">
        <f>'Юнит 27-31.10'!P19+'Юнит 20-26.10'!P19+'Юнит 13-19.10'!P19+'Юнит 06-12.10'!P19+'Юнит 01-05.10'!P19</f>
        <v>1</v>
      </c>
      <c r="Q19" s="41">
        <f>'Юнит 27-31.10'!Q19+'Юнит 20-26.10'!Q19+'Юнит 13-19.10'!Q19+'Юнит 06-12.10'!Q19+'Юнит 01-05.10'!Q19</f>
        <v>0</v>
      </c>
      <c r="R19" s="49">
        <f t="shared" si="1"/>
        <v>1</v>
      </c>
      <c r="S19" s="41">
        <f>'Юнит 27-31.10'!S19+'Юнит 20-26.10'!S19+'Юнит 13-19.10'!S19+'Юнит 06-12.10'!S19+'Юнит 01-05.10'!S19</f>
        <v>3000</v>
      </c>
      <c r="T19" s="41">
        <f>'Юнит 27-31.10'!T19+'Юнит 20-26.10'!T19+'Юнит 13-19.10'!T19+'Юнит 06-12.10'!T19+'Юнит 01-05.10'!T19</f>
        <v>0</v>
      </c>
      <c r="U19" s="49">
        <f t="shared" si="2"/>
        <v>3000</v>
      </c>
      <c r="V19" s="52">
        <f t="shared" si="3"/>
        <v>1.014572645092343E-2</v>
      </c>
      <c r="W19" s="53">
        <f t="shared" si="4"/>
        <v>1014.52</v>
      </c>
      <c r="X19" s="41">
        <f>'Юнит 27-31.10'!X19+'Юнит 20-26.10'!X19+'Юнит 13-19.10'!X19+'Юнит 06-12.10'!X19+'Юнит 01-05.10'!X19</f>
        <v>1140</v>
      </c>
      <c r="Y19" s="54">
        <f t="shared" si="5"/>
        <v>0.38</v>
      </c>
      <c r="Z19" s="41">
        <f>'Юнит 27-31.10'!Z19+'Юнит 20-26.10'!Z19+'Юнит 13-19.10'!Z19+'Юнит 06-12.10'!Z19+'Юнит 01-05.10'!Z19</f>
        <v>108</v>
      </c>
      <c r="AA19" s="41">
        <f>'Юнит 27-31.10'!AA19+'Юнит 20-26.10'!AA19+'Юнит 13-19.10'!AA19+'Юнит 06-12.10'!AA19+'Юнит 01-05.10'!AA19</f>
        <v>1011.98029</v>
      </c>
      <c r="AB19" s="64"/>
      <c r="AC19" s="51"/>
      <c r="AD19" s="55">
        <f>U19*1%</f>
        <v>30</v>
      </c>
      <c r="AE19" s="56">
        <f t="shared" si="6"/>
        <v>-304.50028999999995</v>
      </c>
      <c r="AF19" s="55"/>
      <c r="AG19" s="57">
        <f t="shared" si="7"/>
        <v>3000</v>
      </c>
      <c r="AH19" s="58">
        <f t="shared" si="8"/>
        <v>1014.52</v>
      </c>
      <c r="AI19" s="58">
        <f t="shared" si="9"/>
        <v>1140</v>
      </c>
      <c r="AJ19" s="58">
        <f t="shared" si="10"/>
        <v>108</v>
      </c>
      <c r="AK19" s="58">
        <f t="shared" si="11"/>
        <v>1011.98029</v>
      </c>
      <c r="AL19" s="58">
        <f t="array" ref="AL19">_xlfn.IFS(R19=0,AE19,R19&lt;0,AE19/-R19,R19&gt;0,AE19/R19)</f>
        <v>-304.50028999999995</v>
      </c>
      <c r="AM19" s="59">
        <f t="shared" si="12"/>
        <v>-0.10150009666666665</v>
      </c>
      <c r="AN19" s="60">
        <f t="shared" si="13"/>
        <v>-0.30014222489453135</v>
      </c>
      <c r="AP19" s="62">
        <f t="shared" si="14"/>
        <v>0</v>
      </c>
    </row>
    <row r="20" spans="1:52" ht="13.75" customHeight="1">
      <c r="A20" s="39">
        <v>2807226341</v>
      </c>
      <c r="B20" s="40" t="s">
        <v>136</v>
      </c>
      <c r="C20" s="41"/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f>'Юнит 27-31.10'!K20+'Юнит 20-26.10'!K20+'Юнит 13-19.10'!K20+'Юнит 06-12.10'!K20+'Юнит 01-05.10'!K20</f>
        <v>1</v>
      </c>
      <c r="L20" s="45"/>
      <c r="M20" s="45"/>
      <c r="N20" s="46">
        <f t="shared" si="15"/>
        <v>3.2258064516129031E-2</v>
      </c>
      <c r="O20" s="47">
        <f t="shared" si="16"/>
        <v>3.2258064516129031E-2</v>
      </c>
      <c r="P20" s="41">
        <f>'Юнит 27-31.10'!P20+'Юнит 20-26.10'!P20+'Юнит 13-19.10'!P20+'Юнит 06-12.10'!P20+'Юнит 01-05.10'!P20</f>
        <v>1</v>
      </c>
      <c r="Q20" s="41">
        <f>'Юнит 27-31.10'!Q20+'Юнит 20-26.10'!Q20+'Юнит 13-19.10'!Q20+'Юнит 06-12.10'!Q20+'Юнит 01-05.10'!Q20</f>
        <v>0</v>
      </c>
      <c r="R20" s="49">
        <f t="shared" si="1"/>
        <v>1</v>
      </c>
      <c r="S20" s="41">
        <f>'Юнит 27-31.10'!S20+'Юнит 20-26.10'!S20+'Юнит 13-19.10'!S20+'Юнит 06-12.10'!S20+'Юнит 01-05.10'!S20</f>
        <v>3150</v>
      </c>
      <c r="T20" s="41">
        <f>'Юнит 27-31.10'!T20+'Юнит 20-26.10'!T20+'Юнит 13-19.10'!T20+'Юнит 06-12.10'!T20+'Юнит 01-05.10'!T20</f>
        <v>0</v>
      </c>
      <c r="U20" s="49">
        <f t="shared" si="2"/>
        <v>3150</v>
      </c>
      <c r="V20" s="52">
        <f t="shared" si="3"/>
        <v>1.0653012773469603E-2</v>
      </c>
      <c r="W20" s="53">
        <f t="shared" si="4"/>
        <v>1014.52</v>
      </c>
      <c r="X20" s="41">
        <f>'Юнит 27-31.10'!X20+'Юнит 20-26.10'!X20+'Юнит 13-19.10'!X20+'Юнит 06-12.10'!X20+'Юнит 01-05.10'!X20</f>
        <v>929.25</v>
      </c>
      <c r="Y20" s="54">
        <f t="shared" si="5"/>
        <v>0.29499999999999998</v>
      </c>
      <c r="Z20" s="41">
        <f>'Юнит 27-31.10'!Z20+'Юнит 20-26.10'!Z20+'Юнит 13-19.10'!Z20+'Юнит 06-12.10'!Z20+'Юнит 01-05.10'!Z20</f>
        <v>272</v>
      </c>
      <c r="AA20" s="41">
        <f>'Юнит 27-31.10'!AA20+'Юнит 20-26.10'!AA20+'Юнит 13-19.10'!AA20+'Юнит 06-12.10'!AA20+'Юнит 01-05.10'!AA20</f>
        <v>2178.1706220000001</v>
      </c>
      <c r="AB20" s="64"/>
      <c r="AC20" s="51"/>
      <c r="AD20" s="55">
        <f>U20*1%</f>
        <v>31.5</v>
      </c>
      <c r="AE20" s="56">
        <f t="shared" si="6"/>
        <v>-1275.4406220000001</v>
      </c>
      <c r="AF20" s="55"/>
      <c r="AG20" s="57">
        <f t="shared" si="7"/>
        <v>3150</v>
      </c>
      <c r="AH20" s="58">
        <f t="shared" si="8"/>
        <v>1014.52</v>
      </c>
      <c r="AI20" s="58">
        <f t="shared" si="9"/>
        <v>929.25</v>
      </c>
      <c r="AJ20" s="58">
        <f t="shared" si="10"/>
        <v>272</v>
      </c>
      <c r="AK20" s="58">
        <f t="shared" si="11"/>
        <v>2178.1706220000001</v>
      </c>
      <c r="AL20" s="58">
        <f t="array" ref="AL20">_xlfn.IFS(R20=0,AE20,R20&lt;0,AE20/-R20,R20&gt;0,AE20/R20)</f>
        <v>-1275.4406220000001</v>
      </c>
      <c r="AM20" s="59">
        <f t="shared" si="12"/>
        <v>-0.4049017847619048</v>
      </c>
      <c r="AN20" s="60">
        <f t="shared" si="13"/>
        <v>-1.2571862772542681</v>
      </c>
      <c r="AP20" s="62">
        <f t="shared" si="14"/>
        <v>0</v>
      </c>
    </row>
    <row r="21" spans="1:52" ht="13.75" customHeight="1">
      <c r="A21" s="39">
        <v>2807226351</v>
      </c>
      <c r="B21" s="40" t="s">
        <v>233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f>'Юнит 27-31.10'!K21+'Юнит 20-26.10'!K21+'Юнит 13-19.10'!K21+'Юнит 06-12.10'!K21+'Юнит 01-05.10'!K21</f>
        <v>0</v>
      </c>
      <c r="L21" s="45"/>
      <c r="M21" s="45"/>
      <c r="N21" s="46">
        <f t="shared" si="15"/>
        <v>0</v>
      </c>
      <c r="O21" s="47">
        <f t="shared" si="16"/>
        <v>0</v>
      </c>
      <c r="P21" s="41">
        <f>'Юнит 27-31.10'!P21+'Юнит 20-26.10'!P21+'Юнит 13-19.10'!P21+'Юнит 06-12.10'!P21+'Юнит 01-05.10'!P21</f>
        <v>0</v>
      </c>
      <c r="Q21" s="41">
        <f>'Юнит 27-31.10'!Q21+'Юнит 20-26.10'!Q21+'Юнит 13-19.10'!Q21+'Юнит 06-12.10'!Q21+'Юнит 01-05.10'!Q21</f>
        <v>0</v>
      </c>
      <c r="R21" s="49">
        <f t="shared" si="1"/>
        <v>0</v>
      </c>
      <c r="S21" s="41">
        <f>'Юнит 27-31.10'!S21+'Юнит 20-26.10'!S21+'Юнит 13-19.10'!S21+'Юнит 06-12.10'!S21+'Юнит 01-05.10'!S21</f>
        <v>0</v>
      </c>
      <c r="T21" s="41">
        <f>'Юнит 27-31.10'!T21+'Юнит 20-26.10'!T21+'Юнит 13-19.10'!T21+'Юнит 06-12.10'!T21+'Юнит 01-05.10'!T21</f>
        <v>0</v>
      </c>
      <c r="U21" s="49">
        <f t="shared" si="2"/>
        <v>0</v>
      </c>
      <c r="V21" s="52">
        <f t="shared" si="3"/>
        <v>0</v>
      </c>
      <c r="W21" s="53">
        <f t="shared" si="4"/>
        <v>0</v>
      </c>
      <c r="X21" s="41">
        <f>'Юнит 27-31.10'!X21+'Юнит 20-26.10'!X21+'Юнит 13-19.10'!X21+'Юнит 06-12.10'!X21+'Юнит 01-05.10'!X21</f>
        <v>0</v>
      </c>
      <c r="Y21" s="54">
        <f t="shared" si="5"/>
        <v>0</v>
      </c>
      <c r="Z21" s="41">
        <f>'Юнит 27-31.10'!Z21+'Юнит 20-26.10'!Z21+'Юнит 13-19.10'!Z21+'Юнит 06-12.10'!Z21+'Юнит 01-05.10'!Z21</f>
        <v>0</v>
      </c>
      <c r="AA21" s="41">
        <f>'Юнит 27-31.10'!AA21+'Юнит 20-26.10'!AA21+'Юнит 13-19.10'!AA21+'Юнит 06-12.10'!AA21+'Юнит 01-05.10'!AA21</f>
        <v>475.54936900000001</v>
      </c>
      <c r="AB21" s="64"/>
      <c r="AC21" s="51"/>
      <c r="AD21" s="55">
        <f>U21*1%</f>
        <v>0</v>
      </c>
      <c r="AE21" s="56">
        <f t="shared" si="6"/>
        <v>-475.54936900000001</v>
      </c>
      <c r="AF21" s="55"/>
      <c r="AG21" s="57">
        <f t="shared" si="7"/>
        <v>0</v>
      </c>
      <c r="AH21" s="58">
        <f t="shared" si="8"/>
        <v>1014.52</v>
      </c>
      <c r="AI21" s="58">
        <f t="shared" si="9"/>
        <v>0</v>
      </c>
      <c r="AJ21" s="58">
        <f t="shared" si="10"/>
        <v>0</v>
      </c>
      <c r="AK21" s="58">
        <f t="shared" si="11"/>
        <v>0</v>
      </c>
      <c r="AL21" s="58">
        <f t="array" ref="AL21">_xlfn.IFS(R21=0,AE21,R21&lt;0,AE21/-R21,R21&gt;0,AE21/R21)</f>
        <v>-475.54936900000001</v>
      </c>
      <c r="AM21" s="59">
        <f t="shared" si="12"/>
        <v>0</v>
      </c>
      <c r="AN21" s="60">
        <f t="shared" si="13"/>
        <v>-0.46874321748215908</v>
      </c>
      <c r="AP21" s="62">
        <f t="shared" si="14"/>
        <v>0</v>
      </c>
    </row>
    <row r="22" spans="1:52" ht="13.75" customHeight="1">
      <c r="A22" s="39">
        <v>2807226146</v>
      </c>
      <c r="B22" s="40" t="s">
        <v>234</v>
      </c>
      <c r="C22" s="41"/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f>'Юнит 27-31.10'!K22+'Юнит 20-26.10'!K22+'Юнит 13-19.10'!K22+'Юнит 06-12.10'!K22+'Юнит 01-05.10'!K22</f>
        <v>0</v>
      </c>
      <c r="L22" s="45"/>
      <c r="M22" s="45"/>
      <c r="N22" s="46">
        <f t="shared" si="15"/>
        <v>0</v>
      </c>
      <c r="O22" s="47">
        <f t="shared" si="16"/>
        <v>0</v>
      </c>
      <c r="P22" s="41">
        <f>'Юнит 27-31.10'!P22+'Юнит 20-26.10'!P22+'Юнит 13-19.10'!P22+'Юнит 06-12.10'!P22+'Юнит 01-05.10'!P22</f>
        <v>0</v>
      </c>
      <c r="Q22" s="41">
        <f>'Юнит 27-31.10'!Q22+'Юнит 20-26.10'!Q22+'Юнит 13-19.10'!Q22+'Юнит 06-12.10'!Q22+'Юнит 01-05.10'!Q22</f>
        <v>0</v>
      </c>
      <c r="R22" s="49">
        <f t="shared" si="1"/>
        <v>0</v>
      </c>
      <c r="S22" s="41">
        <f>'Юнит 27-31.10'!S22+'Юнит 20-26.10'!S22+'Юнит 13-19.10'!S22+'Юнит 06-12.10'!S22+'Юнит 01-05.10'!S22</f>
        <v>0</v>
      </c>
      <c r="T22" s="41">
        <f>'Юнит 27-31.10'!T22+'Юнит 20-26.10'!T22+'Юнит 13-19.10'!T22+'Юнит 06-12.10'!T22+'Юнит 01-05.10'!T22</f>
        <v>0</v>
      </c>
      <c r="U22" s="49">
        <f t="shared" si="2"/>
        <v>0</v>
      </c>
      <c r="V22" s="52">
        <f t="shared" si="3"/>
        <v>0</v>
      </c>
      <c r="W22" s="53">
        <f t="shared" si="4"/>
        <v>0</v>
      </c>
      <c r="X22" s="41">
        <f>'Юнит 27-31.10'!X22+'Юнит 20-26.10'!X22+'Юнит 13-19.10'!X22+'Юнит 06-12.10'!X22+'Юнит 01-05.10'!X22</f>
        <v>0</v>
      </c>
      <c r="Y22" s="54">
        <f t="shared" si="5"/>
        <v>0</v>
      </c>
      <c r="Z22" s="41">
        <f>'Юнит 27-31.10'!Z22+'Юнит 20-26.10'!Z22+'Юнит 13-19.10'!Z22+'Юнит 06-12.10'!Z22+'Юнит 01-05.10'!Z22</f>
        <v>0</v>
      </c>
      <c r="AA22" s="41">
        <f>'Юнит 27-31.10'!AA22+'Юнит 20-26.10'!AA22+'Юнит 13-19.10'!AA22+'Юнит 06-12.10'!AA22+'Юнит 01-05.10'!AA22</f>
        <v>435.98337600000002</v>
      </c>
      <c r="AB22" s="64"/>
      <c r="AC22" s="51"/>
      <c r="AD22" s="55">
        <f>U22*1%</f>
        <v>0</v>
      </c>
      <c r="AE22" s="56">
        <f t="shared" si="6"/>
        <v>-435.98337600000002</v>
      </c>
      <c r="AF22" s="55"/>
      <c r="AG22" s="57">
        <f t="shared" si="7"/>
        <v>0</v>
      </c>
      <c r="AH22" s="58">
        <f t="shared" si="8"/>
        <v>991.12</v>
      </c>
      <c r="AI22" s="58">
        <f t="shared" si="9"/>
        <v>0</v>
      </c>
      <c r="AJ22" s="58">
        <f t="shared" si="10"/>
        <v>0</v>
      </c>
      <c r="AK22" s="58">
        <f t="shared" si="11"/>
        <v>0</v>
      </c>
      <c r="AL22" s="58">
        <f t="array" ref="AL22">_xlfn.IFS(R22=0,AE22,R22&lt;0,AE22/-R22,R22&gt;0,AE22/R22)</f>
        <v>-435.98337600000002</v>
      </c>
      <c r="AM22" s="59">
        <f t="shared" si="12"/>
        <v>0</v>
      </c>
      <c r="AN22" s="60">
        <f t="shared" si="13"/>
        <v>-0.43988959560900803</v>
      </c>
      <c r="AP22" s="62">
        <f t="shared" si="14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1"/>
      <c r="Q23" s="41"/>
      <c r="R23" s="49"/>
      <c r="S23" s="41"/>
      <c r="T23" s="41"/>
      <c r="U23" s="49"/>
      <c r="V23" s="52"/>
      <c r="W23" s="53"/>
      <c r="X23" s="41"/>
      <c r="Y23" s="54"/>
      <c r="Z23" s="41"/>
      <c r="AA23" s="41"/>
      <c r="AB23" s="64"/>
      <c r="AC23" s="51"/>
      <c r="AD23" s="55"/>
      <c r="AE23" s="56"/>
      <c r="AF23" s="55"/>
      <c r="AG23" s="248">
        <f t="shared" ref="AG23:AN23" si="17">AVERAGEIF(AG3:AG22,"&lt;&gt;0",AG3:AG22)</f>
        <v>1893.4051141166526</v>
      </c>
      <c r="AH23" s="247">
        <f t="shared" si="17"/>
        <v>480.36400000000003</v>
      </c>
      <c r="AI23" s="247">
        <f t="shared" si="17"/>
        <v>594.0821837137222</v>
      </c>
      <c r="AJ23" s="247">
        <f t="shared" si="17"/>
        <v>189.50146031746033</v>
      </c>
      <c r="AK23" s="247">
        <f t="shared" si="17"/>
        <v>1971.2782567398415</v>
      </c>
      <c r="AL23" s="247">
        <f t="shared" si="17"/>
        <v>-1052.5582725921533</v>
      </c>
      <c r="AM23" s="249">
        <f t="shared" si="17"/>
        <v>-0.30485679042155672</v>
      </c>
      <c r="AN23" s="249">
        <f t="shared" si="17"/>
        <v>-2.2765266459178637</v>
      </c>
      <c r="AO23" s="240"/>
      <c r="AP23" s="241"/>
    </row>
    <row r="24" spans="1:52">
      <c r="A24" s="216" t="s">
        <v>305</v>
      </c>
      <c r="B24" s="209"/>
      <c r="C24" s="217">
        <f>SUM(C3:C22)</f>
        <v>0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0</v>
      </c>
      <c r="J24" s="212"/>
      <c r="K24" s="217">
        <f>SUM(K3:K22)</f>
        <v>125</v>
      </c>
      <c r="L24" s="212"/>
      <c r="M24" s="212"/>
      <c r="N24" s="213"/>
      <c r="O24" s="214"/>
      <c r="P24" s="217">
        <f>SUM(P3:P22)</f>
        <v>80</v>
      </c>
      <c r="Q24" s="217">
        <f>SUM(Q3:Q22)</f>
        <v>3</v>
      </c>
      <c r="R24" s="217">
        <f t="shared" ref="R24:AE24" si="18">SUM(R3:R22)</f>
        <v>83</v>
      </c>
      <c r="S24" s="217">
        <f>SUM(S3:S22)</f>
        <v>107090</v>
      </c>
      <c r="T24" s="217">
        <f>SUM(T3:T22)</f>
        <v>-5605</v>
      </c>
      <c r="U24" s="217">
        <f t="shared" si="18"/>
        <v>101485</v>
      </c>
      <c r="V24" s="256">
        <f t="shared" si="18"/>
        <v>0.3432130162906547</v>
      </c>
      <c r="W24" s="217">
        <f t="shared" si="18"/>
        <v>16839.179999999997</v>
      </c>
      <c r="X24" s="217">
        <f>SUM(X3:X22)</f>
        <v>29469.969999999998</v>
      </c>
      <c r="Y24" s="215">
        <f>IF(U24=0,0,X24/U24)</f>
        <v>0.29038744642065328</v>
      </c>
      <c r="Z24" s="217">
        <f>SUM(Z3:Z22)</f>
        <v>10656</v>
      </c>
      <c r="AA24" s="217">
        <f>P24*AA49/P49</f>
        <v>76704.655072463764</v>
      </c>
      <c r="AB24" s="217">
        <f t="shared" si="18"/>
        <v>0</v>
      </c>
      <c r="AC24" s="217">
        <f t="shared" si="18"/>
        <v>0</v>
      </c>
      <c r="AD24" s="238">
        <f t="shared" si="18"/>
        <v>1014.8500000000001</v>
      </c>
      <c r="AE24" s="239">
        <f t="shared" si="18"/>
        <v>-23082.390344999996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0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1"/>
      <c r="Q25" s="41"/>
      <c r="R25" s="49"/>
      <c r="S25" s="41"/>
      <c r="T25" s="41"/>
      <c r="U25" s="49"/>
      <c r="V25" s="52"/>
      <c r="W25" s="53"/>
      <c r="X25" s="41"/>
      <c r="Y25" s="54"/>
      <c r="Z25" s="41"/>
      <c r="AA25" s="284">
        <f>SUM(AA3:AA22)</f>
        <v>66587.390345000007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/>
      <c r="D26" s="42"/>
      <c r="E26" s="42"/>
      <c r="F26" s="42"/>
      <c r="G26" s="43"/>
      <c r="H26" s="65">
        <v>672</v>
      </c>
      <c r="I26" s="63">
        <f t="shared" ref="I26:I45" si="19">C26*H26</f>
        <v>0</v>
      </c>
      <c r="J26" s="45"/>
      <c r="K26" s="41">
        <f>'Юнит 27-31.10'!K26+'Юнит 20-26.10'!K26+'Юнит 13-19.10'!K26+'Юнит 06-12.10'!K26+'Юнит 01-05.10'!K26</f>
        <v>5</v>
      </c>
      <c r="L26" s="45"/>
      <c r="M26" s="45"/>
      <c r="N26" s="46">
        <f t="shared" ref="N26" si="20">K26/31</f>
        <v>0.16129032258064516</v>
      </c>
      <c r="O26" s="47">
        <f t="shared" ref="O26" si="21">R26/31</f>
        <v>0.16129032258064516</v>
      </c>
      <c r="P26" s="41">
        <f>'Юнит 27-31.10'!P26+'Юнит 20-26.10'!P26+'Юнит 13-19.10'!P26+'Юнит 06-12.10'!P26+'Юнит 01-05.10'!P26</f>
        <v>4</v>
      </c>
      <c r="Q26" s="41">
        <f>'Юнит 27-31.10'!Q26+'Юнит 20-26.10'!Q26+'Юнит 13-19.10'!Q26+'Юнит 06-12.10'!Q26+'Юнит 01-05.10'!Q26</f>
        <v>1</v>
      </c>
      <c r="R26" s="49">
        <f t="shared" ref="R26:R45" si="22">P26+Q26</f>
        <v>5</v>
      </c>
      <c r="S26" s="41">
        <f>'Юнит 27-31.10'!S26+'Юнит 20-26.10'!S26+'Юнит 13-19.10'!S26+'Юнит 06-12.10'!S26+'Юнит 01-05.10'!S26</f>
        <v>16070</v>
      </c>
      <c r="T26" s="41">
        <f>'Юнит 27-31.10'!T26+'Юнит 20-26.10'!T26+'Юнит 13-19.10'!T26+'Юнит 06-12.10'!T26+'Юнит 01-05.10'!T26</f>
        <v>-5000</v>
      </c>
      <c r="U26" s="49">
        <f t="shared" ref="U26:U45" si="23">S26+T26</f>
        <v>11070</v>
      </c>
      <c r="V26" s="52">
        <f t="shared" ref="V26:V45" si="24">U26/$U$49</f>
        <v>3.7437730603907454E-2</v>
      </c>
      <c r="W26" s="53">
        <f t="shared" ref="W26:W45" si="25">R26*H26</f>
        <v>3360</v>
      </c>
      <c r="X26" s="41">
        <f>'Юнит 27-31.10'!X26+'Юнит 20-26.10'!X26+'Юнит 13-19.10'!X26+'Юнит 06-12.10'!X26+'Юнит 01-05.10'!X26</f>
        <v>2656.7999999999997</v>
      </c>
      <c r="Y26" s="54">
        <f t="shared" ref="Y26:Y45" si="26">IF(U26=0,0,X26/U26)</f>
        <v>0.23999999999999996</v>
      </c>
      <c r="Z26" s="41">
        <f>'Юнит 27-31.10'!Z26+'Юнит 20-26.10'!Z26+'Юнит 13-19.10'!Z26+'Юнит 06-12.10'!Z26+'Юнит 01-05.10'!Z26</f>
        <v>392</v>
      </c>
      <c r="AA26" s="41">
        <f>'Юнит 27-31.10'!AA26+'Юнит 20-26.10'!AA26+'Юнит 13-19.10'!AA26+'Юнит 06-12.10'!AA26+'Юнит 01-05.10'!AA26</f>
        <v>6320.9661150000002</v>
      </c>
      <c r="AB26" s="64"/>
      <c r="AC26" s="51"/>
      <c r="AD26" s="55">
        <f>U26*1%</f>
        <v>110.7</v>
      </c>
      <c r="AE26" s="56">
        <f t="shared" ref="AE26:AE45" si="27">U26-W26-X26-Z26-AA26-AB26-AC26-AD26</f>
        <v>-1770.4661149999995</v>
      </c>
      <c r="AF26" s="55"/>
      <c r="AG26" s="57">
        <f t="shared" ref="AG26:AG45" si="28">IF(R26=0,0,U26/R26)</f>
        <v>2214</v>
      </c>
      <c r="AH26" s="58">
        <f t="shared" ref="AH26:AH45" si="29">H26</f>
        <v>672</v>
      </c>
      <c r="AI26" s="58">
        <f t="shared" ref="AI26:AI45" si="30">IF(R26=0,0,X26/R26)</f>
        <v>531.3599999999999</v>
      </c>
      <c r="AJ26" s="58">
        <f t="shared" ref="AJ26:AJ45" si="31">IF(P26=0,Z26/1,Z26/P26)</f>
        <v>98</v>
      </c>
      <c r="AK26" s="58">
        <f t="shared" ref="AK26:AK45" si="32">IF(P26=0,0,AA26/P26)</f>
        <v>1580.24152875</v>
      </c>
      <c r="AL26" s="58">
        <f t="array" ref="AL26">_xlfn.IFS(R26=0,AE26,R26&lt;0,AE26/-R26,R26&gt;0,AE26/R26)</f>
        <v>-354.09322299999991</v>
      </c>
      <c r="AM26" s="59">
        <f t="shared" ref="AM26:AM45" si="33">IF(AG26=0,0,AL26/AG26)</f>
        <v>-0.15993370505871721</v>
      </c>
      <c r="AN26" s="60">
        <f t="shared" ref="AN26:AN45" si="34">IF(AH26=0,0,AL26/AH26)</f>
        <v>-0.52692443898809516</v>
      </c>
      <c r="AP26" s="62">
        <f t="shared" ref="AP26:AP45" si="35">AL26*C26</f>
        <v>0</v>
      </c>
    </row>
    <row r="27" spans="1:52">
      <c r="A27" s="39">
        <v>2774708622</v>
      </c>
      <c r="B27" s="40" t="s">
        <v>43</v>
      </c>
      <c r="C27" s="41"/>
      <c r="D27" s="42"/>
      <c r="E27" s="42"/>
      <c r="F27" s="42"/>
      <c r="G27" s="43"/>
      <c r="H27" s="65">
        <v>627</v>
      </c>
      <c r="I27" s="63">
        <f t="shared" si="19"/>
        <v>0</v>
      </c>
      <c r="J27" s="45"/>
      <c r="K27" s="41">
        <f>'Юнит 27-31.10'!K27+'Юнит 20-26.10'!K27+'Юнит 13-19.10'!K27+'Юнит 06-12.10'!K27+'Юнит 01-05.10'!K27</f>
        <v>11</v>
      </c>
      <c r="L27" s="45"/>
      <c r="M27" s="45"/>
      <c r="N27" s="46">
        <f t="shared" ref="N27:N45" si="36">K27/31</f>
        <v>0.35483870967741937</v>
      </c>
      <c r="O27" s="47">
        <f t="shared" ref="O27:O45" si="37">R27/31</f>
        <v>0.16129032258064516</v>
      </c>
      <c r="P27" s="41">
        <f>'Юнит 27-31.10'!P27+'Юнит 20-26.10'!P27+'Юнит 13-19.10'!P27+'Юнит 06-12.10'!P27+'Юнит 01-05.10'!P27</f>
        <v>3</v>
      </c>
      <c r="Q27" s="41">
        <f>'Юнит 27-31.10'!Q27+'Юнит 20-26.10'!Q27+'Юнит 13-19.10'!Q27+'Юнит 06-12.10'!Q27+'Юнит 01-05.10'!Q27</f>
        <v>2</v>
      </c>
      <c r="R27" s="49">
        <f t="shared" si="22"/>
        <v>5</v>
      </c>
      <c r="S27" s="41">
        <f>'Юнит 27-31.10'!S27+'Юнит 20-26.10'!S27+'Юнит 13-19.10'!S27+'Юнит 06-12.10'!S27+'Юнит 01-05.10'!S27</f>
        <v>14190</v>
      </c>
      <c r="T27" s="41">
        <f>'Юнит 27-31.10'!T27+'Юнит 20-26.10'!T27+'Юнит 13-19.10'!T27+'Юнит 06-12.10'!T27+'Юнит 01-05.10'!T27</f>
        <v>-8690</v>
      </c>
      <c r="U27" s="49">
        <f t="shared" si="23"/>
        <v>5500</v>
      </c>
      <c r="V27" s="52">
        <f t="shared" si="24"/>
        <v>1.8600498493359621E-2</v>
      </c>
      <c r="W27" s="53">
        <f t="shared" si="25"/>
        <v>3135</v>
      </c>
      <c r="X27" s="41">
        <f>'Юнит 27-31.10'!X27+'Юнит 20-26.10'!X27+'Юнит 13-19.10'!X27+'Юнит 06-12.10'!X27+'Юнит 01-05.10'!X27</f>
        <v>2090</v>
      </c>
      <c r="Y27" s="54">
        <f t="shared" si="26"/>
        <v>0.38</v>
      </c>
      <c r="Z27" s="41">
        <f>'Юнит 27-31.10'!Z27+'Юнит 20-26.10'!Z27+'Юнит 13-19.10'!Z27+'Юнит 06-12.10'!Z27+'Юнит 01-05.10'!Z27</f>
        <v>1120</v>
      </c>
      <c r="AA27" s="41">
        <f>'Юнит 27-31.10'!AA27+'Юнит 20-26.10'!AA27+'Юнит 13-19.10'!AA27+'Юнит 06-12.10'!AA27+'Юнит 01-05.10'!AA27</f>
        <v>6757.2883309999997</v>
      </c>
      <c r="AB27" s="64"/>
      <c r="AC27" s="51"/>
      <c r="AD27" s="55">
        <f>U27*1%</f>
        <v>55</v>
      </c>
      <c r="AE27" s="56">
        <f t="shared" si="27"/>
        <v>-7657.2883309999997</v>
      </c>
      <c r="AF27" s="55"/>
      <c r="AG27" s="57">
        <f t="shared" si="28"/>
        <v>1100</v>
      </c>
      <c r="AH27" s="58">
        <f t="shared" si="29"/>
        <v>627</v>
      </c>
      <c r="AI27" s="58">
        <f t="shared" si="30"/>
        <v>418</v>
      </c>
      <c r="AJ27" s="58">
        <f t="shared" si="31"/>
        <v>373.33333333333331</v>
      </c>
      <c r="AK27" s="58">
        <f t="shared" si="32"/>
        <v>2252.4294436666664</v>
      </c>
      <c r="AL27" s="58">
        <f t="array" ref="AL27">_xlfn.IFS(R27=0,AE27,R27&lt;0,AE27/-R27,R27&gt;0,AE27/R27)</f>
        <v>-1531.4576661999999</v>
      </c>
      <c r="AM27" s="59">
        <f t="shared" si="33"/>
        <v>-1.392234242</v>
      </c>
      <c r="AN27" s="60">
        <f t="shared" si="34"/>
        <v>-2.4425162140350878</v>
      </c>
      <c r="AP27" s="62">
        <f t="shared" si="35"/>
        <v>0</v>
      </c>
    </row>
    <row r="28" spans="1:52">
      <c r="A28" s="39">
        <v>2774709606</v>
      </c>
      <c r="B28" s="40" t="s">
        <v>235</v>
      </c>
      <c r="C28" s="41"/>
      <c r="D28" s="42"/>
      <c r="E28" s="42"/>
      <c r="F28" s="42"/>
      <c r="G28" s="43"/>
      <c r="H28" s="65">
        <v>627</v>
      </c>
      <c r="I28" s="63">
        <f t="shared" si="19"/>
        <v>0</v>
      </c>
      <c r="J28" s="45"/>
      <c r="K28" s="41">
        <f>'Юнит 27-31.10'!K28+'Юнит 20-26.10'!K28+'Юнит 13-19.10'!K28+'Юнит 06-12.10'!K28+'Юнит 01-05.10'!K28</f>
        <v>3</v>
      </c>
      <c r="L28" s="45"/>
      <c r="M28" s="45"/>
      <c r="N28" s="46">
        <f t="shared" si="36"/>
        <v>9.6774193548387094E-2</v>
      </c>
      <c r="O28" s="47">
        <f t="shared" si="37"/>
        <v>6.4516129032258063E-2</v>
      </c>
      <c r="P28" s="41">
        <f>'Юнит 27-31.10'!P28+'Юнит 20-26.10'!P28+'Юнит 13-19.10'!P28+'Юнит 06-12.10'!P28+'Юнит 01-05.10'!P28</f>
        <v>2</v>
      </c>
      <c r="Q28" s="41">
        <f>'Юнит 27-31.10'!Q28+'Юнит 20-26.10'!Q28+'Юнит 13-19.10'!Q28+'Юнит 06-12.10'!Q28+'Юнит 01-05.10'!Q28</f>
        <v>0</v>
      </c>
      <c r="R28" s="49">
        <f t="shared" si="22"/>
        <v>2</v>
      </c>
      <c r="S28" s="41">
        <f>'Юнит 27-31.10'!S28+'Юнит 20-26.10'!S28+'Юнит 13-19.10'!S28+'Юнит 06-12.10'!S28+'Юнит 01-05.10'!S28</f>
        <v>10500</v>
      </c>
      <c r="T28" s="41">
        <f>'Юнит 27-31.10'!T28+'Юнит 20-26.10'!T28+'Юнит 13-19.10'!T28+'Юнит 06-12.10'!T28+'Юнит 01-05.10'!T28</f>
        <v>0</v>
      </c>
      <c r="U28" s="49">
        <f t="shared" si="23"/>
        <v>10500</v>
      </c>
      <c r="V28" s="52">
        <f t="shared" si="24"/>
        <v>3.5510042578232003E-2</v>
      </c>
      <c r="W28" s="53">
        <f t="shared" si="25"/>
        <v>1254</v>
      </c>
      <c r="X28" s="41">
        <f>'Юнит 27-31.10'!X28+'Юнит 20-26.10'!X28+'Юнит 13-19.10'!X28+'Юнит 06-12.10'!X28+'Юнит 01-05.10'!X28</f>
        <v>3790</v>
      </c>
      <c r="Y28" s="54">
        <f t="shared" si="26"/>
        <v>0.36095238095238097</v>
      </c>
      <c r="Z28" s="41">
        <f>'Юнит 27-31.10'!Z28+'Юнит 20-26.10'!Z28+'Юнит 13-19.10'!Z28+'Юнит 06-12.10'!Z28+'Юнит 01-05.10'!Z28</f>
        <v>112</v>
      </c>
      <c r="AA28" s="41">
        <f>'Юнит 27-31.10'!AA28+'Юнит 20-26.10'!AA28+'Юнит 13-19.10'!AA28+'Юнит 06-12.10'!AA28+'Юнит 01-05.10'!AA28</f>
        <v>6499.8547330000001</v>
      </c>
      <c r="AB28" s="64"/>
      <c r="AC28" s="51"/>
      <c r="AD28" s="55">
        <f>U28*1%</f>
        <v>105</v>
      </c>
      <c r="AE28" s="56">
        <f t="shared" si="27"/>
        <v>-1260.8547330000001</v>
      </c>
      <c r="AF28" s="55"/>
      <c r="AG28" s="57">
        <f t="shared" si="28"/>
        <v>5250</v>
      </c>
      <c r="AH28" s="58">
        <f t="shared" si="29"/>
        <v>627</v>
      </c>
      <c r="AI28" s="58">
        <f t="shared" si="30"/>
        <v>1895</v>
      </c>
      <c r="AJ28" s="58">
        <f t="shared" si="31"/>
        <v>56</v>
      </c>
      <c r="AK28" s="58">
        <f t="shared" si="32"/>
        <v>3249.9273665000001</v>
      </c>
      <c r="AL28" s="58">
        <f t="array" ref="AL28">_xlfn.IFS(R28=0,AE28,R28&lt;0,AE28/-R28,R28&gt;0,AE28/R28)</f>
        <v>-630.42736650000006</v>
      </c>
      <c r="AM28" s="59">
        <f t="shared" si="33"/>
        <v>-0.12008140314285716</v>
      </c>
      <c r="AN28" s="60">
        <f t="shared" si="34"/>
        <v>-1.0054662942583732</v>
      </c>
      <c r="AP28" s="62">
        <f t="shared" si="35"/>
        <v>0</v>
      </c>
    </row>
    <row r="29" spans="1:52">
      <c r="A29" s="39">
        <v>2774720465</v>
      </c>
      <c r="B29" s="40" t="s">
        <v>171</v>
      </c>
      <c r="C29" s="41"/>
      <c r="D29" s="42"/>
      <c r="E29" s="42"/>
      <c r="F29" s="42"/>
      <c r="G29" s="43"/>
      <c r="H29" s="65">
        <v>567</v>
      </c>
      <c r="I29" s="63">
        <f t="shared" si="19"/>
        <v>0</v>
      </c>
      <c r="J29" s="45"/>
      <c r="K29" s="41">
        <f>'Юнит 27-31.10'!K29+'Юнит 20-26.10'!K29+'Юнит 13-19.10'!K29+'Юнит 06-12.10'!K29+'Юнит 01-05.10'!K29</f>
        <v>3</v>
      </c>
      <c r="L29" s="45"/>
      <c r="M29" s="45"/>
      <c r="N29" s="46">
        <f t="shared" si="36"/>
        <v>9.6774193548387094E-2</v>
      </c>
      <c r="O29" s="47">
        <f t="shared" si="37"/>
        <v>0</v>
      </c>
      <c r="P29" s="41">
        <f>'Юнит 27-31.10'!P29+'Юнит 20-26.10'!P29+'Юнит 13-19.10'!P29+'Юнит 06-12.10'!P29+'Юнит 01-05.10'!P29</f>
        <v>0</v>
      </c>
      <c r="Q29" s="41">
        <f>'Юнит 27-31.10'!Q29+'Юнит 20-26.10'!Q29+'Юнит 13-19.10'!Q29+'Юнит 06-12.10'!Q29+'Юнит 01-05.10'!Q29</f>
        <v>0</v>
      </c>
      <c r="R29" s="49">
        <f t="shared" si="22"/>
        <v>0</v>
      </c>
      <c r="S29" s="41">
        <f>'Юнит 27-31.10'!S29+'Юнит 20-26.10'!S29+'Юнит 13-19.10'!S29+'Юнит 06-12.10'!S29+'Юнит 01-05.10'!S29</f>
        <v>0</v>
      </c>
      <c r="T29" s="41">
        <f>'Юнит 27-31.10'!T29+'Юнит 20-26.10'!T29+'Юнит 13-19.10'!T29+'Юнит 06-12.10'!T29+'Юнит 01-05.10'!T29</f>
        <v>0</v>
      </c>
      <c r="U29" s="49">
        <f t="shared" si="23"/>
        <v>0</v>
      </c>
      <c r="V29" s="52">
        <f t="shared" si="24"/>
        <v>0</v>
      </c>
      <c r="W29" s="53">
        <f t="shared" si="25"/>
        <v>0</v>
      </c>
      <c r="X29" s="41">
        <f>'Юнит 27-31.10'!X29+'Юнит 20-26.10'!X29+'Юнит 13-19.10'!X29+'Юнит 06-12.10'!X29+'Юнит 01-05.10'!X29</f>
        <v>0</v>
      </c>
      <c r="Y29" s="54">
        <f t="shared" si="26"/>
        <v>0</v>
      </c>
      <c r="Z29" s="41">
        <f>'Юнит 27-31.10'!Z29+'Юнит 20-26.10'!Z29+'Юнит 13-19.10'!Z29+'Юнит 06-12.10'!Z29+'Юнит 01-05.10'!Z29</f>
        <v>224</v>
      </c>
      <c r="AA29" s="41">
        <f>'Юнит 27-31.10'!AA29+'Юнит 20-26.10'!AA29+'Юнит 13-19.10'!AA29+'Юнит 06-12.10'!AA29+'Юнит 01-05.10'!AA29</f>
        <v>0</v>
      </c>
      <c r="AB29" s="64"/>
      <c r="AC29" s="51"/>
      <c r="AD29" s="55">
        <f>U29*1%</f>
        <v>0</v>
      </c>
      <c r="AE29" s="56">
        <f t="shared" si="27"/>
        <v>-224</v>
      </c>
      <c r="AF29" s="55"/>
      <c r="AG29" s="57">
        <f t="shared" si="28"/>
        <v>0</v>
      </c>
      <c r="AH29" s="58">
        <f t="shared" si="29"/>
        <v>567</v>
      </c>
      <c r="AI29" s="58">
        <f t="shared" si="30"/>
        <v>0</v>
      </c>
      <c r="AJ29" s="58">
        <f t="shared" si="31"/>
        <v>224</v>
      </c>
      <c r="AK29" s="58">
        <f t="shared" si="32"/>
        <v>0</v>
      </c>
      <c r="AL29" s="58">
        <f t="array" ref="AL29">_xlfn.IFS(R29=0,AE29,R29&lt;0,AE29/-R29,R29&gt;0,AE29/R29)</f>
        <v>-224</v>
      </c>
      <c r="AM29" s="59">
        <f t="shared" si="33"/>
        <v>0</v>
      </c>
      <c r="AN29" s="60">
        <f t="shared" si="34"/>
        <v>-0.39506172839506171</v>
      </c>
      <c r="AP29" s="62">
        <f t="shared" si="35"/>
        <v>0</v>
      </c>
    </row>
    <row r="30" spans="1:52">
      <c r="A30" s="39">
        <v>2774718470</v>
      </c>
      <c r="B30" s="40" t="s">
        <v>39</v>
      </c>
      <c r="C30" s="41"/>
      <c r="D30" s="42"/>
      <c r="E30" s="42"/>
      <c r="F30" s="42"/>
      <c r="G30" s="43"/>
      <c r="H30" s="65">
        <v>567</v>
      </c>
      <c r="I30" s="63">
        <f t="shared" si="19"/>
        <v>0</v>
      </c>
      <c r="J30" s="45"/>
      <c r="K30" s="41">
        <f>'Юнит 27-31.10'!K30+'Юнит 20-26.10'!K30+'Юнит 13-19.10'!K30+'Юнит 06-12.10'!K30+'Юнит 01-05.10'!K30</f>
        <v>2</v>
      </c>
      <c r="L30" s="45"/>
      <c r="M30" s="45"/>
      <c r="N30" s="46">
        <f t="shared" si="36"/>
        <v>6.4516129032258063E-2</v>
      </c>
      <c r="O30" s="47">
        <f t="shared" si="37"/>
        <v>0</v>
      </c>
      <c r="P30" s="41">
        <f>'Юнит 27-31.10'!P30+'Юнит 20-26.10'!P30+'Юнит 13-19.10'!P30+'Юнит 06-12.10'!P30+'Юнит 01-05.10'!P30</f>
        <v>0</v>
      </c>
      <c r="Q30" s="41">
        <f>'Юнит 27-31.10'!Q30+'Юнит 20-26.10'!Q30+'Юнит 13-19.10'!Q30+'Юнит 06-12.10'!Q30+'Юнит 01-05.10'!Q30</f>
        <v>0</v>
      </c>
      <c r="R30" s="49">
        <f t="shared" si="22"/>
        <v>0</v>
      </c>
      <c r="S30" s="41">
        <f>'Юнит 27-31.10'!S30+'Юнит 20-26.10'!S30+'Юнит 13-19.10'!S30+'Юнит 06-12.10'!S30+'Юнит 01-05.10'!S30</f>
        <v>0</v>
      </c>
      <c r="T30" s="41">
        <f>'Юнит 27-31.10'!T30+'Юнит 20-26.10'!T30+'Юнит 13-19.10'!T30+'Юнит 06-12.10'!T30+'Юнит 01-05.10'!T30</f>
        <v>0</v>
      </c>
      <c r="U30" s="49">
        <f t="shared" si="23"/>
        <v>0</v>
      </c>
      <c r="V30" s="52">
        <f t="shared" si="24"/>
        <v>0</v>
      </c>
      <c r="W30" s="53">
        <f t="shared" si="25"/>
        <v>0</v>
      </c>
      <c r="X30" s="41">
        <f>'Юнит 27-31.10'!X30+'Юнит 20-26.10'!X30+'Юнит 13-19.10'!X30+'Юнит 06-12.10'!X30+'Юнит 01-05.10'!X30</f>
        <v>0</v>
      </c>
      <c r="Y30" s="54">
        <f t="shared" si="26"/>
        <v>0</v>
      </c>
      <c r="Z30" s="41">
        <f>'Юнит 27-31.10'!Z30+'Юнит 20-26.10'!Z30+'Юнит 13-19.10'!Z30+'Юнит 06-12.10'!Z30+'Юнит 01-05.10'!Z30</f>
        <v>224</v>
      </c>
      <c r="AA30" s="41">
        <f>'Юнит 27-31.10'!AA30+'Юнит 20-26.10'!AA30+'Юнит 13-19.10'!AA30+'Юнит 06-12.10'!AA30+'Юнит 01-05.10'!AA30</f>
        <v>0</v>
      </c>
      <c r="AB30" s="64"/>
      <c r="AC30" s="51"/>
      <c r="AD30" s="55">
        <f>U30*1%</f>
        <v>0</v>
      </c>
      <c r="AE30" s="56">
        <f t="shared" si="27"/>
        <v>-224</v>
      </c>
      <c r="AF30" s="55"/>
      <c r="AG30" s="57">
        <f t="shared" si="28"/>
        <v>0</v>
      </c>
      <c r="AH30" s="58">
        <f t="shared" si="29"/>
        <v>567</v>
      </c>
      <c r="AI30" s="58">
        <f t="shared" si="30"/>
        <v>0</v>
      </c>
      <c r="AJ30" s="58">
        <f t="shared" si="31"/>
        <v>224</v>
      </c>
      <c r="AK30" s="58">
        <f t="shared" si="32"/>
        <v>0</v>
      </c>
      <c r="AL30" s="58">
        <f t="array" ref="AL30">_xlfn.IFS(R30=0,AE30,R30&lt;0,AE30/-R30,R30&gt;0,AE30/R30)</f>
        <v>-224</v>
      </c>
      <c r="AM30" s="59">
        <f t="shared" si="33"/>
        <v>0</v>
      </c>
      <c r="AN30" s="60">
        <f t="shared" si="34"/>
        <v>-0.39506172839506171</v>
      </c>
      <c r="AP30" s="62">
        <f t="shared" si="35"/>
        <v>0</v>
      </c>
    </row>
    <row r="31" spans="1:52">
      <c r="A31" s="39">
        <v>2774719022</v>
      </c>
      <c r="B31" s="40" t="s">
        <v>236</v>
      </c>
      <c r="C31" s="41"/>
      <c r="D31" s="42"/>
      <c r="E31" s="42"/>
      <c r="F31" s="42"/>
      <c r="G31" s="43"/>
      <c r="H31" s="65">
        <v>657</v>
      </c>
      <c r="I31" s="63">
        <f t="shared" si="19"/>
        <v>0</v>
      </c>
      <c r="J31" s="45"/>
      <c r="K31" s="41">
        <f>'Юнит 27-31.10'!K31+'Юнит 20-26.10'!K31+'Юнит 13-19.10'!K31+'Юнит 06-12.10'!K31+'Юнит 01-05.10'!K31</f>
        <v>1</v>
      </c>
      <c r="L31" s="45"/>
      <c r="M31" s="45"/>
      <c r="N31" s="46">
        <f t="shared" si="36"/>
        <v>3.2258064516129031E-2</v>
      </c>
      <c r="O31" s="47">
        <f t="shared" si="37"/>
        <v>0</v>
      </c>
      <c r="P31" s="41">
        <f>'Юнит 27-31.10'!P31+'Юнит 20-26.10'!P31+'Юнит 13-19.10'!P31+'Юнит 06-12.10'!P31+'Юнит 01-05.10'!P31</f>
        <v>0</v>
      </c>
      <c r="Q31" s="41">
        <f>'Юнит 27-31.10'!Q31+'Юнит 20-26.10'!Q31+'Юнит 13-19.10'!Q31+'Юнит 06-12.10'!Q31+'Юнит 01-05.10'!Q31</f>
        <v>0</v>
      </c>
      <c r="R31" s="49">
        <f t="shared" si="22"/>
        <v>0</v>
      </c>
      <c r="S31" s="41">
        <f>'Юнит 27-31.10'!S31+'Юнит 20-26.10'!S31+'Юнит 13-19.10'!S31+'Юнит 06-12.10'!S31+'Юнит 01-05.10'!S31</f>
        <v>0</v>
      </c>
      <c r="T31" s="41">
        <f>'Юнит 27-31.10'!T31+'Юнит 20-26.10'!T31+'Юнит 13-19.10'!T31+'Юнит 06-12.10'!T31+'Юнит 01-05.10'!T31</f>
        <v>0</v>
      </c>
      <c r="U31" s="49">
        <f t="shared" si="23"/>
        <v>0</v>
      </c>
      <c r="V31" s="52">
        <f t="shared" si="24"/>
        <v>0</v>
      </c>
      <c r="W31" s="53">
        <f t="shared" si="25"/>
        <v>0</v>
      </c>
      <c r="X31" s="41">
        <f>'Юнит 27-31.10'!X31+'Юнит 20-26.10'!X31+'Юнит 13-19.10'!X31+'Юнит 06-12.10'!X31+'Юнит 01-05.10'!X31</f>
        <v>0</v>
      </c>
      <c r="Y31" s="54">
        <f t="shared" si="26"/>
        <v>0</v>
      </c>
      <c r="Z31" s="41">
        <f>'Юнит 27-31.10'!Z31+'Юнит 20-26.10'!Z31+'Юнит 13-19.10'!Z31+'Юнит 06-12.10'!Z31+'Юнит 01-05.10'!Z31</f>
        <v>0</v>
      </c>
      <c r="AA31" s="41">
        <f>'Юнит 27-31.10'!AA31+'Юнит 20-26.10'!AA31+'Юнит 13-19.10'!AA31+'Юнит 06-12.10'!AA31+'Юнит 01-05.10'!AA31</f>
        <v>0</v>
      </c>
      <c r="AB31" s="64"/>
      <c r="AC31" s="51"/>
      <c r="AD31" s="55">
        <f>U31*1%</f>
        <v>0</v>
      </c>
      <c r="AE31" s="56">
        <f t="shared" si="27"/>
        <v>0</v>
      </c>
      <c r="AF31" s="55"/>
      <c r="AG31" s="57">
        <f t="shared" si="28"/>
        <v>0</v>
      </c>
      <c r="AH31" s="58">
        <f t="shared" si="29"/>
        <v>657</v>
      </c>
      <c r="AI31" s="58">
        <f t="shared" si="30"/>
        <v>0</v>
      </c>
      <c r="AJ31" s="58">
        <f t="shared" si="31"/>
        <v>0</v>
      </c>
      <c r="AK31" s="58">
        <f t="shared" si="32"/>
        <v>0</v>
      </c>
      <c r="AL31" s="58">
        <f t="array" ref="AL31">_xlfn.IFS(R31=0,AE31,R31&lt;0,AE31/-R31,R31&gt;0,AE31/R31)</f>
        <v>0</v>
      </c>
      <c r="AM31" s="59">
        <f t="shared" si="33"/>
        <v>0</v>
      </c>
      <c r="AN31" s="60">
        <f t="shared" si="34"/>
        <v>0</v>
      </c>
      <c r="AP31" s="62">
        <f t="shared" si="35"/>
        <v>0</v>
      </c>
    </row>
    <row r="32" spans="1:52">
      <c r="A32" s="39">
        <v>2774719501</v>
      </c>
      <c r="B32" s="40" t="s">
        <v>237</v>
      </c>
      <c r="C32" s="41"/>
      <c r="D32" s="42"/>
      <c r="E32" s="42"/>
      <c r="F32" s="42"/>
      <c r="G32" s="43"/>
      <c r="H32" s="65">
        <v>597</v>
      </c>
      <c r="I32" s="63">
        <f t="shared" si="19"/>
        <v>0</v>
      </c>
      <c r="J32" s="45"/>
      <c r="K32" s="41">
        <f>'Юнит 27-31.10'!K32+'Юнит 20-26.10'!K32+'Юнит 13-19.10'!K32+'Юнит 06-12.10'!K32+'Юнит 01-05.10'!K32</f>
        <v>1</v>
      </c>
      <c r="L32" s="45"/>
      <c r="M32" s="45"/>
      <c r="N32" s="46">
        <f t="shared" si="36"/>
        <v>3.2258064516129031E-2</v>
      </c>
      <c r="O32" s="47">
        <f t="shared" si="37"/>
        <v>0</v>
      </c>
      <c r="P32" s="41">
        <f>'Юнит 27-31.10'!P32+'Юнит 20-26.10'!P32+'Юнит 13-19.10'!P32+'Юнит 06-12.10'!P32+'Юнит 01-05.10'!P32</f>
        <v>0</v>
      </c>
      <c r="Q32" s="41">
        <f>'Юнит 27-31.10'!Q32+'Юнит 20-26.10'!Q32+'Юнит 13-19.10'!Q32+'Юнит 06-12.10'!Q32+'Юнит 01-05.10'!Q32</f>
        <v>0</v>
      </c>
      <c r="R32" s="49">
        <f t="shared" si="22"/>
        <v>0</v>
      </c>
      <c r="S32" s="41">
        <f>'Юнит 27-31.10'!S32+'Юнит 20-26.10'!S32+'Юнит 13-19.10'!S32+'Юнит 06-12.10'!S32+'Юнит 01-05.10'!S32</f>
        <v>0</v>
      </c>
      <c r="T32" s="41">
        <f>'Юнит 27-31.10'!T32+'Юнит 20-26.10'!T32+'Юнит 13-19.10'!T32+'Юнит 06-12.10'!T32+'Юнит 01-05.10'!T32</f>
        <v>0</v>
      </c>
      <c r="U32" s="49">
        <f t="shared" si="23"/>
        <v>0</v>
      </c>
      <c r="V32" s="52">
        <f t="shared" si="24"/>
        <v>0</v>
      </c>
      <c r="W32" s="53">
        <f t="shared" si="25"/>
        <v>0</v>
      </c>
      <c r="X32" s="41">
        <f>'Юнит 27-31.10'!X32+'Юнит 20-26.10'!X32+'Юнит 13-19.10'!X32+'Юнит 06-12.10'!X32+'Юнит 01-05.10'!X32</f>
        <v>0</v>
      </c>
      <c r="Y32" s="54">
        <f t="shared" si="26"/>
        <v>0</v>
      </c>
      <c r="Z32" s="41">
        <f>'Юнит 27-31.10'!Z32+'Юнит 20-26.10'!Z32+'Юнит 13-19.10'!Z32+'Юнит 06-12.10'!Z32+'Юнит 01-05.10'!Z32</f>
        <v>224</v>
      </c>
      <c r="AA32" s="41">
        <f>'Юнит 27-31.10'!AA32+'Юнит 20-26.10'!AA32+'Юнит 13-19.10'!AA32+'Юнит 06-12.10'!AA32+'Юнит 01-05.10'!AA32</f>
        <v>0</v>
      </c>
      <c r="AB32" s="64"/>
      <c r="AC32" s="51"/>
      <c r="AD32" s="55">
        <f>U32*1%</f>
        <v>0</v>
      </c>
      <c r="AE32" s="56">
        <f t="shared" si="27"/>
        <v>-224</v>
      </c>
      <c r="AF32" s="55"/>
      <c r="AG32" s="57">
        <f t="shared" si="28"/>
        <v>0</v>
      </c>
      <c r="AH32" s="58">
        <f t="shared" si="29"/>
        <v>597</v>
      </c>
      <c r="AI32" s="58">
        <f t="shared" si="30"/>
        <v>0</v>
      </c>
      <c r="AJ32" s="58">
        <f t="shared" si="31"/>
        <v>224</v>
      </c>
      <c r="AK32" s="58">
        <f t="shared" si="32"/>
        <v>0</v>
      </c>
      <c r="AL32" s="58">
        <f t="array" ref="AL32">_xlfn.IFS(R32=0,AE32,R32&lt;0,AE32/-R32,R32&gt;0,AE32/R32)</f>
        <v>-224</v>
      </c>
      <c r="AM32" s="59">
        <f t="shared" si="33"/>
        <v>0</v>
      </c>
      <c r="AN32" s="60">
        <f t="shared" si="34"/>
        <v>-0.37520938023450584</v>
      </c>
      <c r="AP32" s="62">
        <f t="shared" si="35"/>
        <v>0</v>
      </c>
    </row>
    <row r="33" spans="1:42">
      <c r="A33" s="39">
        <v>2774714412</v>
      </c>
      <c r="B33" s="40" t="s">
        <v>142</v>
      </c>
      <c r="C33" s="41"/>
      <c r="D33" s="42"/>
      <c r="E33" s="42"/>
      <c r="F33" s="42"/>
      <c r="G33" s="43"/>
      <c r="H33" s="65">
        <v>552</v>
      </c>
      <c r="I33" s="63">
        <f t="shared" si="19"/>
        <v>0</v>
      </c>
      <c r="J33" s="45"/>
      <c r="K33" s="41">
        <f>'Юнит 27-31.10'!K33+'Юнит 20-26.10'!K33+'Юнит 13-19.10'!K33+'Юнит 06-12.10'!K33+'Юнит 01-05.10'!K33</f>
        <v>1</v>
      </c>
      <c r="L33" s="45"/>
      <c r="M33" s="45"/>
      <c r="N33" s="46">
        <f t="shared" si="36"/>
        <v>3.2258064516129031E-2</v>
      </c>
      <c r="O33" s="47">
        <f t="shared" si="37"/>
        <v>6.4516129032258063E-2</v>
      </c>
      <c r="P33" s="41">
        <f>'Юнит 27-31.10'!P33+'Юнит 20-26.10'!P33+'Юнит 13-19.10'!P33+'Юнит 06-12.10'!P33+'Юнит 01-05.10'!P33</f>
        <v>2</v>
      </c>
      <c r="Q33" s="41">
        <f>'Юнит 27-31.10'!Q33+'Юнит 20-26.10'!Q33+'Юнит 13-19.10'!Q33+'Юнит 06-12.10'!Q33+'Юнит 01-05.10'!Q33</f>
        <v>0</v>
      </c>
      <c r="R33" s="49">
        <f t="shared" si="22"/>
        <v>2</v>
      </c>
      <c r="S33" s="41">
        <f>'Юнит 27-31.10'!S33+'Юнит 20-26.10'!S33+'Юнит 13-19.10'!S33+'Юнит 06-12.10'!S33+'Юнит 01-05.10'!S33</f>
        <v>8300</v>
      </c>
      <c r="T33" s="41">
        <f>'Юнит 27-31.10'!T33+'Юнит 20-26.10'!T33+'Юнит 13-19.10'!T33+'Юнит 06-12.10'!T33+'Юнит 01-05.10'!T33</f>
        <v>0</v>
      </c>
      <c r="U33" s="49">
        <f t="shared" si="23"/>
        <v>8300</v>
      </c>
      <c r="V33" s="52">
        <f t="shared" si="24"/>
        <v>2.8069843180888156E-2</v>
      </c>
      <c r="W33" s="53">
        <f t="shared" si="25"/>
        <v>1104</v>
      </c>
      <c r="X33" s="41">
        <f>'Юнит 27-31.10'!X33+'Юнит 20-26.10'!X33+'Юнит 13-19.10'!X33+'Юнит 06-12.10'!X33+'Юнит 01-05.10'!X33</f>
        <v>2492</v>
      </c>
      <c r="Y33" s="54">
        <f t="shared" si="26"/>
        <v>0.30024096385542171</v>
      </c>
      <c r="Z33" s="41">
        <f>'Юнит 27-31.10'!Z33+'Юнит 20-26.10'!Z33+'Юнит 13-19.10'!Z33+'Юнит 06-12.10'!Z33+'Юнит 01-05.10'!Z33</f>
        <v>224</v>
      </c>
      <c r="AA33" s="41">
        <f>'Юнит 27-31.10'!AA33+'Юнит 20-26.10'!AA33+'Юнит 13-19.10'!AA33+'Юнит 06-12.10'!AA33+'Юнит 01-05.10'!AA33</f>
        <v>0</v>
      </c>
      <c r="AB33" s="64"/>
      <c r="AC33" s="51"/>
      <c r="AD33" s="55">
        <f>U33*1%</f>
        <v>83</v>
      </c>
      <c r="AE33" s="56">
        <f t="shared" si="27"/>
        <v>4397</v>
      </c>
      <c r="AF33" s="55"/>
      <c r="AG33" s="57">
        <f t="shared" si="28"/>
        <v>4150</v>
      </c>
      <c r="AH33" s="58">
        <f t="shared" si="29"/>
        <v>552</v>
      </c>
      <c r="AI33" s="58">
        <f t="shared" si="30"/>
        <v>1246</v>
      </c>
      <c r="AJ33" s="58">
        <f t="shared" si="31"/>
        <v>112</v>
      </c>
      <c r="AK33" s="58">
        <f t="shared" si="32"/>
        <v>0</v>
      </c>
      <c r="AL33" s="58">
        <f t="array" ref="AL33">_xlfn.IFS(R33=0,AE33,R33&lt;0,AE33/-R33,R33&gt;0,AE33/R33)</f>
        <v>2198.5</v>
      </c>
      <c r="AM33" s="59">
        <f t="shared" si="33"/>
        <v>0.52975903614457831</v>
      </c>
      <c r="AN33" s="60">
        <f t="shared" si="34"/>
        <v>3.9827898550724639</v>
      </c>
      <c r="AP33" s="62">
        <f t="shared" si="35"/>
        <v>0</v>
      </c>
    </row>
    <row r="34" spans="1:42">
      <c r="A34" s="39">
        <v>2774710430</v>
      </c>
      <c r="B34" s="40" t="s">
        <v>238</v>
      </c>
      <c r="C34" s="41"/>
      <c r="D34" s="42"/>
      <c r="E34" s="42"/>
      <c r="F34" s="42"/>
      <c r="G34" s="43"/>
      <c r="H34" s="65">
        <v>552</v>
      </c>
      <c r="I34" s="63">
        <f t="shared" si="19"/>
        <v>0</v>
      </c>
      <c r="J34" s="45"/>
      <c r="K34" s="41">
        <f>'Юнит 27-31.10'!K34+'Юнит 20-26.10'!K34+'Юнит 13-19.10'!K34+'Юнит 06-12.10'!K34+'Юнит 01-05.10'!K34</f>
        <v>0</v>
      </c>
      <c r="L34" s="45"/>
      <c r="M34" s="45"/>
      <c r="N34" s="46">
        <f t="shared" si="36"/>
        <v>0</v>
      </c>
      <c r="O34" s="47">
        <f t="shared" si="37"/>
        <v>3.2258064516129031E-2</v>
      </c>
      <c r="P34" s="41">
        <f>'Юнит 27-31.10'!P34+'Юнит 20-26.10'!P34+'Юнит 13-19.10'!P34+'Юнит 06-12.10'!P34+'Юнит 01-05.10'!P34</f>
        <v>1</v>
      </c>
      <c r="Q34" s="41">
        <f>'Юнит 27-31.10'!Q34+'Юнит 20-26.10'!Q34+'Юнит 13-19.10'!Q34+'Юнит 06-12.10'!Q34+'Юнит 01-05.10'!Q34</f>
        <v>0</v>
      </c>
      <c r="R34" s="49">
        <f t="shared" si="22"/>
        <v>1</v>
      </c>
      <c r="S34" s="41">
        <f>'Юнит 27-31.10'!S34+'Юнит 20-26.10'!S34+'Юнит 13-19.10'!S34+'Юнит 06-12.10'!S34+'Юнит 01-05.10'!S34</f>
        <v>4548</v>
      </c>
      <c r="T34" s="41">
        <f>'Юнит 27-31.10'!T34+'Юнит 20-26.10'!T34+'Юнит 13-19.10'!T34+'Юнит 06-12.10'!T34+'Юнит 01-05.10'!T34</f>
        <v>0</v>
      </c>
      <c r="U34" s="49">
        <f t="shared" si="23"/>
        <v>4548</v>
      </c>
      <c r="V34" s="52">
        <f t="shared" si="24"/>
        <v>1.538092129959992E-2</v>
      </c>
      <c r="W34" s="53">
        <f t="shared" si="25"/>
        <v>552</v>
      </c>
      <c r="X34" s="41">
        <f>'Юнит 27-31.10'!X34+'Юнит 20-26.10'!X34+'Юнит 13-19.10'!X34+'Юнит 06-12.10'!X34+'Юнит 01-05.10'!X34</f>
        <v>1546.32</v>
      </c>
      <c r="Y34" s="54">
        <f t="shared" si="26"/>
        <v>0.33999999999999997</v>
      </c>
      <c r="Z34" s="41">
        <f>'Юнит 27-31.10'!Z34+'Юнит 20-26.10'!Z34+'Юнит 13-19.10'!Z34+'Юнит 06-12.10'!Z34+'Юнит 01-05.10'!Z34</f>
        <v>56</v>
      </c>
      <c r="AA34" s="41">
        <f>'Юнит 27-31.10'!AA34+'Юнит 20-26.10'!AA34+'Юнит 13-19.10'!AA34+'Юнит 06-12.10'!AA34+'Юнит 01-05.10'!AA34</f>
        <v>0</v>
      </c>
      <c r="AB34" s="64"/>
      <c r="AC34" s="51"/>
      <c r="AD34" s="55">
        <f>U34*1%</f>
        <v>45.480000000000004</v>
      </c>
      <c r="AE34" s="56">
        <f t="shared" si="27"/>
        <v>2348.2000000000003</v>
      </c>
      <c r="AF34" s="55"/>
      <c r="AG34" s="57">
        <f t="shared" si="28"/>
        <v>4548</v>
      </c>
      <c r="AH34" s="58">
        <f t="shared" si="29"/>
        <v>552</v>
      </c>
      <c r="AI34" s="58">
        <f t="shared" si="30"/>
        <v>1546.32</v>
      </c>
      <c r="AJ34" s="58">
        <f t="shared" si="31"/>
        <v>56</v>
      </c>
      <c r="AK34" s="58">
        <f t="shared" si="32"/>
        <v>0</v>
      </c>
      <c r="AL34" s="58">
        <f t="array" ref="AL34">_xlfn.IFS(R34=0,AE34,R34&lt;0,AE34/-R34,R34&gt;0,AE34/R34)</f>
        <v>2348.2000000000003</v>
      </c>
      <c r="AM34" s="59">
        <f t="shared" si="33"/>
        <v>0.51631486367634127</v>
      </c>
      <c r="AN34" s="60">
        <f t="shared" si="34"/>
        <v>4.2539855072463775</v>
      </c>
      <c r="AP34" s="62">
        <f t="shared" si="35"/>
        <v>0</v>
      </c>
    </row>
    <row r="35" spans="1:42">
      <c r="A35" s="39">
        <v>2774712116</v>
      </c>
      <c r="B35" s="40" t="s">
        <v>62</v>
      </c>
      <c r="C35" s="41"/>
      <c r="D35" s="42"/>
      <c r="E35" s="42"/>
      <c r="F35" s="42"/>
      <c r="G35" s="43"/>
      <c r="H35" s="65">
        <v>687</v>
      </c>
      <c r="I35" s="63">
        <f t="shared" si="19"/>
        <v>0</v>
      </c>
      <c r="J35" s="45"/>
      <c r="K35" s="41">
        <f>'Юнит 27-31.10'!K35+'Юнит 20-26.10'!K35+'Юнит 13-19.10'!K35+'Юнит 06-12.10'!K35+'Юнит 01-05.10'!K35</f>
        <v>13</v>
      </c>
      <c r="L35" s="45"/>
      <c r="M35" s="45"/>
      <c r="N35" s="46">
        <f t="shared" si="36"/>
        <v>0.41935483870967744</v>
      </c>
      <c r="O35" s="47">
        <f t="shared" si="37"/>
        <v>0.12903225806451613</v>
      </c>
      <c r="P35" s="41">
        <f>'Юнит 27-31.10'!P35+'Юнит 20-26.10'!P35+'Юнит 13-19.10'!P35+'Юнит 06-12.10'!P35+'Юнит 01-05.10'!P35</f>
        <v>4</v>
      </c>
      <c r="Q35" s="41">
        <f>'Юнит 27-31.10'!Q35+'Юнит 20-26.10'!Q35+'Юнит 13-19.10'!Q35+'Юнит 06-12.10'!Q35+'Юнит 01-05.10'!Q35</f>
        <v>0</v>
      </c>
      <c r="R35" s="49">
        <f t="shared" si="22"/>
        <v>4</v>
      </c>
      <c r="S35" s="41">
        <f>'Юнит 27-31.10'!S35+'Юнит 20-26.10'!S35+'Юнит 13-19.10'!S35+'Юнит 06-12.10'!S35+'Юнит 01-05.10'!S35</f>
        <v>14760</v>
      </c>
      <c r="T35" s="41">
        <f>'Юнит 27-31.10'!T35+'Юнит 20-26.10'!T35+'Юнит 13-19.10'!T35+'Юнит 06-12.10'!T35+'Юнит 01-05.10'!T35</f>
        <v>0</v>
      </c>
      <c r="U35" s="49">
        <f t="shared" si="23"/>
        <v>14760</v>
      </c>
      <c r="V35" s="52">
        <f t="shared" si="24"/>
        <v>4.9916974138543277E-2</v>
      </c>
      <c r="W35" s="53">
        <f t="shared" si="25"/>
        <v>2748</v>
      </c>
      <c r="X35" s="41">
        <f>'Юнит 27-31.10'!X35+'Юнит 20-26.10'!X35+'Юнит 13-19.10'!X35+'Юнит 06-12.10'!X35+'Юнит 01-05.10'!X35</f>
        <v>3542.4</v>
      </c>
      <c r="Y35" s="54">
        <f t="shared" si="26"/>
        <v>0.24000000000000002</v>
      </c>
      <c r="Z35" s="41">
        <f>'Юнит 27-31.10'!Z35+'Юнит 20-26.10'!Z35+'Юнит 13-19.10'!Z35+'Юнит 06-12.10'!Z35+'Юнит 01-05.10'!Z35</f>
        <v>1008</v>
      </c>
      <c r="AA35" s="41">
        <f>'Юнит 27-31.10'!AA35+'Юнит 20-26.10'!AA35+'Юнит 13-19.10'!AA35+'Юнит 06-12.10'!AA35+'Юнит 01-05.10'!AA35</f>
        <v>8930.2143799999994</v>
      </c>
      <c r="AB35" s="64"/>
      <c r="AC35" s="51"/>
      <c r="AD35" s="55">
        <f>U35*1%</f>
        <v>147.6</v>
      </c>
      <c r="AE35" s="56">
        <f t="shared" si="27"/>
        <v>-1616.214379999999</v>
      </c>
      <c r="AF35" s="55"/>
      <c r="AG35" s="57">
        <f t="shared" si="28"/>
        <v>3690</v>
      </c>
      <c r="AH35" s="58">
        <f t="shared" si="29"/>
        <v>687</v>
      </c>
      <c r="AI35" s="58">
        <f t="shared" si="30"/>
        <v>885.6</v>
      </c>
      <c r="AJ35" s="58">
        <f t="shared" si="31"/>
        <v>252</v>
      </c>
      <c r="AK35" s="58">
        <f t="shared" si="32"/>
        <v>2232.5535949999999</v>
      </c>
      <c r="AL35" s="58">
        <f t="array" ref="AL35">_xlfn.IFS(R35=0,AE35,R35&lt;0,AE35/-R35,R35&gt;0,AE35/R35)</f>
        <v>-404.05359499999975</v>
      </c>
      <c r="AM35" s="59">
        <f t="shared" si="33"/>
        <v>-0.10949961924119234</v>
      </c>
      <c r="AN35" s="60">
        <f t="shared" si="34"/>
        <v>-0.58814205967976674</v>
      </c>
      <c r="AP35" s="62">
        <f t="shared" si="35"/>
        <v>0</v>
      </c>
    </row>
    <row r="36" spans="1:42">
      <c r="A36" s="39">
        <v>2774719012</v>
      </c>
      <c r="B36" s="40" t="s">
        <v>239</v>
      </c>
      <c r="C36" s="41"/>
      <c r="D36" s="42"/>
      <c r="E36" s="42"/>
      <c r="F36" s="42"/>
      <c r="G36" s="43"/>
      <c r="H36" s="65">
        <v>687</v>
      </c>
      <c r="I36" s="63">
        <f t="shared" si="19"/>
        <v>0</v>
      </c>
      <c r="J36" s="45"/>
      <c r="K36" s="41">
        <f>'Юнит 27-31.10'!K36+'Юнит 20-26.10'!K36+'Юнит 13-19.10'!K36+'Юнит 06-12.10'!K36+'Юнит 01-05.10'!K36</f>
        <v>10</v>
      </c>
      <c r="L36" s="45"/>
      <c r="M36" s="45"/>
      <c r="N36" s="46">
        <f t="shared" si="36"/>
        <v>0.32258064516129031</v>
      </c>
      <c r="O36" s="47">
        <f t="shared" si="37"/>
        <v>0.35483870967741937</v>
      </c>
      <c r="P36" s="41">
        <f>'Юнит 27-31.10'!P36+'Юнит 20-26.10'!P36+'Юнит 13-19.10'!P36+'Юнит 06-12.10'!P36+'Юнит 01-05.10'!P36</f>
        <v>10</v>
      </c>
      <c r="Q36" s="41">
        <f>'Юнит 27-31.10'!Q36+'Юнит 20-26.10'!Q36+'Юнит 13-19.10'!Q36+'Юнит 06-12.10'!Q36+'Юнит 01-05.10'!Q36</f>
        <v>1</v>
      </c>
      <c r="R36" s="49">
        <f t="shared" si="22"/>
        <v>11</v>
      </c>
      <c r="S36" s="41">
        <f>'Юнит 27-31.10'!S36+'Юнит 20-26.10'!S36+'Юнит 13-19.10'!S36+'Юнит 06-12.10'!S36+'Юнит 01-05.10'!S36</f>
        <v>42906</v>
      </c>
      <c r="T36" s="41">
        <f>'Юнит 27-31.10'!T36+'Юнит 20-26.10'!T36+'Юнит 13-19.10'!T36+'Юнит 06-12.10'!T36+'Юнит 01-05.10'!T36</f>
        <v>-4548</v>
      </c>
      <c r="U36" s="49">
        <f t="shared" si="23"/>
        <v>38358</v>
      </c>
      <c r="V36" s="52">
        <f t="shared" si="24"/>
        <v>0.12972325840150697</v>
      </c>
      <c r="W36" s="53">
        <f t="shared" si="25"/>
        <v>7557</v>
      </c>
      <c r="X36" s="41">
        <f>'Юнит 27-31.10'!X36+'Юнит 20-26.10'!X36+'Юнит 13-19.10'!X36+'Юнит 06-12.10'!X36+'Юнит 01-05.10'!X36</f>
        <v>12298.560000000001</v>
      </c>
      <c r="Y36" s="54">
        <f t="shared" si="26"/>
        <v>0.32062568434224936</v>
      </c>
      <c r="Z36" s="41">
        <f>'Юнит 27-31.10'!Z36+'Юнит 20-26.10'!Z36+'Юнит 13-19.10'!Z36+'Юнит 06-12.10'!Z36+'Юнит 01-05.10'!Z36</f>
        <v>1064</v>
      </c>
      <c r="AA36" s="41">
        <f>'Юнит 27-31.10'!AA36+'Юнит 20-26.10'!AA36+'Юнит 13-19.10'!AA36+'Юнит 06-12.10'!AA36+'Юнит 01-05.10'!AA36</f>
        <v>16695.080718000001</v>
      </c>
      <c r="AB36" s="64"/>
      <c r="AC36" s="51"/>
      <c r="AD36" s="55">
        <f>U36*1%</f>
        <v>383.58</v>
      </c>
      <c r="AE36" s="56">
        <f t="shared" si="27"/>
        <v>359.77928199999764</v>
      </c>
      <c r="AF36" s="55"/>
      <c r="AG36" s="57">
        <f t="shared" si="28"/>
        <v>3487.090909090909</v>
      </c>
      <c r="AH36" s="58">
        <f t="shared" si="29"/>
        <v>687</v>
      </c>
      <c r="AI36" s="58">
        <f t="shared" si="30"/>
        <v>1118.0509090909093</v>
      </c>
      <c r="AJ36" s="58">
        <f t="shared" si="31"/>
        <v>106.4</v>
      </c>
      <c r="AK36" s="58">
        <f t="shared" si="32"/>
        <v>1669.5080718000002</v>
      </c>
      <c r="AL36" s="58">
        <f t="array" ref="AL36">_xlfn.IFS(R36=0,AE36,R36&lt;0,AE36/-R36,R36&gt;0,AE36/R36)</f>
        <v>32.707207454545241</v>
      </c>
      <c r="AM36" s="59">
        <f t="shared" si="33"/>
        <v>9.3795109755461098E-3</v>
      </c>
      <c r="AN36" s="60">
        <f t="shared" si="34"/>
        <v>4.7608744475320583E-2</v>
      </c>
      <c r="AP36" s="62">
        <f t="shared" si="35"/>
        <v>0</v>
      </c>
    </row>
    <row r="37" spans="1:42">
      <c r="A37" s="39">
        <v>2774719433</v>
      </c>
      <c r="B37" s="40" t="s">
        <v>240</v>
      </c>
      <c r="C37" s="41"/>
      <c r="D37" s="42"/>
      <c r="E37" s="42"/>
      <c r="F37" s="42"/>
      <c r="G37" s="43"/>
      <c r="H37" s="65">
        <v>597</v>
      </c>
      <c r="I37" s="63">
        <f t="shared" si="19"/>
        <v>0</v>
      </c>
      <c r="J37" s="45"/>
      <c r="K37" s="41">
        <f>'Юнит 27-31.10'!K37+'Юнит 20-26.10'!K37+'Юнит 13-19.10'!K37+'Юнит 06-12.10'!K37+'Юнит 01-05.10'!K37</f>
        <v>2</v>
      </c>
      <c r="L37" s="45"/>
      <c r="M37" s="45"/>
      <c r="N37" s="46">
        <f t="shared" si="36"/>
        <v>6.4516129032258063E-2</v>
      </c>
      <c r="O37" s="47">
        <f t="shared" si="37"/>
        <v>3.2258064516129031E-2</v>
      </c>
      <c r="P37" s="41">
        <f>'Юнит 27-31.10'!P37+'Юнит 20-26.10'!P37+'Юнит 13-19.10'!P37+'Юнит 06-12.10'!P37+'Юнит 01-05.10'!P37</f>
        <v>1</v>
      </c>
      <c r="Q37" s="41">
        <f>'Юнит 27-31.10'!Q37+'Юнит 20-26.10'!Q37+'Юнит 13-19.10'!Q37+'Юнит 06-12.10'!Q37+'Юнит 01-05.10'!Q37</f>
        <v>0</v>
      </c>
      <c r="R37" s="49">
        <f t="shared" si="22"/>
        <v>1</v>
      </c>
      <c r="S37" s="41">
        <f>'Юнит 27-31.10'!S37+'Юнит 20-26.10'!S37+'Юнит 13-19.10'!S37+'Юнит 06-12.10'!S37+'Юнит 01-05.10'!S37</f>
        <v>3600</v>
      </c>
      <c r="T37" s="41">
        <f>'Юнит 27-31.10'!T37+'Юнит 20-26.10'!T37+'Юнит 13-19.10'!T37+'Юнит 06-12.10'!T37+'Юнит 01-05.10'!T37</f>
        <v>0</v>
      </c>
      <c r="U37" s="49">
        <f t="shared" si="23"/>
        <v>3600</v>
      </c>
      <c r="V37" s="52">
        <f t="shared" si="24"/>
        <v>1.2174871741108116E-2</v>
      </c>
      <c r="W37" s="53">
        <f t="shared" si="25"/>
        <v>597</v>
      </c>
      <c r="X37" s="41">
        <f>'Юнит 27-31.10'!X37+'Юнит 20-26.10'!X37+'Юнит 13-19.10'!X37+'Юнит 06-12.10'!X37+'Юнит 01-05.10'!X37</f>
        <v>864</v>
      </c>
      <c r="Y37" s="54">
        <f t="shared" si="26"/>
        <v>0.24</v>
      </c>
      <c r="Z37" s="41">
        <f>'Юнит 27-31.10'!Z37+'Юнит 20-26.10'!Z37+'Юнит 13-19.10'!Z37+'Юнит 06-12.10'!Z37+'Юнит 01-05.10'!Z37</f>
        <v>56</v>
      </c>
      <c r="AA37" s="41">
        <f>'Юнит 27-31.10'!AA37+'Юнит 20-26.10'!AA37+'Юнит 13-19.10'!AA37+'Юнит 06-12.10'!AA37+'Юнит 01-05.10'!AA37</f>
        <v>0</v>
      </c>
      <c r="AB37" s="64"/>
      <c r="AC37" s="51"/>
      <c r="AD37" s="55">
        <f>U37*1%</f>
        <v>36</v>
      </c>
      <c r="AE37" s="56">
        <f t="shared" si="27"/>
        <v>2047</v>
      </c>
      <c r="AF37" s="55"/>
      <c r="AG37" s="57">
        <f t="shared" si="28"/>
        <v>3600</v>
      </c>
      <c r="AH37" s="58">
        <f t="shared" si="29"/>
        <v>597</v>
      </c>
      <c r="AI37" s="58">
        <f t="shared" si="30"/>
        <v>864</v>
      </c>
      <c r="AJ37" s="58">
        <f t="shared" si="31"/>
        <v>56</v>
      </c>
      <c r="AK37" s="58">
        <f t="shared" si="32"/>
        <v>0</v>
      </c>
      <c r="AL37" s="58">
        <f t="array" ref="AL37">_xlfn.IFS(R37=0,AE37,R37&lt;0,AE37/-R37,R37&gt;0,AE37/R37)</f>
        <v>2047</v>
      </c>
      <c r="AM37" s="59">
        <f t="shared" si="33"/>
        <v>0.56861111111111107</v>
      </c>
      <c r="AN37" s="60">
        <f t="shared" si="34"/>
        <v>3.4288107202680065</v>
      </c>
      <c r="AP37" s="62">
        <f t="shared" si="35"/>
        <v>0</v>
      </c>
    </row>
    <row r="38" spans="1:42">
      <c r="A38" s="39">
        <v>2774719029</v>
      </c>
      <c r="B38" s="40" t="s">
        <v>241</v>
      </c>
      <c r="C38" s="41"/>
      <c r="D38" s="42"/>
      <c r="E38" s="42"/>
      <c r="F38" s="42"/>
      <c r="G38" s="43"/>
      <c r="H38" s="65">
        <v>597</v>
      </c>
      <c r="I38" s="63">
        <f t="shared" si="19"/>
        <v>0</v>
      </c>
      <c r="J38" s="45"/>
      <c r="K38" s="41">
        <f>'Юнит 27-31.10'!K38+'Юнит 20-26.10'!K38+'Юнит 13-19.10'!K38+'Юнит 06-12.10'!K38+'Юнит 01-05.10'!K38</f>
        <v>4</v>
      </c>
      <c r="L38" s="45"/>
      <c r="M38" s="45"/>
      <c r="N38" s="46">
        <f t="shared" si="36"/>
        <v>0.12903225806451613</v>
      </c>
      <c r="O38" s="47">
        <f t="shared" si="37"/>
        <v>0</v>
      </c>
      <c r="P38" s="41">
        <f>'Юнит 27-31.10'!P38+'Юнит 20-26.10'!P38+'Юнит 13-19.10'!P38+'Юнит 06-12.10'!P38+'Юнит 01-05.10'!P38</f>
        <v>0</v>
      </c>
      <c r="Q38" s="41">
        <f>'Юнит 27-31.10'!Q38+'Юнит 20-26.10'!Q38+'Юнит 13-19.10'!Q38+'Юнит 06-12.10'!Q38+'Юнит 01-05.10'!Q38</f>
        <v>0</v>
      </c>
      <c r="R38" s="49">
        <f t="shared" si="22"/>
        <v>0</v>
      </c>
      <c r="S38" s="41">
        <f>'Юнит 27-31.10'!S38+'Юнит 20-26.10'!S38+'Юнит 13-19.10'!S38+'Юнит 06-12.10'!S38+'Юнит 01-05.10'!S38</f>
        <v>0</v>
      </c>
      <c r="T38" s="41">
        <f>'Юнит 27-31.10'!T38+'Юнит 20-26.10'!T38+'Юнит 13-19.10'!T38+'Юнит 06-12.10'!T38+'Юнит 01-05.10'!T38</f>
        <v>0</v>
      </c>
      <c r="U38" s="49">
        <f t="shared" si="23"/>
        <v>0</v>
      </c>
      <c r="V38" s="52">
        <f t="shared" si="24"/>
        <v>0</v>
      </c>
      <c r="W38" s="53">
        <f t="shared" si="25"/>
        <v>0</v>
      </c>
      <c r="X38" s="41">
        <f>'Юнит 27-31.10'!X38+'Юнит 20-26.10'!X38+'Юнит 13-19.10'!X38+'Юнит 06-12.10'!X38+'Юнит 01-05.10'!X38</f>
        <v>0</v>
      </c>
      <c r="Y38" s="54">
        <f t="shared" si="26"/>
        <v>0</v>
      </c>
      <c r="Z38" s="41">
        <f>'Юнит 27-31.10'!Z38+'Юнит 20-26.10'!Z38+'Юнит 13-19.10'!Z38+'Юнит 06-12.10'!Z38+'Юнит 01-05.10'!Z38</f>
        <v>224</v>
      </c>
      <c r="AA38" s="41">
        <f>'Юнит 27-31.10'!AA38+'Юнит 20-26.10'!AA38+'Юнит 13-19.10'!AA38+'Юнит 06-12.10'!AA38+'Юнит 01-05.10'!AA38</f>
        <v>0</v>
      </c>
      <c r="AB38" s="64"/>
      <c r="AC38" s="51"/>
      <c r="AD38" s="55">
        <f>U38*1%</f>
        <v>0</v>
      </c>
      <c r="AE38" s="56">
        <f t="shared" si="27"/>
        <v>-224</v>
      </c>
      <c r="AF38" s="55"/>
      <c r="AG38" s="57">
        <f t="shared" si="28"/>
        <v>0</v>
      </c>
      <c r="AH38" s="58">
        <f t="shared" si="29"/>
        <v>597</v>
      </c>
      <c r="AI38" s="58">
        <f t="shared" si="30"/>
        <v>0</v>
      </c>
      <c r="AJ38" s="58">
        <f t="shared" si="31"/>
        <v>224</v>
      </c>
      <c r="AK38" s="58">
        <f t="shared" si="32"/>
        <v>0</v>
      </c>
      <c r="AL38" s="58">
        <f t="array" ref="AL38">_xlfn.IFS(R38=0,AE38,R38&lt;0,AE38/-R38,R38&gt;0,AE38/R38)</f>
        <v>-224</v>
      </c>
      <c r="AM38" s="59">
        <f t="shared" si="33"/>
        <v>0</v>
      </c>
      <c r="AN38" s="60">
        <f t="shared" si="34"/>
        <v>-0.37520938023450584</v>
      </c>
      <c r="AP38" s="62">
        <f t="shared" si="35"/>
        <v>0</v>
      </c>
    </row>
    <row r="39" spans="1:42">
      <c r="A39" s="39">
        <v>2774719553</v>
      </c>
      <c r="B39" s="40" t="s">
        <v>242</v>
      </c>
      <c r="C39" s="41"/>
      <c r="D39" s="42"/>
      <c r="E39" s="42"/>
      <c r="F39" s="42"/>
      <c r="G39" s="43"/>
      <c r="H39" s="65">
        <v>597</v>
      </c>
      <c r="I39" s="63">
        <f t="shared" si="19"/>
        <v>0</v>
      </c>
      <c r="J39" s="45"/>
      <c r="K39" s="41">
        <f>'Юнит 27-31.10'!K39+'Юнит 20-26.10'!K39+'Юнит 13-19.10'!K39+'Юнит 06-12.10'!K39+'Юнит 01-05.10'!K39</f>
        <v>0</v>
      </c>
      <c r="L39" s="45"/>
      <c r="M39" s="45"/>
      <c r="N39" s="46">
        <f t="shared" si="36"/>
        <v>0</v>
      </c>
      <c r="O39" s="47">
        <f t="shared" si="37"/>
        <v>0</v>
      </c>
      <c r="P39" s="41">
        <f>'Юнит 27-31.10'!P39+'Юнит 20-26.10'!P39+'Юнит 13-19.10'!P39+'Юнит 06-12.10'!P39+'Юнит 01-05.10'!P39</f>
        <v>0</v>
      </c>
      <c r="Q39" s="41">
        <f>'Юнит 27-31.10'!Q39+'Юнит 20-26.10'!Q39+'Юнит 13-19.10'!Q39+'Юнит 06-12.10'!Q39+'Юнит 01-05.10'!Q39</f>
        <v>0</v>
      </c>
      <c r="R39" s="49">
        <f t="shared" si="22"/>
        <v>0</v>
      </c>
      <c r="S39" s="41">
        <f>'Юнит 27-31.10'!S39+'Юнит 20-26.10'!S39+'Юнит 13-19.10'!S39+'Юнит 06-12.10'!S39+'Юнит 01-05.10'!S39</f>
        <v>0</v>
      </c>
      <c r="T39" s="41">
        <f>'Юнит 27-31.10'!T39+'Юнит 20-26.10'!T39+'Юнит 13-19.10'!T39+'Юнит 06-12.10'!T39+'Юнит 01-05.10'!T39</f>
        <v>0</v>
      </c>
      <c r="U39" s="49">
        <f t="shared" si="23"/>
        <v>0</v>
      </c>
      <c r="V39" s="52">
        <f t="shared" si="24"/>
        <v>0</v>
      </c>
      <c r="W39" s="53">
        <f t="shared" si="25"/>
        <v>0</v>
      </c>
      <c r="X39" s="41">
        <f>'Юнит 27-31.10'!X39+'Юнит 20-26.10'!X39+'Юнит 13-19.10'!X39+'Юнит 06-12.10'!X39+'Юнит 01-05.10'!X39</f>
        <v>0</v>
      </c>
      <c r="Y39" s="54">
        <f t="shared" si="26"/>
        <v>0</v>
      </c>
      <c r="Z39" s="41">
        <f>'Юнит 27-31.10'!Z39+'Юнит 20-26.10'!Z39+'Юнит 13-19.10'!Z39+'Юнит 06-12.10'!Z39+'Юнит 01-05.10'!Z39</f>
        <v>0</v>
      </c>
      <c r="AA39" s="41">
        <f>'Юнит 27-31.10'!AA39+'Юнит 20-26.10'!AA39+'Юнит 13-19.10'!AA39+'Юнит 06-12.10'!AA39+'Юнит 01-05.10'!AA39</f>
        <v>0</v>
      </c>
      <c r="AB39" s="64"/>
      <c r="AC39" s="51"/>
      <c r="AD39" s="55">
        <f>U39*1%</f>
        <v>0</v>
      </c>
      <c r="AE39" s="56">
        <f t="shared" si="27"/>
        <v>0</v>
      </c>
      <c r="AF39" s="55"/>
      <c r="AG39" s="57">
        <f t="shared" si="28"/>
        <v>0</v>
      </c>
      <c r="AH39" s="58">
        <f t="shared" si="29"/>
        <v>597</v>
      </c>
      <c r="AI39" s="58">
        <f t="shared" si="30"/>
        <v>0</v>
      </c>
      <c r="AJ39" s="58">
        <f t="shared" si="31"/>
        <v>0</v>
      </c>
      <c r="AK39" s="58">
        <f t="shared" si="32"/>
        <v>0</v>
      </c>
      <c r="AL39" s="58">
        <f t="array" ref="AL39">_xlfn.IFS(R39=0,AE39,R39&lt;0,AE39/-R39,R39&gt;0,AE39/R39)</f>
        <v>0</v>
      </c>
      <c r="AM39" s="59">
        <f t="shared" si="33"/>
        <v>0</v>
      </c>
      <c r="AN39" s="60">
        <f t="shared" si="34"/>
        <v>0</v>
      </c>
      <c r="AP39" s="62">
        <f t="shared" si="35"/>
        <v>0</v>
      </c>
    </row>
    <row r="40" spans="1:42">
      <c r="A40" s="39">
        <v>2774710913</v>
      </c>
      <c r="B40" s="40" t="s">
        <v>243</v>
      </c>
      <c r="C40" s="41"/>
      <c r="D40" s="42"/>
      <c r="E40" s="42"/>
      <c r="F40" s="42"/>
      <c r="G40" s="43"/>
      <c r="H40" s="65">
        <v>642</v>
      </c>
      <c r="I40" s="63">
        <f t="shared" si="19"/>
        <v>0</v>
      </c>
      <c r="J40" s="45"/>
      <c r="K40" s="41">
        <f>'Юнит 27-31.10'!K40+'Юнит 20-26.10'!K40+'Юнит 13-19.10'!K40+'Юнит 06-12.10'!K40+'Юнит 01-05.10'!K40</f>
        <v>0</v>
      </c>
      <c r="L40" s="45"/>
      <c r="M40" s="45"/>
      <c r="N40" s="46">
        <f t="shared" si="36"/>
        <v>0</v>
      </c>
      <c r="O40" s="47">
        <f t="shared" si="37"/>
        <v>0</v>
      </c>
      <c r="P40" s="41">
        <f>'Юнит 27-31.10'!P40+'Юнит 20-26.10'!P40+'Юнит 13-19.10'!P40+'Юнит 06-12.10'!P40+'Юнит 01-05.10'!P40</f>
        <v>0</v>
      </c>
      <c r="Q40" s="41">
        <f>'Юнит 27-31.10'!Q40+'Юнит 20-26.10'!Q40+'Юнит 13-19.10'!Q40+'Юнит 06-12.10'!Q40+'Юнит 01-05.10'!Q40</f>
        <v>0</v>
      </c>
      <c r="R40" s="49">
        <f t="shared" si="22"/>
        <v>0</v>
      </c>
      <c r="S40" s="41">
        <f>'Юнит 27-31.10'!S40+'Юнит 20-26.10'!S40+'Юнит 13-19.10'!S40+'Юнит 06-12.10'!S40+'Юнит 01-05.10'!S40</f>
        <v>0</v>
      </c>
      <c r="T40" s="41">
        <f>'Юнит 27-31.10'!T40+'Юнит 20-26.10'!T40+'Юнит 13-19.10'!T40+'Юнит 06-12.10'!T40+'Юнит 01-05.10'!T40</f>
        <v>0</v>
      </c>
      <c r="U40" s="49">
        <f t="shared" si="23"/>
        <v>0</v>
      </c>
      <c r="V40" s="52">
        <f t="shared" si="24"/>
        <v>0</v>
      </c>
      <c r="W40" s="53">
        <f t="shared" si="25"/>
        <v>0</v>
      </c>
      <c r="X40" s="41">
        <f>'Юнит 27-31.10'!X40+'Юнит 20-26.10'!X40+'Юнит 13-19.10'!X40+'Юнит 06-12.10'!X40+'Юнит 01-05.10'!X40</f>
        <v>0</v>
      </c>
      <c r="Y40" s="54">
        <f t="shared" si="26"/>
        <v>0</v>
      </c>
      <c r="Z40" s="41">
        <f>'Юнит 27-31.10'!Z40+'Юнит 20-26.10'!Z40+'Юнит 13-19.10'!Z40+'Юнит 06-12.10'!Z40+'Юнит 01-05.10'!Z40</f>
        <v>0</v>
      </c>
      <c r="AA40" s="41">
        <f>'Юнит 27-31.10'!AA40+'Юнит 20-26.10'!AA40+'Юнит 13-19.10'!AA40+'Юнит 06-12.10'!AA40+'Юнит 01-05.10'!AA40</f>
        <v>0</v>
      </c>
      <c r="AB40" s="64"/>
      <c r="AC40" s="51"/>
      <c r="AD40" s="55">
        <f>U40*1%</f>
        <v>0</v>
      </c>
      <c r="AE40" s="56">
        <f t="shared" si="27"/>
        <v>0</v>
      </c>
      <c r="AF40" s="55"/>
      <c r="AG40" s="57">
        <f t="shared" si="28"/>
        <v>0</v>
      </c>
      <c r="AH40" s="58">
        <f t="shared" si="29"/>
        <v>642</v>
      </c>
      <c r="AI40" s="58">
        <f t="shared" si="30"/>
        <v>0</v>
      </c>
      <c r="AJ40" s="58">
        <f t="shared" si="31"/>
        <v>0</v>
      </c>
      <c r="AK40" s="58">
        <f t="shared" si="32"/>
        <v>0</v>
      </c>
      <c r="AL40" s="58">
        <f t="array" ref="AL40">_xlfn.IFS(R40=0,AE40,R40&lt;0,AE40/-R40,R40&gt;0,AE40/R40)</f>
        <v>0</v>
      </c>
      <c r="AM40" s="59">
        <f t="shared" si="33"/>
        <v>0</v>
      </c>
      <c r="AN40" s="60">
        <f t="shared" si="34"/>
        <v>0</v>
      </c>
      <c r="AP40" s="62">
        <f t="shared" si="35"/>
        <v>0</v>
      </c>
    </row>
    <row r="41" spans="1:42">
      <c r="A41" s="39">
        <v>2774721668</v>
      </c>
      <c r="B41" s="376" t="s">
        <v>771</v>
      </c>
      <c r="C41" s="41"/>
      <c r="D41" s="42"/>
      <c r="E41" s="42"/>
      <c r="F41" s="42"/>
      <c r="G41" s="43"/>
      <c r="H41" s="65">
        <v>642</v>
      </c>
      <c r="I41" s="63">
        <f t="shared" si="19"/>
        <v>0</v>
      </c>
      <c r="J41" s="45"/>
      <c r="K41" s="41">
        <f>'Юнит 27-31.10'!K41+'Юнит 20-26.10'!K41+'Юнит 13-19.10'!K41+'Юнит 06-12.10'!K41+'Юнит 01-05.10'!K41</f>
        <v>2</v>
      </c>
      <c r="L41" s="45"/>
      <c r="M41" s="45"/>
      <c r="N41" s="46">
        <f t="shared" si="36"/>
        <v>6.4516129032258063E-2</v>
      </c>
      <c r="O41" s="47">
        <f t="shared" si="37"/>
        <v>0</v>
      </c>
      <c r="P41" s="41">
        <f>'Юнит 27-31.10'!P41+'Юнит 20-26.10'!P41+'Юнит 13-19.10'!P41+'Юнит 06-12.10'!P41+'Юнит 01-05.10'!P41</f>
        <v>0</v>
      </c>
      <c r="Q41" s="41">
        <f>'Юнит 27-31.10'!Q41+'Юнит 20-26.10'!Q41+'Юнит 13-19.10'!Q41+'Юнит 06-12.10'!Q41+'Юнит 01-05.10'!Q41</f>
        <v>0</v>
      </c>
      <c r="R41" s="49">
        <f t="shared" si="22"/>
        <v>0</v>
      </c>
      <c r="S41" s="41">
        <f>'Юнит 27-31.10'!S41+'Юнит 20-26.10'!S41+'Юнит 13-19.10'!S41+'Юнит 06-12.10'!S41+'Юнит 01-05.10'!S41</f>
        <v>0</v>
      </c>
      <c r="T41" s="41">
        <f>'Юнит 27-31.10'!T41+'Юнит 20-26.10'!T41+'Юнит 13-19.10'!T41+'Юнит 06-12.10'!T41+'Юнит 01-05.10'!T41</f>
        <v>0</v>
      </c>
      <c r="U41" s="49">
        <f t="shared" si="23"/>
        <v>0</v>
      </c>
      <c r="V41" s="52">
        <f t="shared" si="24"/>
        <v>0</v>
      </c>
      <c r="W41" s="53">
        <f t="shared" si="25"/>
        <v>0</v>
      </c>
      <c r="X41" s="41">
        <f>'Юнит 27-31.10'!X41+'Юнит 20-26.10'!X41+'Юнит 13-19.10'!X41+'Юнит 06-12.10'!X41+'Юнит 01-05.10'!X41</f>
        <v>0</v>
      </c>
      <c r="Y41" s="54">
        <f t="shared" si="26"/>
        <v>0</v>
      </c>
      <c r="Z41" s="41">
        <f>'Юнит 27-31.10'!Z41+'Юнит 20-26.10'!Z41+'Юнит 13-19.10'!Z41+'Юнит 06-12.10'!Z41+'Юнит 01-05.10'!Z41</f>
        <v>112</v>
      </c>
      <c r="AA41" s="41">
        <f>'Юнит 27-31.10'!AA41+'Юнит 20-26.10'!AA41+'Юнит 13-19.10'!AA41+'Юнит 06-12.10'!AA41+'Юнит 01-05.10'!AA41</f>
        <v>0</v>
      </c>
      <c r="AB41" s="64"/>
      <c r="AC41" s="51"/>
      <c r="AD41" s="55">
        <f>U41*1%</f>
        <v>0</v>
      </c>
      <c r="AE41" s="56">
        <f t="shared" si="27"/>
        <v>-112</v>
      </c>
      <c r="AF41" s="55"/>
      <c r="AG41" s="57">
        <f t="shared" si="28"/>
        <v>0</v>
      </c>
      <c r="AH41" s="58">
        <f t="shared" si="29"/>
        <v>642</v>
      </c>
      <c r="AI41" s="58">
        <f t="shared" si="30"/>
        <v>0</v>
      </c>
      <c r="AJ41" s="58">
        <f t="shared" si="31"/>
        <v>112</v>
      </c>
      <c r="AK41" s="58">
        <f t="shared" si="32"/>
        <v>0</v>
      </c>
      <c r="AL41" s="58">
        <f t="array" ref="AL41">_xlfn.IFS(R41=0,AE41,R41&lt;0,AE41/-R41,R41&gt;0,AE41/R41)</f>
        <v>-112</v>
      </c>
      <c r="AM41" s="59">
        <f t="shared" si="33"/>
        <v>0</v>
      </c>
      <c r="AN41" s="60">
        <f t="shared" si="34"/>
        <v>-0.17445482866043613</v>
      </c>
      <c r="AP41" s="62">
        <f t="shared" si="35"/>
        <v>0</v>
      </c>
    </row>
    <row r="42" spans="1:42">
      <c r="A42" s="39">
        <v>2774722656</v>
      </c>
      <c r="B42" s="40" t="s">
        <v>51</v>
      </c>
      <c r="C42" s="41"/>
      <c r="D42" s="42"/>
      <c r="E42" s="42"/>
      <c r="F42" s="42"/>
      <c r="G42" s="43"/>
      <c r="H42" s="65">
        <v>687</v>
      </c>
      <c r="I42" s="63">
        <f t="shared" si="19"/>
        <v>0</v>
      </c>
      <c r="J42" s="45"/>
      <c r="K42" s="41">
        <f>'Юнит 27-31.10'!K42+'Юнит 20-26.10'!K42+'Юнит 13-19.10'!K42+'Юнит 06-12.10'!K42+'Юнит 01-05.10'!K42</f>
        <v>19</v>
      </c>
      <c r="L42" s="45"/>
      <c r="M42" s="45"/>
      <c r="N42" s="46">
        <f t="shared" si="36"/>
        <v>0.61290322580645162</v>
      </c>
      <c r="O42" s="47">
        <f t="shared" si="37"/>
        <v>0.38709677419354838</v>
      </c>
      <c r="P42" s="41">
        <f>'Юнит 27-31.10'!P42+'Юнит 20-26.10'!P42+'Юнит 13-19.10'!P42+'Юнит 06-12.10'!P42+'Юнит 01-05.10'!P42</f>
        <v>10</v>
      </c>
      <c r="Q42" s="41">
        <f>'Юнит 27-31.10'!Q42+'Юнит 20-26.10'!Q42+'Юнит 13-19.10'!Q42+'Юнит 06-12.10'!Q42+'Юнит 01-05.10'!Q42</f>
        <v>2</v>
      </c>
      <c r="R42" s="49">
        <f t="shared" si="22"/>
        <v>12</v>
      </c>
      <c r="S42" s="41">
        <f>'Юнит 27-31.10'!S42+'Юнит 20-26.10'!S42+'Юнит 13-19.10'!S42+'Юнит 06-12.10'!S42+'Юнит 01-05.10'!S42</f>
        <v>32810</v>
      </c>
      <c r="T42" s="41">
        <f>'Юнит 27-31.10'!T42+'Юнит 20-26.10'!T42+'Юнит 13-19.10'!T42+'Юнит 06-12.10'!T42+'Юнит 01-05.10'!T42</f>
        <v>-6300</v>
      </c>
      <c r="U42" s="49">
        <f t="shared" si="23"/>
        <v>26510</v>
      </c>
      <c r="V42" s="52">
        <f t="shared" si="24"/>
        <v>8.9654402737993383E-2</v>
      </c>
      <c r="W42" s="53">
        <f t="shared" si="25"/>
        <v>8244</v>
      </c>
      <c r="X42" s="41">
        <f>'Юнит 27-31.10'!X42+'Юнит 20-26.10'!X42+'Юнит 13-19.10'!X42+'Юнит 06-12.10'!X42+'Юнит 01-05.10'!X42</f>
        <v>6862.4</v>
      </c>
      <c r="Y42" s="54">
        <f t="shared" si="26"/>
        <v>0.25886080724254995</v>
      </c>
      <c r="Z42" s="41">
        <f>'Юнит 27-31.10'!Z42+'Юнит 20-26.10'!Z42+'Юнит 13-19.10'!Z42+'Юнит 06-12.10'!Z42+'Юнит 01-05.10'!Z42</f>
        <v>2128</v>
      </c>
      <c r="AA42" s="41">
        <f>'Юнит 27-31.10'!AA42+'Юнит 20-26.10'!AA42+'Юнит 13-19.10'!AA42+'Юнит 06-12.10'!AA42+'Юнит 01-05.10'!AA42</f>
        <v>2744.2508929999999</v>
      </c>
      <c r="AB42" s="64"/>
      <c r="AC42" s="51"/>
      <c r="AD42" s="55">
        <f>U42*1%</f>
        <v>265.10000000000002</v>
      </c>
      <c r="AE42" s="56">
        <f t="shared" si="27"/>
        <v>6266.2491069999996</v>
      </c>
      <c r="AF42" s="55"/>
      <c r="AG42" s="57">
        <f t="shared" si="28"/>
        <v>2209.1666666666665</v>
      </c>
      <c r="AH42" s="58">
        <f t="shared" si="29"/>
        <v>687</v>
      </c>
      <c r="AI42" s="58">
        <f t="shared" si="30"/>
        <v>571.86666666666667</v>
      </c>
      <c r="AJ42" s="58">
        <f t="shared" si="31"/>
        <v>212.8</v>
      </c>
      <c r="AK42" s="58">
        <f t="shared" si="32"/>
        <v>274.42508929999997</v>
      </c>
      <c r="AL42" s="58">
        <f t="array" ref="AL42">_xlfn.IFS(R42=0,AE42,R42&lt;0,AE42/-R42,R42&gt;0,AE42/R42)</f>
        <v>522.18742558333327</v>
      </c>
      <c r="AM42" s="59">
        <f t="shared" si="33"/>
        <v>0.23637303308185589</v>
      </c>
      <c r="AN42" s="60">
        <f t="shared" si="34"/>
        <v>0.76009814495390582</v>
      </c>
      <c r="AP42" s="62">
        <f t="shared" si="35"/>
        <v>0</v>
      </c>
    </row>
    <row r="43" spans="1:42">
      <c r="A43" s="39">
        <v>2774721190</v>
      </c>
      <c r="B43" s="40" t="s">
        <v>70</v>
      </c>
      <c r="C43" s="41"/>
      <c r="D43" s="42"/>
      <c r="E43" s="42"/>
      <c r="F43" s="42"/>
      <c r="G43" s="43"/>
      <c r="H43" s="65">
        <v>687</v>
      </c>
      <c r="I43" s="63">
        <f t="shared" si="19"/>
        <v>0</v>
      </c>
      <c r="J43" s="45"/>
      <c r="K43" s="41">
        <f>'Юнит 27-31.10'!K43+'Юнит 20-26.10'!K43+'Юнит 13-19.10'!K43+'Юнит 06-12.10'!K43+'Юнит 01-05.10'!K43</f>
        <v>22</v>
      </c>
      <c r="L43" s="45"/>
      <c r="M43" s="45"/>
      <c r="N43" s="46">
        <f t="shared" si="36"/>
        <v>0.70967741935483875</v>
      </c>
      <c r="O43" s="47">
        <f t="shared" si="37"/>
        <v>0.25806451612903225</v>
      </c>
      <c r="P43" s="41">
        <f>'Юнит 27-31.10'!P43+'Юнит 20-26.10'!P43+'Юнит 13-19.10'!P43+'Юнит 06-12.10'!P43+'Юнит 01-05.10'!P43</f>
        <v>8</v>
      </c>
      <c r="Q43" s="41">
        <f>'Юнит 27-31.10'!Q43+'Юнит 20-26.10'!Q43+'Юнит 13-19.10'!Q43+'Юнит 06-12.10'!Q43+'Юнит 01-05.10'!Q43</f>
        <v>0</v>
      </c>
      <c r="R43" s="49">
        <f t="shared" si="22"/>
        <v>8</v>
      </c>
      <c r="S43" s="41">
        <f>'Юнит 27-31.10'!S43+'Юнит 20-26.10'!S43+'Юнит 13-19.10'!S43+'Юнит 06-12.10'!S43+'Юнит 01-05.10'!S43</f>
        <v>27360</v>
      </c>
      <c r="T43" s="41">
        <f>'Юнит 27-31.10'!T43+'Юнит 20-26.10'!T43+'Юнит 13-19.10'!T43+'Юнит 06-12.10'!T43+'Юнит 01-05.10'!T43</f>
        <v>0</v>
      </c>
      <c r="U43" s="49">
        <f t="shared" si="23"/>
        <v>27360</v>
      </c>
      <c r="V43" s="52">
        <f t="shared" si="24"/>
        <v>9.252902523242168E-2</v>
      </c>
      <c r="W43" s="53">
        <f t="shared" si="25"/>
        <v>5496</v>
      </c>
      <c r="X43" s="41">
        <f>'Юнит 27-31.10'!X43+'Юнит 20-26.10'!X43+'Юнит 13-19.10'!X43+'Юнит 06-12.10'!X43+'Юнит 01-05.10'!X43</f>
        <v>6566.4</v>
      </c>
      <c r="Y43" s="54">
        <f t="shared" si="26"/>
        <v>0.24</v>
      </c>
      <c r="Z43" s="41">
        <f>'Юнит 27-31.10'!Z43+'Юнит 20-26.10'!Z43+'Юнит 13-19.10'!Z43+'Юнит 06-12.10'!Z43+'Юнит 01-05.10'!Z43</f>
        <v>1680</v>
      </c>
      <c r="AA43" s="41">
        <f>'Юнит 27-31.10'!AA43+'Юнит 20-26.10'!AA43+'Юнит 13-19.10'!AA43+'Юнит 06-12.10'!AA43+'Юнит 01-05.10'!AA43</f>
        <v>8318.8653550000017</v>
      </c>
      <c r="AB43" s="64"/>
      <c r="AC43" s="51"/>
      <c r="AD43" s="55">
        <f>U43*1%</f>
        <v>273.60000000000002</v>
      </c>
      <c r="AE43" s="56">
        <f t="shared" si="27"/>
        <v>5025.1346449999983</v>
      </c>
      <c r="AF43" s="55"/>
      <c r="AG43" s="57">
        <f t="shared" si="28"/>
        <v>3420</v>
      </c>
      <c r="AH43" s="58">
        <f t="shared" si="29"/>
        <v>687</v>
      </c>
      <c r="AI43" s="58">
        <f t="shared" si="30"/>
        <v>820.8</v>
      </c>
      <c r="AJ43" s="58">
        <f t="shared" si="31"/>
        <v>210</v>
      </c>
      <c r="AK43" s="58">
        <f t="shared" si="32"/>
        <v>1039.8581693750002</v>
      </c>
      <c r="AL43" s="58">
        <f t="array" ref="AL43">_xlfn.IFS(R43=0,AE43,R43&lt;0,AE43/-R43,R43&gt;0,AE43/R43)</f>
        <v>628.14183062499978</v>
      </c>
      <c r="AM43" s="59">
        <f t="shared" si="33"/>
        <v>0.18366720193713443</v>
      </c>
      <c r="AN43" s="60">
        <f t="shared" si="34"/>
        <v>0.91432580877001424</v>
      </c>
      <c r="AP43" s="62">
        <f t="shared" si="35"/>
        <v>0</v>
      </c>
    </row>
    <row r="44" spans="1:42">
      <c r="A44" s="39">
        <v>2774718796</v>
      </c>
      <c r="B44" s="40" t="s">
        <v>66</v>
      </c>
      <c r="C44" s="41"/>
      <c r="D44" s="42"/>
      <c r="E44" s="42"/>
      <c r="F44" s="42"/>
      <c r="G44" s="43"/>
      <c r="H44" s="65">
        <v>552</v>
      </c>
      <c r="I44" s="63">
        <f t="shared" si="19"/>
        <v>0</v>
      </c>
      <c r="J44" s="45"/>
      <c r="K44" s="41">
        <f>'Юнит 27-31.10'!K44+'Юнит 20-26.10'!K44+'Юнит 13-19.10'!K44+'Юнит 06-12.10'!K44+'Юнит 01-05.10'!K44</f>
        <v>17</v>
      </c>
      <c r="L44" s="45"/>
      <c r="M44" s="45"/>
      <c r="N44" s="46">
        <f t="shared" si="36"/>
        <v>0.54838709677419351</v>
      </c>
      <c r="O44" s="47">
        <f t="shared" si="37"/>
        <v>0.41935483870967744</v>
      </c>
      <c r="P44" s="41">
        <f>'Юнит 27-31.10'!P44+'Юнит 20-26.10'!P44+'Юнит 13-19.10'!P44+'Юнит 06-12.10'!P44+'Юнит 01-05.10'!P44</f>
        <v>12</v>
      </c>
      <c r="Q44" s="41">
        <f>'Юнит 27-31.10'!Q44+'Юнит 20-26.10'!Q44+'Юнит 13-19.10'!Q44+'Юнит 06-12.10'!Q44+'Юнит 01-05.10'!Q44</f>
        <v>1</v>
      </c>
      <c r="R44" s="49">
        <f t="shared" si="22"/>
        <v>13</v>
      </c>
      <c r="S44" s="41">
        <f>'Юнит 27-31.10'!S44+'Юнит 20-26.10'!S44+'Юнит 13-19.10'!S44+'Юнит 06-12.10'!S44+'Юнит 01-05.10'!S44</f>
        <v>46040</v>
      </c>
      <c r="T44" s="41">
        <f>'Юнит 27-31.10'!T44+'Юнит 20-26.10'!T44+'Юнит 13-19.10'!T44+'Юнит 06-12.10'!T44+'Юнит 01-05.10'!T44</f>
        <v>-2340</v>
      </c>
      <c r="U44" s="49">
        <f t="shared" si="23"/>
        <v>43700</v>
      </c>
      <c r="V44" s="52">
        <f t="shared" si="24"/>
        <v>0.14778941530178463</v>
      </c>
      <c r="W44" s="53">
        <f t="shared" si="25"/>
        <v>7176</v>
      </c>
      <c r="X44" s="41">
        <f>'Юнит 27-31.10'!X44+'Юнит 20-26.10'!X44+'Юнит 13-19.10'!X44+'Юнит 06-12.10'!X44+'Юнит 01-05.10'!X44</f>
        <v>11488</v>
      </c>
      <c r="Y44" s="54">
        <f t="shared" si="26"/>
        <v>0.26288329519450798</v>
      </c>
      <c r="Z44" s="41">
        <f>'Юнит 27-31.10'!Z44+'Юнит 20-26.10'!Z44+'Юнит 13-19.10'!Z44+'Юнит 06-12.10'!Z44+'Юнит 01-05.10'!Z44</f>
        <v>1848</v>
      </c>
      <c r="AA44" s="41">
        <f>'Юнит 27-31.10'!AA44+'Юнит 20-26.10'!AA44+'Юнит 13-19.10'!AA44+'Юнит 06-12.10'!AA44+'Юнит 01-05.10'!AA44</f>
        <v>8788.2431720000004</v>
      </c>
      <c r="AB44" s="64"/>
      <c r="AC44" s="51"/>
      <c r="AD44" s="55">
        <f>U44*1%</f>
        <v>437</v>
      </c>
      <c r="AE44" s="56">
        <f t="shared" si="27"/>
        <v>13962.756828</v>
      </c>
      <c r="AF44" s="55"/>
      <c r="AG44" s="57">
        <f t="shared" si="28"/>
        <v>3361.5384615384614</v>
      </c>
      <c r="AH44" s="58">
        <f t="shared" si="29"/>
        <v>552</v>
      </c>
      <c r="AI44" s="58">
        <f t="shared" si="30"/>
        <v>883.69230769230774</v>
      </c>
      <c r="AJ44" s="58">
        <f t="shared" si="31"/>
        <v>154</v>
      </c>
      <c r="AK44" s="58">
        <f t="shared" si="32"/>
        <v>732.3535976666667</v>
      </c>
      <c r="AL44" s="58">
        <f t="array" ref="AL44">_xlfn.IFS(R44=0,AE44,R44&lt;0,AE44/-R44,R44&gt;0,AE44/R44)</f>
        <v>1074.0582175384616</v>
      </c>
      <c r="AM44" s="59">
        <f t="shared" si="33"/>
        <v>0.3195138862242563</v>
      </c>
      <c r="AN44" s="60">
        <f t="shared" si="34"/>
        <v>1.9457576404682275</v>
      </c>
      <c r="AP44" s="62">
        <f t="shared" si="35"/>
        <v>0</v>
      </c>
    </row>
    <row r="45" spans="1:42">
      <c r="A45" s="39">
        <v>2774719500</v>
      </c>
      <c r="B45" s="40" t="s">
        <v>245</v>
      </c>
      <c r="C45" s="41"/>
      <c r="D45" s="42"/>
      <c r="E45" s="42"/>
      <c r="F45" s="42"/>
      <c r="G45" s="43"/>
      <c r="H45" s="65">
        <v>552</v>
      </c>
      <c r="I45" s="63">
        <f t="shared" si="19"/>
        <v>0</v>
      </c>
      <c r="J45" s="45"/>
      <c r="K45" s="41">
        <f>'Юнит 27-31.10'!K45+'Юнит 20-26.10'!K45+'Юнит 13-19.10'!K45+'Юнит 06-12.10'!K45+'Юнит 01-05.10'!K45</f>
        <v>1</v>
      </c>
      <c r="L45" s="45"/>
      <c r="M45" s="45"/>
      <c r="N45" s="46">
        <f t="shared" si="36"/>
        <v>3.2258064516129031E-2</v>
      </c>
      <c r="O45" s="47">
        <f t="shared" si="37"/>
        <v>6.4516129032258063E-2</v>
      </c>
      <c r="P45" s="41">
        <f>'Юнит 27-31.10'!P45+'Юнит 20-26.10'!P45+'Юнит 13-19.10'!P45+'Юнит 06-12.10'!P45+'Юнит 01-05.10'!P45</f>
        <v>1</v>
      </c>
      <c r="Q45" s="41">
        <f>'Юнит 27-31.10'!Q45+'Юнит 20-26.10'!Q45+'Юнит 13-19.10'!Q45+'Юнит 06-12.10'!Q45+'Юнит 01-05.10'!Q45</f>
        <v>1</v>
      </c>
      <c r="R45" s="49">
        <f t="shared" si="22"/>
        <v>2</v>
      </c>
      <c r="S45" s="41">
        <f>'Юнит 27-31.10'!S45+'Юнит 20-26.10'!S45+'Юнит 13-19.10'!S45+'Юнит 06-12.10'!S45+'Юнит 01-05.10'!S45</f>
        <v>5000</v>
      </c>
      <c r="T45" s="41">
        <f>'Юнит 27-31.10'!T45+'Юнит 20-26.10'!T45+'Юнит 13-19.10'!T45+'Юнит 06-12.10'!T45+'Юнит 01-05.10'!T45</f>
        <v>-5000</v>
      </c>
      <c r="U45" s="49">
        <f t="shared" si="23"/>
        <v>0</v>
      </c>
      <c r="V45" s="52">
        <f t="shared" si="24"/>
        <v>0</v>
      </c>
      <c r="W45" s="53">
        <f t="shared" si="25"/>
        <v>1104</v>
      </c>
      <c r="X45" s="41">
        <f>'Юнит 27-31.10'!X45+'Юнит 20-26.10'!X45+'Юнит 13-19.10'!X45+'Юнит 06-12.10'!X45+'Юнит 01-05.10'!X45</f>
        <v>0</v>
      </c>
      <c r="Y45" s="54">
        <f t="shared" si="26"/>
        <v>0</v>
      </c>
      <c r="Z45" s="41">
        <f>'Юнит 27-31.10'!Z45+'Юнит 20-26.10'!Z45+'Юнит 13-19.10'!Z45+'Юнит 06-12.10'!Z45+'Юнит 01-05.10'!Z45</f>
        <v>112</v>
      </c>
      <c r="AA45" s="41">
        <f>'Юнит 27-31.10'!AA45+'Юнит 20-26.10'!AA45+'Юнит 13-19.10'!AA45+'Юнит 06-12.10'!AA45+'Юнит 01-05.10'!AA45</f>
        <v>219.89350400000001</v>
      </c>
      <c r="AB45" s="64"/>
      <c r="AC45" s="51"/>
      <c r="AD45" s="55">
        <f>U45*1%</f>
        <v>0</v>
      </c>
      <c r="AE45" s="56">
        <f t="shared" si="27"/>
        <v>-1435.8935040000001</v>
      </c>
      <c r="AF45" s="55"/>
      <c r="AG45" s="57">
        <f t="shared" si="28"/>
        <v>0</v>
      </c>
      <c r="AH45" s="58">
        <f t="shared" si="29"/>
        <v>552</v>
      </c>
      <c r="AI45" s="58">
        <f t="shared" si="30"/>
        <v>0</v>
      </c>
      <c r="AJ45" s="58">
        <f t="shared" si="31"/>
        <v>112</v>
      </c>
      <c r="AK45" s="58">
        <f t="shared" si="32"/>
        <v>219.89350400000001</v>
      </c>
      <c r="AL45" s="58">
        <f t="array" ref="AL45">_xlfn.IFS(R45=0,AE45,R45&lt;0,AE45/-R45,R45&gt;0,AE45/R45)</f>
        <v>-717.94675200000006</v>
      </c>
      <c r="AM45" s="59">
        <f t="shared" si="33"/>
        <v>0</v>
      </c>
      <c r="AN45" s="60">
        <f t="shared" si="34"/>
        <v>-1.3006281739130436</v>
      </c>
      <c r="AP45" s="62">
        <f t="shared" si="35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1"/>
      <c r="Q46" s="41"/>
      <c r="R46" s="49"/>
      <c r="S46" s="41"/>
      <c r="T46" s="41"/>
      <c r="U46" s="49"/>
      <c r="V46" s="52"/>
      <c r="W46" s="53"/>
      <c r="X46" s="41"/>
      <c r="Y46" s="54"/>
      <c r="Z46" s="41"/>
      <c r="AA46" s="41"/>
      <c r="AB46" s="64"/>
      <c r="AC46" s="51"/>
      <c r="AD46" s="55"/>
      <c r="AE46" s="56"/>
      <c r="AF46" s="55"/>
      <c r="AG46" s="258">
        <f t="shared" ref="AG46:AN46" si="38">AVERAGEIF(AG26:AG45,"&lt;&gt;0",AG26:AG45)</f>
        <v>3366.3450942996396</v>
      </c>
      <c r="AH46" s="259">
        <f t="shared" si="38"/>
        <v>617.25</v>
      </c>
      <c r="AI46" s="259">
        <f t="shared" si="38"/>
        <v>980.06271667726219</v>
      </c>
      <c r="AJ46" s="259">
        <f t="shared" si="38"/>
        <v>165.0901960784314</v>
      </c>
      <c r="AK46" s="259">
        <f t="shared" si="38"/>
        <v>1472.3544851175927</v>
      </c>
      <c r="AL46" s="259">
        <f t="shared" si="38"/>
        <v>247.34212226478473</v>
      </c>
      <c r="AM46" s="260">
        <f t="shared" si="38"/>
        <v>5.2897243064368785E-2</v>
      </c>
      <c r="AN46" s="260">
        <f t="shared" si="38"/>
        <v>0.45615895261531636</v>
      </c>
      <c r="AO46" s="240"/>
      <c r="AP46" s="241"/>
    </row>
    <row r="47" spans="1:42">
      <c r="A47" s="218" t="s">
        <v>306</v>
      </c>
      <c r="B47" s="219"/>
      <c r="C47" s="220">
        <f>SUM(C26:C45)</f>
        <v>0</v>
      </c>
      <c r="D47" s="221"/>
      <c r="E47" s="221"/>
      <c r="F47" s="221"/>
      <c r="G47" s="221"/>
      <c r="H47" s="222"/>
      <c r="I47" s="220">
        <f>SUM(I26:I45)</f>
        <v>0</v>
      </c>
      <c r="J47" s="223"/>
      <c r="K47" s="220">
        <f>SUM(K26:K45)</f>
        <v>117</v>
      </c>
      <c r="L47" s="223"/>
      <c r="M47" s="223"/>
      <c r="N47" s="224"/>
      <c r="O47" s="225"/>
      <c r="P47" s="220">
        <f>SUM(P26:P45)</f>
        <v>58</v>
      </c>
      <c r="Q47" s="220">
        <f>SUM(Q26:Q45)</f>
        <v>8</v>
      </c>
      <c r="R47" s="250">
        <f t="shared" ref="R47:W47" si="39">SUM(R26:R45)</f>
        <v>66</v>
      </c>
      <c r="S47" s="220">
        <f>SUM(S26:S45)</f>
        <v>226084</v>
      </c>
      <c r="T47" s="220">
        <f>SUM(T26:T45)</f>
        <v>-31878</v>
      </c>
      <c r="U47" s="250">
        <f t="shared" si="39"/>
        <v>194206</v>
      </c>
      <c r="V47" s="253">
        <f t="shared" si="39"/>
        <v>0.65678698370934518</v>
      </c>
      <c r="W47" s="220">
        <f t="shared" si="39"/>
        <v>42327</v>
      </c>
      <c r="X47" s="220">
        <f>SUM(X26:X45)</f>
        <v>54196.880000000005</v>
      </c>
      <c r="Y47" s="226">
        <f>IF(U47=0,0,X47/U47)</f>
        <v>0.27906902979310633</v>
      </c>
      <c r="Z47" s="220">
        <f>SUM(Z26:Z45)</f>
        <v>10808</v>
      </c>
      <c r="AA47" s="220">
        <f>P47*AA49/P49</f>
        <v>55610.874927536235</v>
      </c>
      <c r="AB47" s="220">
        <f>SUM(AB26:AB45)</f>
        <v>0</v>
      </c>
      <c r="AC47" s="220">
        <f>SUM(AC26:AC45)</f>
        <v>0</v>
      </c>
      <c r="AD47" s="250">
        <f>SUM(AD26:AD45)</f>
        <v>1942.06</v>
      </c>
      <c r="AE47" s="220">
        <f>SUM(AE26:AE45)</f>
        <v>19657.402798999996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0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65274.657200999995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0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0</v>
      </c>
      <c r="J49" s="229">
        <f>J24+J47</f>
        <v>0</v>
      </c>
      <c r="K49" s="229">
        <f>K24+K47</f>
        <v>242</v>
      </c>
      <c r="L49" s="230"/>
      <c r="M49" s="230"/>
      <c r="N49" s="230"/>
      <c r="O49" s="230"/>
      <c r="P49" s="269">
        <f t="shared" ref="P49:X49" si="40">P24+P47</f>
        <v>138</v>
      </c>
      <c r="Q49" s="229">
        <f t="shared" si="40"/>
        <v>11</v>
      </c>
      <c r="R49" s="252">
        <f t="shared" si="40"/>
        <v>149</v>
      </c>
      <c r="S49" s="229">
        <f t="shared" si="40"/>
        <v>333174</v>
      </c>
      <c r="T49" s="229">
        <f t="shared" si="40"/>
        <v>-37483</v>
      </c>
      <c r="U49" s="252">
        <f t="shared" si="40"/>
        <v>295691</v>
      </c>
      <c r="V49" s="255">
        <f t="shared" si="40"/>
        <v>0.99999999999999989</v>
      </c>
      <c r="W49" s="229">
        <f t="shared" si="40"/>
        <v>59166.179999999993</v>
      </c>
      <c r="X49" s="229">
        <f t="shared" si="40"/>
        <v>83666.850000000006</v>
      </c>
      <c r="Y49" s="232">
        <f>X49/U49</f>
        <v>0.28295365770348102</v>
      </c>
      <c r="Z49" s="229">
        <f>Z24+Z47</f>
        <v>21464</v>
      </c>
      <c r="AA49" s="75">
        <f>'Юнит 27-31.10'!AA49+'Юнит 20-26.10'!AA49+'Юнит 13-19.10'!AA49+'Юнит 06-12.10'!AA49+'Юнит 01-05.10'!AA49</f>
        <v>132315.53</v>
      </c>
      <c r="AB49" s="74"/>
      <c r="AC49" s="74">
        <f>SUM(AC3:AC45)</f>
        <v>0</v>
      </c>
      <c r="AD49" s="231">
        <f>SUM(AD3:AD45)</f>
        <v>3971.7599999999998</v>
      </c>
      <c r="AE49" s="233">
        <f>AE24+AE47</f>
        <v>-3424.9875460000003</v>
      </c>
      <c r="AF49" s="76"/>
      <c r="AG49" s="234"/>
      <c r="AH49" s="235"/>
      <c r="AI49" s="235"/>
      <c r="AJ49" s="235"/>
      <c r="AK49" s="235">
        <f>AA50/P49</f>
        <v>958.80818840579707</v>
      </c>
      <c r="AL49" s="235"/>
      <c r="AM49" s="235"/>
      <c r="AN49" s="236"/>
      <c r="AP49" s="233">
        <f>SUM(AP3:AP45)</f>
        <v>0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132315.53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131862.04754599999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 t="e">
        <f>I56/I49</f>
        <v>#DIV/0!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0</v>
      </c>
      <c r="J57" s="109" t="e">
        <f>I57/I49</f>
        <v>#DIV/0!</v>
      </c>
      <c r="K57" s="105">
        <f>AP49-K56-K58</f>
        <v>0</v>
      </c>
      <c r="L57" s="106" t="e">
        <f>K57/I57</f>
        <v>#DIV/0!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 t="e">
        <f>I58/I49</f>
        <v>#DIV/0!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103" priority="17" operator="greaterThan">
      <formula>120</formula>
    </cfRule>
  </conditionalFormatting>
  <conditionalFormatting sqref="N48">
    <cfRule type="cellIs" dxfId="102" priority="16" operator="between">
      <formula>0.000001</formula>
      <formula>25</formula>
    </cfRule>
  </conditionalFormatting>
  <conditionalFormatting sqref="V1 V50:V53 V55:V1048576">
    <cfRule type="cellIs" dxfId="101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{784CB0FB-A0ED-4226-96FF-AA3AFAA6BF4E}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{3110C9BC-5E01-42A8-BF13-19514C1A9792}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{06EA37BC-2B7B-49BC-B58D-6B78B2199674}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{F48CB4B0-B1C0-447D-BB81-B61E98D94EA3}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{68F64FD7-FEE4-493C-B9AA-7BA8748F368E}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{9990EEC1-4290-41D1-A710-EA1F0D1345DF}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{200A76DC-81B0-45AB-9137-3198CD9BCD41}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{353B6726-0877-4522-BA6A-7E0C47D55863}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{CDEFB6C8-011A-441E-9EA2-218CCAD59E0E}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{BEE23E4C-F44D-4248-A00A-EF7970041476}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{CC57113A-CD5F-48B3-8ABF-C6F919EF82A4}</x14:id>
        </ext>
      </extLst>
    </cfRule>
  </conditionalFormatting>
  <conditionalFormatting sqref="P48">
    <cfRule type="cellIs" dxfId="100" priority="12" operator="greaterThan">
      <formula>120</formula>
    </cfRule>
  </conditionalFormatting>
  <conditionalFormatting sqref="Q48">
    <cfRule type="cellIs" dxfId="99" priority="11" operator="greaterThan">
      <formula>120</formula>
    </cfRule>
  </conditionalFormatting>
  <conditionalFormatting sqref="R48">
    <cfRule type="cellIs" dxfId="98" priority="10" operator="greaterThan">
      <formula>120</formula>
    </cfRule>
  </conditionalFormatting>
  <conditionalFormatting sqref="S48">
    <cfRule type="cellIs" dxfId="97" priority="9" operator="greaterThan">
      <formula>120</formula>
    </cfRule>
  </conditionalFormatting>
  <conditionalFormatting sqref="T48">
    <cfRule type="cellIs" dxfId="96" priority="8" operator="greaterThan">
      <formula>120</formula>
    </cfRule>
  </conditionalFormatting>
  <conditionalFormatting sqref="U48">
    <cfRule type="cellIs" dxfId="95" priority="7" operator="greaterThan">
      <formula>120</formula>
    </cfRule>
  </conditionalFormatting>
  <conditionalFormatting sqref="V48">
    <cfRule type="cellIs" dxfId="94" priority="6" operator="greaterThan">
      <formula>120</formula>
    </cfRule>
  </conditionalFormatting>
  <conditionalFormatting sqref="W48">
    <cfRule type="cellIs" dxfId="93" priority="5" operator="greaterThan">
      <formula>120</formula>
    </cfRule>
  </conditionalFormatting>
  <conditionalFormatting sqref="X48">
    <cfRule type="cellIs" dxfId="92" priority="4" operator="greaterThan">
      <formula>120</formula>
    </cfRule>
  </conditionalFormatting>
  <conditionalFormatting sqref="Z48">
    <cfRule type="cellIs" dxfId="91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{27B390B3-DC20-4546-8BF1-D98D9C27EA39}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{6654EEA3-6BC3-4072-849A-C1C0DDE08290}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4CB0FB-A0ED-4226-96FF-AA3AFAA6BF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3110C9BC-5E01-42A8-BF13-19514C1A9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06EA37BC-2B7B-49BC-B58D-6B78B21996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F48CB4B0-B1C0-447D-BB81-B61E98D94E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68F64FD7-FEE4-493C-B9AA-7BA8748F36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9990EEC1-4290-41D1-A710-EA1F0D1345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200A76DC-81B0-45AB-9137-3198CD9BCD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353B6726-0877-4522-BA6A-7E0C47D55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CDEFB6C8-011A-441E-9EA2-218CCAD59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BEE23E4C-F44D-4248-A00A-EF79700414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CC57113A-CD5F-48B3-8ABF-C6F919EF82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27B390B3-DC20-4546-8BF1-D98D9C27EA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6654EEA3-6BC3-4072-849A-C1C0DDE082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3056-2FF9-4594-ABD6-DF6D44AE6532}">
  <dimension ref="A1:AZ62"/>
  <sheetViews>
    <sheetView zoomScale="70" zoomScaleNormal="70" workbookViewId="0">
      <pane xSplit="2" ySplit="2" topLeftCell="P34" activePane="bottomRight" state="frozen"/>
      <selection pane="topRight" activeCell="C1" sqref="C1"/>
      <selection pane="bottomLeft" activeCell="A3" sqref="A3"/>
      <selection pane="bottomRight" activeCell="AA50" sqref="AA50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758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759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952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2" si="0">C3*H3</f>
        <v>0</v>
      </c>
      <c r="J3" s="45"/>
      <c r="K3" s="41">
        <v>1</v>
      </c>
      <c r="L3" s="45"/>
      <c r="M3" s="45"/>
      <c r="N3" s="46">
        <f>K3/5</f>
        <v>0.2</v>
      </c>
      <c r="O3" s="47">
        <f>R3/5</f>
        <v>1.2</v>
      </c>
      <c r="P3" s="48">
        <f>SUMIFS('Отчет 27-31.10'!H:H,'Отчет 27-31.10'!D:D,"Выручка",'Отчет 27-31.10'!E:E,B3)</f>
        <v>6</v>
      </c>
      <c r="Q3" s="48">
        <f>SUMIFS('Отчет 27-31.10'!H:H,'Отчет 27-31.10'!D:D,"Возврат выручки",'Отчет 27-31.10'!E:E,B3)</f>
        <v>0</v>
      </c>
      <c r="R3" s="49">
        <f t="shared" ref="R3:R22" si="1">P3+Q3</f>
        <v>6</v>
      </c>
      <c r="S3" s="50">
        <f>SUMIFS('Отчет 27-31.10'!P:P,'Отчет 27-31.10'!C:C,"Продажи",'Отчет 27-31.10'!E:E,B3)</f>
        <v>6702.0000000000009</v>
      </c>
      <c r="T3" s="51">
        <f>SUMIFS('Отчет 27-31.10'!P:P,'Отчет 27-31.10'!C:C,"Возвраты",'Отчет 27-31.10'!E:E,B3)</f>
        <v>0</v>
      </c>
      <c r="U3" s="49">
        <f t="shared" ref="U3:U22" si="2">S3+T3</f>
        <v>6702.0000000000009</v>
      </c>
      <c r="V3" s="52">
        <f t="shared" ref="V3:V22" si="3">U3/$U$49</f>
        <v>0.13914957229465993</v>
      </c>
      <c r="W3" s="53">
        <f t="shared" ref="W3:W22" si="4">R3*H3</f>
        <v>857.87999999999988</v>
      </c>
      <c r="X3" s="51">
        <f>-SUMIFS('Отчет 27-31.10'!P:P,'Отчет 27-31.10'!C:C,"Вознаграждение Ozon",'Отчет 27-31.10'!E:E,B3)</f>
        <v>2278.6799999999998</v>
      </c>
      <c r="Y3" s="54">
        <f t="shared" ref="Y3:Y22" si="5">IF(U3=0,0,X3/U3)</f>
        <v>0.33999999999999991</v>
      </c>
      <c r="Z3" s="51">
        <f>-SUMIFS('Отчет 27-31.10'!P:P,'Отчет 27-31.10'!C:C,"Услуги доставки",'Отчет 27-31.10'!E:E,B3)</f>
        <v>368</v>
      </c>
      <c r="AA3" s="41">
        <v>1950.8916649999999</v>
      </c>
      <c r="AB3" s="51"/>
      <c r="AC3" s="51"/>
      <c r="AD3" s="55">
        <f t="shared" ref="AD3:AD22" si="6">U3*6%</f>
        <v>402.12000000000006</v>
      </c>
      <c r="AE3" s="56">
        <f t="shared" ref="AE3:AE22" si="7">U3-W3-X3-Z3-AA3-AB3-AC3-AD3</f>
        <v>844.42833500000097</v>
      </c>
      <c r="AF3" s="55"/>
      <c r="AG3" s="57">
        <f t="shared" ref="AG3:AG22" si="8">IF(R3=0,0,U3/R3)</f>
        <v>1117.0000000000002</v>
      </c>
      <c r="AH3" s="58">
        <f t="shared" ref="AH3:AH22" si="9">H3</f>
        <v>142.97999999999999</v>
      </c>
      <c r="AI3" s="58">
        <f t="shared" ref="AI3:AI22" si="10">IF(R3=0,0,X3/R3)</f>
        <v>379.78</v>
      </c>
      <c r="AJ3" s="58">
        <f t="shared" ref="AJ3:AJ22" si="11">IF(P3=0,Z3/1,Z3/P3)</f>
        <v>61.333333333333336</v>
      </c>
      <c r="AK3" s="58">
        <f t="shared" ref="AK3:AK22" si="12">IF(P3=0,0,AA3/P3)</f>
        <v>325.14861083333329</v>
      </c>
      <c r="AL3" s="58">
        <f>_xlfn.IFS(R3=0,AE3,R3&lt;0,AE3/-R3,R3&gt;0,AE3/R3)</f>
        <v>140.7380558333335</v>
      </c>
      <c r="AM3" s="59">
        <f t="shared" ref="AM3:AM22" si="13">IF(AG3=0,0,AL3/AG3)</f>
        <v>0.12599646896448835</v>
      </c>
      <c r="AN3" s="60">
        <f t="shared" ref="AN3:AN22" si="14">IF(AH3=0,0,AL3/AH3)</f>
        <v>0.98431987574019808</v>
      </c>
      <c r="AP3" s="62">
        <f t="shared" ref="AP3:AP22" si="15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1</v>
      </c>
      <c r="L4" s="45"/>
      <c r="M4" s="45"/>
      <c r="N4" s="46">
        <f t="shared" ref="N4:N22" si="16">K4/5</f>
        <v>0.2</v>
      </c>
      <c r="O4" s="47">
        <f t="shared" ref="O4:O22" si="17">R4/5</f>
        <v>0</v>
      </c>
      <c r="P4" s="48">
        <f>SUMIFS('Отчет 27-31.10'!H:H,'Отчет 27-31.10'!D:D,"Выручка",'Отчет 27-31.10'!E:E,B4)</f>
        <v>0</v>
      </c>
      <c r="Q4" s="48">
        <f>SUMIFS('Отчет 27-31.10'!H:H,'Отчет 27-31.10'!D:D,"Возврат выручки",'Отчет 27-31.10'!E:E,B4)</f>
        <v>0</v>
      </c>
      <c r="R4" s="49">
        <f t="shared" si="1"/>
        <v>0</v>
      </c>
      <c r="S4" s="50">
        <f>SUMIFS('Отчет 27-31.10'!P:P,'Отчет 27-31.10'!C:C,"Продажи",'Отчет 27-31.10'!E:E,B4)</f>
        <v>0</v>
      </c>
      <c r="T4" s="51">
        <f>SUMIFS('Отчет 27-31.10'!P:P,'Отчет 27-31.10'!C:C,"Возвраты",'Отчет 27-31.10'!E:E,B4)</f>
        <v>0</v>
      </c>
      <c r="U4" s="49">
        <f t="shared" si="2"/>
        <v>0</v>
      </c>
      <c r="V4" s="52">
        <f t="shared" si="3"/>
        <v>0</v>
      </c>
      <c r="W4" s="53">
        <f t="shared" si="4"/>
        <v>0</v>
      </c>
      <c r="X4" s="51">
        <f>-SUMIFS('Отчет 27-31.10'!P:P,'Отчет 27-31.10'!C:C,"Вознаграждение Ozon",'Отчет 27-31.10'!E:E,B4)</f>
        <v>0</v>
      </c>
      <c r="Y4" s="54">
        <f t="shared" si="5"/>
        <v>0</v>
      </c>
      <c r="Z4" s="51">
        <f>-SUMIFS('Отчет 27-31.10'!P:P,'Отчет 27-31.10'!C:C,"Услуги доставки",'Отчет 27-31.10'!E:E,B4)</f>
        <v>92</v>
      </c>
      <c r="AA4" s="41">
        <v>0</v>
      </c>
      <c r="AB4" s="51"/>
      <c r="AC4" s="51"/>
      <c r="AD4" s="55">
        <f t="shared" si="6"/>
        <v>0</v>
      </c>
      <c r="AE4" s="56">
        <f t="shared" si="7"/>
        <v>-92</v>
      </c>
      <c r="AF4" s="55"/>
      <c r="AG4" s="57">
        <f t="shared" si="8"/>
        <v>0</v>
      </c>
      <c r="AH4" s="58">
        <f t="shared" si="9"/>
        <v>123.09</v>
      </c>
      <c r="AI4" s="58">
        <f t="shared" si="10"/>
        <v>0</v>
      </c>
      <c r="AJ4" s="58">
        <f t="shared" si="11"/>
        <v>92</v>
      </c>
      <c r="AK4" s="58">
        <f t="shared" si="12"/>
        <v>0</v>
      </c>
      <c r="AL4" s="58">
        <f t="array" ref="AL4">_xlfn.IFS(R4=0,AE4,R4&lt;0,AE4/-R4,R4&gt;0,AE4/R4)</f>
        <v>-92</v>
      </c>
      <c r="AM4" s="59">
        <f t="shared" si="13"/>
        <v>0</v>
      </c>
      <c r="AN4" s="60">
        <f t="shared" si="14"/>
        <v>-0.74742058656267774</v>
      </c>
      <c r="AP4" s="62">
        <f t="shared" si="15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1</v>
      </c>
      <c r="L5" s="45"/>
      <c r="M5" s="45"/>
      <c r="N5" s="46">
        <f t="shared" si="16"/>
        <v>0.2</v>
      </c>
      <c r="O5" s="47">
        <f t="shared" si="17"/>
        <v>0</v>
      </c>
      <c r="P5" s="48">
        <f>SUMIFS('Отчет 27-31.10'!H:H,'Отчет 27-31.10'!D:D,"Выручка",'Отчет 27-31.10'!E:E,B5)</f>
        <v>0</v>
      </c>
      <c r="Q5" s="48">
        <f>SUMIFS('Отчет 27-31.10'!H:H,'Отчет 27-31.10'!D:D,"Возврат выручки",'Отчет 27-31.10'!E:E,B5)</f>
        <v>0</v>
      </c>
      <c r="R5" s="49">
        <f t="shared" si="1"/>
        <v>0</v>
      </c>
      <c r="S5" s="50">
        <f>SUMIFS('Отчет 27-31.10'!P:P,'Отчет 27-31.10'!C:C,"Продажи",'Отчет 27-31.10'!E:E,B5)</f>
        <v>0</v>
      </c>
      <c r="T5" s="51">
        <f>SUMIFS('Отчет 27-31.10'!P:P,'Отчет 27-31.10'!C:C,"Возвраты",'Отчет 27-31.10'!E:E,B5)</f>
        <v>0</v>
      </c>
      <c r="U5" s="49">
        <f t="shared" si="2"/>
        <v>0</v>
      </c>
      <c r="V5" s="52">
        <f t="shared" si="3"/>
        <v>0</v>
      </c>
      <c r="W5" s="53">
        <f t="shared" si="4"/>
        <v>0</v>
      </c>
      <c r="X5" s="51">
        <f>-SUMIFS('Отчет 27-31.10'!P:P,'Отчет 27-31.10'!C:C,"Вознаграждение Ozon",'Отчет 27-31.10'!E:E,B5)</f>
        <v>0</v>
      </c>
      <c r="Y5" s="54">
        <f t="shared" si="5"/>
        <v>0</v>
      </c>
      <c r="Z5" s="51">
        <f>-SUMIFS('Отчет 27-31.10'!P:P,'Отчет 27-31.10'!C:C,"Услуги доставки",'Отчет 27-31.10'!E:E,B5)</f>
        <v>0</v>
      </c>
      <c r="AA5" s="41">
        <v>0</v>
      </c>
      <c r="AB5" s="64"/>
      <c r="AC5" s="51"/>
      <c r="AD5" s="55">
        <f t="shared" si="6"/>
        <v>0</v>
      </c>
      <c r="AE5" s="56">
        <f t="shared" si="7"/>
        <v>0</v>
      </c>
      <c r="AF5" s="55"/>
      <c r="AG5" s="57">
        <f t="shared" si="8"/>
        <v>0</v>
      </c>
      <c r="AH5" s="58">
        <f t="shared" si="9"/>
        <v>123.09</v>
      </c>
      <c r="AI5" s="58">
        <f t="shared" si="10"/>
        <v>0</v>
      </c>
      <c r="AJ5" s="58">
        <f t="shared" si="11"/>
        <v>0</v>
      </c>
      <c r="AK5" s="58">
        <f t="shared" si="12"/>
        <v>0</v>
      </c>
      <c r="AL5" s="58">
        <f t="array" ref="AL5">_xlfn.IFS(R5=0,AE5,R5&lt;0,AE5/-R5,R5&gt;0,AE5/R5)</f>
        <v>0</v>
      </c>
      <c r="AM5" s="59">
        <f t="shared" si="13"/>
        <v>0</v>
      </c>
      <c r="AN5" s="60">
        <f t="shared" si="14"/>
        <v>0</v>
      </c>
      <c r="AP5" s="62">
        <f t="shared" si="15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1</v>
      </c>
      <c r="L6" s="45"/>
      <c r="M6" s="45"/>
      <c r="N6" s="46">
        <f t="shared" si="16"/>
        <v>0.2</v>
      </c>
      <c r="O6" s="47">
        <f t="shared" si="17"/>
        <v>0</v>
      </c>
      <c r="P6" s="48">
        <f>SUMIFS('Отчет 27-31.10'!H:H,'Отчет 27-31.10'!D:D,"Выручка",'Отчет 27-31.10'!E:E,B6)</f>
        <v>0</v>
      </c>
      <c r="Q6" s="48">
        <f>SUMIFS('Отчет 27-31.10'!H:H,'Отчет 27-31.10'!D:D,"Возврат выручки",'Отчет 27-31.10'!E:E,B6)</f>
        <v>0</v>
      </c>
      <c r="R6" s="49">
        <f t="shared" si="1"/>
        <v>0</v>
      </c>
      <c r="S6" s="50">
        <f>SUMIFS('Отчет 27-31.10'!P:P,'Отчет 27-31.10'!C:C,"Продажи",'Отчет 27-31.10'!E:E,B6)</f>
        <v>0</v>
      </c>
      <c r="T6" s="51">
        <f>SUMIFS('Отчет 27-31.10'!P:P,'Отчет 27-31.10'!C:C,"Возвраты",'Отчет 27-31.10'!E:E,B6)</f>
        <v>0</v>
      </c>
      <c r="U6" s="49">
        <f t="shared" si="2"/>
        <v>0</v>
      </c>
      <c r="V6" s="52">
        <f t="shared" si="3"/>
        <v>0</v>
      </c>
      <c r="W6" s="53">
        <f t="shared" si="4"/>
        <v>0</v>
      </c>
      <c r="X6" s="51">
        <f>-SUMIFS('Отчет 27-31.10'!P:P,'Отчет 27-31.10'!C:C,"Вознаграждение Ozon",'Отчет 27-31.10'!E:E,B6)</f>
        <v>0</v>
      </c>
      <c r="Y6" s="54">
        <f t="shared" si="5"/>
        <v>0</v>
      </c>
      <c r="Z6" s="51">
        <f>-SUMIFS('Отчет 27-31.10'!P:P,'Отчет 27-31.10'!C:C,"Услуги доставки",'Отчет 27-31.10'!E:E,B6)</f>
        <v>0</v>
      </c>
      <c r="AA6" s="41">
        <v>1201.6054369999999</v>
      </c>
      <c r="AB6" s="64"/>
      <c r="AC6" s="51"/>
      <c r="AD6" s="55">
        <f t="shared" si="6"/>
        <v>0</v>
      </c>
      <c r="AE6" s="56">
        <f t="shared" si="7"/>
        <v>-1201.6054369999999</v>
      </c>
      <c r="AF6" s="55"/>
      <c r="AG6" s="57">
        <f t="shared" si="8"/>
        <v>0</v>
      </c>
      <c r="AH6" s="58">
        <f t="shared" si="9"/>
        <v>123.09</v>
      </c>
      <c r="AI6" s="58">
        <f t="shared" si="10"/>
        <v>0</v>
      </c>
      <c r="AJ6" s="58">
        <f t="shared" si="11"/>
        <v>0</v>
      </c>
      <c r="AK6" s="58">
        <f t="shared" si="12"/>
        <v>0</v>
      </c>
      <c r="AL6" s="58">
        <f t="array" ref="AL6">_xlfn.IFS(R6=0,AE6,R6&lt;0,AE6/-R6,R6&gt;0,AE6/R6)</f>
        <v>-1201.6054369999999</v>
      </c>
      <c r="AM6" s="59">
        <f t="shared" si="13"/>
        <v>0</v>
      </c>
      <c r="AN6" s="60">
        <f t="shared" si="14"/>
        <v>-9.7620069623852466</v>
      </c>
      <c r="AP6" s="62">
        <f t="shared" si="15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0</v>
      </c>
      <c r="L7" s="45"/>
      <c r="M7" s="45"/>
      <c r="N7" s="46">
        <f t="shared" si="16"/>
        <v>0</v>
      </c>
      <c r="O7" s="47">
        <f t="shared" si="17"/>
        <v>0.2</v>
      </c>
      <c r="P7" s="48">
        <f>SUMIFS('Отчет 27-31.10'!H:H,'Отчет 27-31.10'!D:D,"Выручка",'Отчет 27-31.10'!E:E,B7)</f>
        <v>1</v>
      </c>
      <c r="Q7" s="48">
        <f>SUMIFS('Отчет 27-31.10'!H:H,'Отчет 27-31.10'!D:D,"Возврат выручки",'Отчет 27-31.10'!E:E,B7)</f>
        <v>0</v>
      </c>
      <c r="R7" s="49">
        <f t="shared" si="1"/>
        <v>1</v>
      </c>
      <c r="S7" s="50">
        <f>SUMIFS('Отчет 27-31.10'!P:P,'Отчет 27-31.10'!C:C,"Продажи",'Отчет 27-31.10'!E:E,B7)</f>
        <v>1330</v>
      </c>
      <c r="T7" s="51">
        <f>SUMIFS('Отчет 27-31.10'!P:P,'Отчет 27-31.10'!C:C,"Возвраты",'Отчет 27-31.10'!E:E,B7)</f>
        <v>0</v>
      </c>
      <c r="U7" s="49">
        <f t="shared" si="2"/>
        <v>1330</v>
      </c>
      <c r="V7" s="52">
        <f t="shared" si="3"/>
        <v>2.7613985549372975E-2</v>
      </c>
      <c r="W7" s="53">
        <f t="shared" si="4"/>
        <v>117.24</v>
      </c>
      <c r="X7" s="51">
        <f>-SUMIFS('Отчет 27-31.10'!P:P,'Отчет 27-31.10'!C:C,"Вознаграждение Ozon",'Отчет 27-31.10'!E:E,B7)</f>
        <v>452.2</v>
      </c>
      <c r="Y7" s="54">
        <f t="shared" si="5"/>
        <v>0.33999999999999997</v>
      </c>
      <c r="Z7" s="51">
        <f>-SUMIFS('Отчет 27-31.10'!P:P,'Отчет 27-31.10'!C:C,"Услуги доставки",'Отчет 27-31.10'!E:E,B7)</f>
        <v>138</v>
      </c>
      <c r="AA7" s="41">
        <v>210.22</v>
      </c>
      <c r="AB7" s="64"/>
      <c r="AC7" s="51"/>
      <c r="AD7" s="55">
        <f t="shared" si="6"/>
        <v>79.8</v>
      </c>
      <c r="AE7" s="56">
        <f t="shared" si="7"/>
        <v>332.53999999999991</v>
      </c>
      <c r="AF7" s="55"/>
      <c r="AG7" s="57">
        <f t="shared" si="8"/>
        <v>1330</v>
      </c>
      <c r="AH7" s="58">
        <f t="shared" si="9"/>
        <v>117.24</v>
      </c>
      <c r="AI7" s="58">
        <f t="shared" si="10"/>
        <v>452.2</v>
      </c>
      <c r="AJ7" s="58">
        <f t="shared" si="11"/>
        <v>138</v>
      </c>
      <c r="AK7" s="58">
        <f t="shared" si="12"/>
        <v>210.22</v>
      </c>
      <c r="AL7" s="58">
        <f t="array" ref="AL7">_xlfn.IFS(R7=0,AE7,R7&lt;0,AE7/-R7,R7&gt;0,AE7/R7)</f>
        <v>332.53999999999991</v>
      </c>
      <c r="AM7" s="59">
        <f t="shared" si="13"/>
        <v>0.25003007518796988</v>
      </c>
      <c r="AN7" s="60">
        <f t="shared" si="14"/>
        <v>2.8364039576936193</v>
      </c>
      <c r="AP7" s="62">
        <f t="shared" si="15"/>
        <v>0</v>
      </c>
    </row>
    <row r="8" spans="1:42">
      <c r="A8" s="39">
        <v>2638291563</v>
      </c>
      <c r="B8" s="40" t="s">
        <v>88</v>
      </c>
      <c r="C8" s="41"/>
      <c r="D8" s="42"/>
      <c r="E8" s="42"/>
      <c r="F8" s="42"/>
      <c r="G8" s="43"/>
      <c r="H8" s="44">
        <v>169.89</v>
      </c>
      <c r="I8" s="63">
        <f t="shared" si="0"/>
        <v>0</v>
      </c>
      <c r="J8" s="45"/>
      <c r="K8" s="41">
        <v>1</v>
      </c>
      <c r="L8" s="45"/>
      <c r="M8" s="45"/>
      <c r="N8" s="46">
        <f t="shared" si="16"/>
        <v>0.2</v>
      </c>
      <c r="O8" s="47">
        <f t="shared" si="17"/>
        <v>0</v>
      </c>
      <c r="P8" s="48">
        <f>SUMIFS('Отчет 27-31.10'!H:H,'Отчет 27-31.10'!D:D,"Выручка",'Отчет 27-31.10'!E:E,B8)</f>
        <v>0</v>
      </c>
      <c r="Q8" s="48">
        <f>SUMIFS('Отчет 27-31.10'!H:H,'Отчет 27-31.10'!D:D,"Возврат выручки",'Отчет 27-31.10'!E:E,B8)</f>
        <v>0</v>
      </c>
      <c r="R8" s="49">
        <f t="shared" si="1"/>
        <v>0</v>
      </c>
      <c r="S8" s="50">
        <f>SUMIFS('Отчет 27-31.10'!P:P,'Отчет 27-31.10'!C:C,"Продажи",'Отчет 27-31.10'!E:E,B8)</f>
        <v>0</v>
      </c>
      <c r="T8" s="51">
        <f>SUMIFS('Отчет 27-31.10'!P:P,'Отчет 27-31.10'!C:C,"Возвраты",'Отчет 27-31.10'!E:E,B8)</f>
        <v>0</v>
      </c>
      <c r="U8" s="49">
        <f t="shared" si="2"/>
        <v>0</v>
      </c>
      <c r="V8" s="52">
        <f t="shared" si="3"/>
        <v>0</v>
      </c>
      <c r="W8" s="53">
        <f t="shared" si="4"/>
        <v>0</v>
      </c>
      <c r="X8" s="51">
        <f>-SUMIFS('Отчет 27-31.10'!P:P,'Отчет 27-31.10'!C:C,"Вознаграждение Ozon",'Отчет 27-31.10'!E:E,B8)</f>
        <v>0</v>
      </c>
      <c r="Y8" s="54">
        <f t="shared" si="5"/>
        <v>0</v>
      </c>
      <c r="Z8" s="51">
        <f>-SUMIFS('Отчет 27-31.10'!P:P,'Отчет 27-31.10'!C:C,"Услуги доставки",'Отчет 27-31.10'!E:E,B8)</f>
        <v>184</v>
      </c>
      <c r="AA8" s="41">
        <v>0</v>
      </c>
      <c r="AB8" s="64"/>
      <c r="AC8" s="51"/>
      <c r="AD8" s="55">
        <f t="shared" si="6"/>
        <v>0</v>
      </c>
      <c r="AE8" s="56">
        <f t="shared" si="7"/>
        <v>-184</v>
      </c>
      <c r="AF8" s="55"/>
      <c r="AG8" s="57">
        <f t="shared" si="8"/>
        <v>0</v>
      </c>
      <c r="AH8" s="58">
        <f t="shared" si="9"/>
        <v>169.89</v>
      </c>
      <c r="AI8" s="58">
        <f t="shared" si="10"/>
        <v>0</v>
      </c>
      <c r="AJ8" s="58">
        <f t="shared" si="11"/>
        <v>184</v>
      </c>
      <c r="AK8" s="58">
        <f t="shared" si="12"/>
        <v>0</v>
      </c>
      <c r="AL8" s="58">
        <f t="array" ref="AL8">_xlfn.IFS(R8=0,AE8,R8&lt;0,AE8/-R8,R8&gt;0,AE8/R8)</f>
        <v>-184</v>
      </c>
      <c r="AM8" s="59">
        <f t="shared" si="13"/>
        <v>0</v>
      </c>
      <c r="AN8" s="60">
        <f t="shared" si="14"/>
        <v>-1.0830537406557186</v>
      </c>
      <c r="AP8" s="62">
        <f t="shared" si="15"/>
        <v>0</v>
      </c>
    </row>
    <row r="9" spans="1:42">
      <c r="A9" s="39">
        <v>2730130733</v>
      </c>
      <c r="B9" s="40" t="s">
        <v>224</v>
      </c>
      <c r="C9" s="41"/>
      <c r="D9" s="42"/>
      <c r="E9" s="42"/>
      <c r="F9" s="42"/>
      <c r="G9" s="43"/>
      <c r="H9" s="44">
        <v>169.89</v>
      </c>
      <c r="I9" s="63">
        <f t="shared" si="0"/>
        <v>0</v>
      </c>
      <c r="J9" s="45"/>
      <c r="K9" s="41">
        <v>0</v>
      </c>
      <c r="L9" s="45"/>
      <c r="M9" s="45"/>
      <c r="N9" s="46">
        <f t="shared" si="16"/>
        <v>0</v>
      </c>
      <c r="O9" s="47">
        <f t="shared" si="17"/>
        <v>0</v>
      </c>
      <c r="P9" s="48">
        <f>SUMIFS('Отчет 27-31.10'!H:H,'Отчет 27-31.10'!D:D,"Выручка",'Отчет 27-31.10'!E:E,B9)</f>
        <v>0</v>
      </c>
      <c r="Q9" s="48">
        <f>SUMIFS('Отчет 27-31.10'!H:H,'Отчет 27-31.10'!D:D,"Возврат выручки",'Отчет 27-31.10'!E:E,B9)</f>
        <v>0</v>
      </c>
      <c r="R9" s="49">
        <f t="shared" si="1"/>
        <v>0</v>
      </c>
      <c r="S9" s="50">
        <f>SUMIFS('Отчет 27-31.10'!P:P,'Отчет 27-31.10'!C:C,"Продажи",'Отчет 27-31.10'!E:E,B9)</f>
        <v>0</v>
      </c>
      <c r="T9" s="51">
        <f>SUMIFS('Отчет 27-31.10'!P:P,'Отчет 27-31.10'!C:C,"Возвраты",'Отчет 27-31.10'!E:E,B9)</f>
        <v>0</v>
      </c>
      <c r="U9" s="49">
        <f t="shared" si="2"/>
        <v>0</v>
      </c>
      <c r="V9" s="52">
        <f t="shared" si="3"/>
        <v>0</v>
      </c>
      <c r="W9" s="53">
        <f t="shared" si="4"/>
        <v>0</v>
      </c>
      <c r="X9" s="51">
        <f>-SUMIFS('Отчет 27-31.10'!P:P,'Отчет 27-31.10'!C:C,"Вознаграждение Ozon",'Отчет 27-31.10'!E:E,B9)</f>
        <v>0</v>
      </c>
      <c r="Y9" s="54">
        <f t="shared" si="5"/>
        <v>0</v>
      </c>
      <c r="Z9" s="51">
        <f>-SUMIFS('Отчет 27-31.10'!P:P,'Отчет 27-31.10'!C:C,"Услуги доставки",'Отчет 27-31.10'!E:E,B9)</f>
        <v>0</v>
      </c>
      <c r="AA9" s="41">
        <v>0</v>
      </c>
      <c r="AB9" s="64"/>
      <c r="AC9" s="51"/>
      <c r="AD9" s="55">
        <f t="shared" si="6"/>
        <v>0</v>
      </c>
      <c r="AE9" s="56">
        <f t="shared" si="7"/>
        <v>0</v>
      </c>
      <c r="AF9" s="55"/>
      <c r="AG9" s="57">
        <f t="shared" si="8"/>
        <v>0</v>
      </c>
      <c r="AH9" s="58">
        <f t="shared" si="9"/>
        <v>169.89</v>
      </c>
      <c r="AI9" s="58">
        <f t="shared" si="10"/>
        <v>0</v>
      </c>
      <c r="AJ9" s="58">
        <f t="shared" si="11"/>
        <v>0</v>
      </c>
      <c r="AK9" s="58">
        <f t="shared" si="12"/>
        <v>0</v>
      </c>
      <c r="AL9" s="58">
        <f t="array" ref="AL9">_xlfn.IFS(R9=0,AE9,R9&lt;0,AE9/-R9,R9&gt;0,AE9/R9)</f>
        <v>0</v>
      </c>
      <c r="AM9" s="59">
        <f t="shared" si="13"/>
        <v>0</v>
      </c>
      <c r="AN9" s="60">
        <f t="shared" si="14"/>
        <v>0</v>
      </c>
      <c r="AP9" s="62">
        <f t="shared" si="15"/>
        <v>0</v>
      </c>
    </row>
    <row r="10" spans="1:42">
      <c r="A10" s="39">
        <v>2730131249</v>
      </c>
      <c r="B10" s="40" t="s">
        <v>225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0</v>
      </c>
      <c r="L10" s="45"/>
      <c r="M10" s="45"/>
      <c r="N10" s="46">
        <f t="shared" si="16"/>
        <v>0</v>
      </c>
      <c r="O10" s="47">
        <f t="shared" si="17"/>
        <v>0</v>
      </c>
      <c r="P10" s="48">
        <f>SUMIFS('Отчет 27-31.10'!H:H,'Отчет 27-31.10'!D:D,"Выручка",'Отчет 27-31.10'!E:E,B10)</f>
        <v>0</v>
      </c>
      <c r="Q10" s="48">
        <f>SUMIFS('Отчет 27-31.10'!H:H,'Отчет 27-31.10'!D:D,"Возврат выручки",'Отчет 27-31.10'!E:E,B10)</f>
        <v>0</v>
      </c>
      <c r="R10" s="49">
        <f t="shared" si="1"/>
        <v>0</v>
      </c>
      <c r="S10" s="50">
        <f>SUMIFS('Отчет 27-31.10'!P:P,'Отчет 27-31.10'!C:C,"Продажи",'Отчет 27-31.10'!E:E,B10)</f>
        <v>0</v>
      </c>
      <c r="T10" s="51">
        <f>SUMIFS('Отчет 27-31.10'!P:P,'Отчет 27-31.10'!C:C,"Возвраты",'Отчет 27-31.10'!E:E,B10)</f>
        <v>0</v>
      </c>
      <c r="U10" s="49">
        <f t="shared" si="2"/>
        <v>0</v>
      </c>
      <c r="V10" s="52">
        <f t="shared" si="3"/>
        <v>0</v>
      </c>
      <c r="W10" s="53">
        <f t="shared" si="4"/>
        <v>0</v>
      </c>
      <c r="X10" s="51">
        <f>-SUMIFS('Отчет 27-31.10'!P:P,'Отчет 27-31.10'!C:C,"Вознаграждение Ozon",'Отчет 27-31.10'!E:E,B10)</f>
        <v>0</v>
      </c>
      <c r="Y10" s="54">
        <f t="shared" si="5"/>
        <v>0</v>
      </c>
      <c r="Z10" s="51">
        <f>-SUMIFS('Отчет 27-31.10'!P:P,'Отчет 27-31.10'!C:C,"Услуги доставки",'Отчет 27-31.10'!E:E,B10)</f>
        <v>0</v>
      </c>
      <c r="AA10" s="41">
        <v>0</v>
      </c>
      <c r="AB10" s="64"/>
      <c r="AC10" s="51"/>
      <c r="AD10" s="55">
        <f t="shared" si="6"/>
        <v>0</v>
      </c>
      <c r="AE10" s="56">
        <f t="shared" si="7"/>
        <v>0</v>
      </c>
      <c r="AF10" s="55"/>
      <c r="AG10" s="57">
        <f t="shared" si="8"/>
        <v>0</v>
      </c>
      <c r="AH10" s="58">
        <f t="shared" si="9"/>
        <v>169.89</v>
      </c>
      <c r="AI10" s="58">
        <f t="shared" si="10"/>
        <v>0</v>
      </c>
      <c r="AJ10" s="58">
        <f t="shared" si="11"/>
        <v>0</v>
      </c>
      <c r="AK10" s="58">
        <f t="shared" si="12"/>
        <v>0</v>
      </c>
      <c r="AL10" s="58">
        <f t="array" ref="AL10">_xlfn.IFS(R10=0,AE10,R10&lt;0,AE10/-R10,R10&gt;0,AE10/R10)</f>
        <v>0</v>
      </c>
      <c r="AM10" s="59">
        <f t="shared" si="13"/>
        <v>0</v>
      </c>
      <c r="AN10" s="60">
        <f t="shared" si="14"/>
        <v>0</v>
      </c>
      <c r="AP10" s="62">
        <f t="shared" si="15"/>
        <v>0</v>
      </c>
    </row>
    <row r="11" spans="1:42">
      <c r="A11" s="39">
        <v>2730130553</v>
      </c>
      <c r="B11" s="40" t="s">
        <v>226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1">
        <v>1</v>
      </c>
      <c r="L11" s="45"/>
      <c r="M11" s="45"/>
      <c r="N11" s="46">
        <f t="shared" si="16"/>
        <v>0.2</v>
      </c>
      <c r="O11" s="47">
        <f t="shared" si="17"/>
        <v>0</v>
      </c>
      <c r="P11" s="48">
        <f>SUMIFS('Отчет 27-31.10'!H:H,'Отчет 27-31.10'!D:D,"Выручка",'Отчет 27-31.10'!E:E,B11)</f>
        <v>0</v>
      </c>
      <c r="Q11" s="48">
        <f>SUMIFS('Отчет 27-31.10'!H:H,'Отчет 27-31.10'!D:D,"Возврат выручки",'Отчет 27-31.10'!E:E,B11)</f>
        <v>0</v>
      </c>
      <c r="R11" s="49">
        <f t="shared" si="1"/>
        <v>0</v>
      </c>
      <c r="S11" s="50">
        <f>SUMIFS('Отчет 27-31.10'!P:P,'Отчет 27-31.10'!C:C,"Продажи",'Отчет 27-31.10'!E:E,B11)</f>
        <v>0</v>
      </c>
      <c r="T11" s="51">
        <f>SUMIFS('Отчет 27-31.10'!P:P,'Отчет 27-31.10'!C:C,"Возвраты",'Отчет 27-31.10'!E:E,B11)</f>
        <v>0</v>
      </c>
      <c r="U11" s="49">
        <f t="shared" si="2"/>
        <v>0</v>
      </c>
      <c r="V11" s="52">
        <f t="shared" si="3"/>
        <v>0</v>
      </c>
      <c r="W11" s="53">
        <f t="shared" si="4"/>
        <v>0</v>
      </c>
      <c r="X11" s="51">
        <f>-SUMIFS('Отчет 27-31.10'!P:P,'Отчет 27-31.10'!C:C,"Вознаграждение Ozon",'Отчет 27-31.10'!E:E,B11)</f>
        <v>0</v>
      </c>
      <c r="Y11" s="54">
        <f t="shared" si="5"/>
        <v>0</v>
      </c>
      <c r="Z11" s="51">
        <f>-SUMIFS('Отчет 27-31.10'!P:P,'Отчет 27-31.10'!C:C,"Услуги доставки",'Отчет 27-31.10'!E:E,B11)</f>
        <v>0</v>
      </c>
      <c r="AA11" s="41">
        <v>0</v>
      </c>
      <c r="AB11" s="64"/>
      <c r="AC11" s="51"/>
      <c r="AD11" s="55">
        <f t="shared" si="6"/>
        <v>0</v>
      </c>
      <c r="AE11" s="56">
        <f t="shared" si="7"/>
        <v>0</v>
      </c>
      <c r="AF11" s="55"/>
      <c r="AG11" s="57">
        <f t="shared" si="8"/>
        <v>0</v>
      </c>
      <c r="AH11" s="58">
        <f t="shared" si="9"/>
        <v>169.89</v>
      </c>
      <c r="AI11" s="58">
        <f t="shared" si="10"/>
        <v>0</v>
      </c>
      <c r="AJ11" s="58">
        <f t="shared" si="11"/>
        <v>0</v>
      </c>
      <c r="AK11" s="58">
        <f t="shared" si="12"/>
        <v>0</v>
      </c>
      <c r="AL11" s="58">
        <f t="array" ref="AL11">_xlfn.IFS(R11=0,AE11,R11&lt;0,AE11/-R11,R11&gt;0,AE11/R11)</f>
        <v>0</v>
      </c>
      <c r="AM11" s="59">
        <f t="shared" si="13"/>
        <v>0</v>
      </c>
      <c r="AN11" s="60">
        <f t="shared" si="14"/>
        <v>0</v>
      </c>
      <c r="AP11" s="62">
        <f t="shared" si="15"/>
        <v>0</v>
      </c>
    </row>
    <row r="12" spans="1:42" ht="13.75" customHeight="1">
      <c r="A12" s="39">
        <v>2730129638</v>
      </c>
      <c r="B12" s="40" t="s">
        <v>227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1">
        <v>4</v>
      </c>
      <c r="L12" s="45"/>
      <c r="M12" s="45"/>
      <c r="N12" s="46">
        <f t="shared" si="16"/>
        <v>0.8</v>
      </c>
      <c r="O12" s="47">
        <f t="shared" si="17"/>
        <v>0.2</v>
      </c>
      <c r="P12" s="48">
        <f>SUMIFS('Отчет 27-31.10'!H:H,'Отчет 27-31.10'!D:D,"Выручка",'Отчет 27-31.10'!E:E,B12)</f>
        <v>1</v>
      </c>
      <c r="Q12" s="48">
        <f>SUMIFS('Отчет 27-31.10'!H:H,'Отчет 27-31.10'!D:D,"Возврат выручки",'Отчет 27-31.10'!E:E,B12)</f>
        <v>0</v>
      </c>
      <c r="R12" s="49">
        <f t="shared" si="1"/>
        <v>1</v>
      </c>
      <c r="S12" s="50">
        <f>SUMIFS('Отчет 27-31.10'!P:P,'Отчет 27-31.10'!C:C,"Продажи",'Отчет 27-31.10'!E:E,B12)</f>
        <v>1352</v>
      </c>
      <c r="T12" s="51">
        <f>SUMIFS('Отчет 27-31.10'!P:P,'Отчет 27-31.10'!C:C,"Возвраты",'Отчет 27-31.10'!E:E,B12)</f>
        <v>0</v>
      </c>
      <c r="U12" s="49">
        <f t="shared" si="2"/>
        <v>1352</v>
      </c>
      <c r="V12" s="52">
        <f t="shared" si="3"/>
        <v>2.8070758242670874E-2</v>
      </c>
      <c r="W12" s="53">
        <f t="shared" si="4"/>
        <v>169.89</v>
      </c>
      <c r="X12" s="51">
        <f>-SUMIFS('Отчет 27-31.10'!P:P,'Отчет 27-31.10'!C:C,"Вознаграждение Ozon",'Отчет 27-31.10'!E:E,B12)</f>
        <v>513.76</v>
      </c>
      <c r="Y12" s="54">
        <f t="shared" si="5"/>
        <v>0.38</v>
      </c>
      <c r="Z12" s="51">
        <f>-SUMIFS('Отчет 27-31.10'!P:P,'Отчет 27-31.10'!C:C,"Услуги доставки",'Отчет 27-31.10'!E:E,B12)</f>
        <v>138</v>
      </c>
      <c r="AA12" s="41">
        <v>4855.0816479999994</v>
      </c>
      <c r="AB12" s="64"/>
      <c r="AC12" s="51"/>
      <c r="AD12" s="55">
        <f t="shared" si="6"/>
        <v>81.11999999999999</v>
      </c>
      <c r="AE12" s="56">
        <f t="shared" si="7"/>
        <v>-4405.8516479999989</v>
      </c>
      <c r="AF12" s="55"/>
      <c r="AG12" s="57">
        <f t="shared" si="8"/>
        <v>1352</v>
      </c>
      <c r="AH12" s="58">
        <f t="shared" si="9"/>
        <v>169.89</v>
      </c>
      <c r="AI12" s="58">
        <f t="shared" si="10"/>
        <v>513.76</v>
      </c>
      <c r="AJ12" s="58">
        <f t="shared" si="11"/>
        <v>138</v>
      </c>
      <c r="AK12" s="58">
        <f t="shared" si="12"/>
        <v>4855.0816479999994</v>
      </c>
      <c r="AL12" s="58">
        <f t="array" ref="AL12">_xlfn.IFS(R12=0,AE12,R12&lt;0,AE12/-R12,R12&gt;0,AE12/R12)</f>
        <v>-4405.8516479999989</v>
      </c>
      <c r="AM12" s="59">
        <f t="shared" si="13"/>
        <v>-3.2587660118343189</v>
      </c>
      <c r="AN12" s="60">
        <f t="shared" si="14"/>
        <v>-25.933554935546525</v>
      </c>
      <c r="AP12" s="62">
        <f t="shared" si="15"/>
        <v>0</v>
      </c>
    </row>
    <row r="13" spans="1:42" ht="13.75" customHeight="1">
      <c r="A13" s="39">
        <v>2730130141</v>
      </c>
      <c r="B13" s="40" t="s">
        <v>228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1">
        <v>0</v>
      </c>
      <c r="L13" s="45"/>
      <c r="M13" s="45"/>
      <c r="N13" s="46">
        <f t="shared" si="16"/>
        <v>0</v>
      </c>
      <c r="O13" s="47">
        <f t="shared" si="17"/>
        <v>0</v>
      </c>
      <c r="P13" s="48">
        <f>SUMIFS('Отчет 27-31.10'!H:H,'Отчет 27-31.10'!D:D,"Выручка",'Отчет 27-31.10'!E:E,B13)</f>
        <v>0</v>
      </c>
      <c r="Q13" s="48">
        <f>SUMIFS('Отчет 27-31.10'!H:H,'Отчет 27-31.10'!D:D,"Возврат выручки",'Отчет 27-31.10'!E:E,B13)</f>
        <v>0</v>
      </c>
      <c r="R13" s="49">
        <f t="shared" si="1"/>
        <v>0</v>
      </c>
      <c r="S13" s="50">
        <f>SUMIFS('Отчет 27-31.10'!P:P,'Отчет 27-31.10'!C:C,"Продажи",'Отчет 27-31.10'!E:E,B13)</f>
        <v>0</v>
      </c>
      <c r="T13" s="51">
        <f>SUMIFS('Отчет 27-31.10'!P:P,'Отчет 27-31.10'!C:C,"Возвраты",'Отчет 27-31.10'!E:E,B13)</f>
        <v>0</v>
      </c>
      <c r="U13" s="49">
        <f t="shared" si="2"/>
        <v>0</v>
      </c>
      <c r="V13" s="52">
        <f t="shared" si="3"/>
        <v>0</v>
      </c>
      <c r="W13" s="53">
        <f t="shared" si="4"/>
        <v>0</v>
      </c>
      <c r="X13" s="51">
        <f>-SUMIFS('Отчет 27-31.10'!P:P,'Отчет 27-31.10'!C:C,"Вознаграждение Ozon",'Отчет 27-31.10'!E:E,B13)</f>
        <v>0</v>
      </c>
      <c r="Y13" s="54">
        <f t="shared" si="5"/>
        <v>0</v>
      </c>
      <c r="Z13" s="51">
        <f>-SUMIFS('Отчет 27-31.10'!P:P,'Отчет 27-31.10'!C:C,"Услуги доставки",'Отчет 27-31.10'!E:E,B13)</f>
        <v>0</v>
      </c>
      <c r="AA13" s="41">
        <v>3180.9145640000002</v>
      </c>
      <c r="AB13" s="64"/>
      <c r="AC13" s="51"/>
      <c r="AD13" s="55">
        <f t="shared" si="6"/>
        <v>0</v>
      </c>
      <c r="AE13" s="56">
        <f t="shared" si="7"/>
        <v>-3180.9145640000002</v>
      </c>
      <c r="AF13" s="55"/>
      <c r="AG13" s="57">
        <f t="shared" si="8"/>
        <v>0</v>
      </c>
      <c r="AH13" s="58">
        <f t="shared" si="9"/>
        <v>169.89</v>
      </c>
      <c r="AI13" s="58">
        <f t="shared" si="10"/>
        <v>0</v>
      </c>
      <c r="AJ13" s="58">
        <f t="shared" si="11"/>
        <v>0</v>
      </c>
      <c r="AK13" s="58">
        <f t="shared" si="12"/>
        <v>0</v>
      </c>
      <c r="AL13" s="58">
        <f t="array" ref="AL13">_xlfn.IFS(R13=0,AE13,R13&lt;0,AE13/-R13,R13&gt;0,AE13/R13)</f>
        <v>-3180.9145640000002</v>
      </c>
      <c r="AM13" s="59">
        <f t="shared" si="13"/>
        <v>0</v>
      </c>
      <c r="AN13" s="60">
        <f t="shared" si="14"/>
        <v>-18.723377267643773</v>
      </c>
      <c r="AP13" s="62">
        <f t="shared" si="15"/>
        <v>0</v>
      </c>
    </row>
    <row r="14" spans="1:42" ht="13.75" customHeight="1">
      <c r="A14" s="39">
        <v>2730129805</v>
      </c>
      <c r="B14" s="40" t="s">
        <v>19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1">
        <v>1</v>
      </c>
      <c r="L14" s="45"/>
      <c r="M14" s="45"/>
      <c r="N14" s="46">
        <f t="shared" si="16"/>
        <v>0.2</v>
      </c>
      <c r="O14" s="47">
        <f t="shared" si="17"/>
        <v>0.2</v>
      </c>
      <c r="P14" s="48">
        <f>SUMIFS('Отчет 27-31.10'!H:H,'Отчет 27-31.10'!D:D,"Выручка",'Отчет 27-31.10'!E:E,B14)</f>
        <v>1</v>
      </c>
      <c r="Q14" s="48">
        <f>SUMIFS('Отчет 27-31.10'!H:H,'Отчет 27-31.10'!D:D,"Возврат выручки",'Отчет 27-31.10'!E:E,B14)</f>
        <v>0</v>
      </c>
      <c r="R14" s="49">
        <f t="shared" si="1"/>
        <v>1</v>
      </c>
      <c r="S14" s="50">
        <f>SUMIFS('Отчет 27-31.10'!P:P,'Отчет 27-31.10'!C:C,"Продажи",'Отчет 27-31.10'!E:E,B14)</f>
        <v>1338</v>
      </c>
      <c r="T14" s="51">
        <f>SUMIFS('Отчет 27-31.10'!P:P,'Отчет 27-31.10'!C:C,"Возвраты",'Отчет 27-31.10'!E:E,B14)</f>
        <v>0</v>
      </c>
      <c r="U14" s="49">
        <f t="shared" si="2"/>
        <v>1338</v>
      </c>
      <c r="V14" s="52">
        <f t="shared" si="3"/>
        <v>2.7780084710572212E-2</v>
      </c>
      <c r="W14" s="53">
        <f t="shared" si="4"/>
        <v>169.89</v>
      </c>
      <c r="X14" s="51">
        <f>-SUMIFS('Отчет 27-31.10'!P:P,'Отчет 27-31.10'!C:C,"Вознаграждение Ozon",'Отчет 27-31.10'!E:E,B14)</f>
        <v>508.44</v>
      </c>
      <c r="Y14" s="54">
        <f t="shared" si="5"/>
        <v>0.38</v>
      </c>
      <c r="Z14" s="51">
        <f>-SUMIFS('Отчет 27-31.10'!P:P,'Отчет 27-31.10'!C:C,"Услуги доставки",'Отчет 27-31.10'!E:E,B14)</f>
        <v>46</v>
      </c>
      <c r="AA14" s="41">
        <v>0</v>
      </c>
      <c r="AB14" s="64"/>
      <c r="AC14" s="51"/>
      <c r="AD14" s="55">
        <f t="shared" si="6"/>
        <v>80.28</v>
      </c>
      <c r="AE14" s="56">
        <f t="shared" si="7"/>
        <v>533.3900000000001</v>
      </c>
      <c r="AF14" s="55"/>
      <c r="AG14" s="57">
        <f t="shared" si="8"/>
        <v>1338</v>
      </c>
      <c r="AH14" s="58">
        <f t="shared" si="9"/>
        <v>169.89</v>
      </c>
      <c r="AI14" s="58">
        <f t="shared" si="10"/>
        <v>508.44</v>
      </c>
      <c r="AJ14" s="58">
        <f t="shared" si="11"/>
        <v>46</v>
      </c>
      <c r="AK14" s="58">
        <f t="shared" si="12"/>
        <v>0</v>
      </c>
      <c r="AL14" s="58">
        <f t="array" ref="AL14">_xlfn.IFS(R14=0,AE14,R14&lt;0,AE14/-R14,R14&gt;0,AE14/R14)</f>
        <v>533.3900000000001</v>
      </c>
      <c r="AM14" s="59">
        <f t="shared" si="13"/>
        <v>0.3986472346786249</v>
      </c>
      <c r="AN14" s="60">
        <f t="shared" si="14"/>
        <v>3.1396197539584447</v>
      </c>
      <c r="AP14" s="62">
        <f t="shared" si="15"/>
        <v>0</v>
      </c>
    </row>
    <row r="15" spans="1:42" ht="13.75" customHeight="1">
      <c r="A15" s="39">
        <v>2807226201</v>
      </c>
      <c r="B15" s="40" t="s">
        <v>229</v>
      </c>
      <c r="C15" s="41"/>
      <c r="D15" s="42"/>
      <c r="E15" s="42"/>
      <c r="F15" s="42"/>
      <c r="G15" s="43"/>
      <c r="H15" s="44">
        <v>1002.82</v>
      </c>
      <c r="I15" s="63">
        <f t="shared" si="0"/>
        <v>0</v>
      </c>
      <c r="J15" s="45"/>
      <c r="K15" s="41">
        <v>1</v>
      </c>
      <c r="L15" s="45"/>
      <c r="M15" s="45"/>
      <c r="N15" s="46">
        <f t="shared" si="16"/>
        <v>0.2</v>
      </c>
      <c r="O15" s="47">
        <f t="shared" si="17"/>
        <v>0.2</v>
      </c>
      <c r="P15" s="48">
        <f>SUMIFS('Отчет 27-31.10'!H:H,'Отчет 27-31.10'!D:D,"Выручка",'Отчет 27-31.10'!E:E,B15)</f>
        <v>1</v>
      </c>
      <c r="Q15" s="48">
        <f>SUMIFS('Отчет 27-31.10'!H:H,'Отчет 27-31.10'!D:D,"Возврат выручки",'Отчет 27-31.10'!E:E,B15)</f>
        <v>0</v>
      </c>
      <c r="R15" s="49">
        <f t="shared" si="1"/>
        <v>1</v>
      </c>
      <c r="S15" s="50">
        <f>SUMIFS('Отчет 27-31.10'!P:P,'Отчет 27-31.10'!C:C,"Продажи",'Отчет 27-31.10'!E:E,B15)</f>
        <v>3250</v>
      </c>
      <c r="T15" s="51">
        <f>SUMIFS('Отчет 27-31.10'!P:P,'Отчет 27-31.10'!C:C,"Возвраты",'Отчет 27-31.10'!E:E,B15)</f>
        <v>0</v>
      </c>
      <c r="U15" s="49">
        <f t="shared" si="2"/>
        <v>3250</v>
      </c>
      <c r="V15" s="52">
        <f t="shared" si="3"/>
        <v>6.74777842371896E-2</v>
      </c>
      <c r="W15" s="53">
        <f t="shared" si="4"/>
        <v>1002.82</v>
      </c>
      <c r="X15" s="51">
        <f>-SUMIFS('Отчет 27-31.10'!P:P,'Отчет 27-31.10'!C:C,"Вознаграждение Ozon",'Отчет 27-31.10'!E:E,B15)</f>
        <v>1105</v>
      </c>
      <c r="Y15" s="54">
        <f t="shared" si="5"/>
        <v>0.34</v>
      </c>
      <c r="Z15" s="51">
        <f>-SUMIFS('Отчет 27-31.10'!P:P,'Отчет 27-31.10'!C:C,"Услуги доставки",'Отчет 27-31.10'!E:E,B15)</f>
        <v>108</v>
      </c>
      <c r="AA15" s="41">
        <v>3200.9937319999999</v>
      </c>
      <c r="AB15" s="64"/>
      <c r="AC15" s="51"/>
      <c r="AD15" s="55">
        <f t="shared" si="6"/>
        <v>195</v>
      </c>
      <c r="AE15" s="56">
        <f t="shared" si="7"/>
        <v>-2361.8137320000001</v>
      </c>
      <c r="AF15" s="55"/>
      <c r="AG15" s="57">
        <f t="shared" si="8"/>
        <v>3250</v>
      </c>
      <c r="AH15" s="58">
        <f t="shared" si="9"/>
        <v>1002.82</v>
      </c>
      <c r="AI15" s="58">
        <f t="shared" si="10"/>
        <v>1105</v>
      </c>
      <c r="AJ15" s="58">
        <f t="shared" si="11"/>
        <v>108</v>
      </c>
      <c r="AK15" s="58">
        <f t="shared" si="12"/>
        <v>3200.9937319999999</v>
      </c>
      <c r="AL15" s="58">
        <f t="array" ref="AL15">_xlfn.IFS(R15=0,AE15,R15&lt;0,AE15/-R15,R15&gt;0,AE15/R15)</f>
        <v>-2361.8137320000001</v>
      </c>
      <c r="AM15" s="59">
        <f t="shared" si="13"/>
        <v>-0.72671191753846154</v>
      </c>
      <c r="AN15" s="60">
        <f t="shared" si="14"/>
        <v>-2.3551721465467383</v>
      </c>
      <c r="AP15" s="62">
        <f t="shared" si="15"/>
        <v>0</v>
      </c>
    </row>
    <row r="16" spans="1:42" ht="13.75" customHeight="1">
      <c r="A16" s="39">
        <v>2807226228</v>
      </c>
      <c r="B16" s="40" t="s">
        <v>230</v>
      </c>
      <c r="C16" s="41"/>
      <c r="D16" s="42"/>
      <c r="E16" s="42"/>
      <c r="F16" s="42"/>
      <c r="G16" s="43"/>
      <c r="H16" s="44">
        <v>909.22</v>
      </c>
      <c r="I16" s="63">
        <f t="shared" si="0"/>
        <v>0</v>
      </c>
      <c r="J16" s="45"/>
      <c r="K16" s="41">
        <v>0</v>
      </c>
      <c r="L16" s="45"/>
      <c r="M16" s="45"/>
      <c r="N16" s="46">
        <f t="shared" si="16"/>
        <v>0</v>
      </c>
      <c r="O16" s="47">
        <f t="shared" si="17"/>
        <v>0</v>
      </c>
      <c r="P16" s="48">
        <f>SUMIFS('Отчет 27-31.10'!H:H,'Отчет 27-31.10'!D:D,"Выручка",'Отчет 27-31.10'!E:E,B16)</f>
        <v>0</v>
      </c>
      <c r="Q16" s="48">
        <f>SUMIFS('Отчет 27-31.10'!H:H,'Отчет 27-31.10'!D:D,"Возврат выручки",'Отчет 27-31.10'!E:E,B16)</f>
        <v>0</v>
      </c>
      <c r="R16" s="49">
        <f t="shared" si="1"/>
        <v>0</v>
      </c>
      <c r="S16" s="50">
        <f>SUMIFS('Отчет 27-31.10'!P:P,'Отчет 27-31.10'!C:C,"Продажи",'Отчет 27-31.10'!E:E,B16)</f>
        <v>0</v>
      </c>
      <c r="T16" s="51">
        <f>SUMIFS('Отчет 27-31.10'!P:P,'Отчет 27-31.10'!C:C,"Возвраты",'Отчет 27-31.10'!E:E,B16)</f>
        <v>0</v>
      </c>
      <c r="U16" s="49">
        <f t="shared" si="2"/>
        <v>0</v>
      </c>
      <c r="V16" s="52">
        <f t="shared" si="3"/>
        <v>0</v>
      </c>
      <c r="W16" s="53">
        <f t="shared" si="4"/>
        <v>0</v>
      </c>
      <c r="X16" s="51">
        <f>-SUMIFS('Отчет 27-31.10'!P:P,'Отчет 27-31.10'!C:C,"Вознаграждение Ozon",'Отчет 27-31.10'!E:E,B16)</f>
        <v>0</v>
      </c>
      <c r="Y16" s="54">
        <f t="shared" si="5"/>
        <v>0</v>
      </c>
      <c r="Z16" s="51">
        <f>-SUMIFS('Отчет 27-31.10'!P:P,'Отчет 27-31.10'!C:C,"Услуги доставки",'Отчет 27-31.10'!E:E,B16)</f>
        <v>0</v>
      </c>
      <c r="AA16" s="41">
        <v>0</v>
      </c>
      <c r="AB16" s="64"/>
      <c r="AC16" s="51"/>
      <c r="AD16" s="55">
        <f t="shared" si="6"/>
        <v>0</v>
      </c>
      <c r="AE16" s="56">
        <f t="shared" si="7"/>
        <v>0</v>
      </c>
      <c r="AF16" s="55"/>
      <c r="AG16" s="57">
        <f t="shared" si="8"/>
        <v>0</v>
      </c>
      <c r="AH16" s="58">
        <f t="shared" si="9"/>
        <v>909.22</v>
      </c>
      <c r="AI16" s="58">
        <f t="shared" si="10"/>
        <v>0</v>
      </c>
      <c r="AJ16" s="58">
        <f t="shared" si="11"/>
        <v>0</v>
      </c>
      <c r="AK16" s="58">
        <f t="shared" si="12"/>
        <v>0</v>
      </c>
      <c r="AL16" s="58">
        <f t="array" ref="AL16">_xlfn.IFS(R16=0,AE16,R16&lt;0,AE16/-R16,R16&gt;0,AE16/R16)</f>
        <v>0</v>
      </c>
      <c r="AM16" s="59">
        <f t="shared" si="13"/>
        <v>0</v>
      </c>
      <c r="AN16" s="60">
        <f t="shared" si="14"/>
        <v>0</v>
      </c>
      <c r="AP16" s="62">
        <f t="shared" si="15"/>
        <v>0</v>
      </c>
    </row>
    <row r="17" spans="1:52" ht="13.75" customHeight="1">
      <c r="A17" s="39">
        <v>2807226016</v>
      </c>
      <c r="B17" s="40" t="s">
        <v>231</v>
      </c>
      <c r="C17" s="41"/>
      <c r="D17" s="42"/>
      <c r="E17" s="42"/>
      <c r="F17" s="42"/>
      <c r="G17" s="43"/>
      <c r="H17" s="44">
        <v>909.22</v>
      </c>
      <c r="I17" s="63">
        <f t="shared" si="0"/>
        <v>0</v>
      </c>
      <c r="J17" s="45"/>
      <c r="K17" s="41">
        <v>0</v>
      </c>
      <c r="L17" s="45"/>
      <c r="M17" s="45"/>
      <c r="N17" s="46">
        <f t="shared" si="16"/>
        <v>0</v>
      </c>
      <c r="O17" s="47">
        <f t="shared" si="17"/>
        <v>0</v>
      </c>
      <c r="P17" s="48">
        <f>SUMIFS('Отчет 27-31.10'!H:H,'Отчет 27-31.10'!D:D,"Выручка",'Отчет 27-31.10'!E:E,B17)</f>
        <v>0</v>
      </c>
      <c r="Q17" s="48">
        <f>SUMIFS('Отчет 27-31.10'!H:H,'Отчет 27-31.10'!D:D,"Возврат выручки",'Отчет 27-31.10'!E:E,B17)</f>
        <v>0</v>
      </c>
      <c r="R17" s="49">
        <f t="shared" si="1"/>
        <v>0</v>
      </c>
      <c r="S17" s="50">
        <f>SUMIFS('Отчет 27-31.10'!P:P,'Отчет 27-31.10'!C:C,"Продажи",'Отчет 27-31.10'!E:E,B17)</f>
        <v>0</v>
      </c>
      <c r="T17" s="51">
        <f>SUMIFS('Отчет 27-31.10'!P:P,'Отчет 27-31.10'!C:C,"Возвраты",'Отчет 27-31.10'!E:E,B17)</f>
        <v>0</v>
      </c>
      <c r="U17" s="49">
        <f t="shared" si="2"/>
        <v>0</v>
      </c>
      <c r="V17" s="52">
        <f t="shared" si="3"/>
        <v>0</v>
      </c>
      <c r="W17" s="53">
        <f t="shared" si="4"/>
        <v>0</v>
      </c>
      <c r="X17" s="51">
        <f>-SUMIFS('Отчет 27-31.10'!P:P,'Отчет 27-31.10'!C:C,"Вознаграждение Ozon",'Отчет 27-31.10'!E:E,B17)</f>
        <v>0</v>
      </c>
      <c r="Y17" s="54">
        <f t="shared" si="5"/>
        <v>0</v>
      </c>
      <c r="Z17" s="51">
        <f>-SUMIFS('Отчет 27-31.10'!P:P,'Отчет 27-31.10'!C:C,"Услуги доставки",'Отчет 27-31.10'!E:E,B17)</f>
        <v>0</v>
      </c>
      <c r="AA17" s="41">
        <v>0</v>
      </c>
      <c r="AB17" s="64"/>
      <c r="AC17" s="51"/>
      <c r="AD17" s="55">
        <f t="shared" si="6"/>
        <v>0</v>
      </c>
      <c r="AE17" s="56">
        <f t="shared" si="7"/>
        <v>0</v>
      </c>
      <c r="AF17" s="55"/>
      <c r="AG17" s="57">
        <f t="shared" si="8"/>
        <v>0</v>
      </c>
      <c r="AH17" s="58">
        <f t="shared" si="9"/>
        <v>909.22</v>
      </c>
      <c r="AI17" s="58">
        <f t="shared" si="10"/>
        <v>0</v>
      </c>
      <c r="AJ17" s="58">
        <f t="shared" si="11"/>
        <v>0</v>
      </c>
      <c r="AK17" s="58">
        <f t="shared" si="12"/>
        <v>0</v>
      </c>
      <c r="AL17" s="58">
        <f t="array" ref="AL17">_xlfn.IFS(R17=0,AE17,R17&lt;0,AE17/-R17,R17&gt;0,AE17/R17)</f>
        <v>0</v>
      </c>
      <c r="AM17" s="59">
        <f t="shared" si="13"/>
        <v>0</v>
      </c>
      <c r="AN17" s="60">
        <f t="shared" si="14"/>
        <v>0</v>
      </c>
      <c r="AP17" s="62">
        <f t="shared" si="15"/>
        <v>0</v>
      </c>
    </row>
    <row r="18" spans="1:52" ht="13.75" customHeight="1">
      <c r="A18" s="39">
        <v>2807226072</v>
      </c>
      <c r="B18" s="40" t="s">
        <v>111</v>
      </c>
      <c r="C18" s="41"/>
      <c r="D18" s="42"/>
      <c r="E18" s="42"/>
      <c r="F18" s="42"/>
      <c r="G18" s="43"/>
      <c r="H18" s="44">
        <v>932.62</v>
      </c>
      <c r="I18" s="63">
        <f t="shared" si="0"/>
        <v>0</v>
      </c>
      <c r="J18" s="45"/>
      <c r="K18" s="41">
        <v>0</v>
      </c>
      <c r="L18" s="45"/>
      <c r="M18" s="45"/>
      <c r="N18" s="46">
        <f t="shared" si="16"/>
        <v>0</v>
      </c>
      <c r="O18" s="47">
        <f t="shared" si="17"/>
        <v>0</v>
      </c>
      <c r="P18" s="48">
        <f>SUMIFS('Отчет 27-31.10'!H:H,'Отчет 27-31.10'!D:D,"Выручка",'Отчет 27-31.10'!E:E,B18)</f>
        <v>0</v>
      </c>
      <c r="Q18" s="48">
        <f>SUMIFS('Отчет 27-31.10'!H:H,'Отчет 27-31.10'!D:D,"Возврат выручки",'Отчет 27-31.10'!E:E,B18)</f>
        <v>0</v>
      </c>
      <c r="R18" s="49">
        <f t="shared" si="1"/>
        <v>0</v>
      </c>
      <c r="S18" s="50">
        <f>SUMIFS('Отчет 27-31.10'!P:P,'Отчет 27-31.10'!C:C,"Продажи",'Отчет 27-31.10'!E:E,B18)</f>
        <v>0</v>
      </c>
      <c r="T18" s="51">
        <f>SUMIFS('Отчет 27-31.10'!P:P,'Отчет 27-31.10'!C:C,"Возвраты",'Отчет 27-31.10'!E:E,B18)</f>
        <v>0</v>
      </c>
      <c r="U18" s="49">
        <f t="shared" si="2"/>
        <v>0</v>
      </c>
      <c r="V18" s="52">
        <f t="shared" si="3"/>
        <v>0</v>
      </c>
      <c r="W18" s="53">
        <f t="shared" si="4"/>
        <v>0</v>
      </c>
      <c r="X18" s="51">
        <f>-SUMIFS('Отчет 27-31.10'!P:P,'Отчет 27-31.10'!C:C,"Вознаграждение Ozon",'Отчет 27-31.10'!E:E,B18)</f>
        <v>0</v>
      </c>
      <c r="Y18" s="54">
        <f t="shared" si="5"/>
        <v>0</v>
      </c>
      <c r="Z18" s="51">
        <f>-SUMIFS('Отчет 27-31.10'!P:P,'Отчет 27-31.10'!C:C,"Услуги доставки",'Отчет 27-31.10'!E:E,B18)</f>
        <v>0</v>
      </c>
      <c r="AA18" s="41">
        <v>0</v>
      </c>
      <c r="AB18" s="64"/>
      <c r="AC18" s="51"/>
      <c r="AD18" s="55">
        <f t="shared" si="6"/>
        <v>0</v>
      </c>
      <c r="AE18" s="56">
        <f t="shared" si="7"/>
        <v>0</v>
      </c>
      <c r="AF18" s="55"/>
      <c r="AG18" s="57">
        <f t="shared" si="8"/>
        <v>0</v>
      </c>
      <c r="AH18" s="58">
        <f t="shared" si="9"/>
        <v>932.62</v>
      </c>
      <c r="AI18" s="58">
        <f t="shared" si="10"/>
        <v>0</v>
      </c>
      <c r="AJ18" s="58">
        <f t="shared" si="11"/>
        <v>0</v>
      </c>
      <c r="AK18" s="58">
        <f t="shared" si="12"/>
        <v>0</v>
      </c>
      <c r="AL18" s="58">
        <f t="array" ref="AL18">_xlfn.IFS(R18=0,AE18,R18&lt;0,AE18/-R18,R18&gt;0,AE18/R18)</f>
        <v>0</v>
      </c>
      <c r="AM18" s="59">
        <f t="shared" si="13"/>
        <v>0</v>
      </c>
      <c r="AN18" s="60">
        <f t="shared" si="14"/>
        <v>0</v>
      </c>
      <c r="AP18" s="62">
        <f t="shared" si="15"/>
        <v>0</v>
      </c>
    </row>
    <row r="19" spans="1:52" ht="13.75" customHeight="1">
      <c r="A19" s="39">
        <v>2807226223</v>
      </c>
      <c r="B19" s="40" t="s">
        <v>232</v>
      </c>
      <c r="C19" s="41"/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6"/>
        <v>0</v>
      </c>
      <c r="O19" s="47">
        <f t="shared" si="17"/>
        <v>0</v>
      </c>
      <c r="P19" s="48">
        <f>SUMIFS('Отчет 27-31.10'!H:H,'Отчет 27-31.10'!D:D,"Выручка",'Отчет 27-31.10'!E:E,B19)</f>
        <v>0</v>
      </c>
      <c r="Q19" s="48">
        <f>SUMIFS('Отчет 27-31.10'!H:H,'Отчет 27-31.10'!D:D,"Возврат выручки",'Отчет 27-31.10'!E:E,B19)</f>
        <v>0</v>
      </c>
      <c r="R19" s="49">
        <f t="shared" si="1"/>
        <v>0</v>
      </c>
      <c r="S19" s="50">
        <f>SUMIFS('Отчет 27-31.10'!P:P,'Отчет 27-31.10'!C:C,"Продажи",'Отчет 27-31.10'!E:E,B19)</f>
        <v>0</v>
      </c>
      <c r="T19" s="51">
        <f>SUMIFS('Отчет 27-31.10'!P:P,'Отчет 27-31.10'!C:C,"Возвраты",'Отчет 27-31.10'!E:E,B19)</f>
        <v>0</v>
      </c>
      <c r="U19" s="49">
        <f t="shared" si="2"/>
        <v>0</v>
      </c>
      <c r="V19" s="52">
        <f t="shared" si="3"/>
        <v>0</v>
      </c>
      <c r="W19" s="53">
        <f t="shared" si="4"/>
        <v>0</v>
      </c>
      <c r="X19" s="51">
        <f>-SUMIFS('Отчет 27-31.10'!P:P,'Отчет 27-31.10'!C:C,"Вознаграждение Ozon",'Отчет 27-31.10'!E:E,B19)</f>
        <v>0</v>
      </c>
      <c r="Y19" s="54">
        <f t="shared" si="5"/>
        <v>0</v>
      </c>
      <c r="Z19" s="51">
        <f>-SUMIFS('Отчет 27-31.10'!P:P,'Отчет 27-31.10'!C:C,"Услуги доставки",'Отчет 27-31.10'!E:E,B19)</f>
        <v>0</v>
      </c>
      <c r="AA19" s="41">
        <v>0</v>
      </c>
      <c r="AB19" s="64"/>
      <c r="AC19" s="51"/>
      <c r="AD19" s="55">
        <f t="shared" si="6"/>
        <v>0</v>
      </c>
      <c r="AE19" s="56">
        <f t="shared" si="7"/>
        <v>0</v>
      </c>
      <c r="AF19" s="55"/>
      <c r="AG19" s="57">
        <f t="shared" si="8"/>
        <v>0</v>
      </c>
      <c r="AH19" s="58">
        <f t="shared" si="9"/>
        <v>1014.52</v>
      </c>
      <c r="AI19" s="58">
        <f t="shared" si="10"/>
        <v>0</v>
      </c>
      <c r="AJ19" s="58">
        <f t="shared" si="11"/>
        <v>0</v>
      </c>
      <c r="AK19" s="58">
        <f t="shared" si="12"/>
        <v>0</v>
      </c>
      <c r="AL19" s="58">
        <f t="array" ref="AL19">_xlfn.IFS(R19=0,AE19,R19&lt;0,AE19/-R19,R19&gt;0,AE19/R19)</f>
        <v>0</v>
      </c>
      <c r="AM19" s="59">
        <f t="shared" si="13"/>
        <v>0</v>
      </c>
      <c r="AN19" s="60">
        <f t="shared" si="14"/>
        <v>0</v>
      </c>
      <c r="AP19" s="62">
        <f t="shared" si="15"/>
        <v>0</v>
      </c>
    </row>
    <row r="20" spans="1:52" ht="13.75" customHeight="1">
      <c r="A20" s="39">
        <v>2807226341</v>
      </c>
      <c r="B20" s="40" t="s">
        <v>136</v>
      </c>
      <c r="C20" s="41"/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v>1</v>
      </c>
      <c r="L20" s="45"/>
      <c r="M20" s="45"/>
      <c r="N20" s="46">
        <f t="shared" si="16"/>
        <v>0.2</v>
      </c>
      <c r="O20" s="47">
        <f t="shared" si="17"/>
        <v>0</v>
      </c>
      <c r="P20" s="48">
        <f>SUMIFS('Отчет 27-31.10'!H:H,'Отчет 27-31.10'!D:D,"Выручка",'Отчет 27-31.10'!E:E,B20)</f>
        <v>0</v>
      </c>
      <c r="Q20" s="48">
        <f>SUMIFS('Отчет 27-31.10'!H:H,'Отчет 27-31.10'!D:D,"Возврат выручки",'Отчет 27-31.10'!E:E,B20)</f>
        <v>0</v>
      </c>
      <c r="R20" s="49">
        <f t="shared" si="1"/>
        <v>0</v>
      </c>
      <c r="S20" s="50">
        <f>SUMIFS('Отчет 27-31.10'!P:P,'Отчет 27-31.10'!C:C,"Продажи",'Отчет 27-31.10'!E:E,B20)</f>
        <v>0</v>
      </c>
      <c r="T20" s="51">
        <f>SUMIFS('Отчет 27-31.10'!P:P,'Отчет 27-31.10'!C:C,"Возвраты",'Отчет 27-31.10'!E:E,B20)</f>
        <v>0</v>
      </c>
      <c r="U20" s="49">
        <f t="shared" si="2"/>
        <v>0</v>
      </c>
      <c r="V20" s="52">
        <f t="shared" si="3"/>
        <v>0</v>
      </c>
      <c r="W20" s="53">
        <f t="shared" si="4"/>
        <v>0</v>
      </c>
      <c r="X20" s="51">
        <f>-SUMIFS('Отчет 27-31.10'!P:P,'Отчет 27-31.10'!C:C,"Вознаграждение Ozon",'Отчет 27-31.10'!E:E,B20)</f>
        <v>0</v>
      </c>
      <c r="Y20" s="54">
        <f t="shared" si="5"/>
        <v>0</v>
      </c>
      <c r="Z20" s="51">
        <f>-SUMIFS('Отчет 27-31.10'!P:P,'Отчет 27-31.10'!C:C,"Услуги доставки",'Отчет 27-31.10'!E:E,B20)</f>
        <v>0</v>
      </c>
      <c r="AA20" s="41">
        <v>1495.60934</v>
      </c>
      <c r="AB20" s="64"/>
      <c r="AC20" s="51"/>
      <c r="AD20" s="55">
        <f t="shared" si="6"/>
        <v>0</v>
      </c>
      <c r="AE20" s="56">
        <f t="shared" si="7"/>
        <v>-1495.60934</v>
      </c>
      <c r="AF20" s="55"/>
      <c r="AG20" s="57">
        <f t="shared" si="8"/>
        <v>0</v>
      </c>
      <c r="AH20" s="58">
        <f t="shared" si="9"/>
        <v>1014.52</v>
      </c>
      <c r="AI20" s="58">
        <f t="shared" si="10"/>
        <v>0</v>
      </c>
      <c r="AJ20" s="58">
        <f t="shared" si="11"/>
        <v>0</v>
      </c>
      <c r="AK20" s="58">
        <f t="shared" si="12"/>
        <v>0</v>
      </c>
      <c r="AL20" s="58">
        <f t="array" ref="AL20">_xlfn.IFS(R20=0,AE20,R20&lt;0,AE20/-R20,R20&gt;0,AE20/R20)</f>
        <v>-1495.60934</v>
      </c>
      <c r="AM20" s="59">
        <f t="shared" si="13"/>
        <v>0</v>
      </c>
      <c r="AN20" s="60">
        <f t="shared" si="14"/>
        <v>-1.4742038993809881</v>
      </c>
      <c r="AP20" s="62">
        <f t="shared" si="15"/>
        <v>0</v>
      </c>
    </row>
    <row r="21" spans="1:52" ht="13.75" customHeight="1">
      <c r="A21" s="39">
        <v>2807226351</v>
      </c>
      <c r="B21" s="40" t="s">
        <v>233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6"/>
        <v>0</v>
      </c>
      <c r="O21" s="47">
        <f t="shared" si="17"/>
        <v>0</v>
      </c>
      <c r="P21" s="48">
        <f>SUMIFS('Отчет 27-31.10'!H:H,'Отчет 27-31.10'!D:D,"Выручка",'Отчет 27-31.10'!E:E,B21)</f>
        <v>0</v>
      </c>
      <c r="Q21" s="48">
        <f>SUMIFS('Отчет 27-31.10'!H:H,'Отчет 27-31.10'!D:D,"Возврат выручки",'Отчет 27-31.10'!E:E,B21)</f>
        <v>0</v>
      </c>
      <c r="R21" s="49">
        <f t="shared" si="1"/>
        <v>0</v>
      </c>
      <c r="S21" s="50">
        <f>SUMIFS('Отчет 27-31.10'!P:P,'Отчет 27-31.10'!C:C,"Продажи",'Отчет 27-31.10'!E:E,B21)</f>
        <v>0</v>
      </c>
      <c r="T21" s="51">
        <f>SUMIFS('Отчет 27-31.10'!P:P,'Отчет 27-31.10'!C:C,"Возвраты",'Отчет 27-31.10'!E:E,B21)</f>
        <v>0</v>
      </c>
      <c r="U21" s="49">
        <f t="shared" si="2"/>
        <v>0</v>
      </c>
      <c r="V21" s="52">
        <f t="shared" si="3"/>
        <v>0</v>
      </c>
      <c r="W21" s="53">
        <f t="shared" si="4"/>
        <v>0</v>
      </c>
      <c r="X21" s="51">
        <f>-SUMIFS('Отчет 27-31.10'!P:P,'Отчет 27-31.10'!C:C,"Вознаграждение Ozon",'Отчет 27-31.10'!E:E,B21)</f>
        <v>0</v>
      </c>
      <c r="Y21" s="54">
        <f t="shared" si="5"/>
        <v>0</v>
      </c>
      <c r="Z21" s="51">
        <f>-SUMIFS('Отчет 27-31.10'!P:P,'Отчет 27-31.10'!C:C,"Услуги доставки",'Отчет 27-31.10'!E:E,B21)</f>
        <v>0</v>
      </c>
      <c r="AA21" s="41">
        <v>0</v>
      </c>
      <c r="AB21" s="64"/>
      <c r="AC21" s="51"/>
      <c r="AD21" s="55">
        <f t="shared" si="6"/>
        <v>0</v>
      </c>
      <c r="AE21" s="56">
        <f t="shared" si="7"/>
        <v>0</v>
      </c>
      <c r="AF21" s="55"/>
      <c r="AG21" s="57">
        <f t="shared" si="8"/>
        <v>0</v>
      </c>
      <c r="AH21" s="58">
        <f t="shared" si="9"/>
        <v>1014.52</v>
      </c>
      <c r="AI21" s="58">
        <f t="shared" si="10"/>
        <v>0</v>
      </c>
      <c r="AJ21" s="58">
        <f t="shared" si="11"/>
        <v>0</v>
      </c>
      <c r="AK21" s="58">
        <f t="shared" si="12"/>
        <v>0</v>
      </c>
      <c r="AL21" s="58">
        <f t="array" ref="AL21">_xlfn.IFS(R21=0,AE21,R21&lt;0,AE21/-R21,R21&gt;0,AE21/R21)</f>
        <v>0</v>
      </c>
      <c r="AM21" s="59">
        <f t="shared" si="13"/>
        <v>0</v>
      </c>
      <c r="AN21" s="60">
        <f t="shared" si="14"/>
        <v>0</v>
      </c>
      <c r="AP21" s="62">
        <f t="shared" si="15"/>
        <v>0</v>
      </c>
    </row>
    <row r="22" spans="1:52" ht="13.75" customHeight="1">
      <c r="A22" s="39">
        <v>2807226146</v>
      </c>
      <c r="B22" s="40" t="s">
        <v>234</v>
      </c>
      <c r="C22" s="41"/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6"/>
        <v>0</v>
      </c>
      <c r="O22" s="47">
        <f t="shared" si="17"/>
        <v>0</v>
      </c>
      <c r="P22" s="48">
        <f>SUMIFS('Отчет 27-31.10'!H:H,'Отчет 27-31.10'!D:D,"Выручка",'Отчет 27-31.10'!E:E,B22)</f>
        <v>0</v>
      </c>
      <c r="Q22" s="48">
        <f>SUMIFS('Отчет 27-31.10'!H:H,'Отчет 27-31.10'!D:D,"Возврат выручки",'Отчет 27-31.10'!E:E,B22)</f>
        <v>0</v>
      </c>
      <c r="R22" s="49">
        <f t="shared" si="1"/>
        <v>0</v>
      </c>
      <c r="S22" s="50">
        <f>SUMIFS('Отчет 27-31.10'!P:P,'Отчет 27-31.10'!C:C,"Продажи",'Отчет 27-31.10'!E:E,B22)</f>
        <v>0</v>
      </c>
      <c r="T22" s="51">
        <f>SUMIFS('Отчет 27-31.10'!P:P,'Отчет 27-31.10'!C:C,"Возвраты",'Отчет 27-31.10'!E:E,B22)</f>
        <v>0</v>
      </c>
      <c r="U22" s="49">
        <f t="shared" si="2"/>
        <v>0</v>
      </c>
      <c r="V22" s="52">
        <f t="shared" si="3"/>
        <v>0</v>
      </c>
      <c r="W22" s="53">
        <f t="shared" si="4"/>
        <v>0</v>
      </c>
      <c r="X22" s="51">
        <f>-SUMIFS('Отчет 27-31.10'!P:P,'Отчет 27-31.10'!C:C,"Вознаграждение Ozon",'Отчет 27-31.10'!E:E,B22)</f>
        <v>0</v>
      </c>
      <c r="Y22" s="54">
        <f t="shared" si="5"/>
        <v>0</v>
      </c>
      <c r="Z22" s="51">
        <f>-SUMIFS('Отчет 27-31.10'!P:P,'Отчет 27-31.10'!C:C,"Услуги доставки",'Отчет 27-31.10'!E:E,B22)</f>
        <v>0</v>
      </c>
      <c r="AA22" s="41">
        <v>0</v>
      </c>
      <c r="AB22" s="64"/>
      <c r="AC22" s="51"/>
      <c r="AD22" s="55">
        <f t="shared" si="6"/>
        <v>0</v>
      </c>
      <c r="AE22" s="56">
        <f t="shared" si="7"/>
        <v>0</v>
      </c>
      <c r="AF22" s="55"/>
      <c r="AG22" s="57">
        <f t="shared" si="8"/>
        <v>0</v>
      </c>
      <c r="AH22" s="58">
        <f t="shared" si="9"/>
        <v>991.12</v>
      </c>
      <c r="AI22" s="58">
        <f t="shared" si="10"/>
        <v>0</v>
      </c>
      <c r="AJ22" s="58">
        <f t="shared" si="11"/>
        <v>0</v>
      </c>
      <c r="AK22" s="58">
        <f t="shared" si="12"/>
        <v>0</v>
      </c>
      <c r="AL22" s="58">
        <f t="array" ref="AL22">_xlfn.IFS(R22=0,AE22,R22&lt;0,AE22/-R22,R22&gt;0,AE22/R22)</f>
        <v>0</v>
      </c>
      <c r="AM22" s="59">
        <f t="shared" si="13"/>
        <v>0</v>
      </c>
      <c r="AN22" s="60">
        <f t="shared" si="14"/>
        <v>0</v>
      </c>
      <c r="AP22" s="62">
        <f t="shared" si="15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1677.4</v>
      </c>
      <c r="AH23" s="247">
        <f t="shared" si="18"/>
        <v>480.36400000000003</v>
      </c>
      <c r="AI23" s="247">
        <f t="shared" si="18"/>
        <v>591.83600000000001</v>
      </c>
      <c r="AJ23" s="247">
        <f t="shared" si="18"/>
        <v>109.61904761904762</v>
      </c>
      <c r="AK23" s="247">
        <f t="shared" si="18"/>
        <v>2147.8609977083333</v>
      </c>
      <c r="AL23" s="247">
        <f t="shared" si="18"/>
        <v>-1191.5126665166667</v>
      </c>
      <c r="AM23" s="249">
        <f t="shared" si="18"/>
        <v>-0.64216083010833946</v>
      </c>
      <c r="AN23" s="249">
        <f t="shared" si="18"/>
        <v>-5.3118445951329401</v>
      </c>
      <c r="AO23" s="240"/>
      <c r="AP23" s="241"/>
    </row>
    <row r="24" spans="1:52">
      <c r="A24" s="216" t="s">
        <v>305</v>
      </c>
      <c r="B24" s="209"/>
      <c r="C24" s="217">
        <f>SUM(C3:C22)</f>
        <v>0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0</v>
      </c>
      <c r="J24" s="212"/>
      <c r="K24" s="217">
        <f>SUM(K3:K22)</f>
        <v>13</v>
      </c>
      <c r="L24" s="212"/>
      <c r="M24" s="212"/>
      <c r="N24" s="213"/>
      <c r="O24" s="214"/>
      <c r="P24" s="217">
        <f>SUM(P3:P22)</f>
        <v>10</v>
      </c>
      <c r="Q24" s="217">
        <f t="shared" ref="Q24:AE24" si="19">SUM(Q3:Q22)</f>
        <v>0</v>
      </c>
      <c r="R24" s="217">
        <f t="shared" si="19"/>
        <v>10</v>
      </c>
      <c r="S24" s="237">
        <f>SUM(S3:S22)</f>
        <v>13972</v>
      </c>
      <c r="T24" s="217">
        <f t="shared" si="19"/>
        <v>0</v>
      </c>
      <c r="U24" s="217">
        <f t="shared" si="19"/>
        <v>13972</v>
      </c>
      <c r="V24" s="256">
        <f t="shared" si="19"/>
        <v>0.2900921850344656</v>
      </c>
      <c r="W24" s="217">
        <f t="shared" si="19"/>
        <v>2317.7199999999998</v>
      </c>
      <c r="X24" s="217">
        <f t="shared" si="19"/>
        <v>4858.08</v>
      </c>
      <c r="Y24" s="215">
        <f>IF(U24=0,0,X24/U24)</f>
        <v>0.3477011165187518</v>
      </c>
      <c r="Z24" s="217">
        <f t="shared" si="19"/>
        <v>1074</v>
      </c>
      <c r="AA24" s="217">
        <f>IFERROR(P24*AA49/P49,0)</f>
        <v>11163.561111111112</v>
      </c>
      <c r="AB24" s="217">
        <f t="shared" si="19"/>
        <v>0</v>
      </c>
      <c r="AC24" s="217">
        <f t="shared" si="19"/>
        <v>0</v>
      </c>
      <c r="AD24" s="238">
        <f t="shared" si="19"/>
        <v>838.32</v>
      </c>
      <c r="AE24" s="239">
        <f t="shared" si="19"/>
        <v>-11211.436385999998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0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16095.316385999999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/>
      <c r="D26" s="42"/>
      <c r="E26" s="42"/>
      <c r="F26" s="42"/>
      <c r="G26" s="43"/>
      <c r="H26" s="65">
        <v>672</v>
      </c>
      <c r="I26" s="63">
        <f t="shared" ref="I26:I45" si="20">C26*H26</f>
        <v>0</v>
      </c>
      <c r="J26" s="45"/>
      <c r="K26" s="41">
        <v>0</v>
      </c>
      <c r="L26" s="45"/>
      <c r="M26" s="45"/>
      <c r="N26" s="46">
        <f t="shared" ref="N26" si="21">K26/5</f>
        <v>0</v>
      </c>
      <c r="O26" s="47">
        <f t="shared" ref="O26" si="22">R26/5</f>
        <v>0</v>
      </c>
      <c r="P26" s="48">
        <f>SUMIFS('Отчет 27-31.10'!H:H,'Отчет 27-31.10'!D:D,"Выручка",'Отчет 27-31.10'!E:E,B26)</f>
        <v>0</v>
      </c>
      <c r="Q26" s="48">
        <f>SUMIFS('Отчет 27-31.10'!H:H,'Отчет 27-31.10'!D:D,"Возврат выручки",'Отчет 27-31.10'!E:E,B26)</f>
        <v>0</v>
      </c>
      <c r="R26" s="49">
        <f t="shared" ref="R26:R45" si="23">P26+Q26</f>
        <v>0</v>
      </c>
      <c r="S26" s="50">
        <f>SUMIFS('Отчет 27-31.10'!P:P,'Отчет 27-31.10'!C:C,"Продажи",'Отчет 27-31.10'!E:E,B26)</f>
        <v>0</v>
      </c>
      <c r="T26" s="51">
        <f>SUMIFS('Отчет 27-31.10'!P:P,'Отчет 27-31.10'!C:C,"Возвраты",'Отчет 27-31.10'!E:E,B26)</f>
        <v>0</v>
      </c>
      <c r="U26" s="49">
        <f t="shared" ref="U26:U45" si="24">S26+T26</f>
        <v>0</v>
      </c>
      <c r="V26" s="52">
        <f t="shared" ref="V26:V45" si="25">U26/$U$49</f>
        <v>0</v>
      </c>
      <c r="W26" s="53">
        <f t="shared" ref="W26:W45" si="26">R26*H26</f>
        <v>0</v>
      </c>
      <c r="X26" s="51">
        <f>-SUMIFS('Отчет 27-31.10'!P:P,'Отчет 27-31.10'!C:C,"Вознаграждение Ozon",'Отчет 27-31.10'!E:E,B26)</f>
        <v>0</v>
      </c>
      <c r="Y26" s="54">
        <f t="shared" ref="Y26:Y45" si="27">IF(U26=0,0,X26/U26)</f>
        <v>0</v>
      </c>
      <c r="Z26" s="51">
        <f>-SUMIFS('Отчет 27-31.10'!P:P,'Отчет 27-31.10'!C:C,"Услуги доставки",'Отчет 27-31.10'!E:E,B26)</f>
        <v>0</v>
      </c>
      <c r="AA26" s="41">
        <v>0</v>
      </c>
      <c r="AB26" s="64"/>
      <c r="AC26" s="51"/>
      <c r="AD26" s="55">
        <f t="shared" ref="AD26:AD45" si="28">U26*6%</f>
        <v>0</v>
      </c>
      <c r="AE26" s="56">
        <f t="shared" ref="AE26:AE45" si="29">U26-W26-X26-Z26-AA26-AB26-AC26-AD26</f>
        <v>0</v>
      </c>
      <c r="AF26" s="55"/>
      <c r="AG26" s="57">
        <f t="shared" ref="AG26:AG45" si="30">IF(R26=0,0,U26/R26)</f>
        <v>0</v>
      </c>
      <c r="AH26" s="58">
        <f t="shared" ref="AH26:AH45" si="31">H26</f>
        <v>672</v>
      </c>
      <c r="AI26" s="58">
        <f t="shared" ref="AI26:AI45" si="32">IF(R26=0,0,X26/R26)</f>
        <v>0</v>
      </c>
      <c r="AJ26" s="58">
        <f t="shared" ref="AJ26:AJ45" si="33">IF(P26=0,Z26/1,Z26/P26)</f>
        <v>0</v>
      </c>
      <c r="AK26" s="58">
        <f t="shared" ref="AK26:AK45" si="34">IF(P26=0,0,AA26/P26)</f>
        <v>0</v>
      </c>
      <c r="AL26" s="58">
        <f t="array" ref="AL26">_xlfn.IFS(R26=0,AE26,R26&lt;0,AE26/-R26,R26&gt;0,AE26/R26)</f>
        <v>0</v>
      </c>
      <c r="AM26" s="59">
        <f t="shared" ref="AM26:AM45" si="35">IF(AG26=0,0,AL26/AG26)</f>
        <v>0</v>
      </c>
      <c r="AN26" s="60">
        <f t="shared" ref="AN26:AN45" si="36">IF(AH26=0,0,AL26/AH26)</f>
        <v>0</v>
      </c>
      <c r="AP26" s="62">
        <f t="shared" ref="AP26:AP45" si="37">AL26*C26</f>
        <v>0</v>
      </c>
    </row>
    <row r="27" spans="1:52">
      <c r="A27" s="39">
        <v>2774708622</v>
      </c>
      <c r="B27" s="40" t="s">
        <v>43</v>
      </c>
      <c r="C27" s="41"/>
      <c r="D27" s="42"/>
      <c r="E27" s="42"/>
      <c r="F27" s="42"/>
      <c r="G27" s="43"/>
      <c r="H27" s="65">
        <v>627</v>
      </c>
      <c r="I27" s="63">
        <f t="shared" si="20"/>
        <v>0</v>
      </c>
      <c r="J27" s="45"/>
      <c r="K27" s="41">
        <v>3</v>
      </c>
      <c r="L27" s="45"/>
      <c r="M27" s="45"/>
      <c r="N27" s="46">
        <f t="shared" ref="N27:N45" si="38">K27/5</f>
        <v>0.6</v>
      </c>
      <c r="O27" s="47">
        <f t="shared" ref="O27:O45" si="39">R27/5</f>
        <v>0.6</v>
      </c>
      <c r="P27" s="48">
        <f>SUMIFS('Отчет 27-31.10'!H:H,'Отчет 27-31.10'!D:D,"Выручка",'Отчет 27-31.10'!E:E,B27)</f>
        <v>2</v>
      </c>
      <c r="Q27" s="48">
        <f>SUMIFS('Отчет 27-31.10'!H:H,'Отчет 27-31.10'!D:D,"Возврат выручки",'Отчет 27-31.10'!E:E,B27)</f>
        <v>1</v>
      </c>
      <c r="R27" s="49">
        <f t="shared" si="23"/>
        <v>3</v>
      </c>
      <c r="S27" s="50">
        <f>SUMIFS('Отчет 27-31.10'!P:P,'Отчет 27-31.10'!C:C,"Продажи",'Отчет 27-31.10'!E:E,B27)</f>
        <v>10500</v>
      </c>
      <c r="T27" s="51">
        <f>SUMIFS('Отчет 27-31.10'!P:P,'Отчет 27-31.10'!C:C,"Возвраты",'Отчет 27-31.10'!E:E,B27)</f>
        <v>-5000</v>
      </c>
      <c r="U27" s="49">
        <f t="shared" si="24"/>
        <v>5500</v>
      </c>
      <c r="V27" s="52">
        <f t="shared" si="25"/>
        <v>0.11419317332447471</v>
      </c>
      <c r="W27" s="53">
        <f t="shared" si="26"/>
        <v>1881</v>
      </c>
      <c r="X27" s="51">
        <f>-SUMIFS('Отчет 27-31.10'!P:P,'Отчет 27-31.10'!C:C,"Вознаграждение Ozon",'Отчет 27-31.10'!E:E,B27)</f>
        <v>2090</v>
      </c>
      <c r="Y27" s="54">
        <f t="shared" si="27"/>
        <v>0.38</v>
      </c>
      <c r="Z27" s="51">
        <f>-SUMIFS('Отчет 27-31.10'!P:P,'Отчет 27-31.10'!C:C,"Услуги доставки",'Отчет 27-31.10'!E:E,B27)</f>
        <v>224</v>
      </c>
      <c r="AA27" s="41">
        <v>0</v>
      </c>
      <c r="AB27" s="64"/>
      <c r="AC27" s="51"/>
      <c r="AD27" s="55">
        <f t="shared" si="28"/>
        <v>330</v>
      </c>
      <c r="AE27" s="56">
        <f t="shared" si="29"/>
        <v>975</v>
      </c>
      <c r="AF27" s="55"/>
      <c r="AG27" s="57">
        <f t="shared" si="30"/>
        <v>1833.3333333333333</v>
      </c>
      <c r="AH27" s="58">
        <f t="shared" si="31"/>
        <v>627</v>
      </c>
      <c r="AI27" s="58">
        <f t="shared" si="32"/>
        <v>696.66666666666663</v>
      </c>
      <c r="AJ27" s="58">
        <f t="shared" si="33"/>
        <v>112</v>
      </c>
      <c r="AK27" s="58">
        <f t="shared" si="34"/>
        <v>0</v>
      </c>
      <c r="AL27" s="58">
        <f t="array" ref="AL27">_xlfn.IFS(R27=0,AE27,R27&lt;0,AE27/-R27,R27&gt;0,AE27/R27)</f>
        <v>325</v>
      </c>
      <c r="AM27" s="59">
        <f t="shared" si="35"/>
        <v>0.17727272727272728</v>
      </c>
      <c r="AN27" s="60">
        <f t="shared" si="36"/>
        <v>0.51834130781499199</v>
      </c>
      <c r="AP27" s="62">
        <f t="shared" si="37"/>
        <v>0</v>
      </c>
    </row>
    <row r="28" spans="1:52">
      <c r="A28" s="39">
        <v>2774709606</v>
      </c>
      <c r="B28" s="40" t="s">
        <v>235</v>
      </c>
      <c r="C28" s="41"/>
      <c r="D28" s="42"/>
      <c r="E28" s="42"/>
      <c r="F28" s="42"/>
      <c r="G28" s="43"/>
      <c r="H28" s="65">
        <v>627</v>
      </c>
      <c r="I28" s="63">
        <f t="shared" si="20"/>
        <v>0</v>
      </c>
      <c r="J28" s="45"/>
      <c r="K28" s="41">
        <v>2</v>
      </c>
      <c r="L28" s="45"/>
      <c r="M28" s="45"/>
      <c r="N28" s="46">
        <f t="shared" si="38"/>
        <v>0.4</v>
      </c>
      <c r="O28" s="47">
        <f t="shared" si="39"/>
        <v>0.2</v>
      </c>
      <c r="P28" s="48">
        <f>SUMIFS('Отчет 27-31.10'!H:H,'Отчет 27-31.10'!D:D,"Выручка",'Отчет 27-31.10'!E:E,B28)</f>
        <v>1</v>
      </c>
      <c r="Q28" s="48">
        <f>SUMIFS('Отчет 27-31.10'!H:H,'Отчет 27-31.10'!D:D,"Возврат выручки",'Отчет 27-31.10'!E:E,B28)</f>
        <v>0</v>
      </c>
      <c r="R28" s="49">
        <f t="shared" si="23"/>
        <v>1</v>
      </c>
      <c r="S28" s="50">
        <f>SUMIFS('Отчет 27-31.10'!P:P,'Отчет 27-31.10'!C:C,"Продажи",'Отчет 27-31.10'!E:E,B28)</f>
        <v>5500</v>
      </c>
      <c r="T28" s="51">
        <f>SUMIFS('Отчет 27-31.10'!P:P,'Отчет 27-31.10'!C:C,"Возвраты",'Отчет 27-31.10'!E:E,B28)</f>
        <v>0</v>
      </c>
      <c r="U28" s="49">
        <f t="shared" si="24"/>
        <v>5500</v>
      </c>
      <c r="V28" s="52">
        <f t="shared" si="25"/>
        <v>0.11419317332447471</v>
      </c>
      <c r="W28" s="53">
        <f t="shared" si="26"/>
        <v>627</v>
      </c>
      <c r="X28" s="51">
        <f>-SUMIFS('Отчет 27-31.10'!P:P,'Отчет 27-31.10'!C:C,"Вознаграждение Ozon",'Отчет 27-31.10'!E:E,B28)</f>
        <v>2090</v>
      </c>
      <c r="Y28" s="54">
        <f t="shared" si="27"/>
        <v>0.38</v>
      </c>
      <c r="Z28" s="51">
        <f>-SUMIFS('Отчет 27-31.10'!P:P,'Отчет 27-31.10'!C:C,"Услуги доставки",'Отчет 27-31.10'!E:E,B28)</f>
        <v>56</v>
      </c>
      <c r="AA28" s="41">
        <v>0</v>
      </c>
      <c r="AB28" s="64"/>
      <c r="AC28" s="51"/>
      <c r="AD28" s="55">
        <f t="shared" si="28"/>
        <v>330</v>
      </c>
      <c r="AE28" s="56">
        <f t="shared" si="29"/>
        <v>2397</v>
      </c>
      <c r="AF28" s="55"/>
      <c r="AG28" s="57">
        <f t="shared" si="30"/>
        <v>5500</v>
      </c>
      <c r="AH28" s="58">
        <f t="shared" si="31"/>
        <v>627</v>
      </c>
      <c r="AI28" s="58">
        <f t="shared" si="32"/>
        <v>2090</v>
      </c>
      <c r="AJ28" s="58">
        <f t="shared" si="33"/>
        <v>56</v>
      </c>
      <c r="AK28" s="58">
        <f t="shared" si="34"/>
        <v>0</v>
      </c>
      <c r="AL28" s="58">
        <f t="array" ref="AL28">_xlfn.IFS(R28=0,AE28,R28&lt;0,AE28/-R28,R28&gt;0,AE28/R28)</f>
        <v>2397</v>
      </c>
      <c r="AM28" s="59">
        <f t="shared" si="35"/>
        <v>0.43581818181818183</v>
      </c>
      <c r="AN28" s="60">
        <f t="shared" si="36"/>
        <v>3.8229665071770333</v>
      </c>
      <c r="AP28" s="62">
        <f t="shared" si="37"/>
        <v>0</v>
      </c>
    </row>
    <row r="29" spans="1:52">
      <c r="A29" s="39">
        <v>2774720465</v>
      </c>
      <c r="B29" s="40" t="s">
        <v>171</v>
      </c>
      <c r="C29" s="41"/>
      <c r="D29" s="42"/>
      <c r="E29" s="42"/>
      <c r="F29" s="42"/>
      <c r="G29" s="43"/>
      <c r="H29" s="65">
        <v>567</v>
      </c>
      <c r="I29" s="63">
        <f t="shared" si="20"/>
        <v>0</v>
      </c>
      <c r="J29" s="45"/>
      <c r="K29" s="41">
        <v>2</v>
      </c>
      <c r="L29" s="45"/>
      <c r="M29" s="45"/>
      <c r="N29" s="46">
        <f t="shared" si="38"/>
        <v>0.4</v>
      </c>
      <c r="O29" s="47">
        <f t="shared" si="39"/>
        <v>0</v>
      </c>
      <c r="P29" s="48">
        <f>SUMIFS('Отчет 27-31.10'!H:H,'Отчет 27-31.10'!D:D,"Выручка",'Отчет 27-31.10'!E:E,B29)</f>
        <v>0</v>
      </c>
      <c r="Q29" s="48">
        <f>SUMIFS('Отчет 27-31.10'!H:H,'Отчет 27-31.10'!D:D,"Возврат выручки",'Отчет 27-31.10'!E:E,B29)</f>
        <v>0</v>
      </c>
      <c r="R29" s="49">
        <f t="shared" si="23"/>
        <v>0</v>
      </c>
      <c r="S29" s="50">
        <f>SUMIFS('Отчет 27-31.10'!P:P,'Отчет 27-31.10'!C:C,"Продажи",'Отчет 27-31.10'!E:E,B29)</f>
        <v>0</v>
      </c>
      <c r="T29" s="51">
        <f>SUMIFS('Отчет 27-31.10'!P:P,'Отчет 27-31.10'!C:C,"Возвраты",'Отчет 27-31.10'!E:E,B29)</f>
        <v>0</v>
      </c>
      <c r="U29" s="49">
        <f t="shared" si="24"/>
        <v>0</v>
      </c>
      <c r="V29" s="52">
        <f t="shared" si="25"/>
        <v>0</v>
      </c>
      <c r="W29" s="53">
        <f t="shared" si="26"/>
        <v>0</v>
      </c>
      <c r="X29" s="51">
        <f>-SUMIFS('Отчет 27-31.10'!P:P,'Отчет 27-31.10'!C:C,"Вознаграждение Ozon",'Отчет 27-31.10'!E:E,B29)</f>
        <v>0</v>
      </c>
      <c r="Y29" s="54">
        <f t="shared" si="27"/>
        <v>0</v>
      </c>
      <c r="Z29" s="51">
        <f>-SUMIFS('Отчет 27-31.10'!P:P,'Отчет 27-31.10'!C:C,"Услуги доставки",'Отчет 27-31.10'!E:E,B29)</f>
        <v>0</v>
      </c>
      <c r="AA29" s="41">
        <v>0</v>
      </c>
      <c r="AB29" s="64"/>
      <c r="AC29" s="51"/>
      <c r="AD29" s="55">
        <f t="shared" si="28"/>
        <v>0</v>
      </c>
      <c r="AE29" s="56">
        <f t="shared" si="29"/>
        <v>0</v>
      </c>
      <c r="AF29" s="55"/>
      <c r="AG29" s="57">
        <f t="shared" si="30"/>
        <v>0</v>
      </c>
      <c r="AH29" s="58">
        <f t="shared" si="31"/>
        <v>567</v>
      </c>
      <c r="AI29" s="58">
        <f t="shared" si="32"/>
        <v>0</v>
      </c>
      <c r="AJ29" s="58">
        <f t="shared" si="33"/>
        <v>0</v>
      </c>
      <c r="AK29" s="58">
        <f t="shared" si="34"/>
        <v>0</v>
      </c>
      <c r="AL29" s="58">
        <f t="array" ref="AL29">_xlfn.IFS(R29=0,AE29,R29&lt;0,AE29/-R29,R29&gt;0,AE29/R29)</f>
        <v>0</v>
      </c>
      <c r="AM29" s="59">
        <f t="shared" si="35"/>
        <v>0</v>
      </c>
      <c r="AN29" s="60">
        <f t="shared" si="36"/>
        <v>0</v>
      </c>
      <c r="AP29" s="62">
        <f t="shared" si="37"/>
        <v>0</v>
      </c>
    </row>
    <row r="30" spans="1:52">
      <c r="A30" s="39">
        <v>2774718470</v>
      </c>
      <c r="B30" s="40" t="s">
        <v>39</v>
      </c>
      <c r="C30" s="41"/>
      <c r="D30" s="42"/>
      <c r="E30" s="42"/>
      <c r="F30" s="42"/>
      <c r="G30" s="43"/>
      <c r="H30" s="65">
        <v>567</v>
      </c>
      <c r="I30" s="63">
        <f t="shared" si="20"/>
        <v>0</v>
      </c>
      <c r="J30" s="45"/>
      <c r="K30" s="41">
        <v>0</v>
      </c>
      <c r="L30" s="45"/>
      <c r="M30" s="45"/>
      <c r="N30" s="46">
        <f t="shared" si="38"/>
        <v>0</v>
      </c>
      <c r="O30" s="47">
        <f t="shared" si="39"/>
        <v>0</v>
      </c>
      <c r="P30" s="48">
        <f>SUMIFS('Отчет 27-31.10'!H:H,'Отчет 27-31.10'!D:D,"Выручка",'Отчет 27-31.10'!E:E,B30)</f>
        <v>0</v>
      </c>
      <c r="Q30" s="48">
        <f>SUMIFS('Отчет 27-31.10'!H:H,'Отчет 27-31.10'!D:D,"Возврат выручки",'Отчет 27-31.10'!E:E,B30)</f>
        <v>0</v>
      </c>
      <c r="R30" s="49">
        <f t="shared" si="23"/>
        <v>0</v>
      </c>
      <c r="S30" s="50">
        <f>SUMIFS('Отчет 27-31.10'!P:P,'Отчет 27-31.10'!C:C,"Продажи",'Отчет 27-31.10'!E:E,B30)</f>
        <v>0</v>
      </c>
      <c r="T30" s="51">
        <f>SUMIFS('Отчет 27-31.10'!P:P,'Отчет 27-31.10'!C:C,"Возвраты",'Отчет 27-31.10'!E:E,B30)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27-31.10'!P:P,'Отчет 27-31.10'!C:C,"Вознаграждение Ozon",'Отчет 27-31.10'!E:E,B30)</f>
        <v>0</v>
      </c>
      <c r="Y30" s="54">
        <f t="shared" si="27"/>
        <v>0</v>
      </c>
      <c r="Z30" s="51">
        <f>-SUMIFS('Отчет 27-31.10'!P:P,'Отчет 27-31.10'!C:C,"Услуги доставки",'Отчет 27-31.10'!E:E,B30)</f>
        <v>0</v>
      </c>
      <c r="AA30" s="41">
        <v>0</v>
      </c>
      <c r="AB30" s="64"/>
      <c r="AC30" s="51"/>
      <c r="AD30" s="55">
        <f t="shared" si="28"/>
        <v>0</v>
      </c>
      <c r="AE30" s="56">
        <f t="shared" si="29"/>
        <v>0</v>
      </c>
      <c r="AF30" s="55"/>
      <c r="AG30" s="57">
        <f t="shared" si="30"/>
        <v>0</v>
      </c>
      <c r="AH30" s="58">
        <f t="shared" si="31"/>
        <v>567</v>
      </c>
      <c r="AI30" s="58">
        <f t="shared" si="32"/>
        <v>0</v>
      </c>
      <c r="AJ30" s="58">
        <f t="shared" si="33"/>
        <v>0</v>
      </c>
      <c r="AK30" s="58">
        <f t="shared" si="34"/>
        <v>0</v>
      </c>
      <c r="AL30" s="58">
        <f t="array" ref="AL30">_xlfn.IFS(R30=0,AE30,R30&lt;0,AE30/-R30,R30&gt;0,AE30/R30)</f>
        <v>0</v>
      </c>
      <c r="AM30" s="59">
        <f t="shared" si="35"/>
        <v>0</v>
      </c>
      <c r="AN30" s="60">
        <f t="shared" si="36"/>
        <v>0</v>
      </c>
      <c r="AP30" s="62">
        <f t="shared" si="37"/>
        <v>0</v>
      </c>
    </row>
    <row r="31" spans="1:52">
      <c r="A31" s="39">
        <v>2774719022</v>
      </c>
      <c r="B31" s="40" t="s">
        <v>236</v>
      </c>
      <c r="C31" s="41"/>
      <c r="D31" s="42"/>
      <c r="E31" s="42"/>
      <c r="F31" s="42"/>
      <c r="G31" s="43"/>
      <c r="H31" s="65">
        <v>657</v>
      </c>
      <c r="I31" s="63">
        <f t="shared" si="20"/>
        <v>0</v>
      </c>
      <c r="J31" s="45"/>
      <c r="K31" s="41">
        <v>1</v>
      </c>
      <c r="L31" s="45"/>
      <c r="M31" s="45"/>
      <c r="N31" s="46">
        <f t="shared" si="38"/>
        <v>0.2</v>
      </c>
      <c r="O31" s="47">
        <f t="shared" si="39"/>
        <v>0</v>
      </c>
      <c r="P31" s="48">
        <f>SUMIFS('Отчет 27-31.10'!H:H,'Отчет 27-31.10'!D:D,"Выручка",'Отчет 27-31.10'!E:E,B31)</f>
        <v>0</v>
      </c>
      <c r="Q31" s="48">
        <f>SUMIFS('Отчет 27-31.10'!H:H,'Отчет 27-31.10'!D:D,"Возврат выручки",'Отчет 27-31.10'!E:E,B31)</f>
        <v>0</v>
      </c>
      <c r="R31" s="49">
        <f t="shared" si="23"/>
        <v>0</v>
      </c>
      <c r="S31" s="50">
        <f>SUMIFS('Отчет 27-31.10'!P:P,'Отчет 27-31.10'!C:C,"Продажи",'Отчет 27-31.10'!E:E,B31)</f>
        <v>0</v>
      </c>
      <c r="T31" s="51">
        <f>SUMIFS('Отчет 27-31.10'!P:P,'Отчет 27-31.10'!C:C,"Возвраты",'Отчет 27-31.10'!E:E,B31)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27-31.10'!P:P,'Отчет 27-31.10'!C:C,"Вознаграждение Ozon",'Отчет 27-31.10'!E:E,B31)</f>
        <v>0</v>
      </c>
      <c r="Y31" s="54">
        <f t="shared" si="27"/>
        <v>0</v>
      </c>
      <c r="Z31" s="51">
        <f>-SUMIFS('Отчет 27-31.10'!P:P,'Отчет 27-31.10'!C:C,"Услуги доставки",'Отчет 27-31.10'!E:E,B31)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657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2774719501</v>
      </c>
      <c r="B32" s="40" t="s">
        <v>237</v>
      </c>
      <c r="C32" s="41"/>
      <c r="D32" s="42"/>
      <c r="E32" s="42"/>
      <c r="F32" s="42"/>
      <c r="G32" s="43"/>
      <c r="H32" s="65">
        <v>597</v>
      </c>
      <c r="I32" s="63">
        <f t="shared" si="20"/>
        <v>0</v>
      </c>
      <c r="J32" s="45"/>
      <c r="K32" s="41">
        <v>0</v>
      </c>
      <c r="L32" s="45"/>
      <c r="M32" s="45"/>
      <c r="N32" s="46">
        <f t="shared" si="38"/>
        <v>0</v>
      </c>
      <c r="O32" s="47">
        <f t="shared" si="39"/>
        <v>0</v>
      </c>
      <c r="P32" s="48">
        <f>SUMIFS('Отчет 27-31.10'!H:H,'Отчет 27-31.10'!D:D,"Выручка",'Отчет 27-31.10'!E:E,B32)</f>
        <v>0</v>
      </c>
      <c r="Q32" s="48">
        <f>SUMIFS('Отчет 27-31.10'!H:H,'Отчет 27-31.10'!D:D,"Возврат выручки",'Отчет 27-31.10'!E:E,B32)</f>
        <v>0</v>
      </c>
      <c r="R32" s="49">
        <f t="shared" si="23"/>
        <v>0</v>
      </c>
      <c r="S32" s="50">
        <f>SUMIFS('Отчет 27-31.10'!P:P,'Отчет 27-31.10'!C:C,"Продажи",'Отчет 27-31.10'!E:E,B32)</f>
        <v>0</v>
      </c>
      <c r="T32" s="51">
        <f>SUMIFS('Отчет 27-31.10'!P:P,'Отчет 27-31.10'!C:C,"Возвраты",'Отчет 27-31.10'!E:E,B32)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27-31.10'!P:P,'Отчет 27-31.10'!C:C,"Вознаграждение Ozon",'Отчет 27-31.10'!E:E,B32)</f>
        <v>0</v>
      </c>
      <c r="Y32" s="54">
        <f t="shared" si="27"/>
        <v>0</v>
      </c>
      <c r="Z32" s="51">
        <f>-SUMIFS('Отчет 27-31.10'!P:P,'Отчет 27-31.10'!C:C,"Услуги доставки",'Отчет 27-31.10'!E:E,B32)</f>
        <v>0</v>
      </c>
      <c r="AA32" s="41">
        <v>0</v>
      </c>
      <c r="AB32" s="64"/>
      <c r="AC32" s="51"/>
      <c r="AD32" s="55">
        <f t="shared" si="28"/>
        <v>0</v>
      </c>
      <c r="AE32" s="56">
        <f t="shared" si="29"/>
        <v>0</v>
      </c>
      <c r="AF32" s="55"/>
      <c r="AG32" s="57">
        <f t="shared" si="30"/>
        <v>0</v>
      </c>
      <c r="AH32" s="58">
        <f t="shared" si="31"/>
        <v>597</v>
      </c>
      <c r="AI32" s="58">
        <f t="shared" si="32"/>
        <v>0</v>
      </c>
      <c r="AJ32" s="58">
        <f t="shared" si="33"/>
        <v>0</v>
      </c>
      <c r="AK32" s="58">
        <f t="shared" si="34"/>
        <v>0</v>
      </c>
      <c r="AL32" s="58">
        <f t="array" ref="AL32">_xlfn.IFS(R32=0,AE32,R32&lt;0,AE32/-R32,R32&gt;0,AE32/R32)</f>
        <v>0</v>
      </c>
      <c r="AM32" s="59">
        <f t="shared" si="35"/>
        <v>0</v>
      </c>
      <c r="AN32" s="60">
        <f t="shared" si="36"/>
        <v>0</v>
      </c>
      <c r="AP32" s="62">
        <f t="shared" si="37"/>
        <v>0</v>
      </c>
    </row>
    <row r="33" spans="1:42">
      <c r="A33" s="39">
        <v>2774714412</v>
      </c>
      <c r="B33" s="40" t="s">
        <v>142</v>
      </c>
      <c r="C33" s="41"/>
      <c r="D33" s="42"/>
      <c r="E33" s="42"/>
      <c r="F33" s="42"/>
      <c r="G33" s="43"/>
      <c r="H33" s="65">
        <v>552</v>
      </c>
      <c r="I33" s="63">
        <f t="shared" si="20"/>
        <v>0</v>
      </c>
      <c r="J33" s="45"/>
      <c r="K33" s="41">
        <v>0</v>
      </c>
      <c r="L33" s="45"/>
      <c r="M33" s="45"/>
      <c r="N33" s="46">
        <f t="shared" si="38"/>
        <v>0</v>
      </c>
      <c r="O33" s="47">
        <f t="shared" si="39"/>
        <v>0</v>
      </c>
      <c r="P33" s="48">
        <f>SUMIFS('Отчет 27-31.10'!H:H,'Отчет 27-31.10'!D:D,"Выручка",'Отчет 27-31.10'!E:E,B33)</f>
        <v>0</v>
      </c>
      <c r="Q33" s="48">
        <f>SUMIFS('Отчет 27-31.10'!H:H,'Отчет 27-31.10'!D:D,"Возврат выручки",'Отчет 27-31.10'!E:E,B33)</f>
        <v>0</v>
      </c>
      <c r="R33" s="49">
        <f t="shared" si="23"/>
        <v>0</v>
      </c>
      <c r="S33" s="50">
        <f>SUMIFS('Отчет 27-31.10'!P:P,'Отчет 27-31.10'!C:C,"Продажи",'Отчет 27-31.10'!E:E,B33)</f>
        <v>0</v>
      </c>
      <c r="T33" s="51">
        <f>SUMIFS('Отчет 27-31.10'!P:P,'Отчет 27-31.10'!C:C,"Возвраты",'Отчет 27-31.10'!E:E,B33)</f>
        <v>0</v>
      </c>
      <c r="U33" s="49">
        <f t="shared" si="24"/>
        <v>0</v>
      </c>
      <c r="V33" s="52">
        <f t="shared" si="25"/>
        <v>0</v>
      </c>
      <c r="W33" s="53">
        <f t="shared" si="26"/>
        <v>0</v>
      </c>
      <c r="X33" s="51">
        <f>-SUMIFS('Отчет 27-31.10'!P:P,'Отчет 27-31.10'!C:C,"Вознаграждение Ozon",'Отчет 27-31.10'!E:E,B33)</f>
        <v>0</v>
      </c>
      <c r="Y33" s="54">
        <f t="shared" si="27"/>
        <v>0</v>
      </c>
      <c r="Z33" s="51">
        <f>-SUMIFS('Отчет 27-31.10'!P:P,'Отчет 27-31.10'!C:C,"Услуги доставки",'Отчет 27-31.10'!E:E,B33)</f>
        <v>112</v>
      </c>
      <c r="AA33" s="41">
        <v>0</v>
      </c>
      <c r="AB33" s="64"/>
      <c r="AC33" s="51"/>
      <c r="AD33" s="55">
        <f t="shared" si="28"/>
        <v>0</v>
      </c>
      <c r="AE33" s="56">
        <f t="shared" si="29"/>
        <v>-112</v>
      </c>
      <c r="AF33" s="55"/>
      <c r="AG33" s="57">
        <f t="shared" si="30"/>
        <v>0</v>
      </c>
      <c r="AH33" s="58">
        <f t="shared" si="31"/>
        <v>552</v>
      </c>
      <c r="AI33" s="58">
        <f t="shared" si="32"/>
        <v>0</v>
      </c>
      <c r="AJ33" s="58">
        <f t="shared" si="33"/>
        <v>112</v>
      </c>
      <c r="AK33" s="58">
        <f t="shared" si="34"/>
        <v>0</v>
      </c>
      <c r="AL33" s="58">
        <f t="array" ref="AL33">_xlfn.IFS(R33=0,AE33,R33&lt;0,AE33/-R33,R33&gt;0,AE33/R33)</f>
        <v>-112</v>
      </c>
      <c r="AM33" s="59">
        <f t="shared" si="35"/>
        <v>0</v>
      </c>
      <c r="AN33" s="60">
        <f t="shared" si="36"/>
        <v>-0.20289855072463769</v>
      </c>
      <c r="AP33" s="62">
        <f t="shared" si="37"/>
        <v>0</v>
      </c>
    </row>
    <row r="34" spans="1:42">
      <c r="A34" s="39">
        <v>2774710430</v>
      </c>
      <c r="B34" s="40" t="s">
        <v>238</v>
      </c>
      <c r="C34" s="41"/>
      <c r="D34" s="42"/>
      <c r="E34" s="42"/>
      <c r="F34" s="42"/>
      <c r="G34" s="43"/>
      <c r="H34" s="65">
        <v>552</v>
      </c>
      <c r="I34" s="63">
        <f t="shared" si="20"/>
        <v>0</v>
      </c>
      <c r="J34" s="45"/>
      <c r="K34" s="41">
        <v>0</v>
      </c>
      <c r="L34" s="45"/>
      <c r="M34" s="45"/>
      <c r="N34" s="46">
        <f t="shared" si="38"/>
        <v>0</v>
      </c>
      <c r="O34" s="47">
        <f t="shared" si="39"/>
        <v>0</v>
      </c>
      <c r="P34" s="48">
        <f>SUMIFS('Отчет 27-31.10'!H:H,'Отчет 27-31.10'!D:D,"Выручка",'Отчет 27-31.10'!E:E,B34)</f>
        <v>0</v>
      </c>
      <c r="Q34" s="48">
        <f>SUMIFS('Отчет 27-31.10'!H:H,'Отчет 27-31.10'!D:D,"Возврат выручки",'Отчет 27-31.10'!E:E,B34)</f>
        <v>0</v>
      </c>
      <c r="R34" s="49">
        <f t="shared" si="23"/>
        <v>0</v>
      </c>
      <c r="S34" s="50">
        <f>SUMIFS('Отчет 27-31.10'!P:P,'Отчет 27-31.10'!C:C,"Продажи",'Отчет 27-31.10'!E:E,B34)</f>
        <v>0</v>
      </c>
      <c r="T34" s="51">
        <f>SUMIFS('Отчет 27-31.10'!P:P,'Отчет 27-31.10'!C:C,"Возвраты",'Отчет 27-31.10'!E:E,B34)</f>
        <v>0</v>
      </c>
      <c r="U34" s="49">
        <f t="shared" si="24"/>
        <v>0</v>
      </c>
      <c r="V34" s="52">
        <f t="shared" si="25"/>
        <v>0</v>
      </c>
      <c r="W34" s="53">
        <f t="shared" si="26"/>
        <v>0</v>
      </c>
      <c r="X34" s="51">
        <f>-SUMIFS('Отчет 27-31.10'!P:P,'Отчет 27-31.10'!C:C,"Вознаграждение Ozon",'Отчет 27-31.10'!E:E,B34)</f>
        <v>0</v>
      </c>
      <c r="Y34" s="54">
        <f t="shared" si="27"/>
        <v>0</v>
      </c>
      <c r="Z34" s="51">
        <f>-SUMIFS('Отчет 27-31.10'!P:P,'Отчет 27-31.10'!C:C,"Услуги доставки",'Отчет 27-31.10'!E:E,B34)</f>
        <v>0</v>
      </c>
      <c r="AA34" s="41">
        <v>0</v>
      </c>
      <c r="AB34" s="64"/>
      <c r="AC34" s="51"/>
      <c r="AD34" s="55">
        <f t="shared" si="28"/>
        <v>0</v>
      </c>
      <c r="AE34" s="56">
        <f t="shared" si="29"/>
        <v>0</v>
      </c>
      <c r="AF34" s="55"/>
      <c r="AG34" s="57">
        <f t="shared" si="30"/>
        <v>0</v>
      </c>
      <c r="AH34" s="58">
        <f t="shared" si="31"/>
        <v>552</v>
      </c>
      <c r="AI34" s="58">
        <f t="shared" si="32"/>
        <v>0</v>
      </c>
      <c r="AJ34" s="58">
        <f t="shared" si="33"/>
        <v>0</v>
      </c>
      <c r="AK34" s="58">
        <f t="shared" si="34"/>
        <v>0</v>
      </c>
      <c r="AL34" s="58">
        <f t="array" ref="AL34">_xlfn.IFS(R34=0,AE34,R34&lt;0,AE34/-R34,R34&gt;0,AE34/R34)</f>
        <v>0</v>
      </c>
      <c r="AM34" s="59">
        <f t="shared" si="35"/>
        <v>0</v>
      </c>
      <c r="AN34" s="60">
        <f t="shared" si="36"/>
        <v>0</v>
      </c>
      <c r="AP34" s="62">
        <f t="shared" si="37"/>
        <v>0</v>
      </c>
    </row>
    <row r="35" spans="1:42">
      <c r="A35" s="39">
        <v>2774712116</v>
      </c>
      <c r="B35" s="40" t="s">
        <v>62</v>
      </c>
      <c r="C35" s="41"/>
      <c r="D35" s="42"/>
      <c r="E35" s="42"/>
      <c r="F35" s="42"/>
      <c r="G35" s="43"/>
      <c r="H35" s="65">
        <v>687</v>
      </c>
      <c r="I35" s="63">
        <f t="shared" si="20"/>
        <v>0</v>
      </c>
      <c r="J35" s="45"/>
      <c r="K35" s="41">
        <v>0</v>
      </c>
      <c r="L35" s="45"/>
      <c r="M35" s="45"/>
      <c r="N35" s="46">
        <f t="shared" si="38"/>
        <v>0</v>
      </c>
      <c r="O35" s="47">
        <f t="shared" si="39"/>
        <v>0</v>
      </c>
      <c r="P35" s="48">
        <f>SUMIFS('Отчет 27-31.10'!H:H,'Отчет 27-31.10'!D:D,"Выручка",'Отчет 27-31.10'!E:E,B35)</f>
        <v>0</v>
      </c>
      <c r="Q35" s="48">
        <f>SUMIFS('Отчет 27-31.10'!H:H,'Отчет 27-31.10'!D:D,"Возврат выручки",'Отчет 27-31.10'!E:E,B35)</f>
        <v>0</v>
      </c>
      <c r="R35" s="49">
        <f t="shared" si="23"/>
        <v>0</v>
      </c>
      <c r="S35" s="50">
        <f>SUMIFS('Отчет 27-31.10'!P:P,'Отчет 27-31.10'!C:C,"Продажи",'Отчет 27-31.10'!E:E,B35)</f>
        <v>0</v>
      </c>
      <c r="T35" s="51">
        <f>SUMIFS('Отчет 27-31.10'!P:P,'Отчет 27-31.10'!C:C,"Возвраты",'Отчет 27-31.10'!E:E,B35)</f>
        <v>0</v>
      </c>
      <c r="U35" s="49">
        <f t="shared" si="24"/>
        <v>0</v>
      </c>
      <c r="V35" s="52">
        <f t="shared" si="25"/>
        <v>0</v>
      </c>
      <c r="W35" s="53">
        <f t="shared" si="26"/>
        <v>0</v>
      </c>
      <c r="X35" s="51">
        <f>-SUMIFS('Отчет 27-31.10'!P:P,'Отчет 27-31.10'!C:C,"Вознаграждение Ozon",'Отчет 27-31.10'!E:E,B35)</f>
        <v>0</v>
      </c>
      <c r="Y35" s="54">
        <f t="shared" si="27"/>
        <v>0</v>
      </c>
      <c r="Z35" s="51">
        <f>-SUMIFS('Отчет 27-31.10'!P:P,'Отчет 27-31.10'!C:C,"Услуги доставки",'Отчет 27-31.10'!E:E,B35)</f>
        <v>0</v>
      </c>
      <c r="AA35" s="41">
        <v>0</v>
      </c>
      <c r="AB35" s="64"/>
      <c r="AC35" s="51"/>
      <c r="AD35" s="55">
        <f t="shared" si="28"/>
        <v>0</v>
      </c>
      <c r="AE35" s="56">
        <f t="shared" si="29"/>
        <v>0</v>
      </c>
      <c r="AF35" s="55"/>
      <c r="AG35" s="57">
        <f t="shared" si="30"/>
        <v>0</v>
      </c>
      <c r="AH35" s="58">
        <f t="shared" si="31"/>
        <v>687</v>
      </c>
      <c r="AI35" s="58">
        <f t="shared" si="32"/>
        <v>0</v>
      </c>
      <c r="AJ35" s="58">
        <f t="shared" si="33"/>
        <v>0</v>
      </c>
      <c r="AK35" s="58">
        <f t="shared" si="34"/>
        <v>0</v>
      </c>
      <c r="AL35" s="58">
        <f t="array" ref="AL35">_xlfn.IFS(R35=0,AE35,R35&lt;0,AE35/-R35,R35&gt;0,AE35/R35)</f>
        <v>0</v>
      </c>
      <c r="AM35" s="59">
        <f t="shared" si="35"/>
        <v>0</v>
      </c>
      <c r="AN35" s="60">
        <f t="shared" si="36"/>
        <v>0</v>
      </c>
      <c r="AP35" s="62">
        <f t="shared" si="37"/>
        <v>0</v>
      </c>
    </row>
    <row r="36" spans="1:42">
      <c r="A36" s="39">
        <v>2774719012</v>
      </c>
      <c r="B36" s="40" t="s">
        <v>239</v>
      </c>
      <c r="C36" s="41"/>
      <c r="D36" s="42"/>
      <c r="E36" s="42"/>
      <c r="F36" s="42"/>
      <c r="G36" s="43"/>
      <c r="H36" s="65">
        <v>687</v>
      </c>
      <c r="I36" s="63">
        <f t="shared" si="20"/>
        <v>0</v>
      </c>
      <c r="J36" s="45"/>
      <c r="K36" s="41">
        <v>6</v>
      </c>
      <c r="L36" s="45"/>
      <c r="M36" s="45"/>
      <c r="N36" s="46">
        <f t="shared" si="38"/>
        <v>1.2</v>
      </c>
      <c r="O36" s="47">
        <f t="shared" si="39"/>
        <v>0.8</v>
      </c>
      <c r="P36" s="48">
        <f>SUMIFS('Отчет 27-31.10'!H:H,'Отчет 27-31.10'!D:D,"Выручка",'Отчет 27-31.10'!E:E,B36)</f>
        <v>4</v>
      </c>
      <c r="Q36" s="48">
        <f>SUMIFS('Отчет 27-31.10'!H:H,'Отчет 27-31.10'!D:D,"Возврат выручки",'Отчет 27-31.10'!E:E,B36)</f>
        <v>0</v>
      </c>
      <c r="R36" s="49">
        <f t="shared" si="23"/>
        <v>4</v>
      </c>
      <c r="S36" s="50">
        <f>SUMIFS('Отчет 27-31.10'!P:P,'Отчет 27-31.10'!C:C,"Продажи",'Отчет 27-31.10'!E:E,B36)</f>
        <v>18192</v>
      </c>
      <c r="T36" s="51">
        <f>SUMIFS('Отчет 27-31.10'!P:P,'Отчет 27-31.10'!C:C,"Возвраты",'Отчет 27-31.10'!E:E,B36)</f>
        <v>0</v>
      </c>
      <c r="U36" s="49">
        <f t="shared" si="24"/>
        <v>18192</v>
      </c>
      <c r="V36" s="52">
        <f t="shared" si="25"/>
        <v>0.37770949256706254</v>
      </c>
      <c r="W36" s="53">
        <f t="shared" si="26"/>
        <v>2748</v>
      </c>
      <c r="X36" s="51">
        <f>-SUMIFS('Отчет 27-31.10'!P:P,'Отчет 27-31.10'!C:C,"Вознаграждение Ozon",'Отчет 27-31.10'!E:E,B36)</f>
        <v>6549.12</v>
      </c>
      <c r="Y36" s="54">
        <f t="shared" si="27"/>
        <v>0.36</v>
      </c>
      <c r="Z36" s="51">
        <f>-SUMIFS('Отчет 27-31.10'!P:P,'Отчет 27-31.10'!C:C,"Услуги доставки",'Отчет 27-31.10'!E:E,B36)</f>
        <v>616</v>
      </c>
      <c r="AA36" s="41">
        <v>6292.9002</v>
      </c>
      <c r="AB36" s="64"/>
      <c r="AC36" s="51"/>
      <c r="AD36" s="55">
        <f t="shared" si="28"/>
        <v>1091.52</v>
      </c>
      <c r="AE36" s="56">
        <f t="shared" si="29"/>
        <v>894.459800000001</v>
      </c>
      <c r="AF36" s="55"/>
      <c r="AG36" s="57">
        <f t="shared" si="30"/>
        <v>4548</v>
      </c>
      <c r="AH36" s="58">
        <f t="shared" si="31"/>
        <v>687</v>
      </c>
      <c r="AI36" s="58">
        <f t="shared" si="32"/>
        <v>1637.28</v>
      </c>
      <c r="AJ36" s="58">
        <f t="shared" si="33"/>
        <v>154</v>
      </c>
      <c r="AK36" s="58">
        <f t="shared" si="34"/>
        <v>1573.22505</v>
      </c>
      <c r="AL36" s="58">
        <f t="array" ref="AL36">_xlfn.IFS(R36=0,AE36,R36&lt;0,AE36/-R36,R36&gt;0,AE36/R36)</f>
        <v>223.61495000000025</v>
      </c>
      <c r="AM36" s="59">
        <f t="shared" si="35"/>
        <v>4.9167755057168042E-2</v>
      </c>
      <c r="AN36" s="60">
        <f t="shared" si="36"/>
        <v>0.32549483260553164</v>
      </c>
      <c r="AP36" s="62">
        <f t="shared" si="37"/>
        <v>0</v>
      </c>
    </row>
    <row r="37" spans="1:42">
      <c r="A37" s="39">
        <v>2774719433</v>
      </c>
      <c r="B37" s="40" t="s">
        <v>240</v>
      </c>
      <c r="C37" s="41"/>
      <c r="D37" s="42"/>
      <c r="E37" s="42"/>
      <c r="F37" s="42"/>
      <c r="G37" s="43"/>
      <c r="H37" s="65">
        <v>597</v>
      </c>
      <c r="I37" s="63">
        <f t="shared" si="20"/>
        <v>0</v>
      </c>
      <c r="J37" s="45"/>
      <c r="K37" s="41">
        <v>1</v>
      </c>
      <c r="L37" s="45"/>
      <c r="M37" s="45"/>
      <c r="N37" s="46">
        <f t="shared" si="38"/>
        <v>0.2</v>
      </c>
      <c r="O37" s="47">
        <f t="shared" si="39"/>
        <v>0</v>
      </c>
      <c r="P37" s="48">
        <f>SUMIFS('Отчет 27-31.10'!H:H,'Отчет 27-31.10'!D:D,"Выручка",'Отчет 27-31.10'!E:E,B37)</f>
        <v>0</v>
      </c>
      <c r="Q37" s="48">
        <f>SUMIFS('Отчет 27-31.10'!H:H,'Отчет 27-31.10'!D:D,"Возврат выручки",'Отчет 27-31.10'!E:E,B37)</f>
        <v>0</v>
      </c>
      <c r="R37" s="49">
        <f t="shared" si="23"/>
        <v>0</v>
      </c>
      <c r="S37" s="50">
        <f>SUMIFS('Отчет 27-31.10'!P:P,'Отчет 27-31.10'!C:C,"Продажи",'Отчет 27-31.10'!E:E,B37)</f>
        <v>0</v>
      </c>
      <c r="T37" s="51">
        <f>SUMIFS('Отчет 27-31.10'!P:P,'Отчет 27-31.10'!C:C,"Возвраты",'Отчет 27-31.10'!E:E,B37)</f>
        <v>0</v>
      </c>
      <c r="U37" s="49">
        <f t="shared" si="24"/>
        <v>0</v>
      </c>
      <c r="V37" s="52">
        <f t="shared" si="25"/>
        <v>0</v>
      </c>
      <c r="W37" s="53">
        <f t="shared" si="26"/>
        <v>0</v>
      </c>
      <c r="X37" s="51">
        <f>-SUMIFS('Отчет 27-31.10'!P:P,'Отчет 27-31.10'!C:C,"Вознаграждение Ozon",'Отчет 27-31.10'!E:E,B37)</f>
        <v>0</v>
      </c>
      <c r="Y37" s="54">
        <f t="shared" si="27"/>
        <v>0</v>
      </c>
      <c r="Z37" s="51">
        <f>-SUMIFS('Отчет 27-31.10'!P:P,'Отчет 27-31.10'!C:C,"Услуги доставки",'Отчет 27-31.10'!E:E,B37)</f>
        <v>0</v>
      </c>
      <c r="AA37" s="41">
        <v>0</v>
      </c>
      <c r="AB37" s="64"/>
      <c r="AC37" s="51"/>
      <c r="AD37" s="55">
        <f t="shared" si="28"/>
        <v>0</v>
      </c>
      <c r="AE37" s="56">
        <f t="shared" si="29"/>
        <v>0</v>
      </c>
      <c r="AF37" s="55"/>
      <c r="AG37" s="57">
        <f t="shared" si="30"/>
        <v>0</v>
      </c>
      <c r="AH37" s="58">
        <f t="shared" si="31"/>
        <v>597</v>
      </c>
      <c r="AI37" s="58">
        <f t="shared" si="32"/>
        <v>0</v>
      </c>
      <c r="AJ37" s="58">
        <f t="shared" si="33"/>
        <v>0</v>
      </c>
      <c r="AK37" s="58">
        <f t="shared" si="34"/>
        <v>0</v>
      </c>
      <c r="AL37" s="58">
        <f t="array" ref="AL37">_xlfn.IFS(R37=0,AE37,R37&lt;0,AE37/-R37,R37&gt;0,AE37/R37)</f>
        <v>0</v>
      </c>
      <c r="AM37" s="59">
        <f t="shared" si="35"/>
        <v>0</v>
      </c>
      <c r="AN37" s="60">
        <f t="shared" si="36"/>
        <v>0</v>
      </c>
      <c r="AP37" s="62">
        <f t="shared" si="37"/>
        <v>0</v>
      </c>
    </row>
    <row r="38" spans="1:42">
      <c r="A38" s="39">
        <v>2774719029</v>
      </c>
      <c r="B38" s="40" t="s">
        <v>241</v>
      </c>
      <c r="C38" s="41"/>
      <c r="D38" s="42"/>
      <c r="E38" s="42"/>
      <c r="F38" s="42"/>
      <c r="G38" s="43"/>
      <c r="H38" s="65">
        <v>597</v>
      </c>
      <c r="I38" s="63">
        <f t="shared" si="20"/>
        <v>0</v>
      </c>
      <c r="J38" s="45"/>
      <c r="K38" s="41">
        <v>1</v>
      </c>
      <c r="L38" s="45"/>
      <c r="M38" s="45"/>
      <c r="N38" s="46">
        <f t="shared" si="38"/>
        <v>0.2</v>
      </c>
      <c r="O38" s="47">
        <f t="shared" si="39"/>
        <v>0</v>
      </c>
      <c r="P38" s="48">
        <f>SUMIFS('Отчет 27-31.10'!H:H,'Отчет 27-31.10'!D:D,"Выручка",'Отчет 27-31.10'!E:E,B38)</f>
        <v>0</v>
      </c>
      <c r="Q38" s="48">
        <f>SUMIFS('Отчет 27-31.10'!H:H,'Отчет 27-31.10'!D:D,"Возврат выручки",'Отчет 27-31.10'!E:E,B38)</f>
        <v>0</v>
      </c>
      <c r="R38" s="49">
        <f t="shared" si="23"/>
        <v>0</v>
      </c>
      <c r="S38" s="50">
        <f>SUMIFS('Отчет 27-31.10'!P:P,'Отчет 27-31.10'!C:C,"Продажи",'Отчет 27-31.10'!E:E,B38)</f>
        <v>0</v>
      </c>
      <c r="T38" s="51">
        <f>SUMIFS('Отчет 27-31.10'!P:P,'Отчет 27-31.10'!C:C,"Возвраты",'Отчет 27-31.10'!E:E,B38)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27-31.10'!P:P,'Отчет 27-31.10'!C:C,"Вознаграждение Ozon",'Отчет 27-31.10'!E:E,B38)</f>
        <v>0</v>
      </c>
      <c r="Y38" s="54">
        <f t="shared" si="27"/>
        <v>0</v>
      </c>
      <c r="Z38" s="51">
        <f>-SUMIFS('Отчет 27-31.10'!P:P,'Отчет 27-31.10'!C:C,"Услуги доставки",'Отчет 27-31.10'!E:E,B38)</f>
        <v>0</v>
      </c>
      <c r="AA38" s="41">
        <v>0</v>
      </c>
      <c r="AB38" s="64"/>
      <c r="AC38" s="51"/>
      <c r="AD38" s="55">
        <f t="shared" si="28"/>
        <v>0</v>
      </c>
      <c r="AE38" s="56">
        <f t="shared" si="29"/>
        <v>0</v>
      </c>
      <c r="AF38" s="55"/>
      <c r="AG38" s="57">
        <f t="shared" si="30"/>
        <v>0</v>
      </c>
      <c r="AH38" s="58">
        <f t="shared" si="31"/>
        <v>597</v>
      </c>
      <c r="AI38" s="58">
        <f t="shared" si="32"/>
        <v>0</v>
      </c>
      <c r="AJ38" s="58">
        <f t="shared" si="33"/>
        <v>0</v>
      </c>
      <c r="AK38" s="58">
        <f t="shared" si="34"/>
        <v>0</v>
      </c>
      <c r="AL38" s="58">
        <f t="array" ref="AL38">_xlfn.IFS(R38=0,AE38,R38&lt;0,AE38/-R38,R38&gt;0,AE38/R38)</f>
        <v>0</v>
      </c>
      <c r="AM38" s="59">
        <f t="shared" si="35"/>
        <v>0</v>
      </c>
      <c r="AN38" s="60">
        <f t="shared" si="36"/>
        <v>0</v>
      </c>
      <c r="AP38" s="62">
        <f t="shared" si="37"/>
        <v>0</v>
      </c>
    </row>
    <row r="39" spans="1:42">
      <c r="A39" s="39">
        <v>2774719553</v>
      </c>
      <c r="B39" s="40" t="s">
        <v>242</v>
      </c>
      <c r="C39" s="41"/>
      <c r="D39" s="42"/>
      <c r="E39" s="42"/>
      <c r="F39" s="42"/>
      <c r="G39" s="43"/>
      <c r="H39" s="65">
        <v>597</v>
      </c>
      <c r="I39" s="63">
        <f t="shared" si="20"/>
        <v>0</v>
      </c>
      <c r="J39" s="45"/>
      <c r="K39" s="41">
        <v>0</v>
      </c>
      <c r="L39" s="45"/>
      <c r="M39" s="45"/>
      <c r="N39" s="46">
        <f t="shared" si="38"/>
        <v>0</v>
      </c>
      <c r="O39" s="47">
        <f t="shared" si="39"/>
        <v>0</v>
      </c>
      <c r="P39" s="48">
        <f>SUMIFS('Отчет 27-31.10'!H:H,'Отчет 27-31.10'!D:D,"Выручка",'Отчет 27-31.10'!E:E,B39)</f>
        <v>0</v>
      </c>
      <c r="Q39" s="48">
        <f>SUMIFS('Отчет 27-31.10'!H:H,'Отчет 27-31.10'!D:D,"Возврат выручки",'Отчет 27-31.10'!E:E,B39)</f>
        <v>0</v>
      </c>
      <c r="R39" s="49">
        <f t="shared" si="23"/>
        <v>0</v>
      </c>
      <c r="S39" s="50">
        <f>SUMIFS('Отчет 27-31.10'!P:P,'Отчет 27-31.10'!C:C,"Продажи",'Отчет 27-31.10'!E:E,B39)</f>
        <v>0</v>
      </c>
      <c r="T39" s="51">
        <f>SUMIFS('Отчет 27-31.10'!P:P,'Отчет 27-31.10'!C:C,"Возвраты",'Отчет 27-31.10'!E:E,B39)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51">
        <f>-SUMIFS('Отчет 27-31.10'!P:P,'Отчет 27-31.10'!C:C,"Вознаграждение Ozon",'Отчет 27-31.10'!E:E,B39)</f>
        <v>0</v>
      </c>
      <c r="Y39" s="54">
        <f t="shared" si="27"/>
        <v>0</v>
      </c>
      <c r="Z39" s="51">
        <f>-SUMIFS('Отчет 27-31.10'!P:P,'Отчет 27-31.10'!C:C,"Услуги доставки",'Отчет 27-31.10'!E:E,B39)</f>
        <v>0</v>
      </c>
      <c r="AA39" s="41">
        <v>0</v>
      </c>
      <c r="AB39" s="64"/>
      <c r="AC39" s="51"/>
      <c r="AD39" s="55">
        <f t="shared" si="28"/>
        <v>0</v>
      </c>
      <c r="AE39" s="56">
        <f t="shared" si="29"/>
        <v>0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0</v>
      </c>
      <c r="AK39" s="58">
        <f t="shared" si="34"/>
        <v>0</v>
      </c>
      <c r="AL39" s="58">
        <f t="array" ref="AL39">_xlfn.IFS(R39=0,AE39,R39&lt;0,AE39/-R39,R39&gt;0,AE39/R39)</f>
        <v>0</v>
      </c>
      <c r="AM39" s="59">
        <f t="shared" si="35"/>
        <v>0</v>
      </c>
      <c r="AN39" s="60">
        <f t="shared" si="36"/>
        <v>0</v>
      </c>
      <c r="AP39" s="62">
        <f t="shared" si="37"/>
        <v>0</v>
      </c>
    </row>
    <row r="40" spans="1:42">
      <c r="A40" s="39">
        <v>2774710913</v>
      </c>
      <c r="B40" s="40" t="s">
        <v>243</v>
      </c>
      <c r="C40" s="41"/>
      <c r="D40" s="42"/>
      <c r="E40" s="42"/>
      <c r="F40" s="42"/>
      <c r="G40" s="43"/>
      <c r="H40" s="65">
        <v>642</v>
      </c>
      <c r="I40" s="63">
        <f t="shared" si="20"/>
        <v>0</v>
      </c>
      <c r="J40" s="45"/>
      <c r="K40" s="41">
        <v>0</v>
      </c>
      <c r="L40" s="45"/>
      <c r="M40" s="45"/>
      <c r="N40" s="46">
        <f t="shared" si="38"/>
        <v>0</v>
      </c>
      <c r="O40" s="47">
        <f t="shared" si="39"/>
        <v>0</v>
      </c>
      <c r="P40" s="48">
        <f>SUMIFS('Отчет 27-31.10'!H:H,'Отчет 27-31.10'!D:D,"Выручка",'Отчет 27-31.10'!E:E,B40)</f>
        <v>0</v>
      </c>
      <c r="Q40" s="48">
        <f>SUMIFS('Отчет 27-31.10'!H:H,'Отчет 27-31.10'!D:D,"Возврат выручки",'Отчет 27-31.10'!E:E,B40)</f>
        <v>0</v>
      </c>
      <c r="R40" s="49">
        <f t="shared" si="23"/>
        <v>0</v>
      </c>
      <c r="S40" s="50">
        <f>SUMIFS('Отчет 27-31.10'!P:P,'Отчет 27-31.10'!C:C,"Продажи",'Отчет 27-31.10'!E:E,B40)</f>
        <v>0</v>
      </c>
      <c r="T40" s="51">
        <f>SUMIFS('Отчет 27-31.10'!P:P,'Отчет 27-31.10'!C:C,"Возвраты",'Отчет 27-31.10'!E:E,B40)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27-31.10'!P:P,'Отчет 27-31.10'!C:C,"Вознаграждение Ozon",'Отчет 27-31.10'!E:E,B40)</f>
        <v>0</v>
      </c>
      <c r="Y40" s="54">
        <f t="shared" si="27"/>
        <v>0</v>
      </c>
      <c r="Z40" s="51">
        <f>-SUMIFS('Отчет 27-31.10'!P:P,'Отчет 27-31.10'!C:C,"Услуги доставки",'Отчет 27-31.10'!E:E,B40)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642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2774721668</v>
      </c>
      <c r="B41" s="40" t="s">
        <v>771</v>
      </c>
      <c r="C41" s="41"/>
      <c r="D41" s="42"/>
      <c r="E41" s="42"/>
      <c r="F41" s="42"/>
      <c r="G41" s="43"/>
      <c r="H41" s="65">
        <v>642</v>
      </c>
      <c r="I41" s="63">
        <f t="shared" si="20"/>
        <v>0</v>
      </c>
      <c r="J41" s="45"/>
      <c r="K41" s="41">
        <v>0</v>
      </c>
      <c r="L41" s="45"/>
      <c r="M41" s="45"/>
      <c r="N41" s="46">
        <f t="shared" si="38"/>
        <v>0</v>
      </c>
      <c r="O41" s="47">
        <f t="shared" si="39"/>
        <v>0</v>
      </c>
      <c r="P41" s="48">
        <f>SUMIFS('Отчет 27-31.10'!H:H,'Отчет 27-31.10'!D:D,"Выручка",'Отчет 27-31.10'!E:E,B41)</f>
        <v>0</v>
      </c>
      <c r="Q41" s="48">
        <f>SUMIFS('Отчет 27-31.10'!H:H,'Отчет 27-31.10'!D:D,"Возврат выручки",'Отчет 27-31.10'!E:E,B41)</f>
        <v>0</v>
      </c>
      <c r="R41" s="49">
        <f t="shared" si="23"/>
        <v>0</v>
      </c>
      <c r="S41" s="50">
        <f>SUMIFS('Отчет 27-31.10'!P:P,'Отчет 27-31.10'!C:C,"Продажи",'Отчет 27-31.10'!E:E,B41)</f>
        <v>0</v>
      </c>
      <c r="T41" s="51">
        <f>SUMIFS('Отчет 27-31.10'!P:P,'Отчет 27-31.10'!C:C,"Возвраты",'Отчет 27-31.10'!E:E,B41)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51">
        <f>-SUMIFS('Отчет 27-31.10'!P:P,'Отчет 27-31.10'!C:C,"Вознаграждение Ozon",'Отчет 27-31.10'!E:E,B41)</f>
        <v>0</v>
      </c>
      <c r="Y41" s="54">
        <f t="shared" si="27"/>
        <v>0</v>
      </c>
      <c r="Z41" s="51">
        <f>-SUMIFS('Отчет 27-31.10'!P:P,'Отчет 27-31.10'!C:C,"Услуги доставки",'Отчет 27-31.10'!E:E,B41)</f>
        <v>0</v>
      </c>
      <c r="AA41" s="41">
        <v>0</v>
      </c>
      <c r="AB41" s="64"/>
      <c r="AC41" s="51"/>
      <c r="AD41" s="55">
        <f t="shared" si="28"/>
        <v>0</v>
      </c>
      <c r="AE41" s="56">
        <f t="shared" si="29"/>
        <v>0</v>
      </c>
      <c r="AF41" s="55"/>
      <c r="AG41" s="57">
        <f t="shared" si="30"/>
        <v>0</v>
      </c>
      <c r="AH41" s="58">
        <f t="shared" si="31"/>
        <v>642</v>
      </c>
      <c r="AI41" s="58">
        <f t="shared" si="32"/>
        <v>0</v>
      </c>
      <c r="AJ41" s="58">
        <f t="shared" si="33"/>
        <v>0</v>
      </c>
      <c r="AK41" s="58">
        <f t="shared" si="34"/>
        <v>0</v>
      </c>
      <c r="AL41" s="58">
        <f t="array" ref="AL41">_xlfn.IFS(R41=0,AE41,R41&lt;0,AE41/-R41,R41&gt;0,AE41/R41)</f>
        <v>0</v>
      </c>
      <c r="AM41" s="59">
        <f t="shared" si="35"/>
        <v>0</v>
      </c>
      <c r="AN41" s="60">
        <f t="shared" si="36"/>
        <v>0</v>
      </c>
      <c r="AP41" s="62">
        <f t="shared" si="37"/>
        <v>0</v>
      </c>
    </row>
    <row r="42" spans="1:42">
      <c r="A42" s="39">
        <v>2774722656</v>
      </c>
      <c r="B42" s="40" t="s">
        <v>51</v>
      </c>
      <c r="C42" s="41"/>
      <c r="D42" s="42"/>
      <c r="E42" s="42"/>
      <c r="F42" s="42"/>
      <c r="G42" s="43"/>
      <c r="H42" s="65">
        <v>687</v>
      </c>
      <c r="I42" s="63">
        <f t="shared" si="20"/>
        <v>0</v>
      </c>
      <c r="J42" s="45"/>
      <c r="K42" s="41">
        <v>3</v>
      </c>
      <c r="L42" s="45"/>
      <c r="M42" s="45"/>
      <c r="N42" s="46">
        <f t="shared" si="38"/>
        <v>0.6</v>
      </c>
      <c r="O42" s="47">
        <f t="shared" si="39"/>
        <v>0</v>
      </c>
      <c r="P42" s="48">
        <f>SUMIFS('Отчет 27-31.10'!H:H,'Отчет 27-31.10'!D:D,"Выручка",'Отчет 27-31.10'!E:E,B42)</f>
        <v>0</v>
      </c>
      <c r="Q42" s="48">
        <f>SUMIFS('Отчет 27-31.10'!H:H,'Отчет 27-31.10'!D:D,"Возврат выручки",'Отчет 27-31.10'!E:E,B42)</f>
        <v>0</v>
      </c>
      <c r="R42" s="49">
        <f t="shared" si="23"/>
        <v>0</v>
      </c>
      <c r="S42" s="50">
        <f>SUMIFS('Отчет 27-31.10'!P:P,'Отчет 27-31.10'!C:C,"Продажи",'Отчет 27-31.10'!E:E,B42)</f>
        <v>0</v>
      </c>
      <c r="T42" s="51">
        <f>SUMIFS('Отчет 27-31.10'!P:P,'Отчет 27-31.10'!C:C,"Возвраты",'Отчет 27-31.10'!E:E,B42)</f>
        <v>0</v>
      </c>
      <c r="U42" s="49">
        <f t="shared" si="24"/>
        <v>0</v>
      </c>
      <c r="V42" s="52">
        <f t="shared" si="25"/>
        <v>0</v>
      </c>
      <c r="W42" s="53">
        <f t="shared" si="26"/>
        <v>0</v>
      </c>
      <c r="X42" s="51">
        <f>-SUMIFS('Отчет 27-31.10'!P:P,'Отчет 27-31.10'!C:C,"Вознаграждение Ozon",'Отчет 27-31.10'!E:E,B42)</f>
        <v>0</v>
      </c>
      <c r="Y42" s="54">
        <f t="shared" si="27"/>
        <v>0</v>
      </c>
      <c r="Z42" s="51">
        <f>-SUMIFS('Отчет 27-31.10'!P:P,'Отчет 27-31.10'!C:C,"Услуги доставки",'Отчет 27-31.10'!E:E,B42)</f>
        <v>0</v>
      </c>
      <c r="AA42" s="41">
        <v>0</v>
      </c>
      <c r="AB42" s="64"/>
      <c r="AC42" s="51"/>
      <c r="AD42" s="55">
        <f t="shared" si="28"/>
        <v>0</v>
      </c>
      <c r="AE42" s="56">
        <f t="shared" si="29"/>
        <v>0</v>
      </c>
      <c r="AF42" s="55"/>
      <c r="AG42" s="57">
        <f t="shared" si="30"/>
        <v>0</v>
      </c>
      <c r="AH42" s="58">
        <f t="shared" si="31"/>
        <v>687</v>
      </c>
      <c r="AI42" s="58">
        <f t="shared" si="32"/>
        <v>0</v>
      </c>
      <c r="AJ42" s="58">
        <f t="shared" si="33"/>
        <v>0</v>
      </c>
      <c r="AK42" s="58">
        <f t="shared" si="34"/>
        <v>0</v>
      </c>
      <c r="AL42" s="58">
        <f t="array" ref="AL42">_xlfn.IFS(R42=0,AE42,R42&lt;0,AE42/-R42,R42&gt;0,AE42/R42)</f>
        <v>0</v>
      </c>
      <c r="AM42" s="59">
        <f t="shared" si="35"/>
        <v>0</v>
      </c>
      <c r="AN42" s="60">
        <f t="shared" si="36"/>
        <v>0</v>
      </c>
      <c r="AP42" s="62">
        <f t="shared" si="37"/>
        <v>0</v>
      </c>
    </row>
    <row r="43" spans="1:42">
      <c r="A43" s="39">
        <v>2774721190</v>
      </c>
      <c r="B43" s="40" t="s">
        <v>70</v>
      </c>
      <c r="C43" s="41"/>
      <c r="D43" s="42"/>
      <c r="E43" s="42"/>
      <c r="F43" s="42"/>
      <c r="G43" s="43"/>
      <c r="H43" s="65">
        <v>687</v>
      </c>
      <c r="I43" s="63">
        <f t="shared" si="20"/>
        <v>0</v>
      </c>
      <c r="J43" s="45"/>
      <c r="K43" s="41">
        <v>4</v>
      </c>
      <c r="L43" s="45"/>
      <c r="M43" s="45"/>
      <c r="N43" s="46">
        <f t="shared" si="38"/>
        <v>0.8</v>
      </c>
      <c r="O43" s="47">
        <f t="shared" si="39"/>
        <v>0</v>
      </c>
      <c r="P43" s="48">
        <f>SUMIFS('Отчет 27-31.10'!H:H,'Отчет 27-31.10'!D:D,"Выручка",'Отчет 27-31.10'!E:E,B43)</f>
        <v>0</v>
      </c>
      <c r="Q43" s="48">
        <f>SUMIFS('Отчет 27-31.10'!H:H,'Отчет 27-31.10'!D:D,"Возврат выручки",'Отчет 27-31.10'!E:E,B43)</f>
        <v>0</v>
      </c>
      <c r="R43" s="49">
        <f t="shared" si="23"/>
        <v>0</v>
      </c>
      <c r="S43" s="50">
        <f>SUMIFS('Отчет 27-31.10'!P:P,'Отчет 27-31.10'!C:C,"Продажи",'Отчет 27-31.10'!E:E,B43)</f>
        <v>0</v>
      </c>
      <c r="T43" s="51">
        <f>SUMIFS('Отчет 27-31.10'!P:P,'Отчет 27-31.10'!C:C,"Возвраты",'Отчет 27-31.10'!E:E,B43)</f>
        <v>0</v>
      </c>
      <c r="U43" s="49">
        <f t="shared" si="24"/>
        <v>0</v>
      </c>
      <c r="V43" s="52">
        <f t="shared" si="25"/>
        <v>0</v>
      </c>
      <c r="W43" s="53">
        <f t="shared" si="26"/>
        <v>0</v>
      </c>
      <c r="X43" s="51">
        <f>-SUMIFS('Отчет 27-31.10'!P:P,'Отчет 27-31.10'!C:C,"Вознаграждение Ozon",'Отчет 27-31.10'!E:E,B43)</f>
        <v>0</v>
      </c>
      <c r="Y43" s="54">
        <f t="shared" si="27"/>
        <v>0</v>
      </c>
      <c r="Z43" s="51">
        <f>-SUMIFS('Отчет 27-31.10'!P:P,'Отчет 27-31.10'!C:C,"Услуги доставки",'Отчет 27-31.10'!E:E,B43)</f>
        <v>0</v>
      </c>
      <c r="AA43" s="41">
        <v>4586.7483300000004</v>
      </c>
      <c r="AB43" s="64"/>
      <c r="AC43" s="51"/>
      <c r="AD43" s="55">
        <f t="shared" si="28"/>
        <v>0</v>
      </c>
      <c r="AE43" s="56">
        <f t="shared" si="29"/>
        <v>-4586.7483300000004</v>
      </c>
      <c r="AF43" s="55"/>
      <c r="AG43" s="57">
        <f t="shared" si="30"/>
        <v>0</v>
      </c>
      <c r="AH43" s="58">
        <f t="shared" si="31"/>
        <v>687</v>
      </c>
      <c r="AI43" s="58">
        <f t="shared" si="32"/>
        <v>0</v>
      </c>
      <c r="AJ43" s="58">
        <f t="shared" si="33"/>
        <v>0</v>
      </c>
      <c r="AK43" s="58">
        <f t="shared" si="34"/>
        <v>0</v>
      </c>
      <c r="AL43" s="58">
        <f t="array" ref="AL43">_xlfn.IFS(R43=0,AE43,R43&lt;0,AE43/-R43,R43&gt;0,AE43/R43)</f>
        <v>-4586.7483300000004</v>
      </c>
      <c r="AM43" s="59">
        <f t="shared" si="35"/>
        <v>0</v>
      </c>
      <c r="AN43" s="60">
        <f t="shared" si="36"/>
        <v>-6.6764895633187775</v>
      </c>
      <c r="AP43" s="62">
        <f t="shared" si="37"/>
        <v>0</v>
      </c>
    </row>
    <row r="44" spans="1:42">
      <c r="A44" s="39">
        <v>2774718796</v>
      </c>
      <c r="B44" s="40" t="s">
        <v>66</v>
      </c>
      <c r="C44" s="41"/>
      <c r="D44" s="42"/>
      <c r="E44" s="42"/>
      <c r="F44" s="42"/>
      <c r="G44" s="43"/>
      <c r="H44" s="65">
        <v>552</v>
      </c>
      <c r="I44" s="63">
        <f t="shared" si="20"/>
        <v>0</v>
      </c>
      <c r="J44" s="45"/>
      <c r="K44" s="41">
        <v>1</v>
      </c>
      <c r="L44" s="45"/>
      <c r="M44" s="45"/>
      <c r="N44" s="46">
        <f t="shared" si="38"/>
        <v>0.2</v>
      </c>
      <c r="O44" s="47">
        <f t="shared" si="39"/>
        <v>0.2</v>
      </c>
      <c r="P44" s="48">
        <f>SUMIFS('Отчет 27-31.10'!H:H,'Отчет 27-31.10'!D:D,"Выручка",'Отчет 27-31.10'!E:E,B44)</f>
        <v>1</v>
      </c>
      <c r="Q44" s="48">
        <f>SUMIFS('Отчет 27-31.10'!H:H,'Отчет 27-31.10'!D:D,"Возврат выручки",'Отчет 27-31.10'!E:E,B44)</f>
        <v>0</v>
      </c>
      <c r="R44" s="49">
        <f t="shared" si="23"/>
        <v>1</v>
      </c>
      <c r="S44" s="50">
        <f>SUMIFS('Отчет 27-31.10'!P:P,'Отчет 27-31.10'!C:C,"Продажи",'Отчет 27-31.10'!E:E,B44)</f>
        <v>5000</v>
      </c>
      <c r="T44" s="51">
        <f>SUMIFS('Отчет 27-31.10'!P:P,'Отчет 27-31.10'!C:C,"Возвраты",'Отчет 27-31.10'!E:E,B44)</f>
        <v>0</v>
      </c>
      <c r="U44" s="49">
        <f t="shared" si="24"/>
        <v>5000</v>
      </c>
      <c r="V44" s="52">
        <f t="shared" si="25"/>
        <v>0.10381197574952246</v>
      </c>
      <c r="W44" s="53">
        <f t="shared" si="26"/>
        <v>552</v>
      </c>
      <c r="X44" s="51">
        <f>-SUMIFS('Отчет 27-31.10'!P:P,'Отчет 27-31.10'!C:C,"Вознаграждение Ozon",'Отчет 27-31.10'!E:E,B44)</f>
        <v>1700</v>
      </c>
      <c r="Y44" s="54">
        <f t="shared" si="27"/>
        <v>0.34</v>
      </c>
      <c r="Z44" s="51">
        <f>-SUMIFS('Отчет 27-31.10'!P:P,'Отчет 27-31.10'!C:C,"Услуги доставки",'Отчет 27-31.10'!E:E,B44)</f>
        <v>56</v>
      </c>
      <c r="AA44" s="41">
        <v>0</v>
      </c>
      <c r="AB44" s="64"/>
      <c r="AC44" s="51"/>
      <c r="AD44" s="55">
        <f t="shared" si="28"/>
        <v>300</v>
      </c>
      <c r="AE44" s="56">
        <f t="shared" si="29"/>
        <v>2392</v>
      </c>
      <c r="AF44" s="55"/>
      <c r="AG44" s="57">
        <f t="shared" si="30"/>
        <v>5000</v>
      </c>
      <c r="AH44" s="58">
        <f t="shared" si="31"/>
        <v>552</v>
      </c>
      <c r="AI44" s="58">
        <f t="shared" si="32"/>
        <v>1700</v>
      </c>
      <c r="AJ44" s="58">
        <f t="shared" si="33"/>
        <v>56</v>
      </c>
      <c r="AK44" s="58">
        <f t="shared" si="34"/>
        <v>0</v>
      </c>
      <c r="AL44" s="58">
        <f t="array" ref="AL44">_xlfn.IFS(R44=0,AE44,R44&lt;0,AE44/-R44,R44&gt;0,AE44/R44)</f>
        <v>2392</v>
      </c>
      <c r="AM44" s="59">
        <f t="shared" si="35"/>
        <v>0.47839999999999999</v>
      </c>
      <c r="AN44" s="60">
        <f t="shared" si="36"/>
        <v>4.333333333333333</v>
      </c>
      <c r="AP44" s="62">
        <f t="shared" si="37"/>
        <v>0</v>
      </c>
    </row>
    <row r="45" spans="1:42">
      <c r="A45" s="39">
        <v>2774719500</v>
      </c>
      <c r="B45" s="40" t="s">
        <v>245</v>
      </c>
      <c r="C45" s="41"/>
      <c r="D45" s="42"/>
      <c r="E45" s="42"/>
      <c r="F45" s="42"/>
      <c r="G45" s="43"/>
      <c r="H45" s="65">
        <v>552</v>
      </c>
      <c r="I45" s="63">
        <f t="shared" si="20"/>
        <v>0</v>
      </c>
      <c r="J45" s="45"/>
      <c r="K45" s="41">
        <v>0</v>
      </c>
      <c r="L45" s="45"/>
      <c r="M45" s="45"/>
      <c r="N45" s="46">
        <f t="shared" si="38"/>
        <v>0</v>
      </c>
      <c r="O45" s="47">
        <f t="shared" si="39"/>
        <v>0</v>
      </c>
      <c r="P45" s="48">
        <f>SUMIFS('Отчет 27-31.10'!H:H,'Отчет 27-31.10'!D:D,"Выручка",'Отчет 27-31.10'!E:E,B45)</f>
        <v>0</v>
      </c>
      <c r="Q45" s="48">
        <f>SUMIFS('Отчет 27-31.10'!H:H,'Отчет 27-31.10'!D:D,"Возврат выручки",'Отчет 27-31.10'!E:E,B45)</f>
        <v>0</v>
      </c>
      <c r="R45" s="49">
        <f t="shared" si="23"/>
        <v>0</v>
      </c>
      <c r="S45" s="50">
        <f>SUMIFS('Отчет 27-31.10'!P:P,'Отчет 27-31.10'!C:C,"Продажи",'Отчет 27-31.10'!E:E,B45)</f>
        <v>0</v>
      </c>
      <c r="T45" s="51">
        <f>SUMIFS('Отчет 27-31.10'!P:P,'Отчет 27-31.10'!C:C,"Возвраты",'Отчет 27-31.10'!E:E,B45)</f>
        <v>0</v>
      </c>
      <c r="U45" s="49">
        <f t="shared" si="24"/>
        <v>0</v>
      </c>
      <c r="V45" s="52">
        <f t="shared" si="25"/>
        <v>0</v>
      </c>
      <c r="W45" s="53">
        <f t="shared" si="26"/>
        <v>0</v>
      </c>
      <c r="X45" s="51">
        <f>-SUMIFS('Отчет 27-31.10'!P:P,'Отчет 27-31.10'!C:C,"Вознаграждение Ozon",'Отчет 27-31.10'!E:E,B45)</f>
        <v>0</v>
      </c>
      <c r="Y45" s="54">
        <f t="shared" si="27"/>
        <v>0</v>
      </c>
      <c r="Z45" s="51">
        <f>-SUMIFS('Отчет 27-31.10'!P:P,'Отчет 27-31.10'!C:C,"Услуги доставки",'Отчет 27-31.10'!E:E,B45)</f>
        <v>56</v>
      </c>
      <c r="AA45" s="41">
        <v>0</v>
      </c>
      <c r="AB45" s="64"/>
      <c r="AC45" s="51"/>
      <c r="AD45" s="55">
        <f t="shared" si="28"/>
        <v>0</v>
      </c>
      <c r="AE45" s="56">
        <f t="shared" si="29"/>
        <v>-56</v>
      </c>
      <c r="AF45" s="55"/>
      <c r="AG45" s="57">
        <f t="shared" si="30"/>
        <v>0</v>
      </c>
      <c r="AH45" s="58">
        <f t="shared" si="31"/>
        <v>552</v>
      </c>
      <c r="AI45" s="58">
        <f t="shared" si="32"/>
        <v>0</v>
      </c>
      <c r="AJ45" s="58">
        <f t="shared" si="33"/>
        <v>56</v>
      </c>
      <c r="AK45" s="58">
        <f t="shared" si="34"/>
        <v>0</v>
      </c>
      <c r="AL45" s="58">
        <f t="array" ref="AL45">_xlfn.IFS(R45=0,AE45,R45&lt;0,AE45/-R45,R45&gt;0,AE45/R45)</f>
        <v>-56</v>
      </c>
      <c r="AM45" s="59">
        <f t="shared" si="35"/>
        <v>0</v>
      </c>
      <c r="AN45" s="60">
        <f t="shared" si="36"/>
        <v>-0.10144927536231885</v>
      </c>
      <c r="AP45" s="62">
        <f t="shared" si="37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40">AVERAGEIF(AG26:AG45,"&lt;&gt;0",AG26:AG45)</f>
        <v>4220.333333333333</v>
      </c>
      <c r="AH46" s="259">
        <f t="shared" si="40"/>
        <v>617.25</v>
      </c>
      <c r="AI46" s="259">
        <f t="shared" si="40"/>
        <v>1530.9866666666667</v>
      </c>
      <c r="AJ46" s="259">
        <f t="shared" si="40"/>
        <v>91</v>
      </c>
      <c r="AK46" s="259">
        <f t="shared" si="40"/>
        <v>1573.22505</v>
      </c>
      <c r="AL46" s="259">
        <f t="shared" si="40"/>
        <v>83.266659999999973</v>
      </c>
      <c r="AM46" s="260">
        <f t="shared" si="40"/>
        <v>0.28516466603701929</v>
      </c>
      <c r="AN46" s="260">
        <f t="shared" si="40"/>
        <v>0.28847122736073666</v>
      </c>
      <c r="AO46" s="240"/>
      <c r="AP46" s="241"/>
    </row>
    <row r="47" spans="1:42">
      <c r="A47" s="218" t="s">
        <v>306</v>
      </c>
      <c r="B47" s="219"/>
      <c r="C47" s="220">
        <f>SUM(C26:C45)</f>
        <v>0</v>
      </c>
      <c r="D47" s="221"/>
      <c r="E47" s="221"/>
      <c r="F47" s="221"/>
      <c r="G47" s="221"/>
      <c r="H47" s="222"/>
      <c r="I47" s="220">
        <f>SUM(I26:I45)</f>
        <v>0</v>
      </c>
      <c r="J47" s="223"/>
      <c r="K47" s="220">
        <f>SUM(K26:K45)</f>
        <v>24</v>
      </c>
      <c r="L47" s="223"/>
      <c r="M47" s="223"/>
      <c r="N47" s="224"/>
      <c r="O47" s="225"/>
      <c r="P47" s="220">
        <f t="shared" ref="P47:X47" si="41">SUM(P26:P45)</f>
        <v>8</v>
      </c>
      <c r="Q47" s="220">
        <f t="shared" si="41"/>
        <v>1</v>
      </c>
      <c r="R47" s="250">
        <f t="shared" si="41"/>
        <v>9</v>
      </c>
      <c r="S47" s="220">
        <f t="shared" si="41"/>
        <v>39192</v>
      </c>
      <c r="T47" s="220">
        <f t="shared" si="41"/>
        <v>-5000</v>
      </c>
      <c r="U47" s="250">
        <f t="shared" si="41"/>
        <v>34192</v>
      </c>
      <c r="V47" s="253">
        <f t="shared" si="41"/>
        <v>0.70990781496553446</v>
      </c>
      <c r="W47" s="220">
        <f t="shared" si="41"/>
        <v>5808</v>
      </c>
      <c r="X47" s="220">
        <f t="shared" si="41"/>
        <v>12429.119999999999</v>
      </c>
      <c r="Y47" s="226">
        <f>IF(U47=0,0,X47/U47)</f>
        <v>0.36350959288722506</v>
      </c>
      <c r="Z47" s="220">
        <f>SUM(Z26:Z45)</f>
        <v>1120</v>
      </c>
      <c r="AA47" s="220">
        <f>IFERROR(P47*AA49/P49,0)</f>
        <v>8930.8488888888896</v>
      </c>
      <c r="AB47" s="220">
        <f>SUM(AB26:AB45)</f>
        <v>0</v>
      </c>
      <c r="AC47" s="220">
        <f>SUM(AC26:AC45)</f>
        <v>0</v>
      </c>
      <c r="AD47" s="250">
        <f>SUM(AD26:AD45)</f>
        <v>2051.52</v>
      </c>
      <c r="AE47" s="220">
        <f>SUM(AE26:AE45)</f>
        <v>1903.7114700000002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0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10879.64853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0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0</v>
      </c>
      <c r="J49" s="229">
        <f>J24+J47</f>
        <v>0</v>
      </c>
      <c r="K49" s="229">
        <f>K24+K47</f>
        <v>37</v>
      </c>
      <c r="L49" s="230"/>
      <c r="M49" s="230"/>
      <c r="N49" s="230"/>
      <c r="O49" s="230"/>
      <c r="P49" s="269">
        <f t="shared" ref="P49:X49" si="42">P24+P47</f>
        <v>18</v>
      </c>
      <c r="Q49" s="229">
        <f t="shared" si="42"/>
        <v>1</v>
      </c>
      <c r="R49" s="252">
        <f t="shared" si="42"/>
        <v>19</v>
      </c>
      <c r="S49" s="229">
        <f t="shared" si="42"/>
        <v>53164</v>
      </c>
      <c r="T49" s="229">
        <f t="shared" si="42"/>
        <v>-5000</v>
      </c>
      <c r="U49" s="252">
        <f t="shared" si="42"/>
        <v>48164</v>
      </c>
      <c r="V49" s="255">
        <f t="shared" si="42"/>
        <v>1</v>
      </c>
      <c r="W49" s="229">
        <f t="shared" si="42"/>
        <v>8125.7199999999993</v>
      </c>
      <c r="X49" s="229">
        <f t="shared" si="42"/>
        <v>17287.199999999997</v>
      </c>
      <c r="Y49" s="232">
        <f>X49/U49</f>
        <v>0.35892367743542891</v>
      </c>
      <c r="Z49" s="229">
        <f>Z24+Z47</f>
        <v>2194</v>
      </c>
      <c r="AA49" s="75">
        <v>20094.41</v>
      </c>
      <c r="AB49" s="74"/>
      <c r="AC49" s="74">
        <f>SUM(AC3:AC45)</f>
        <v>0</v>
      </c>
      <c r="AD49" s="229">
        <f>AD24+AD47</f>
        <v>2889.84</v>
      </c>
      <c r="AE49" s="233">
        <f>AE24+AE47</f>
        <v>-9307.7249159999974</v>
      </c>
      <c r="AF49" s="76"/>
      <c r="AG49" s="234"/>
      <c r="AH49" s="235"/>
      <c r="AI49" s="235"/>
      <c r="AJ49" s="235"/>
      <c r="AK49" s="235">
        <f>AA50/P49</f>
        <v>1116.3561111111112</v>
      </c>
      <c r="AL49" s="235"/>
      <c r="AM49" s="235"/>
      <c r="AN49" s="236"/>
      <c r="AP49" s="233">
        <f>SUM(AP3:AP45)</f>
        <v>0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20094.410000000003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26974.964915999997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 t="e">
        <f>I56/I49</f>
        <v>#DIV/0!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0</v>
      </c>
      <c r="J57" s="109" t="e">
        <f>I57/I49</f>
        <v>#DIV/0!</v>
      </c>
      <c r="K57" s="105">
        <f>AP49-K56-K58</f>
        <v>0</v>
      </c>
      <c r="L57" s="106" t="e">
        <f>K57/I57</f>
        <v>#DIV/0!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 t="e">
        <f>I58/I49</f>
        <v>#DIV/0!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90" priority="17" operator="greaterThan">
      <formula>120</formula>
    </cfRule>
  </conditionalFormatting>
  <conditionalFormatting sqref="N48">
    <cfRule type="cellIs" dxfId="89" priority="16" operator="between">
      <formula>0.000001</formula>
      <formula>25</formula>
    </cfRule>
  </conditionalFormatting>
  <conditionalFormatting sqref="V1 V50:V53 V55:V1048576">
    <cfRule type="cellIs" dxfId="88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{0DB8CB51-B775-45A3-9B9D-072F4F98B7B4}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{0366CEEE-BF15-4A08-813D-033F1FC5C764}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{27663B3D-FFFC-455F-BECA-B3BC0B8FDCA6}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{0B274C0D-EAB7-4B18-B194-46CC9AFA4B7D}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{349C09C3-DEE4-4BF6-83E9-C1D6935E98AE}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{5D1DC885-D65B-4366-8FA2-224FD03ABB68}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{55156D90-E118-4D0A-9CED-FBB2A000ED03}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{239B7664-1D30-4926-B620-9B1B355E67A4}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{030AA0EE-7CD4-480C-9420-3C0C77BDD8DF}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{D04B9590-8CF7-4CFA-BAA7-F6D1904E8DE3}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{D03F4C3E-7597-4095-B3F8-ED60CD5F15FA}</x14:id>
        </ext>
      </extLst>
    </cfRule>
  </conditionalFormatting>
  <conditionalFormatting sqref="P48">
    <cfRule type="cellIs" dxfId="87" priority="12" operator="greaterThan">
      <formula>120</formula>
    </cfRule>
  </conditionalFormatting>
  <conditionalFormatting sqref="Q48">
    <cfRule type="cellIs" dxfId="86" priority="11" operator="greaterThan">
      <formula>120</formula>
    </cfRule>
  </conditionalFormatting>
  <conditionalFormatting sqref="R48">
    <cfRule type="cellIs" dxfId="85" priority="10" operator="greaterThan">
      <formula>120</formula>
    </cfRule>
  </conditionalFormatting>
  <conditionalFormatting sqref="S48">
    <cfRule type="cellIs" dxfId="84" priority="9" operator="greaterThan">
      <formula>120</formula>
    </cfRule>
  </conditionalFormatting>
  <conditionalFormatting sqref="T48">
    <cfRule type="cellIs" dxfId="83" priority="8" operator="greaterThan">
      <formula>120</formula>
    </cfRule>
  </conditionalFormatting>
  <conditionalFormatting sqref="U48">
    <cfRule type="cellIs" dxfId="82" priority="7" operator="greaterThan">
      <formula>120</formula>
    </cfRule>
  </conditionalFormatting>
  <conditionalFormatting sqref="V48">
    <cfRule type="cellIs" dxfId="81" priority="6" operator="greaterThan">
      <formula>120</formula>
    </cfRule>
  </conditionalFormatting>
  <conditionalFormatting sqref="W48">
    <cfRule type="cellIs" dxfId="80" priority="5" operator="greaterThan">
      <formula>120</formula>
    </cfRule>
  </conditionalFormatting>
  <conditionalFormatting sqref="X48">
    <cfRule type="cellIs" dxfId="79" priority="4" operator="greaterThan">
      <formula>120</formula>
    </cfRule>
  </conditionalFormatting>
  <conditionalFormatting sqref="Z48">
    <cfRule type="cellIs" dxfId="78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{7406FE31-8E79-492C-8344-20DD8C5AC2CA}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{2F4DF99C-ABD4-4DB7-B1FE-38824F82567E}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B8CB51-B775-45A3-9B9D-072F4F98B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0366CEEE-BF15-4A08-813D-033F1FC5C7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27663B3D-FFFC-455F-BECA-B3BC0B8FDC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0B274C0D-EAB7-4B18-B194-46CC9AFA4B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349C09C3-DEE4-4BF6-83E9-C1D6935E98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5D1DC885-D65B-4366-8FA2-224FD03ABB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55156D90-E118-4D0A-9CED-FBB2A000ED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239B7664-1D30-4926-B620-9B1B355E67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030AA0EE-7CD4-480C-9420-3C0C77BDD8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D04B9590-8CF7-4CFA-BAA7-F6D1904E8D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D03F4C3E-7597-4095-B3F8-ED60CD5F1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7406FE31-8E79-492C-8344-20DD8C5AC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2F4DF99C-ABD4-4DB7-B1FE-38824F8256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D590-3702-4E6A-AA32-CAA125AF6405}">
  <dimension ref="A1:AZ62"/>
  <sheetViews>
    <sheetView zoomScale="70" zoomScaleNormal="70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V38" sqref="V38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756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757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328</v>
      </c>
      <c r="D3" s="42"/>
      <c r="E3" s="42"/>
      <c r="F3" s="42"/>
      <c r="G3" s="43"/>
      <c r="H3" s="44">
        <v>142.97999999999999</v>
      </c>
      <c r="I3" s="42">
        <f t="shared" ref="I3:I22" si="0">C3*H3</f>
        <v>46897.439999999995</v>
      </c>
      <c r="J3" s="45"/>
      <c r="K3" s="41">
        <v>16</v>
      </c>
      <c r="L3" s="45"/>
      <c r="M3" s="45"/>
      <c r="N3" s="46">
        <f t="shared" ref="N3:N22" si="1">K3/7</f>
        <v>2.2857142857142856</v>
      </c>
      <c r="O3" s="47">
        <f t="shared" ref="O3:O22" si="2">R3/7</f>
        <v>1.1428571428571428</v>
      </c>
      <c r="P3" s="48">
        <f>SUMIFS('Отчет 20-26.10'!H:H,'Отчет 20-26.10'!D:D,"Выручка",'Отчет 20-26.10'!E:E,B3)</f>
        <v>8</v>
      </c>
      <c r="Q3" s="48">
        <f>SUMIFS('Отчет 20-26.10'!H:H,'Отчет 20-26.10'!D:D,"Возврат выручки",'Отчет 20-26.10'!E:E,B3)</f>
        <v>0</v>
      </c>
      <c r="R3" s="49">
        <f t="shared" ref="R3:R22" si="3">P3+Q3</f>
        <v>8</v>
      </c>
      <c r="S3" s="50">
        <f>SUMIFS('Отчет 20-26.10'!O:O,'Отчет 20-26.10'!C:C,"Продажи",'Отчет 20-26.10'!E:E,B3)</f>
        <v>9592</v>
      </c>
      <c r="T3" s="51">
        <f>SUMIFS('Отчет 20-26.10'!O:O,'Отчет 20-26.10'!C:C,"Возвраты",'Отчет 20-26.10'!E:E,B3)</f>
        <v>0</v>
      </c>
      <c r="U3" s="49">
        <f t="shared" ref="U3:U22" si="4">S3+T3</f>
        <v>9592</v>
      </c>
      <c r="V3" s="52">
        <f t="shared" ref="V3:V22" si="5">U3/$U$49</f>
        <v>0.21675856458465154</v>
      </c>
      <c r="W3" s="53">
        <f t="shared" ref="W3:W22" si="6">R3*H3</f>
        <v>1143.8399999999999</v>
      </c>
      <c r="X3" s="51">
        <f>-SUMIFS('Отчет 20-26.10'!O:O,'Отчет 20-26.10'!C:C,"Вознаграждение Ozon",'Отчет 20-26.10'!E:E,B3)</f>
        <v>3261.2799999999997</v>
      </c>
      <c r="Y3" s="54">
        <f t="shared" ref="Y3:Y22" si="7">IF(U3=0,0,X3/U3)</f>
        <v>0.33999999999999997</v>
      </c>
      <c r="Z3" s="51">
        <f>-SUMIFS('Отчет 20-26.10'!O:O,'Отчет 20-26.10'!C:C,"Услуги доставки",'Отчет 20-26.10'!E:E,B3)</f>
        <v>1092</v>
      </c>
      <c r="AA3" s="41">
        <v>4615.862599</v>
      </c>
      <c r="AB3" s="51"/>
      <c r="AC3" s="51"/>
      <c r="AD3" s="55">
        <f t="shared" ref="AD3:AD22" si="8">U3*6%</f>
        <v>575.52</v>
      </c>
      <c r="AE3" s="56">
        <f t="shared" ref="AE3:AE22" si="9">U3-W3-X3-Z3-AA3-AB3-AC3-AD3</f>
        <v>-1096.5025989999999</v>
      </c>
      <c r="AF3" s="55"/>
      <c r="AG3" s="57">
        <f t="shared" ref="AG3:AG22" si="10">IF(R3=0,0,U3/R3)</f>
        <v>1199</v>
      </c>
      <c r="AH3" s="58">
        <f t="shared" ref="AH3:AH22" si="11">H3</f>
        <v>142.97999999999999</v>
      </c>
      <c r="AI3" s="58">
        <f t="shared" ref="AI3:AI22" si="12">IF(R3=0,0,X3/R3)</f>
        <v>407.65999999999997</v>
      </c>
      <c r="AJ3" s="58">
        <f t="shared" ref="AJ3:AJ22" si="13">IF(P3=0,Z3/1,Z3/P3)</f>
        <v>136.5</v>
      </c>
      <c r="AK3" s="58">
        <f t="shared" ref="AK3:AK22" si="14">IF(P3=0,0,AA3/P3)</f>
        <v>576.98282487500001</v>
      </c>
      <c r="AL3" s="58">
        <f>_xlfn.IFS(R3=0,AE3,R3&lt;0,AE3/-R3,R3&gt;0,AE3/R3)</f>
        <v>-137.06282487499999</v>
      </c>
      <c r="AM3" s="59">
        <f t="shared" ref="AM3:AM22" si="15">IF(AG3=0,0,AL3/AG3)</f>
        <v>-0.11431428263135945</v>
      </c>
      <c r="AN3" s="60">
        <f t="shared" ref="AN3:AN22" si="16">IF(AH3=0,0,AL3/AH3)</f>
        <v>-0.95861536491117638</v>
      </c>
      <c r="AP3" s="62">
        <f t="shared" ref="AP3:AP22" si="17">AL3*C3</f>
        <v>-44956.606559</v>
      </c>
    </row>
    <row r="4" spans="1:42">
      <c r="A4" s="39">
        <v>2638638550</v>
      </c>
      <c r="B4" s="40" t="s">
        <v>92</v>
      </c>
      <c r="C4" s="41">
        <v>388</v>
      </c>
      <c r="D4" s="42"/>
      <c r="E4" s="42"/>
      <c r="F4" s="42"/>
      <c r="G4" s="43"/>
      <c r="H4" s="44">
        <v>123.09</v>
      </c>
      <c r="I4" s="42">
        <f t="shared" si="0"/>
        <v>47758.92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</v>
      </c>
      <c r="P4" s="48">
        <f>SUMIFS('Отчет 20-26.10'!H:H,'Отчет 20-26.10'!D:D,"Выручка",'Отчет 20-26.10'!E:E,B4)</f>
        <v>0</v>
      </c>
      <c r="Q4" s="48">
        <f>SUMIFS('Отчет 20-26.10'!H:H,'Отчет 20-26.10'!D:D,"Возврат выручки",'Отчет 20-26.10'!E:E,B4)</f>
        <v>0</v>
      </c>
      <c r="R4" s="49">
        <f t="shared" si="3"/>
        <v>0</v>
      </c>
      <c r="S4" s="50">
        <f>SUMIFS('Отчет 20-26.10'!O:O,'Отчет 20-26.10'!C:C,"Продажи",'Отчет 20-26.10'!E:E,B4)</f>
        <v>0</v>
      </c>
      <c r="T4" s="51">
        <f>SUMIFS('Отчет 20-26.10'!O:O,'Отчет 20-26.10'!C:C,"Возвраты",'Отчет 20-26.10'!E:E,B4)</f>
        <v>0</v>
      </c>
      <c r="U4" s="49">
        <f t="shared" si="4"/>
        <v>0</v>
      </c>
      <c r="V4" s="52">
        <f t="shared" si="5"/>
        <v>0</v>
      </c>
      <c r="W4" s="53">
        <f t="shared" si="6"/>
        <v>0</v>
      </c>
      <c r="X4" s="51">
        <f>-SUMIFS('Отчет 20-26.10'!O:O,'Отчет 20-26.10'!C:C,"Вознаграждение Ozon",'Отчет 20-26.10'!E:E,B4)</f>
        <v>0</v>
      </c>
      <c r="Y4" s="54">
        <f t="shared" si="7"/>
        <v>0</v>
      </c>
      <c r="Z4" s="51">
        <f>-SUMIFS('Отчет 20-26.10'!O:O,'Отчет 20-26.10'!C:C,"Услуги доставки",'Отчет 20-26.10'!E:E,B4)</f>
        <v>0</v>
      </c>
      <c r="AA4" s="41">
        <v>0</v>
      </c>
      <c r="AB4" s="51"/>
      <c r="AC4" s="51"/>
      <c r="AD4" s="55">
        <f t="shared" si="8"/>
        <v>0</v>
      </c>
      <c r="AE4" s="56">
        <f t="shared" si="9"/>
        <v>0</v>
      </c>
      <c r="AF4" s="55"/>
      <c r="AG4" s="57">
        <f t="shared" si="10"/>
        <v>0</v>
      </c>
      <c r="AH4" s="58">
        <f t="shared" si="11"/>
        <v>123.09</v>
      </c>
      <c r="AI4" s="58">
        <f t="shared" si="12"/>
        <v>0</v>
      </c>
      <c r="AJ4" s="58">
        <f t="shared" si="13"/>
        <v>0</v>
      </c>
      <c r="AK4" s="58">
        <f t="shared" si="14"/>
        <v>0</v>
      </c>
      <c r="AL4" s="58">
        <f t="array" ref="AL4">_xlfn.IFS(R4=0,AE4,R4&lt;0,AE4/-R4,R4&gt;0,AE4/R4)</f>
        <v>0</v>
      </c>
      <c r="AM4" s="59">
        <f t="shared" si="15"/>
        <v>0</v>
      </c>
      <c r="AN4" s="60">
        <f t="shared" si="16"/>
        <v>0</v>
      </c>
      <c r="AP4" s="62">
        <f t="shared" si="17"/>
        <v>0</v>
      </c>
    </row>
    <row r="5" spans="1:42">
      <c r="A5" s="39">
        <v>2638691131</v>
      </c>
      <c r="B5" s="40" t="s">
        <v>222</v>
      </c>
      <c r="C5" s="41">
        <v>392</v>
      </c>
      <c r="D5" s="42"/>
      <c r="E5" s="42"/>
      <c r="F5" s="42"/>
      <c r="G5" s="43"/>
      <c r="H5" s="44">
        <v>123.09</v>
      </c>
      <c r="I5" s="63">
        <f t="shared" si="0"/>
        <v>48251.28</v>
      </c>
      <c r="J5" s="45"/>
      <c r="K5" s="41">
        <v>0</v>
      </c>
      <c r="L5" s="45"/>
      <c r="M5" s="45"/>
      <c r="N5" s="46">
        <f t="shared" si="1"/>
        <v>0</v>
      </c>
      <c r="O5" s="47">
        <f t="shared" si="2"/>
        <v>0</v>
      </c>
      <c r="P5" s="48">
        <f>SUMIFS('Отчет 20-26.10'!H:H,'Отчет 20-26.10'!D:D,"Выручка",'Отчет 20-26.10'!E:E,B5)</f>
        <v>0</v>
      </c>
      <c r="Q5" s="48">
        <f>SUMIFS('Отчет 20-26.10'!H:H,'Отчет 20-26.10'!D:D,"Возврат выручки",'Отчет 20-26.10'!E:E,B5)</f>
        <v>0</v>
      </c>
      <c r="R5" s="49">
        <f t="shared" si="3"/>
        <v>0</v>
      </c>
      <c r="S5" s="50">
        <f>SUMIFS('Отчет 20-26.10'!O:O,'Отчет 20-26.10'!C:C,"Продажи",'Отчет 20-26.10'!E:E,B5)</f>
        <v>0</v>
      </c>
      <c r="T5" s="51">
        <f>SUMIFS('Отчет 20-26.10'!O:O,'Отчет 20-26.10'!C:C,"Возвраты",'Отчет 20-26.10'!E:E,B5)</f>
        <v>0</v>
      </c>
      <c r="U5" s="49">
        <f t="shared" si="4"/>
        <v>0</v>
      </c>
      <c r="V5" s="52">
        <f t="shared" si="5"/>
        <v>0</v>
      </c>
      <c r="W5" s="53">
        <f t="shared" si="6"/>
        <v>0</v>
      </c>
      <c r="X5" s="51">
        <f>-SUMIFS('Отчет 20-26.10'!O:O,'Отчет 20-26.10'!C:C,"Вознаграждение Ozon",'Отчет 20-26.10'!E:E,B5)</f>
        <v>0</v>
      </c>
      <c r="Y5" s="54">
        <f t="shared" si="7"/>
        <v>0</v>
      </c>
      <c r="Z5" s="51">
        <f>-SUMIFS('Отчет 20-26.10'!O:O,'Отчет 20-26.10'!C:C,"Услуги доставки",'Отчет 20-26.10'!E:E,B5)</f>
        <v>0</v>
      </c>
      <c r="AA5" s="41">
        <v>0</v>
      </c>
      <c r="AB5" s="64"/>
      <c r="AC5" s="51"/>
      <c r="AD5" s="55">
        <f t="shared" si="8"/>
        <v>0</v>
      </c>
      <c r="AE5" s="56">
        <f t="shared" si="9"/>
        <v>0</v>
      </c>
      <c r="AF5" s="55"/>
      <c r="AG5" s="57">
        <f t="shared" si="10"/>
        <v>0</v>
      </c>
      <c r="AH5" s="58">
        <f t="shared" si="11"/>
        <v>123.09</v>
      </c>
      <c r="AI5" s="58">
        <f t="shared" si="12"/>
        <v>0</v>
      </c>
      <c r="AJ5" s="58">
        <f t="shared" si="13"/>
        <v>0</v>
      </c>
      <c r="AK5" s="58">
        <f t="shared" si="14"/>
        <v>0</v>
      </c>
      <c r="AL5" s="58">
        <f t="array" ref="AL5">_xlfn.IFS(R5=0,AE5,R5&lt;0,AE5/-R5,R5&gt;0,AE5/R5)</f>
        <v>0</v>
      </c>
      <c r="AM5" s="59">
        <f t="shared" si="15"/>
        <v>0</v>
      </c>
      <c r="AN5" s="60">
        <f t="shared" si="16"/>
        <v>0</v>
      </c>
      <c r="AP5" s="62">
        <f t="shared" si="17"/>
        <v>0</v>
      </c>
    </row>
    <row r="6" spans="1:42">
      <c r="A6" s="39">
        <v>2638382749</v>
      </c>
      <c r="B6" s="40" t="s">
        <v>223</v>
      </c>
      <c r="C6" s="41">
        <v>904</v>
      </c>
      <c r="D6" s="42"/>
      <c r="E6" s="42"/>
      <c r="F6" s="42"/>
      <c r="G6" s="43"/>
      <c r="H6" s="44">
        <v>123.09</v>
      </c>
      <c r="I6" s="63">
        <f t="shared" si="0"/>
        <v>111273.36</v>
      </c>
      <c r="J6" s="45"/>
      <c r="K6" s="41">
        <v>0</v>
      </c>
      <c r="L6" s="45"/>
      <c r="M6" s="45"/>
      <c r="N6" s="46">
        <f t="shared" si="1"/>
        <v>0</v>
      </c>
      <c r="O6" s="47">
        <f t="shared" si="2"/>
        <v>0</v>
      </c>
      <c r="P6" s="48">
        <f>SUMIFS('Отчет 20-26.10'!H:H,'Отчет 20-26.10'!D:D,"Выручка",'Отчет 20-26.10'!E:E,B6)</f>
        <v>0</v>
      </c>
      <c r="Q6" s="48">
        <f>SUMIFS('Отчет 20-26.10'!H:H,'Отчет 20-26.10'!D:D,"Возврат выручки",'Отчет 20-26.10'!E:E,B6)</f>
        <v>0</v>
      </c>
      <c r="R6" s="49">
        <f t="shared" si="3"/>
        <v>0</v>
      </c>
      <c r="S6" s="50">
        <f>SUMIFS('Отчет 20-26.10'!O:O,'Отчет 20-26.10'!C:C,"Продажи",'Отчет 20-26.10'!E:E,B6)</f>
        <v>0</v>
      </c>
      <c r="T6" s="51">
        <f>SUMIFS('Отчет 20-26.10'!O:O,'Отчет 20-26.10'!C:C,"Возвраты",'Отчет 20-26.10'!E:E,B6)</f>
        <v>0</v>
      </c>
      <c r="U6" s="49">
        <f t="shared" si="4"/>
        <v>0</v>
      </c>
      <c r="V6" s="52">
        <f t="shared" si="5"/>
        <v>0</v>
      </c>
      <c r="W6" s="53">
        <f t="shared" si="6"/>
        <v>0</v>
      </c>
      <c r="X6" s="51">
        <f>-SUMIFS('Отчет 20-26.10'!O:O,'Отчет 20-26.10'!C:C,"Вознаграждение Ozon",'Отчет 20-26.10'!E:E,B6)</f>
        <v>0</v>
      </c>
      <c r="Y6" s="54">
        <f t="shared" si="7"/>
        <v>0</v>
      </c>
      <c r="Z6" s="51">
        <f>-SUMIFS('Отчет 20-26.10'!O:O,'Отчет 20-26.10'!C:C,"Услуги доставки",'Отчет 20-26.10'!E:E,B6)</f>
        <v>92</v>
      </c>
      <c r="AA6" s="41">
        <v>0</v>
      </c>
      <c r="AB6" s="64"/>
      <c r="AC6" s="51"/>
      <c r="AD6" s="55">
        <f t="shared" si="8"/>
        <v>0</v>
      </c>
      <c r="AE6" s="56">
        <f t="shared" si="9"/>
        <v>-92</v>
      </c>
      <c r="AF6" s="55"/>
      <c r="AG6" s="57">
        <f t="shared" si="10"/>
        <v>0</v>
      </c>
      <c r="AH6" s="58">
        <f t="shared" si="11"/>
        <v>123.09</v>
      </c>
      <c r="AI6" s="58">
        <f t="shared" si="12"/>
        <v>0</v>
      </c>
      <c r="AJ6" s="58">
        <f t="shared" si="13"/>
        <v>92</v>
      </c>
      <c r="AK6" s="58">
        <f t="shared" si="14"/>
        <v>0</v>
      </c>
      <c r="AL6" s="58">
        <f t="array" ref="AL6">_xlfn.IFS(R6=0,AE6,R6&lt;0,AE6/-R6,R6&gt;0,AE6/R6)</f>
        <v>-92</v>
      </c>
      <c r="AM6" s="59">
        <f t="shared" si="15"/>
        <v>0</v>
      </c>
      <c r="AN6" s="60">
        <f t="shared" si="16"/>
        <v>-0.74742058656267774</v>
      </c>
      <c r="AP6" s="62">
        <f t="shared" si="17"/>
        <v>-83168</v>
      </c>
    </row>
    <row r="7" spans="1:42">
      <c r="A7" s="39">
        <v>2638569317</v>
      </c>
      <c r="B7" s="40" t="s">
        <v>54</v>
      </c>
      <c r="C7" s="41">
        <v>855</v>
      </c>
      <c r="D7" s="42"/>
      <c r="E7" s="42"/>
      <c r="F7" s="42"/>
      <c r="G7" s="43"/>
      <c r="H7" s="44">
        <v>117.24</v>
      </c>
      <c r="I7" s="63">
        <f t="shared" si="0"/>
        <v>100240.2</v>
      </c>
      <c r="J7" s="45"/>
      <c r="K7" s="41">
        <v>1</v>
      </c>
      <c r="L7" s="45"/>
      <c r="M7" s="45"/>
      <c r="N7" s="46">
        <f t="shared" si="1"/>
        <v>0.14285714285714285</v>
      </c>
      <c r="O7" s="47">
        <f t="shared" si="2"/>
        <v>0.14285714285714285</v>
      </c>
      <c r="P7" s="48">
        <f>SUMIFS('Отчет 20-26.10'!H:H,'Отчет 20-26.10'!D:D,"Выручка",'Отчет 20-26.10'!E:E,B7)</f>
        <v>1</v>
      </c>
      <c r="Q7" s="48">
        <f>SUMIFS('Отчет 20-26.10'!H:H,'Отчет 20-26.10'!D:D,"Возврат выручки",'Отчет 20-26.10'!E:E,B7)</f>
        <v>0</v>
      </c>
      <c r="R7" s="49">
        <f t="shared" si="3"/>
        <v>1</v>
      </c>
      <c r="S7" s="50">
        <f>SUMIFS('Отчет 20-26.10'!O:O,'Отчет 20-26.10'!C:C,"Продажи",'Отчет 20-26.10'!E:E,B7)</f>
        <v>1142</v>
      </c>
      <c r="T7" s="51">
        <f>SUMIFS('Отчет 20-26.10'!O:O,'Отчет 20-26.10'!C:C,"Возвраты",'Отчет 20-26.10'!E:E,B7)</f>
        <v>0</v>
      </c>
      <c r="U7" s="49">
        <f t="shared" si="4"/>
        <v>1142</v>
      </c>
      <c r="V7" s="52">
        <f t="shared" si="5"/>
        <v>2.5806743198047547E-2</v>
      </c>
      <c r="W7" s="53">
        <f t="shared" si="6"/>
        <v>117.24</v>
      </c>
      <c r="X7" s="51">
        <f>-SUMIFS('Отчет 20-26.10'!O:O,'Отчет 20-26.10'!C:C,"Вознаграждение Ozon",'Отчет 20-26.10'!E:E,B7)</f>
        <v>296.92</v>
      </c>
      <c r="Y7" s="54">
        <f t="shared" si="7"/>
        <v>0.26</v>
      </c>
      <c r="Z7" s="51">
        <f>-SUMIFS('Отчет 20-26.10'!O:O,'Отчет 20-26.10'!C:C,"Услуги доставки",'Отчет 20-26.10'!E:E,B7)</f>
        <v>46</v>
      </c>
      <c r="AA7" s="41">
        <v>0</v>
      </c>
      <c r="AB7" s="64"/>
      <c r="AC7" s="51"/>
      <c r="AD7" s="55">
        <f t="shared" si="8"/>
        <v>68.52</v>
      </c>
      <c r="AE7" s="56">
        <f t="shared" si="9"/>
        <v>613.31999999999994</v>
      </c>
      <c r="AF7" s="55"/>
      <c r="AG7" s="57">
        <f t="shared" si="10"/>
        <v>1142</v>
      </c>
      <c r="AH7" s="58">
        <f t="shared" si="11"/>
        <v>117.24</v>
      </c>
      <c r="AI7" s="58">
        <f t="shared" si="12"/>
        <v>296.92</v>
      </c>
      <c r="AJ7" s="58">
        <f t="shared" si="13"/>
        <v>46</v>
      </c>
      <c r="AK7" s="58">
        <f t="shared" si="14"/>
        <v>0</v>
      </c>
      <c r="AL7" s="58">
        <f t="array" ref="AL7">_xlfn.IFS(R7=0,AE7,R7&lt;0,AE7/-R7,R7&gt;0,AE7/R7)</f>
        <v>613.31999999999994</v>
      </c>
      <c r="AM7" s="59">
        <f t="shared" si="15"/>
        <v>0.53705779334500869</v>
      </c>
      <c r="AN7" s="60">
        <f t="shared" si="16"/>
        <v>5.2313203684749228</v>
      </c>
      <c r="AP7" s="62">
        <f t="shared" si="17"/>
        <v>524388.6</v>
      </c>
    </row>
    <row r="8" spans="1:42">
      <c r="A8" s="39">
        <v>2638291563</v>
      </c>
      <c r="B8" s="40" t="s">
        <v>88</v>
      </c>
      <c r="C8" s="41">
        <v>396</v>
      </c>
      <c r="D8" s="42"/>
      <c r="E8" s="42"/>
      <c r="F8" s="42"/>
      <c r="G8" s="43"/>
      <c r="H8" s="44">
        <v>169.89</v>
      </c>
      <c r="I8" s="63">
        <f t="shared" si="0"/>
        <v>67276.439999999988</v>
      </c>
      <c r="J8" s="45"/>
      <c r="K8" s="41">
        <v>1</v>
      </c>
      <c r="L8" s="45"/>
      <c r="M8" s="45"/>
      <c r="N8" s="46">
        <f t="shared" si="1"/>
        <v>0.14285714285714285</v>
      </c>
      <c r="O8" s="47">
        <f t="shared" si="2"/>
        <v>0</v>
      </c>
      <c r="P8" s="48">
        <f>SUMIFS('Отчет 20-26.10'!H:H,'Отчет 20-26.10'!D:D,"Выручка",'Отчет 20-26.10'!E:E,B8)</f>
        <v>0</v>
      </c>
      <c r="Q8" s="48">
        <f>SUMIFS('Отчет 20-26.10'!H:H,'Отчет 20-26.10'!D:D,"Возврат выручки",'Отчет 20-26.10'!E:E,B8)</f>
        <v>0</v>
      </c>
      <c r="R8" s="49">
        <f t="shared" si="3"/>
        <v>0</v>
      </c>
      <c r="S8" s="50">
        <f>SUMIFS('Отчет 20-26.10'!O:O,'Отчет 20-26.10'!C:C,"Продажи",'Отчет 20-26.10'!E:E,B8)</f>
        <v>0</v>
      </c>
      <c r="T8" s="51">
        <f>SUMIFS('Отчет 20-26.10'!O:O,'Отчет 20-26.10'!C:C,"Возвраты",'Отчет 20-26.10'!E:E,B8)</f>
        <v>0</v>
      </c>
      <c r="U8" s="49">
        <f t="shared" si="4"/>
        <v>0</v>
      </c>
      <c r="V8" s="52">
        <f t="shared" si="5"/>
        <v>0</v>
      </c>
      <c r="W8" s="53">
        <f t="shared" si="6"/>
        <v>0</v>
      </c>
      <c r="X8" s="51">
        <f>-SUMIFS('Отчет 20-26.10'!O:O,'Отчет 20-26.10'!C:C,"Вознаграждение Ozon",'Отчет 20-26.10'!E:E,B8)</f>
        <v>0</v>
      </c>
      <c r="Y8" s="54">
        <f t="shared" si="7"/>
        <v>0</v>
      </c>
      <c r="Z8" s="51">
        <f>-SUMIFS('Отчет 20-26.10'!O:O,'Отчет 20-26.10'!C:C,"Услуги доставки",'Отчет 20-26.10'!E:E,B8)</f>
        <v>0</v>
      </c>
      <c r="AA8" s="41">
        <v>0</v>
      </c>
      <c r="AB8" s="64"/>
      <c r="AC8" s="51"/>
      <c r="AD8" s="55">
        <f t="shared" si="8"/>
        <v>0</v>
      </c>
      <c r="AE8" s="56">
        <f t="shared" si="9"/>
        <v>0</v>
      </c>
      <c r="AF8" s="55"/>
      <c r="AG8" s="57">
        <f t="shared" si="10"/>
        <v>0</v>
      </c>
      <c r="AH8" s="58">
        <f t="shared" si="11"/>
        <v>169.89</v>
      </c>
      <c r="AI8" s="58">
        <f t="shared" si="12"/>
        <v>0</v>
      </c>
      <c r="AJ8" s="58">
        <f t="shared" si="13"/>
        <v>0</v>
      </c>
      <c r="AK8" s="58">
        <f t="shared" si="14"/>
        <v>0</v>
      </c>
      <c r="AL8" s="58">
        <f t="array" ref="AL8">_xlfn.IFS(R8=0,AE8,R8&lt;0,AE8/-R8,R8&gt;0,AE8/R8)</f>
        <v>0</v>
      </c>
      <c r="AM8" s="59">
        <f t="shared" si="15"/>
        <v>0</v>
      </c>
      <c r="AN8" s="60">
        <f t="shared" si="16"/>
        <v>0</v>
      </c>
      <c r="AP8" s="62">
        <f t="shared" si="17"/>
        <v>0</v>
      </c>
    </row>
    <row r="9" spans="1:42">
      <c r="A9" s="39">
        <v>2730130733</v>
      </c>
      <c r="B9" s="40" t="s">
        <v>224</v>
      </c>
      <c r="C9" s="41">
        <v>48</v>
      </c>
      <c r="D9" s="42"/>
      <c r="E9" s="42"/>
      <c r="F9" s="42"/>
      <c r="G9" s="43"/>
      <c r="H9" s="44">
        <v>169.89</v>
      </c>
      <c r="I9" s="63">
        <f t="shared" si="0"/>
        <v>8154.7199999999993</v>
      </c>
      <c r="J9" s="45"/>
      <c r="K9" s="41">
        <v>0</v>
      </c>
      <c r="L9" s="45"/>
      <c r="M9" s="45"/>
      <c r="N9" s="46">
        <f t="shared" si="1"/>
        <v>0</v>
      </c>
      <c r="O9" s="47">
        <f t="shared" si="2"/>
        <v>0</v>
      </c>
      <c r="P9" s="48">
        <f>SUMIFS('Отчет 20-26.10'!H:H,'Отчет 20-26.10'!D:D,"Выручка",'Отчет 20-26.10'!E:E,B9)</f>
        <v>0</v>
      </c>
      <c r="Q9" s="48">
        <f>SUMIFS('Отчет 20-26.10'!H:H,'Отчет 20-26.10'!D:D,"Возврат выручки",'Отчет 20-26.10'!E:E,B9)</f>
        <v>0</v>
      </c>
      <c r="R9" s="49">
        <f t="shared" si="3"/>
        <v>0</v>
      </c>
      <c r="S9" s="50">
        <f>SUMIFS('Отчет 20-26.10'!O:O,'Отчет 20-26.10'!C:C,"Продажи",'Отчет 20-26.10'!E:E,B9)</f>
        <v>0</v>
      </c>
      <c r="T9" s="51">
        <f>SUMIFS('Отчет 20-26.10'!O:O,'Отчет 20-26.10'!C:C,"Возвраты",'Отчет 20-26.10'!E:E,B9)</f>
        <v>0</v>
      </c>
      <c r="U9" s="49">
        <f t="shared" si="4"/>
        <v>0</v>
      </c>
      <c r="V9" s="52">
        <f t="shared" si="5"/>
        <v>0</v>
      </c>
      <c r="W9" s="53">
        <f t="shared" si="6"/>
        <v>0</v>
      </c>
      <c r="X9" s="51">
        <f>-SUMIFS('Отчет 20-26.10'!O:O,'Отчет 20-26.10'!C:C,"Вознаграждение Ozon",'Отчет 20-26.10'!E:E,B9)</f>
        <v>0</v>
      </c>
      <c r="Y9" s="54">
        <f t="shared" si="7"/>
        <v>0</v>
      </c>
      <c r="Z9" s="51">
        <f>-SUMIFS('Отчет 20-26.10'!O:O,'Отчет 20-26.10'!C:C,"Услуги доставки",'Отчет 20-26.10'!E:E,B9)</f>
        <v>0</v>
      </c>
      <c r="AA9" s="41">
        <v>0</v>
      </c>
      <c r="AB9" s="64"/>
      <c r="AC9" s="51"/>
      <c r="AD9" s="55">
        <f t="shared" si="8"/>
        <v>0</v>
      </c>
      <c r="AE9" s="56">
        <f t="shared" si="9"/>
        <v>0</v>
      </c>
      <c r="AF9" s="55"/>
      <c r="AG9" s="57">
        <f t="shared" si="10"/>
        <v>0</v>
      </c>
      <c r="AH9" s="58">
        <f t="shared" si="11"/>
        <v>169.89</v>
      </c>
      <c r="AI9" s="58">
        <f t="shared" si="12"/>
        <v>0</v>
      </c>
      <c r="AJ9" s="58">
        <f t="shared" si="13"/>
        <v>0</v>
      </c>
      <c r="AK9" s="58">
        <f t="shared" si="14"/>
        <v>0</v>
      </c>
      <c r="AL9" s="58">
        <f t="array" ref="AL9">_xlfn.IFS(R9=0,AE9,R9&lt;0,AE9/-R9,R9&gt;0,AE9/R9)</f>
        <v>0</v>
      </c>
      <c r="AM9" s="59">
        <f t="shared" si="15"/>
        <v>0</v>
      </c>
      <c r="AN9" s="60">
        <f t="shared" si="16"/>
        <v>0</v>
      </c>
      <c r="AP9" s="62">
        <f t="shared" si="17"/>
        <v>0</v>
      </c>
    </row>
    <row r="10" spans="1:42">
      <c r="A10" s="39">
        <v>2730131249</v>
      </c>
      <c r="B10" s="40" t="s">
        <v>225</v>
      </c>
      <c r="C10" s="41">
        <v>46</v>
      </c>
      <c r="D10" s="42"/>
      <c r="E10" s="42"/>
      <c r="F10" s="42"/>
      <c r="G10" s="43"/>
      <c r="H10" s="44">
        <v>169.89</v>
      </c>
      <c r="I10" s="63">
        <f t="shared" si="0"/>
        <v>7814.94</v>
      </c>
      <c r="J10" s="45"/>
      <c r="K10" s="41">
        <v>0</v>
      </c>
      <c r="L10" s="45"/>
      <c r="M10" s="45"/>
      <c r="N10" s="46">
        <f t="shared" si="1"/>
        <v>0</v>
      </c>
      <c r="O10" s="47">
        <f t="shared" si="2"/>
        <v>0</v>
      </c>
      <c r="P10" s="48">
        <f>SUMIFS('Отчет 20-26.10'!H:H,'Отчет 20-26.10'!D:D,"Выручка",'Отчет 20-26.10'!E:E,B10)</f>
        <v>0</v>
      </c>
      <c r="Q10" s="48">
        <f>SUMIFS('Отчет 20-26.10'!H:H,'Отчет 20-26.10'!D:D,"Возврат выручки",'Отчет 20-26.10'!E:E,B10)</f>
        <v>0</v>
      </c>
      <c r="R10" s="49">
        <f t="shared" si="3"/>
        <v>0</v>
      </c>
      <c r="S10" s="50">
        <f>SUMIFS('Отчет 20-26.10'!O:O,'Отчет 20-26.10'!C:C,"Продажи",'Отчет 20-26.10'!E:E,B10)</f>
        <v>0</v>
      </c>
      <c r="T10" s="51">
        <f>SUMIFS('Отчет 20-26.10'!O:O,'Отчет 20-26.10'!C:C,"Возвраты",'Отчет 20-26.10'!E:E,B10)</f>
        <v>0</v>
      </c>
      <c r="U10" s="49">
        <f t="shared" si="4"/>
        <v>0</v>
      </c>
      <c r="V10" s="52">
        <f t="shared" si="5"/>
        <v>0</v>
      </c>
      <c r="W10" s="53">
        <f t="shared" si="6"/>
        <v>0</v>
      </c>
      <c r="X10" s="51">
        <f>-SUMIFS('Отчет 20-26.10'!O:O,'Отчет 20-26.10'!C:C,"Вознаграждение Ozon",'Отчет 20-26.10'!E:E,B10)</f>
        <v>0</v>
      </c>
      <c r="Y10" s="54">
        <f t="shared" si="7"/>
        <v>0</v>
      </c>
      <c r="Z10" s="51">
        <f>-SUMIFS('Отчет 20-26.10'!O:O,'Отчет 20-26.10'!C:C,"Услуги доставки",'Отчет 20-26.10'!E:E,B10)</f>
        <v>0</v>
      </c>
      <c r="AA10" s="41">
        <v>0</v>
      </c>
      <c r="AB10" s="64"/>
      <c r="AC10" s="51"/>
      <c r="AD10" s="55">
        <f t="shared" si="8"/>
        <v>0</v>
      </c>
      <c r="AE10" s="56">
        <f t="shared" si="9"/>
        <v>0</v>
      </c>
      <c r="AF10" s="55"/>
      <c r="AG10" s="57">
        <f t="shared" si="10"/>
        <v>0</v>
      </c>
      <c r="AH10" s="58">
        <f t="shared" si="11"/>
        <v>169.89</v>
      </c>
      <c r="AI10" s="58">
        <f t="shared" si="12"/>
        <v>0</v>
      </c>
      <c r="AJ10" s="58">
        <f t="shared" si="13"/>
        <v>0</v>
      </c>
      <c r="AK10" s="58">
        <f t="shared" si="14"/>
        <v>0</v>
      </c>
      <c r="AL10" s="58">
        <f t="array" ref="AL10">_xlfn.IFS(R10=0,AE10,R10&lt;0,AE10/-R10,R10&gt;0,AE10/R10)</f>
        <v>0</v>
      </c>
      <c r="AM10" s="59">
        <f t="shared" si="15"/>
        <v>0</v>
      </c>
      <c r="AN10" s="60">
        <f t="shared" si="16"/>
        <v>0</v>
      </c>
      <c r="AP10" s="62">
        <f t="shared" si="17"/>
        <v>0</v>
      </c>
    </row>
    <row r="11" spans="1:42">
      <c r="A11" s="39">
        <v>2730130553</v>
      </c>
      <c r="B11" s="40" t="s">
        <v>226</v>
      </c>
      <c r="C11" s="41">
        <v>43</v>
      </c>
      <c r="D11" s="42"/>
      <c r="E11" s="42"/>
      <c r="F11" s="42"/>
      <c r="G11" s="43"/>
      <c r="H11" s="44">
        <v>169.89</v>
      </c>
      <c r="I11" s="63">
        <f t="shared" si="0"/>
        <v>7305.2699999999995</v>
      </c>
      <c r="J11" s="45"/>
      <c r="K11" s="41">
        <v>1</v>
      </c>
      <c r="L11" s="45"/>
      <c r="M11" s="45"/>
      <c r="N11" s="46">
        <f t="shared" si="1"/>
        <v>0.14285714285714285</v>
      </c>
      <c r="O11" s="47">
        <f t="shared" si="2"/>
        <v>0.2857142857142857</v>
      </c>
      <c r="P11" s="48">
        <f>SUMIFS('Отчет 20-26.10'!H:H,'Отчет 20-26.10'!D:D,"Выручка",'Отчет 20-26.10'!E:E,B11)</f>
        <v>2</v>
      </c>
      <c r="Q11" s="48">
        <f>SUMIFS('Отчет 20-26.10'!H:H,'Отчет 20-26.10'!D:D,"Возврат выручки",'Отчет 20-26.10'!E:E,B11)</f>
        <v>0</v>
      </c>
      <c r="R11" s="49">
        <f t="shared" si="3"/>
        <v>2</v>
      </c>
      <c r="S11" s="50">
        <f>SUMIFS('Отчет 20-26.10'!O:O,'Отчет 20-26.10'!C:C,"Продажи",'Отчет 20-26.10'!E:E,B11)</f>
        <v>2322</v>
      </c>
      <c r="T11" s="51">
        <f>SUMIFS('Отчет 20-26.10'!O:O,'Отчет 20-26.10'!C:C,"Возвраты",'Отчет 20-26.10'!E:E,B11)</f>
        <v>0</v>
      </c>
      <c r="U11" s="49">
        <f t="shared" si="4"/>
        <v>2322</v>
      </c>
      <c r="V11" s="52">
        <f t="shared" si="5"/>
        <v>5.2472204646117689E-2</v>
      </c>
      <c r="W11" s="53">
        <f t="shared" si="6"/>
        <v>339.78</v>
      </c>
      <c r="X11" s="51">
        <f>-SUMIFS('Отчет 20-26.10'!O:O,'Отчет 20-26.10'!C:C,"Вознаграждение Ozon",'Отчет 20-26.10'!E:E,B11)</f>
        <v>789.48</v>
      </c>
      <c r="Y11" s="54">
        <f t="shared" si="7"/>
        <v>0.34</v>
      </c>
      <c r="Z11" s="51">
        <f>-SUMIFS('Отчет 20-26.10'!O:O,'Отчет 20-26.10'!C:C,"Услуги доставки",'Отчет 20-26.10'!E:E,B11)</f>
        <v>92</v>
      </c>
      <c r="AA11" s="41">
        <v>104.49</v>
      </c>
      <c r="AB11" s="64"/>
      <c r="AC11" s="51"/>
      <c r="AD11" s="55">
        <f t="shared" si="8"/>
        <v>139.32</v>
      </c>
      <c r="AE11" s="56">
        <f t="shared" si="9"/>
        <v>856.93000000000006</v>
      </c>
      <c r="AF11" s="55"/>
      <c r="AG11" s="57">
        <f t="shared" si="10"/>
        <v>1161</v>
      </c>
      <c r="AH11" s="58">
        <f t="shared" si="11"/>
        <v>169.89</v>
      </c>
      <c r="AI11" s="58">
        <f t="shared" si="12"/>
        <v>394.74</v>
      </c>
      <c r="AJ11" s="58">
        <f t="shared" si="13"/>
        <v>46</v>
      </c>
      <c r="AK11" s="58">
        <f t="shared" si="14"/>
        <v>52.244999999999997</v>
      </c>
      <c r="AL11" s="58">
        <f t="array" ref="AL11">_xlfn.IFS(R11=0,AE11,R11&lt;0,AE11/-R11,R11&gt;0,AE11/R11)</f>
        <v>428.46500000000003</v>
      </c>
      <c r="AM11" s="59">
        <f t="shared" si="15"/>
        <v>0.36904823428079248</v>
      </c>
      <c r="AN11" s="60">
        <f t="shared" si="16"/>
        <v>2.5220142445111549</v>
      </c>
      <c r="AP11" s="62">
        <f t="shared" si="17"/>
        <v>18423.995000000003</v>
      </c>
    </row>
    <row r="12" spans="1:42" ht="13.75" customHeight="1">
      <c r="A12" s="39">
        <v>2730129638</v>
      </c>
      <c r="B12" s="40" t="s">
        <v>227</v>
      </c>
      <c r="C12" s="41">
        <v>15</v>
      </c>
      <c r="D12" s="42"/>
      <c r="E12" s="42"/>
      <c r="F12" s="42"/>
      <c r="G12" s="43"/>
      <c r="H12" s="44">
        <v>169.89</v>
      </c>
      <c r="I12" s="63">
        <f t="shared" si="0"/>
        <v>2548.35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20-26.10'!H:H,'Отчет 20-26.10'!D:D,"Выручка",'Отчет 20-26.10'!E:E,B12)</f>
        <v>0</v>
      </c>
      <c r="Q12" s="48">
        <f>SUMIFS('Отчет 20-26.10'!H:H,'Отчет 20-26.10'!D:D,"Возврат выручки",'Отчет 20-26.10'!E:E,B12)</f>
        <v>0</v>
      </c>
      <c r="R12" s="49">
        <f t="shared" si="3"/>
        <v>0</v>
      </c>
      <c r="S12" s="50">
        <f>SUMIFS('Отчет 20-26.10'!O:O,'Отчет 20-26.10'!C:C,"Продажи",'Отчет 20-26.10'!E:E,B12)</f>
        <v>0</v>
      </c>
      <c r="T12" s="51">
        <f>SUMIFS('Отчет 20-26.10'!O:O,'Отчет 20-26.10'!C:C,"Возвраты",'Отчет 20-26.10'!E:E,B12)</f>
        <v>0</v>
      </c>
      <c r="U12" s="49">
        <f t="shared" si="4"/>
        <v>0</v>
      </c>
      <c r="V12" s="52">
        <f t="shared" si="5"/>
        <v>0</v>
      </c>
      <c r="W12" s="53">
        <f t="shared" si="6"/>
        <v>0</v>
      </c>
      <c r="X12" s="51">
        <f>-SUMIFS('Отчет 20-26.10'!O:O,'Отчет 20-26.10'!C:C,"Вознаграждение Ozon",'Отчет 20-26.10'!E:E,B12)</f>
        <v>0</v>
      </c>
      <c r="Y12" s="54">
        <f t="shared" si="7"/>
        <v>0</v>
      </c>
      <c r="Z12" s="51">
        <f>-SUMIFS('Отчет 20-26.10'!O:O,'Отчет 20-26.10'!C:C,"Услуги доставки",'Отчет 20-26.10'!E:E,B12)</f>
        <v>92</v>
      </c>
      <c r="AA12" s="41">
        <v>392.98055599999998</v>
      </c>
      <c r="AB12" s="64"/>
      <c r="AC12" s="51"/>
      <c r="AD12" s="55">
        <f t="shared" si="8"/>
        <v>0</v>
      </c>
      <c r="AE12" s="56">
        <f t="shared" si="9"/>
        <v>-484.98055599999998</v>
      </c>
      <c r="AF12" s="55"/>
      <c r="AG12" s="57">
        <f t="shared" si="10"/>
        <v>0</v>
      </c>
      <c r="AH12" s="58">
        <f t="shared" si="11"/>
        <v>169.89</v>
      </c>
      <c r="AI12" s="58">
        <f t="shared" si="12"/>
        <v>0</v>
      </c>
      <c r="AJ12" s="58">
        <f t="shared" si="13"/>
        <v>92</v>
      </c>
      <c r="AK12" s="58">
        <f t="shared" si="14"/>
        <v>0</v>
      </c>
      <c r="AL12" s="58">
        <f t="array" ref="AL12">_xlfn.IFS(R12=0,AE12,R12&lt;0,AE12/-R12,R12&gt;0,AE12/R12)</f>
        <v>-484.98055599999998</v>
      </c>
      <c r="AM12" s="59">
        <f t="shared" si="15"/>
        <v>0</v>
      </c>
      <c r="AN12" s="60">
        <f t="shared" si="16"/>
        <v>-2.8546739419624463</v>
      </c>
      <c r="AP12" s="62">
        <f t="shared" si="17"/>
        <v>-7274.7083399999992</v>
      </c>
    </row>
    <row r="13" spans="1:42" ht="13.75" customHeight="1">
      <c r="A13" s="39">
        <v>2730130141</v>
      </c>
      <c r="B13" s="40" t="s">
        <v>228</v>
      </c>
      <c r="C13" s="41">
        <v>45</v>
      </c>
      <c r="D13" s="42"/>
      <c r="E13" s="42"/>
      <c r="F13" s="42"/>
      <c r="G13" s="43"/>
      <c r="H13" s="44">
        <v>169.89</v>
      </c>
      <c r="I13" s="63">
        <f t="shared" si="0"/>
        <v>7645.0499999999993</v>
      </c>
      <c r="J13" s="45"/>
      <c r="K13" s="41">
        <v>0</v>
      </c>
      <c r="L13" s="45"/>
      <c r="M13" s="45"/>
      <c r="N13" s="46">
        <f t="shared" si="1"/>
        <v>0</v>
      </c>
      <c r="O13" s="47">
        <f t="shared" si="2"/>
        <v>0</v>
      </c>
      <c r="P13" s="48">
        <f>SUMIFS('Отчет 20-26.10'!H:H,'Отчет 20-26.10'!D:D,"Выручка",'Отчет 20-26.10'!E:E,B13)</f>
        <v>0</v>
      </c>
      <c r="Q13" s="48">
        <f>SUMIFS('Отчет 20-26.10'!H:H,'Отчет 20-26.10'!D:D,"Возврат выручки",'Отчет 20-26.10'!E:E,B13)</f>
        <v>0</v>
      </c>
      <c r="R13" s="49">
        <f t="shared" si="3"/>
        <v>0</v>
      </c>
      <c r="S13" s="50">
        <f>SUMIFS('Отчет 20-26.10'!O:O,'Отчет 20-26.10'!C:C,"Продажи",'Отчет 20-26.10'!E:E,B13)</f>
        <v>0</v>
      </c>
      <c r="T13" s="51">
        <f>SUMIFS('Отчет 20-26.10'!O:O,'Отчет 20-26.10'!C:C,"Возвраты",'Отчет 20-26.10'!E:E,B13)</f>
        <v>0</v>
      </c>
      <c r="U13" s="49">
        <f t="shared" si="4"/>
        <v>0</v>
      </c>
      <c r="V13" s="52">
        <f t="shared" si="5"/>
        <v>0</v>
      </c>
      <c r="W13" s="53">
        <f t="shared" si="6"/>
        <v>0</v>
      </c>
      <c r="X13" s="51">
        <f>-SUMIFS('Отчет 20-26.10'!O:O,'Отчет 20-26.10'!C:C,"Вознаграждение Ozon",'Отчет 20-26.10'!E:E,B13)</f>
        <v>0</v>
      </c>
      <c r="Y13" s="54">
        <f t="shared" si="7"/>
        <v>0</v>
      </c>
      <c r="Z13" s="51">
        <f>-SUMIFS('Отчет 20-26.10'!O:O,'Отчет 20-26.10'!C:C,"Услуги доставки",'Отчет 20-26.10'!E:E,B13)</f>
        <v>0</v>
      </c>
      <c r="AA13" s="41">
        <v>0</v>
      </c>
      <c r="AB13" s="64"/>
      <c r="AC13" s="51"/>
      <c r="AD13" s="55">
        <f t="shared" si="8"/>
        <v>0</v>
      </c>
      <c r="AE13" s="56">
        <f t="shared" si="9"/>
        <v>0</v>
      </c>
      <c r="AF13" s="55"/>
      <c r="AG13" s="57">
        <f t="shared" si="10"/>
        <v>0</v>
      </c>
      <c r="AH13" s="58">
        <f t="shared" si="11"/>
        <v>169.89</v>
      </c>
      <c r="AI13" s="58">
        <f t="shared" si="12"/>
        <v>0</v>
      </c>
      <c r="AJ13" s="58">
        <f t="shared" si="13"/>
        <v>0</v>
      </c>
      <c r="AK13" s="58">
        <f t="shared" si="14"/>
        <v>0</v>
      </c>
      <c r="AL13" s="58">
        <f t="array" ref="AL13">_xlfn.IFS(R13=0,AE13,R13&lt;0,AE13/-R13,R13&gt;0,AE13/R13)</f>
        <v>0</v>
      </c>
      <c r="AM13" s="59">
        <f t="shared" si="15"/>
        <v>0</v>
      </c>
      <c r="AN13" s="60">
        <f t="shared" si="16"/>
        <v>0</v>
      </c>
      <c r="AP13" s="62">
        <f t="shared" si="17"/>
        <v>0</v>
      </c>
    </row>
    <row r="14" spans="1:42" ht="13.75" customHeight="1">
      <c r="A14" s="39">
        <v>2730129805</v>
      </c>
      <c r="B14" s="40" t="s">
        <v>19</v>
      </c>
      <c r="C14" s="41">
        <v>28</v>
      </c>
      <c r="D14" s="42"/>
      <c r="E14" s="42"/>
      <c r="F14" s="42"/>
      <c r="G14" s="43"/>
      <c r="H14" s="44">
        <v>169.89</v>
      </c>
      <c r="I14" s="63">
        <f t="shared" si="0"/>
        <v>4756.92</v>
      </c>
      <c r="J14" s="45"/>
      <c r="K14" s="41">
        <v>0</v>
      </c>
      <c r="L14" s="45"/>
      <c r="M14" s="45"/>
      <c r="N14" s="46">
        <f t="shared" si="1"/>
        <v>0</v>
      </c>
      <c r="O14" s="47">
        <f t="shared" si="2"/>
        <v>0.14285714285714285</v>
      </c>
      <c r="P14" s="48">
        <f>SUMIFS('Отчет 20-26.10'!H:H,'Отчет 20-26.10'!D:D,"Выручка",'Отчет 20-26.10'!E:E,B14)</f>
        <v>1</v>
      </c>
      <c r="Q14" s="48">
        <f>SUMIFS('Отчет 20-26.10'!H:H,'Отчет 20-26.10'!D:D,"Возврат выручки",'Отчет 20-26.10'!E:E,B14)</f>
        <v>0</v>
      </c>
      <c r="R14" s="49">
        <f t="shared" si="3"/>
        <v>1</v>
      </c>
      <c r="S14" s="50">
        <f>SUMIFS('Отчет 20-26.10'!O:O,'Отчет 20-26.10'!C:C,"Продажи",'Отчет 20-26.10'!E:E,B14)</f>
        <v>1325</v>
      </c>
      <c r="T14" s="51">
        <f>SUMIFS('Отчет 20-26.10'!O:O,'Отчет 20-26.10'!C:C,"Возвраты",'Отчет 20-26.10'!E:E,B14)</f>
        <v>0</v>
      </c>
      <c r="U14" s="49">
        <f t="shared" si="4"/>
        <v>1325</v>
      </c>
      <c r="V14" s="52">
        <f t="shared" si="5"/>
        <v>2.99421495073669E-2</v>
      </c>
      <c r="W14" s="53">
        <f t="shared" si="6"/>
        <v>169.89</v>
      </c>
      <c r="X14" s="51">
        <f>-SUMIFS('Отчет 20-26.10'!O:O,'Отчет 20-26.10'!C:C,"Вознаграждение Ozon",'Отчет 20-26.10'!E:E,B14)</f>
        <v>450.5</v>
      </c>
      <c r="Y14" s="54">
        <f t="shared" si="7"/>
        <v>0.34</v>
      </c>
      <c r="Z14" s="51">
        <f>-SUMIFS('Отчет 20-26.10'!O:O,'Отчет 20-26.10'!C:C,"Услуги доставки",'Отчет 20-26.10'!E:E,B14)</f>
        <v>598</v>
      </c>
      <c r="AA14" s="41">
        <v>3011.8449639999999</v>
      </c>
      <c r="AB14" s="64"/>
      <c r="AC14" s="51"/>
      <c r="AD14" s="55">
        <f t="shared" si="8"/>
        <v>79.5</v>
      </c>
      <c r="AE14" s="56">
        <f t="shared" si="9"/>
        <v>-2984.7349639999998</v>
      </c>
      <c r="AF14" s="55"/>
      <c r="AG14" s="57">
        <f t="shared" si="10"/>
        <v>1325</v>
      </c>
      <c r="AH14" s="58">
        <f t="shared" si="11"/>
        <v>169.89</v>
      </c>
      <c r="AI14" s="58">
        <f t="shared" si="12"/>
        <v>450.5</v>
      </c>
      <c r="AJ14" s="58">
        <f t="shared" si="13"/>
        <v>598</v>
      </c>
      <c r="AK14" s="58">
        <f t="shared" si="14"/>
        <v>3011.8449639999999</v>
      </c>
      <c r="AL14" s="58">
        <f t="array" ref="AL14">_xlfn.IFS(R14=0,AE14,R14&lt;0,AE14/-R14,R14&gt;0,AE14/R14)</f>
        <v>-2984.7349639999998</v>
      </c>
      <c r="AM14" s="59">
        <f t="shared" si="15"/>
        <v>-2.2526301615094337</v>
      </c>
      <c r="AN14" s="60">
        <f t="shared" si="16"/>
        <v>-17.568632432750604</v>
      </c>
      <c r="AP14" s="62">
        <f t="shared" si="17"/>
        <v>-83572.578991999995</v>
      </c>
    </row>
    <row r="15" spans="1:42" ht="13.75" customHeight="1">
      <c r="A15" s="39">
        <v>2807226201</v>
      </c>
      <c r="B15" s="40" t="s">
        <v>229</v>
      </c>
      <c r="C15" s="41">
        <v>2</v>
      </c>
      <c r="D15" s="42"/>
      <c r="E15" s="42"/>
      <c r="F15" s="42"/>
      <c r="G15" s="43"/>
      <c r="H15" s="44">
        <v>1002.82</v>
      </c>
      <c r="I15" s="63">
        <f t="shared" si="0"/>
        <v>2005.64</v>
      </c>
      <c r="J15" s="45"/>
      <c r="K15" s="41">
        <v>0</v>
      </c>
      <c r="L15" s="45"/>
      <c r="M15" s="45"/>
      <c r="N15" s="46">
        <f t="shared" si="1"/>
        <v>0</v>
      </c>
      <c r="O15" s="47">
        <f t="shared" si="2"/>
        <v>0</v>
      </c>
      <c r="P15" s="48">
        <f>SUMIFS('Отчет 20-26.10'!H:H,'Отчет 20-26.10'!D:D,"Выручка",'Отчет 20-26.10'!E:E,B15)</f>
        <v>0</v>
      </c>
      <c r="Q15" s="48">
        <f>SUMIFS('Отчет 20-26.10'!H:H,'Отчет 20-26.10'!D:D,"Возврат выручки",'Отчет 20-26.10'!E:E,B15)</f>
        <v>0</v>
      </c>
      <c r="R15" s="49">
        <f t="shared" si="3"/>
        <v>0</v>
      </c>
      <c r="S15" s="50">
        <f>SUMIFS('Отчет 20-26.10'!O:O,'Отчет 20-26.10'!C:C,"Продажи",'Отчет 20-26.10'!E:E,B15)</f>
        <v>0</v>
      </c>
      <c r="T15" s="51">
        <f>SUMIFS('Отчет 20-26.10'!O:O,'Отчет 20-26.10'!C:C,"Возвраты",'Отчет 20-26.10'!E:E,B15)</f>
        <v>0</v>
      </c>
      <c r="U15" s="49">
        <f t="shared" si="4"/>
        <v>0</v>
      </c>
      <c r="V15" s="52">
        <f t="shared" si="5"/>
        <v>0</v>
      </c>
      <c r="W15" s="53">
        <f t="shared" si="6"/>
        <v>0</v>
      </c>
      <c r="X15" s="51">
        <f>-SUMIFS('Отчет 20-26.10'!O:O,'Отчет 20-26.10'!C:C,"Вознаграждение Ozon",'Отчет 20-26.10'!E:E,B15)</f>
        <v>0</v>
      </c>
      <c r="Y15" s="54">
        <f t="shared" si="7"/>
        <v>0</v>
      </c>
      <c r="Z15" s="51">
        <f>-SUMIFS('Отчет 20-26.10'!O:O,'Отчет 20-26.10'!C:C,"Услуги доставки",'Отчет 20-26.10'!E:E,B15)</f>
        <v>0</v>
      </c>
      <c r="AA15" s="41">
        <v>0</v>
      </c>
      <c r="AB15" s="64"/>
      <c r="AC15" s="51"/>
      <c r="AD15" s="55">
        <f t="shared" si="8"/>
        <v>0</v>
      </c>
      <c r="AE15" s="56">
        <f t="shared" si="9"/>
        <v>0</v>
      </c>
      <c r="AF15" s="55"/>
      <c r="AG15" s="57">
        <f t="shared" si="10"/>
        <v>0</v>
      </c>
      <c r="AH15" s="58">
        <f t="shared" si="11"/>
        <v>1002.82</v>
      </c>
      <c r="AI15" s="58">
        <f t="shared" si="12"/>
        <v>0</v>
      </c>
      <c r="AJ15" s="58">
        <f t="shared" si="13"/>
        <v>0</v>
      </c>
      <c r="AK15" s="58">
        <f t="shared" si="14"/>
        <v>0</v>
      </c>
      <c r="AL15" s="58">
        <f t="array" ref="AL15">_xlfn.IFS(R15=0,AE15,R15&lt;0,AE15/-R15,R15&gt;0,AE15/R15)</f>
        <v>0</v>
      </c>
      <c r="AM15" s="59">
        <f t="shared" si="15"/>
        <v>0</v>
      </c>
      <c r="AN15" s="60">
        <f t="shared" si="16"/>
        <v>0</v>
      </c>
      <c r="AP15" s="62">
        <f t="shared" si="17"/>
        <v>0</v>
      </c>
    </row>
    <row r="16" spans="1:42" ht="13.75" customHeight="1">
      <c r="A16" s="39">
        <v>2807226228</v>
      </c>
      <c r="B16" s="40" t="s">
        <v>230</v>
      </c>
      <c r="C16" s="41">
        <v>1</v>
      </c>
      <c r="D16" s="42"/>
      <c r="E16" s="42"/>
      <c r="F16" s="42"/>
      <c r="G16" s="43"/>
      <c r="H16" s="44">
        <v>909.22</v>
      </c>
      <c r="I16" s="63">
        <f t="shared" si="0"/>
        <v>909.22</v>
      </c>
      <c r="J16" s="45"/>
      <c r="K16" s="41">
        <v>0</v>
      </c>
      <c r="L16" s="45"/>
      <c r="M16" s="45"/>
      <c r="N16" s="46">
        <f t="shared" si="1"/>
        <v>0</v>
      </c>
      <c r="O16" s="47">
        <f t="shared" si="2"/>
        <v>0</v>
      </c>
      <c r="P16" s="48">
        <f>SUMIFS('Отчет 20-26.10'!H:H,'Отчет 20-26.10'!D:D,"Выручка",'Отчет 20-26.10'!E:E,B16)</f>
        <v>0</v>
      </c>
      <c r="Q16" s="48">
        <f>SUMIFS('Отчет 20-26.10'!H:H,'Отчет 20-26.10'!D:D,"Возврат выручки",'Отчет 20-26.10'!E:E,B16)</f>
        <v>0</v>
      </c>
      <c r="R16" s="49">
        <f t="shared" si="3"/>
        <v>0</v>
      </c>
      <c r="S16" s="50">
        <f>SUMIFS('Отчет 20-26.10'!O:O,'Отчет 20-26.10'!C:C,"Продажи",'Отчет 20-26.10'!E:E,B16)</f>
        <v>0</v>
      </c>
      <c r="T16" s="51">
        <f>SUMIFS('Отчет 20-26.10'!O:O,'Отчет 20-26.10'!C:C,"Возвраты",'Отчет 20-26.10'!E:E,B16)</f>
        <v>0</v>
      </c>
      <c r="U16" s="49">
        <f t="shared" si="4"/>
        <v>0</v>
      </c>
      <c r="V16" s="52">
        <f t="shared" si="5"/>
        <v>0</v>
      </c>
      <c r="W16" s="53">
        <f t="shared" si="6"/>
        <v>0</v>
      </c>
      <c r="X16" s="51">
        <f>-SUMIFS('Отчет 20-26.10'!O:O,'Отчет 20-26.10'!C:C,"Вознаграждение Ozon",'Отчет 20-26.10'!E:E,B16)</f>
        <v>0</v>
      </c>
      <c r="Y16" s="54">
        <f t="shared" si="7"/>
        <v>0</v>
      </c>
      <c r="Z16" s="51">
        <f>-SUMIFS('Отчет 20-26.10'!O:O,'Отчет 20-26.10'!C:C,"Услуги доставки",'Отчет 20-26.10'!E:E,B16)</f>
        <v>0</v>
      </c>
      <c r="AA16" s="41">
        <v>0</v>
      </c>
      <c r="AB16" s="64"/>
      <c r="AC16" s="51"/>
      <c r="AD16" s="55">
        <f t="shared" si="8"/>
        <v>0</v>
      </c>
      <c r="AE16" s="56">
        <f t="shared" si="9"/>
        <v>0</v>
      </c>
      <c r="AF16" s="55"/>
      <c r="AG16" s="57">
        <f t="shared" si="10"/>
        <v>0</v>
      </c>
      <c r="AH16" s="58">
        <f t="shared" si="11"/>
        <v>909.22</v>
      </c>
      <c r="AI16" s="58">
        <f t="shared" si="12"/>
        <v>0</v>
      </c>
      <c r="AJ16" s="58">
        <f t="shared" si="13"/>
        <v>0</v>
      </c>
      <c r="AK16" s="58">
        <f t="shared" si="14"/>
        <v>0</v>
      </c>
      <c r="AL16" s="58">
        <f t="array" ref="AL16">_xlfn.IFS(R16=0,AE16,R16&lt;0,AE16/-R16,R16&gt;0,AE16/R16)</f>
        <v>0</v>
      </c>
      <c r="AM16" s="59">
        <f t="shared" si="15"/>
        <v>0</v>
      </c>
      <c r="AN16" s="60">
        <f t="shared" si="16"/>
        <v>0</v>
      </c>
      <c r="AP16" s="62">
        <f t="shared" si="17"/>
        <v>0</v>
      </c>
    </row>
    <row r="17" spans="1:52" ht="13.75" customHeight="1">
      <c r="A17" s="39">
        <v>2807226016</v>
      </c>
      <c r="B17" s="40" t="s">
        <v>231</v>
      </c>
      <c r="C17" s="41">
        <v>1</v>
      </c>
      <c r="D17" s="42"/>
      <c r="E17" s="42"/>
      <c r="F17" s="42"/>
      <c r="G17" s="43"/>
      <c r="H17" s="44">
        <v>909.22</v>
      </c>
      <c r="I17" s="63">
        <f t="shared" si="0"/>
        <v>909.22</v>
      </c>
      <c r="J17" s="45"/>
      <c r="K17" s="41">
        <v>0</v>
      </c>
      <c r="L17" s="45"/>
      <c r="M17" s="45"/>
      <c r="N17" s="46">
        <f t="shared" si="1"/>
        <v>0</v>
      </c>
      <c r="O17" s="47">
        <f t="shared" si="2"/>
        <v>0.14285714285714285</v>
      </c>
      <c r="P17" s="48">
        <f>SUMIFS('Отчет 20-26.10'!H:H,'Отчет 20-26.10'!D:D,"Выручка",'Отчет 20-26.10'!E:E,B17)</f>
        <v>1</v>
      </c>
      <c r="Q17" s="48">
        <f>SUMIFS('Отчет 20-26.10'!H:H,'Отчет 20-26.10'!D:D,"Возврат выручки",'Отчет 20-26.10'!E:E,B17)</f>
        <v>0</v>
      </c>
      <c r="R17" s="49">
        <f t="shared" si="3"/>
        <v>1</v>
      </c>
      <c r="S17" s="50">
        <f>SUMIFS('Отчет 20-26.10'!O:O,'Отчет 20-26.10'!C:C,"Продажи",'Отчет 20-26.10'!E:E,B17)</f>
        <v>3395</v>
      </c>
      <c r="T17" s="51">
        <f>SUMIFS('Отчет 20-26.10'!O:O,'Отчет 20-26.10'!C:C,"Возвраты",'Отчет 20-26.10'!E:E,B17)</f>
        <v>0</v>
      </c>
      <c r="U17" s="49">
        <f t="shared" si="4"/>
        <v>3395</v>
      </c>
      <c r="V17" s="52">
        <f t="shared" si="5"/>
        <v>7.671969628491368E-2</v>
      </c>
      <c r="W17" s="53">
        <f t="shared" si="6"/>
        <v>909.22</v>
      </c>
      <c r="X17" s="51">
        <f>-SUMIFS('Отчет 20-26.10'!O:O,'Отчет 20-26.10'!C:C,"Вознаграждение Ozon",'Отчет 20-26.10'!E:E,B17)</f>
        <v>1154.3</v>
      </c>
      <c r="Y17" s="54">
        <f t="shared" si="7"/>
        <v>0.33999999999999997</v>
      </c>
      <c r="Z17" s="51">
        <f>-SUMIFS('Отчет 20-26.10'!O:O,'Отчет 20-26.10'!C:C,"Услуги доставки",'Отчет 20-26.10'!E:E,B17)</f>
        <v>56</v>
      </c>
      <c r="AA17" s="41">
        <v>0</v>
      </c>
      <c r="AB17" s="64"/>
      <c r="AC17" s="51"/>
      <c r="AD17" s="55">
        <f t="shared" si="8"/>
        <v>203.7</v>
      </c>
      <c r="AE17" s="56">
        <f t="shared" si="9"/>
        <v>1071.7799999999997</v>
      </c>
      <c r="AF17" s="55"/>
      <c r="AG17" s="57">
        <f t="shared" si="10"/>
        <v>3395</v>
      </c>
      <c r="AH17" s="58">
        <f t="shared" si="11"/>
        <v>909.22</v>
      </c>
      <c r="AI17" s="58">
        <f t="shared" si="12"/>
        <v>1154.3</v>
      </c>
      <c r="AJ17" s="58">
        <f t="shared" si="13"/>
        <v>56</v>
      </c>
      <c r="AK17" s="58">
        <f t="shared" si="14"/>
        <v>0</v>
      </c>
      <c r="AL17" s="58">
        <f t="array" ref="AL17">_xlfn.IFS(R17=0,AE17,R17&lt;0,AE17/-R17,R17&gt;0,AE17/R17)</f>
        <v>1071.7799999999997</v>
      </c>
      <c r="AM17" s="59">
        <f t="shared" si="15"/>
        <v>0.31569366715758462</v>
      </c>
      <c r="AN17" s="60">
        <f t="shared" si="16"/>
        <v>1.1787906117331335</v>
      </c>
      <c r="AP17" s="62">
        <f t="shared" si="17"/>
        <v>1071.7799999999997</v>
      </c>
    </row>
    <row r="18" spans="1:52" ht="13.75" customHeight="1">
      <c r="A18" s="39">
        <v>2807226072</v>
      </c>
      <c r="B18" s="40" t="s">
        <v>111</v>
      </c>
      <c r="C18" s="41">
        <v>2</v>
      </c>
      <c r="D18" s="42"/>
      <c r="E18" s="42"/>
      <c r="F18" s="42"/>
      <c r="G18" s="43"/>
      <c r="H18" s="44">
        <v>932.62</v>
      </c>
      <c r="I18" s="63">
        <f t="shared" si="0"/>
        <v>1865.24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20-26.10'!H:H,'Отчет 20-26.10'!D:D,"Выручка",'Отчет 20-26.10'!E:E,B18)</f>
        <v>0</v>
      </c>
      <c r="Q18" s="48">
        <f>SUMIFS('Отчет 20-26.10'!H:H,'Отчет 20-26.10'!D:D,"Возврат выручки",'Отчет 20-26.10'!E:E,B18)</f>
        <v>0</v>
      </c>
      <c r="R18" s="49">
        <f t="shared" si="3"/>
        <v>0</v>
      </c>
      <c r="S18" s="50">
        <f>SUMIFS('Отчет 20-26.10'!O:O,'Отчет 20-26.10'!C:C,"Продажи",'Отчет 20-26.10'!E:E,B18)</f>
        <v>0</v>
      </c>
      <c r="T18" s="51">
        <f>SUMIFS('Отчет 20-26.10'!O:O,'Отчет 20-26.10'!C:C,"Возвраты",'Отчет 20-26.10'!E:E,B18)</f>
        <v>0</v>
      </c>
      <c r="U18" s="49">
        <f t="shared" si="4"/>
        <v>0</v>
      </c>
      <c r="V18" s="52">
        <f t="shared" si="5"/>
        <v>0</v>
      </c>
      <c r="W18" s="53">
        <f t="shared" si="6"/>
        <v>0</v>
      </c>
      <c r="X18" s="51">
        <f>-SUMIFS('Отчет 20-26.10'!O:O,'Отчет 20-26.10'!C:C,"Вознаграждение Ozon",'Отчет 20-26.10'!E:E,B18)</f>
        <v>0</v>
      </c>
      <c r="Y18" s="54">
        <f t="shared" si="7"/>
        <v>0</v>
      </c>
      <c r="Z18" s="51">
        <f>-SUMIFS('Отчет 20-26.10'!O:O,'Отчет 20-26.10'!C:C,"Услуги доставки",'Отчет 20-26.10'!E:E,B18)</f>
        <v>0</v>
      </c>
      <c r="AA18" s="41">
        <v>0</v>
      </c>
      <c r="AB18" s="64"/>
      <c r="AC18" s="51"/>
      <c r="AD18" s="55">
        <f t="shared" si="8"/>
        <v>0</v>
      </c>
      <c r="AE18" s="56">
        <f t="shared" si="9"/>
        <v>0</v>
      </c>
      <c r="AF18" s="55"/>
      <c r="AG18" s="57">
        <f t="shared" si="10"/>
        <v>0</v>
      </c>
      <c r="AH18" s="58">
        <f t="shared" si="11"/>
        <v>932.62</v>
      </c>
      <c r="AI18" s="58">
        <f t="shared" si="12"/>
        <v>0</v>
      </c>
      <c r="AJ18" s="58">
        <f t="shared" si="13"/>
        <v>0</v>
      </c>
      <c r="AK18" s="58">
        <f t="shared" si="14"/>
        <v>0</v>
      </c>
      <c r="AL18" s="58">
        <f t="array" ref="AL18">_xlfn.IFS(R18=0,AE18,R18&lt;0,AE18/-R18,R18&gt;0,AE18/R18)</f>
        <v>0</v>
      </c>
      <c r="AM18" s="59">
        <f t="shared" si="15"/>
        <v>0</v>
      </c>
      <c r="AN18" s="60">
        <f t="shared" si="16"/>
        <v>0</v>
      </c>
      <c r="AP18" s="62">
        <f t="shared" si="17"/>
        <v>0</v>
      </c>
    </row>
    <row r="19" spans="1:52" ht="13.75" customHeight="1">
      <c r="A19" s="39">
        <v>2807226223</v>
      </c>
      <c r="B19" s="40" t="s">
        <v>232</v>
      </c>
      <c r="C19" s="41">
        <v>0</v>
      </c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</v>
      </c>
      <c r="P19" s="48">
        <f>SUMIFS('Отчет 20-26.10'!H:H,'Отчет 20-26.10'!D:D,"Выручка",'Отчет 20-26.10'!E:E,B19)</f>
        <v>0</v>
      </c>
      <c r="Q19" s="48">
        <f>SUMIFS('Отчет 20-26.10'!H:H,'Отчет 20-26.10'!D:D,"Возврат выручки",'Отчет 20-26.10'!E:E,B19)</f>
        <v>0</v>
      </c>
      <c r="R19" s="49">
        <f t="shared" si="3"/>
        <v>0</v>
      </c>
      <c r="S19" s="50">
        <f>SUMIFS('Отчет 20-26.10'!O:O,'Отчет 20-26.10'!C:C,"Продажи",'Отчет 20-26.10'!E:E,B19)</f>
        <v>0</v>
      </c>
      <c r="T19" s="51">
        <f>SUMIFS('Отчет 20-26.10'!O:O,'Отчет 20-26.10'!C:C,"Возвраты",'Отчет 20-26.10'!E:E,B19)</f>
        <v>0</v>
      </c>
      <c r="U19" s="49">
        <f t="shared" si="4"/>
        <v>0</v>
      </c>
      <c r="V19" s="52">
        <f t="shared" si="5"/>
        <v>0</v>
      </c>
      <c r="W19" s="53">
        <f t="shared" si="6"/>
        <v>0</v>
      </c>
      <c r="X19" s="51">
        <f>-SUMIFS('Отчет 20-26.10'!O:O,'Отчет 20-26.10'!C:C,"Вознаграждение Ozon",'Отчет 20-26.10'!E:E,B19)</f>
        <v>0</v>
      </c>
      <c r="Y19" s="54">
        <f t="shared" si="7"/>
        <v>0</v>
      </c>
      <c r="Z19" s="51">
        <f>-SUMIFS('Отчет 20-26.10'!O:O,'Отчет 20-26.10'!C:C,"Услуги доставки",'Отчет 20-26.10'!E:E,B19)</f>
        <v>0</v>
      </c>
      <c r="AA19" s="41">
        <v>0</v>
      </c>
      <c r="AB19" s="64"/>
      <c r="AC19" s="51"/>
      <c r="AD19" s="55">
        <f t="shared" si="8"/>
        <v>0</v>
      </c>
      <c r="AE19" s="56">
        <f t="shared" si="9"/>
        <v>0</v>
      </c>
      <c r="AF19" s="55"/>
      <c r="AG19" s="57">
        <f t="shared" si="10"/>
        <v>0</v>
      </c>
      <c r="AH19" s="58">
        <f t="shared" si="11"/>
        <v>1014.52</v>
      </c>
      <c r="AI19" s="58">
        <f t="shared" si="12"/>
        <v>0</v>
      </c>
      <c r="AJ19" s="58">
        <f t="shared" si="13"/>
        <v>0</v>
      </c>
      <c r="AK19" s="58">
        <f t="shared" si="14"/>
        <v>0</v>
      </c>
      <c r="AL19" s="58">
        <f t="array" ref="AL19">_xlfn.IFS(R19=0,AE19,R19&lt;0,AE19/-R19,R19&gt;0,AE19/R19)</f>
        <v>0</v>
      </c>
      <c r="AM19" s="59">
        <f t="shared" si="15"/>
        <v>0</v>
      </c>
      <c r="AN19" s="60">
        <f t="shared" si="16"/>
        <v>0</v>
      </c>
      <c r="AP19" s="62">
        <f t="shared" si="17"/>
        <v>0</v>
      </c>
    </row>
    <row r="20" spans="1:52" ht="13.75" customHeight="1">
      <c r="A20" s="39">
        <v>2807226341</v>
      </c>
      <c r="B20" s="40" t="s">
        <v>136</v>
      </c>
      <c r="C20" s="41">
        <v>1</v>
      </c>
      <c r="D20" s="42"/>
      <c r="E20" s="42"/>
      <c r="F20" s="42"/>
      <c r="G20" s="43"/>
      <c r="H20" s="44">
        <v>1014.52</v>
      </c>
      <c r="I20" s="63">
        <f t="shared" si="0"/>
        <v>1014.52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20-26.10'!H:H,'Отчет 20-26.10'!D:D,"Выручка",'Отчет 20-26.10'!E:E,B20)</f>
        <v>0</v>
      </c>
      <c r="Q20" s="48">
        <f>SUMIFS('Отчет 20-26.10'!H:H,'Отчет 20-26.10'!D:D,"Возврат выручки",'Отчет 20-26.10'!E:E,B20)</f>
        <v>0</v>
      </c>
      <c r="R20" s="49">
        <f t="shared" si="3"/>
        <v>0</v>
      </c>
      <c r="S20" s="50">
        <f>SUMIFS('Отчет 20-26.10'!O:O,'Отчет 20-26.10'!C:C,"Продажи",'Отчет 20-26.10'!E:E,B20)</f>
        <v>0</v>
      </c>
      <c r="T20" s="51">
        <f>SUMIFS('Отчет 20-26.10'!O:O,'Отчет 20-26.10'!C:C,"Возвраты",'Отчет 20-26.10'!E:E,B20)</f>
        <v>0</v>
      </c>
      <c r="U20" s="49">
        <f t="shared" si="4"/>
        <v>0</v>
      </c>
      <c r="V20" s="52">
        <f t="shared" si="5"/>
        <v>0</v>
      </c>
      <c r="W20" s="53">
        <f t="shared" si="6"/>
        <v>0</v>
      </c>
      <c r="X20" s="51">
        <f>-SUMIFS('Отчет 20-26.10'!O:O,'Отчет 20-26.10'!C:C,"Вознаграждение Ozon",'Отчет 20-26.10'!E:E,B20)</f>
        <v>0</v>
      </c>
      <c r="Y20" s="54">
        <f t="shared" si="7"/>
        <v>0</v>
      </c>
      <c r="Z20" s="51">
        <f>-SUMIFS('Отчет 20-26.10'!O:O,'Отчет 20-26.10'!C:C,"Услуги доставки",'Отчет 20-26.10'!E:E,B20)</f>
        <v>164</v>
      </c>
      <c r="AA20" s="41">
        <v>0</v>
      </c>
      <c r="AB20" s="64"/>
      <c r="AC20" s="51"/>
      <c r="AD20" s="55">
        <f t="shared" si="8"/>
        <v>0</v>
      </c>
      <c r="AE20" s="56">
        <f t="shared" si="9"/>
        <v>-164</v>
      </c>
      <c r="AF20" s="55"/>
      <c r="AG20" s="57">
        <f t="shared" si="10"/>
        <v>0</v>
      </c>
      <c r="AH20" s="58">
        <f t="shared" si="11"/>
        <v>1014.52</v>
      </c>
      <c r="AI20" s="58">
        <f t="shared" si="12"/>
        <v>0</v>
      </c>
      <c r="AJ20" s="58">
        <f t="shared" si="13"/>
        <v>164</v>
      </c>
      <c r="AK20" s="58">
        <f t="shared" si="14"/>
        <v>0</v>
      </c>
      <c r="AL20" s="58">
        <f t="array" ref="AL20">_xlfn.IFS(R20=0,AE20,R20&lt;0,AE20/-R20,R20&gt;0,AE20/R20)</f>
        <v>-164</v>
      </c>
      <c r="AM20" s="59">
        <f t="shared" si="15"/>
        <v>0</v>
      </c>
      <c r="AN20" s="60">
        <f t="shared" si="16"/>
        <v>-0.16165280132476442</v>
      </c>
      <c r="AP20" s="62">
        <f t="shared" si="17"/>
        <v>-164</v>
      </c>
    </row>
    <row r="21" spans="1:52" ht="13.75" customHeight="1">
      <c r="A21" s="39">
        <v>2807226351</v>
      </c>
      <c r="B21" s="40" t="s">
        <v>233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20-26.10'!H:H,'Отчет 20-26.10'!D:D,"Выручка",'Отчет 20-26.10'!E:E,B21)</f>
        <v>0</v>
      </c>
      <c r="Q21" s="48">
        <f>SUMIFS('Отчет 20-26.10'!H:H,'Отчет 20-26.10'!D:D,"Возврат выручки",'Отчет 20-26.10'!E:E,B21)</f>
        <v>0</v>
      </c>
      <c r="R21" s="49">
        <f t="shared" si="3"/>
        <v>0</v>
      </c>
      <c r="S21" s="50">
        <f>SUMIFS('Отчет 20-26.10'!O:O,'Отчет 20-26.10'!C:C,"Продажи",'Отчет 20-26.10'!E:E,B21)</f>
        <v>0</v>
      </c>
      <c r="T21" s="51">
        <f>SUMIFS('Отчет 20-26.10'!O:O,'Отчет 20-26.10'!C:C,"Возвраты",'Отчет 20-26.10'!E:E,B21)</f>
        <v>0</v>
      </c>
      <c r="U21" s="49">
        <f t="shared" si="4"/>
        <v>0</v>
      </c>
      <c r="V21" s="52">
        <f t="shared" si="5"/>
        <v>0</v>
      </c>
      <c r="W21" s="53">
        <f t="shared" si="6"/>
        <v>0</v>
      </c>
      <c r="X21" s="51">
        <f>-SUMIFS('Отчет 20-26.10'!O:O,'Отчет 20-26.10'!C:C,"Вознаграждение Ozon",'Отчет 20-26.10'!E:E,B21)</f>
        <v>0</v>
      </c>
      <c r="Y21" s="54">
        <f t="shared" si="7"/>
        <v>0</v>
      </c>
      <c r="Z21" s="51">
        <f>-SUMIFS('Отчет 20-26.10'!O:O,'Отчет 20-26.10'!C:C,"Услуги доставки",'Отчет 20-26.10'!E:E,B21)</f>
        <v>0</v>
      </c>
      <c r="AA21" s="41">
        <v>0</v>
      </c>
      <c r="AB21" s="64"/>
      <c r="AC21" s="51"/>
      <c r="AD21" s="55">
        <f t="shared" si="8"/>
        <v>0</v>
      </c>
      <c r="AE21" s="56">
        <f t="shared" si="9"/>
        <v>0</v>
      </c>
      <c r="AF21" s="55"/>
      <c r="AG21" s="57">
        <f t="shared" si="10"/>
        <v>0</v>
      </c>
      <c r="AH21" s="58">
        <f t="shared" si="11"/>
        <v>1014.52</v>
      </c>
      <c r="AI21" s="58">
        <f t="shared" si="12"/>
        <v>0</v>
      </c>
      <c r="AJ21" s="58">
        <f t="shared" si="13"/>
        <v>0</v>
      </c>
      <c r="AK21" s="58">
        <f t="shared" si="14"/>
        <v>0</v>
      </c>
      <c r="AL21" s="58">
        <f t="array" ref="AL21">_xlfn.IFS(R21=0,AE21,R21&lt;0,AE21/-R21,R21&gt;0,AE21/R21)</f>
        <v>0</v>
      </c>
      <c r="AM21" s="59">
        <f t="shared" si="15"/>
        <v>0</v>
      </c>
      <c r="AN21" s="60">
        <f t="shared" si="16"/>
        <v>0</v>
      </c>
      <c r="AP21" s="62">
        <f t="shared" si="17"/>
        <v>0</v>
      </c>
    </row>
    <row r="22" spans="1:52" ht="13.75" customHeight="1">
      <c r="A22" s="39">
        <v>2807226146</v>
      </c>
      <c r="B22" s="40" t="s">
        <v>234</v>
      </c>
      <c r="C22" s="41">
        <v>0</v>
      </c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20-26.10'!H:H,'Отчет 20-26.10'!D:D,"Выручка",'Отчет 20-26.10'!E:E,B22)</f>
        <v>0</v>
      </c>
      <c r="Q22" s="48">
        <f>SUMIFS('Отчет 20-26.10'!H:H,'Отчет 20-26.10'!D:D,"Возврат выручки",'Отчет 20-26.10'!E:E,B22)</f>
        <v>0</v>
      </c>
      <c r="R22" s="49">
        <f t="shared" si="3"/>
        <v>0</v>
      </c>
      <c r="S22" s="50">
        <f>SUMIFS('Отчет 20-26.10'!O:O,'Отчет 20-26.10'!C:C,"Продажи",'Отчет 20-26.10'!E:E,B22)</f>
        <v>0</v>
      </c>
      <c r="T22" s="51">
        <f>SUMIFS('Отчет 20-26.10'!O:O,'Отчет 20-26.10'!C:C,"Возвраты",'Отчет 20-26.10'!E:E,B22)</f>
        <v>0</v>
      </c>
      <c r="U22" s="49">
        <f t="shared" si="4"/>
        <v>0</v>
      </c>
      <c r="V22" s="52">
        <f t="shared" si="5"/>
        <v>0</v>
      </c>
      <c r="W22" s="53">
        <f t="shared" si="6"/>
        <v>0</v>
      </c>
      <c r="X22" s="51">
        <f>-SUMIFS('Отчет 20-26.10'!O:O,'Отчет 20-26.10'!C:C,"Вознаграждение Ozon",'Отчет 20-26.10'!E:E,B22)</f>
        <v>0</v>
      </c>
      <c r="Y22" s="54">
        <f t="shared" si="7"/>
        <v>0</v>
      </c>
      <c r="Z22" s="51">
        <f>-SUMIFS('Отчет 20-26.10'!O:O,'Отчет 20-26.10'!C:C,"Услуги доставки",'Отчет 20-26.10'!E:E,B22)</f>
        <v>0</v>
      </c>
      <c r="AA22" s="41">
        <v>0</v>
      </c>
      <c r="AB22" s="64"/>
      <c r="AC22" s="51"/>
      <c r="AD22" s="55">
        <f t="shared" si="8"/>
        <v>0</v>
      </c>
      <c r="AE22" s="56">
        <f t="shared" si="9"/>
        <v>0</v>
      </c>
      <c r="AF22" s="55"/>
      <c r="AG22" s="57">
        <f t="shared" si="10"/>
        <v>0</v>
      </c>
      <c r="AH22" s="58">
        <f t="shared" si="11"/>
        <v>991.12</v>
      </c>
      <c r="AI22" s="58">
        <f t="shared" si="12"/>
        <v>0</v>
      </c>
      <c r="AJ22" s="58">
        <f t="shared" si="13"/>
        <v>0</v>
      </c>
      <c r="AK22" s="58">
        <f t="shared" si="14"/>
        <v>0</v>
      </c>
      <c r="AL22" s="58">
        <f t="array" ref="AL22">_xlfn.IFS(R22=0,AE22,R22&lt;0,AE22/-R22,R22&gt;0,AE22/R22)</f>
        <v>0</v>
      </c>
      <c r="AM22" s="59">
        <f t="shared" si="15"/>
        <v>0</v>
      </c>
      <c r="AN22" s="60">
        <f t="shared" si="16"/>
        <v>0</v>
      </c>
      <c r="AP22" s="62">
        <f t="shared" si="17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1644.4</v>
      </c>
      <c r="AH23" s="247">
        <f t="shared" si="18"/>
        <v>480.36400000000003</v>
      </c>
      <c r="AI23" s="247">
        <f t="shared" si="18"/>
        <v>540.82399999999996</v>
      </c>
      <c r="AJ23" s="247">
        <f t="shared" si="18"/>
        <v>153.8125</v>
      </c>
      <c r="AK23" s="247">
        <f t="shared" si="18"/>
        <v>1213.6909296249999</v>
      </c>
      <c r="AL23" s="247">
        <f t="shared" si="18"/>
        <v>-218.65166810937501</v>
      </c>
      <c r="AM23" s="249">
        <f t="shared" si="18"/>
        <v>-0.22902894987148148</v>
      </c>
      <c r="AN23" s="249">
        <f t="shared" si="18"/>
        <v>-1.6698587378490575</v>
      </c>
      <c r="AO23" s="240"/>
      <c r="AP23" s="241"/>
    </row>
    <row r="24" spans="1:52">
      <c r="A24" s="216" t="s">
        <v>305</v>
      </c>
      <c r="B24" s="209"/>
      <c r="C24" s="217">
        <f>SUM(C3:C22)</f>
        <v>3495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466626.72999999992</v>
      </c>
      <c r="J24" s="212"/>
      <c r="K24" s="217">
        <f>SUM(K3:K22)</f>
        <v>20</v>
      </c>
      <c r="L24" s="212"/>
      <c r="M24" s="212"/>
      <c r="N24" s="213"/>
      <c r="O24" s="214"/>
      <c r="P24" s="217">
        <f>SUM(P3:P22)</f>
        <v>13</v>
      </c>
      <c r="Q24" s="217">
        <f t="shared" ref="Q24:AE24" si="19">SUM(Q3:Q22)</f>
        <v>0</v>
      </c>
      <c r="R24" s="217">
        <f t="shared" si="19"/>
        <v>13</v>
      </c>
      <c r="S24" s="237">
        <f>SUM(S3:S22)</f>
        <v>17776</v>
      </c>
      <c r="T24" s="217">
        <f t="shared" si="19"/>
        <v>0</v>
      </c>
      <c r="U24" s="217">
        <f t="shared" si="19"/>
        <v>17776</v>
      </c>
      <c r="V24" s="256">
        <f t="shared" si="19"/>
        <v>0.40169935822109737</v>
      </c>
      <c r="W24" s="217">
        <f t="shared" si="19"/>
        <v>2679.9700000000003</v>
      </c>
      <c r="X24" s="217">
        <f t="shared" si="19"/>
        <v>5952.4800000000005</v>
      </c>
      <c r="Y24" s="215">
        <f>IF(U24=0,0,X24/U24)</f>
        <v>0.33486048604860491</v>
      </c>
      <c r="Z24" s="217">
        <f t="shared" si="19"/>
        <v>2232</v>
      </c>
      <c r="AA24" s="217">
        <f>IFERROR(P24*AA49/P49,0)</f>
        <v>12301.788571428571</v>
      </c>
      <c r="AB24" s="217">
        <f t="shared" si="19"/>
        <v>0</v>
      </c>
      <c r="AC24" s="217">
        <f t="shared" si="19"/>
        <v>0</v>
      </c>
      <c r="AD24" s="238">
        <f t="shared" si="19"/>
        <v>1066.56</v>
      </c>
      <c r="AE24" s="239">
        <f t="shared" si="19"/>
        <v>-2280.1881189999999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324748.48110900004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8125.1781190000002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>
        <v>17</v>
      </c>
      <c r="D26" s="42"/>
      <c r="E26" s="42"/>
      <c r="F26" s="42"/>
      <c r="G26" s="43"/>
      <c r="H26" s="65">
        <v>672</v>
      </c>
      <c r="I26" s="63">
        <f t="shared" ref="I26:I45" si="20">C26*H26</f>
        <v>11424</v>
      </c>
      <c r="J26" s="45"/>
      <c r="K26" s="41"/>
      <c r="L26" s="45"/>
      <c r="M26" s="45"/>
      <c r="N26" s="46">
        <f t="shared" ref="N26:N45" si="21">K26/7</f>
        <v>0</v>
      </c>
      <c r="O26" s="47">
        <f t="shared" ref="O26:O45" si="22">R26/7</f>
        <v>0</v>
      </c>
      <c r="P26" s="48">
        <f>SUMIFS('Отчет 20-26.10'!H:H,'Отчет 20-26.10'!D:D,"Выручка",'Отчет 20-26.10'!E:E,B26)</f>
        <v>0</v>
      </c>
      <c r="Q26" s="48">
        <f>SUMIFS('Отчет 20-26.10'!H:H,'Отчет 20-26.10'!D:D,"Возврат выручки",'Отчет 20-26.10'!E:E,B26)</f>
        <v>0</v>
      </c>
      <c r="R26" s="49">
        <f t="shared" ref="R26:R45" si="23">P26+Q26</f>
        <v>0</v>
      </c>
      <c r="S26" s="50">
        <f>SUMIFS('Отчет 20-26.10'!O:O,'Отчет 20-26.10'!C:C,"Продажи",'Отчет 20-26.10'!E:E,B26)</f>
        <v>0</v>
      </c>
      <c r="T26" s="51">
        <f>SUMIFS('Отчет 20-26.10'!O:O,'Отчет 20-26.10'!C:C,"Возвраты",'Отчет 20-26.10'!E:E,B26)</f>
        <v>0</v>
      </c>
      <c r="U26" s="49">
        <f t="shared" ref="U26:U45" si="24">S26+T26</f>
        <v>0</v>
      </c>
      <c r="V26" s="52">
        <f t="shared" ref="V26:V45" si="25">U26/$U$49</f>
        <v>0</v>
      </c>
      <c r="W26" s="53">
        <f t="shared" ref="W26:W45" si="26">R26*H26</f>
        <v>0</v>
      </c>
      <c r="X26" s="51">
        <f>-SUMIFS('Отчет 20-26.10'!O:O,'Отчет 20-26.10'!C:C,"Вознаграждение Ozon",'Отчет 20-26.10'!E:E,B26)</f>
        <v>0</v>
      </c>
      <c r="Y26" s="54">
        <f t="shared" ref="Y26:Y45" si="27">IF(U26=0,0,X26/U26)</f>
        <v>0</v>
      </c>
      <c r="Z26" s="51">
        <f>-SUMIFS('Отчет 20-26.10'!O:O,'Отчет 20-26.10'!C:C,"Услуги доставки",'Отчет 20-26.10'!E:E,B26)</f>
        <v>168</v>
      </c>
      <c r="AA26" s="41">
        <v>1441.8170620000001</v>
      </c>
      <c r="AB26" s="64"/>
      <c r="AC26" s="51"/>
      <c r="AD26" s="55">
        <f t="shared" ref="AD26:AD45" si="28">U26*6%</f>
        <v>0</v>
      </c>
      <c r="AE26" s="56">
        <f t="shared" ref="AE26:AE45" si="29">U26-W26-X26-Z26-AA26-AB26-AC26-AD26</f>
        <v>-1609.8170620000001</v>
      </c>
      <c r="AF26" s="55"/>
      <c r="AG26" s="57">
        <f t="shared" ref="AG26:AG45" si="30">IF(R26=0,0,U26/R26)</f>
        <v>0</v>
      </c>
      <c r="AH26" s="58">
        <f t="shared" ref="AH26:AH45" si="31">H26</f>
        <v>672</v>
      </c>
      <c r="AI26" s="58">
        <f t="shared" ref="AI26:AI45" si="32">IF(R26=0,0,X26/R26)</f>
        <v>0</v>
      </c>
      <c r="AJ26" s="58">
        <f t="shared" ref="AJ26:AJ45" si="33">IF(P26=0,Z26/1,Z26/P26)</f>
        <v>168</v>
      </c>
      <c r="AK26" s="58">
        <f t="shared" ref="AK26:AK45" si="34">IF(P26=0,0,AA26/P26)</f>
        <v>0</v>
      </c>
      <c r="AL26" s="58">
        <f t="array" ref="AL26">_xlfn.IFS(R26=0,AE26,R26&lt;0,AE26/-R26,R26&gt;0,AE26/R26)</f>
        <v>-1609.8170620000001</v>
      </c>
      <c r="AM26" s="59">
        <f t="shared" ref="AM26:AM45" si="35">IF(AG26=0,0,AL26/AG26)</f>
        <v>0</v>
      </c>
      <c r="AN26" s="60">
        <f t="shared" ref="AN26:AN45" si="36">IF(AH26=0,0,AL26/AH26)</f>
        <v>-2.3955611041666667</v>
      </c>
      <c r="AP26" s="62">
        <f t="shared" ref="AP26:AP45" si="37">AL26*C26</f>
        <v>-27366.890054000003</v>
      </c>
    </row>
    <row r="27" spans="1:52">
      <c r="A27" s="39">
        <v>2774708622</v>
      </c>
      <c r="B27" s="40" t="s">
        <v>43</v>
      </c>
      <c r="C27" s="41">
        <v>18</v>
      </c>
      <c r="D27" s="42"/>
      <c r="E27" s="42"/>
      <c r="F27" s="42"/>
      <c r="G27" s="43"/>
      <c r="H27" s="65">
        <v>627</v>
      </c>
      <c r="I27" s="63">
        <f t="shared" si="20"/>
        <v>11286</v>
      </c>
      <c r="J27" s="45"/>
      <c r="K27" s="41"/>
      <c r="L27" s="45"/>
      <c r="M27" s="45"/>
      <c r="N27" s="46">
        <f t="shared" si="21"/>
        <v>0</v>
      </c>
      <c r="O27" s="47">
        <f t="shared" si="22"/>
        <v>0</v>
      </c>
      <c r="P27" s="48">
        <f>SUMIFS('Отчет 20-26.10'!H:H,'Отчет 20-26.10'!D:D,"Выручка",'Отчет 20-26.10'!E:E,B27)</f>
        <v>0</v>
      </c>
      <c r="Q27" s="48">
        <f>SUMIFS('Отчет 20-26.10'!H:H,'Отчет 20-26.10'!D:D,"Возврат выручки",'Отчет 20-26.10'!E:E,B27)</f>
        <v>0</v>
      </c>
      <c r="R27" s="49">
        <f t="shared" si="23"/>
        <v>0</v>
      </c>
      <c r="S27" s="50">
        <f>SUMIFS('Отчет 20-26.10'!O:O,'Отчет 20-26.10'!C:C,"Продажи",'Отчет 20-26.10'!E:E,B27)</f>
        <v>0</v>
      </c>
      <c r="T27" s="51">
        <f>SUMIFS('Отчет 20-26.10'!O:O,'Отчет 20-26.10'!C:C,"Возвраты",'Отчет 20-26.10'!E:E,B27)</f>
        <v>0</v>
      </c>
      <c r="U27" s="49">
        <f t="shared" si="24"/>
        <v>0</v>
      </c>
      <c r="V27" s="52">
        <f t="shared" si="25"/>
        <v>0</v>
      </c>
      <c r="W27" s="53">
        <f t="shared" si="26"/>
        <v>0</v>
      </c>
      <c r="X27" s="51">
        <f>-SUMIFS('Отчет 20-26.10'!O:O,'Отчет 20-26.10'!C:C,"Вознаграждение Ozon",'Отчет 20-26.10'!E:E,B27)</f>
        <v>0</v>
      </c>
      <c r="Y27" s="54">
        <f t="shared" si="27"/>
        <v>0</v>
      </c>
      <c r="Z27" s="51">
        <f>-SUMIFS('Отчет 20-26.10'!O:O,'Отчет 20-26.10'!C:C,"Услуги доставки",'Отчет 20-26.10'!E:E,B27)</f>
        <v>112</v>
      </c>
      <c r="AA27" s="41">
        <v>0</v>
      </c>
      <c r="AB27" s="64"/>
      <c r="AC27" s="51"/>
      <c r="AD27" s="55">
        <f t="shared" si="28"/>
        <v>0</v>
      </c>
      <c r="AE27" s="56">
        <f t="shared" si="29"/>
        <v>-112</v>
      </c>
      <c r="AF27" s="55"/>
      <c r="AG27" s="57">
        <f t="shared" si="30"/>
        <v>0</v>
      </c>
      <c r="AH27" s="58">
        <f t="shared" si="31"/>
        <v>627</v>
      </c>
      <c r="AI27" s="58">
        <f t="shared" si="32"/>
        <v>0</v>
      </c>
      <c r="AJ27" s="58">
        <f t="shared" si="33"/>
        <v>112</v>
      </c>
      <c r="AK27" s="58">
        <f t="shared" si="34"/>
        <v>0</v>
      </c>
      <c r="AL27" s="58">
        <f t="array" ref="AL27">_xlfn.IFS(R27=0,AE27,R27&lt;0,AE27/-R27,R27&gt;0,AE27/R27)</f>
        <v>-112</v>
      </c>
      <c r="AM27" s="59">
        <f t="shared" si="35"/>
        <v>0</v>
      </c>
      <c r="AN27" s="60">
        <f t="shared" si="36"/>
        <v>-0.17862838915470494</v>
      </c>
      <c r="AP27" s="62">
        <f t="shared" si="37"/>
        <v>-2016</v>
      </c>
    </row>
    <row r="28" spans="1:52">
      <c r="A28" s="39">
        <v>2774709606</v>
      </c>
      <c r="B28" s="40" t="s">
        <v>235</v>
      </c>
      <c r="C28" s="41">
        <v>18</v>
      </c>
      <c r="D28" s="42"/>
      <c r="E28" s="42"/>
      <c r="F28" s="42"/>
      <c r="G28" s="43"/>
      <c r="H28" s="65">
        <v>627</v>
      </c>
      <c r="I28" s="63">
        <f t="shared" si="20"/>
        <v>11286</v>
      </c>
      <c r="J28" s="45"/>
      <c r="K28" s="41"/>
      <c r="L28" s="45"/>
      <c r="M28" s="45"/>
      <c r="N28" s="46">
        <f t="shared" si="21"/>
        <v>0</v>
      </c>
      <c r="O28" s="47">
        <f t="shared" si="22"/>
        <v>0</v>
      </c>
      <c r="P28" s="48">
        <f>SUMIFS('Отчет 20-26.10'!H:H,'Отчет 20-26.10'!D:D,"Выручка",'Отчет 20-26.10'!E:E,B28)</f>
        <v>0</v>
      </c>
      <c r="Q28" s="48">
        <f>SUMIFS('Отчет 20-26.10'!H:H,'Отчет 20-26.10'!D:D,"Возврат выручки",'Отчет 20-26.10'!E:E,B28)</f>
        <v>0</v>
      </c>
      <c r="R28" s="49">
        <f t="shared" si="23"/>
        <v>0</v>
      </c>
      <c r="S28" s="50">
        <f>SUMIFS('Отчет 20-26.10'!O:O,'Отчет 20-26.10'!C:C,"Продажи",'Отчет 20-26.10'!E:E,B28)</f>
        <v>0</v>
      </c>
      <c r="T28" s="51">
        <f>SUMIFS('Отчет 20-26.10'!O:O,'Отчет 20-26.10'!C:C,"Возвраты",'Отчет 20-26.10'!E:E,B28)</f>
        <v>0</v>
      </c>
      <c r="U28" s="49">
        <f t="shared" si="24"/>
        <v>0</v>
      </c>
      <c r="V28" s="52">
        <f t="shared" si="25"/>
        <v>0</v>
      </c>
      <c r="W28" s="53">
        <f t="shared" si="26"/>
        <v>0</v>
      </c>
      <c r="X28" s="51">
        <f>-SUMIFS('Отчет 20-26.10'!O:O,'Отчет 20-26.10'!C:C,"Вознаграждение Ozon",'Отчет 20-26.10'!E:E,B28)</f>
        <v>0</v>
      </c>
      <c r="Y28" s="54">
        <f t="shared" si="27"/>
        <v>0</v>
      </c>
      <c r="Z28" s="51">
        <f>-SUMIFS('Отчет 20-26.10'!O:O,'Отчет 20-26.10'!C:C,"Услуги доставки",'Отчет 20-26.10'!E:E,B28)</f>
        <v>0</v>
      </c>
      <c r="AA28" s="41">
        <v>3061.2690499999999</v>
      </c>
      <c r="AB28" s="64"/>
      <c r="AC28" s="51"/>
      <c r="AD28" s="55">
        <f t="shared" si="28"/>
        <v>0</v>
      </c>
      <c r="AE28" s="56">
        <f t="shared" si="29"/>
        <v>-3061.2690499999999</v>
      </c>
      <c r="AF28" s="55"/>
      <c r="AG28" s="57">
        <f t="shared" si="30"/>
        <v>0</v>
      </c>
      <c r="AH28" s="58">
        <f t="shared" si="31"/>
        <v>627</v>
      </c>
      <c r="AI28" s="58">
        <f t="shared" si="32"/>
        <v>0</v>
      </c>
      <c r="AJ28" s="58">
        <f t="shared" si="33"/>
        <v>0</v>
      </c>
      <c r="AK28" s="58">
        <f t="shared" si="34"/>
        <v>0</v>
      </c>
      <c r="AL28" s="58">
        <f t="array" ref="AL28">_xlfn.IFS(R28=0,AE28,R28&lt;0,AE28/-R28,R28&gt;0,AE28/R28)</f>
        <v>-3061.2690499999999</v>
      </c>
      <c r="AM28" s="59">
        <f t="shared" si="35"/>
        <v>0</v>
      </c>
      <c r="AN28" s="60">
        <f t="shared" si="36"/>
        <v>-4.8824067783094094</v>
      </c>
      <c r="AP28" s="62">
        <f t="shared" si="37"/>
        <v>-55102.842899999996</v>
      </c>
    </row>
    <row r="29" spans="1:52">
      <c r="A29" s="39">
        <v>2774720465</v>
      </c>
      <c r="B29" s="40" t="s">
        <v>171</v>
      </c>
      <c r="C29" s="41">
        <v>17</v>
      </c>
      <c r="D29" s="42"/>
      <c r="E29" s="42"/>
      <c r="F29" s="42"/>
      <c r="G29" s="43"/>
      <c r="H29" s="65">
        <v>567</v>
      </c>
      <c r="I29" s="63">
        <f t="shared" si="20"/>
        <v>9639</v>
      </c>
      <c r="J29" s="45"/>
      <c r="K29" s="41"/>
      <c r="L29" s="45"/>
      <c r="M29" s="45"/>
      <c r="N29" s="46">
        <f t="shared" si="21"/>
        <v>0</v>
      </c>
      <c r="O29" s="47">
        <f t="shared" si="22"/>
        <v>0</v>
      </c>
      <c r="P29" s="48">
        <f>SUMIFS('Отчет 20-26.10'!H:H,'Отчет 20-26.10'!D:D,"Выручка",'Отчет 20-26.10'!E:E,B29)</f>
        <v>0</v>
      </c>
      <c r="Q29" s="48">
        <f>SUMIFS('Отчет 20-26.10'!H:H,'Отчет 20-26.10'!D:D,"Возврат выручки",'Отчет 20-26.10'!E:E,B29)</f>
        <v>0</v>
      </c>
      <c r="R29" s="49">
        <f t="shared" si="23"/>
        <v>0</v>
      </c>
      <c r="S29" s="50">
        <f>SUMIFS('Отчет 20-26.10'!O:O,'Отчет 20-26.10'!C:C,"Продажи",'Отчет 20-26.10'!E:E,B29)</f>
        <v>0</v>
      </c>
      <c r="T29" s="51">
        <f>SUMIFS('Отчет 20-26.10'!O:O,'Отчет 20-26.10'!C:C,"Возвраты",'Отчет 20-26.10'!E:E,B29)</f>
        <v>0</v>
      </c>
      <c r="U29" s="49">
        <f t="shared" si="24"/>
        <v>0</v>
      </c>
      <c r="V29" s="52">
        <f t="shared" si="25"/>
        <v>0</v>
      </c>
      <c r="W29" s="53">
        <f t="shared" si="26"/>
        <v>0</v>
      </c>
      <c r="X29" s="51">
        <f>-SUMIFS('Отчет 20-26.10'!O:O,'Отчет 20-26.10'!C:C,"Вознаграждение Ozon",'Отчет 20-26.10'!E:E,B29)</f>
        <v>0</v>
      </c>
      <c r="Y29" s="54">
        <f t="shared" si="27"/>
        <v>0</v>
      </c>
      <c r="Z29" s="51">
        <f>-SUMIFS('Отчет 20-26.10'!O:O,'Отчет 20-26.10'!C:C,"Услуги доставки",'Отчет 20-26.10'!E:E,B29)</f>
        <v>0</v>
      </c>
      <c r="AA29" s="41">
        <v>0</v>
      </c>
      <c r="AB29" s="64"/>
      <c r="AC29" s="51"/>
      <c r="AD29" s="55">
        <f t="shared" si="28"/>
        <v>0</v>
      </c>
      <c r="AE29" s="56">
        <f t="shared" si="29"/>
        <v>0</v>
      </c>
      <c r="AF29" s="55"/>
      <c r="AG29" s="57">
        <f t="shared" si="30"/>
        <v>0</v>
      </c>
      <c r="AH29" s="58">
        <f t="shared" si="31"/>
        <v>567</v>
      </c>
      <c r="AI29" s="58">
        <f t="shared" si="32"/>
        <v>0</v>
      </c>
      <c r="AJ29" s="58">
        <f t="shared" si="33"/>
        <v>0</v>
      </c>
      <c r="AK29" s="58">
        <f t="shared" si="34"/>
        <v>0</v>
      </c>
      <c r="AL29" s="58">
        <f t="array" ref="AL29">_xlfn.IFS(R29=0,AE29,R29&lt;0,AE29/-R29,R29&gt;0,AE29/R29)</f>
        <v>0</v>
      </c>
      <c r="AM29" s="59">
        <f t="shared" si="35"/>
        <v>0</v>
      </c>
      <c r="AN29" s="60">
        <f t="shared" si="36"/>
        <v>0</v>
      </c>
      <c r="AP29" s="62">
        <f t="shared" si="37"/>
        <v>0</v>
      </c>
    </row>
    <row r="30" spans="1:52">
      <c r="A30" s="39">
        <v>2774718470</v>
      </c>
      <c r="B30" s="40" t="s">
        <v>39</v>
      </c>
      <c r="C30" s="41">
        <v>19</v>
      </c>
      <c r="D30" s="42"/>
      <c r="E30" s="42"/>
      <c r="F30" s="42"/>
      <c r="G30" s="43"/>
      <c r="H30" s="65">
        <v>567</v>
      </c>
      <c r="I30" s="63">
        <f t="shared" si="20"/>
        <v>10773</v>
      </c>
      <c r="J30" s="45"/>
      <c r="K30" s="41"/>
      <c r="L30" s="45"/>
      <c r="M30" s="45"/>
      <c r="N30" s="46">
        <f t="shared" si="21"/>
        <v>0</v>
      </c>
      <c r="O30" s="47">
        <f t="shared" si="22"/>
        <v>0</v>
      </c>
      <c r="P30" s="48">
        <f>SUMIFS('Отчет 20-26.10'!H:H,'Отчет 20-26.10'!D:D,"Выручка",'Отчет 20-26.10'!E:E,B30)</f>
        <v>0</v>
      </c>
      <c r="Q30" s="48">
        <f>SUMIFS('Отчет 20-26.10'!H:H,'Отчет 20-26.10'!D:D,"Возврат выручки",'Отчет 20-26.10'!E:E,B30)</f>
        <v>0</v>
      </c>
      <c r="R30" s="49">
        <f t="shared" si="23"/>
        <v>0</v>
      </c>
      <c r="S30" s="50">
        <f>SUMIFS('Отчет 20-26.10'!O:O,'Отчет 20-26.10'!C:C,"Продажи",'Отчет 20-26.10'!E:E,B30)</f>
        <v>0</v>
      </c>
      <c r="T30" s="51">
        <f>SUMIFS('Отчет 20-26.10'!O:O,'Отчет 20-26.10'!C:C,"Возвраты",'Отчет 20-26.10'!E:E,B30)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20-26.10'!O:O,'Отчет 20-26.10'!C:C,"Вознаграждение Ozon",'Отчет 20-26.10'!E:E,B30)</f>
        <v>0</v>
      </c>
      <c r="Y30" s="54">
        <f t="shared" si="27"/>
        <v>0</v>
      </c>
      <c r="Z30" s="51">
        <f>-SUMIFS('Отчет 20-26.10'!O:O,'Отчет 20-26.10'!C:C,"Услуги доставки",'Отчет 20-26.10'!E:E,B30)</f>
        <v>112</v>
      </c>
      <c r="AA30" s="41">
        <v>0</v>
      </c>
      <c r="AB30" s="64"/>
      <c r="AC30" s="51"/>
      <c r="AD30" s="55">
        <f t="shared" si="28"/>
        <v>0</v>
      </c>
      <c r="AE30" s="56">
        <f t="shared" si="29"/>
        <v>-112</v>
      </c>
      <c r="AF30" s="55"/>
      <c r="AG30" s="57">
        <f t="shared" si="30"/>
        <v>0</v>
      </c>
      <c r="AH30" s="58">
        <f t="shared" si="31"/>
        <v>567</v>
      </c>
      <c r="AI30" s="58">
        <f t="shared" si="32"/>
        <v>0</v>
      </c>
      <c r="AJ30" s="58">
        <f t="shared" si="33"/>
        <v>112</v>
      </c>
      <c r="AK30" s="58">
        <f t="shared" si="34"/>
        <v>0</v>
      </c>
      <c r="AL30" s="58">
        <f t="array" ref="AL30">_xlfn.IFS(R30=0,AE30,R30&lt;0,AE30/-R30,R30&gt;0,AE30/R30)</f>
        <v>-112</v>
      </c>
      <c r="AM30" s="59">
        <f t="shared" si="35"/>
        <v>0</v>
      </c>
      <c r="AN30" s="60">
        <f t="shared" si="36"/>
        <v>-0.19753086419753085</v>
      </c>
      <c r="AP30" s="62">
        <f t="shared" si="37"/>
        <v>-2128</v>
      </c>
    </row>
    <row r="31" spans="1:52">
      <c r="A31" s="39">
        <v>2774719022</v>
      </c>
      <c r="B31" s="40" t="s">
        <v>236</v>
      </c>
      <c r="C31" s="41">
        <v>19</v>
      </c>
      <c r="D31" s="42"/>
      <c r="E31" s="42"/>
      <c r="F31" s="42"/>
      <c r="G31" s="43"/>
      <c r="H31" s="65">
        <v>657</v>
      </c>
      <c r="I31" s="63">
        <f t="shared" si="20"/>
        <v>12483</v>
      </c>
      <c r="J31" s="45"/>
      <c r="K31" s="41"/>
      <c r="L31" s="45"/>
      <c r="M31" s="45"/>
      <c r="N31" s="46">
        <f t="shared" si="21"/>
        <v>0</v>
      </c>
      <c r="O31" s="47">
        <f t="shared" si="22"/>
        <v>0</v>
      </c>
      <c r="P31" s="48">
        <f>SUMIFS('Отчет 20-26.10'!H:H,'Отчет 20-26.10'!D:D,"Выручка",'Отчет 20-26.10'!E:E,B31)</f>
        <v>0</v>
      </c>
      <c r="Q31" s="48">
        <f>SUMIFS('Отчет 20-26.10'!H:H,'Отчет 20-26.10'!D:D,"Возврат выручки",'Отчет 20-26.10'!E:E,B31)</f>
        <v>0</v>
      </c>
      <c r="R31" s="49">
        <f t="shared" si="23"/>
        <v>0</v>
      </c>
      <c r="S31" s="50">
        <f>SUMIFS('Отчет 20-26.10'!O:O,'Отчет 20-26.10'!C:C,"Продажи",'Отчет 20-26.10'!E:E,B31)</f>
        <v>0</v>
      </c>
      <c r="T31" s="51">
        <f>SUMIFS('Отчет 20-26.10'!O:O,'Отчет 20-26.10'!C:C,"Возвраты",'Отчет 20-26.10'!E:E,B31)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20-26.10'!O:O,'Отчет 20-26.10'!C:C,"Вознаграждение Ozon",'Отчет 20-26.10'!E:E,B31)</f>
        <v>0</v>
      </c>
      <c r="Y31" s="54">
        <f t="shared" si="27"/>
        <v>0</v>
      </c>
      <c r="Z31" s="51">
        <f>-SUMIFS('Отчет 20-26.10'!O:O,'Отчет 20-26.10'!C:C,"Услуги доставки",'Отчет 20-26.10'!E:E,B31)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657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2774719501</v>
      </c>
      <c r="B32" s="40" t="s">
        <v>237</v>
      </c>
      <c r="C32" s="41">
        <v>19</v>
      </c>
      <c r="D32" s="42"/>
      <c r="E32" s="42"/>
      <c r="F32" s="42"/>
      <c r="G32" s="43"/>
      <c r="H32" s="65">
        <v>597</v>
      </c>
      <c r="I32" s="63">
        <f t="shared" si="20"/>
        <v>11343</v>
      </c>
      <c r="J32" s="45"/>
      <c r="K32" s="41"/>
      <c r="L32" s="45"/>
      <c r="M32" s="45"/>
      <c r="N32" s="46">
        <f t="shared" si="21"/>
        <v>0</v>
      </c>
      <c r="O32" s="47">
        <f t="shared" si="22"/>
        <v>0</v>
      </c>
      <c r="P32" s="48">
        <f>SUMIFS('Отчет 20-26.10'!H:H,'Отчет 20-26.10'!D:D,"Выручка",'Отчет 20-26.10'!E:E,B32)</f>
        <v>0</v>
      </c>
      <c r="Q32" s="48">
        <f>SUMIFS('Отчет 20-26.10'!H:H,'Отчет 20-26.10'!D:D,"Возврат выручки",'Отчет 20-26.10'!E:E,B32)</f>
        <v>0</v>
      </c>
      <c r="R32" s="49">
        <f t="shared" si="23"/>
        <v>0</v>
      </c>
      <c r="S32" s="50">
        <f>SUMIFS('Отчет 20-26.10'!O:O,'Отчет 20-26.10'!C:C,"Продажи",'Отчет 20-26.10'!E:E,B32)</f>
        <v>0</v>
      </c>
      <c r="T32" s="51">
        <f>SUMIFS('Отчет 20-26.10'!O:O,'Отчет 20-26.10'!C:C,"Возвраты",'Отчет 20-26.10'!E:E,B32)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20-26.10'!O:O,'Отчет 20-26.10'!C:C,"Вознаграждение Ozon",'Отчет 20-26.10'!E:E,B32)</f>
        <v>0</v>
      </c>
      <c r="Y32" s="54">
        <f t="shared" si="27"/>
        <v>0</v>
      </c>
      <c r="Z32" s="51">
        <f>-SUMIFS('Отчет 20-26.10'!O:O,'Отчет 20-26.10'!C:C,"Услуги доставки",'Отчет 20-26.10'!E:E,B32)</f>
        <v>0</v>
      </c>
      <c r="AA32" s="41">
        <v>0</v>
      </c>
      <c r="AB32" s="64"/>
      <c r="AC32" s="51"/>
      <c r="AD32" s="55">
        <f t="shared" si="28"/>
        <v>0</v>
      </c>
      <c r="AE32" s="56">
        <f t="shared" si="29"/>
        <v>0</v>
      </c>
      <c r="AF32" s="55"/>
      <c r="AG32" s="57">
        <f t="shared" si="30"/>
        <v>0</v>
      </c>
      <c r="AH32" s="58">
        <f t="shared" si="31"/>
        <v>597</v>
      </c>
      <c r="AI32" s="58">
        <f t="shared" si="32"/>
        <v>0</v>
      </c>
      <c r="AJ32" s="58">
        <f t="shared" si="33"/>
        <v>0</v>
      </c>
      <c r="AK32" s="58">
        <f t="shared" si="34"/>
        <v>0</v>
      </c>
      <c r="AL32" s="58">
        <f t="array" ref="AL32">_xlfn.IFS(R32=0,AE32,R32&lt;0,AE32/-R32,R32&gt;0,AE32/R32)</f>
        <v>0</v>
      </c>
      <c r="AM32" s="59">
        <f t="shared" si="35"/>
        <v>0</v>
      </c>
      <c r="AN32" s="60">
        <f t="shared" si="36"/>
        <v>0</v>
      </c>
      <c r="AP32" s="62">
        <f t="shared" si="37"/>
        <v>0</v>
      </c>
    </row>
    <row r="33" spans="1:42">
      <c r="A33" s="39">
        <v>2774714412</v>
      </c>
      <c r="B33" s="40" t="s">
        <v>142</v>
      </c>
      <c r="C33" s="41">
        <v>17</v>
      </c>
      <c r="D33" s="42"/>
      <c r="E33" s="42"/>
      <c r="F33" s="42"/>
      <c r="G33" s="43"/>
      <c r="H33" s="65">
        <v>552</v>
      </c>
      <c r="I33" s="63">
        <f t="shared" si="20"/>
        <v>9384</v>
      </c>
      <c r="J33" s="45"/>
      <c r="K33" s="41"/>
      <c r="L33" s="45"/>
      <c r="M33" s="45"/>
      <c r="N33" s="46">
        <f t="shared" si="21"/>
        <v>0</v>
      </c>
      <c r="O33" s="47">
        <f t="shared" si="22"/>
        <v>0.14285714285714285</v>
      </c>
      <c r="P33" s="48">
        <f>SUMIFS('Отчет 20-26.10'!H:H,'Отчет 20-26.10'!D:D,"Выручка",'Отчет 20-26.10'!E:E,B33)</f>
        <v>1</v>
      </c>
      <c r="Q33" s="48">
        <f>SUMIFS('Отчет 20-26.10'!H:H,'Отчет 20-26.10'!D:D,"Возврат выручки",'Отчет 20-26.10'!E:E,B33)</f>
        <v>0</v>
      </c>
      <c r="R33" s="49">
        <f t="shared" si="23"/>
        <v>1</v>
      </c>
      <c r="S33" s="50">
        <f>SUMIFS('Отчет 20-26.10'!O:O,'Отчет 20-26.10'!C:C,"Продажи",'Отчет 20-26.10'!E:E,B33)</f>
        <v>5000</v>
      </c>
      <c r="T33" s="51">
        <f>SUMIFS('Отчет 20-26.10'!O:O,'Отчет 20-26.10'!C:C,"Возвраты",'Отчет 20-26.10'!E:E,B33)</f>
        <v>0</v>
      </c>
      <c r="U33" s="49">
        <f t="shared" si="24"/>
        <v>5000</v>
      </c>
      <c r="V33" s="52">
        <f t="shared" si="25"/>
        <v>0.11298924342402604</v>
      </c>
      <c r="W33" s="53">
        <f t="shared" si="26"/>
        <v>552</v>
      </c>
      <c r="X33" s="51">
        <f>-SUMIFS('Отчет 20-26.10'!O:O,'Отчет 20-26.10'!C:C,"Вознаграждение Ozon",'Отчет 20-26.10'!E:E,B33)</f>
        <v>1700</v>
      </c>
      <c r="Y33" s="54">
        <f t="shared" si="27"/>
        <v>0.34</v>
      </c>
      <c r="Z33" s="51">
        <f>-SUMIFS('Отчет 20-26.10'!O:O,'Отчет 20-26.10'!C:C,"Услуги доставки",'Отчет 20-26.10'!E:E,B33)</f>
        <v>56</v>
      </c>
      <c r="AA33" s="41">
        <v>0</v>
      </c>
      <c r="AB33" s="64"/>
      <c r="AC33" s="51"/>
      <c r="AD33" s="55">
        <f t="shared" si="28"/>
        <v>300</v>
      </c>
      <c r="AE33" s="56">
        <f t="shared" si="29"/>
        <v>2392</v>
      </c>
      <c r="AF33" s="55"/>
      <c r="AG33" s="57">
        <f t="shared" si="30"/>
        <v>5000</v>
      </c>
      <c r="AH33" s="58">
        <f t="shared" si="31"/>
        <v>552</v>
      </c>
      <c r="AI33" s="58">
        <f t="shared" si="32"/>
        <v>1700</v>
      </c>
      <c r="AJ33" s="58">
        <f t="shared" si="33"/>
        <v>56</v>
      </c>
      <c r="AK33" s="58">
        <f t="shared" si="34"/>
        <v>0</v>
      </c>
      <c r="AL33" s="58">
        <f t="array" ref="AL33">_xlfn.IFS(R33=0,AE33,R33&lt;0,AE33/-R33,R33&gt;0,AE33/R33)</f>
        <v>2392</v>
      </c>
      <c r="AM33" s="59">
        <f t="shared" si="35"/>
        <v>0.47839999999999999</v>
      </c>
      <c r="AN33" s="60">
        <f t="shared" si="36"/>
        <v>4.333333333333333</v>
      </c>
      <c r="AP33" s="62">
        <f t="shared" si="37"/>
        <v>40664</v>
      </c>
    </row>
    <row r="34" spans="1:42">
      <c r="A34" s="39">
        <v>2774710430</v>
      </c>
      <c r="B34" s="40" t="s">
        <v>238</v>
      </c>
      <c r="C34" s="41">
        <v>18</v>
      </c>
      <c r="D34" s="42"/>
      <c r="E34" s="42"/>
      <c r="F34" s="42"/>
      <c r="G34" s="43"/>
      <c r="H34" s="65">
        <v>552</v>
      </c>
      <c r="I34" s="63">
        <f t="shared" si="20"/>
        <v>9936</v>
      </c>
      <c r="J34" s="45"/>
      <c r="K34" s="41"/>
      <c r="L34" s="45"/>
      <c r="M34" s="45"/>
      <c r="N34" s="46">
        <f t="shared" si="21"/>
        <v>0</v>
      </c>
      <c r="O34" s="47">
        <f t="shared" si="22"/>
        <v>0.14285714285714285</v>
      </c>
      <c r="P34" s="48">
        <f>SUMIFS('Отчет 20-26.10'!H:H,'Отчет 20-26.10'!D:D,"Выручка",'Отчет 20-26.10'!E:E,B34)</f>
        <v>1</v>
      </c>
      <c r="Q34" s="48">
        <f>SUMIFS('Отчет 20-26.10'!H:H,'Отчет 20-26.10'!D:D,"Возврат выручки",'Отчет 20-26.10'!E:E,B34)</f>
        <v>0</v>
      </c>
      <c r="R34" s="49">
        <f t="shared" si="23"/>
        <v>1</v>
      </c>
      <c r="S34" s="50">
        <f>SUMIFS('Отчет 20-26.10'!O:O,'Отчет 20-26.10'!C:C,"Продажи",'Отчет 20-26.10'!E:E,B34)</f>
        <v>4548</v>
      </c>
      <c r="T34" s="51">
        <f>SUMIFS('Отчет 20-26.10'!O:O,'Отчет 20-26.10'!C:C,"Возвраты",'Отчет 20-26.10'!E:E,B34)</f>
        <v>0</v>
      </c>
      <c r="U34" s="49">
        <f t="shared" si="24"/>
        <v>4548</v>
      </c>
      <c r="V34" s="52">
        <f t="shared" si="25"/>
        <v>0.10277501581849408</v>
      </c>
      <c r="W34" s="53">
        <f t="shared" si="26"/>
        <v>552</v>
      </c>
      <c r="X34" s="51">
        <f>-SUMIFS('Отчет 20-26.10'!O:O,'Отчет 20-26.10'!C:C,"Вознаграждение Ozon",'Отчет 20-26.10'!E:E,B34)</f>
        <v>1546.32</v>
      </c>
      <c r="Y34" s="54">
        <f t="shared" si="27"/>
        <v>0.33999999999999997</v>
      </c>
      <c r="Z34" s="51">
        <f>-SUMIFS('Отчет 20-26.10'!O:O,'Отчет 20-26.10'!C:C,"Услуги доставки",'Отчет 20-26.10'!E:E,B34)</f>
        <v>56</v>
      </c>
      <c r="AA34" s="41">
        <v>0</v>
      </c>
      <c r="AB34" s="64"/>
      <c r="AC34" s="51"/>
      <c r="AD34" s="55">
        <f t="shared" si="28"/>
        <v>272.88</v>
      </c>
      <c r="AE34" s="56">
        <f t="shared" si="29"/>
        <v>2120.8000000000002</v>
      </c>
      <c r="AF34" s="55"/>
      <c r="AG34" s="57">
        <f t="shared" si="30"/>
        <v>4548</v>
      </c>
      <c r="AH34" s="58">
        <f t="shared" si="31"/>
        <v>552</v>
      </c>
      <c r="AI34" s="58">
        <f t="shared" si="32"/>
        <v>1546.32</v>
      </c>
      <c r="AJ34" s="58">
        <f t="shared" si="33"/>
        <v>56</v>
      </c>
      <c r="AK34" s="58">
        <f t="shared" si="34"/>
        <v>0</v>
      </c>
      <c r="AL34" s="58">
        <f t="array" ref="AL34">_xlfn.IFS(R34=0,AE34,R34&lt;0,AE34/-R34,R34&gt;0,AE34/R34)</f>
        <v>2120.8000000000002</v>
      </c>
      <c r="AM34" s="59">
        <f t="shared" si="35"/>
        <v>0.46631486367634128</v>
      </c>
      <c r="AN34" s="60">
        <f t="shared" si="36"/>
        <v>3.8420289855072469</v>
      </c>
      <c r="AP34" s="62">
        <f t="shared" si="37"/>
        <v>38174.400000000001</v>
      </c>
    </row>
    <row r="35" spans="1:42">
      <c r="A35" s="39">
        <v>2774712116</v>
      </c>
      <c r="B35" s="40" t="s">
        <v>62</v>
      </c>
      <c r="C35" s="41">
        <v>13</v>
      </c>
      <c r="D35" s="42"/>
      <c r="E35" s="42"/>
      <c r="F35" s="42"/>
      <c r="G35" s="43"/>
      <c r="H35" s="65">
        <v>687</v>
      </c>
      <c r="I35" s="63">
        <f t="shared" si="20"/>
        <v>8931</v>
      </c>
      <c r="J35" s="45"/>
      <c r="K35" s="41"/>
      <c r="L35" s="45"/>
      <c r="M35" s="45"/>
      <c r="N35" s="46">
        <f t="shared" si="21"/>
        <v>0</v>
      </c>
      <c r="O35" s="47">
        <f t="shared" si="22"/>
        <v>0</v>
      </c>
      <c r="P35" s="48">
        <f>SUMIFS('Отчет 20-26.10'!H:H,'Отчет 20-26.10'!D:D,"Выручка",'Отчет 20-26.10'!E:E,B35)</f>
        <v>0</v>
      </c>
      <c r="Q35" s="48">
        <f>SUMIFS('Отчет 20-26.10'!H:H,'Отчет 20-26.10'!D:D,"Возврат выручки",'Отчет 20-26.10'!E:E,B35)</f>
        <v>0</v>
      </c>
      <c r="R35" s="49">
        <f t="shared" si="23"/>
        <v>0</v>
      </c>
      <c r="S35" s="50">
        <f>SUMIFS('Отчет 20-26.10'!O:O,'Отчет 20-26.10'!C:C,"Продажи",'Отчет 20-26.10'!E:E,B35)</f>
        <v>0</v>
      </c>
      <c r="T35" s="51">
        <f>SUMIFS('Отчет 20-26.10'!O:O,'Отчет 20-26.10'!C:C,"Возвраты",'Отчет 20-26.10'!E:E,B35)</f>
        <v>0</v>
      </c>
      <c r="U35" s="49">
        <f t="shared" si="24"/>
        <v>0</v>
      </c>
      <c r="V35" s="52">
        <f t="shared" si="25"/>
        <v>0</v>
      </c>
      <c r="W35" s="53">
        <f t="shared" si="26"/>
        <v>0</v>
      </c>
      <c r="X35" s="51">
        <f>-SUMIFS('Отчет 20-26.10'!O:O,'Отчет 20-26.10'!C:C,"Вознаграждение Ozon",'Отчет 20-26.10'!E:E,B35)</f>
        <v>0</v>
      </c>
      <c r="Y35" s="54">
        <f t="shared" si="27"/>
        <v>0</v>
      </c>
      <c r="Z35" s="51">
        <f>-SUMIFS('Отчет 20-26.10'!O:O,'Отчет 20-26.10'!C:C,"Услуги доставки",'Отчет 20-26.10'!E:E,B35)</f>
        <v>112</v>
      </c>
      <c r="AA35" s="41">
        <v>0</v>
      </c>
      <c r="AB35" s="64"/>
      <c r="AC35" s="51"/>
      <c r="AD35" s="55">
        <f t="shared" si="28"/>
        <v>0</v>
      </c>
      <c r="AE35" s="56">
        <f t="shared" si="29"/>
        <v>-112</v>
      </c>
      <c r="AF35" s="55"/>
      <c r="AG35" s="57">
        <f t="shared" si="30"/>
        <v>0</v>
      </c>
      <c r="AH35" s="58">
        <f t="shared" si="31"/>
        <v>687</v>
      </c>
      <c r="AI35" s="58">
        <f t="shared" si="32"/>
        <v>0</v>
      </c>
      <c r="AJ35" s="58">
        <f t="shared" si="33"/>
        <v>112</v>
      </c>
      <c r="AK35" s="58">
        <f t="shared" si="34"/>
        <v>0</v>
      </c>
      <c r="AL35" s="58">
        <f t="array" ref="AL35">_xlfn.IFS(R35=0,AE35,R35&lt;0,AE35/-R35,R35&gt;0,AE35/R35)</f>
        <v>-112</v>
      </c>
      <c r="AM35" s="59">
        <f t="shared" si="35"/>
        <v>0</v>
      </c>
      <c r="AN35" s="60">
        <f t="shared" si="36"/>
        <v>-0.16302765647743814</v>
      </c>
      <c r="AP35" s="62">
        <f t="shared" si="37"/>
        <v>-1456</v>
      </c>
    </row>
    <row r="36" spans="1:42">
      <c r="A36" s="39">
        <v>2774719012</v>
      </c>
      <c r="B36" s="40" t="s">
        <v>239</v>
      </c>
      <c r="C36" s="41">
        <v>10</v>
      </c>
      <c r="D36" s="42"/>
      <c r="E36" s="42"/>
      <c r="F36" s="42"/>
      <c r="G36" s="43"/>
      <c r="H36" s="65">
        <v>687</v>
      </c>
      <c r="I36" s="63">
        <f t="shared" si="20"/>
        <v>6870</v>
      </c>
      <c r="J36" s="45"/>
      <c r="K36" s="41"/>
      <c r="L36" s="45"/>
      <c r="M36" s="45"/>
      <c r="N36" s="46">
        <f t="shared" si="21"/>
        <v>0</v>
      </c>
      <c r="O36" s="47">
        <f t="shared" si="22"/>
        <v>0.5714285714285714</v>
      </c>
      <c r="P36" s="48">
        <f>SUMIFS('Отчет 20-26.10'!H:H,'Отчет 20-26.10'!D:D,"Выручка",'Отчет 20-26.10'!E:E,B36)</f>
        <v>3</v>
      </c>
      <c r="Q36" s="48">
        <f>SUMIFS('Отчет 20-26.10'!H:H,'Отчет 20-26.10'!D:D,"Возврат выручки",'Отчет 20-26.10'!E:E,B36)</f>
        <v>1</v>
      </c>
      <c r="R36" s="49">
        <f t="shared" si="23"/>
        <v>4</v>
      </c>
      <c r="S36" s="50">
        <f>SUMIFS('Отчет 20-26.10'!O:O,'Отчет 20-26.10'!C:C,"Продажи",'Отчет 20-26.10'!E:E,B36)</f>
        <v>12786</v>
      </c>
      <c r="T36" s="51">
        <f>SUMIFS('Отчет 20-26.10'!O:O,'Отчет 20-26.10'!C:C,"Возвраты",'Отчет 20-26.10'!E:E,B36)</f>
        <v>-4548</v>
      </c>
      <c r="U36" s="49">
        <f t="shared" si="24"/>
        <v>8238</v>
      </c>
      <c r="V36" s="52">
        <f t="shared" si="25"/>
        <v>0.18616107746542529</v>
      </c>
      <c r="W36" s="53">
        <f t="shared" si="26"/>
        <v>2748</v>
      </c>
      <c r="X36" s="51">
        <f>-SUMIFS('Отчет 20-26.10'!O:O,'Отчет 20-26.10'!C:C,"Вознаграждение Ozon",'Отчет 20-26.10'!E:E,B36)</f>
        <v>2431.92</v>
      </c>
      <c r="Y36" s="54">
        <f t="shared" si="27"/>
        <v>0.29520757465404224</v>
      </c>
      <c r="Z36" s="51">
        <f>-SUMIFS('Отчет 20-26.10'!O:O,'Отчет 20-26.10'!C:C,"Услуги доставки",'Отчет 20-26.10'!E:E,B36)</f>
        <v>280</v>
      </c>
      <c r="AA36" s="41">
        <v>5103.195154</v>
      </c>
      <c r="AB36" s="64"/>
      <c r="AC36" s="51"/>
      <c r="AD36" s="55">
        <f t="shared" si="28"/>
        <v>494.28</v>
      </c>
      <c r="AE36" s="56">
        <f t="shared" si="29"/>
        <v>-2819.3951539999998</v>
      </c>
      <c r="AF36" s="55"/>
      <c r="AG36" s="57">
        <f t="shared" si="30"/>
        <v>2059.5</v>
      </c>
      <c r="AH36" s="58">
        <f t="shared" si="31"/>
        <v>687</v>
      </c>
      <c r="AI36" s="58">
        <f t="shared" si="32"/>
        <v>607.98</v>
      </c>
      <c r="AJ36" s="58">
        <f t="shared" si="33"/>
        <v>93.333333333333329</v>
      </c>
      <c r="AK36" s="58">
        <f t="shared" si="34"/>
        <v>1701.0650513333333</v>
      </c>
      <c r="AL36" s="58">
        <f t="array" ref="AL36">_xlfn.IFS(R36=0,AE36,R36&lt;0,AE36/-R36,R36&gt;0,AE36/R36)</f>
        <v>-704.84878849999996</v>
      </c>
      <c r="AM36" s="59">
        <f t="shared" si="35"/>
        <v>-0.34224267467831998</v>
      </c>
      <c r="AN36" s="60">
        <f t="shared" si="36"/>
        <v>-1.025980769286754</v>
      </c>
      <c r="AP36" s="62">
        <f t="shared" si="37"/>
        <v>-7048.4878849999996</v>
      </c>
    </row>
    <row r="37" spans="1:42">
      <c r="A37" s="39">
        <v>2774719433</v>
      </c>
      <c r="B37" s="40" t="s">
        <v>240</v>
      </c>
      <c r="C37" s="41">
        <v>18</v>
      </c>
      <c r="D37" s="42"/>
      <c r="E37" s="42"/>
      <c r="F37" s="42"/>
      <c r="G37" s="43"/>
      <c r="H37" s="65">
        <v>597</v>
      </c>
      <c r="I37" s="63">
        <f t="shared" si="20"/>
        <v>10746</v>
      </c>
      <c r="J37" s="45"/>
      <c r="K37" s="41"/>
      <c r="L37" s="45"/>
      <c r="M37" s="45"/>
      <c r="N37" s="46">
        <f t="shared" si="21"/>
        <v>0</v>
      </c>
      <c r="O37" s="47">
        <f t="shared" si="22"/>
        <v>0</v>
      </c>
      <c r="P37" s="48">
        <f>SUMIFS('Отчет 20-26.10'!H:H,'Отчет 20-26.10'!D:D,"Выручка",'Отчет 20-26.10'!E:E,B37)</f>
        <v>0</v>
      </c>
      <c r="Q37" s="48">
        <f>SUMIFS('Отчет 20-26.10'!H:H,'Отчет 20-26.10'!D:D,"Возврат выручки",'Отчет 20-26.10'!E:E,B37)</f>
        <v>0</v>
      </c>
      <c r="R37" s="49">
        <f t="shared" si="23"/>
        <v>0</v>
      </c>
      <c r="S37" s="50">
        <f>SUMIFS('Отчет 20-26.10'!O:O,'Отчет 20-26.10'!C:C,"Продажи",'Отчет 20-26.10'!E:E,B37)</f>
        <v>0</v>
      </c>
      <c r="T37" s="51">
        <f>SUMIFS('Отчет 20-26.10'!O:O,'Отчет 20-26.10'!C:C,"Возвраты",'Отчет 20-26.10'!E:E,B37)</f>
        <v>0</v>
      </c>
      <c r="U37" s="49">
        <f t="shared" si="24"/>
        <v>0</v>
      </c>
      <c r="V37" s="52">
        <f t="shared" si="25"/>
        <v>0</v>
      </c>
      <c r="W37" s="53">
        <f t="shared" si="26"/>
        <v>0</v>
      </c>
      <c r="X37" s="51">
        <f>-SUMIFS('Отчет 20-26.10'!O:O,'Отчет 20-26.10'!C:C,"Вознаграждение Ozon",'Отчет 20-26.10'!E:E,B37)</f>
        <v>0</v>
      </c>
      <c r="Y37" s="54">
        <f t="shared" si="27"/>
        <v>0</v>
      </c>
      <c r="Z37" s="51">
        <f>-SUMIFS('Отчет 20-26.10'!O:O,'Отчет 20-26.10'!C:C,"Услуги доставки",'Отчет 20-26.10'!E:E,B37)</f>
        <v>0</v>
      </c>
      <c r="AA37" s="41">
        <v>0</v>
      </c>
      <c r="AB37" s="64"/>
      <c r="AC37" s="51"/>
      <c r="AD37" s="55">
        <f t="shared" si="28"/>
        <v>0</v>
      </c>
      <c r="AE37" s="56">
        <f t="shared" si="29"/>
        <v>0</v>
      </c>
      <c r="AF37" s="55"/>
      <c r="AG37" s="57">
        <f t="shared" si="30"/>
        <v>0</v>
      </c>
      <c r="AH37" s="58">
        <f t="shared" si="31"/>
        <v>597</v>
      </c>
      <c r="AI37" s="58">
        <f t="shared" si="32"/>
        <v>0</v>
      </c>
      <c r="AJ37" s="58">
        <f t="shared" si="33"/>
        <v>0</v>
      </c>
      <c r="AK37" s="58">
        <f t="shared" si="34"/>
        <v>0</v>
      </c>
      <c r="AL37" s="58">
        <f t="array" ref="AL37">_xlfn.IFS(R37=0,AE37,R37&lt;0,AE37/-R37,R37&gt;0,AE37/R37)</f>
        <v>0</v>
      </c>
      <c r="AM37" s="59">
        <f t="shared" si="35"/>
        <v>0</v>
      </c>
      <c r="AN37" s="60">
        <f t="shared" si="36"/>
        <v>0</v>
      </c>
      <c r="AP37" s="62">
        <f t="shared" si="37"/>
        <v>0</v>
      </c>
    </row>
    <row r="38" spans="1:42">
      <c r="A38" s="39">
        <v>2774719029</v>
      </c>
      <c r="B38" s="40" t="s">
        <v>241</v>
      </c>
      <c r="C38" s="41">
        <v>17</v>
      </c>
      <c r="D38" s="42"/>
      <c r="E38" s="42"/>
      <c r="F38" s="42"/>
      <c r="G38" s="43"/>
      <c r="H38" s="65">
        <v>597</v>
      </c>
      <c r="I38" s="63">
        <f t="shared" si="20"/>
        <v>10149</v>
      </c>
      <c r="J38" s="45"/>
      <c r="K38" s="41"/>
      <c r="L38" s="45"/>
      <c r="M38" s="45"/>
      <c r="N38" s="46">
        <f t="shared" si="21"/>
        <v>0</v>
      </c>
      <c r="O38" s="47">
        <f t="shared" si="22"/>
        <v>0</v>
      </c>
      <c r="P38" s="48">
        <f>SUMIFS('Отчет 20-26.10'!H:H,'Отчет 20-26.10'!D:D,"Выручка",'Отчет 20-26.10'!E:E,B38)</f>
        <v>0</v>
      </c>
      <c r="Q38" s="48">
        <f>SUMIFS('Отчет 20-26.10'!H:H,'Отчет 20-26.10'!D:D,"Возврат выручки",'Отчет 20-26.10'!E:E,B38)</f>
        <v>0</v>
      </c>
      <c r="R38" s="49">
        <f t="shared" si="23"/>
        <v>0</v>
      </c>
      <c r="S38" s="50">
        <f>SUMIFS('Отчет 20-26.10'!O:O,'Отчет 20-26.10'!C:C,"Продажи",'Отчет 20-26.10'!E:E,B38)</f>
        <v>0</v>
      </c>
      <c r="T38" s="51">
        <f>SUMIFS('Отчет 20-26.10'!O:O,'Отчет 20-26.10'!C:C,"Возвраты",'Отчет 20-26.10'!E:E,B38)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20-26.10'!O:O,'Отчет 20-26.10'!C:C,"Вознаграждение Ozon",'Отчет 20-26.10'!E:E,B38)</f>
        <v>0</v>
      </c>
      <c r="Y38" s="54">
        <f t="shared" si="27"/>
        <v>0</v>
      </c>
      <c r="Z38" s="51">
        <f>-SUMIFS('Отчет 20-26.10'!O:O,'Отчет 20-26.10'!C:C,"Услуги доставки",'Отчет 20-26.10'!E:E,B38)</f>
        <v>112</v>
      </c>
      <c r="AA38" s="41">
        <v>0</v>
      </c>
      <c r="AB38" s="64"/>
      <c r="AC38" s="51"/>
      <c r="AD38" s="55">
        <f t="shared" si="28"/>
        <v>0</v>
      </c>
      <c r="AE38" s="56">
        <f t="shared" si="29"/>
        <v>-112</v>
      </c>
      <c r="AF38" s="55"/>
      <c r="AG38" s="57">
        <f t="shared" si="30"/>
        <v>0</v>
      </c>
      <c r="AH38" s="58">
        <f t="shared" si="31"/>
        <v>597</v>
      </c>
      <c r="AI38" s="58">
        <f t="shared" si="32"/>
        <v>0</v>
      </c>
      <c r="AJ38" s="58">
        <f t="shared" si="33"/>
        <v>112</v>
      </c>
      <c r="AK38" s="58">
        <f t="shared" si="34"/>
        <v>0</v>
      </c>
      <c r="AL38" s="58">
        <f t="array" ref="AL38">_xlfn.IFS(R38=0,AE38,R38&lt;0,AE38/-R38,R38&gt;0,AE38/R38)</f>
        <v>-112</v>
      </c>
      <c r="AM38" s="59">
        <f t="shared" si="35"/>
        <v>0</v>
      </c>
      <c r="AN38" s="60">
        <f t="shared" si="36"/>
        <v>-0.18760469011725292</v>
      </c>
      <c r="AP38" s="62">
        <f t="shared" si="37"/>
        <v>-1904</v>
      </c>
    </row>
    <row r="39" spans="1:42">
      <c r="A39" s="39">
        <v>2774719553</v>
      </c>
      <c r="B39" s="40" t="s">
        <v>242</v>
      </c>
      <c r="C39" s="41">
        <v>19</v>
      </c>
      <c r="D39" s="42"/>
      <c r="E39" s="42"/>
      <c r="F39" s="42"/>
      <c r="G39" s="43"/>
      <c r="H39" s="65">
        <v>597</v>
      </c>
      <c r="I39" s="63">
        <f t="shared" si="20"/>
        <v>11343</v>
      </c>
      <c r="J39" s="45"/>
      <c r="K39" s="41"/>
      <c r="L39" s="45"/>
      <c r="M39" s="45"/>
      <c r="N39" s="46">
        <f t="shared" si="21"/>
        <v>0</v>
      </c>
      <c r="O39" s="47">
        <f t="shared" si="22"/>
        <v>0</v>
      </c>
      <c r="P39" s="48">
        <f>SUMIFS('Отчет 20-26.10'!H:H,'Отчет 20-26.10'!D:D,"Выручка",'Отчет 20-26.10'!E:E,B39)</f>
        <v>0</v>
      </c>
      <c r="Q39" s="48">
        <f>SUMIFS('Отчет 20-26.10'!H:H,'Отчет 20-26.10'!D:D,"Возврат выручки",'Отчет 20-26.10'!E:E,B39)</f>
        <v>0</v>
      </c>
      <c r="R39" s="49">
        <f t="shared" si="23"/>
        <v>0</v>
      </c>
      <c r="S39" s="50">
        <f>SUMIFS('Отчет 20-26.10'!O:O,'Отчет 20-26.10'!C:C,"Продажи",'Отчет 20-26.10'!E:E,B39)</f>
        <v>0</v>
      </c>
      <c r="T39" s="51">
        <f>SUMIFS('Отчет 20-26.10'!O:O,'Отчет 20-26.10'!C:C,"Возвраты",'Отчет 20-26.10'!E:E,B39)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51">
        <f>-SUMIFS('Отчет 20-26.10'!O:O,'Отчет 20-26.10'!C:C,"Вознаграждение Ozon",'Отчет 20-26.10'!E:E,B39)</f>
        <v>0</v>
      </c>
      <c r="Y39" s="54">
        <f t="shared" si="27"/>
        <v>0</v>
      </c>
      <c r="Z39" s="51">
        <f>-SUMIFS('Отчет 20-26.10'!O:O,'Отчет 20-26.10'!C:C,"Услуги доставки",'Отчет 20-26.10'!E:E,B39)</f>
        <v>0</v>
      </c>
      <c r="AA39" s="41">
        <v>0</v>
      </c>
      <c r="AB39" s="64"/>
      <c r="AC39" s="51"/>
      <c r="AD39" s="55">
        <f t="shared" si="28"/>
        <v>0</v>
      </c>
      <c r="AE39" s="56">
        <f t="shared" si="29"/>
        <v>0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0</v>
      </c>
      <c r="AK39" s="58">
        <f t="shared" si="34"/>
        <v>0</v>
      </c>
      <c r="AL39" s="58">
        <f t="array" ref="AL39">_xlfn.IFS(R39=0,AE39,R39&lt;0,AE39/-R39,R39&gt;0,AE39/R39)</f>
        <v>0</v>
      </c>
      <c r="AM39" s="59">
        <f t="shared" si="35"/>
        <v>0</v>
      </c>
      <c r="AN39" s="60">
        <f t="shared" si="36"/>
        <v>0</v>
      </c>
      <c r="AP39" s="62">
        <f t="shared" si="37"/>
        <v>0</v>
      </c>
    </row>
    <row r="40" spans="1:42">
      <c r="A40" s="39">
        <v>2774710913</v>
      </c>
      <c r="B40" s="40" t="s">
        <v>243</v>
      </c>
      <c r="C40" s="41">
        <v>19</v>
      </c>
      <c r="D40" s="42"/>
      <c r="E40" s="42"/>
      <c r="F40" s="42"/>
      <c r="G40" s="43"/>
      <c r="H40" s="65">
        <v>642</v>
      </c>
      <c r="I40" s="63">
        <f t="shared" si="20"/>
        <v>12198</v>
      </c>
      <c r="J40" s="45"/>
      <c r="K40" s="41"/>
      <c r="L40" s="45"/>
      <c r="M40" s="45"/>
      <c r="N40" s="46">
        <f t="shared" si="21"/>
        <v>0</v>
      </c>
      <c r="O40" s="47">
        <f t="shared" si="22"/>
        <v>0</v>
      </c>
      <c r="P40" s="48">
        <f>SUMIFS('Отчет 20-26.10'!H:H,'Отчет 20-26.10'!D:D,"Выручка",'Отчет 20-26.10'!E:E,B40)</f>
        <v>0</v>
      </c>
      <c r="Q40" s="48">
        <f>SUMIFS('Отчет 20-26.10'!H:H,'Отчет 20-26.10'!D:D,"Возврат выручки",'Отчет 20-26.10'!E:E,B40)</f>
        <v>0</v>
      </c>
      <c r="R40" s="49">
        <f t="shared" si="23"/>
        <v>0</v>
      </c>
      <c r="S40" s="50">
        <f>SUMIFS('Отчет 20-26.10'!O:O,'Отчет 20-26.10'!C:C,"Продажи",'Отчет 20-26.10'!E:E,B40)</f>
        <v>0</v>
      </c>
      <c r="T40" s="51">
        <f>SUMIFS('Отчет 20-26.10'!O:O,'Отчет 20-26.10'!C:C,"Возвраты",'Отчет 20-26.10'!E:E,B40)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20-26.10'!O:O,'Отчет 20-26.10'!C:C,"Вознаграждение Ozon",'Отчет 20-26.10'!E:E,B40)</f>
        <v>0</v>
      </c>
      <c r="Y40" s="54">
        <f t="shared" si="27"/>
        <v>0</v>
      </c>
      <c r="Z40" s="51">
        <f>-SUMIFS('Отчет 20-26.10'!O:O,'Отчет 20-26.10'!C:C,"Услуги доставки",'Отчет 20-26.10'!E:E,B40)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642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2774721668</v>
      </c>
      <c r="B41" s="40" t="s">
        <v>771</v>
      </c>
      <c r="C41" s="41">
        <v>18</v>
      </c>
      <c r="D41" s="42"/>
      <c r="E41" s="42"/>
      <c r="F41" s="42"/>
      <c r="G41" s="43"/>
      <c r="H41" s="65">
        <v>642</v>
      </c>
      <c r="I41" s="63">
        <f t="shared" si="20"/>
        <v>11556</v>
      </c>
      <c r="J41" s="45"/>
      <c r="K41" s="41"/>
      <c r="L41" s="45"/>
      <c r="M41" s="45"/>
      <c r="N41" s="46">
        <f t="shared" si="21"/>
        <v>0</v>
      </c>
      <c r="O41" s="47">
        <f t="shared" si="22"/>
        <v>0</v>
      </c>
      <c r="P41" s="48">
        <f>SUMIFS('Отчет 20-26.10'!H:H,'Отчет 20-26.10'!D:D,"Выручка",'Отчет 20-26.10'!E:E,B41)</f>
        <v>0</v>
      </c>
      <c r="Q41" s="48">
        <f>SUMIFS('Отчет 20-26.10'!H:H,'Отчет 20-26.10'!D:D,"Возврат выручки",'Отчет 20-26.10'!E:E,B41)</f>
        <v>0</v>
      </c>
      <c r="R41" s="49">
        <f t="shared" si="23"/>
        <v>0</v>
      </c>
      <c r="S41" s="50">
        <f>SUMIFS('Отчет 20-26.10'!O:O,'Отчет 20-26.10'!C:C,"Продажи",'Отчет 20-26.10'!E:E,B41)</f>
        <v>0</v>
      </c>
      <c r="T41" s="51">
        <f>SUMIFS('Отчет 20-26.10'!O:O,'Отчет 20-26.10'!C:C,"Возвраты",'Отчет 20-26.10'!E:E,B41)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51">
        <f>-SUMIFS('Отчет 20-26.10'!O:O,'Отчет 20-26.10'!C:C,"Вознаграждение Ozon",'Отчет 20-26.10'!E:E,B41)</f>
        <v>0</v>
      </c>
      <c r="Y41" s="54">
        <f t="shared" si="27"/>
        <v>0</v>
      </c>
      <c r="Z41" s="51">
        <f>-SUMIFS('Отчет 20-26.10'!O:O,'Отчет 20-26.10'!C:C,"Услуги доставки",'Отчет 20-26.10'!E:E,B41)</f>
        <v>0</v>
      </c>
      <c r="AA41" s="41">
        <v>0</v>
      </c>
      <c r="AB41" s="64"/>
      <c r="AC41" s="51"/>
      <c r="AD41" s="55">
        <f t="shared" si="28"/>
        <v>0</v>
      </c>
      <c r="AE41" s="56">
        <f t="shared" si="29"/>
        <v>0</v>
      </c>
      <c r="AF41" s="55"/>
      <c r="AG41" s="57">
        <f t="shared" si="30"/>
        <v>0</v>
      </c>
      <c r="AH41" s="58">
        <f t="shared" si="31"/>
        <v>642</v>
      </c>
      <c r="AI41" s="58">
        <f t="shared" si="32"/>
        <v>0</v>
      </c>
      <c r="AJ41" s="58">
        <f t="shared" si="33"/>
        <v>0</v>
      </c>
      <c r="AK41" s="58">
        <f t="shared" si="34"/>
        <v>0</v>
      </c>
      <c r="AL41" s="58">
        <f t="array" ref="AL41">_xlfn.IFS(R41=0,AE41,R41&lt;0,AE41/-R41,R41&gt;0,AE41/R41)</f>
        <v>0</v>
      </c>
      <c r="AM41" s="59">
        <f t="shared" si="35"/>
        <v>0</v>
      </c>
      <c r="AN41" s="60">
        <f t="shared" si="36"/>
        <v>0</v>
      </c>
      <c r="AP41" s="62">
        <f t="shared" si="37"/>
        <v>0</v>
      </c>
    </row>
    <row r="42" spans="1:42">
      <c r="A42" s="39">
        <v>2774722656</v>
      </c>
      <c r="B42" s="40" t="s">
        <v>51</v>
      </c>
      <c r="C42" s="41">
        <v>8</v>
      </c>
      <c r="D42" s="42"/>
      <c r="E42" s="42"/>
      <c r="F42" s="42"/>
      <c r="G42" s="43"/>
      <c r="H42" s="65">
        <v>687</v>
      </c>
      <c r="I42" s="63">
        <f t="shared" si="20"/>
        <v>5496</v>
      </c>
      <c r="J42" s="45"/>
      <c r="K42" s="41"/>
      <c r="L42" s="45"/>
      <c r="M42" s="45"/>
      <c r="N42" s="46">
        <f t="shared" si="21"/>
        <v>0</v>
      </c>
      <c r="O42" s="47">
        <f t="shared" si="22"/>
        <v>0.14285714285714285</v>
      </c>
      <c r="P42" s="48">
        <f>SUMIFS('Отчет 20-26.10'!H:H,'Отчет 20-26.10'!D:D,"Выручка",'Отчет 20-26.10'!E:E,B42)</f>
        <v>1</v>
      </c>
      <c r="Q42" s="48">
        <f>SUMIFS('Отчет 20-26.10'!H:H,'Отчет 20-26.10'!D:D,"Возврат выручки",'Отчет 20-26.10'!E:E,B42)</f>
        <v>0</v>
      </c>
      <c r="R42" s="49">
        <f t="shared" si="23"/>
        <v>1</v>
      </c>
      <c r="S42" s="50">
        <f>SUMIFS('Отчет 20-26.10'!O:O,'Отчет 20-26.10'!C:C,"Продажи",'Отчет 20-26.10'!E:E,B42)</f>
        <v>5000</v>
      </c>
      <c r="T42" s="51">
        <f>SUMIFS('Отчет 20-26.10'!O:O,'Отчет 20-26.10'!C:C,"Возвраты",'Отчет 20-26.10'!E:E,B42)</f>
        <v>0</v>
      </c>
      <c r="U42" s="49">
        <f t="shared" si="24"/>
        <v>5000</v>
      </c>
      <c r="V42" s="52">
        <f t="shared" si="25"/>
        <v>0.11298924342402604</v>
      </c>
      <c r="W42" s="53">
        <f t="shared" si="26"/>
        <v>687</v>
      </c>
      <c r="X42" s="51">
        <f>-SUMIFS('Отчет 20-26.10'!O:O,'Отчет 20-26.10'!C:C,"Вознаграждение Ozon",'Отчет 20-26.10'!E:E,B42)</f>
        <v>1700</v>
      </c>
      <c r="Y42" s="54">
        <f t="shared" si="27"/>
        <v>0.34</v>
      </c>
      <c r="Z42" s="51">
        <f>-SUMIFS('Отчет 20-26.10'!O:O,'Отчет 20-26.10'!C:C,"Услуги доставки",'Отчет 20-26.10'!E:E,B42)</f>
        <v>616</v>
      </c>
      <c r="AA42" s="41">
        <v>0</v>
      </c>
      <c r="AB42" s="64"/>
      <c r="AC42" s="51"/>
      <c r="AD42" s="55">
        <f t="shared" si="28"/>
        <v>300</v>
      </c>
      <c r="AE42" s="56">
        <f t="shared" si="29"/>
        <v>1697</v>
      </c>
      <c r="AF42" s="55"/>
      <c r="AG42" s="57">
        <f t="shared" si="30"/>
        <v>5000</v>
      </c>
      <c r="AH42" s="58">
        <f t="shared" si="31"/>
        <v>687</v>
      </c>
      <c r="AI42" s="58">
        <f t="shared" si="32"/>
        <v>1700</v>
      </c>
      <c r="AJ42" s="58">
        <f t="shared" si="33"/>
        <v>616</v>
      </c>
      <c r="AK42" s="58">
        <f t="shared" si="34"/>
        <v>0</v>
      </c>
      <c r="AL42" s="58">
        <f t="array" ref="AL42">_xlfn.IFS(R42=0,AE42,R42&lt;0,AE42/-R42,R42&gt;0,AE42/R42)</f>
        <v>1697</v>
      </c>
      <c r="AM42" s="59">
        <f t="shared" si="35"/>
        <v>0.33939999999999998</v>
      </c>
      <c r="AN42" s="60">
        <f t="shared" si="36"/>
        <v>2.470160116448326</v>
      </c>
      <c r="AP42" s="62">
        <f t="shared" si="37"/>
        <v>13576</v>
      </c>
    </row>
    <row r="43" spans="1:42">
      <c r="A43" s="39">
        <v>2774721190</v>
      </c>
      <c r="B43" s="40" t="s">
        <v>70</v>
      </c>
      <c r="C43" s="41">
        <v>8</v>
      </c>
      <c r="D43" s="42"/>
      <c r="E43" s="42"/>
      <c r="F43" s="42"/>
      <c r="G43" s="43"/>
      <c r="H43" s="65">
        <v>687</v>
      </c>
      <c r="I43" s="63">
        <f t="shared" si="20"/>
        <v>5496</v>
      </c>
      <c r="J43" s="45"/>
      <c r="K43" s="41"/>
      <c r="L43" s="45"/>
      <c r="M43" s="45"/>
      <c r="N43" s="46">
        <f t="shared" si="21"/>
        <v>0</v>
      </c>
      <c r="O43" s="47">
        <f t="shared" si="22"/>
        <v>0</v>
      </c>
      <c r="P43" s="48">
        <f>SUMIFS('Отчет 20-26.10'!H:H,'Отчет 20-26.10'!D:D,"Выручка",'Отчет 20-26.10'!E:E,B43)</f>
        <v>0</v>
      </c>
      <c r="Q43" s="48">
        <f>SUMIFS('Отчет 20-26.10'!H:H,'Отчет 20-26.10'!D:D,"Возврат выручки",'Отчет 20-26.10'!E:E,B43)</f>
        <v>0</v>
      </c>
      <c r="R43" s="49">
        <f t="shared" si="23"/>
        <v>0</v>
      </c>
      <c r="S43" s="50">
        <f>SUMIFS('Отчет 20-26.10'!O:O,'Отчет 20-26.10'!C:C,"Продажи",'Отчет 20-26.10'!E:E,B43)</f>
        <v>0</v>
      </c>
      <c r="T43" s="51">
        <f>SUMIFS('Отчет 20-26.10'!O:O,'Отчет 20-26.10'!C:C,"Возвраты",'Отчет 20-26.10'!E:E,B43)</f>
        <v>0</v>
      </c>
      <c r="U43" s="49">
        <f t="shared" si="24"/>
        <v>0</v>
      </c>
      <c r="V43" s="52">
        <f t="shared" si="25"/>
        <v>0</v>
      </c>
      <c r="W43" s="53">
        <f t="shared" si="26"/>
        <v>0</v>
      </c>
      <c r="X43" s="51">
        <f>-SUMIFS('Отчет 20-26.10'!O:O,'Отчет 20-26.10'!C:C,"Вознаграждение Ozon",'Отчет 20-26.10'!E:E,B43)</f>
        <v>0</v>
      </c>
      <c r="Y43" s="54">
        <f t="shared" si="27"/>
        <v>0</v>
      </c>
      <c r="Z43" s="51">
        <f>-SUMIFS('Отчет 20-26.10'!O:O,'Отчет 20-26.10'!C:C,"Услуги доставки",'Отчет 20-26.10'!E:E,B43)</f>
        <v>0</v>
      </c>
      <c r="AA43" s="41">
        <v>335.90103599999998</v>
      </c>
      <c r="AB43" s="64"/>
      <c r="AC43" s="51"/>
      <c r="AD43" s="55">
        <f t="shared" si="28"/>
        <v>0</v>
      </c>
      <c r="AE43" s="56">
        <f t="shared" si="29"/>
        <v>-335.90103599999998</v>
      </c>
      <c r="AF43" s="55"/>
      <c r="AG43" s="57">
        <f t="shared" si="30"/>
        <v>0</v>
      </c>
      <c r="AH43" s="58">
        <f t="shared" si="31"/>
        <v>687</v>
      </c>
      <c r="AI43" s="58">
        <f t="shared" si="32"/>
        <v>0</v>
      </c>
      <c r="AJ43" s="58">
        <f t="shared" si="33"/>
        <v>0</v>
      </c>
      <c r="AK43" s="58">
        <f t="shared" si="34"/>
        <v>0</v>
      </c>
      <c r="AL43" s="58">
        <f t="array" ref="AL43">_xlfn.IFS(R43=0,AE43,R43&lt;0,AE43/-R43,R43&gt;0,AE43/R43)</f>
        <v>-335.90103599999998</v>
      </c>
      <c r="AM43" s="59">
        <f t="shared" si="35"/>
        <v>0</v>
      </c>
      <c r="AN43" s="60">
        <f t="shared" si="36"/>
        <v>-0.48893891703056763</v>
      </c>
      <c r="AP43" s="62">
        <f t="shared" si="37"/>
        <v>-2687.2082879999998</v>
      </c>
    </row>
    <row r="44" spans="1:42">
      <c r="A44" s="39">
        <v>2774718796</v>
      </c>
      <c r="B44" s="40" t="s">
        <v>66</v>
      </c>
      <c r="C44" s="41">
        <v>6</v>
      </c>
      <c r="D44" s="42"/>
      <c r="E44" s="42"/>
      <c r="F44" s="42"/>
      <c r="G44" s="43"/>
      <c r="H44" s="65">
        <v>552</v>
      </c>
      <c r="I44" s="63">
        <f t="shared" si="20"/>
        <v>3312</v>
      </c>
      <c r="J44" s="45"/>
      <c r="K44" s="41"/>
      <c r="L44" s="45"/>
      <c r="M44" s="45"/>
      <c r="N44" s="46">
        <f t="shared" si="21"/>
        <v>0</v>
      </c>
      <c r="O44" s="47">
        <f t="shared" si="22"/>
        <v>0.14285714285714285</v>
      </c>
      <c r="P44" s="48">
        <f>SUMIFS('Отчет 20-26.10'!H:H,'Отчет 20-26.10'!D:D,"Выручка",'Отчет 20-26.10'!E:E,B44)</f>
        <v>1</v>
      </c>
      <c r="Q44" s="48">
        <f>SUMIFS('Отчет 20-26.10'!H:H,'Отчет 20-26.10'!D:D,"Возврат выручки",'Отчет 20-26.10'!E:E,B44)</f>
        <v>0</v>
      </c>
      <c r="R44" s="49">
        <f t="shared" si="23"/>
        <v>1</v>
      </c>
      <c r="S44" s="50">
        <f>SUMIFS('Отчет 20-26.10'!O:O,'Отчет 20-26.10'!C:C,"Продажи",'Отчет 20-26.10'!E:E,B44)</f>
        <v>3690</v>
      </c>
      <c r="T44" s="51">
        <f>SUMIFS('Отчет 20-26.10'!O:O,'Отчет 20-26.10'!C:C,"Возвраты",'Отчет 20-26.10'!E:E,B44)</f>
        <v>0</v>
      </c>
      <c r="U44" s="49">
        <f t="shared" si="24"/>
        <v>3690</v>
      </c>
      <c r="V44" s="52">
        <f t="shared" si="25"/>
        <v>8.3386061646931214E-2</v>
      </c>
      <c r="W44" s="53">
        <f t="shared" si="26"/>
        <v>552</v>
      </c>
      <c r="X44" s="51">
        <f>-SUMIFS('Отчет 20-26.10'!O:O,'Отчет 20-26.10'!C:C,"Вознаграждение Ozon",'Отчет 20-26.10'!E:E,B44)</f>
        <v>885.6</v>
      </c>
      <c r="Y44" s="54">
        <f t="shared" si="27"/>
        <v>0.24000000000000002</v>
      </c>
      <c r="Z44" s="51">
        <f>-SUMIFS('Отчет 20-26.10'!O:O,'Отчет 20-26.10'!C:C,"Услуги доставки",'Отчет 20-26.10'!E:E,B44)</f>
        <v>168</v>
      </c>
      <c r="AA44" s="41">
        <v>782.1</v>
      </c>
      <c r="AB44" s="64"/>
      <c r="AC44" s="51"/>
      <c r="AD44" s="55">
        <f t="shared" si="28"/>
        <v>221.4</v>
      </c>
      <c r="AE44" s="56">
        <f t="shared" si="29"/>
        <v>1080.9000000000001</v>
      </c>
      <c r="AF44" s="55"/>
      <c r="AG44" s="57">
        <f t="shared" si="30"/>
        <v>3690</v>
      </c>
      <c r="AH44" s="58">
        <f t="shared" si="31"/>
        <v>552</v>
      </c>
      <c r="AI44" s="58">
        <f t="shared" si="32"/>
        <v>885.6</v>
      </c>
      <c r="AJ44" s="58">
        <f t="shared" si="33"/>
        <v>168</v>
      </c>
      <c r="AK44" s="58">
        <f t="shared" si="34"/>
        <v>782.1</v>
      </c>
      <c r="AL44" s="58">
        <f t="array" ref="AL44">_xlfn.IFS(R44=0,AE44,R44&lt;0,AE44/-R44,R44&gt;0,AE44/R44)</f>
        <v>1080.9000000000001</v>
      </c>
      <c r="AM44" s="59">
        <f t="shared" si="35"/>
        <v>0.29292682926829272</v>
      </c>
      <c r="AN44" s="60">
        <f t="shared" si="36"/>
        <v>1.9581521739130436</v>
      </c>
      <c r="AP44" s="62">
        <f t="shared" si="37"/>
        <v>6485.4000000000005</v>
      </c>
    </row>
    <row r="45" spans="1:42">
      <c r="A45" s="39">
        <v>2774719500</v>
      </c>
      <c r="B45" s="40" t="s">
        <v>245</v>
      </c>
      <c r="C45" s="41">
        <v>19</v>
      </c>
      <c r="D45" s="42"/>
      <c r="E45" s="42"/>
      <c r="F45" s="42"/>
      <c r="G45" s="43"/>
      <c r="H45" s="65">
        <v>552</v>
      </c>
      <c r="I45" s="63">
        <f t="shared" si="20"/>
        <v>10488</v>
      </c>
      <c r="J45" s="45"/>
      <c r="K45" s="41"/>
      <c r="L45" s="45"/>
      <c r="M45" s="45"/>
      <c r="N45" s="46">
        <f t="shared" si="21"/>
        <v>0</v>
      </c>
      <c r="O45" s="47">
        <f t="shared" si="22"/>
        <v>0.2857142857142857</v>
      </c>
      <c r="P45" s="48">
        <f>SUMIFS('Отчет 20-26.10'!H:H,'Отчет 20-26.10'!D:D,"Выручка",'Отчет 20-26.10'!E:E,B45)</f>
        <v>1</v>
      </c>
      <c r="Q45" s="48">
        <f>SUMIFS('Отчет 20-26.10'!H:H,'Отчет 20-26.10'!D:D,"Возврат выручки",'Отчет 20-26.10'!E:E,B45)</f>
        <v>1</v>
      </c>
      <c r="R45" s="49">
        <f t="shared" si="23"/>
        <v>2</v>
      </c>
      <c r="S45" s="50">
        <f>SUMIFS('Отчет 20-26.10'!O:O,'Отчет 20-26.10'!C:C,"Продажи",'Отчет 20-26.10'!E:E,B45)</f>
        <v>5000</v>
      </c>
      <c r="T45" s="51">
        <f>SUMIFS('Отчет 20-26.10'!O:O,'Отчет 20-26.10'!C:C,"Возвраты",'Отчет 20-26.10'!E:E,B45)</f>
        <v>-5000</v>
      </c>
      <c r="U45" s="49">
        <f t="shared" si="24"/>
        <v>0</v>
      </c>
      <c r="V45" s="52">
        <f t="shared" si="25"/>
        <v>0</v>
      </c>
      <c r="W45" s="53">
        <f t="shared" si="26"/>
        <v>1104</v>
      </c>
      <c r="X45" s="51">
        <f>-SUMIFS('Отчет 20-26.10'!O:O,'Отчет 20-26.10'!C:C,"Вознаграждение Ozon",'Отчет 20-26.10'!E:E,B45)</f>
        <v>0</v>
      </c>
      <c r="Y45" s="54">
        <f t="shared" si="27"/>
        <v>0</v>
      </c>
      <c r="Z45" s="51">
        <f>-SUMIFS('Отчет 20-26.10'!O:O,'Отчет 20-26.10'!C:C,"Услуги доставки",'Отчет 20-26.10'!E:E,B45)</f>
        <v>56</v>
      </c>
      <c r="AA45" s="41">
        <v>0</v>
      </c>
      <c r="AB45" s="64"/>
      <c r="AC45" s="51"/>
      <c r="AD45" s="55">
        <f t="shared" si="28"/>
        <v>0</v>
      </c>
      <c r="AE45" s="56">
        <f t="shared" si="29"/>
        <v>-1160</v>
      </c>
      <c r="AF45" s="55"/>
      <c r="AG45" s="57">
        <f t="shared" si="30"/>
        <v>0</v>
      </c>
      <c r="AH45" s="58">
        <f t="shared" si="31"/>
        <v>552</v>
      </c>
      <c r="AI45" s="58">
        <f t="shared" si="32"/>
        <v>0</v>
      </c>
      <c r="AJ45" s="58">
        <f t="shared" si="33"/>
        <v>56</v>
      </c>
      <c r="AK45" s="58">
        <f t="shared" si="34"/>
        <v>0</v>
      </c>
      <c r="AL45" s="58">
        <f t="array" ref="AL45">_xlfn.IFS(R45=0,AE45,R45&lt;0,AE45/-R45,R45&gt;0,AE45/R45)</f>
        <v>-580</v>
      </c>
      <c r="AM45" s="59">
        <f t="shared" si="35"/>
        <v>0</v>
      </c>
      <c r="AN45" s="60">
        <f t="shared" si="36"/>
        <v>-1.0507246376811594</v>
      </c>
      <c r="AP45" s="62">
        <f t="shared" si="37"/>
        <v>-11020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38">AVERAGEIF(AG26:AG45,"&lt;&gt;0",AG26:AG45)</f>
        <v>4059.5</v>
      </c>
      <c r="AH46" s="259">
        <f t="shared" si="38"/>
        <v>617.25</v>
      </c>
      <c r="AI46" s="259">
        <f t="shared" si="38"/>
        <v>1287.98</v>
      </c>
      <c r="AJ46" s="259">
        <f t="shared" si="38"/>
        <v>151.03030303030303</v>
      </c>
      <c r="AK46" s="259">
        <f t="shared" si="38"/>
        <v>1241.5825256666667</v>
      </c>
      <c r="AL46" s="259">
        <f t="shared" si="38"/>
        <v>42.37415873076926</v>
      </c>
      <c r="AM46" s="260">
        <f t="shared" si="38"/>
        <v>0.24695980365326281</v>
      </c>
      <c r="AN46" s="260">
        <f t="shared" si="38"/>
        <v>0.15640544636772816</v>
      </c>
      <c r="AO46" s="240"/>
      <c r="AP46" s="241"/>
    </row>
    <row r="47" spans="1:42">
      <c r="A47" s="218" t="s">
        <v>306</v>
      </c>
      <c r="B47" s="219"/>
      <c r="C47" s="220">
        <f>SUM(C26:C45)</f>
        <v>317</v>
      </c>
      <c r="D47" s="221"/>
      <c r="E47" s="221"/>
      <c r="F47" s="221"/>
      <c r="G47" s="221"/>
      <c r="H47" s="222"/>
      <c r="I47" s="220">
        <f>SUM(I26:I45)</f>
        <v>194139</v>
      </c>
      <c r="J47" s="223"/>
      <c r="K47" s="220">
        <f>SUM(K26:K45)</f>
        <v>0</v>
      </c>
      <c r="L47" s="223"/>
      <c r="M47" s="223"/>
      <c r="N47" s="224"/>
      <c r="O47" s="225"/>
      <c r="P47" s="220">
        <f t="shared" ref="P47:X47" si="39">SUM(P26:P45)</f>
        <v>8</v>
      </c>
      <c r="Q47" s="220">
        <f t="shared" si="39"/>
        <v>2</v>
      </c>
      <c r="R47" s="250">
        <f t="shared" si="39"/>
        <v>10</v>
      </c>
      <c r="S47" s="220">
        <f t="shared" si="39"/>
        <v>36024</v>
      </c>
      <c r="T47" s="220">
        <f t="shared" si="39"/>
        <v>-9548</v>
      </c>
      <c r="U47" s="250">
        <f t="shared" si="39"/>
        <v>26476</v>
      </c>
      <c r="V47" s="253">
        <f t="shared" si="39"/>
        <v>0.59830064177890263</v>
      </c>
      <c r="W47" s="220">
        <f t="shared" si="39"/>
        <v>6195</v>
      </c>
      <c r="X47" s="220">
        <f t="shared" si="39"/>
        <v>8263.84</v>
      </c>
      <c r="Y47" s="226">
        <f>IF(U47=0,0,X47/U47)</f>
        <v>0.31212569874603413</v>
      </c>
      <c r="Z47" s="220">
        <f>SUM(Z26:Z45)</f>
        <v>1848</v>
      </c>
      <c r="AA47" s="220">
        <f>IFERROR(P47*AA49/P49,0)</f>
        <v>7570.3314285714278</v>
      </c>
      <c r="AB47" s="220">
        <f>SUM(AB26:AB45)</f>
        <v>0</v>
      </c>
      <c r="AC47" s="220">
        <f>SUM(AC26:AC45)</f>
        <v>0</v>
      </c>
      <c r="AD47" s="250">
        <f>SUM(AD26:AD45)</f>
        <v>1588.56</v>
      </c>
      <c r="AE47" s="220">
        <f>SUM(AE26:AE45)</f>
        <v>-2143.6823019999997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-11829.629127000004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10724.282302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3812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660765.73</v>
      </c>
      <c r="J49" s="229">
        <f>J24+J47</f>
        <v>0</v>
      </c>
      <c r="K49" s="229">
        <f>K24+K47</f>
        <v>20</v>
      </c>
      <c r="L49" s="230"/>
      <c r="M49" s="230"/>
      <c r="N49" s="230"/>
      <c r="O49" s="230"/>
      <c r="P49" s="269">
        <f t="shared" ref="P49:X49" si="40">P24+P47</f>
        <v>21</v>
      </c>
      <c r="Q49" s="229">
        <f t="shared" si="40"/>
        <v>2</v>
      </c>
      <c r="R49" s="252">
        <f t="shared" si="40"/>
        <v>23</v>
      </c>
      <c r="S49" s="229">
        <f t="shared" si="40"/>
        <v>53800</v>
      </c>
      <c r="T49" s="229">
        <f t="shared" si="40"/>
        <v>-9548</v>
      </c>
      <c r="U49" s="252">
        <f t="shared" si="40"/>
        <v>44252</v>
      </c>
      <c r="V49" s="255">
        <f t="shared" si="40"/>
        <v>1</v>
      </c>
      <c r="W49" s="229">
        <f t="shared" si="40"/>
        <v>8874.9700000000012</v>
      </c>
      <c r="X49" s="229">
        <f t="shared" si="40"/>
        <v>14216.32</v>
      </c>
      <c r="Y49" s="232">
        <f>X49/U49</f>
        <v>0.32125824821476995</v>
      </c>
      <c r="Z49" s="229">
        <f>Z24+Z47</f>
        <v>4080</v>
      </c>
      <c r="AA49" s="75">
        <v>19872.12</v>
      </c>
      <c r="AB49" s="74"/>
      <c r="AC49" s="74">
        <f>SUM(AC3:AC45)</f>
        <v>0</v>
      </c>
      <c r="AD49" s="229">
        <f>AD24+AD47</f>
        <v>2655.12</v>
      </c>
      <c r="AE49" s="233">
        <f>AE24+AE47</f>
        <v>-4423.8704209999996</v>
      </c>
      <c r="AF49" s="76"/>
      <c r="AG49" s="234"/>
      <c r="AH49" s="235"/>
      <c r="AI49" s="235"/>
      <c r="AJ49" s="235"/>
      <c r="AK49" s="235">
        <f>AA50/P49</f>
        <v>946.29142857142847</v>
      </c>
      <c r="AL49" s="235"/>
      <c r="AM49" s="235"/>
      <c r="AN49" s="236"/>
      <c r="AP49" s="233">
        <f>SUM(AP3:AP45)</f>
        <v>637667.33309100021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19872.12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18849.460421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>
        <f>I56/I49</f>
        <v>0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660765.73</v>
      </c>
      <c r="J57" s="109">
        <f>I57/I49</f>
        <v>1</v>
      </c>
      <c r="K57" s="105">
        <f>AP49-K56-K58</f>
        <v>637667.33309100021</v>
      </c>
      <c r="L57" s="106">
        <f>K57/I57</f>
        <v>0.96504298594753124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>
        <f>I58/I49</f>
        <v>0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77" priority="17" operator="greaterThan">
      <formula>120</formula>
    </cfRule>
  </conditionalFormatting>
  <conditionalFormatting sqref="N48">
    <cfRule type="cellIs" dxfId="76" priority="16" operator="between">
      <formula>0.000001</formula>
      <formula>25</formula>
    </cfRule>
  </conditionalFormatting>
  <conditionalFormatting sqref="V1 V50:V53 V55:V1048576">
    <cfRule type="cellIs" dxfId="75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{958E9DE5-6F6A-4779-A9F8-BFF4C1979157}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{4D4B4F24-52B0-40C2-833E-5AAA944EC4B6}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{E93739C4-235D-4DFE-B3A7-82E5DD027652}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{779E8F54-625E-412B-B468-55D97853103A}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{343F56EE-26FD-49CA-99E2-8B6B211936FC}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{A3612942-FC44-4BBF-AE8C-08103835DE6C}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{496482D6-0DA8-4D03-805B-1ABE86D9A671}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{E0D519DF-F7A4-4943-A169-0F631BEB2798}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{537B9AFA-0423-4F0A-ABBD-039B0C152759}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{F47784F8-26B0-4678-BD5F-4981EAFBF44B}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{36D53CAE-9051-4C44-89BF-2D8C182E5158}</x14:id>
        </ext>
      </extLst>
    </cfRule>
  </conditionalFormatting>
  <conditionalFormatting sqref="P48">
    <cfRule type="cellIs" dxfId="74" priority="12" operator="greaterThan">
      <formula>120</formula>
    </cfRule>
  </conditionalFormatting>
  <conditionalFormatting sqref="Q48">
    <cfRule type="cellIs" dxfId="73" priority="11" operator="greaterThan">
      <formula>120</formula>
    </cfRule>
  </conditionalFormatting>
  <conditionalFormatting sqref="R48">
    <cfRule type="cellIs" dxfId="72" priority="10" operator="greaterThan">
      <formula>120</formula>
    </cfRule>
  </conditionalFormatting>
  <conditionalFormatting sqref="S48">
    <cfRule type="cellIs" dxfId="71" priority="9" operator="greaterThan">
      <formula>120</formula>
    </cfRule>
  </conditionalFormatting>
  <conditionalFormatting sqref="T48">
    <cfRule type="cellIs" dxfId="70" priority="8" operator="greaterThan">
      <formula>120</formula>
    </cfRule>
  </conditionalFormatting>
  <conditionalFormatting sqref="U48">
    <cfRule type="cellIs" dxfId="69" priority="7" operator="greaterThan">
      <formula>120</formula>
    </cfRule>
  </conditionalFormatting>
  <conditionalFormatting sqref="V48">
    <cfRule type="cellIs" dxfId="68" priority="6" operator="greaterThan">
      <formula>120</formula>
    </cfRule>
  </conditionalFormatting>
  <conditionalFormatting sqref="W48">
    <cfRule type="cellIs" dxfId="67" priority="5" operator="greaterThan">
      <formula>120</formula>
    </cfRule>
  </conditionalFormatting>
  <conditionalFormatting sqref="X48">
    <cfRule type="cellIs" dxfId="66" priority="4" operator="greaterThan">
      <formula>120</formula>
    </cfRule>
  </conditionalFormatting>
  <conditionalFormatting sqref="Z48">
    <cfRule type="cellIs" dxfId="65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{E7272306-3D6B-4E5D-84F9-5E0A9CC08410}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{D4971E04-AEFC-454B-8188-F0E4ADB21C2B}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8E9DE5-6F6A-4779-A9F8-BFF4C19791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4D4B4F24-52B0-40C2-833E-5AAA944EC4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E93739C4-235D-4DFE-B3A7-82E5DD0276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779E8F54-625E-412B-B468-55D9785310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343F56EE-26FD-49CA-99E2-8B6B21193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A3612942-FC44-4BBF-AE8C-08103835DE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496482D6-0DA8-4D03-805B-1ABE86D9A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E0D519DF-F7A4-4943-A169-0F631BEB27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537B9AFA-0423-4F0A-ABBD-039B0C152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F47784F8-26B0-4678-BD5F-4981EAFBF4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36D53CAE-9051-4C44-89BF-2D8C182E51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E7272306-3D6B-4E5D-84F9-5E0A9CC08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D4971E04-AEFC-454B-8188-F0E4ADB21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8F4E-9D12-43D1-BE2D-F845807BB8B1}">
  <dimension ref="A1:AZ62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5" sqref="O15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322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323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341</v>
      </c>
      <c r="D3" s="42"/>
      <c r="E3" s="42"/>
      <c r="F3" s="42"/>
      <c r="G3" s="43"/>
      <c r="H3" s="44">
        <v>142.97999999999999</v>
      </c>
      <c r="I3" s="42">
        <f t="shared" ref="I3:I22" si="0">C3*H3</f>
        <v>48756.179999999993</v>
      </c>
      <c r="J3" s="45"/>
      <c r="K3" s="41">
        <v>11</v>
      </c>
      <c r="L3" s="45"/>
      <c r="M3" s="45"/>
      <c r="N3" s="46">
        <f t="shared" ref="N3:N22" si="1">K3/7</f>
        <v>1.5714285714285714</v>
      </c>
      <c r="O3" s="47">
        <f t="shared" ref="O3:O22" si="2">R3/7</f>
        <v>1</v>
      </c>
      <c r="P3" s="48">
        <f>SUMIFS('Отчет 13-19.10'!H:H,'Отчет 13-19.10'!D:D,"Выручка",'Отчет 13-19.10'!E:E,B3)</f>
        <v>7</v>
      </c>
      <c r="Q3" s="48">
        <f>SUMIFS('Отчет 13-19.10'!H:H,'Отчет 13-19.10'!D:D,"Возврат выручки",'Отчет 13-19.10'!E:E,B3)</f>
        <v>0</v>
      </c>
      <c r="R3" s="49">
        <f t="shared" ref="R3:R22" si="3">P3+Q3</f>
        <v>7</v>
      </c>
      <c r="S3" s="50">
        <f>SUMIFS('Отчет 13-19.10'!O:O,'Отчет 13-19.10'!C:C,"Продажи",'Отчет 13-19.10'!E:E,B3)</f>
        <v>8638</v>
      </c>
      <c r="T3" s="51">
        <f>SUMIFS('Отчет 13-19.10'!O:O,'Отчет 13-19.10'!C:C,"Возвраты",'Отчет 13-19.10'!E:E,B3)</f>
        <v>0</v>
      </c>
      <c r="U3" s="49">
        <f t="shared" ref="U3:U22" si="4">S3+T3</f>
        <v>8638</v>
      </c>
      <c r="V3" s="52">
        <f t="shared" ref="V3:V22" si="5">U3/$U$49</f>
        <v>0.12924559356016399</v>
      </c>
      <c r="W3" s="53">
        <f t="shared" ref="W3:W22" si="6">R3*H3</f>
        <v>1000.8599999999999</v>
      </c>
      <c r="X3" s="51">
        <f>-SUMIFS('Отчет 13-19.10'!O:O,'Отчет 13-19.10'!C:C,"Вознаграждение Ozon",'Отчет 13-19.10'!E:E,B3)</f>
        <v>2384.92</v>
      </c>
      <c r="Y3" s="54">
        <f t="shared" ref="Y3:Y22" si="7">IF(U3=0,0,X3/U3)</f>
        <v>0.27609631859226674</v>
      </c>
      <c r="Z3" s="51">
        <f>-SUMIFS('Отчет 13-19.10'!O:O,'Отчет 13-19.10'!C:C,"Услуги доставки",'Отчет 13-19.10'!E:E,B3)</f>
        <v>1472</v>
      </c>
      <c r="AA3" s="41">
        <v>3769.3329450000001</v>
      </c>
      <c r="AB3" s="51"/>
      <c r="AC3" s="51"/>
      <c r="AD3" s="55">
        <f t="shared" ref="AD3:AD22" si="8">U3*6%</f>
        <v>518.28</v>
      </c>
      <c r="AE3" s="56">
        <f t="shared" ref="AE3:AE22" si="9">U3-W3-X3-Z3-AA3-AB3-AC3-AD3</f>
        <v>-507.39294499999983</v>
      </c>
      <c r="AF3" s="55"/>
      <c r="AG3" s="57">
        <f t="shared" ref="AG3:AG22" si="10">IF(R3=0,0,U3/R3)</f>
        <v>1234</v>
      </c>
      <c r="AH3" s="58">
        <f t="shared" ref="AH3:AH22" si="11">H3</f>
        <v>142.97999999999999</v>
      </c>
      <c r="AI3" s="58">
        <f t="shared" ref="AI3:AI22" si="12">IF(R3=0,0,X3/R3)</f>
        <v>340.70285714285717</v>
      </c>
      <c r="AJ3" s="58">
        <f t="shared" ref="AJ3:AJ22" si="13">IF(P3=0,Z3/1,Z3/P3)</f>
        <v>210.28571428571428</v>
      </c>
      <c r="AK3" s="58">
        <f t="shared" ref="AK3:AK22" si="14">IF(P3=0,0,AA3/P3)</f>
        <v>538.476135</v>
      </c>
      <c r="AL3" s="58">
        <f>_xlfn.IFS(R3=0,AE3,R3&lt;0,AE3/-R3,R3&gt;0,AE3/R3)</f>
        <v>-72.4847064285714</v>
      </c>
      <c r="AM3" s="59">
        <f t="shared" ref="AM3:AM22" si="15">IF(AG3=0,0,AL3/AG3)</f>
        <v>-5.8739632438064342E-2</v>
      </c>
      <c r="AN3" s="60">
        <f t="shared" ref="AN3:AN22" si="16">IF(AH3=0,0,AL3/AH3)</f>
        <v>-0.50695696201266893</v>
      </c>
      <c r="AP3" s="62">
        <f t="shared" ref="AP3:AP22" si="17">AL3*C3</f>
        <v>-24717.284892142849</v>
      </c>
    </row>
    <row r="4" spans="1:42">
      <c r="A4" s="39">
        <v>2638638550</v>
      </c>
      <c r="B4" s="40" t="s">
        <v>92</v>
      </c>
      <c r="C4" s="41">
        <v>389</v>
      </c>
      <c r="D4" s="42"/>
      <c r="E4" s="42"/>
      <c r="F4" s="42"/>
      <c r="G4" s="43"/>
      <c r="H4" s="44">
        <v>123.09</v>
      </c>
      <c r="I4" s="42">
        <f t="shared" si="0"/>
        <v>47882.01</v>
      </c>
      <c r="J4" s="45"/>
      <c r="K4" s="41">
        <v>1</v>
      </c>
      <c r="L4" s="45"/>
      <c r="M4" s="45"/>
      <c r="N4" s="46">
        <f t="shared" si="1"/>
        <v>0.14285714285714285</v>
      </c>
      <c r="O4" s="47">
        <f t="shared" si="2"/>
        <v>0.14285714285714285</v>
      </c>
      <c r="P4" s="48">
        <f>SUMIFS('Отчет 13-19.10'!H:H,'Отчет 13-19.10'!D:D,"Выручка",'Отчет 13-19.10'!E:E,B4)</f>
        <v>1</v>
      </c>
      <c r="Q4" s="48">
        <f>SUMIFS('Отчет 13-19.10'!H:H,'Отчет 13-19.10'!D:D,"Возврат выручки",'Отчет 13-19.10'!E:E,B4)</f>
        <v>0</v>
      </c>
      <c r="R4" s="49">
        <f t="shared" si="3"/>
        <v>1</v>
      </c>
      <c r="S4" s="50">
        <f>SUMIFS('Отчет 13-19.10'!O:O,'Отчет 13-19.10'!C:C,"Продажи",'Отчет 13-19.10'!E:E,B4)</f>
        <v>1196</v>
      </c>
      <c r="T4" s="51">
        <f>SUMIFS('Отчет 13-19.10'!O:O,'Отчет 13-19.10'!C:C,"Возвраты",'Отчет 13-19.10'!E:E,B4)</f>
        <v>0</v>
      </c>
      <c r="U4" s="49">
        <f t="shared" si="4"/>
        <v>1196</v>
      </c>
      <c r="V4" s="52">
        <f t="shared" si="5"/>
        <v>1.7895083340814556E-2</v>
      </c>
      <c r="W4" s="53">
        <f t="shared" si="6"/>
        <v>123.09</v>
      </c>
      <c r="X4" s="51">
        <f>-SUMIFS('Отчет 13-19.10'!O:O,'Отчет 13-19.10'!C:C,"Вознаграждение Ozon",'Отчет 13-19.10'!E:E,B4)</f>
        <v>310.95999999999998</v>
      </c>
      <c r="Y4" s="54">
        <f t="shared" si="7"/>
        <v>0.26</v>
      </c>
      <c r="Z4" s="51">
        <f>-SUMIFS('Отчет 13-19.10'!O:O,'Отчет 13-19.10'!C:C,"Услуги доставки",'Отчет 13-19.10'!E:E,B4)</f>
        <v>138</v>
      </c>
      <c r="AA4" s="41">
        <v>0</v>
      </c>
      <c r="AB4" s="51"/>
      <c r="AC4" s="51"/>
      <c r="AD4" s="55">
        <f t="shared" si="8"/>
        <v>71.759999999999991</v>
      </c>
      <c r="AE4" s="56">
        <f t="shared" si="9"/>
        <v>552.19000000000005</v>
      </c>
      <c r="AF4" s="55"/>
      <c r="AG4" s="57">
        <f t="shared" si="10"/>
        <v>1196</v>
      </c>
      <c r="AH4" s="58">
        <f t="shared" si="11"/>
        <v>123.09</v>
      </c>
      <c r="AI4" s="58">
        <f t="shared" si="12"/>
        <v>310.95999999999998</v>
      </c>
      <c r="AJ4" s="58">
        <f t="shared" si="13"/>
        <v>138</v>
      </c>
      <c r="AK4" s="58">
        <f t="shared" si="14"/>
        <v>0</v>
      </c>
      <c r="AL4" s="58">
        <f t="array" ref="AL4">_xlfn.IFS(R4=0,AE4,R4&lt;0,AE4/-R4,R4&gt;0,AE4/R4)</f>
        <v>552.19000000000005</v>
      </c>
      <c r="AM4" s="59">
        <f t="shared" si="15"/>
        <v>0.46169732441471578</v>
      </c>
      <c r="AN4" s="60">
        <f t="shared" si="16"/>
        <v>4.4860671053700552</v>
      </c>
      <c r="AP4" s="62">
        <f t="shared" si="17"/>
        <v>214801.91000000003</v>
      </c>
    </row>
    <row r="5" spans="1:42">
      <c r="A5" s="39">
        <v>2638691131</v>
      </c>
      <c r="B5" s="40" t="s">
        <v>222</v>
      </c>
      <c r="C5" s="41">
        <v>392</v>
      </c>
      <c r="D5" s="42"/>
      <c r="E5" s="42"/>
      <c r="F5" s="42"/>
      <c r="G5" s="43"/>
      <c r="H5" s="44">
        <v>123.09</v>
      </c>
      <c r="I5" s="63">
        <f t="shared" si="0"/>
        <v>48251.28</v>
      </c>
      <c r="J5" s="45"/>
      <c r="K5" s="41">
        <v>0</v>
      </c>
      <c r="L5" s="45"/>
      <c r="M5" s="45"/>
      <c r="N5" s="46">
        <f t="shared" si="1"/>
        <v>0</v>
      </c>
      <c r="O5" s="47">
        <f t="shared" si="2"/>
        <v>0</v>
      </c>
      <c r="P5" s="48">
        <f>SUMIFS('Отчет 13-19.10'!H:H,'Отчет 13-19.10'!D:D,"Выручка",'Отчет 13-19.10'!E:E,B5)</f>
        <v>0</v>
      </c>
      <c r="Q5" s="48">
        <f>SUMIFS('Отчет 13-19.10'!H:H,'Отчет 13-19.10'!D:D,"Возврат выручки",'Отчет 13-19.10'!E:E,B5)</f>
        <v>0</v>
      </c>
      <c r="R5" s="49">
        <f t="shared" si="3"/>
        <v>0</v>
      </c>
      <c r="S5" s="50">
        <f>SUMIFS('Отчет 13-19.10'!O:O,'Отчет 13-19.10'!C:C,"Продажи",'Отчет 13-19.10'!E:E,B5)</f>
        <v>0</v>
      </c>
      <c r="T5" s="51">
        <f>SUMIFS('Отчет 13-19.10'!O:O,'Отчет 13-19.10'!C:C,"Возвраты",'Отчет 13-19.10'!E:E,B5)</f>
        <v>0</v>
      </c>
      <c r="U5" s="49">
        <f t="shared" si="4"/>
        <v>0</v>
      </c>
      <c r="V5" s="52">
        <f t="shared" si="5"/>
        <v>0</v>
      </c>
      <c r="W5" s="53">
        <f t="shared" si="6"/>
        <v>0</v>
      </c>
      <c r="X5" s="51">
        <f>-SUMIFS('Отчет 13-19.10'!O:O,'Отчет 13-19.10'!C:C,"Вознаграждение Ozon",'Отчет 13-19.10'!E:E,B5)</f>
        <v>0</v>
      </c>
      <c r="Y5" s="54">
        <f t="shared" si="7"/>
        <v>0</v>
      </c>
      <c r="Z5" s="51">
        <f>-SUMIFS('Отчет 13-19.10'!O:O,'Отчет 13-19.10'!C:C,"Услуги доставки",'Отчет 13-19.10'!E:E,B5)</f>
        <v>0</v>
      </c>
      <c r="AA5" s="41">
        <v>0</v>
      </c>
      <c r="AB5" s="64"/>
      <c r="AC5" s="51"/>
      <c r="AD5" s="55">
        <f t="shared" si="8"/>
        <v>0</v>
      </c>
      <c r="AE5" s="56">
        <f t="shared" si="9"/>
        <v>0</v>
      </c>
      <c r="AF5" s="55"/>
      <c r="AG5" s="57">
        <f t="shared" si="10"/>
        <v>0</v>
      </c>
      <c r="AH5" s="58">
        <f t="shared" si="11"/>
        <v>123.09</v>
      </c>
      <c r="AI5" s="58">
        <f t="shared" si="12"/>
        <v>0</v>
      </c>
      <c r="AJ5" s="58">
        <f t="shared" si="13"/>
        <v>0</v>
      </c>
      <c r="AK5" s="58">
        <f t="shared" si="14"/>
        <v>0</v>
      </c>
      <c r="AL5" s="58">
        <f t="array" ref="AL5">_xlfn.IFS(R5=0,AE5,R5&lt;0,AE5/-R5,R5&gt;0,AE5/R5)</f>
        <v>0</v>
      </c>
      <c r="AM5" s="59">
        <f t="shared" si="15"/>
        <v>0</v>
      </c>
      <c r="AN5" s="60">
        <f t="shared" si="16"/>
        <v>0</v>
      </c>
      <c r="AP5" s="62">
        <f t="shared" si="17"/>
        <v>0</v>
      </c>
    </row>
    <row r="6" spans="1:42">
      <c r="A6" s="39">
        <v>2638382749</v>
      </c>
      <c r="B6" s="40" t="s">
        <v>223</v>
      </c>
      <c r="C6" s="41">
        <v>904</v>
      </c>
      <c r="D6" s="42"/>
      <c r="E6" s="42"/>
      <c r="F6" s="42"/>
      <c r="G6" s="43"/>
      <c r="H6" s="44">
        <v>123.09</v>
      </c>
      <c r="I6" s="63">
        <f t="shared" si="0"/>
        <v>111273.36</v>
      </c>
      <c r="J6" s="45"/>
      <c r="K6" s="41">
        <v>2</v>
      </c>
      <c r="L6" s="45"/>
      <c r="M6" s="45"/>
      <c r="N6" s="46">
        <f t="shared" si="1"/>
        <v>0.2857142857142857</v>
      </c>
      <c r="O6" s="47">
        <f t="shared" si="2"/>
        <v>0.14285714285714285</v>
      </c>
      <c r="P6" s="48">
        <f>SUMIFS('Отчет 13-19.10'!H:H,'Отчет 13-19.10'!D:D,"Выручка",'Отчет 13-19.10'!E:E,B6)</f>
        <v>1</v>
      </c>
      <c r="Q6" s="48">
        <f>SUMIFS('Отчет 13-19.10'!H:H,'Отчет 13-19.10'!D:D,"Возврат выручки",'Отчет 13-19.10'!E:E,B6)</f>
        <v>0</v>
      </c>
      <c r="R6" s="49">
        <f t="shared" si="3"/>
        <v>1</v>
      </c>
      <c r="S6" s="50">
        <f>SUMIFS('Отчет 13-19.10'!O:O,'Отчет 13-19.10'!C:C,"Продажи",'Отчет 13-19.10'!E:E,B6)</f>
        <v>1378</v>
      </c>
      <c r="T6" s="51">
        <f>SUMIFS('Отчет 13-19.10'!O:O,'Отчет 13-19.10'!C:C,"Возвраты",'Отчет 13-19.10'!E:E,B6)</f>
        <v>0</v>
      </c>
      <c r="U6" s="49">
        <f t="shared" si="4"/>
        <v>1378</v>
      </c>
      <c r="V6" s="52">
        <f t="shared" si="5"/>
        <v>2.0618248197025468E-2</v>
      </c>
      <c r="W6" s="53">
        <f t="shared" si="6"/>
        <v>123.09</v>
      </c>
      <c r="X6" s="51">
        <f>-SUMIFS('Отчет 13-19.10'!O:O,'Отчет 13-19.10'!C:C,"Вознаграждение Ozon",'Отчет 13-19.10'!E:E,B6)</f>
        <v>468.52</v>
      </c>
      <c r="Y6" s="54">
        <f t="shared" si="7"/>
        <v>0.33999999999999997</v>
      </c>
      <c r="Z6" s="51">
        <f>-SUMIFS('Отчет 13-19.10'!O:O,'Отчет 13-19.10'!C:C,"Услуги доставки",'Отчет 13-19.10'!E:E,B6)</f>
        <v>46</v>
      </c>
      <c r="AA6" s="41">
        <v>0</v>
      </c>
      <c r="AB6" s="64"/>
      <c r="AC6" s="51"/>
      <c r="AD6" s="55">
        <f t="shared" si="8"/>
        <v>82.679999999999993</v>
      </c>
      <c r="AE6" s="56">
        <f t="shared" si="9"/>
        <v>657.71000000000015</v>
      </c>
      <c r="AF6" s="55"/>
      <c r="AG6" s="57">
        <f t="shared" si="10"/>
        <v>1378</v>
      </c>
      <c r="AH6" s="58">
        <f t="shared" si="11"/>
        <v>123.09</v>
      </c>
      <c r="AI6" s="58">
        <f t="shared" si="12"/>
        <v>468.52</v>
      </c>
      <c r="AJ6" s="58">
        <f t="shared" si="13"/>
        <v>46</v>
      </c>
      <c r="AK6" s="58">
        <f t="shared" si="14"/>
        <v>0</v>
      </c>
      <c r="AL6" s="58">
        <f t="array" ref="AL6">_xlfn.IFS(R6=0,AE6,R6&lt;0,AE6/-R6,R6&gt;0,AE6/R6)</f>
        <v>657.71000000000015</v>
      </c>
      <c r="AM6" s="59">
        <f t="shared" si="15"/>
        <v>0.47729317851959374</v>
      </c>
      <c r="AN6" s="60">
        <f t="shared" si="16"/>
        <v>5.3433260216102054</v>
      </c>
      <c r="AP6" s="62">
        <f t="shared" si="17"/>
        <v>594569.84000000008</v>
      </c>
    </row>
    <row r="7" spans="1:42">
      <c r="A7" s="39">
        <v>2638569317</v>
      </c>
      <c r="B7" s="40" t="s">
        <v>54</v>
      </c>
      <c r="C7" s="41">
        <v>855</v>
      </c>
      <c r="D7" s="42"/>
      <c r="E7" s="42"/>
      <c r="F7" s="42"/>
      <c r="G7" s="43"/>
      <c r="H7" s="44">
        <v>117.24</v>
      </c>
      <c r="I7" s="63">
        <f t="shared" si="0"/>
        <v>100240.2</v>
      </c>
      <c r="J7" s="45"/>
      <c r="K7" s="41">
        <v>3</v>
      </c>
      <c r="L7" s="45"/>
      <c r="M7" s="45"/>
      <c r="N7" s="46">
        <f t="shared" si="1"/>
        <v>0.42857142857142855</v>
      </c>
      <c r="O7" s="47">
        <f t="shared" si="2"/>
        <v>0.14285714285714285</v>
      </c>
      <c r="P7" s="48">
        <f>SUMIFS('Отчет 13-19.10'!H:H,'Отчет 13-19.10'!D:D,"Выручка",'Отчет 13-19.10'!E:E,B7)</f>
        <v>1</v>
      </c>
      <c r="Q7" s="48">
        <f>SUMIFS('Отчет 13-19.10'!H:H,'Отчет 13-19.10'!D:D,"Возврат выручки",'Отчет 13-19.10'!E:E,B7)</f>
        <v>0</v>
      </c>
      <c r="R7" s="49">
        <f t="shared" si="3"/>
        <v>1</v>
      </c>
      <c r="S7" s="50">
        <f>SUMIFS('Отчет 13-19.10'!O:O,'Отчет 13-19.10'!C:C,"Продажи",'Отчет 13-19.10'!E:E,B7)</f>
        <v>1142</v>
      </c>
      <c r="T7" s="51">
        <f>SUMIFS('Отчет 13-19.10'!O:O,'Отчет 13-19.10'!C:C,"Возвраты",'Отчет 13-19.10'!E:E,B7)</f>
        <v>0</v>
      </c>
      <c r="U7" s="49">
        <f t="shared" si="4"/>
        <v>1142</v>
      </c>
      <c r="V7" s="52">
        <f t="shared" si="5"/>
        <v>1.708711135051022E-2</v>
      </c>
      <c r="W7" s="53">
        <f t="shared" si="6"/>
        <v>117.24</v>
      </c>
      <c r="X7" s="51">
        <f>-SUMIFS('Отчет 13-19.10'!O:O,'Отчет 13-19.10'!C:C,"Вознаграждение Ozon",'Отчет 13-19.10'!E:E,B7)</f>
        <v>296.92</v>
      </c>
      <c r="Y7" s="54">
        <f t="shared" si="7"/>
        <v>0.26</v>
      </c>
      <c r="Z7" s="51">
        <f>-SUMIFS('Отчет 13-19.10'!O:O,'Отчет 13-19.10'!C:C,"Услуги доставки",'Отчет 13-19.10'!E:E,B7)</f>
        <v>46</v>
      </c>
      <c r="AA7" s="41">
        <v>0</v>
      </c>
      <c r="AB7" s="64"/>
      <c r="AC7" s="51"/>
      <c r="AD7" s="55">
        <f t="shared" si="8"/>
        <v>68.52</v>
      </c>
      <c r="AE7" s="56">
        <f t="shared" si="9"/>
        <v>613.31999999999994</v>
      </c>
      <c r="AF7" s="55"/>
      <c r="AG7" s="57">
        <f t="shared" si="10"/>
        <v>1142</v>
      </c>
      <c r="AH7" s="58">
        <f t="shared" si="11"/>
        <v>117.24</v>
      </c>
      <c r="AI7" s="58">
        <f t="shared" si="12"/>
        <v>296.92</v>
      </c>
      <c r="AJ7" s="58">
        <f t="shared" si="13"/>
        <v>46</v>
      </c>
      <c r="AK7" s="58">
        <f t="shared" si="14"/>
        <v>0</v>
      </c>
      <c r="AL7" s="58">
        <f t="array" ref="AL7">_xlfn.IFS(R7=0,AE7,R7&lt;0,AE7/-R7,R7&gt;0,AE7/R7)</f>
        <v>613.31999999999994</v>
      </c>
      <c r="AM7" s="59">
        <f t="shared" si="15"/>
        <v>0.53705779334500869</v>
      </c>
      <c r="AN7" s="60">
        <f t="shared" si="16"/>
        <v>5.2313203684749228</v>
      </c>
      <c r="AP7" s="62">
        <f t="shared" si="17"/>
        <v>524388.6</v>
      </c>
    </row>
    <row r="8" spans="1:42">
      <c r="A8" s="39">
        <v>2638291563</v>
      </c>
      <c r="B8" s="40" t="s">
        <v>88</v>
      </c>
      <c r="C8" s="41">
        <v>396</v>
      </c>
      <c r="D8" s="42"/>
      <c r="E8" s="42"/>
      <c r="F8" s="42"/>
      <c r="G8" s="43"/>
      <c r="H8" s="44">
        <v>169.89</v>
      </c>
      <c r="I8" s="63">
        <f t="shared" si="0"/>
        <v>67276.439999999988</v>
      </c>
      <c r="J8" s="45"/>
      <c r="K8" s="41">
        <v>0</v>
      </c>
      <c r="L8" s="45"/>
      <c r="M8" s="45"/>
      <c r="N8" s="46">
        <f t="shared" si="1"/>
        <v>0</v>
      </c>
      <c r="O8" s="47">
        <f t="shared" si="2"/>
        <v>0</v>
      </c>
      <c r="P8" s="48">
        <f>SUMIFS('Отчет 13-19.10'!H:H,'Отчет 13-19.10'!D:D,"Выручка",'Отчет 13-19.10'!E:E,B8)</f>
        <v>0</v>
      </c>
      <c r="Q8" s="48">
        <f>SUMIFS('Отчет 13-19.10'!H:H,'Отчет 13-19.10'!D:D,"Возврат выручки",'Отчет 13-19.10'!E:E,B8)</f>
        <v>0</v>
      </c>
      <c r="R8" s="49">
        <f t="shared" si="3"/>
        <v>0</v>
      </c>
      <c r="S8" s="50">
        <f>SUMIFS('Отчет 13-19.10'!O:O,'Отчет 13-19.10'!C:C,"Продажи",'Отчет 13-19.10'!E:E,B8)</f>
        <v>0</v>
      </c>
      <c r="T8" s="51">
        <f>SUMIFS('Отчет 13-19.10'!O:O,'Отчет 13-19.10'!C:C,"Возвраты",'Отчет 13-19.10'!E:E,B8)</f>
        <v>0</v>
      </c>
      <c r="U8" s="49">
        <f t="shared" si="4"/>
        <v>0</v>
      </c>
      <c r="V8" s="52">
        <f t="shared" si="5"/>
        <v>0</v>
      </c>
      <c r="W8" s="53">
        <f t="shared" si="6"/>
        <v>0</v>
      </c>
      <c r="X8" s="51">
        <f>-SUMIFS('Отчет 13-19.10'!O:O,'Отчет 13-19.10'!C:C,"Вознаграждение Ozon",'Отчет 13-19.10'!E:E,B8)</f>
        <v>0</v>
      </c>
      <c r="Y8" s="54">
        <f t="shared" si="7"/>
        <v>0</v>
      </c>
      <c r="Z8" s="51">
        <f>-SUMIFS('Отчет 13-19.10'!O:O,'Отчет 13-19.10'!C:C,"Услуги доставки",'Отчет 13-19.10'!E:E,B8)</f>
        <v>0</v>
      </c>
      <c r="AA8" s="41">
        <v>0</v>
      </c>
      <c r="AB8" s="64"/>
      <c r="AC8" s="51"/>
      <c r="AD8" s="55">
        <f t="shared" si="8"/>
        <v>0</v>
      </c>
      <c r="AE8" s="56">
        <f t="shared" si="9"/>
        <v>0</v>
      </c>
      <c r="AF8" s="55"/>
      <c r="AG8" s="57">
        <f t="shared" si="10"/>
        <v>0</v>
      </c>
      <c r="AH8" s="58">
        <f t="shared" si="11"/>
        <v>169.89</v>
      </c>
      <c r="AI8" s="58">
        <f t="shared" si="12"/>
        <v>0</v>
      </c>
      <c r="AJ8" s="58">
        <f t="shared" si="13"/>
        <v>0</v>
      </c>
      <c r="AK8" s="58">
        <f t="shared" si="14"/>
        <v>0</v>
      </c>
      <c r="AL8" s="58">
        <f t="array" ref="AL8">_xlfn.IFS(R8=0,AE8,R8&lt;0,AE8/-R8,R8&gt;0,AE8/R8)</f>
        <v>0</v>
      </c>
      <c r="AM8" s="59">
        <f t="shared" si="15"/>
        <v>0</v>
      </c>
      <c r="AN8" s="60">
        <f t="shared" si="16"/>
        <v>0</v>
      </c>
      <c r="AP8" s="62">
        <f t="shared" si="17"/>
        <v>0</v>
      </c>
    </row>
    <row r="9" spans="1:42">
      <c r="A9" s="39">
        <v>2730130733</v>
      </c>
      <c r="B9" s="40" t="s">
        <v>224</v>
      </c>
      <c r="C9" s="41">
        <v>48</v>
      </c>
      <c r="D9" s="42"/>
      <c r="E9" s="42"/>
      <c r="F9" s="42"/>
      <c r="G9" s="43"/>
      <c r="H9" s="44">
        <v>169.89</v>
      </c>
      <c r="I9" s="63">
        <f t="shared" si="0"/>
        <v>8154.7199999999993</v>
      </c>
      <c r="J9" s="45"/>
      <c r="K9" s="41">
        <v>0</v>
      </c>
      <c r="L9" s="45"/>
      <c r="M9" s="45"/>
      <c r="N9" s="46">
        <f t="shared" si="1"/>
        <v>0</v>
      </c>
      <c r="O9" s="47">
        <f t="shared" si="2"/>
        <v>0</v>
      </c>
      <c r="P9" s="48">
        <f>SUMIFS('Отчет 13-19.10'!H:H,'Отчет 13-19.10'!D:D,"Выручка",'Отчет 13-19.10'!E:E,B9)</f>
        <v>0</v>
      </c>
      <c r="Q9" s="48">
        <f>SUMIFS('Отчет 13-19.10'!H:H,'Отчет 13-19.10'!D:D,"Возврат выручки",'Отчет 13-19.10'!E:E,B9)</f>
        <v>0</v>
      </c>
      <c r="R9" s="49">
        <f t="shared" si="3"/>
        <v>0</v>
      </c>
      <c r="S9" s="50">
        <f>SUMIFS('Отчет 13-19.10'!O:O,'Отчет 13-19.10'!C:C,"Продажи",'Отчет 13-19.10'!E:E,B9)</f>
        <v>0</v>
      </c>
      <c r="T9" s="51">
        <f>SUMIFS('Отчет 13-19.10'!O:O,'Отчет 13-19.10'!C:C,"Возвраты",'Отчет 13-19.10'!E:E,B9)</f>
        <v>0</v>
      </c>
      <c r="U9" s="49">
        <f t="shared" si="4"/>
        <v>0</v>
      </c>
      <c r="V9" s="52">
        <f t="shared" si="5"/>
        <v>0</v>
      </c>
      <c r="W9" s="53">
        <f t="shared" si="6"/>
        <v>0</v>
      </c>
      <c r="X9" s="51">
        <f>-SUMIFS('Отчет 13-19.10'!O:O,'Отчет 13-19.10'!C:C,"Вознаграждение Ozon",'Отчет 13-19.10'!E:E,B9)</f>
        <v>0</v>
      </c>
      <c r="Y9" s="54">
        <f t="shared" si="7"/>
        <v>0</v>
      </c>
      <c r="Z9" s="51">
        <f>-SUMIFS('Отчет 13-19.10'!O:O,'Отчет 13-19.10'!C:C,"Услуги доставки",'Отчет 13-19.10'!E:E,B9)</f>
        <v>0</v>
      </c>
      <c r="AA9" s="41">
        <v>0</v>
      </c>
      <c r="AB9" s="64"/>
      <c r="AC9" s="51"/>
      <c r="AD9" s="55">
        <f t="shared" si="8"/>
        <v>0</v>
      </c>
      <c r="AE9" s="56">
        <f t="shared" si="9"/>
        <v>0</v>
      </c>
      <c r="AF9" s="55"/>
      <c r="AG9" s="57">
        <f t="shared" si="10"/>
        <v>0</v>
      </c>
      <c r="AH9" s="58">
        <f t="shared" si="11"/>
        <v>169.89</v>
      </c>
      <c r="AI9" s="58">
        <f t="shared" si="12"/>
        <v>0</v>
      </c>
      <c r="AJ9" s="58">
        <f t="shared" si="13"/>
        <v>0</v>
      </c>
      <c r="AK9" s="58">
        <f t="shared" si="14"/>
        <v>0</v>
      </c>
      <c r="AL9" s="58">
        <f t="array" ref="AL9">_xlfn.IFS(R9=0,AE9,R9&lt;0,AE9/-R9,R9&gt;0,AE9/R9)</f>
        <v>0</v>
      </c>
      <c r="AM9" s="59">
        <f t="shared" si="15"/>
        <v>0</v>
      </c>
      <c r="AN9" s="60">
        <f t="shared" si="16"/>
        <v>0</v>
      </c>
      <c r="AP9" s="62">
        <f t="shared" si="17"/>
        <v>0</v>
      </c>
    </row>
    <row r="10" spans="1:42">
      <c r="A10" s="39">
        <v>2730131249</v>
      </c>
      <c r="B10" s="40" t="s">
        <v>225</v>
      </c>
      <c r="C10" s="41">
        <v>46</v>
      </c>
      <c r="D10" s="42"/>
      <c r="E10" s="42"/>
      <c r="F10" s="42"/>
      <c r="G10" s="43"/>
      <c r="H10" s="44">
        <v>169.89</v>
      </c>
      <c r="I10" s="63">
        <f t="shared" si="0"/>
        <v>7814.94</v>
      </c>
      <c r="J10" s="45"/>
      <c r="K10" s="41">
        <v>0</v>
      </c>
      <c r="L10" s="45"/>
      <c r="M10" s="45"/>
      <c r="N10" s="46">
        <f t="shared" si="1"/>
        <v>0</v>
      </c>
      <c r="O10" s="47">
        <f t="shared" si="2"/>
        <v>0</v>
      </c>
      <c r="P10" s="48">
        <f>SUMIFS('Отчет 13-19.10'!H:H,'Отчет 13-19.10'!D:D,"Выручка",'Отчет 13-19.10'!E:E,B10)</f>
        <v>0</v>
      </c>
      <c r="Q10" s="48">
        <f>SUMIFS('Отчет 13-19.10'!H:H,'Отчет 13-19.10'!D:D,"Возврат выручки",'Отчет 13-19.10'!E:E,B10)</f>
        <v>0</v>
      </c>
      <c r="R10" s="49">
        <f t="shared" si="3"/>
        <v>0</v>
      </c>
      <c r="S10" s="50">
        <f>SUMIFS('Отчет 13-19.10'!O:O,'Отчет 13-19.10'!C:C,"Продажи",'Отчет 13-19.10'!E:E,B10)</f>
        <v>0</v>
      </c>
      <c r="T10" s="51">
        <f>SUMIFS('Отчет 13-19.10'!O:O,'Отчет 13-19.10'!C:C,"Возвраты",'Отчет 13-19.10'!E:E,B10)</f>
        <v>0</v>
      </c>
      <c r="U10" s="49">
        <f t="shared" si="4"/>
        <v>0</v>
      </c>
      <c r="V10" s="52">
        <f t="shared" si="5"/>
        <v>0</v>
      </c>
      <c r="W10" s="53">
        <f t="shared" si="6"/>
        <v>0</v>
      </c>
      <c r="X10" s="51">
        <f>-SUMIFS('Отчет 13-19.10'!O:O,'Отчет 13-19.10'!C:C,"Вознаграждение Ozon",'Отчет 13-19.10'!E:E,B10)</f>
        <v>0</v>
      </c>
      <c r="Y10" s="54">
        <f t="shared" si="7"/>
        <v>0</v>
      </c>
      <c r="Z10" s="51">
        <f>-SUMIFS('Отчет 13-19.10'!O:O,'Отчет 13-19.10'!C:C,"Услуги доставки",'Отчет 13-19.10'!E:E,B10)</f>
        <v>0</v>
      </c>
      <c r="AA10" s="41">
        <v>0</v>
      </c>
      <c r="AB10" s="64"/>
      <c r="AC10" s="51"/>
      <c r="AD10" s="55">
        <f t="shared" si="8"/>
        <v>0</v>
      </c>
      <c r="AE10" s="56">
        <f t="shared" si="9"/>
        <v>0</v>
      </c>
      <c r="AF10" s="55"/>
      <c r="AG10" s="57">
        <f t="shared" si="10"/>
        <v>0</v>
      </c>
      <c r="AH10" s="58">
        <f t="shared" si="11"/>
        <v>169.89</v>
      </c>
      <c r="AI10" s="58">
        <f t="shared" si="12"/>
        <v>0</v>
      </c>
      <c r="AJ10" s="58">
        <f t="shared" si="13"/>
        <v>0</v>
      </c>
      <c r="AK10" s="58">
        <f t="shared" si="14"/>
        <v>0</v>
      </c>
      <c r="AL10" s="58">
        <f t="array" ref="AL10">_xlfn.IFS(R10=0,AE10,R10&lt;0,AE10/-R10,R10&gt;0,AE10/R10)</f>
        <v>0</v>
      </c>
      <c r="AM10" s="59">
        <f t="shared" si="15"/>
        <v>0</v>
      </c>
      <c r="AN10" s="60">
        <f t="shared" si="16"/>
        <v>0</v>
      </c>
      <c r="AP10" s="62">
        <f t="shared" si="17"/>
        <v>0</v>
      </c>
    </row>
    <row r="11" spans="1:42">
      <c r="A11" s="39">
        <v>2730130553</v>
      </c>
      <c r="B11" s="40" t="s">
        <v>226</v>
      </c>
      <c r="C11" s="41">
        <v>44</v>
      </c>
      <c r="D11" s="42"/>
      <c r="E11" s="42"/>
      <c r="F11" s="42"/>
      <c r="G11" s="43"/>
      <c r="H11" s="44">
        <v>169.89</v>
      </c>
      <c r="I11" s="63">
        <f t="shared" si="0"/>
        <v>7475.16</v>
      </c>
      <c r="J11" s="45"/>
      <c r="K11" s="41">
        <v>2</v>
      </c>
      <c r="L11" s="45"/>
      <c r="M11" s="45"/>
      <c r="N11" s="46">
        <f t="shared" si="1"/>
        <v>0.2857142857142857</v>
      </c>
      <c r="O11" s="47">
        <f t="shared" si="2"/>
        <v>0.14285714285714285</v>
      </c>
      <c r="P11" s="48">
        <f>SUMIFS('Отчет 13-19.10'!H:H,'Отчет 13-19.10'!D:D,"Выручка",'Отчет 13-19.10'!E:E,B11)</f>
        <v>1</v>
      </c>
      <c r="Q11" s="48">
        <f>SUMIFS('Отчет 13-19.10'!H:H,'Отчет 13-19.10'!D:D,"Возврат выручки",'Отчет 13-19.10'!E:E,B11)</f>
        <v>0</v>
      </c>
      <c r="R11" s="49">
        <f t="shared" si="3"/>
        <v>1</v>
      </c>
      <c r="S11" s="50">
        <f>SUMIFS('Отчет 13-19.10'!O:O,'Отчет 13-19.10'!C:C,"Продажи",'Отчет 13-19.10'!E:E,B11)</f>
        <v>1366</v>
      </c>
      <c r="T11" s="51">
        <f>SUMIFS('Отчет 13-19.10'!O:O,'Отчет 13-19.10'!C:C,"Возвраты",'Отчет 13-19.10'!E:E,B11)</f>
        <v>0</v>
      </c>
      <c r="U11" s="49">
        <f t="shared" si="4"/>
        <v>1366</v>
      </c>
      <c r="V11" s="52">
        <f t="shared" si="5"/>
        <v>2.0438698865846726E-2</v>
      </c>
      <c r="W11" s="53">
        <f t="shared" si="6"/>
        <v>169.89</v>
      </c>
      <c r="X11" s="51">
        <f>-SUMIFS('Отчет 13-19.10'!O:O,'Отчет 13-19.10'!C:C,"Вознаграждение Ozon",'Отчет 13-19.10'!E:E,B11)</f>
        <v>464.44</v>
      </c>
      <c r="Y11" s="54">
        <f t="shared" si="7"/>
        <v>0.34</v>
      </c>
      <c r="Z11" s="51">
        <f>-SUMIFS('Отчет 13-19.10'!O:O,'Отчет 13-19.10'!C:C,"Услуги доставки",'Отчет 13-19.10'!E:E,B11)</f>
        <v>138</v>
      </c>
      <c r="AA11" s="41">
        <v>406.14423199999999</v>
      </c>
      <c r="AB11" s="64"/>
      <c r="AC11" s="51"/>
      <c r="AD11" s="55">
        <f t="shared" si="8"/>
        <v>81.96</v>
      </c>
      <c r="AE11" s="56">
        <f t="shared" si="9"/>
        <v>105.56576800000009</v>
      </c>
      <c r="AF11" s="55"/>
      <c r="AG11" s="57">
        <f t="shared" si="10"/>
        <v>1366</v>
      </c>
      <c r="AH11" s="58">
        <f t="shared" si="11"/>
        <v>169.89</v>
      </c>
      <c r="AI11" s="58">
        <f t="shared" si="12"/>
        <v>464.44</v>
      </c>
      <c r="AJ11" s="58">
        <f t="shared" si="13"/>
        <v>138</v>
      </c>
      <c r="AK11" s="58">
        <f t="shared" si="14"/>
        <v>406.14423199999999</v>
      </c>
      <c r="AL11" s="58">
        <f t="array" ref="AL11">_xlfn.IFS(R11=0,AE11,R11&lt;0,AE11/-R11,R11&gt;0,AE11/R11)</f>
        <v>105.56576800000009</v>
      </c>
      <c r="AM11" s="59">
        <f t="shared" si="15"/>
        <v>7.7280942898975177E-2</v>
      </c>
      <c r="AN11" s="60">
        <f t="shared" si="16"/>
        <v>0.62137717346518395</v>
      </c>
      <c r="AP11" s="62">
        <f t="shared" si="17"/>
        <v>4644.8937920000044</v>
      </c>
    </row>
    <row r="12" spans="1:42" ht="13.75" customHeight="1">
      <c r="A12" s="39">
        <v>2730129638</v>
      </c>
      <c r="B12" s="40" t="s">
        <v>227</v>
      </c>
      <c r="C12" s="41">
        <v>15</v>
      </c>
      <c r="D12" s="42"/>
      <c r="E12" s="42"/>
      <c r="F12" s="42"/>
      <c r="G12" s="43"/>
      <c r="H12" s="44">
        <v>169.89</v>
      </c>
      <c r="I12" s="63">
        <f t="shared" si="0"/>
        <v>2548.35</v>
      </c>
      <c r="J12" s="45"/>
      <c r="K12" s="41">
        <v>0</v>
      </c>
      <c r="L12" s="45"/>
      <c r="M12" s="45"/>
      <c r="N12" s="46">
        <f t="shared" si="1"/>
        <v>0</v>
      </c>
      <c r="O12" s="47">
        <f t="shared" si="2"/>
        <v>0</v>
      </c>
      <c r="P12" s="48">
        <f>SUMIFS('Отчет 13-19.10'!H:H,'Отчет 13-19.10'!D:D,"Выручка",'Отчет 13-19.10'!E:E,B12)</f>
        <v>0</v>
      </c>
      <c r="Q12" s="48">
        <f>SUMIFS('Отчет 13-19.10'!H:H,'Отчет 13-19.10'!D:D,"Возврат выручки",'Отчет 13-19.10'!E:E,B12)</f>
        <v>0</v>
      </c>
      <c r="R12" s="49">
        <f t="shared" si="3"/>
        <v>0</v>
      </c>
      <c r="S12" s="50">
        <f>SUMIFS('Отчет 13-19.10'!O:O,'Отчет 13-19.10'!C:C,"Продажи",'Отчет 13-19.10'!E:E,B12)</f>
        <v>0</v>
      </c>
      <c r="T12" s="51">
        <f>SUMIFS('Отчет 13-19.10'!O:O,'Отчет 13-19.10'!C:C,"Возвраты",'Отчет 13-19.10'!E:E,B12)</f>
        <v>0</v>
      </c>
      <c r="U12" s="49">
        <f t="shared" si="4"/>
        <v>0</v>
      </c>
      <c r="V12" s="52">
        <f t="shared" si="5"/>
        <v>0</v>
      </c>
      <c r="W12" s="53">
        <f t="shared" si="6"/>
        <v>0</v>
      </c>
      <c r="X12" s="51">
        <f>-SUMIFS('Отчет 13-19.10'!O:O,'Отчет 13-19.10'!C:C,"Вознаграждение Ozon",'Отчет 13-19.10'!E:E,B12)</f>
        <v>0</v>
      </c>
      <c r="Y12" s="54">
        <f t="shared" si="7"/>
        <v>0</v>
      </c>
      <c r="Z12" s="51">
        <f>-SUMIFS('Отчет 13-19.10'!O:O,'Отчет 13-19.10'!C:C,"Услуги доставки",'Отчет 13-19.10'!E:E,B12)</f>
        <v>0</v>
      </c>
      <c r="AA12" s="41">
        <v>0</v>
      </c>
      <c r="AB12" s="64"/>
      <c r="AC12" s="51"/>
      <c r="AD12" s="55">
        <f t="shared" si="8"/>
        <v>0</v>
      </c>
      <c r="AE12" s="56">
        <f t="shared" si="9"/>
        <v>0</v>
      </c>
      <c r="AF12" s="55"/>
      <c r="AG12" s="57">
        <f t="shared" si="10"/>
        <v>0</v>
      </c>
      <c r="AH12" s="58">
        <f t="shared" si="11"/>
        <v>169.89</v>
      </c>
      <c r="AI12" s="58">
        <f t="shared" si="12"/>
        <v>0</v>
      </c>
      <c r="AJ12" s="58">
        <f t="shared" si="13"/>
        <v>0</v>
      </c>
      <c r="AK12" s="58">
        <f t="shared" si="14"/>
        <v>0</v>
      </c>
      <c r="AL12" s="58">
        <f t="array" ref="AL12">_xlfn.IFS(R12=0,AE12,R12&lt;0,AE12/-R12,R12&gt;0,AE12/R12)</f>
        <v>0</v>
      </c>
      <c r="AM12" s="59">
        <f t="shared" si="15"/>
        <v>0</v>
      </c>
      <c r="AN12" s="60">
        <f t="shared" si="16"/>
        <v>0</v>
      </c>
      <c r="AP12" s="62">
        <f t="shared" si="17"/>
        <v>0</v>
      </c>
    </row>
    <row r="13" spans="1:42" ht="13.75" customHeight="1">
      <c r="A13" s="39">
        <v>2730130141</v>
      </c>
      <c r="B13" s="40" t="s">
        <v>228</v>
      </c>
      <c r="C13" s="41">
        <v>45</v>
      </c>
      <c r="D13" s="42"/>
      <c r="E13" s="42"/>
      <c r="F13" s="42"/>
      <c r="G13" s="43"/>
      <c r="H13" s="44">
        <v>169.89</v>
      </c>
      <c r="I13" s="63">
        <f t="shared" si="0"/>
        <v>7645.0499999999993</v>
      </c>
      <c r="J13" s="45"/>
      <c r="K13" s="41">
        <v>0</v>
      </c>
      <c r="L13" s="45"/>
      <c r="M13" s="45"/>
      <c r="N13" s="46">
        <f t="shared" si="1"/>
        <v>0</v>
      </c>
      <c r="O13" s="47">
        <f t="shared" si="2"/>
        <v>0</v>
      </c>
      <c r="P13" s="48">
        <f>SUMIFS('Отчет 13-19.10'!H:H,'Отчет 13-19.10'!D:D,"Выручка",'Отчет 13-19.10'!E:E,B13)</f>
        <v>0</v>
      </c>
      <c r="Q13" s="48">
        <f>SUMIFS('Отчет 13-19.10'!H:H,'Отчет 13-19.10'!D:D,"Возврат выручки",'Отчет 13-19.10'!E:E,B13)</f>
        <v>0</v>
      </c>
      <c r="R13" s="49">
        <f t="shared" si="3"/>
        <v>0</v>
      </c>
      <c r="S13" s="50">
        <f>SUMIFS('Отчет 13-19.10'!O:O,'Отчет 13-19.10'!C:C,"Продажи",'Отчет 13-19.10'!E:E,B13)</f>
        <v>0</v>
      </c>
      <c r="T13" s="51">
        <f>SUMIFS('Отчет 13-19.10'!O:O,'Отчет 13-19.10'!C:C,"Возвраты",'Отчет 13-19.10'!E:E,B13)</f>
        <v>0</v>
      </c>
      <c r="U13" s="49">
        <f t="shared" si="4"/>
        <v>0</v>
      </c>
      <c r="V13" s="52">
        <f t="shared" si="5"/>
        <v>0</v>
      </c>
      <c r="W13" s="53">
        <f t="shared" si="6"/>
        <v>0</v>
      </c>
      <c r="X13" s="51">
        <f>-SUMIFS('Отчет 13-19.10'!O:O,'Отчет 13-19.10'!C:C,"Вознаграждение Ozon",'Отчет 13-19.10'!E:E,B13)</f>
        <v>0</v>
      </c>
      <c r="Y13" s="54">
        <f t="shared" si="7"/>
        <v>0</v>
      </c>
      <c r="Z13" s="51">
        <f>-SUMIFS('Отчет 13-19.10'!O:O,'Отчет 13-19.10'!C:C,"Услуги доставки",'Отчет 13-19.10'!E:E,B13)</f>
        <v>0</v>
      </c>
      <c r="AA13" s="41">
        <v>0</v>
      </c>
      <c r="AB13" s="64"/>
      <c r="AC13" s="51"/>
      <c r="AD13" s="55">
        <f t="shared" si="8"/>
        <v>0</v>
      </c>
      <c r="AE13" s="56">
        <f t="shared" si="9"/>
        <v>0</v>
      </c>
      <c r="AF13" s="55"/>
      <c r="AG13" s="57">
        <f t="shared" si="10"/>
        <v>0</v>
      </c>
      <c r="AH13" s="58">
        <f t="shared" si="11"/>
        <v>169.89</v>
      </c>
      <c r="AI13" s="58">
        <f t="shared" si="12"/>
        <v>0</v>
      </c>
      <c r="AJ13" s="58">
        <f t="shared" si="13"/>
        <v>0</v>
      </c>
      <c r="AK13" s="58">
        <f t="shared" si="14"/>
        <v>0</v>
      </c>
      <c r="AL13" s="58">
        <f t="array" ref="AL13">_xlfn.IFS(R13=0,AE13,R13&lt;0,AE13/-R13,R13&gt;0,AE13/R13)</f>
        <v>0</v>
      </c>
      <c r="AM13" s="59">
        <f t="shared" si="15"/>
        <v>0</v>
      </c>
      <c r="AN13" s="60">
        <f t="shared" si="16"/>
        <v>0</v>
      </c>
      <c r="AP13" s="62">
        <f t="shared" si="17"/>
        <v>0</v>
      </c>
    </row>
    <row r="14" spans="1:42" ht="13.75" customHeight="1">
      <c r="A14" s="39">
        <v>2730129805</v>
      </c>
      <c r="B14" s="40" t="s">
        <v>19</v>
      </c>
      <c r="C14" s="41">
        <v>24</v>
      </c>
      <c r="D14" s="42"/>
      <c r="E14" s="42"/>
      <c r="F14" s="42"/>
      <c r="G14" s="43"/>
      <c r="H14" s="44">
        <v>169.89</v>
      </c>
      <c r="I14" s="63">
        <f t="shared" si="0"/>
        <v>4077.3599999999997</v>
      </c>
      <c r="J14" s="45"/>
      <c r="K14" s="41">
        <v>6</v>
      </c>
      <c r="L14" s="45"/>
      <c r="M14" s="45"/>
      <c r="N14" s="46">
        <f t="shared" si="1"/>
        <v>0.8571428571428571</v>
      </c>
      <c r="O14" s="47">
        <f t="shared" si="2"/>
        <v>0.14285714285714285</v>
      </c>
      <c r="P14" s="48">
        <f>SUMIFS('Отчет 13-19.10'!H:H,'Отчет 13-19.10'!D:D,"Выручка",'Отчет 13-19.10'!E:E,B14)</f>
        <v>1</v>
      </c>
      <c r="Q14" s="48">
        <f>SUMIFS('Отчет 13-19.10'!H:H,'Отчет 13-19.10'!D:D,"Возврат выручки",'Отчет 13-19.10'!E:E,B14)</f>
        <v>0</v>
      </c>
      <c r="R14" s="49">
        <f t="shared" si="3"/>
        <v>1</v>
      </c>
      <c r="S14" s="50">
        <f>SUMIFS('Отчет 13-19.10'!O:O,'Отчет 13-19.10'!C:C,"Продажи",'Отчет 13-19.10'!E:E,B14)</f>
        <v>1366</v>
      </c>
      <c r="T14" s="51">
        <f>SUMIFS('Отчет 13-19.10'!O:O,'Отчет 13-19.10'!C:C,"Возвраты",'Отчет 13-19.10'!E:E,B14)</f>
        <v>0</v>
      </c>
      <c r="U14" s="49">
        <f t="shared" si="4"/>
        <v>1366</v>
      </c>
      <c r="V14" s="52">
        <f t="shared" si="5"/>
        <v>2.0438698865846726E-2</v>
      </c>
      <c r="W14" s="53">
        <f t="shared" si="6"/>
        <v>169.89</v>
      </c>
      <c r="X14" s="51">
        <f>-SUMIFS('Отчет 13-19.10'!O:O,'Отчет 13-19.10'!C:C,"Вознаграждение Ozon",'Отчет 13-19.10'!E:E,B14)</f>
        <v>355.16</v>
      </c>
      <c r="Y14" s="54">
        <f t="shared" si="7"/>
        <v>0.26</v>
      </c>
      <c r="Z14" s="51">
        <f>-SUMIFS('Отчет 13-19.10'!O:O,'Отчет 13-19.10'!C:C,"Услуги доставки",'Отчет 13-19.10'!E:E,B14)</f>
        <v>322</v>
      </c>
      <c r="AA14" s="41">
        <v>2842.6531629999999</v>
      </c>
      <c r="AB14" s="64"/>
      <c r="AC14" s="51"/>
      <c r="AD14" s="55">
        <f t="shared" si="8"/>
        <v>81.96</v>
      </c>
      <c r="AE14" s="56">
        <f t="shared" si="9"/>
        <v>-2405.6631630000002</v>
      </c>
      <c r="AF14" s="55"/>
      <c r="AG14" s="57">
        <f t="shared" si="10"/>
        <v>1366</v>
      </c>
      <c r="AH14" s="58">
        <f t="shared" si="11"/>
        <v>169.89</v>
      </c>
      <c r="AI14" s="58">
        <f t="shared" si="12"/>
        <v>355.16</v>
      </c>
      <c r="AJ14" s="58">
        <f t="shared" si="13"/>
        <v>322</v>
      </c>
      <c r="AK14" s="58">
        <f t="shared" si="14"/>
        <v>2842.6531629999999</v>
      </c>
      <c r="AL14" s="58">
        <f t="array" ref="AL14">_xlfn.IFS(R14=0,AE14,R14&lt;0,AE14/-R14,R14&gt;0,AE14/R14)</f>
        <v>-2405.6631630000002</v>
      </c>
      <c r="AM14" s="59">
        <f t="shared" si="15"/>
        <v>-1.7611004121522695</v>
      </c>
      <c r="AN14" s="60">
        <f t="shared" si="16"/>
        <v>-14.16012221437401</v>
      </c>
      <c r="AP14" s="62">
        <f t="shared" si="17"/>
        <v>-57735.915912000004</v>
      </c>
    </row>
    <row r="15" spans="1:42" ht="13.75" customHeight="1">
      <c r="A15" s="39">
        <v>2807226201</v>
      </c>
      <c r="B15" s="40" t="s">
        <v>229</v>
      </c>
      <c r="C15" s="41">
        <v>2</v>
      </c>
      <c r="D15" s="42"/>
      <c r="E15" s="42"/>
      <c r="F15" s="42"/>
      <c r="G15" s="43"/>
      <c r="H15" s="44">
        <v>1002.82</v>
      </c>
      <c r="I15" s="63">
        <f t="shared" si="0"/>
        <v>2005.64</v>
      </c>
      <c r="J15" s="45"/>
      <c r="K15" s="41">
        <v>0</v>
      </c>
      <c r="L15" s="45"/>
      <c r="M15" s="45"/>
      <c r="N15" s="46">
        <f t="shared" si="1"/>
        <v>0</v>
      </c>
      <c r="O15" s="47">
        <f t="shared" si="2"/>
        <v>0</v>
      </c>
      <c r="P15" s="48">
        <f>SUMIFS('Отчет 13-19.10'!H:H,'Отчет 13-19.10'!D:D,"Выручка",'Отчет 13-19.10'!E:E,B15)</f>
        <v>0</v>
      </c>
      <c r="Q15" s="48">
        <f>SUMIFS('Отчет 13-19.10'!H:H,'Отчет 13-19.10'!D:D,"Возврат выручки",'Отчет 13-19.10'!E:E,B15)</f>
        <v>0</v>
      </c>
      <c r="R15" s="49">
        <f t="shared" si="3"/>
        <v>0</v>
      </c>
      <c r="S15" s="50">
        <f>SUMIFS('Отчет 13-19.10'!O:O,'Отчет 13-19.10'!C:C,"Продажи",'Отчет 13-19.10'!E:E,B15)</f>
        <v>0</v>
      </c>
      <c r="T15" s="51">
        <f>SUMIFS('Отчет 13-19.10'!O:O,'Отчет 13-19.10'!C:C,"Возвраты",'Отчет 13-19.10'!E:E,B15)</f>
        <v>0</v>
      </c>
      <c r="U15" s="49">
        <f t="shared" si="4"/>
        <v>0</v>
      </c>
      <c r="V15" s="52">
        <f t="shared" si="5"/>
        <v>0</v>
      </c>
      <c r="W15" s="53">
        <f t="shared" si="6"/>
        <v>0</v>
      </c>
      <c r="X15" s="51">
        <f>-SUMIFS('Отчет 13-19.10'!O:O,'Отчет 13-19.10'!C:C,"Вознаграждение Ozon",'Отчет 13-19.10'!E:E,B15)</f>
        <v>0</v>
      </c>
      <c r="Y15" s="54">
        <f t="shared" si="7"/>
        <v>0</v>
      </c>
      <c r="Z15" s="51">
        <f>-SUMIFS('Отчет 13-19.10'!O:O,'Отчет 13-19.10'!C:C,"Услуги доставки",'Отчет 13-19.10'!E:E,B15)</f>
        <v>276</v>
      </c>
      <c r="AA15" s="41">
        <v>37.709463</v>
      </c>
      <c r="AB15" s="64"/>
      <c r="AC15" s="51"/>
      <c r="AD15" s="55">
        <f t="shared" si="8"/>
        <v>0</v>
      </c>
      <c r="AE15" s="56">
        <f t="shared" si="9"/>
        <v>-313.70946300000003</v>
      </c>
      <c r="AF15" s="55"/>
      <c r="AG15" s="57">
        <f t="shared" si="10"/>
        <v>0</v>
      </c>
      <c r="AH15" s="58">
        <f t="shared" si="11"/>
        <v>1002.82</v>
      </c>
      <c r="AI15" s="58">
        <f t="shared" si="12"/>
        <v>0</v>
      </c>
      <c r="AJ15" s="58">
        <f t="shared" si="13"/>
        <v>276</v>
      </c>
      <c r="AK15" s="58">
        <f t="shared" si="14"/>
        <v>0</v>
      </c>
      <c r="AL15" s="58">
        <f t="array" ref="AL15">_xlfn.IFS(R15=0,AE15,R15&lt;0,AE15/-R15,R15&gt;0,AE15/R15)</f>
        <v>-313.70946300000003</v>
      </c>
      <c r="AM15" s="59">
        <f t="shared" si="15"/>
        <v>0</v>
      </c>
      <c r="AN15" s="60">
        <f t="shared" si="16"/>
        <v>-0.31282729004208132</v>
      </c>
      <c r="AP15" s="62">
        <f t="shared" si="17"/>
        <v>-627.41892600000006</v>
      </c>
    </row>
    <row r="16" spans="1:42" ht="13.75" customHeight="1">
      <c r="A16" s="39">
        <v>2807226228</v>
      </c>
      <c r="B16" s="40" t="s">
        <v>230</v>
      </c>
      <c r="C16" s="41">
        <v>1</v>
      </c>
      <c r="D16" s="42"/>
      <c r="E16" s="42"/>
      <c r="F16" s="42"/>
      <c r="G16" s="43"/>
      <c r="H16" s="44">
        <v>909.22</v>
      </c>
      <c r="I16" s="63">
        <f t="shared" si="0"/>
        <v>909.22</v>
      </c>
      <c r="J16" s="45"/>
      <c r="K16" s="41">
        <v>0</v>
      </c>
      <c r="L16" s="45"/>
      <c r="M16" s="45"/>
      <c r="N16" s="46">
        <f t="shared" si="1"/>
        <v>0</v>
      </c>
      <c r="O16" s="47">
        <f t="shared" si="2"/>
        <v>0</v>
      </c>
      <c r="P16" s="48">
        <f>SUMIFS('Отчет 13-19.10'!H:H,'Отчет 13-19.10'!D:D,"Выручка",'Отчет 13-19.10'!E:E,B16)</f>
        <v>0</v>
      </c>
      <c r="Q16" s="48">
        <f>SUMIFS('Отчет 13-19.10'!H:H,'Отчет 13-19.10'!D:D,"Возврат выручки",'Отчет 13-19.10'!E:E,B16)</f>
        <v>0</v>
      </c>
      <c r="R16" s="49">
        <f t="shared" si="3"/>
        <v>0</v>
      </c>
      <c r="S16" s="50">
        <f>SUMIFS('Отчет 13-19.10'!O:O,'Отчет 13-19.10'!C:C,"Продажи",'Отчет 13-19.10'!E:E,B16)</f>
        <v>0</v>
      </c>
      <c r="T16" s="51">
        <f>SUMIFS('Отчет 13-19.10'!O:O,'Отчет 13-19.10'!C:C,"Возвраты",'Отчет 13-19.10'!E:E,B16)</f>
        <v>0</v>
      </c>
      <c r="U16" s="49">
        <f t="shared" si="4"/>
        <v>0</v>
      </c>
      <c r="V16" s="52">
        <f t="shared" si="5"/>
        <v>0</v>
      </c>
      <c r="W16" s="53">
        <f t="shared" si="6"/>
        <v>0</v>
      </c>
      <c r="X16" s="51">
        <f>-SUMIFS('Отчет 13-19.10'!O:O,'Отчет 13-19.10'!C:C,"Вознаграждение Ozon",'Отчет 13-19.10'!E:E,B16)</f>
        <v>0</v>
      </c>
      <c r="Y16" s="54">
        <f t="shared" si="7"/>
        <v>0</v>
      </c>
      <c r="Z16" s="51">
        <f>-SUMIFS('Отчет 13-19.10'!O:O,'Отчет 13-19.10'!C:C,"Услуги доставки",'Отчет 13-19.10'!E:E,B16)</f>
        <v>0</v>
      </c>
      <c r="AA16" s="41">
        <v>635.89006600000005</v>
      </c>
      <c r="AB16" s="64"/>
      <c r="AC16" s="51"/>
      <c r="AD16" s="55">
        <f t="shared" si="8"/>
        <v>0</v>
      </c>
      <c r="AE16" s="56">
        <f t="shared" si="9"/>
        <v>-635.89006600000005</v>
      </c>
      <c r="AF16" s="55"/>
      <c r="AG16" s="57">
        <f t="shared" si="10"/>
        <v>0</v>
      </c>
      <c r="AH16" s="58">
        <f t="shared" si="11"/>
        <v>909.22</v>
      </c>
      <c r="AI16" s="58">
        <f t="shared" si="12"/>
        <v>0</v>
      </c>
      <c r="AJ16" s="58">
        <f t="shared" si="13"/>
        <v>0</v>
      </c>
      <c r="AK16" s="58">
        <f t="shared" si="14"/>
        <v>0</v>
      </c>
      <c r="AL16" s="58">
        <f t="array" ref="AL16">_xlfn.IFS(R16=0,AE16,R16&lt;0,AE16/-R16,R16&gt;0,AE16/R16)</f>
        <v>-635.89006600000005</v>
      </c>
      <c r="AM16" s="59">
        <f t="shared" si="15"/>
        <v>0</v>
      </c>
      <c r="AN16" s="60">
        <f t="shared" si="16"/>
        <v>-0.69937976067398433</v>
      </c>
      <c r="AP16" s="62">
        <f t="shared" si="17"/>
        <v>-635.89006600000005</v>
      </c>
    </row>
    <row r="17" spans="1:52" ht="13.75" customHeight="1">
      <c r="A17" s="39">
        <v>2807226016</v>
      </c>
      <c r="B17" s="40" t="s">
        <v>231</v>
      </c>
      <c r="C17" s="41">
        <v>1</v>
      </c>
      <c r="D17" s="42"/>
      <c r="E17" s="42"/>
      <c r="F17" s="42"/>
      <c r="G17" s="43"/>
      <c r="H17" s="44">
        <v>909.22</v>
      </c>
      <c r="I17" s="63">
        <f t="shared" si="0"/>
        <v>909.22</v>
      </c>
      <c r="J17" s="45"/>
      <c r="K17" s="41">
        <v>1</v>
      </c>
      <c r="L17" s="45"/>
      <c r="M17" s="45"/>
      <c r="N17" s="46">
        <f t="shared" si="1"/>
        <v>0.14285714285714285</v>
      </c>
      <c r="O17" s="47">
        <f t="shared" si="2"/>
        <v>0</v>
      </c>
      <c r="P17" s="48">
        <f>SUMIFS('Отчет 13-19.10'!H:H,'Отчет 13-19.10'!D:D,"Выручка",'Отчет 13-19.10'!E:E,B17)</f>
        <v>0</v>
      </c>
      <c r="Q17" s="48">
        <f>SUMIFS('Отчет 13-19.10'!H:H,'Отчет 13-19.10'!D:D,"Возврат выручки",'Отчет 13-19.10'!E:E,B17)</f>
        <v>0</v>
      </c>
      <c r="R17" s="49">
        <f t="shared" si="3"/>
        <v>0</v>
      </c>
      <c r="S17" s="50">
        <f>SUMIFS('Отчет 13-19.10'!O:O,'Отчет 13-19.10'!C:C,"Продажи",'Отчет 13-19.10'!E:E,B17)</f>
        <v>0</v>
      </c>
      <c r="T17" s="51">
        <f>SUMIFS('Отчет 13-19.10'!O:O,'Отчет 13-19.10'!C:C,"Возвраты",'Отчет 13-19.10'!E:E,B17)</f>
        <v>0</v>
      </c>
      <c r="U17" s="49">
        <f t="shared" si="4"/>
        <v>0</v>
      </c>
      <c r="V17" s="52">
        <f t="shared" si="5"/>
        <v>0</v>
      </c>
      <c r="W17" s="53">
        <f t="shared" si="6"/>
        <v>0</v>
      </c>
      <c r="X17" s="51">
        <f>-SUMIFS('Отчет 13-19.10'!O:O,'Отчет 13-19.10'!C:C,"Вознаграждение Ozon",'Отчет 13-19.10'!E:E,B17)</f>
        <v>0</v>
      </c>
      <c r="Y17" s="54">
        <f t="shared" si="7"/>
        <v>0</v>
      </c>
      <c r="Z17" s="51">
        <f>-SUMIFS('Отчет 13-19.10'!O:O,'Отчет 13-19.10'!C:C,"Услуги доставки",'Отчет 13-19.10'!E:E,B17)</f>
        <v>154</v>
      </c>
      <c r="AA17" s="41">
        <v>485.903144</v>
      </c>
      <c r="AB17" s="64"/>
      <c r="AC17" s="51"/>
      <c r="AD17" s="55">
        <f t="shared" si="8"/>
        <v>0</v>
      </c>
      <c r="AE17" s="56">
        <f t="shared" si="9"/>
        <v>-639.903144</v>
      </c>
      <c r="AF17" s="55"/>
      <c r="AG17" s="57">
        <f t="shared" si="10"/>
        <v>0</v>
      </c>
      <c r="AH17" s="58">
        <f t="shared" si="11"/>
        <v>909.22</v>
      </c>
      <c r="AI17" s="58">
        <f t="shared" si="12"/>
        <v>0</v>
      </c>
      <c r="AJ17" s="58">
        <f t="shared" si="13"/>
        <v>154</v>
      </c>
      <c r="AK17" s="58">
        <f t="shared" si="14"/>
        <v>0</v>
      </c>
      <c r="AL17" s="58">
        <f t="array" ref="AL17">_xlfn.IFS(R17=0,AE17,R17&lt;0,AE17/-R17,R17&gt;0,AE17/R17)</f>
        <v>-639.903144</v>
      </c>
      <c r="AM17" s="59">
        <f t="shared" si="15"/>
        <v>0</v>
      </c>
      <c r="AN17" s="60">
        <f t="shared" si="16"/>
        <v>-0.70379351972019966</v>
      </c>
      <c r="AP17" s="62">
        <f t="shared" si="17"/>
        <v>-639.903144</v>
      </c>
    </row>
    <row r="18" spans="1:52" ht="13.75" customHeight="1">
      <c r="A18" s="39">
        <v>2807226072</v>
      </c>
      <c r="B18" s="40" t="s">
        <v>111</v>
      </c>
      <c r="C18" s="41">
        <v>1</v>
      </c>
      <c r="D18" s="42"/>
      <c r="E18" s="42"/>
      <c r="F18" s="42"/>
      <c r="G18" s="43"/>
      <c r="H18" s="44">
        <v>932.62</v>
      </c>
      <c r="I18" s="63">
        <f t="shared" si="0"/>
        <v>932.62</v>
      </c>
      <c r="J18" s="45"/>
      <c r="K18" s="41">
        <v>0</v>
      </c>
      <c r="L18" s="45"/>
      <c r="M18" s="45"/>
      <c r="N18" s="46">
        <f t="shared" si="1"/>
        <v>0</v>
      </c>
      <c r="O18" s="47">
        <f t="shared" si="2"/>
        <v>0</v>
      </c>
      <c r="P18" s="48">
        <f>SUMIFS('Отчет 13-19.10'!H:H,'Отчет 13-19.10'!D:D,"Выручка",'Отчет 13-19.10'!E:E,B18)</f>
        <v>0</v>
      </c>
      <c r="Q18" s="48">
        <f>SUMIFS('Отчет 13-19.10'!H:H,'Отчет 13-19.10'!D:D,"Возврат выручки",'Отчет 13-19.10'!E:E,B18)</f>
        <v>0</v>
      </c>
      <c r="R18" s="49">
        <f t="shared" si="3"/>
        <v>0</v>
      </c>
      <c r="S18" s="50">
        <f>SUMIFS('Отчет 13-19.10'!O:O,'Отчет 13-19.10'!C:C,"Продажи",'Отчет 13-19.10'!E:E,B18)</f>
        <v>0</v>
      </c>
      <c r="T18" s="51">
        <f>SUMIFS('Отчет 13-19.10'!O:O,'Отчет 13-19.10'!C:C,"Возвраты",'Отчет 13-19.10'!E:E,B18)</f>
        <v>0</v>
      </c>
      <c r="U18" s="49">
        <f t="shared" si="4"/>
        <v>0</v>
      </c>
      <c r="V18" s="52">
        <f t="shared" si="5"/>
        <v>0</v>
      </c>
      <c r="W18" s="53">
        <f t="shared" si="6"/>
        <v>0</v>
      </c>
      <c r="X18" s="51">
        <f>-SUMIFS('Отчет 13-19.10'!O:O,'Отчет 13-19.10'!C:C,"Вознаграждение Ozon",'Отчет 13-19.10'!E:E,B18)</f>
        <v>0</v>
      </c>
      <c r="Y18" s="54">
        <f t="shared" si="7"/>
        <v>0</v>
      </c>
      <c r="Z18" s="51">
        <f>-SUMIFS('Отчет 13-19.10'!O:O,'Отчет 13-19.10'!C:C,"Услуги доставки",'Отчет 13-19.10'!E:E,B18)</f>
        <v>112</v>
      </c>
      <c r="AA18" s="41">
        <v>391.76801</v>
      </c>
      <c r="AB18" s="64"/>
      <c r="AC18" s="51"/>
      <c r="AD18" s="55">
        <f t="shared" si="8"/>
        <v>0</v>
      </c>
      <c r="AE18" s="56">
        <f t="shared" si="9"/>
        <v>-503.76801</v>
      </c>
      <c r="AF18" s="55"/>
      <c r="AG18" s="57">
        <f t="shared" si="10"/>
        <v>0</v>
      </c>
      <c r="AH18" s="58">
        <f t="shared" si="11"/>
        <v>932.62</v>
      </c>
      <c r="AI18" s="58">
        <f t="shared" si="12"/>
        <v>0</v>
      </c>
      <c r="AJ18" s="58">
        <f t="shared" si="13"/>
        <v>112</v>
      </c>
      <c r="AK18" s="58">
        <f t="shared" si="14"/>
        <v>0</v>
      </c>
      <c r="AL18" s="58">
        <f t="array" ref="AL18">_xlfn.IFS(R18=0,AE18,R18&lt;0,AE18/-R18,R18&gt;0,AE18/R18)</f>
        <v>-503.76801</v>
      </c>
      <c r="AM18" s="59">
        <f t="shared" si="15"/>
        <v>0</v>
      </c>
      <c r="AN18" s="60">
        <f t="shared" si="16"/>
        <v>-0.540164279127619</v>
      </c>
      <c r="AP18" s="62">
        <f t="shared" si="17"/>
        <v>-503.76801</v>
      </c>
    </row>
    <row r="19" spans="1:52" ht="13.75" customHeight="1">
      <c r="A19" s="39">
        <v>2807226223</v>
      </c>
      <c r="B19" s="40" t="s">
        <v>232</v>
      </c>
      <c r="C19" s="41">
        <v>0</v>
      </c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"/>
        <v>0</v>
      </c>
      <c r="O19" s="47">
        <f t="shared" si="2"/>
        <v>0.14285714285714285</v>
      </c>
      <c r="P19" s="48">
        <f>SUMIFS('Отчет 13-19.10'!H:H,'Отчет 13-19.10'!D:D,"Выручка",'Отчет 13-19.10'!E:E,B19)</f>
        <v>1</v>
      </c>
      <c r="Q19" s="48">
        <f>SUMIFS('Отчет 13-19.10'!H:H,'Отчет 13-19.10'!D:D,"Возврат выручки",'Отчет 13-19.10'!E:E,B19)</f>
        <v>0</v>
      </c>
      <c r="R19" s="49">
        <f t="shared" si="3"/>
        <v>1</v>
      </c>
      <c r="S19" s="50">
        <f>SUMIFS('Отчет 13-19.10'!O:O,'Отчет 13-19.10'!C:C,"Продажи",'Отчет 13-19.10'!E:E,B19)</f>
        <v>3000</v>
      </c>
      <c r="T19" s="51">
        <f>SUMIFS('Отчет 13-19.10'!O:O,'Отчет 13-19.10'!C:C,"Возвраты",'Отчет 13-19.10'!E:E,B19)</f>
        <v>0</v>
      </c>
      <c r="U19" s="49">
        <f t="shared" si="4"/>
        <v>3000</v>
      </c>
      <c r="V19" s="52">
        <f t="shared" si="5"/>
        <v>4.488733279468534E-2</v>
      </c>
      <c r="W19" s="53">
        <f t="shared" si="6"/>
        <v>1014.52</v>
      </c>
      <c r="X19" s="51">
        <f>-SUMIFS('Отчет 13-19.10'!O:O,'Отчет 13-19.10'!C:C,"Вознаграждение Ozon",'Отчет 13-19.10'!E:E,B19)</f>
        <v>1140</v>
      </c>
      <c r="Y19" s="54">
        <f t="shared" si="7"/>
        <v>0.38</v>
      </c>
      <c r="Z19" s="51">
        <f>-SUMIFS('Отчет 13-19.10'!O:O,'Отчет 13-19.10'!C:C,"Услуги доставки",'Отчет 13-19.10'!E:E,B19)</f>
        <v>108</v>
      </c>
      <c r="AA19" s="41">
        <v>327.771255</v>
      </c>
      <c r="AB19" s="64"/>
      <c r="AC19" s="51"/>
      <c r="AD19" s="55">
        <f t="shared" si="8"/>
        <v>180</v>
      </c>
      <c r="AE19" s="56">
        <f t="shared" si="9"/>
        <v>229.70874500000002</v>
      </c>
      <c r="AF19" s="55"/>
      <c r="AG19" s="57">
        <f t="shared" si="10"/>
        <v>3000</v>
      </c>
      <c r="AH19" s="58">
        <f t="shared" si="11"/>
        <v>1014.52</v>
      </c>
      <c r="AI19" s="58">
        <f t="shared" si="12"/>
        <v>1140</v>
      </c>
      <c r="AJ19" s="58">
        <f t="shared" si="13"/>
        <v>108</v>
      </c>
      <c r="AK19" s="58">
        <f t="shared" si="14"/>
        <v>327.771255</v>
      </c>
      <c r="AL19" s="58">
        <f t="array" ref="AL19">_xlfn.IFS(R19=0,AE19,R19&lt;0,AE19/-R19,R19&gt;0,AE19/R19)</f>
        <v>229.70874500000002</v>
      </c>
      <c r="AM19" s="59">
        <f t="shared" si="15"/>
        <v>7.6569581666666678E-2</v>
      </c>
      <c r="AN19" s="60">
        <f t="shared" si="16"/>
        <v>0.22642111047589011</v>
      </c>
      <c r="AP19" s="62">
        <f t="shared" si="17"/>
        <v>0</v>
      </c>
    </row>
    <row r="20" spans="1:52" ht="13.75" customHeight="1">
      <c r="A20" s="39">
        <v>2807226341</v>
      </c>
      <c r="B20" s="40" t="s">
        <v>136</v>
      </c>
      <c r="C20" s="41">
        <v>1</v>
      </c>
      <c r="D20" s="42"/>
      <c r="E20" s="42"/>
      <c r="F20" s="42"/>
      <c r="G20" s="43"/>
      <c r="H20" s="44">
        <v>1014.52</v>
      </c>
      <c r="I20" s="63">
        <f t="shared" si="0"/>
        <v>1014.52</v>
      </c>
      <c r="J20" s="45"/>
      <c r="K20" s="41">
        <v>0</v>
      </c>
      <c r="L20" s="45"/>
      <c r="M20" s="45"/>
      <c r="N20" s="46">
        <f t="shared" si="1"/>
        <v>0</v>
      </c>
      <c r="O20" s="47">
        <f t="shared" si="2"/>
        <v>0</v>
      </c>
      <c r="P20" s="48">
        <f>SUMIFS('Отчет 13-19.10'!H:H,'Отчет 13-19.10'!D:D,"Выручка",'Отчет 13-19.10'!E:E,B20)</f>
        <v>0</v>
      </c>
      <c r="Q20" s="48">
        <f>SUMIFS('Отчет 13-19.10'!H:H,'Отчет 13-19.10'!D:D,"Возврат выручки",'Отчет 13-19.10'!E:E,B20)</f>
        <v>0</v>
      </c>
      <c r="R20" s="49">
        <f t="shared" si="3"/>
        <v>0</v>
      </c>
      <c r="S20" s="50">
        <f>SUMIFS('Отчет 13-19.10'!O:O,'Отчет 13-19.10'!C:C,"Продажи",'Отчет 13-19.10'!E:E,B20)</f>
        <v>0</v>
      </c>
      <c r="T20" s="51">
        <f>SUMIFS('Отчет 13-19.10'!O:O,'Отчет 13-19.10'!C:C,"Возвраты",'Отчет 13-19.10'!E:E,B20)</f>
        <v>0</v>
      </c>
      <c r="U20" s="49">
        <f t="shared" si="4"/>
        <v>0</v>
      </c>
      <c r="V20" s="52">
        <f t="shared" si="5"/>
        <v>0</v>
      </c>
      <c r="W20" s="53">
        <f t="shared" si="6"/>
        <v>0</v>
      </c>
      <c r="X20" s="51">
        <f>-SUMIFS('Отчет 13-19.10'!O:O,'Отчет 13-19.10'!C:C,"Вознаграждение Ozon",'Отчет 13-19.10'!E:E,B20)</f>
        <v>0</v>
      </c>
      <c r="Y20" s="54">
        <f t="shared" si="7"/>
        <v>0</v>
      </c>
      <c r="Z20" s="51">
        <f>-SUMIFS('Отчет 13-19.10'!O:O,'Отчет 13-19.10'!C:C,"Услуги доставки",'Отчет 13-19.10'!E:E,B20)</f>
        <v>0</v>
      </c>
      <c r="AA20" s="41">
        <v>0</v>
      </c>
      <c r="AB20" s="64"/>
      <c r="AC20" s="51"/>
      <c r="AD20" s="55">
        <f t="shared" si="8"/>
        <v>0</v>
      </c>
      <c r="AE20" s="56">
        <f t="shared" si="9"/>
        <v>0</v>
      </c>
      <c r="AF20" s="55"/>
      <c r="AG20" s="57">
        <f t="shared" si="10"/>
        <v>0</v>
      </c>
      <c r="AH20" s="58">
        <f t="shared" si="11"/>
        <v>1014.52</v>
      </c>
      <c r="AI20" s="58">
        <f t="shared" si="12"/>
        <v>0</v>
      </c>
      <c r="AJ20" s="58">
        <f t="shared" si="13"/>
        <v>0</v>
      </c>
      <c r="AK20" s="58">
        <f t="shared" si="14"/>
        <v>0</v>
      </c>
      <c r="AL20" s="58">
        <f t="array" ref="AL20">_xlfn.IFS(R20=0,AE20,R20&lt;0,AE20/-R20,R20&gt;0,AE20/R20)</f>
        <v>0</v>
      </c>
      <c r="AM20" s="59">
        <f t="shared" si="15"/>
        <v>0</v>
      </c>
      <c r="AN20" s="60">
        <f t="shared" si="16"/>
        <v>0</v>
      </c>
      <c r="AP20" s="62">
        <f t="shared" si="17"/>
        <v>0</v>
      </c>
    </row>
    <row r="21" spans="1:52" ht="13.75" customHeight="1">
      <c r="A21" s="39">
        <v>2807226351</v>
      </c>
      <c r="B21" s="40" t="s">
        <v>233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"/>
        <v>0</v>
      </c>
      <c r="O21" s="47">
        <f t="shared" si="2"/>
        <v>0</v>
      </c>
      <c r="P21" s="48">
        <f>SUMIFS('Отчет 13-19.10'!H:H,'Отчет 13-19.10'!D:D,"Выручка",'Отчет 13-19.10'!E:E,B21)</f>
        <v>0</v>
      </c>
      <c r="Q21" s="48">
        <f>SUMIFS('Отчет 13-19.10'!H:H,'Отчет 13-19.10'!D:D,"Возврат выручки",'Отчет 13-19.10'!E:E,B21)</f>
        <v>0</v>
      </c>
      <c r="R21" s="49">
        <f t="shared" si="3"/>
        <v>0</v>
      </c>
      <c r="S21" s="50">
        <f>SUMIFS('Отчет 13-19.10'!O:O,'Отчет 13-19.10'!C:C,"Продажи",'Отчет 13-19.10'!E:E,B21)</f>
        <v>0</v>
      </c>
      <c r="T21" s="51">
        <f>SUMIFS('Отчет 13-19.10'!O:O,'Отчет 13-19.10'!C:C,"Возвраты",'Отчет 13-19.10'!E:E,B21)</f>
        <v>0</v>
      </c>
      <c r="U21" s="49">
        <f t="shared" si="4"/>
        <v>0</v>
      </c>
      <c r="V21" s="52">
        <f t="shared" si="5"/>
        <v>0</v>
      </c>
      <c r="W21" s="53">
        <f t="shared" si="6"/>
        <v>0</v>
      </c>
      <c r="X21" s="51">
        <f>-SUMIFS('Отчет 13-19.10'!O:O,'Отчет 13-19.10'!C:C,"Вознаграждение Ozon",'Отчет 13-19.10'!E:E,B21)</f>
        <v>0</v>
      </c>
      <c r="Y21" s="54">
        <f t="shared" si="7"/>
        <v>0</v>
      </c>
      <c r="Z21" s="51">
        <f>-SUMIFS('Отчет 13-19.10'!O:O,'Отчет 13-19.10'!C:C,"Услуги доставки",'Отчет 13-19.10'!E:E,B21)</f>
        <v>0</v>
      </c>
      <c r="AA21" s="41">
        <v>35.861609999999999</v>
      </c>
      <c r="AB21" s="64"/>
      <c r="AC21" s="51"/>
      <c r="AD21" s="55">
        <f t="shared" si="8"/>
        <v>0</v>
      </c>
      <c r="AE21" s="56">
        <f t="shared" si="9"/>
        <v>-35.861609999999999</v>
      </c>
      <c r="AF21" s="55"/>
      <c r="AG21" s="57">
        <f t="shared" si="10"/>
        <v>0</v>
      </c>
      <c r="AH21" s="58">
        <f t="shared" si="11"/>
        <v>1014.52</v>
      </c>
      <c r="AI21" s="58">
        <f t="shared" si="12"/>
        <v>0</v>
      </c>
      <c r="AJ21" s="58">
        <f t="shared" si="13"/>
        <v>0</v>
      </c>
      <c r="AK21" s="58">
        <f t="shared" si="14"/>
        <v>0</v>
      </c>
      <c r="AL21" s="58">
        <f t="array" ref="AL21">_xlfn.IFS(R21=0,AE21,R21&lt;0,AE21/-R21,R21&gt;0,AE21/R21)</f>
        <v>-35.861609999999999</v>
      </c>
      <c r="AM21" s="59">
        <f t="shared" si="15"/>
        <v>0</v>
      </c>
      <c r="AN21" s="60">
        <f t="shared" si="16"/>
        <v>-3.5348351929976735E-2</v>
      </c>
      <c r="AP21" s="62">
        <f t="shared" si="17"/>
        <v>0</v>
      </c>
    </row>
    <row r="22" spans="1:52" ht="13.75" customHeight="1">
      <c r="A22" s="39">
        <v>2807226146</v>
      </c>
      <c r="B22" s="40" t="s">
        <v>234</v>
      </c>
      <c r="C22" s="41">
        <v>0</v>
      </c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"/>
        <v>0</v>
      </c>
      <c r="O22" s="47">
        <f t="shared" si="2"/>
        <v>0</v>
      </c>
      <c r="P22" s="48">
        <f>SUMIFS('Отчет 13-19.10'!H:H,'Отчет 13-19.10'!D:D,"Выручка",'Отчет 13-19.10'!E:E,B22)</f>
        <v>0</v>
      </c>
      <c r="Q22" s="48">
        <f>SUMIFS('Отчет 13-19.10'!H:H,'Отчет 13-19.10'!D:D,"Возврат выручки",'Отчет 13-19.10'!E:E,B22)</f>
        <v>0</v>
      </c>
      <c r="R22" s="49">
        <f t="shared" si="3"/>
        <v>0</v>
      </c>
      <c r="S22" s="50">
        <f>SUMIFS('Отчет 13-19.10'!O:O,'Отчет 13-19.10'!C:C,"Продажи",'Отчет 13-19.10'!E:E,B22)</f>
        <v>0</v>
      </c>
      <c r="T22" s="51">
        <f>SUMIFS('Отчет 13-19.10'!O:O,'Отчет 13-19.10'!C:C,"Возвраты",'Отчет 13-19.10'!E:E,B22)</f>
        <v>0</v>
      </c>
      <c r="U22" s="49">
        <f t="shared" si="4"/>
        <v>0</v>
      </c>
      <c r="V22" s="52">
        <f t="shared" si="5"/>
        <v>0</v>
      </c>
      <c r="W22" s="53">
        <f t="shared" si="6"/>
        <v>0</v>
      </c>
      <c r="X22" s="51">
        <f>-SUMIFS('Отчет 13-19.10'!O:O,'Отчет 13-19.10'!C:C,"Вознаграждение Ozon",'Отчет 13-19.10'!E:E,B22)</f>
        <v>0</v>
      </c>
      <c r="Y22" s="54">
        <f t="shared" si="7"/>
        <v>0</v>
      </c>
      <c r="Z22" s="51">
        <f>-SUMIFS('Отчет 13-19.10'!O:O,'Отчет 13-19.10'!C:C,"Услуги доставки",'Отчет 13-19.10'!E:E,B22)</f>
        <v>0</v>
      </c>
      <c r="AA22" s="41">
        <v>0</v>
      </c>
      <c r="AB22" s="64"/>
      <c r="AC22" s="51"/>
      <c r="AD22" s="55">
        <f t="shared" si="8"/>
        <v>0</v>
      </c>
      <c r="AE22" s="56">
        <f t="shared" si="9"/>
        <v>0</v>
      </c>
      <c r="AF22" s="55"/>
      <c r="AG22" s="57">
        <f t="shared" si="10"/>
        <v>0</v>
      </c>
      <c r="AH22" s="58">
        <f t="shared" si="11"/>
        <v>991.12</v>
      </c>
      <c r="AI22" s="58">
        <f t="shared" si="12"/>
        <v>0</v>
      </c>
      <c r="AJ22" s="58">
        <f t="shared" si="13"/>
        <v>0</v>
      </c>
      <c r="AK22" s="58">
        <f t="shared" si="14"/>
        <v>0</v>
      </c>
      <c r="AL22" s="58">
        <f t="array" ref="AL22">_xlfn.IFS(R22=0,AE22,R22&lt;0,AE22/-R22,R22&gt;0,AE22/R22)</f>
        <v>0</v>
      </c>
      <c r="AM22" s="59">
        <f t="shared" si="15"/>
        <v>0</v>
      </c>
      <c r="AN22" s="60">
        <f t="shared" si="16"/>
        <v>0</v>
      </c>
      <c r="AP22" s="62">
        <f t="shared" si="17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1526</v>
      </c>
      <c r="AH23" s="247">
        <f t="shared" si="18"/>
        <v>480.36400000000003</v>
      </c>
      <c r="AI23" s="247">
        <f t="shared" si="18"/>
        <v>482.38612244897962</v>
      </c>
      <c r="AJ23" s="247">
        <f t="shared" si="18"/>
        <v>155.02857142857141</v>
      </c>
      <c r="AK23" s="247">
        <f t="shared" si="18"/>
        <v>1028.76119625</v>
      </c>
      <c r="AL23" s="247">
        <f t="shared" si="18"/>
        <v>-204.0654707857143</v>
      </c>
      <c r="AM23" s="249">
        <f t="shared" si="18"/>
        <v>-2.7134460535053424E-2</v>
      </c>
      <c r="AN23" s="249">
        <f t="shared" si="18"/>
        <v>-8.7506716540356896E-2</v>
      </c>
      <c r="AO23" s="240"/>
      <c r="AP23" s="241"/>
    </row>
    <row r="24" spans="1:52">
      <c r="A24" s="216" t="s">
        <v>305</v>
      </c>
      <c r="B24" s="209"/>
      <c r="C24" s="217">
        <f>SUM(C3:C22)</f>
        <v>3505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467166.2699999999</v>
      </c>
      <c r="J24" s="212"/>
      <c r="K24" s="217">
        <f>SUM(K3:K22)</f>
        <v>26</v>
      </c>
      <c r="L24" s="212"/>
      <c r="M24" s="212"/>
      <c r="N24" s="213"/>
      <c r="O24" s="214"/>
      <c r="P24" s="217">
        <f>SUM(P3:P22)</f>
        <v>13</v>
      </c>
      <c r="Q24" s="217">
        <f t="shared" ref="Q24:AE24" si="19">SUM(Q3:Q22)</f>
        <v>0</v>
      </c>
      <c r="R24" s="217">
        <f t="shared" si="19"/>
        <v>13</v>
      </c>
      <c r="S24" s="237">
        <f>SUM(S3:S22)</f>
        <v>18086</v>
      </c>
      <c r="T24" s="217">
        <f t="shared" si="19"/>
        <v>0</v>
      </c>
      <c r="U24" s="217">
        <f t="shared" si="19"/>
        <v>18086</v>
      </c>
      <c r="V24" s="256">
        <f t="shared" si="19"/>
        <v>0.270610766974893</v>
      </c>
      <c r="W24" s="217">
        <f t="shared" si="19"/>
        <v>2718.5799999999995</v>
      </c>
      <c r="X24" s="217">
        <f t="shared" si="19"/>
        <v>5420.92</v>
      </c>
      <c r="Y24" s="215">
        <f>IF(U24=0,0,X24/U24)</f>
        <v>0.29973017803826163</v>
      </c>
      <c r="Z24" s="217">
        <f t="shared" si="19"/>
        <v>2812</v>
      </c>
      <c r="AA24" s="217">
        <f>IFERROR(P24*AA49/P49,0)</f>
        <v>10059.339642857143</v>
      </c>
      <c r="AB24" s="217">
        <f t="shared" si="19"/>
        <v>0</v>
      </c>
      <c r="AC24" s="217">
        <f t="shared" si="19"/>
        <v>0</v>
      </c>
      <c r="AD24" s="238">
        <f t="shared" si="19"/>
        <v>1085.1599999999999</v>
      </c>
      <c r="AE24" s="239">
        <f t="shared" si="19"/>
        <v>-2883.6938879999998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1253545.0628418573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8933.0338879999999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>
        <v>16</v>
      </c>
      <c r="D26" s="42"/>
      <c r="E26" s="42"/>
      <c r="F26" s="42"/>
      <c r="G26" s="43"/>
      <c r="H26" s="65">
        <v>672</v>
      </c>
      <c r="I26" s="63">
        <f t="shared" ref="I26:I45" si="20">C26*H26</f>
        <v>10752</v>
      </c>
      <c r="J26" s="45"/>
      <c r="K26" s="41">
        <v>1</v>
      </c>
      <c r="L26" s="45"/>
      <c r="M26" s="45"/>
      <c r="N26" s="46">
        <f t="shared" ref="N26:N45" si="21">K26/7</f>
        <v>0.14285714285714285</v>
      </c>
      <c r="O26" s="47">
        <f t="shared" ref="O26:O45" si="22">R26/7</f>
        <v>0.42857142857142855</v>
      </c>
      <c r="P26" s="48">
        <f>SUMIFS('Отчет 13-19.10'!H:H,'Отчет 13-19.10'!D:D,"Выручка",'Отчет 13-19.10'!E:E,B26)</f>
        <v>2</v>
      </c>
      <c r="Q26" s="48">
        <f>SUMIFS('Отчет 13-19.10'!H:H,'Отчет 13-19.10'!D:D,"Возврат выручки",'Отчет 13-19.10'!E:E,B26)</f>
        <v>1</v>
      </c>
      <c r="R26" s="49">
        <f t="shared" ref="R26:R45" si="23">P26+Q26</f>
        <v>3</v>
      </c>
      <c r="S26" s="50">
        <f>SUMIFS('Отчет 13-19.10'!O:O,'Отчет 13-19.10'!C:C,"Продажи",'Отчет 13-19.10'!E:E,B26)</f>
        <v>8690</v>
      </c>
      <c r="T26" s="51">
        <f>SUMIFS('Отчет 13-19.10'!O:O,'Отчет 13-19.10'!C:C,"Возвраты",'Отчет 13-19.10'!E:E,B26)</f>
        <v>-5000</v>
      </c>
      <c r="U26" s="49">
        <f t="shared" ref="U26:U45" si="24">S26+T26</f>
        <v>3690</v>
      </c>
      <c r="V26" s="52">
        <f t="shared" ref="V26:V45" si="25">U26/$U$49</f>
        <v>5.5211419337462965E-2</v>
      </c>
      <c r="W26" s="53">
        <f t="shared" ref="W26:W45" si="26">R26*H26</f>
        <v>2016</v>
      </c>
      <c r="X26" s="51">
        <f>-SUMIFS('Отчет 13-19.10'!O:O,'Отчет 13-19.10'!C:C,"Вознаграждение Ozon",'Отчет 13-19.10'!E:E,B26)</f>
        <v>885.59999999999991</v>
      </c>
      <c r="Y26" s="54">
        <f t="shared" ref="Y26:Y45" si="27">IF(U26=0,0,X26/U26)</f>
        <v>0.23999999999999996</v>
      </c>
      <c r="Z26" s="51">
        <f>-SUMIFS('Отчет 13-19.10'!O:O,'Отчет 13-19.10'!C:C,"Услуги доставки",'Отчет 13-19.10'!E:E,B26)</f>
        <v>112</v>
      </c>
      <c r="AA26" s="41">
        <v>1491.6649869999999</v>
      </c>
      <c r="AB26" s="64"/>
      <c r="AC26" s="51"/>
      <c r="AD26" s="55">
        <f t="shared" ref="AD26:AD45" si="28">U26*6%</f>
        <v>221.4</v>
      </c>
      <c r="AE26" s="56">
        <f t="shared" ref="AE26:AE45" si="29">U26-W26-X26-Z26-AA26-AB26-AC26-AD26</f>
        <v>-1036.6649869999999</v>
      </c>
      <c r="AF26" s="55"/>
      <c r="AG26" s="57">
        <f t="shared" ref="AG26:AG45" si="30">IF(R26=0,0,U26/R26)</f>
        <v>1230</v>
      </c>
      <c r="AH26" s="58">
        <f t="shared" ref="AH26:AH45" si="31">H26</f>
        <v>672</v>
      </c>
      <c r="AI26" s="58">
        <f t="shared" ref="AI26:AI45" si="32">IF(R26=0,0,X26/R26)</f>
        <v>295.2</v>
      </c>
      <c r="AJ26" s="58">
        <f t="shared" ref="AJ26:AJ45" si="33">IF(P26=0,Z26/1,Z26/P26)</f>
        <v>56</v>
      </c>
      <c r="AK26" s="58">
        <f t="shared" ref="AK26:AK45" si="34">IF(P26=0,0,AA26/P26)</f>
        <v>745.83249349999994</v>
      </c>
      <c r="AL26" s="58">
        <f t="array" ref="AL26">_xlfn.IFS(R26=0,AE26,R26&lt;0,AE26/-R26,R26&gt;0,AE26/R26)</f>
        <v>-345.55499566666663</v>
      </c>
      <c r="AM26" s="59">
        <f t="shared" ref="AM26:AM45" si="35">IF(AG26=0,0,AL26/AG26)</f>
        <v>-0.28093902086720862</v>
      </c>
      <c r="AN26" s="60">
        <f t="shared" ref="AN26:AN45" si="36">IF(AH26=0,0,AL26/AH26)</f>
        <v>-0.51421874355158725</v>
      </c>
      <c r="AP26" s="62">
        <f t="shared" ref="AP26:AP45" si="37">AL26*C26</f>
        <v>-5528.879930666666</v>
      </c>
    </row>
    <row r="27" spans="1:52">
      <c r="A27" s="39">
        <v>2774708622</v>
      </c>
      <c r="B27" s="40" t="s">
        <v>43</v>
      </c>
      <c r="C27" s="41">
        <v>19</v>
      </c>
      <c r="D27" s="42"/>
      <c r="E27" s="42"/>
      <c r="F27" s="42"/>
      <c r="G27" s="43"/>
      <c r="H27" s="65">
        <v>627</v>
      </c>
      <c r="I27" s="63">
        <f t="shared" si="20"/>
        <v>11913</v>
      </c>
      <c r="J27" s="45"/>
      <c r="K27" s="41">
        <v>2</v>
      </c>
      <c r="L27" s="45"/>
      <c r="M27" s="45"/>
      <c r="N27" s="46">
        <f t="shared" si="21"/>
        <v>0.2857142857142857</v>
      </c>
      <c r="O27" s="47">
        <f t="shared" si="22"/>
        <v>0</v>
      </c>
      <c r="P27" s="48">
        <f>SUMIFS('Отчет 13-19.10'!H:H,'Отчет 13-19.10'!D:D,"Выручка",'Отчет 13-19.10'!E:E,B27)</f>
        <v>0</v>
      </c>
      <c r="Q27" s="48">
        <f>SUMIFS('Отчет 13-19.10'!H:H,'Отчет 13-19.10'!D:D,"Возврат выручки",'Отчет 13-19.10'!E:E,B27)</f>
        <v>0</v>
      </c>
      <c r="R27" s="49">
        <f t="shared" si="23"/>
        <v>0</v>
      </c>
      <c r="S27" s="50">
        <f>SUMIFS('Отчет 13-19.10'!O:O,'Отчет 13-19.10'!C:C,"Продажи",'Отчет 13-19.10'!E:E,B27)</f>
        <v>0</v>
      </c>
      <c r="T27" s="51">
        <f>SUMIFS('Отчет 13-19.10'!O:O,'Отчет 13-19.10'!C:C,"Возвраты",'Отчет 13-19.10'!E:E,B27)</f>
        <v>0</v>
      </c>
      <c r="U27" s="49">
        <f t="shared" si="24"/>
        <v>0</v>
      </c>
      <c r="V27" s="52">
        <f t="shared" si="25"/>
        <v>0</v>
      </c>
      <c r="W27" s="53">
        <f t="shared" si="26"/>
        <v>0</v>
      </c>
      <c r="X27" s="51">
        <f>-SUMIFS('Отчет 13-19.10'!O:O,'Отчет 13-19.10'!C:C,"Вознаграждение Ozon",'Отчет 13-19.10'!E:E,B27)</f>
        <v>0</v>
      </c>
      <c r="Y27" s="54">
        <f t="shared" si="27"/>
        <v>0</v>
      </c>
      <c r="Z27" s="51">
        <f>-SUMIFS('Отчет 13-19.10'!O:O,'Отчет 13-19.10'!C:C,"Услуги доставки",'Отчет 13-19.10'!E:E,B27)</f>
        <v>392</v>
      </c>
      <c r="AA27" s="41">
        <v>348.48938900000002</v>
      </c>
      <c r="AB27" s="64"/>
      <c r="AC27" s="51"/>
      <c r="AD27" s="55">
        <f t="shared" si="28"/>
        <v>0</v>
      </c>
      <c r="AE27" s="56">
        <f t="shared" si="29"/>
        <v>-740.48938900000007</v>
      </c>
      <c r="AF27" s="55"/>
      <c r="AG27" s="57">
        <f t="shared" si="30"/>
        <v>0</v>
      </c>
      <c r="AH27" s="58">
        <f t="shared" si="31"/>
        <v>627</v>
      </c>
      <c r="AI27" s="58">
        <f t="shared" si="32"/>
        <v>0</v>
      </c>
      <c r="AJ27" s="58">
        <f t="shared" si="33"/>
        <v>392</v>
      </c>
      <c r="AK27" s="58">
        <f t="shared" si="34"/>
        <v>0</v>
      </c>
      <c r="AL27" s="58">
        <f t="array" ref="AL27">_xlfn.IFS(R27=0,AE27,R27&lt;0,AE27/-R27,R27&gt;0,AE27/R27)</f>
        <v>-740.48938900000007</v>
      </c>
      <c r="AM27" s="59">
        <f t="shared" si="35"/>
        <v>0</v>
      </c>
      <c r="AN27" s="60">
        <f t="shared" si="36"/>
        <v>-1.1810038102073366</v>
      </c>
      <c r="AP27" s="62">
        <f t="shared" si="37"/>
        <v>-14069.298391000002</v>
      </c>
    </row>
    <row r="28" spans="1:52">
      <c r="A28" s="39">
        <v>2774709606</v>
      </c>
      <c r="B28" s="40" t="s">
        <v>235</v>
      </c>
      <c r="C28" s="41">
        <v>19</v>
      </c>
      <c r="D28" s="42"/>
      <c r="E28" s="42"/>
      <c r="F28" s="42"/>
      <c r="G28" s="43"/>
      <c r="H28" s="65">
        <v>627</v>
      </c>
      <c r="I28" s="63">
        <f t="shared" si="20"/>
        <v>11913</v>
      </c>
      <c r="J28" s="45"/>
      <c r="K28" s="41">
        <v>1</v>
      </c>
      <c r="L28" s="45"/>
      <c r="M28" s="45"/>
      <c r="N28" s="46">
        <f t="shared" si="21"/>
        <v>0.14285714285714285</v>
      </c>
      <c r="O28" s="47">
        <f t="shared" si="22"/>
        <v>0.14285714285714285</v>
      </c>
      <c r="P28" s="48">
        <f>SUMIFS('Отчет 13-19.10'!H:H,'Отчет 13-19.10'!D:D,"Выручка",'Отчет 13-19.10'!E:E,B28)</f>
        <v>1</v>
      </c>
      <c r="Q28" s="48">
        <f>SUMIFS('Отчет 13-19.10'!H:H,'Отчет 13-19.10'!D:D,"Возврат выручки",'Отчет 13-19.10'!E:E,B28)</f>
        <v>0</v>
      </c>
      <c r="R28" s="49">
        <f t="shared" si="23"/>
        <v>1</v>
      </c>
      <c r="S28" s="50">
        <f>SUMIFS('Отчет 13-19.10'!O:O,'Отчет 13-19.10'!C:C,"Продажи",'Отчет 13-19.10'!E:E,B28)</f>
        <v>5000</v>
      </c>
      <c r="T28" s="51">
        <f>SUMIFS('Отчет 13-19.10'!O:O,'Отчет 13-19.10'!C:C,"Возвраты",'Отчет 13-19.10'!E:E,B28)</f>
        <v>0</v>
      </c>
      <c r="U28" s="49">
        <f t="shared" si="24"/>
        <v>5000</v>
      </c>
      <c r="V28" s="52">
        <f t="shared" si="25"/>
        <v>7.481222132447557E-2</v>
      </c>
      <c r="W28" s="53">
        <f t="shared" si="26"/>
        <v>627</v>
      </c>
      <c r="X28" s="51">
        <f>-SUMIFS('Отчет 13-19.10'!O:O,'Отчет 13-19.10'!C:C,"Вознаграждение Ozon",'Отчет 13-19.10'!E:E,B28)</f>
        <v>1700</v>
      </c>
      <c r="Y28" s="54">
        <f t="shared" si="27"/>
        <v>0.34</v>
      </c>
      <c r="Z28" s="51">
        <f>-SUMIFS('Отчет 13-19.10'!O:O,'Отчет 13-19.10'!C:C,"Услуги доставки",'Отчет 13-19.10'!E:E,B28)</f>
        <v>56</v>
      </c>
      <c r="AA28" s="41">
        <v>3438.5856829999998</v>
      </c>
      <c r="AB28" s="64"/>
      <c r="AC28" s="51"/>
      <c r="AD28" s="55">
        <f t="shared" si="28"/>
        <v>300</v>
      </c>
      <c r="AE28" s="56">
        <f t="shared" si="29"/>
        <v>-1121.5856829999998</v>
      </c>
      <c r="AF28" s="55"/>
      <c r="AG28" s="57">
        <f t="shared" si="30"/>
        <v>5000</v>
      </c>
      <c r="AH28" s="58">
        <f t="shared" si="31"/>
        <v>627</v>
      </c>
      <c r="AI28" s="58">
        <f t="shared" si="32"/>
        <v>1700</v>
      </c>
      <c r="AJ28" s="58">
        <f t="shared" si="33"/>
        <v>56</v>
      </c>
      <c r="AK28" s="58">
        <f t="shared" si="34"/>
        <v>3438.5856829999998</v>
      </c>
      <c r="AL28" s="58">
        <f t="array" ref="AL28">_xlfn.IFS(R28=0,AE28,R28&lt;0,AE28/-R28,R28&gt;0,AE28/R28)</f>
        <v>-1121.5856829999998</v>
      </c>
      <c r="AM28" s="59">
        <f t="shared" si="35"/>
        <v>-0.22431713659999997</v>
      </c>
      <c r="AN28" s="60">
        <f t="shared" si="36"/>
        <v>-1.7888128915470491</v>
      </c>
      <c r="AP28" s="62">
        <f t="shared" si="37"/>
        <v>-21310.127976999996</v>
      </c>
    </row>
    <row r="29" spans="1:52">
      <c r="A29" s="39">
        <v>2774720465</v>
      </c>
      <c r="B29" s="40" t="s">
        <v>171</v>
      </c>
      <c r="C29" s="41">
        <v>18</v>
      </c>
      <c r="D29" s="42"/>
      <c r="E29" s="42"/>
      <c r="F29" s="42"/>
      <c r="G29" s="43"/>
      <c r="H29" s="65">
        <v>567</v>
      </c>
      <c r="I29" s="63">
        <f t="shared" si="20"/>
        <v>10206</v>
      </c>
      <c r="J29" s="45"/>
      <c r="K29" s="41">
        <v>0</v>
      </c>
      <c r="L29" s="45"/>
      <c r="M29" s="45"/>
      <c r="N29" s="46">
        <f t="shared" si="21"/>
        <v>0</v>
      </c>
      <c r="O29" s="47">
        <f t="shared" si="22"/>
        <v>0</v>
      </c>
      <c r="P29" s="48">
        <f>SUMIFS('Отчет 13-19.10'!H:H,'Отчет 13-19.10'!D:D,"Выручка",'Отчет 13-19.10'!E:E,B29)</f>
        <v>0</v>
      </c>
      <c r="Q29" s="48">
        <f>SUMIFS('Отчет 13-19.10'!H:H,'Отчет 13-19.10'!D:D,"Возврат выручки",'Отчет 13-19.10'!E:E,B29)</f>
        <v>0</v>
      </c>
      <c r="R29" s="49">
        <f t="shared" si="23"/>
        <v>0</v>
      </c>
      <c r="S29" s="50">
        <f>SUMIFS('Отчет 13-19.10'!O:O,'Отчет 13-19.10'!C:C,"Продажи",'Отчет 13-19.10'!E:E,B29)</f>
        <v>0</v>
      </c>
      <c r="T29" s="51">
        <f>SUMIFS('Отчет 13-19.10'!O:O,'Отчет 13-19.10'!C:C,"Возвраты",'Отчет 13-19.10'!E:E,B29)</f>
        <v>0</v>
      </c>
      <c r="U29" s="49">
        <f t="shared" si="24"/>
        <v>0</v>
      </c>
      <c r="V29" s="52">
        <f t="shared" si="25"/>
        <v>0</v>
      </c>
      <c r="W29" s="53">
        <f t="shared" si="26"/>
        <v>0</v>
      </c>
      <c r="X29" s="51">
        <f>-SUMIFS('Отчет 13-19.10'!O:O,'Отчет 13-19.10'!C:C,"Вознаграждение Ozon",'Отчет 13-19.10'!E:E,B29)</f>
        <v>0</v>
      </c>
      <c r="Y29" s="54">
        <f t="shared" si="27"/>
        <v>0</v>
      </c>
      <c r="Z29" s="51">
        <f>-SUMIFS('Отчет 13-19.10'!O:O,'Отчет 13-19.10'!C:C,"Услуги доставки",'Отчет 13-19.10'!E:E,B29)</f>
        <v>0</v>
      </c>
      <c r="AA29" s="41">
        <v>0</v>
      </c>
      <c r="AB29" s="64"/>
      <c r="AC29" s="51"/>
      <c r="AD29" s="55">
        <f t="shared" si="28"/>
        <v>0</v>
      </c>
      <c r="AE29" s="56">
        <f t="shared" si="29"/>
        <v>0</v>
      </c>
      <c r="AF29" s="55"/>
      <c r="AG29" s="57">
        <f t="shared" si="30"/>
        <v>0</v>
      </c>
      <c r="AH29" s="58">
        <f t="shared" si="31"/>
        <v>567</v>
      </c>
      <c r="AI29" s="58">
        <f t="shared" si="32"/>
        <v>0</v>
      </c>
      <c r="AJ29" s="58">
        <f t="shared" si="33"/>
        <v>0</v>
      </c>
      <c r="AK29" s="58">
        <f t="shared" si="34"/>
        <v>0</v>
      </c>
      <c r="AL29" s="58">
        <f t="array" ref="AL29">_xlfn.IFS(R29=0,AE29,R29&lt;0,AE29/-R29,R29&gt;0,AE29/R29)</f>
        <v>0</v>
      </c>
      <c r="AM29" s="59">
        <f t="shared" si="35"/>
        <v>0</v>
      </c>
      <c r="AN29" s="60">
        <f t="shared" si="36"/>
        <v>0</v>
      </c>
      <c r="AP29" s="62">
        <f t="shared" si="37"/>
        <v>0</v>
      </c>
    </row>
    <row r="30" spans="1:52">
      <c r="A30" s="39">
        <v>2774718470</v>
      </c>
      <c r="B30" s="40" t="s">
        <v>39</v>
      </c>
      <c r="C30" s="41">
        <v>18</v>
      </c>
      <c r="D30" s="42"/>
      <c r="E30" s="42"/>
      <c r="F30" s="42"/>
      <c r="G30" s="43"/>
      <c r="H30" s="65">
        <v>567</v>
      </c>
      <c r="I30" s="63">
        <f t="shared" si="20"/>
        <v>10206</v>
      </c>
      <c r="J30" s="45"/>
      <c r="K30" s="41">
        <v>1</v>
      </c>
      <c r="L30" s="45"/>
      <c r="M30" s="45"/>
      <c r="N30" s="46">
        <f t="shared" si="21"/>
        <v>0.14285714285714285</v>
      </c>
      <c r="O30" s="47">
        <f t="shared" si="22"/>
        <v>0</v>
      </c>
      <c r="P30" s="48">
        <f>SUMIFS('Отчет 13-19.10'!H:H,'Отчет 13-19.10'!D:D,"Выручка",'Отчет 13-19.10'!E:E,B30)</f>
        <v>0</v>
      </c>
      <c r="Q30" s="48">
        <f>SUMIFS('Отчет 13-19.10'!H:H,'Отчет 13-19.10'!D:D,"Возврат выручки",'Отчет 13-19.10'!E:E,B30)</f>
        <v>0</v>
      </c>
      <c r="R30" s="49">
        <f t="shared" si="23"/>
        <v>0</v>
      </c>
      <c r="S30" s="50">
        <f>SUMIFS('Отчет 13-19.10'!O:O,'Отчет 13-19.10'!C:C,"Продажи",'Отчет 13-19.10'!E:E,B30)</f>
        <v>0</v>
      </c>
      <c r="T30" s="51">
        <f>SUMIFS('Отчет 13-19.10'!O:O,'Отчет 13-19.10'!C:C,"Возвраты",'Отчет 13-19.10'!E:E,B30)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13-19.10'!O:O,'Отчет 13-19.10'!C:C,"Вознаграждение Ozon",'Отчет 13-19.10'!E:E,B30)</f>
        <v>0</v>
      </c>
      <c r="Y30" s="54">
        <f t="shared" si="27"/>
        <v>0</v>
      </c>
      <c r="Z30" s="51">
        <f>-SUMIFS('Отчет 13-19.10'!O:O,'Отчет 13-19.10'!C:C,"Услуги доставки",'Отчет 13-19.10'!E:E,B30)</f>
        <v>0</v>
      </c>
      <c r="AA30" s="41">
        <v>0</v>
      </c>
      <c r="AB30" s="64"/>
      <c r="AC30" s="51"/>
      <c r="AD30" s="55">
        <f t="shared" si="28"/>
        <v>0</v>
      </c>
      <c r="AE30" s="56">
        <f t="shared" si="29"/>
        <v>0</v>
      </c>
      <c r="AF30" s="55"/>
      <c r="AG30" s="57">
        <f t="shared" si="30"/>
        <v>0</v>
      </c>
      <c r="AH30" s="58">
        <f t="shared" si="31"/>
        <v>567</v>
      </c>
      <c r="AI30" s="58">
        <f t="shared" si="32"/>
        <v>0</v>
      </c>
      <c r="AJ30" s="58">
        <f t="shared" si="33"/>
        <v>0</v>
      </c>
      <c r="AK30" s="58">
        <f t="shared" si="34"/>
        <v>0</v>
      </c>
      <c r="AL30" s="58">
        <f t="array" ref="AL30">_xlfn.IFS(R30=0,AE30,R30&lt;0,AE30/-R30,R30&gt;0,AE30/R30)</f>
        <v>0</v>
      </c>
      <c r="AM30" s="59">
        <f t="shared" si="35"/>
        <v>0</v>
      </c>
      <c r="AN30" s="60">
        <f t="shared" si="36"/>
        <v>0</v>
      </c>
      <c r="AP30" s="62">
        <f t="shared" si="37"/>
        <v>0</v>
      </c>
    </row>
    <row r="31" spans="1:52">
      <c r="A31" s="39">
        <v>2774719022</v>
      </c>
      <c r="B31" s="40" t="s">
        <v>236</v>
      </c>
      <c r="C31" s="41">
        <v>19</v>
      </c>
      <c r="D31" s="42"/>
      <c r="E31" s="42"/>
      <c r="F31" s="42"/>
      <c r="G31" s="43"/>
      <c r="H31" s="65">
        <v>657</v>
      </c>
      <c r="I31" s="63">
        <f t="shared" si="20"/>
        <v>12483</v>
      </c>
      <c r="J31" s="45"/>
      <c r="K31" s="41">
        <v>0</v>
      </c>
      <c r="L31" s="45"/>
      <c r="M31" s="45"/>
      <c r="N31" s="46">
        <f t="shared" si="21"/>
        <v>0</v>
      </c>
      <c r="O31" s="47">
        <f t="shared" si="22"/>
        <v>0</v>
      </c>
      <c r="P31" s="48">
        <f>SUMIFS('Отчет 13-19.10'!H:H,'Отчет 13-19.10'!D:D,"Выручка",'Отчет 13-19.10'!E:E,B31)</f>
        <v>0</v>
      </c>
      <c r="Q31" s="48">
        <f>SUMIFS('Отчет 13-19.10'!H:H,'Отчет 13-19.10'!D:D,"Возврат выручки",'Отчет 13-19.10'!E:E,B31)</f>
        <v>0</v>
      </c>
      <c r="R31" s="49">
        <f t="shared" si="23"/>
        <v>0</v>
      </c>
      <c r="S31" s="50">
        <f>SUMIFS('Отчет 13-19.10'!O:O,'Отчет 13-19.10'!C:C,"Продажи",'Отчет 13-19.10'!E:E,B31)</f>
        <v>0</v>
      </c>
      <c r="T31" s="51">
        <f>SUMIFS('Отчет 13-19.10'!O:O,'Отчет 13-19.10'!C:C,"Возвраты",'Отчет 13-19.10'!E:E,B31)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13-19.10'!O:O,'Отчет 13-19.10'!C:C,"Вознаграждение Ozon",'Отчет 13-19.10'!E:E,B31)</f>
        <v>0</v>
      </c>
      <c r="Y31" s="54">
        <f t="shared" si="27"/>
        <v>0</v>
      </c>
      <c r="Z31" s="51">
        <f>-SUMIFS('Отчет 13-19.10'!O:O,'Отчет 13-19.10'!C:C,"Услуги доставки",'Отчет 13-19.10'!E:E,B31)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657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2774719501</v>
      </c>
      <c r="B32" s="40" t="s">
        <v>237</v>
      </c>
      <c r="C32" s="41">
        <v>19</v>
      </c>
      <c r="D32" s="42"/>
      <c r="E32" s="42"/>
      <c r="F32" s="42"/>
      <c r="G32" s="43"/>
      <c r="H32" s="65">
        <v>597</v>
      </c>
      <c r="I32" s="63">
        <f t="shared" si="20"/>
        <v>11343</v>
      </c>
      <c r="J32" s="45"/>
      <c r="K32" s="41">
        <v>0</v>
      </c>
      <c r="L32" s="45"/>
      <c r="M32" s="45"/>
      <c r="N32" s="46">
        <f t="shared" si="21"/>
        <v>0</v>
      </c>
      <c r="O32" s="47">
        <f t="shared" si="22"/>
        <v>0</v>
      </c>
      <c r="P32" s="48">
        <f>SUMIFS('Отчет 13-19.10'!H:H,'Отчет 13-19.10'!D:D,"Выручка",'Отчет 13-19.10'!E:E,B32)</f>
        <v>0</v>
      </c>
      <c r="Q32" s="48">
        <f>SUMIFS('Отчет 13-19.10'!H:H,'Отчет 13-19.10'!D:D,"Возврат выручки",'Отчет 13-19.10'!E:E,B32)</f>
        <v>0</v>
      </c>
      <c r="R32" s="49">
        <f t="shared" si="23"/>
        <v>0</v>
      </c>
      <c r="S32" s="50">
        <f>SUMIFS('Отчет 13-19.10'!O:O,'Отчет 13-19.10'!C:C,"Продажи",'Отчет 13-19.10'!E:E,B32)</f>
        <v>0</v>
      </c>
      <c r="T32" s="51">
        <f>SUMIFS('Отчет 13-19.10'!O:O,'Отчет 13-19.10'!C:C,"Возвраты",'Отчет 13-19.10'!E:E,B32)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13-19.10'!O:O,'Отчет 13-19.10'!C:C,"Вознаграждение Ozon",'Отчет 13-19.10'!E:E,B32)</f>
        <v>0</v>
      </c>
      <c r="Y32" s="54">
        <f t="shared" si="27"/>
        <v>0</v>
      </c>
      <c r="Z32" s="51">
        <f>-SUMIFS('Отчет 13-19.10'!O:O,'Отчет 13-19.10'!C:C,"Услуги доставки",'Отчет 13-19.10'!E:E,B32)</f>
        <v>224</v>
      </c>
      <c r="AA32" s="41">
        <v>0</v>
      </c>
      <c r="AB32" s="64"/>
      <c r="AC32" s="51"/>
      <c r="AD32" s="55">
        <f t="shared" si="28"/>
        <v>0</v>
      </c>
      <c r="AE32" s="56">
        <f t="shared" si="29"/>
        <v>-224</v>
      </c>
      <c r="AF32" s="55"/>
      <c r="AG32" s="57">
        <f t="shared" si="30"/>
        <v>0</v>
      </c>
      <c r="AH32" s="58">
        <f t="shared" si="31"/>
        <v>597</v>
      </c>
      <c r="AI32" s="58">
        <f t="shared" si="32"/>
        <v>0</v>
      </c>
      <c r="AJ32" s="58">
        <f t="shared" si="33"/>
        <v>224</v>
      </c>
      <c r="AK32" s="58">
        <f t="shared" si="34"/>
        <v>0</v>
      </c>
      <c r="AL32" s="58">
        <f t="array" ref="AL32">_xlfn.IFS(R32=0,AE32,R32&lt;0,AE32/-R32,R32&gt;0,AE32/R32)</f>
        <v>-224</v>
      </c>
      <c r="AM32" s="59">
        <f t="shared" si="35"/>
        <v>0</v>
      </c>
      <c r="AN32" s="60">
        <f t="shared" si="36"/>
        <v>-0.37520938023450584</v>
      </c>
      <c r="AP32" s="62">
        <f t="shared" si="37"/>
        <v>-4256</v>
      </c>
    </row>
    <row r="33" spans="1:42">
      <c r="A33" s="39">
        <v>2774714412</v>
      </c>
      <c r="B33" s="40" t="s">
        <v>142</v>
      </c>
      <c r="C33" s="41">
        <v>18</v>
      </c>
      <c r="D33" s="42"/>
      <c r="E33" s="42"/>
      <c r="F33" s="42"/>
      <c r="G33" s="43"/>
      <c r="H33" s="65">
        <v>552</v>
      </c>
      <c r="I33" s="63">
        <f t="shared" si="20"/>
        <v>9936</v>
      </c>
      <c r="J33" s="45"/>
      <c r="K33" s="41">
        <v>0</v>
      </c>
      <c r="L33" s="45"/>
      <c r="M33" s="45"/>
      <c r="N33" s="46">
        <f t="shared" si="21"/>
        <v>0</v>
      </c>
      <c r="O33" s="47">
        <f t="shared" si="22"/>
        <v>0</v>
      </c>
      <c r="P33" s="48">
        <f>SUMIFS('Отчет 13-19.10'!H:H,'Отчет 13-19.10'!D:D,"Выручка",'Отчет 13-19.10'!E:E,B33)</f>
        <v>0</v>
      </c>
      <c r="Q33" s="48">
        <f>SUMIFS('Отчет 13-19.10'!H:H,'Отчет 13-19.10'!D:D,"Возврат выручки",'Отчет 13-19.10'!E:E,B33)</f>
        <v>0</v>
      </c>
      <c r="R33" s="49">
        <f t="shared" si="23"/>
        <v>0</v>
      </c>
      <c r="S33" s="50">
        <f>SUMIFS('Отчет 13-19.10'!O:O,'Отчет 13-19.10'!C:C,"Продажи",'Отчет 13-19.10'!E:E,B33)</f>
        <v>0</v>
      </c>
      <c r="T33" s="51">
        <f>SUMIFS('Отчет 13-19.10'!O:O,'Отчет 13-19.10'!C:C,"Возвраты",'Отчет 13-19.10'!E:E,B33)</f>
        <v>0</v>
      </c>
      <c r="U33" s="49">
        <f t="shared" si="24"/>
        <v>0</v>
      </c>
      <c r="V33" s="52">
        <f t="shared" si="25"/>
        <v>0</v>
      </c>
      <c r="W33" s="53">
        <f t="shared" si="26"/>
        <v>0</v>
      </c>
      <c r="X33" s="51">
        <f>-SUMIFS('Отчет 13-19.10'!O:O,'Отчет 13-19.10'!C:C,"Вознаграждение Ozon",'Отчет 13-19.10'!E:E,B33)</f>
        <v>0</v>
      </c>
      <c r="Y33" s="54">
        <f t="shared" si="27"/>
        <v>0</v>
      </c>
      <c r="Z33" s="51">
        <f>-SUMIFS('Отчет 13-19.10'!O:O,'Отчет 13-19.10'!C:C,"Услуги доставки",'Отчет 13-19.10'!E:E,B33)</f>
        <v>0</v>
      </c>
      <c r="AA33" s="41">
        <v>0</v>
      </c>
      <c r="AB33" s="64"/>
      <c r="AC33" s="51"/>
      <c r="AD33" s="55">
        <f t="shared" si="28"/>
        <v>0</v>
      </c>
      <c r="AE33" s="56">
        <f t="shared" si="29"/>
        <v>0</v>
      </c>
      <c r="AF33" s="55"/>
      <c r="AG33" s="57">
        <f t="shared" si="30"/>
        <v>0</v>
      </c>
      <c r="AH33" s="58">
        <f t="shared" si="31"/>
        <v>552</v>
      </c>
      <c r="AI33" s="58">
        <f t="shared" si="32"/>
        <v>0</v>
      </c>
      <c r="AJ33" s="58">
        <f t="shared" si="33"/>
        <v>0</v>
      </c>
      <c r="AK33" s="58">
        <f t="shared" si="34"/>
        <v>0</v>
      </c>
      <c r="AL33" s="58">
        <f t="array" ref="AL33">_xlfn.IFS(R33=0,AE33,R33&lt;0,AE33/-R33,R33&gt;0,AE33/R33)</f>
        <v>0</v>
      </c>
      <c r="AM33" s="59">
        <f t="shared" si="35"/>
        <v>0</v>
      </c>
      <c r="AN33" s="60">
        <f t="shared" si="36"/>
        <v>0</v>
      </c>
      <c r="AP33" s="62">
        <f t="shared" si="37"/>
        <v>0</v>
      </c>
    </row>
    <row r="34" spans="1:42">
      <c r="A34" s="39">
        <v>2774710430</v>
      </c>
      <c r="B34" s="40" t="s">
        <v>238</v>
      </c>
      <c r="C34" s="41">
        <v>19</v>
      </c>
      <c r="D34" s="42"/>
      <c r="E34" s="42"/>
      <c r="F34" s="42"/>
      <c r="G34" s="43"/>
      <c r="H34" s="65">
        <v>552</v>
      </c>
      <c r="I34" s="63">
        <f t="shared" si="20"/>
        <v>10488</v>
      </c>
      <c r="J34" s="45"/>
      <c r="K34" s="41">
        <v>0</v>
      </c>
      <c r="L34" s="45"/>
      <c r="M34" s="45"/>
      <c r="N34" s="46">
        <f t="shared" si="21"/>
        <v>0</v>
      </c>
      <c r="O34" s="47">
        <f t="shared" si="22"/>
        <v>0</v>
      </c>
      <c r="P34" s="48">
        <f>SUMIFS('Отчет 13-19.10'!H:H,'Отчет 13-19.10'!D:D,"Выручка",'Отчет 13-19.10'!E:E,B34)</f>
        <v>0</v>
      </c>
      <c r="Q34" s="48">
        <f>SUMIFS('Отчет 13-19.10'!H:H,'Отчет 13-19.10'!D:D,"Возврат выручки",'Отчет 13-19.10'!E:E,B34)</f>
        <v>0</v>
      </c>
      <c r="R34" s="49">
        <f t="shared" si="23"/>
        <v>0</v>
      </c>
      <c r="S34" s="50">
        <f>SUMIFS('Отчет 13-19.10'!O:O,'Отчет 13-19.10'!C:C,"Продажи",'Отчет 13-19.10'!E:E,B34)</f>
        <v>0</v>
      </c>
      <c r="T34" s="51">
        <f>SUMIFS('Отчет 13-19.10'!O:O,'Отчет 13-19.10'!C:C,"Возвраты",'Отчет 13-19.10'!E:E,B34)</f>
        <v>0</v>
      </c>
      <c r="U34" s="49">
        <f t="shared" si="24"/>
        <v>0</v>
      </c>
      <c r="V34" s="52">
        <f t="shared" si="25"/>
        <v>0</v>
      </c>
      <c r="W34" s="53">
        <f t="shared" si="26"/>
        <v>0</v>
      </c>
      <c r="X34" s="51">
        <f>-SUMIFS('Отчет 13-19.10'!O:O,'Отчет 13-19.10'!C:C,"Вознаграждение Ozon",'Отчет 13-19.10'!E:E,B34)</f>
        <v>0</v>
      </c>
      <c r="Y34" s="54">
        <f t="shared" si="27"/>
        <v>0</v>
      </c>
      <c r="Z34" s="51">
        <f>-SUMIFS('Отчет 13-19.10'!O:O,'Отчет 13-19.10'!C:C,"Услуги доставки",'Отчет 13-19.10'!E:E,B34)</f>
        <v>0</v>
      </c>
      <c r="AA34" s="41">
        <v>0</v>
      </c>
      <c r="AB34" s="64"/>
      <c r="AC34" s="51"/>
      <c r="AD34" s="55">
        <f t="shared" si="28"/>
        <v>0</v>
      </c>
      <c r="AE34" s="56">
        <f t="shared" si="29"/>
        <v>0</v>
      </c>
      <c r="AF34" s="55"/>
      <c r="AG34" s="57">
        <f t="shared" si="30"/>
        <v>0</v>
      </c>
      <c r="AH34" s="58">
        <f t="shared" si="31"/>
        <v>552</v>
      </c>
      <c r="AI34" s="58">
        <f t="shared" si="32"/>
        <v>0</v>
      </c>
      <c r="AJ34" s="58">
        <f t="shared" si="33"/>
        <v>0</v>
      </c>
      <c r="AK34" s="58">
        <f t="shared" si="34"/>
        <v>0</v>
      </c>
      <c r="AL34" s="58">
        <f t="array" ref="AL34">_xlfn.IFS(R34=0,AE34,R34&lt;0,AE34/-R34,R34&gt;0,AE34/R34)</f>
        <v>0</v>
      </c>
      <c r="AM34" s="59">
        <f t="shared" si="35"/>
        <v>0</v>
      </c>
      <c r="AN34" s="60">
        <f t="shared" si="36"/>
        <v>0</v>
      </c>
      <c r="AP34" s="62">
        <f t="shared" si="37"/>
        <v>0</v>
      </c>
    </row>
    <row r="35" spans="1:42">
      <c r="A35" s="39">
        <v>2774712116</v>
      </c>
      <c r="B35" s="40" t="s">
        <v>62</v>
      </c>
      <c r="C35" s="41">
        <v>12</v>
      </c>
      <c r="D35" s="42"/>
      <c r="E35" s="42"/>
      <c r="F35" s="42"/>
      <c r="G35" s="43"/>
      <c r="H35" s="65">
        <v>687</v>
      </c>
      <c r="I35" s="63">
        <f t="shared" si="20"/>
        <v>8244</v>
      </c>
      <c r="J35" s="45"/>
      <c r="K35" s="41">
        <v>2</v>
      </c>
      <c r="L35" s="45"/>
      <c r="M35" s="45"/>
      <c r="N35" s="46">
        <f t="shared" si="21"/>
        <v>0.2857142857142857</v>
      </c>
      <c r="O35" s="47">
        <f t="shared" si="22"/>
        <v>0.2857142857142857</v>
      </c>
      <c r="P35" s="48">
        <f>SUMIFS('Отчет 13-19.10'!H:H,'Отчет 13-19.10'!D:D,"Выручка",'Отчет 13-19.10'!E:E,B35)</f>
        <v>2</v>
      </c>
      <c r="Q35" s="48">
        <f>SUMIFS('Отчет 13-19.10'!H:H,'Отчет 13-19.10'!D:D,"Возврат выручки",'Отчет 13-19.10'!E:E,B35)</f>
        <v>0</v>
      </c>
      <c r="R35" s="49">
        <f t="shared" si="23"/>
        <v>2</v>
      </c>
      <c r="S35" s="50">
        <f>SUMIFS('Отчет 13-19.10'!O:O,'Отчет 13-19.10'!C:C,"Продажи",'Отчет 13-19.10'!E:E,B35)</f>
        <v>7380</v>
      </c>
      <c r="T35" s="51">
        <f>SUMIFS('Отчет 13-19.10'!O:O,'Отчет 13-19.10'!C:C,"Возвраты",'Отчет 13-19.10'!E:E,B35)</f>
        <v>0</v>
      </c>
      <c r="U35" s="49">
        <f t="shared" si="24"/>
        <v>7380</v>
      </c>
      <c r="V35" s="52">
        <f t="shared" si="25"/>
        <v>0.11042283867492593</v>
      </c>
      <c r="W35" s="53">
        <f t="shared" si="26"/>
        <v>1374</v>
      </c>
      <c r="X35" s="51">
        <f>-SUMIFS('Отчет 13-19.10'!O:O,'Отчет 13-19.10'!C:C,"Вознаграждение Ozon",'Отчет 13-19.10'!E:E,B35)</f>
        <v>1771.2</v>
      </c>
      <c r="Y35" s="54">
        <f t="shared" si="27"/>
        <v>0.24000000000000002</v>
      </c>
      <c r="Z35" s="51">
        <f>-SUMIFS('Отчет 13-19.10'!O:O,'Отчет 13-19.10'!C:C,"Услуги доставки",'Отчет 13-19.10'!E:E,B35)</f>
        <v>448</v>
      </c>
      <c r="AA35" s="41">
        <v>1312.336605</v>
      </c>
      <c r="AB35" s="64"/>
      <c r="AC35" s="51"/>
      <c r="AD35" s="55">
        <f t="shared" si="28"/>
        <v>442.8</v>
      </c>
      <c r="AE35" s="56">
        <f t="shared" si="29"/>
        <v>2031.6633950000003</v>
      </c>
      <c r="AF35" s="55"/>
      <c r="AG35" s="57">
        <f t="shared" si="30"/>
        <v>3690</v>
      </c>
      <c r="AH35" s="58">
        <f t="shared" si="31"/>
        <v>687</v>
      </c>
      <c r="AI35" s="58">
        <f t="shared" si="32"/>
        <v>885.6</v>
      </c>
      <c r="AJ35" s="58">
        <f t="shared" si="33"/>
        <v>224</v>
      </c>
      <c r="AK35" s="58">
        <f t="shared" si="34"/>
        <v>656.16830249999998</v>
      </c>
      <c r="AL35" s="58">
        <f t="array" ref="AL35">_xlfn.IFS(R35=0,AE35,R35&lt;0,AE35/-R35,R35&gt;0,AE35/R35)</f>
        <v>1015.8316975000001</v>
      </c>
      <c r="AM35" s="59">
        <f t="shared" si="35"/>
        <v>0.27529314295392959</v>
      </c>
      <c r="AN35" s="60">
        <f t="shared" si="36"/>
        <v>1.4786487590975257</v>
      </c>
      <c r="AP35" s="62">
        <f t="shared" si="37"/>
        <v>12189.980370000001</v>
      </c>
    </row>
    <row r="36" spans="1:42">
      <c r="A36" s="39">
        <v>2774719012</v>
      </c>
      <c r="B36" s="40" t="s">
        <v>239</v>
      </c>
      <c r="C36" s="41">
        <v>15</v>
      </c>
      <c r="D36" s="42"/>
      <c r="E36" s="42"/>
      <c r="F36" s="42"/>
      <c r="G36" s="43"/>
      <c r="H36" s="65">
        <v>687</v>
      </c>
      <c r="I36" s="63">
        <f t="shared" si="20"/>
        <v>10305</v>
      </c>
      <c r="J36" s="45"/>
      <c r="K36" s="41">
        <v>2</v>
      </c>
      <c r="L36" s="45"/>
      <c r="M36" s="45"/>
      <c r="N36" s="46">
        <f t="shared" si="21"/>
        <v>0.2857142857142857</v>
      </c>
      <c r="O36" s="47">
        <f t="shared" si="22"/>
        <v>0.2857142857142857</v>
      </c>
      <c r="P36" s="48">
        <f>SUMIFS('Отчет 13-19.10'!H:H,'Отчет 13-19.10'!D:D,"Выручка",'Отчет 13-19.10'!E:E,B36)</f>
        <v>2</v>
      </c>
      <c r="Q36" s="48">
        <f>SUMIFS('Отчет 13-19.10'!H:H,'Отчет 13-19.10'!D:D,"Возврат выручки",'Отчет 13-19.10'!E:E,B36)</f>
        <v>0</v>
      </c>
      <c r="R36" s="49">
        <f t="shared" si="23"/>
        <v>2</v>
      </c>
      <c r="S36" s="50">
        <f>SUMIFS('Отчет 13-19.10'!O:O,'Отчет 13-19.10'!C:C,"Продажи",'Отчет 13-19.10'!E:E,B36)</f>
        <v>8238</v>
      </c>
      <c r="T36" s="51">
        <f>SUMIFS('Отчет 13-19.10'!O:O,'Отчет 13-19.10'!C:C,"Возвраты",'Отчет 13-19.10'!E:E,B36)</f>
        <v>0</v>
      </c>
      <c r="U36" s="49">
        <f t="shared" si="24"/>
        <v>8238</v>
      </c>
      <c r="V36" s="52">
        <f t="shared" si="25"/>
        <v>0.12326061585420595</v>
      </c>
      <c r="W36" s="53">
        <f t="shared" si="26"/>
        <v>1374</v>
      </c>
      <c r="X36" s="51">
        <f>-SUMIFS('Отчет 13-19.10'!O:O,'Отчет 13-19.10'!C:C,"Вознаграждение Ozon",'Отчет 13-19.10'!E:E,B36)</f>
        <v>2431.92</v>
      </c>
      <c r="Y36" s="54">
        <f t="shared" si="27"/>
        <v>0.29520757465404224</v>
      </c>
      <c r="Z36" s="51">
        <f>-SUMIFS('Отчет 13-19.10'!O:O,'Отчет 13-19.10'!C:C,"Услуги доставки",'Отчет 13-19.10'!E:E,B36)</f>
        <v>112</v>
      </c>
      <c r="AA36" s="41">
        <v>2187.8202390000001</v>
      </c>
      <c r="AB36" s="64"/>
      <c r="AC36" s="51"/>
      <c r="AD36" s="55">
        <f t="shared" si="28"/>
        <v>494.28</v>
      </c>
      <c r="AE36" s="56">
        <f t="shared" si="29"/>
        <v>1637.9797609999998</v>
      </c>
      <c r="AF36" s="55"/>
      <c r="AG36" s="57">
        <f t="shared" si="30"/>
        <v>4119</v>
      </c>
      <c r="AH36" s="58">
        <f t="shared" si="31"/>
        <v>687</v>
      </c>
      <c r="AI36" s="58">
        <f t="shared" si="32"/>
        <v>1215.96</v>
      </c>
      <c r="AJ36" s="58">
        <f t="shared" si="33"/>
        <v>56</v>
      </c>
      <c r="AK36" s="58">
        <f t="shared" si="34"/>
        <v>1093.9101195000001</v>
      </c>
      <c r="AL36" s="58">
        <f t="array" ref="AL36">_xlfn.IFS(R36=0,AE36,R36&lt;0,AE36/-R36,R36&gt;0,AE36/R36)</f>
        <v>818.98988049999991</v>
      </c>
      <c r="AM36" s="59">
        <f t="shared" si="35"/>
        <v>0.19883221182325805</v>
      </c>
      <c r="AN36" s="60">
        <f t="shared" si="36"/>
        <v>1.1921250080058223</v>
      </c>
      <c r="AP36" s="62">
        <f t="shared" si="37"/>
        <v>12284.848207499999</v>
      </c>
    </row>
    <row r="37" spans="1:42">
      <c r="A37" s="39">
        <v>2774719433</v>
      </c>
      <c r="B37" s="40" t="s">
        <v>240</v>
      </c>
      <c r="C37" s="41">
        <v>18</v>
      </c>
      <c r="D37" s="42"/>
      <c r="E37" s="42"/>
      <c r="F37" s="42"/>
      <c r="G37" s="43"/>
      <c r="H37" s="65">
        <v>597</v>
      </c>
      <c r="I37" s="63">
        <f t="shared" si="20"/>
        <v>10746</v>
      </c>
      <c r="J37" s="45"/>
      <c r="K37" s="41">
        <v>0</v>
      </c>
      <c r="L37" s="45"/>
      <c r="M37" s="45"/>
      <c r="N37" s="46">
        <f t="shared" si="21"/>
        <v>0</v>
      </c>
      <c r="O37" s="47">
        <f t="shared" si="22"/>
        <v>0.14285714285714285</v>
      </c>
      <c r="P37" s="48">
        <f>SUMIFS('Отчет 13-19.10'!H:H,'Отчет 13-19.10'!D:D,"Выручка",'Отчет 13-19.10'!E:E,B37)</f>
        <v>1</v>
      </c>
      <c r="Q37" s="48">
        <f>SUMIFS('Отчет 13-19.10'!H:H,'Отчет 13-19.10'!D:D,"Возврат выручки",'Отчет 13-19.10'!E:E,B37)</f>
        <v>0</v>
      </c>
      <c r="R37" s="49">
        <f t="shared" si="23"/>
        <v>1</v>
      </c>
      <c r="S37" s="50">
        <f>SUMIFS('Отчет 13-19.10'!O:O,'Отчет 13-19.10'!C:C,"Продажи",'Отчет 13-19.10'!E:E,B37)</f>
        <v>3600</v>
      </c>
      <c r="T37" s="51">
        <f>SUMIFS('Отчет 13-19.10'!O:O,'Отчет 13-19.10'!C:C,"Возвраты",'Отчет 13-19.10'!E:E,B37)</f>
        <v>0</v>
      </c>
      <c r="U37" s="49">
        <f t="shared" si="24"/>
        <v>3600</v>
      </c>
      <c r="V37" s="52">
        <f t="shared" si="25"/>
        <v>5.3864799353622407E-2</v>
      </c>
      <c r="W37" s="53">
        <f t="shared" si="26"/>
        <v>597</v>
      </c>
      <c r="X37" s="51">
        <f>-SUMIFS('Отчет 13-19.10'!O:O,'Отчет 13-19.10'!C:C,"Вознаграждение Ozon",'Отчет 13-19.10'!E:E,B37)</f>
        <v>864</v>
      </c>
      <c r="Y37" s="54">
        <f t="shared" si="27"/>
        <v>0.24</v>
      </c>
      <c r="Z37" s="51">
        <f>-SUMIFS('Отчет 13-19.10'!O:O,'Отчет 13-19.10'!C:C,"Услуги доставки",'Отчет 13-19.10'!E:E,B37)</f>
        <v>56</v>
      </c>
      <c r="AA37" s="41">
        <v>0</v>
      </c>
      <c r="AB37" s="64"/>
      <c r="AC37" s="51"/>
      <c r="AD37" s="55">
        <f t="shared" si="28"/>
        <v>216</v>
      </c>
      <c r="AE37" s="56">
        <f t="shared" si="29"/>
        <v>1867</v>
      </c>
      <c r="AF37" s="55"/>
      <c r="AG37" s="57">
        <f t="shared" si="30"/>
        <v>3600</v>
      </c>
      <c r="AH37" s="58">
        <f t="shared" si="31"/>
        <v>597</v>
      </c>
      <c r="AI37" s="58">
        <f t="shared" si="32"/>
        <v>864</v>
      </c>
      <c r="AJ37" s="58">
        <f t="shared" si="33"/>
        <v>56</v>
      </c>
      <c r="AK37" s="58">
        <f t="shared" si="34"/>
        <v>0</v>
      </c>
      <c r="AL37" s="58">
        <f t="array" ref="AL37">_xlfn.IFS(R37=0,AE37,R37&lt;0,AE37/-R37,R37&gt;0,AE37/R37)</f>
        <v>1867</v>
      </c>
      <c r="AM37" s="59">
        <f t="shared" si="35"/>
        <v>0.51861111111111113</v>
      </c>
      <c r="AN37" s="60">
        <f t="shared" si="36"/>
        <v>3.1273031825795643</v>
      </c>
      <c r="AP37" s="62">
        <f t="shared" si="37"/>
        <v>33606</v>
      </c>
    </row>
    <row r="38" spans="1:42">
      <c r="A38" s="39">
        <v>2774719029</v>
      </c>
      <c r="B38" s="40" t="s">
        <v>241</v>
      </c>
      <c r="C38" s="41">
        <v>16</v>
      </c>
      <c r="D38" s="42"/>
      <c r="E38" s="42"/>
      <c r="F38" s="42"/>
      <c r="G38" s="43"/>
      <c r="H38" s="65">
        <v>597</v>
      </c>
      <c r="I38" s="63">
        <f t="shared" si="20"/>
        <v>9552</v>
      </c>
      <c r="J38" s="45"/>
      <c r="K38" s="41">
        <v>1</v>
      </c>
      <c r="L38" s="45"/>
      <c r="M38" s="45"/>
      <c r="N38" s="46">
        <f t="shared" si="21"/>
        <v>0.14285714285714285</v>
      </c>
      <c r="O38" s="47">
        <f t="shared" si="22"/>
        <v>0</v>
      </c>
      <c r="P38" s="48">
        <f>SUMIFS('Отчет 13-19.10'!H:H,'Отчет 13-19.10'!D:D,"Выручка",'Отчет 13-19.10'!E:E,B38)</f>
        <v>0</v>
      </c>
      <c r="Q38" s="48">
        <f>SUMIFS('Отчет 13-19.10'!H:H,'Отчет 13-19.10'!D:D,"Возврат выручки",'Отчет 13-19.10'!E:E,B38)</f>
        <v>0</v>
      </c>
      <c r="R38" s="49">
        <f t="shared" si="23"/>
        <v>0</v>
      </c>
      <c r="S38" s="50">
        <f>SUMIFS('Отчет 13-19.10'!O:O,'Отчет 13-19.10'!C:C,"Продажи",'Отчет 13-19.10'!E:E,B38)</f>
        <v>0</v>
      </c>
      <c r="T38" s="51">
        <f>SUMIFS('Отчет 13-19.10'!O:O,'Отчет 13-19.10'!C:C,"Возвраты",'Отчет 13-19.10'!E:E,B38)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13-19.10'!O:O,'Отчет 13-19.10'!C:C,"Вознаграждение Ozon",'Отчет 13-19.10'!E:E,B38)</f>
        <v>0</v>
      </c>
      <c r="Y38" s="54">
        <f t="shared" si="27"/>
        <v>0</v>
      </c>
      <c r="Z38" s="51">
        <f>-SUMIFS('Отчет 13-19.10'!O:O,'Отчет 13-19.10'!C:C,"Услуги доставки",'Отчет 13-19.10'!E:E,B38)</f>
        <v>112</v>
      </c>
      <c r="AA38" s="41">
        <v>0</v>
      </c>
      <c r="AB38" s="64"/>
      <c r="AC38" s="51"/>
      <c r="AD38" s="55">
        <f t="shared" si="28"/>
        <v>0</v>
      </c>
      <c r="AE38" s="56">
        <f t="shared" si="29"/>
        <v>-112</v>
      </c>
      <c r="AF38" s="55"/>
      <c r="AG38" s="57">
        <f t="shared" si="30"/>
        <v>0</v>
      </c>
      <c r="AH38" s="58">
        <f t="shared" si="31"/>
        <v>597</v>
      </c>
      <c r="AI38" s="58">
        <f t="shared" si="32"/>
        <v>0</v>
      </c>
      <c r="AJ38" s="58">
        <f t="shared" si="33"/>
        <v>112</v>
      </c>
      <c r="AK38" s="58">
        <f t="shared" si="34"/>
        <v>0</v>
      </c>
      <c r="AL38" s="58">
        <f t="array" ref="AL38">_xlfn.IFS(R38=0,AE38,R38&lt;0,AE38/-R38,R38&gt;0,AE38/R38)</f>
        <v>-112</v>
      </c>
      <c r="AM38" s="59">
        <f t="shared" si="35"/>
        <v>0</v>
      </c>
      <c r="AN38" s="60">
        <f t="shared" si="36"/>
        <v>-0.18760469011725292</v>
      </c>
      <c r="AP38" s="62">
        <f t="shared" si="37"/>
        <v>-1792</v>
      </c>
    </row>
    <row r="39" spans="1:42">
      <c r="A39" s="39">
        <v>2774719553</v>
      </c>
      <c r="B39" s="40" t="s">
        <v>242</v>
      </c>
      <c r="C39" s="41">
        <v>19</v>
      </c>
      <c r="D39" s="42"/>
      <c r="E39" s="42"/>
      <c r="F39" s="42"/>
      <c r="G39" s="43"/>
      <c r="H39" s="65">
        <v>597</v>
      </c>
      <c r="I39" s="63">
        <f t="shared" si="20"/>
        <v>11343</v>
      </c>
      <c r="J39" s="45"/>
      <c r="K39" s="41">
        <v>0</v>
      </c>
      <c r="L39" s="45"/>
      <c r="M39" s="45"/>
      <c r="N39" s="46">
        <f t="shared" si="21"/>
        <v>0</v>
      </c>
      <c r="O39" s="47">
        <f t="shared" si="22"/>
        <v>0</v>
      </c>
      <c r="P39" s="48">
        <f>SUMIFS('Отчет 13-19.10'!H:H,'Отчет 13-19.10'!D:D,"Выручка",'Отчет 13-19.10'!E:E,B39)</f>
        <v>0</v>
      </c>
      <c r="Q39" s="48">
        <f>SUMIFS('Отчет 13-19.10'!H:H,'Отчет 13-19.10'!D:D,"Возврат выручки",'Отчет 13-19.10'!E:E,B39)</f>
        <v>0</v>
      </c>
      <c r="R39" s="49">
        <f t="shared" si="23"/>
        <v>0</v>
      </c>
      <c r="S39" s="50">
        <f>SUMIFS('Отчет 13-19.10'!O:O,'Отчет 13-19.10'!C:C,"Продажи",'Отчет 13-19.10'!E:E,B39)</f>
        <v>0</v>
      </c>
      <c r="T39" s="51">
        <f>SUMIFS('Отчет 13-19.10'!O:O,'Отчет 13-19.10'!C:C,"Возвраты",'Отчет 13-19.10'!E:E,B39)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51">
        <f>-SUMIFS('Отчет 13-19.10'!O:O,'Отчет 13-19.10'!C:C,"Вознаграждение Ozon",'Отчет 13-19.10'!E:E,B39)</f>
        <v>0</v>
      </c>
      <c r="Y39" s="54">
        <f t="shared" si="27"/>
        <v>0</v>
      </c>
      <c r="Z39" s="51">
        <f>-SUMIFS('Отчет 13-19.10'!O:O,'Отчет 13-19.10'!C:C,"Услуги доставки",'Отчет 13-19.10'!E:E,B39)</f>
        <v>0</v>
      </c>
      <c r="AA39" s="41">
        <v>0</v>
      </c>
      <c r="AB39" s="64"/>
      <c r="AC39" s="51"/>
      <c r="AD39" s="55">
        <f t="shared" si="28"/>
        <v>0</v>
      </c>
      <c r="AE39" s="56">
        <f t="shared" si="29"/>
        <v>0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0</v>
      </c>
      <c r="AK39" s="58">
        <f t="shared" si="34"/>
        <v>0</v>
      </c>
      <c r="AL39" s="58">
        <f t="array" ref="AL39">_xlfn.IFS(R39=0,AE39,R39&lt;0,AE39/-R39,R39&gt;0,AE39/R39)</f>
        <v>0</v>
      </c>
      <c r="AM39" s="59">
        <f t="shared" si="35"/>
        <v>0</v>
      </c>
      <c r="AN39" s="60">
        <f t="shared" si="36"/>
        <v>0</v>
      </c>
      <c r="AP39" s="62">
        <f t="shared" si="37"/>
        <v>0</v>
      </c>
    </row>
    <row r="40" spans="1:42">
      <c r="A40" s="39">
        <v>2774710913</v>
      </c>
      <c r="B40" s="40" t="s">
        <v>243</v>
      </c>
      <c r="C40" s="41">
        <v>19</v>
      </c>
      <c r="D40" s="42"/>
      <c r="E40" s="42"/>
      <c r="F40" s="42"/>
      <c r="G40" s="43"/>
      <c r="H40" s="65">
        <v>642</v>
      </c>
      <c r="I40" s="63">
        <f t="shared" si="20"/>
        <v>12198</v>
      </c>
      <c r="J40" s="45"/>
      <c r="K40" s="41">
        <v>0</v>
      </c>
      <c r="L40" s="45"/>
      <c r="M40" s="45"/>
      <c r="N40" s="46">
        <f t="shared" si="21"/>
        <v>0</v>
      </c>
      <c r="O40" s="47">
        <f t="shared" si="22"/>
        <v>0</v>
      </c>
      <c r="P40" s="48">
        <f>SUMIFS('Отчет 13-19.10'!H:H,'Отчет 13-19.10'!D:D,"Выручка",'Отчет 13-19.10'!E:E,B40)</f>
        <v>0</v>
      </c>
      <c r="Q40" s="48">
        <f>SUMIFS('Отчет 13-19.10'!H:H,'Отчет 13-19.10'!D:D,"Возврат выручки",'Отчет 13-19.10'!E:E,B40)</f>
        <v>0</v>
      </c>
      <c r="R40" s="49">
        <f t="shared" si="23"/>
        <v>0</v>
      </c>
      <c r="S40" s="50">
        <f>SUMIFS('Отчет 13-19.10'!O:O,'Отчет 13-19.10'!C:C,"Продажи",'Отчет 13-19.10'!E:E,B40)</f>
        <v>0</v>
      </c>
      <c r="T40" s="51">
        <f>SUMIFS('Отчет 13-19.10'!O:O,'Отчет 13-19.10'!C:C,"Возвраты",'Отчет 13-19.10'!E:E,B40)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13-19.10'!O:O,'Отчет 13-19.10'!C:C,"Вознаграждение Ozon",'Отчет 13-19.10'!E:E,B40)</f>
        <v>0</v>
      </c>
      <c r="Y40" s="54">
        <f t="shared" si="27"/>
        <v>0</v>
      </c>
      <c r="Z40" s="51">
        <f>-SUMIFS('Отчет 13-19.10'!O:O,'Отчет 13-19.10'!C:C,"Услуги доставки",'Отчет 13-19.10'!E:E,B40)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642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2774721668</v>
      </c>
      <c r="B41" s="40" t="s">
        <v>771</v>
      </c>
      <c r="C41" s="41">
        <v>18</v>
      </c>
      <c r="D41" s="42"/>
      <c r="E41" s="42"/>
      <c r="F41" s="42"/>
      <c r="G41" s="43"/>
      <c r="H41" s="65">
        <v>642</v>
      </c>
      <c r="I41" s="63">
        <f t="shared" si="20"/>
        <v>11556</v>
      </c>
      <c r="J41" s="45"/>
      <c r="K41" s="41">
        <v>1</v>
      </c>
      <c r="L41" s="45"/>
      <c r="M41" s="45"/>
      <c r="N41" s="46">
        <f t="shared" si="21"/>
        <v>0.14285714285714285</v>
      </c>
      <c r="O41" s="47">
        <f t="shared" si="22"/>
        <v>0</v>
      </c>
      <c r="P41" s="48">
        <f>SUMIFS('Отчет 13-19.10'!H:H,'Отчет 13-19.10'!D:D,"Выручка",'Отчет 13-19.10'!E:E,B41)</f>
        <v>0</v>
      </c>
      <c r="Q41" s="48">
        <f>SUMIFS('Отчет 13-19.10'!H:H,'Отчет 13-19.10'!D:D,"Возврат выручки",'Отчет 13-19.10'!E:E,B41)</f>
        <v>0</v>
      </c>
      <c r="R41" s="49">
        <f t="shared" si="23"/>
        <v>0</v>
      </c>
      <c r="S41" s="50">
        <f>SUMIFS('Отчет 13-19.10'!O:O,'Отчет 13-19.10'!C:C,"Продажи",'Отчет 13-19.10'!E:E,B41)</f>
        <v>0</v>
      </c>
      <c r="T41" s="51">
        <f>SUMIFS('Отчет 13-19.10'!O:O,'Отчет 13-19.10'!C:C,"Возвраты",'Отчет 13-19.10'!E:E,B41)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51">
        <f>-SUMIFS('Отчет 13-19.10'!O:O,'Отчет 13-19.10'!C:C,"Вознаграждение Ozon",'Отчет 13-19.10'!E:E,B41)</f>
        <v>0</v>
      </c>
      <c r="Y41" s="54">
        <f t="shared" si="27"/>
        <v>0</v>
      </c>
      <c r="Z41" s="51">
        <f>-SUMIFS('Отчет 13-19.10'!O:O,'Отчет 13-19.10'!C:C,"Услуги доставки",'Отчет 13-19.10'!E:E,B41)</f>
        <v>112</v>
      </c>
      <c r="AA41" s="41">
        <v>0</v>
      </c>
      <c r="AB41" s="64"/>
      <c r="AC41" s="51"/>
      <c r="AD41" s="55">
        <f t="shared" si="28"/>
        <v>0</v>
      </c>
      <c r="AE41" s="56">
        <f t="shared" si="29"/>
        <v>-112</v>
      </c>
      <c r="AF41" s="55"/>
      <c r="AG41" s="57">
        <f t="shared" si="30"/>
        <v>0</v>
      </c>
      <c r="AH41" s="58">
        <f t="shared" si="31"/>
        <v>642</v>
      </c>
      <c r="AI41" s="58">
        <f t="shared" si="32"/>
        <v>0</v>
      </c>
      <c r="AJ41" s="58">
        <f t="shared" si="33"/>
        <v>112</v>
      </c>
      <c r="AK41" s="58">
        <f t="shared" si="34"/>
        <v>0</v>
      </c>
      <c r="AL41" s="58">
        <f t="array" ref="AL41">_xlfn.IFS(R41=0,AE41,R41&lt;0,AE41/-R41,R41&gt;0,AE41/R41)</f>
        <v>-112</v>
      </c>
      <c r="AM41" s="59">
        <f t="shared" si="35"/>
        <v>0</v>
      </c>
      <c r="AN41" s="60">
        <f t="shared" si="36"/>
        <v>-0.17445482866043613</v>
      </c>
      <c r="AP41" s="62">
        <f t="shared" si="37"/>
        <v>-2016</v>
      </c>
    </row>
    <row r="42" spans="1:42">
      <c r="A42" s="39">
        <v>2774722656</v>
      </c>
      <c r="B42" s="40" t="s">
        <v>51</v>
      </c>
      <c r="C42" s="41">
        <v>7</v>
      </c>
      <c r="D42" s="42"/>
      <c r="E42" s="42"/>
      <c r="F42" s="42"/>
      <c r="G42" s="43"/>
      <c r="H42" s="65">
        <v>687</v>
      </c>
      <c r="I42" s="63">
        <f t="shared" si="20"/>
        <v>4809</v>
      </c>
      <c r="J42" s="45"/>
      <c r="K42" s="41">
        <v>2</v>
      </c>
      <c r="L42" s="45"/>
      <c r="M42" s="45"/>
      <c r="N42" s="46">
        <f t="shared" si="21"/>
        <v>0.2857142857142857</v>
      </c>
      <c r="O42" s="47">
        <f t="shared" si="22"/>
        <v>0.14285714285714285</v>
      </c>
      <c r="P42" s="48">
        <f>SUMIFS('Отчет 13-19.10'!H:H,'Отчет 13-19.10'!D:D,"Выручка",'Отчет 13-19.10'!E:E,B42)</f>
        <v>0</v>
      </c>
      <c r="Q42" s="48">
        <f>SUMIFS('Отчет 13-19.10'!H:H,'Отчет 13-19.10'!D:D,"Возврат выручки",'Отчет 13-19.10'!E:E,B42)</f>
        <v>1</v>
      </c>
      <c r="R42" s="49">
        <f t="shared" si="23"/>
        <v>1</v>
      </c>
      <c r="S42" s="50">
        <f>SUMIFS('Отчет 13-19.10'!O:O,'Отчет 13-19.10'!C:C,"Продажи",'Отчет 13-19.10'!E:E,B42)</f>
        <v>0</v>
      </c>
      <c r="T42" s="51">
        <f>SUMIFS('Отчет 13-19.10'!O:O,'Отчет 13-19.10'!C:C,"Возвраты",'Отчет 13-19.10'!E:E,B42)</f>
        <v>-2610</v>
      </c>
      <c r="U42" s="49">
        <f t="shared" si="24"/>
        <v>-2610</v>
      </c>
      <c r="V42" s="52">
        <f t="shared" si="25"/>
        <v>-3.9051979531376242E-2</v>
      </c>
      <c r="W42" s="53">
        <f t="shared" si="26"/>
        <v>687</v>
      </c>
      <c r="X42" s="51">
        <f>-SUMIFS('Отчет 13-19.10'!O:O,'Отчет 13-19.10'!C:C,"Вознаграждение Ozon",'Отчет 13-19.10'!E:E,B42)</f>
        <v>-626.4</v>
      </c>
      <c r="Y42" s="54">
        <f t="shared" si="27"/>
        <v>0.24</v>
      </c>
      <c r="Z42" s="51">
        <f>-SUMIFS('Отчет 13-19.10'!O:O,'Отчет 13-19.10'!C:C,"Услуги доставки",'Отчет 13-19.10'!E:E,B42)</f>
        <v>280</v>
      </c>
      <c r="AA42" s="41">
        <v>0</v>
      </c>
      <c r="AB42" s="64"/>
      <c r="AC42" s="51"/>
      <c r="AD42" s="55">
        <f t="shared" si="28"/>
        <v>-156.6</v>
      </c>
      <c r="AE42" s="56">
        <f t="shared" si="29"/>
        <v>-2794</v>
      </c>
      <c r="AF42" s="55"/>
      <c r="AG42" s="57">
        <f t="shared" si="30"/>
        <v>-2610</v>
      </c>
      <c r="AH42" s="58">
        <f t="shared" si="31"/>
        <v>687</v>
      </c>
      <c r="AI42" s="58">
        <f t="shared" si="32"/>
        <v>-626.4</v>
      </c>
      <c r="AJ42" s="58">
        <f t="shared" si="33"/>
        <v>280</v>
      </c>
      <c r="AK42" s="58">
        <f t="shared" si="34"/>
        <v>0</v>
      </c>
      <c r="AL42" s="58">
        <f t="array" ref="AL42">_xlfn.IFS(R42=0,AE42,R42&lt;0,AE42/-R42,R42&gt;0,AE42/R42)</f>
        <v>-2794</v>
      </c>
      <c r="AM42" s="59">
        <f t="shared" si="35"/>
        <v>1.0704980842911878</v>
      </c>
      <c r="AN42" s="60">
        <f t="shared" si="36"/>
        <v>-4.0669577874818046</v>
      </c>
      <c r="AP42" s="62">
        <f t="shared" si="37"/>
        <v>-19558</v>
      </c>
    </row>
    <row r="43" spans="1:42">
      <c r="A43" s="39">
        <v>2774721190</v>
      </c>
      <c r="B43" s="40" t="s">
        <v>70</v>
      </c>
      <c r="C43" s="41">
        <v>8</v>
      </c>
      <c r="D43" s="42"/>
      <c r="E43" s="42"/>
      <c r="F43" s="42"/>
      <c r="G43" s="43"/>
      <c r="H43" s="65">
        <v>687</v>
      </c>
      <c r="I43" s="63">
        <f t="shared" si="20"/>
        <v>5496</v>
      </c>
      <c r="J43" s="45"/>
      <c r="K43" s="41">
        <v>1</v>
      </c>
      <c r="L43" s="45"/>
      <c r="M43" s="45"/>
      <c r="N43" s="46">
        <f t="shared" si="21"/>
        <v>0.14285714285714285</v>
      </c>
      <c r="O43" s="47">
        <f t="shared" si="22"/>
        <v>0.42857142857142855</v>
      </c>
      <c r="P43" s="48">
        <f>SUMIFS('Отчет 13-19.10'!H:H,'Отчет 13-19.10'!D:D,"Выручка",'Отчет 13-19.10'!E:E,B43)</f>
        <v>3</v>
      </c>
      <c r="Q43" s="48">
        <f>SUMIFS('Отчет 13-19.10'!H:H,'Отчет 13-19.10'!D:D,"Возврат выручки",'Отчет 13-19.10'!E:E,B43)</f>
        <v>0</v>
      </c>
      <c r="R43" s="49">
        <f t="shared" si="23"/>
        <v>3</v>
      </c>
      <c r="S43" s="50">
        <f>SUMIFS('Отчет 13-19.10'!O:O,'Отчет 13-19.10'!C:C,"Продажи",'Отчет 13-19.10'!E:E,B43)</f>
        <v>11069.999999999998</v>
      </c>
      <c r="T43" s="51">
        <f>SUMIFS('Отчет 13-19.10'!O:O,'Отчет 13-19.10'!C:C,"Возвраты",'Отчет 13-19.10'!E:E,B43)</f>
        <v>0</v>
      </c>
      <c r="U43" s="49">
        <f t="shared" si="24"/>
        <v>11069.999999999998</v>
      </c>
      <c r="V43" s="52">
        <f t="shared" si="25"/>
        <v>0.16563425801238887</v>
      </c>
      <c r="W43" s="53">
        <f t="shared" si="26"/>
        <v>2061</v>
      </c>
      <c r="X43" s="51">
        <f>-SUMIFS('Отчет 13-19.10'!O:O,'Отчет 13-19.10'!C:C,"Вознаграждение Ozon",'Отчет 13-19.10'!E:E,B43)</f>
        <v>2656.8</v>
      </c>
      <c r="Y43" s="54">
        <f t="shared" si="27"/>
        <v>0.24000000000000005</v>
      </c>
      <c r="Z43" s="51">
        <f>-SUMIFS('Отчет 13-19.10'!O:O,'Отчет 13-19.10'!C:C,"Услуги доставки",'Отчет 13-19.10'!E:E,B43)</f>
        <v>504</v>
      </c>
      <c r="AA43" s="41">
        <v>332.1</v>
      </c>
      <c r="AB43" s="64"/>
      <c r="AC43" s="51"/>
      <c r="AD43" s="55">
        <f t="shared" si="28"/>
        <v>664.19999999999982</v>
      </c>
      <c r="AE43" s="56">
        <f t="shared" si="29"/>
        <v>4851.8999999999978</v>
      </c>
      <c r="AF43" s="55"/>
      <c r="AG43" s="57">
        <f t="shared" si="30"/>
        <v>3689.9999999999995</v>
      </c>
      <c r="AH43" s="58">
        <f t="shared" si="31"/>
        <v>687</v>
      </c>
      <c r="AI43" s="58">
        <f t="shared" si="32"/>
        <v>885.6</v>
      </c>
      <c r="AJ43" s="58">
        <f t="shared" si="33"/>
        <v>168</v>
      </c>
      <c r="AK43" s="58">
        <f t="shared" si="34"/>
        <v>110.7</v>
      </c>
      <c r="AL43" s="58">
        <f t="array" ref="AL43">_xlfn.IFS(R43=0,AE43,R43&lt;0,AE43/-R43,R43&gt;0,AE43/R43)</f>
        <v>1617.2999999999993</v>
      </c>
      <c r="AM43" s="59">
        <f t="shared" si="35"/>
        <v>0.4382926829268291</v>
      </c>
      <c r="AN43" s="60">
        <f t="shared" si="36"/>
        <v>2.3541484716157193</v>
      </c>
      <c r="AP43" s="62">
        <f t="shared" si="37"/>
        <v>12938.399999999994</v>
      </c>
    </row>
    <row r="44" spans="1:42">
      <c r="A44" s="39">
        <v>2774718796</v>
      </c>
      <c r="B44" s="40" t="s">
        <v>66</v>
      </c>
      <c r="C44" s="41">
        <v>7</v>
      </c>
      <c r="D44" s="42"/>
      <c r="E44" s="42"/>
      <c r="F44" s="42"/>
      <c r="G44" s="43"/>
      <c r="H44" s="65">
        <v>552</v>
      </c>
      <c r="I44" s="63">
        <f t="shared" si="20"/>
        <v>3864</v>
      </c>
      <c r="J44" s="45"/>
      <c r="K44" s="41">
        <v>2</v>
      </c>
      <c r="L44" s="45"/>
      <c r="M44" s="45"/>
      <c r="N44" s="46">
        <f t="shared" si="21"/>
        <v>0.2857142857142857</v>
      </c>
      <c r="O44" s="47">
        <f t="shared" si="22"/>
        <v>0.7142857142857143</v>
      </c>
      <c r="P44" s="48">
        <f>SUMIFS('Отчет 13-19.10'!H:H,'Отчет 13-19.10'!D:D,"Выручка",'Отчет 13-19.10'!E:E,B44)</f>
        <v>4</v>
      </c>
      <c r="Q44" s="48">
        <f>SUMIFS('Отчет 13-19.10'!H:H,'Отчет 13-19.10'!D:D,"Возврат выручки",'Отчет 13-19.10'!E:E,B44)</f>
        <v>1</v>
      </c>
      <c r="R44" s="49">
        <f t="shared" si="23"/>
        <v>5</v>
      </c>
      <c r="S44" s="50">
        <f>SUMIFS('Отчет 13-19.10'!O:O,'Отчет 13-19.10'!C:C,"Продажи",'Отчет 13-19.10'!E:E,B44)</f>
        <v>14720</v>
      </c>
      <c r="T44" s="51">
        <f>SUMIFS('Отчет 13-19.10'!O:O,'Отчет 13-19.10'!C:C,"Возвраты",'Отчет 13-19.10'!E:E,B44)</f>
        <v>-2340</v>
      </c>
      <c r="U44" s="49">
        <f t="shared" si="24"/>
        <v>12380</v>
      </c>
      <c r="V44" s="52">
        <f t="shared" si="25"/>
        <v>0.18523505999940151</v>
      </c>
      <c r="W44" s="53">
        <f t="shared" si="26"/>
        <v>2760</v>
      </c>
      <c r="X44" s="51">
        <f>-SUMIFS('Отчет 13-19.10'!O:O,'Отчет 13-19.10'!C:C,"Вознаграждение Ozon",'Отчет 13-19.10'!E:E,B44)</f>
        <v>3471.2</v>
      </c>
      <c r="Y44" s="54">
        <f t="shared" si="27"/>
        <v>0.28038772213247171</v>
      </c>
      <c r="Z44" s="51">
        <f>-SUMIFS('Отчет 13-19.10'!O:O,'Отчет 13-19.10'!C:C,"Услуги доставки",'Отчет 13-19.10'!E:E,B44)</f>
        <v>616</v>
      </c>
      <c r="AA44" s="41">
        <v>1574.211022</v>
      </c>
      <c r="AB44" s="64"/>
      <c r="AC44" s="51"/>
      <c r="AD44" s="55">
        <f t="shared" si="28"/>
        <v>742.8</v>
      </c>
      <c r="AE44" s="56">
        <f t="shared" si="29"/>
        <v>3215.7889780000005</v>
      </c>
      <c r="AF44" s="55"/>
      <c r="AG44" s="57">
        <f t="shared" si="30"/>
        <v>2476</v>
      </c>
      <c r="AH44" s="58">
        <f t="shared" si="31"/>
        <v>552</v>
      </c>
      <c r="AI44" s="58">
        <f t="shared" si="32"/>
        <v>694.24</v>
      </c>
      <c r="AJ44" s="58">
        <f t="shared" si="33"/>
        <v>154</v>
      </c>
      <c r="AK44" s="58">
        <f t="shared" si="34"/>
        <v>393.55275549999999</v>
      </c>
      <c r="AL44" s="58">
        <f t="array" ref="AL44">_xlfn.IFS(R44=0,AE44,R44&lt;0,AE44/-R44,R44&gt;0,AE44/R44)</f>
        <v>643.1577956000001</v>
      </c>
      <c r="AM44" s="59">
        <f t="shared" si="35"/>
        <v>0.25975678336025854</v>
      </c>
      <c r="AN44" s="60">
        <f t="shared" si="36"/>
        <v>1.1651409340579713</v>
      </c>
      <c r="AP44" s="62">
        <f t="shared" si="37"/>
        <v>4502.1045692000007</v>
      </c>
    </row>
    <row r="45" spans="1:42">
      <c r="A45" s="39">
        <v>2774719500</v>
      </c>
      <c r="B45" s="40" t="s">
        <v>245</v>
      </c>
      <c r="C45" s="41">
        <v>18</v>
      </c>
      <c r="D45" s="42"/>
      <c r="E45" s="42"/>
      <c r="F45" s="42"/>
      <c r="G45" s="43"/>
      <c r="H45" s="65">
        <v>552</v>
      </c>
      <c r="I45" s="63">
        <f t="shared" si="20"/>
        <v>9936</v>
      </c>
      <c r="J45" s="45"/>
      <c r="K45" s="41">
        <v>1</v>
      </c>
      <c r="L45" s="45"/>
      <c r="M45" s="45"/>
      <c r="N45" s="46">
        <f t="shared" si="21"/>
        <v>0.14285714285714285</v>
      </c>
      <c r="O45" s="47">
        <f t="shared" si="22"/>
        <v>0</v>
      </c>
      <c r="P45" s="48">
        <f>SUMIFS('Отчет 13-19.10'!H:H,'Отчет 13-19.10'!D:D,"Выручка",'Отчет 13-19.10'!E:E,B45)</f>
        <v>0</v>
      </c>
      <c r="Q45" s="48">
        <f>SUMIFS('Отчет 13-19.10'!H:H,'Отчет 13-19.10'!D:D,"Возврат выручки",'Отчет 13-19.10'!E:E,B45)</f>
        <v>0</v>
      </c>
      <c r="R45" s="49">
        <f t="shared" si="23"/>
        <v>0</v>
      </c>
      <c r="S45" s="50">
        <f>SUMIFS('Отчет 13-19.10'!O:O,'Отчет 13-19.10'!C:C,"Продажи",'Отчет 13-19.10'!E:E,B45)</f>
        <v>0</v>
      </c>
      <c r="T45" s="51">
        <f>SUMIFS('Отчет 13-19.10'!O:O,'Отчет 13-19.10'!C:C,"Возвраты",'Отчет 13-19.10'!E:E,B45)</f>
        <v>0</v>
      </c>
      <c r="U45" s="49">
        <f t="shared" si="24"/>
        <v>0</v>
      </c>
      <c r="V45" s="52">
        <f t="shared" si="25"/>
        <v>0</v>
      </c>
      <c r="W45" s="53">
        <f t="shared" si="26"/>
        <v>0</v>
      </c>
      <c r="X45" s="51">
        <f>-SUMIFS('Отчет 13-19.10'!O:O,'Отчет 13-19.10'!C:C,"Вознаграждение Ozon",'Отчет 13-19.10'!E:E,B45)</f>
        <v>0</v>
      </c>
      <c r="Y45" s="54">
        <f t="shared" si="27"/>
        <v>0</v>
      </c>
      <c r="Z45" s="51">
        <f>-SUMIFS('Отчет 13-19.10'!O:O,'Отчет 13-19.10'!C:C,"Услуги доставки",'Отчет 13-19.10'!E:E,B45)</f>
        <v>0</v>
      </c>
      <c r="AA45" s="41">
        <v>0</v>
      </c>
      <c r="AB45" s="64"/>
      <c r="AC45" s="51"/>
      <c r="AD45" s="55">
        <f t="shared" si="28"/>
        <v>0</v>
      </c>
      <c r="AE45" s="56">
        <f t="shared" si="29"/>
        <v>0</v>
      </c>
      <c r="AF45" s="55"/>
      <c r="AG45" s="57">
        <f t="shared" si="30"/>
        <v>0</v>
      </c>
      <c r="AH45" s="58">
        <f t="shared" si="31"/>
        <v>552</v>
      </c>
      <c r="AI45" s="58">
        <f t="shared" si="32"/>
        <v>0</v>
      </c>
      <c r="AJ45" s="58">
        <f t="shared" si="33"/>
        <v>0</v>
      </c>
      <c r="AK45" s="58">
        <f t="shared" si="34"/>
        <v>0</v>
      </c>
      <c r="AL45" s="58">
        <f t="array" ref="AL45">_xlfn.IFS(R45=0,AE45,R45&lt;0,AE45/-R45,R45&gt;0,AE45/R45)</f>
        <v>0</v>
      </c>
      <c r="AM45" s="59">
        <f t="shared" si="35"/>
        <v>0</v>
      </c>
      <c r="AN45" s="60">
        <f t="shared" si="36"/>
        <v>0</v>
      </c>
      <c r="AP45" s="62">
        <f t="shared" si="37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38">AVERAGEIF(AG26:AG45,"&lt;&gt;0",AG26:AG45)</f>
        <v>2649.375</v>
      </c>
      <c r="AH46" s="259">
        <f t="shared" si="38"/>
        <v>617.25</v>
      </c>
      <c r="AI46" s="259">
        <f t="shared" si="38"/>
        <v>739.27500000000009</v>
      </c>
      <c r="AJ46" s="259">
        <f t="shared" si="38"/>
        <v>157.5</v>
      </c>
      <c r="AK46" s="259">
        <f t="shared" si="38"/>
        <v>1073.1248923333333</v>
      </c>
      <c r="AL46" s="259">
        <f t="shared" si="38"/>
        <v>42.72077549444441</v>
      </c>
      <c r="AM46" s="260">
        <f t="shared" si="38"/>
        <v>0.28200348237492068</v>
      </c>
      <c r="AN46" s="260">
        <f t="shared" si="38"/>
        <v>8.5758685296385848E-2</v>
      </c>
      <c r="AO46" s="240"/>
      <c r="AP46" s="241"/>
    </row>
    <row r="47" spans="1:42">
      <c r="A47" s="218" t="s">
        <v>306</v>
      </c>
      <c r="B47" s="219"/>
      <c r="C47" s="220">
        <f>SUM(C26:C45)</f>
        <v>322</v>
      </c>
      <c r="D47" s="221"/>
      <c r="E47" s="221"/>
      <c r="F47" s="221"/>
      <c r="G47" s="221"/>
      <c r="H47" s="222"/>
      <c r="I47" s="220">
        <f>SUM(I26:I45)</f>
        <v>197289</v>
      </c>
      <c r="J47" s="223"/>
      <c r="K47" s="220">
        <f>SUM(K26:K45)</f>
        <v>17</v>
      </c>
      <c r="L47" s="223"/>
      <c r="M47" s="223"/>
      <c r="N47" s="224"/>
      <c r="O47" s="225"/>
      <c r="P47" s="220">
        <f t="shared" ref="P47:X47" si="39">SUM(P26:P45)</f>
        <v>15</v>
      </c>
      <c r="Q47" s="220">
        <f t="shared" si="39"/>
        <v>3</v>
      </c>
      <c r="R47" s="250">
        <f t="shared" si="39"/>
        <v>18</v>
      </c>
      <c r="S47" s="220">
        <f t="shared" si="39"/>
        <v>58698</v>
      </c>
      <c r="T47" s="220">
        <f t="shared" si="39"/>
        <v>-9950</v>
      </c>
      <c r="U47" s="250">
        <f t="shared" si="39"/>
        <v>48748</v>
      </c>
      <c r="V47" s="253">
        <f t="shared" si="39"/>
        <v>0.72938923302510694</v>
      </c>
      <c r="W47" s="220">
        <f t="shared" si="39"/>
        <v>11496</v>
      </c>
      <c r="X47" s="220">
        <f t="shared" si="39"/>
        <v>13154.32</v>
      </c>
      <c r="Y47" s="226">
        <f>IF(U47=0,0,X47/U47)</f>
        <v>0.26984327562156396</v>
      </c>
      <c r="Z47" s="220">
        <f>SUM(Z26:Z45)</f>
        <v>3024</v>
      </c>
      <c r="AA47" s="220">
        <f>IFERROR(P47*AA49/P49,0)</f>
        <v>11606.930357142857</v>
      </c>
      <c r="AB47" s="220">
        <f>SUM(AB26:AB45)</f>
        <v>0</v>
      </c>
      <c r="AC47" s="220">
        <f>SUM(AC26:AC45)</f>
        <v>0</v>
      </c>
      <c r="AD47" s="250">
        <f>SUM(AD26:AD45)</f>
        <v>2924.88</v>
      </c>
      <c r="AE47" s="220">
        <f>SUM(AE26:AE45)</f>
        <v>7463.5920749999987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6991.0268480333361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10685.207925000001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3827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664455.2699999999</v>
      </c>
      <c r="J49" s="229">
        <f>J24+J47</f>
        <v>0</v>
      </c>
      <c r="K49" s="229">
        <f>K24+K47</f>
        <v>43</v>
      </c>
      <c r="L49" s="230"/>
      <c r="M49" s="230"/>
      <c r="N49" s="230"/>
      <c r="O49" s="230"/>
      <c r="P49" s="269">
        <f t="shared" ref="P49:X49" si="40">P24+P47</f>
        <v>28</v>
      </c>
      <c r="Q49" s="229">
        <f t="shared" si="40"/>
        <v>3</v>
      </c>
      <c r="R49" s="252">
        <f t="shared" si="40"/>
        <v>31</v>
      </c>
      <c r="S49" s="229">
        <f t="shared" si="40"/>
        <v>76784</v>
      </c>
      <c r="T49" s="229">
        <f t="shared" si="40"/>
        <v>-9950</v>
      </c>
      <c r="U49" s="252">
        <f t="shared" si="40"/>
        <v>66834</v>
      </c>
      <c r="V49" s="255">
        <f t="shared" si="40"/>
        <v>1</v>
      </c>
      <c r="W49" s="229">
        <f t="shared" si="40"/>
        <v>14214.58</v>
      </c>
      <c r="X49" s="229">
        <f t="shared" si="40"/>
        <v>18575.239999999998</v>
      </c>
      <c r="Y49" s="232">
        <f>X49/U49</f>
        <v>0.27793099320705028</v>
      </c>
      <c r="Z49" s="229">
        <f>Z24+Z47</f>
        <v>5836</v>
      </c>
      <c r="AA49" s="75">
        <v>21666.27</v>
      </c>
      <c r="AB49" s="74"/>
      <c r="AC49" s="74">
        <f>SUM(AC3:AC45)</f>
        <v>0</v>
      </c>
      <c r="AD49" s="229">
        <f>AD24+AD47</f>
        <v>4010.04</v>
      </c>
      <c r="AE49" s="233">
        <f>AE24+AE47</f>
        <v>4579.8981869999989</v>
      </c>
      <c r="AF49" s="76"/>
      <c r="AG49" s="234"/>
      <c r="AH49" s="235"/>
      <c r="AI49" s="235"/>
      <c r="AJ49" s="235"/>
      <c r="AK49" s="235">
        <f>AA50/P49</f>
        <v>773.79535714285714</v>
      </c>
      <c r="AL49" s="235"/>
      <c r="AM49" s="235"/>
      <c r="AN49" s="236"/>
      <c r="AP49" s="233">
        <f>SUM(AP3:AP45)</f>
        <v>2514081.1525317477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21666.27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19618.241813000001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>
        <f>I56/I49</f>
        <v>0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664455.2699999999</v>
      </c>
      <c r="J57" s="109">
        <f>I57/I49</f>
        <v>1</v>
      </c>
      <c r="K57" s="105">
        <f>AP49-K56-K58</f>
        <v>2514081.1525317477</v>
      </c>
      <c r="L57" s="106">
        <f>K57/I57</f>
        <v>3.7836725300286176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>
        <f>I58/I49</f>
        <v>0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64" priority="17" operator="greaterThan">
      <formula>120</formula>
    </cfRule>
  </conditionalFormatting>
  <conditionalFormatting sqref="N48">
    <cfRule type="cellIs" dxfId="63" priority="16" operator="between">
      <formula>0.000001</formula>
      <formula>25</formula>
    </cfRule>
  </conditionalFormatting>
  <conditionalFormatting sqref="V1 V50:V53 V55:V1048576">
    <cfRule type="cellIs" dxfId="62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{64BF47A6-7CFB-4BF6-A08F-305D2F5DB394}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{570F6942-5FFC-4C07-B98F-D19F6D96C400}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{3DCBEB9C-0DB3-448C-844F-855AB2C9D8CB}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{6DC785F6-DAA7-4856-97F2-7E78A2FE80E9}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{A469A8C5-C77D-4C3D-9855-74345F4C855D}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{DDB73ABA-8551-4533-B052-6607B85B5E02}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{92CD4982-A4FA-4439-AB71-FDE799DFF473}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{79EC3AB0-E5B6-4E71-927A-42E113540B59}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{15FA7EC4-8AFA-4945-82D0-000C13D28325}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{047BC1C4-24EF-42D2-87D9-D6384BD90BE5}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{2E0125FE-D18A-458A-84DC-3F1E0EFBF41B}</x14:id>
        </ext>
      </extLst>
    </cfRule>
  </conditionalFormatting>
  <conditionalFormatting sqref="P48">
    <cfRule type="cellIs" dxfId="61" priority="12" operator="greaterThan">
      <formula>120</formula>
    </cfRule>
  </conditionalFormatting>
  <conditionalFormatting sqref="Q48">
    <cfRule type="cellIs" dxfId="60" priority="11" operator="greaterThan">
      <formula>120</formula>
    </cfRule>
  </conditionalFormatting>
  <conditionalFormatting sqref="R48">
    <cfRule type="cellIs" dxfId="59" priority="10" operator="greaterThan">
      <formula>120</formula>
    </cfRule>
  </conditionalFormatting>
  <conditionalFormatting sqref="S48">
    <cfRule type="cellIs" dxfId="58" priority="9" operator="greaterThan">
      <formula>120</formula>
    </cfRule>
  </conditionalFormatting>
  <conditionalFormatting sqref="T48">
    <cfRule type="cellIs" dxfId="57" priority="8" operator="greaterThan">
      <formula>120</formula>
    </cfRule>
  </conditionalFormatting>
  <conditionalFormatting sqref="U48">
    <cfRule type="cellIs" dxfId="56" priority="7" operator="greaterThan">
      <formula>120</formula>
    </cfRule>
  </conditionalFormatting>
  <conditionalFormatting sqref="V48">
    <cfRule type="cellIs" dxfId="55" priority="6" operator="greaterThan">
      <formula>120</formula>
    </cfRule>
  </conditionalFormatting>
  <conditionalFormatting sqref="W48">
    <cfRule type="cellIs" dxfId="54" priority="5" operator="greaterThan">
      <formula>120</formula>
    </cfRule>
  </conditionalFormatting>
  <conditionalFormatting sqref="X48">
    <cfRule type="cellIs" dxfId="53" priority="4" operator="greaterThan">
      <formula>120</formula>
    </cfRule>
  </conditionalFormatting>
  <conditionalFormatting sqref="Z48">
    <cfRule type="cellIs" dxfId="52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{D31B0339-CF41-4A5B-B159-F20BEDA74D55}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{4FAD62BA-1520-45C5-80BF-E243DDAFC1F3}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BF47A6-7CFB-4BF6-A08F-305D2F5DB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570F6942-5FFC-4C07-B98F-D19F6D96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3DCBEB9C-0DB3-448C-844F-855AB2C9D8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6DC785F6-DAA7-4856-97F2-7E78A2FE80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A469A8C5-C77D-4C3D-9855-74345F4C85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DDB73ABA-8551-4533-B052-6607B85B5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92CD4982-A4FA-4439-AB71-FDE799DFF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79EC3AB0-E5B6-4E71-927A-42E113540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15FA7EC4-8AFA-4945-82D0-000C13D28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047BC1C4-24EF-42D2-87D9-D6384BD90B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2E0125FE-D18A-458A-84DC-3F1E0EFBF4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D31B0339-CF41-4A5B-B159-F20BEDA74D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4FAD62BA-1520-45C5-80BF-E243DDAFC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5761-E42C-4810-8312-BAB40B8F7A5C}">
  <dimension ref="A1:AZ62"/>
  <sheetViews>
    <sheetView zoomScale="70" zoomScaleNormal="70" workbookViewId="0">
      <pane xSplit="2" ySplit="2" topLeftCell="R32" activePane="bottomRight" state="frozen"/>
      <selection pane="topRight" activeCell="C1" sqref="C1"/>
      <selection pane="bottomLeft" activeCell="A3" sqref="A3"/>
      <selection pane="bottomRight" activeCell="AD49" sqref="AD49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182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185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>
        <v>341</v>
      </c>
      <c r="D3" s="42"/>
      <c r="E3" s="42"/>
      <c r="F3" s="42"/>
      <c r="G3" s="43"/>
      <c r="H3" s="44">
        <v>142.97999999999999</v>
      </c>
      <c r="I3" s="42">
        <f>C3*H3</f>
        <v>48756.179999999993</v>
      </c>
      <c r="J3" s="45"/>
      <c r="K3" s="41">
        <v>27</v>
      </c>
      <c r="L3" s="45"/>
      <c r="M3" s="45"/>
      <c r="N3" s="46">
        <f>K3/7</f>
        <v>3.8571428571428572</v>
      </c>
      <c r="O3" s="47">
        <f>R3/7</f>
        <v>1.7142857142857142</v>
      </c>
      <c r="P3" s="48">
        <f>SUMIFS('Отчет 06-12.10'!H:H,'Отчет 06-12.10'!D:D,"Выручка",'Отчет 06-12.10'!E:E,B3)</f>
        <v>11</v>
      </c>
      <c r="Q3" s="48">
        <f>SUMIFS('Отчет 06-12.10'!H:H,'Отчет 06-12.10'!D:D,"Возврат выручки",'Отчет 06-12.10'!E:E,B3)</f>
        <v>1</v>
      </c>
      <c r="R3" s="49">
        <f>P3+Q3</f>
        <v>12</v>
      </c>
      <c r="S3" s="50">
        <f>SUMIFS('Отчет 06-12.10'!O:O,'Отчет 06-12.10'!C:C,"Продажи",'Отчет 06-12.10'!E:E,B3)</f>
        <v>13032</v>
      </c>
      <c r="T3" s="51">
        <f>SUMIFS('Отчет 06-12.10'!O:O,'Отчет 06-12.10'!C:C,"Возвраты",'Отчет 06-12.10'!E:E,B3)</f>
        <v>-1200</v>
      </c>
      <c r="U3" s="49">
        <f>S3+T3</f>
        <v>11832</v>
      </c>
      <c r="V3" s="52">
        <f t="shared" ref="V3:V22" si="0">U3/$U$49</f>
        <v>0.17419981743764906</v>
      </c>
      <c r="W3" s="53">
        <f>R3*H3</f>
        <v>1715.7599999999998</v>
      </c>
      <c r="X3" s="51">
        <f>-SUMIFS('Отчет 06-12.10'!O:O,'Отчет 06-12.10'!C:C,"Вознаграждение Ozon",'Отчет 06-12.10'!E:E,B3)</f>
        <v>3076.32</v>
      </c>
      <c r="Y3" s="54">
        <f>IF(U3=0,0,X3/U3)</f>
        <v>0.26</v>
      </c>
      <c r="Z3" s="51">
        <f>-SUMIFS('Отчет 06-12.10'!O:O,'Отчет 06-12.10'!C:C,"Услуги доставки",'Отчет 06-12.10'!E:E,B3)</f>
        <v>1196</v>
      </c>
      <c r="AA3" s="41">
        <v>7463.0342729999993</v>
      </c>
      <c r="AB3" s="51"/>
      <c r="AC3" s="51"/>
      <c r="AD3" s="55">
        <f t="shared" ref="AD3:AD45" si="1">U3*6%</f>
        <v>709.92</v>
      </c>
      <c r="AE3" s="56">
        <f>U3-W3-X3-Z3-AA3-AB3-AC3-AD3</f>
        <v>-2329.0342729999993</v>
      </c>
      <c r="AF3" s="55"/>
      <c r="AG3" s="57">
        <f t="shared" ref="AG3:AG45" si="2">IF(R3=0,0,U3/R3)</f>
        <v>986</v>
      </c>
      <c r="AH3" s="58">
        <f t="shared" ref="AH3:AH45" si="3">H3</f>
        <v>142.97999999999999</v>
      </c>
      <c r="AI3" s="58">
        <f t="shared" ref="AI3:AI45" si="4">IF(R3=0,0,X3/R3)</f>
        <v>256.36</v>
      </c>
      <c r="AJ3" s="58">
        <f t="shared" ref="AJ3:AJ45" si="5">IF(P3=0,Z3/1,Z3/P3)</f>
        <v>108.72727272727273</v>
      </c>
      <c r="AK3" s="58">
        <f>IF(P3=0,0,AA3/P3)</f>
        <v>678.45766118181814</v>
      </c>
      <c r="AL3" s="58">
        <f>_xlfn.IFS(R3=0,AE3,R3&lt;0,AE3/-R3,R3&gt;0,AE3/R3)</f>
        <v>-194.0861894166666</v>
      </c>
      <c r="AM3" s="59">
        <f t="shared" ref="AM3:AM45" si="6">IF(AG3=0,0,AL3/AG3)</f>
        <v>-0.19684197709601076</v>
      </c>
      <c r="AN3" s="60">
        <f t="shared" ref="AN3:AN45" si="7">IF(AH3=0,0,AL3/AH3)</f>
        <v>-1.3574359310159925</v>
      </c>
      <c r="AP3" s="62">
        <f t="shared" ref="AP3:AP45" si="8">AL3*C3</f>
        <v>-66183.390591083313</v>
      </c>
    </row>
    <row r="4" spans="1:42">
      <c r="A4" s="39">
        <v>2638638550</v>
      </c>
      <c r="B4" s="40" t="s">
        <v>92</v>
      </c>
      <c r="C4" s="41">
        <v>390</v>
      </c>
      <c r="D4" s="42"/>
      <c r="E4" s="42"/>
      <c r="F4" s="42"/>
      <c r="G4" s="43"/>
      <c r="H4" s="44">
        <v>123.09</v>
      </c>
      <c r="I4" s="42">
        <f>C4*H4</f>
        <v>48005.1</v>
      </c>
      <c r="J4" s="45"/>
      <c r="K4" s="41">
        <v>2</v>
      </c>
      <c r="L4" s="45"/>
      <c r="M4" s="45"/>
      <c r="N4" s="46">
        <f t="shared" ref="N4:N45" si="9">K4/7</f>
        <v>0.2857142857142857</v>
      </c>
      <c r="O4" s="47">
        <f>R4/7</f>
        <v>0.14285714285714285</v>
      </c>
      <c r="P4" s="48">
        <f>SUMIFS('Отчет 06-12.10'!H:H,'Отчет 06-12.10'!D:D,"Выручка",'Отчет 06-12.10'!E:E,B4)</f>
        <v>1</v>
      </c>
      <c r="Q4" s="48">
        <f>SUMIFS('Отчет 06-12.10'!H:H,'Отчет 06-12.10'!D:D,"Возврат выручки",'Отчет 06-12.10'!E:E,B4)</f>
        <v>0</v>
      </c>
      <c r="R4" s="49">
        <f t="shared" ref="R4:R45" si="10">P4+Q4</f>
        <v>1</v>
      </c>
      <c r="S4" s="50">
        <f>SUMIFS('Отчет 06-12.10'!O:O,'Отчет 06-12.10'!C:C,"Продажи",'Отчет 06-12.10'!E:E,B4)</f>
        <v>1300</v>
      </c>
      <c r="T4" s="51">
        <f>SUMIFS('Отчет 06-12.10'!O:O,'Отчет 06-12.10'!C:C,"Возвраты",'Отчет 06-12.10'!E:E,B4)</f>
        <v>0</v>
      </c>
      <c r="U4" s="49">
        <f t="shared" ref="U4:U45" si="11">S4+T4</f>
        <v>1300</v>
      </c>
      <c r="V4" s="52">
        <f t="shared" si="0"/>
        <v>1.9139601307381997E-2</v>
      </c>
      <c r="W4" s="53">
        <f t="shared" ref="W4:W45" si="12">R4*H4</f>
        <v>123.09</v>
      </c>
      <c r="X4" s="51">
        <f>-SUMIFS('Отчет 06-12.10'!O:O,'Отчет 06-12.10'!C:C,"Вознаграждение Ozon",'Отчет 06-12.10'!E:E,B4)</f>
        <v>338</v>
      </c>
      <c r="Y4" s="54">
        <f t="shared" ref="Y4:Y45" si="13">IF(U4=0,0,X4/U4)</f>
        <v>0.26</v>
      </c>
      <c r="Z4" s="51">
        <f>-SUMIFS('Отчет 06-12.10'!O:O,'Отчет 06-12.10'!C:C,"Услуги доставки",'Отчет 06-12.10'!E:E,B4)</f>
        <v>230</v>
      </c>
      <c r="AA4" s="41">
        <v>309.12</v>
      </c>
      <c r="AB4" s="51"/>
      <c r="AC4" s="51"/>
      <c r="AD4" s="55">
        <f t="shared" si="1"/>
        <v>78</v>
      </c>
      <c r="AE4" s="56">
        <f t="shared" ref="AE4:AE45" si="14">U4-W4-X4-Z4-AA4-AB4-AC4-AD4</f>
        <v>221.79000000000008</v>
      </c>
      <c r="AF4" s="55"/>
      <c r="AG4" s="57">
        <f t="shared" si="2"/>
        <v>1300</v>
      </c>
      <c r="AH4" s="58">
        <f t="shared" si="3"/>
        <v>123.09</v>
      </c>
      <c r="AI4" s="58">
        <f t="shared" si="4"/>
        <v>338</v>
      </c>
      <c r="AJ4" s="58">
        <f t="shared" si="5"/>
        <v>230</v>
      </c>
      <c r="AK4" s="58">
        <f t="shared" ref="AK4:AK45" si="15">IF(P4=0,0,AA4/P4)</f>
        <v>309.12</v>
      </c>
      <c r="AL4" s="58">
        <f t="array" ref="AL4">_xlfn.IFS(R4=0,AE4,R4&lt;0,AE4/-R4,R4&gt;0,AE4/R4)</f>
        <v>221.79000000000008</v>
      </c>
      <c r="AM4" s="59">
        <f t="shared" si="6"/>
        <v>0.17060769230769238</v>
      </c>
      <c r="AN4" s="60">
        <f t="shared" si="7"/>
        <v>1.8018523031927864</v>
      </c>
      <c r="AP4" s="62">
        <f t="shared" si="8"/>
        <v>86498.100000000035</v>
      </c>
    </row>
    <row r="5" spans="1:42">
      <c r="A5" s="39">
        <v>2638691131</v>
      </c>
      <c r="B5" s="40" t="s">
        <v>222</v>
      </c>
      <c r="C5" s="41">
        <v>392</v>
      </c>
      <c r="D5" s="42"/>
      <c r="E5" s="42"/>
      <c r="F5" s="42"/>
      <c r="G5" s="43"/>
      <c r="H5" s="44">
        <v>123.09</v>
      </c>
      <c r="I5" s="63">
        <f t="shared" ref="I5:I45" si="16">C5*H5</f>
        <v>48251.28</v>
      </c>
      <c r="J5" s="45"/>
      <c r="K5" s="41">
        <v>0</v>
      </c>
      <c r="L5" s="45"/>
      <c r="M5" s="45"/>
      <c r="N5" s="46">
        <f t="shared" si="9"/>
        <v>0</v>
      </c>
      <c r="O5" s="47">
        <f>R5/7</f>
        <v>0</v>
      </c>
      <c r="P5" s="48">
        <f>SUMIFS('Отчет 06-12.10'!H:H,'Отчет 06-12.10'!D:D,"Выручка",'Отчет 06-12.10'!E:E,B5)</f>
        <v>0</v>
      </c>
      <c r="Q5" s="48">
        <f>SUMIFS('Отчет 06-12.10'!H:H,'Отчет 06-12.10'!D:D,"Возврат выручки",'Отчет 06-12.10'!E:E,B5)</f>
        <v>0</v>
      </c>
      <c r="R5" s="49">
        <f t="shared" si="10"/>
        <v>0</v>
      </c>
      <c r="S5" s="50">
        <f>SUMIFS('Отчет 06-12.10'!O:O,'Отчет 06-12.10'!C:C,"Продажи",'Отчет 06-12.10'!E:E,B5)</f>
        <v>0</v>
      </c>
      <c r="T5" s="51">
        <f>SUMIFS('Отчет 06-12.10'!O:O,'Отчет 06-12.10'!C:C,"Возвраты",'Отчет 06-12.10'!E:E,B5)</f>
        <v>0</v>
      </c>
      <c r="U5" s="49">
        <f t="shared" si="11"/>
        <v>0</v>
      </c>
      <c r="V5" s="52">
        <f t="shared" si="0"/>
        <v>0</v>
      </c>
      <c r="W5" s="53">
        <f t="shared" si="12"/>
        <v>0</v>
      </c>
      <c r="X5" s="51">
        <f>-SUMIFS('Отчет 06-12.10'!O:O,'Отчет 06-12.10'!C:C,"Вознаграждение Ozon",'Отчет 06-12.10'!E:E,B5)</f>
        <v>0</v>
      </c>
      <c r="Y5" s="54">
        <f t="shared" si="13"/>
        <v>0</v>
      </c>
      <c r="Z5" s="51">
        <f>-SUMIFS('Отчет 06-12.10'!O:O,'Отчет 06-12.10'!C:C,"Услуги доставки",'Отчет 06-12.10'!E:E,B5)</f>
        <v>0</v>
      </c>
      <c r="AA5" s="41">
        <v>0</v>
      </c>
      <c r="AB5" s="64"/>
      <c r="AC5" s="51"/>
      <c r="AD5" s="55">
        <f t="shared" si="1"/>
        <v>0</v>
      </c>
      <c r="AE5" s="56">
        <f t="shared" si="14"/>
        <v>0</v>
      </c>
      <c r="AF5" s="55"/>
      <c r="AG5" s="57">
        <f t="shared" si="2"/>
        <v>0</v>
      </c>
      <c r="AH5" s="58">
        <f t="shared" si="3"/>
        <v>123.09</v>
      </c>
      <c r="AI5" s="58">
        <f t="shared" si="4"/>
        <v>0</v>
      </c>
      <c r="AJ5" s="58">
        <f t="shared" si="5"/>
        <v>0</v>
      </c>
      <c r="AK5" s="58">
        <f t="shared" si="15"/>
        <v>0</v>
      </c>
      <c r="AL5" s="58">
        <f t="array" ref="AL5">_xlfn.IFS(R5=0,AE5,R5&lt;0,AE5/-R5,R5&gt;0,AE5/R5)</f>
        <v>0</v>
      </c>
      <c r="AM5" s="59">
        <f t="shared" si="6"/>
        <v>0</v>
      </c>
      <c r="AN5" s="60">
        <f t="shared" si="7"/>
        <v>0</v>
      </c>
      <c r="AP5" s="62">
        <f t="shared" si="8"/>
        <v>0</v>
      </c>
    </row>
    <row r="6" spans="1:42">
      <c r="A6" s="39">
        <v>2638382749</v>
      </c>
      <c r="B6" s="40" t="s">
        <v>223</v>
      </c>
      <c r="C6" s="41">
        <v>905</v>
      </c>
      <c r="D6" s="42"/>
      <c r="E6" s="42"/>
      <c r="F6" s="42"/>
      <c r="G6" s="43"/>
      <c r="H6" s="44">
        <v>123.09</v>
      </c>
      <c r="I6" s="63">
        <f t="shared" si="16"/>
        <v>111396.45</v>
      </c>
      <c r="J6" s="45"/>
      <c r="K6" s="41">
        <v>0</v>
      </c>
      <c r="L6" s="45"/>
      <c r="M6" s="45"/>
      <c r="N6" s="46">
        <f t="shared" si="9"/>
        <v>0</v>
      </c>
      <c r="O6" s="47">
        <f>R6/7</f>
        <v>0</v>
      </c>
      <c r="P6" s="48">
        <f>SUMIFS('Отчет 06-12.10'!H:H,'Отчет 06-12.10'!D:D,"Выручка",'Отчет 06-12.10'!E:E,B6)</f>
        <v>0</v>
      </c>
      <c r="Q6" s="48">
        <f>SUMIFS('Отчет 06-12.10'!H:H,'Отчет 06-12.10'!D:D,"Возврат выручки",'Отчет 06-12.10'!E:E,B6)</f>
        <v>0</v>
      </c>
      <c r="R6" s="49">
        <f t="shared" si="10"/>
        <v>0</v>
      </c>
      <c r="S6" s="50">
        <f>SUMIFS('Отчет 06-12.10'!O:O,'Отчет 06-12.10'!C:C,"Продажи",'Отчет 06-12.10'!E:E,B6)</f>
        <v>0</v>
      </c>
      <c r="T6" s="51">
        <f>SUMIFS('Отчет 06-12.10'!O:O,'Отчет 06-12.10'!C:C,"Возвраты",'Отчет 06-12.10'!E:E,B6)</f>
        <v>0</v>
      </c>
      <c r="U6" s="49">
        <f t="shared" si="11"/>
        <v>0</v>
      </c>
      <c r="V6" s="52">
        <f t="shared" si="0"/>
        <v>0</v>
      </c>
      <c r="W6" s="53">
        <f t="shared" si="12"/>
        <v>0</v>
      </c>
      <c r="X6" s="51">
        <f>-SUMIFS('Отчет 06-12.10'!O:O,'Отчет 06-12.10'!C:C,"Вознаграждение Ozon",'Отчет 06-12.10'!E:E,B6)</f>
        <v>0</v>
      </c>
      <c r="Y6" s="54">
        <f t="shared" si="13"/>
        <v>0</v>
      </c>
      <c r="Z6" s="51">
        <f>-SUMIFS('Отчет 06-12.10'!O:O,'Отчет 06-12.10'!C:C,"Услуги доставки",'Отчет 06-12.10'!E:E,B6)</f>
        <v>0</v>
      </c>
      <c r="AA6" s="41">
        <v>0</v>
      </c>
      <c r="AB6" s="64"/>
      <c r="AC6" s="51"/>
      <c r="AD6" s="55">
        <f t="shared" si="1"/>
        <v>0</v>
      </c>
      <c r="AE6" s="56">
        <f t="shared" si="14"/>
        <v>0</v>
      </c>
      <c r="AF6" s="55"/>
      <c r="AG6" s="57">
        <f t="shared" si="2"/>
        <v>0</v>
      </c>
      <c r="AH6" s="58">
        <f t="shared" si="3"/>
        <v>123.09</v>
      </c>
      <c r="AI6" s="58">
        <f t="shared" si="4"/>
        <v>0</v>
      </c>
      <c r="AJ6" s="58">
        <f t="shared" si="5"/>
        <v>0</v>
      </c>
      <c r="AK6" s="58">
        <f t="shared" si="15"/>
        <v>0</v>
      </c>
      <c r="AL6" s="58">
        <f t="array" ref="AL6">_xlfn.IFS(R6=0,AE6,R6&lt;0,AE6/-R6,R6&gt;0,AE6/R6)</f>
        <v>0</v>
      </c>
      <c r="AM6" s="59">
        <f t="shared" si="6"/>
        <v>0</v>
      </c>
      <c r="AN6" s="60">
        <f t="shared" si="7"/>
        <v>0</v>
      </c>
      <c r="AP6" s="62">
        <f t="shared" si="8"/>
        <v>0</v>
      </c>
    </row>
    <row r="7" spans="1:42">
      <c r="A7" s="39">
        <v>2638569317</v>
      </c>
      <c r="B7" s="40" t="s">
        <v>54</v>
      </c>
      <c r="C7" s="41">
        <v>856</v>
      </c>
      <c r="D7" s="42"/>
      <c r="E7" s="42"/>
      <c r="F7" s="42"/>
      <c r="G7" s="43"/>
      <c r="H7" s="44">
        <v>117.24</v>
      </c>
      <c r="I7" s="63">
        <f t="shared" si="16"/>
        <v>100357.44</v>
      </c>
      <c r="J7" s="45"/>
      <c r="K7" s="41">
        <v>1</v>
      </c>
      <c r="L7" s="45"/>
      <c r="M7" s="45"/>
      <c r="N7" s="46">
        <f t="shared" si="9"/>
        <v>0.14285714285714285</v>
      </c>
      <c r="O7" s="47">
        <f t="shared" ref="O7:O45" si="17">R7/7</f>
        <v>0.2857142857142857</v>
      </c>
      <c r="P7" s="48">
        <f>SUMIFS('Отчет 06-12.10'!H:H,'Отчет 06-12.10'!D:D,"Выручка",'Отчет 06-12.10'!E:E,B7)</f>
        <v>2</v>
      </c>
      <c r="Q7" s="48">
        <f>SUMIFS('Отчет 06-12.10'!H:H,'Отчет 06-12.10'!D:D,"Возврат выручки",'Отчет 06-12.10'!E:E,B7)</f>
        <v>0</v>
      </c>
      <c r="R7" s="49">
        <f t="shared" si="10"/>
        <v>2</v>
      </c>
      <c r="S7" s="50">
        <f>SUMIFS('Отчет 06-12.10'!O:O,'Отчет 06-12.10'!C:C,"Продажи",'Отчет 06-12.10'!E:E,B7)</f>
        <v>2744</v>
      </c>
      <c r="T7" s="51">
        <f>SUMIFS('Отчет 06-12.10'!O:O,'Отчет 06-12.10'!C:C,"Возвраты",'Отчет 06-12.10'!E:E,B7)</f>
        <v>0</v>
      </c>
      <c r="U7" s="49">
        <f t="shared" si="11"/>
        <v>2744</v>
      </c>
      <c r="V7" s="52">
        <f t="shared" si="0"/>
        <v>4.0399281528812461E-2</v>
      </c>
      <c r="W7" s="53">
        <f t="shared" si="12"/>
        <v>234.48</v>
      </c>
      <c r="X7" s="51">
        <f>-SUMIFS('Отчет 06-12.10'!O:O,'Отчет 06-12.10'!C:C,"Вознаграждение Ozon",'Отчет 06-12.10'!E:E,B7)</f>
        <v>632.79999999999995</v>
      </c>
      <c r="Y7" s="54">
        <f t="shared" si="13"/>
        <v>0.23061224489795917</v>
      </c>
      <c r="Z7" s="51">
        <f>-SUMIFS('Отчет 06-12.10'!O:O,'Отчет 06-12.10'!C:C,"Услуги доставки",'Отчет 06-12.10'!E:E,B7)</f>
        <v>92</v>
      </c>
      <c r="AA7" s="41">
        <v>0</v>
      </c>
      <c r="AB7" s="64"/>
      <c r="AC7" s="51"/>
      <c r="AD7" s="55">
        <f t="shared" si="1"/>
        <v>164.64</v>
      </c>
      <c r="AE7" s="56">
        <f t="shared" si="14"/>
        <v>1620.08</v>
      </c>
      <c r="AF7" s="55"/>
      <c r="AG7" s="57">
        <f t="shared" si="2"/>
        <v>1372</v>
      </c>
      <c r="AH7" s="58">
        <f t="shared" si="3"/>
        <v>117.24</v>
      </c>
      <c r="AI7" s="58">
        <f t="shared" si="4"/>
        <v>316.39999999999998</v>
      </c>
      <c r="AJ7" s="58">
        <f t="shared" si="5"/>
        <v>46</v>
      </c>
      <c r="AK7" s="58">
        <f t="shared" si="15"/>
        <v>0</v>
      </c>
      <c r="AL7" s="58">
        <f t="array" ref="AL7">_xlfn.IFS(R7=0,AE7,R7&lt;0,AE7/-R7,R7&gt;0,AE7/R7)</f>
        <v>810.04</v>
      </c>
      <c r="AM7" s="59">
        <f t="shared" si="6"/>
        <v>0.5904081632653061</v>
      </c>
      <c r="AN7" s="60">
        <f t="shared" si="7"/>
        <v>6.9092459911293078</v>
      </c>
      <c r="AP7" s="62">
        <f t="shared" si="8"/>
        <v>693394.24</v>
      </c>
    </row>
    <row r="8" spans="1:42">
      <c r="A8" s="39">
        <v>2638291563</v>
      </c>
      <c r="B8" s="40" t="s">
        <v>88</v>
      </c>
      <c r="C8" s="41">
        <v>396</v>
      </c>
      <c r="D8" s="42"/>
      <c r="E8" s="42"/>
      <c r="F8" s="42"/>
      <c r="G8" s="43"/>
      <c r="H8" s="44">
        <v>169.89</v>
      </c>
      <c r="I8" s="63">
        <f t="shared" si="16"/>
        <v>67276.439999999988</v>
      </c>
      <c r="J8" s="45"/>
      <c r="K8" s="41">
        <v>1</v>
      </c>
      <c r="L8" s="45"/>
      <c r="M8" s="45"/>
      <c r="N8" s="46">
        <f t="shared" si="9"/>
        <v>0.14285714285714285</v>
      </c>
      <c r="O8" s="47">
        <f t="shared" si="17"/>
        <v>0</v>
      </c>
      <c r="P8" s="48">
        <f>SUMIFS('Отчет 06-12.10'!H:H,'Отчет 06-12.10'!D:D,"Выручка",'Отчет 06-12.10'!E:E,B8)</f>
        <v>0</v>
      </c>
      <c r="Q8" s="48">
        <f>SUMIFS('Отчет 06-12.10'!H:H,'Отчет 06-12.10'!D:D,"Возврат выручки",'Отчет 06-12.10'!E:E,B8)</f>
        <v>0</v>
      </c>
      <c r="R8" s="49">
        <f t="shared" si="10"/>
        <v>0</v>
      </c>
      <c r="S8" s="50">
        <f>SUMIFS('Отчет 06-12.10'!O:O,'Отчет 06-12.10'!C:C,"Продажи",'Отчет 06-12.10'!E:E,B8)</f>
        <v>0</v>
      </c>
      <c r="T8" s="51">
        <f>SUMIFS('Отчет 06-12.10'!O:O,'Отчет 06-12.10'!C:C,"Возвраты",'Отчет 06-12.10'!E:E,B8)</f>
        <v>0</v>
      </c>
      <c r="U8" s="49">
        <f t="shared" si="11"/>
        <v>0</v>
      </c>
      <c r="V8" s="52">
        <f t="shared" si="0"/>
        <v>0</v>
      </c>
      <c r="W8" s="53">
        <f t="shared" si="12"/>
        <v>0</v>
      </c>
      <c r="X8" s="51">
        <f>-SUMIFS('Отчет 06-12.10'!O:O,'Отчет 06-12.10'!C:C,"Вознаграждение Ozon",'Отчет 06-12.10'!E:E,B8)</f>
        <v>0</v>
      </c>
      <c r="Y8" s="54">
        <f t="shared" si="13"/>
        <v>0</v>
      </c>
      <c r="Z8" s="51">
        <f>-SUMIFS('Отчет 06-12.10'!O:O,'Отчет 06-12.10'!C:C,"Услуги доставки",'Отчет 06-12.10'!E:E,B8)</f>
        <v>184</v>
      </c>
      <c r="AA8" s="41">
        <v>0</v>
      </c>
      <c r="AB8" s="64"/>
      <c r="AC8" s="51"/>
      <c r="AD8" s="55">
        <f t="shared" si="1"/>
        <v>0</v>
      </c>
      <c r="AE8" s="56">
        <f t="shared" si="14"/>
        <v>-184</v>
      </c>
      <c r="AF8" s="55"/>
      <c r="AG8" s="57">
        <f t="shared" si="2"/>
        <v>0</v>
      </c>
      <c r="AH8" s="58">
        <f t="shared" si="3"/>
        <v>169.89</v>
      </c>
      <c r="AI8" s="58">
        <f t="shared" si="4"/>
        <v>0</v>
      </c>
      <c r="AJ8" s="58">
        <f t="shared" si="5"/>
        <v>184</v>
      </c>
      <c r="AK8" s="58">
        <f t="shared" si="15"/>
        <v>0</v>
      </c>
      <c r="AL8" s="58">
        <f t="array" ref="AL8">_xlfn.IFS(R8=0,AE8,R8&lt;0,AE8/-R8,R8&gt;0,AE8/R8)</f>
        <v>-184</v>
      </c>
      <c r="AM8" s="59">
        <f t="shared" si="6"/>
        <v>0</v>
      </c>
      <c r="AN8" s="60">
        <f t="shared" si="7"/>
        <v>-1.0830537406557186</v>
      </c>
      <c r="AP8" s="62">
        <f t="shared" si="8"/>
        <v>-72864</v>
      </c>
    </row>
    <row r="9" spans="1:42">
      <c r="A9" s="39">
        <v>2730130733</v>
      </c>
      <c r="B9" s="40" t="s">
        <v>224</v>
      </c>
      <c r="C9" s="41">
        <v>48</v>
      </c>
      <c r="D9" s="42"/>
      <c r="E9" s="42"/>
      <c r="F9" s="42"/>
      <c r="G9" s="43"/>
      <c r="H9" s="44">
        <v>169.89</v>
      </c>
      <c r="I9" s="63">
        <f t="shared" si="16"/>
        <v>8154.7199999999993</v>
      </c>
      <c r="J9" s="45"/>
      <c r="K9" s="41">
        <v>0</v>
      </c>
      <c r="L9" s="45"/>
      <c r="M9" s="45"/>
      <c r="N9" s="46">
        <f t="shared" si="9"/>
        <v>0</v>
      </c>
      <c r="O9" s="47">
        <f t="shared" si="17"/>
        <v>0</v>
      </c>
      <c r="P9" s="48">
        <f>SUMIFS('Отчет 06-12.10'!H:H,'Отчет 06-12.10'!D:D,"Выручка",'Отчет 06-12.10'!E:E,B9)</f>
        <v>0</v>
      </c>
      <c r="Q9" s="48">
        <f>SUMIFS('Отчет 06-12.10'!H:H,'Отчет 06-12.10'!D:D,"Возврат выручки",'Отчет 06-12.10'!E:E,B9)</f>
        <v>0</v>
      </c>
      <c r="R9" s="49">
        <f t="shared" si="10"/>
        <v>0</v>
      </c>
      <c r="S9" s="50">
        <f>SUMIFS('Отчет 06-12.10'!O:O,'Отчет 06-12.10'!C:C,"Продажи",'Отчет 06-12.10'!E:E,B9)</f>
        <v>0</v>
      </c>
      <c r="T9" s="51">
        <f>SUMIFS('Отчет 06-12.10'!O:O,'Отчет 06-12.10'!C:C,"Возвраты",'Отчет 06-12.10'!E:E,B9)</f>
        <v>0</v>
      </c>
      <c r="U9" s="49">
        <f t="shared" si="11"/>
        <v>0</v>
      </c>
      <c r="V9" s="52">
        <f t="shared" si="0"/>
        <v>0</v>
      </c>
      <c r="W9" s="53">
        <f t="shared" si="12"/>
        <v>0</v>
      </c>
      <c r="X9" s="51">
        <f>-SUMIFS('Отчет 06-12.10'!O:O,'Отчет 06-12.10'!C:C,"Вознаграждение Ozon",'Отчет 06-12.10'!E:E,B9)</f>
        <v>0</v>
      </c>
      <c r="Y9" s="54">
        <f t="shared" si="13"/>
        <v>0</v>
      </c>
      <c r="Z9" s="51">
        <f>-SUMIFS('Отчет 06-12.10'!O:O,'Отчет 06-12.10'!C:C,"Услуги доставки",'Отчет 06-12.10'!E:E,B9)</f>
        <v>0</v>
      </c>
      <c r="AA9" s="41">
        <v>0</v>
      </c>
      <c r="AB9" s="64"/>
      <c r="AC9" s="51"/>
      <c r="AD9" s="55">
        <f t="shared" si="1"/>
        <v>0</v>
      </c>
      <c r="AE9" s="56">
        <f t="shared" si="14"/>
        <v>0</v>
      </c>
      <c r="AF9" s="55"/>
      <c r="AG9" s="57">
        <f t="shared" si="2"/>
        <v>0</v>
      </c>
      <c r="AH9" s="58">
        <f t="shared" si="3"/>
        <v>169.89</v>
      </c>
      <c r="AI9" s="58">
        <f t="shared" si="4"/>
        <v>0</v>
      </c>
      <c r="AJ9" s="58">
        <f t="shared" si="5"/>
        <v>0</v>
      </c>
      <c r="AK9" s="58">
        <f t="shared" si="15"/>
        <v>0</v>
      </c>
      <c r="AL9" s="58">
        <f t="array" ref="AL9">_xlfn.IFS(R9=0,AE9,R9&lt;0,AE9/-R9,R9&gt;0,AE9/R9)</f>
        <v>0</v>
      </c>
      <c r="AM9" s="59">
        <f t="shared" si="6"/>
        <v>0</v>
      </c>
      <c r="AN9" s="60">
        <f t="shared" si="7"/>
        <v>0</v>
      </c>
      <c r="AP9" s="62">
        <f t="shared" si="8"/>
        <v>0</v>
      </c>
    </row>
    <row r="10" spans="1:42">
      <c r="A10" s="39">
        <v>2730131249</v>
      </c>
      <c r="B10" s="40" t="s">
        <v>225</v>
      </c>
      <c r="C10" s="41">
        <v>46</v>
      </c>
      <c r="D10" s="42"/>
      <c r="E10" s="42"/>
      <c r="F10" s="42"/>
      <c r="G10" s="43"/>
      <c r="H10" s="44">
        <v>169.89</v>
      </c>
      <c r="I10" s="63">
        <f t="shared" si="16"/>
        <v>7814.94</v>
      </c>
      <c r="J10" s="45"/>
      <c r="K10" s="41">
        <v>0</v>
      </c>
      <c r="L10" s="45"/>
      <c r="M10" s="45"/>
      <c r="N10" s="46">
        <f t="shared" si="9"/>
        <v>0</v>
      </c>
      <c r="O10" s="47">
        <f t="shared" si="17"/>
        <v>0</v>
      </c>
      <c r="P10" s="48">
        <f>SUMIFS('Отчет 06-12.10'!H:H,'Отчет 06-12.10'!D:D,"Выручка",'Отчет 06-12.10'!E:E,B10)</f>
        <v>0</v>
      </c>
      <c r="Q10" s="48">
        <f>SUMIFS('Отчет 06-12.10'!H:H,'Отчет 06-12.10'!D:D,"Возврат выручки",'Отчет 06-12.10'!E:E,B10)</f>
        <v>0</v>
      </c>
      <c r="R10" s="49">
        <f t="shared" si="10"/>
        <v>0</v>
      </c>
      <c r="S10" s="50">
        <f>SUMIFS('Отчет 06-12.10'!O:O,'Отчет 06-12.10'!C:C,"Продажи",'Отчет 06-12.10'!E:E,B10)</f>
        <v>0</v>
      </c>
      <c r="T10" s="51">
        <f>SUMIFS('Отчет 06-12.10'!O:O,'Отчет 06-12.10'!C:C,"Возвраты",'Отчет 06-12.10'!E:E,B10)</f>
        <v>0</v>
      </c>
      <c r="U10" s="49">
        <f t="shared" si="11"/>
        <v>0</v>
      </c>
      <c r="V10" s="52">
        <f t="shared" si="0"/>
        <v>0</v>
      </c>
      <c r="W10" s="53">
        <f t="shared" si="12"/>
        <v>0</v>
      </c>
      <c r="X10" s="51">
        <f>-SUMIFS('Отчет 06-12.10'!O:O,'Отчет 06-12.10'!C:C,"Вознаграждение Ozon",'Отчет 06-12.10'!E:E,B10)</f>
        <v>0</v>
      </c>
      <c r="Y10" s="54">
        <f t="shared" si="13"/>
        <v>0</v>
      </c>
      <c r="Z10" s="51">
        <f>-SUMIFS('Отчет 06-12.10'!O:O,'Отчет 06-12.10'!C:C,"Услуги доставки",'Отчет 06-12.10'!E:E,B10)</f>
        <v>0</v>
      </c>
      <c r="AA10" s="41">
        <v>0</v>
      </c>
      <c r="AB10" s="64"/>
      <c r="AC10" s="51"/>
      <c r="AD10" s="55">
        <f t="shared" si="1"/>
        <v>0</v>
      </c>
      <c r="AE10" s="56">
        <f t="shared" si="14"/>
        <v>0</v>
      </c>
      <c r="AF10" s="55"/>
      <c r="AG10" s="57">
        <f t="shared" si="2"/>
        <v>0</v>
      </c>
      <c r="AH10" s="58">
        <f t="shared" si="3"/>
        <v>169.89</v>
      </c>
      <c r="AI10" s="58">
        <f t="shared" si="4"/>
        <v>0</v>
      </c>
      <c r="AJ10" s="58">
        <f t="shared" si="5"/>
        <v>0</v>
      </c>
      <c r="AK10" s="58">
        <f t="shared" si="15"/>
        <v>0</v>
      </c>
      <c r="AL10" s="58">
        <f t="array" ref="AL10">_xlfn.IFS(R10=0,AE10,R10&lt;0,AE10/-R10,R10&gt;0,AE10/R10)</f>
        <v>0</v>
      </c>
      <c r="AM10" s="59">
        <f t="shared" si="6"/>
        <v>0</v>
      </c>
      <c r="AN10" s="60">
        <f t="shared" si="7"/>
        <v>0</v>
      </c>
      <c r="AP10" s="62">
        <f t="shared" si="8"/>
        <v>0</v>
      </c>
    </row>
    <row r="11" spans="1:42">
      <c r="A11" s="39">
        <v>2730130553</v>
      </c>
      <c r="B11" s="40" t="s">
        <v>226</v>
      </c>
      <c r="C11" s="41">
        <v>46</v>
      </c>
      <c r="D11" s="42"/>
      <c r="E11" s="42"/>
      <c r="F11" s="42"/>
      <c r="G11" s="43"/>
      <c r="H11" s="44">
        <v>169.89</v>
      </c>
      <c r="I11" s="63">
        <f t="shared" si="16"/>
        <v>7814.94</v>
      </c>
      <c r="J11" s="45"/>
      <c r="K11" s="41">
        <v>1</v>
      </c>
      <c r="L11" s="45"/>
      <c r="M11" s="45"/>
      <c r="N11" s="46">
        <f t="shared" si="9"/>
        <v>0.14285714285714285</v>
      </c>
      <c r="O11" s="47">
        <f t="shared" si="17"/>
        <v>0</v>
      </c>
      <c r="P11" s="48">
        <f>SUMIFS('Отчет 06-12.10'!H:H,'Отчет 06-12.10'!D:D,"Выручка",'Отчет 06-12.10'!E:E,B11)</f>
        <v>0</v>
      </c>
      <c r="Q11" s="48">
        <f>SUMIFS('Отчет 06-12.10'!H:H,'Отчет 06-12.10'!D:D,"Возврат выручки",'Отчет 06-12.10'!E:E,B11)</f>
        <v>0</v>
      </c>
      <c r="R11" s="49">
        <f t="shared" si="10"/>
        <v>0</v>
      </c>
      <c r="S11" s="50">
        <f>SUMIFS('Отчет 06-12.10'!O:O,'Отчет 06-12.10'!C:C,"Продажи",'Отчет 06-12.10'!E:E,B11)</f>
        <v>0</v>
      </c>
      <c r="T11" s="51">
        <f>SUMIFS('Отчет 06-12.10'!O:O,'Отчет 06-12.10'!C:C,"Возвраты",'Отчет 06-12.10'!E:E,B11)</f>
        <v>0</v>
      </c>
      <c r="U11" s="49">
        <f t="shared" si="11"/>
        <v>0</v>
      </c>
      <c r="V11" s="52">
        <f t="shared" si="0"/>
        <v>0</v>
      </c>
      <c r="W11" s="53">
        <f t="shared" si="12"/>
        <v>0</v>
      </c>
      <c r="X11" s="51">
        <f>-SUMIFS('Отчет 06-12.10'!O:O,'Отчет 06-12.10'!C:C,"Вознаграждение Ozon",'Отчет 06-12.10'!E:E,B11)</f>
        <v>0</v>
      </c>
      <c r="Y11" s="54">
        <f t="shared" si="13"/>
        <v>0</v>
      </c>
      <c r="Z11" s="51">
        <f>-SUMIFS('Отчет 06-12.10'!O:O,'Отчет 06-12.10'!C:C,"Услуги доставки",'Отчет 06-12.10'!E:E,B11)</f>
        <v>0</v>
      </c>
      <c r="AA11" s="41">
        <v>1184.0311019999999</v>
      </c>
      <c r="AB11" s="64"/>
      <c r="AC11" s="51"/>
      <c r="AD11" s="55">
        <f t="shared" si="1"/>
        <v>0</v>
      </c>
      <c r="AE11" s="56">
        <f t="shared" si="14"/>
        <v>-1184.0311019999999</v>
      </c>
      <c r="AF11" s="55"/>
      <c r="AG11" s="57">
        <f t="shared" si="2"/>
        <v>0</v>
      </c>
      <c r="AH11" s="58">
        <f t="shared" si="3"/>
        <v>169.89</v>
      </c>
      <c r="AI11" s="58">
        <f t="shared" si="4"/>
        <v>0</v>
      </c>
      <c r="AJ11" s="58">
        <f t="shared" si="5"/>
        <v>0</v>
      </c>
      <c r="AK11" s="58">
        <f t="shared" si="15"/>
        <v>0</v>
      </c>
      <c r="AL11" s="58">
        <f t="array" ref="AL11">_xlfn.IFS(R11=0,AE11,R11&lt;0,AE11/-R11,R11&gt;0,AE11/R11)</f>
        <v>-1184.0311019999999</v>
      </c>
      <c r="AM11" s="59">
        <f t="shared" si="6"/>
        <v>0</v>
      </c>
      <c r="AN11" s="60">
        <f t="shared" si="7"/>
        <v>-6.9693984460533285</v>
      </c>
      <c r="AP11" s="62">
        <f t="shared" si="8"/>
        <v>-54465.430691999994</v>
      </c>
    </row>
    <row r="12" spans="1:42" ht="13.75" customHeight="1">
      <c r="A12" s="39">
        <v>2730129638</v>
      </c>
      <c r="B12" s="40" t="s">
        <v>227</v>
      </c>
      <c r="C12" s="41">
        <v>14</v>
      </c>
      <c r="D12" s="42"/>
      <c r="E12" s="42"/>
      <c r="F12" s="42"/>
      <c r="G12" s="43"/>
      <c r="H12" s="44">
        <v>169.89</v>
      </c>
      <c r="I12" s="63">
        <f t="shared" si="16"/>
        <v>2378.46</v>
      </c>
      <c r="J12" s="45"/>
      <c r="K12" s="41">
        <v>0</v>
      </c>
      <c r="L12" s="45"/>
      <c r="M12" s="45"/>
      <c r="N12" s="46">
        <f t="shared" si="9"/>
        <v>0</v>
      </c>
      <c r="O12" s="47">
        <f t="shared" si="17"/>
        <v>0</v>
      </c>
      <c r="P12" s="48">
        <f>SUMIFS('Отчет 06-12.10'!H:H,'Отчет 06-12.10'!D:D,"Выручка",'Отчет 06-12.10'!E:E,B12)</f>
        <v>0</v>
      </c>
      <c r="Q12" s="48">
        <f>SUMIFS('Отчет 06-12.10'!H:H,'Отчет 06-12.10'!D:D,"Возврат выручки",'Отчет 06-12.10'!E:E,B12)</f>
        <v>0</v>
      </c>
      <c r="R12" s="49">
        <f t="shared" si="10"/>
        <v>0</v>
      </c>
      <c r="S12" s="50">
        <f>SUMIFS('Отчет 06-12.10'!O:O,'Отчет 06-12.10'!C:C,"Продажи",'Отчет 06-12.10'!E:E,B12)</f>
        <v>0</v>
      </c>
      <c r="T12" s="51">
        <f>SUMIFS('Отчет 06-12.10'!O:O,'Отчет 06-12.10'!C:C,"Возвраты",'Отчет 06-12.10'!E:E,B12)</f>
        <v>0</v>
      </c>
      <c r="U12" s="49">
        <f t="shared" si="11"/>
        <v>0</v>
      </c>
      <c r="V12" s="52">
        <f t="shared" si="0"/>
        <v>0</v>
      </c>
      <c r="W12" s="53">
        <f t="shared" si="12"/>
        <v>0</v>
      </c>
      <c r="X12" s="51">
        <f>-SUMIFS('Отчет 06-12.10'!O:O,'Отчет 06-12.10'!C:C,"Вознаграждение Ozon",'Отчет 06-12.10'!E:E,B12)</f>
        <v>0</v>
      </c>
      <c r="Y12" s="54">
        <f t="shared" si="13"/>
        <v>0</v>
      </c>
      <c r="Z12" s="51">
        <f>-SUMIFS('Отчет 06-12.10'!O:O,'Отчет 06-12.10'!C:C,"Услуги доставки",'Отчет 06-12.10'!E:E,B12)</f>
        <v>0</v>
      </c>
      <c r="AA12" s="41">
        <v>0</v>
      </c>
      <c r="AB12" s="64"/>
      <c r="AC12" s="51"/>
      <c r="AD12" s="55">
        <f t="shared" si="1"/>
        <v>0</v>
      </c>
      <c r="AE12" s="56">
        <f t="shared" si="14"/>
        <v>0</v>
      </c>
      <c r="AF12" s="55"/>
      <c r="AG12" s="57">
        <f t="shared" si="2"/>
        <v>0</v>
      </c>
      <c r="AH12" s="58">
        <f t="shared" si="3"/>
        <v>169.89</v>
      </c>
      <c r="AI12" s="58">
        <f>IF(R12=0,0,X12/R12)</f>
        <v>0</v>
      </c>
      <c r="AJ12" s="58">
        <f t="shared" si="5"/>
        <v>0</v>
      </c>
      <c r="AK12" s="58">
        <f t="shared" si="15"/>
        <v>0</v>
      </c>
      <c r="AL12" s="58">
        <f t="array" ref="AL12">_xlfn.IFS(R12=0,AE12,R12&lt;0,AE12/-R12,R12&gt;0,AE12/R12)</f>
        <v>0</v>
      </c>
      <c r="AM12" s="59">
        <f t="shared" si="6"/>
        <v>0</v>
      </c>
      <c r="AN12" s="60">
        <f t="shared" si="7"/>
        <v>0</v>
      </c>
      <c r="AP12" s="62">
        <f t="shared" si="8"/>
        <v>0</v>
      </c>
    </row>
    <row r="13" spans="1:42" ht="13.75" customHeight="1">
      <c r="A13" s="39">
        <v>2730130141</v>
      </c>
      <c r="B13" s="40" t="s">
        <v>228</v>
      </c>
      <c r="C13" s="41">
        <v>45</v>
      </c>
      <c r="D13" s="42"/>
      <c r="E13" s="42"/>
      <c r="F13" s="42"/>
      <c r="G13" s="43"/>
      <c r="H13" s="44">
        <v>169.89</v>
      </c>
      <c r="I13" s="63">
        <f t="shared" si="16"/>
        <v>7645.0499999999993</v>
      </c>
      <c r="J13" s="45"/>
      <c r="K13" s="41">
        <v>0</v>
      </c>
      <c r="L13" s="45"/>
      <c r="M13" s="45"/>
      <c r="N13" s="46">
        <f t="shared" si="9"/>
        <v>0</v>
      </c>
      <c r="O13" s="47">
        <f t="shared" si="17"/>
        <v>0</v>
      </c>
      <c r="P13" s="48">
        <f>SUMIFS('Отчет 06-12.10'!H:H,'Отчет 06-12.10'!D:D,"Выручка",'Отчет 06-12.10'!E:E,B13)</f>
        <v>0</v>
      </c>
      <c r="Q13" s="48">
        <f>SUMIFS('Отчет 06-12.10'!H:H,'Отчет 06-12.10'!D:D,"Возврат выручки",'Отчет 06-12.10'!E:E,B13)</f>
        <v>0</v>
      </c>
      <c r="R13" s="49">
        <f t="shared" si="10"/>
        <v>0</v>
      </c>
      <c r="S13" s="50">
        <f>SUMIFS('Отчет 06-12.10'!O:O,'Отчет 06-12.10'!C:C,"Продажи",'Отчет 06-12.10'!E:E,B13)</f>
        <v>0</v>
      </c>
      <c r="T13" s="51">
        <f>SUMIFS('Отчет 06-12.10'!O:O,'Отчет 06-12.10'!C:C,"Возвраты",'Отчет 06-12.10'!E:E,B13)</f>
        <v>0</v>
      </c>
      <c r="U13" s="49">
        <f t="shared" si="11"/>
        <v>0</v>
      </c>
      <c r="V13" s="52">
        <f t="shared" si="0"/>
        <v>0</v>
      </c>
      <c r="W13" s="53">
        <f t="shared" si="12"/>
        <v>0</v>
      </c>
      <c r="X13" s="51">
        <f>-SUMIFS('Отчет 06-12.10'!O:O,'Отчет 06-12.10'!C:C,"Вознаграждение Ozon",'Отчет 06-12.10'!E:E,B13)</f>
        <v>0</v>
      </c>
      <c r="Y13" s="54">
        <f t="shared" si="13"/>
        <v>0</v>
      </c>
      <c r="Z13" s="51">
        <f>-SUMIFS('Отчет 06-12.10'!O:O,'Отчет 06-12.10'!C:C,"Услуги доставки",'Отчет 06-12.10'!E:E,B13)</f>
        <v>0</v>
      </c>
      <c r="AA13" s="41">
        <v>716.049307</v>
      </c>
      <c r="AB13" s="64"/>
      <c r="AC13" s="51"/>
      <c r="AD13" s="55">
        <f t="shared" si="1"/>
        <v>0</v>
      </c>
      <c r="AE13" s="56">
        <f t="shared" si="14"/>
        <v>-716.049307</v>
      </c>
      <c r="AF13" s="55"/>
      <c r="AG13" s="57">
        <f t="shared" si="2"/>
        <v>0</v>
      </c>
      <c r="AH13" s="58">
        <f t="shared" si="3"/>
        <v>169.89</v>
      </c>
      <c r="AI13" s="58">
        <f t="shared" si="4"/>
        <v>0</v>
      </c>
      <c r="AJ13" s="58">
        <f t="shared" si="5"/>
        <v>0</v>
      </c>
      <c r="AK13" s="58">
        <f t="shared" si="15"/>
        <v>0</v>
      </c>
      <c r="AL13" s="58">
        <f t="array" ref="AL13">_xlfn.IFS(R13=0,AE13,R13&lt;0,AE13/-R13,R13&gt;0,AE13/R13)</f>
        <v>-716.049307</v>
      </c>
      <c r="AM13" s="59">
        <f t="shared" si="6"/>
        <v>0</v>
      </c>
      <c r="AN13" s="60">
        <f t="shared" si="7"/>
        <v>-4.2147819589145925</v>
      </c>
      <c r="AP13" s="62">
        <f t="shared" si="8"/>
        <v>-32222.218815</v>
      </c>
    </row>
    <row r="14" spans="1:42" ht="13.75" customHeight="1">
      <c r="A14" s="39">
        <v>2730129805</v>
      </c>
      <c r="B14" s="40" t="s">
        <v>19</v>
      </c>
      <c r="C14" s="41">
        <v>26</v>
      </c>
      <c r="D14" s="42"/>
      <c r="E14" s="42"/>
      <c r="F14" s="42"/>
      <c r="G14" s="43"/>
      <c r="H14" s="44">
        <v>169.89</v>
      </c>
      <c r="I14" s="63">
        <f t="shared" si="16"/>
        <v>4417.1399999999994</v>
      </c>
      <c r="J14" s="45"/>
      <c r="K14" s="41">
        <v>7</v>
      </c>
      <c r="L14" s="45"/>
      <c r="M14" s="45"/>
      <c r="N14" s="46">
        <f t="shared" si="9"/>
        <v>1</v>
      </c>
      <c r="O14" s="47">
        <f t="shared" si="17"/>
        <v>0.42857142857142855</v>
      </c>
      <c r="P14" s="48">
        <f>SUMIFS('Отчет 06-12.10'!H:H,'Отчет 06-12.10'!D:D,"Выручка",'Отчет 06-12.10'!E:E,B14)</f>
        <v>3</v>
      </c>
      <c r="Q14" s="48">
        <f>SUMIFS('Отчет 06-12.10'!H:H,'Отчет 06-12.10'!D:D,"Возврат выручки",'Отчет 06-12.10'!E:E,B14)</f>
        <v>0</v>
      </c>
      <c r="R14" s="49">
        <f t="shared" si="10"/>
        <v>3</v>
      </c>
      <c r="S14" s="50">
        <f>SUMIFS('Отчет 06-12.10'!O:O,'Отчет 06-12.10'!C:C,"Продажи",'Отчет 06-12.10'!E:E,B14)</f>
        <v>4366</v>
      </c>
      <c r="T14" s="51">
        <f>SUMIFS('Отчет 06-12.10'!O:O,'Отчет 06-12.10'!C:C,"Возвраты",'Отчет 06-12.10'!E:E,B14)</f>
        <v>0</v>
      </c>
      <c r="U14" s="49">
        <f t="shared" si="11"/>
        <v>4366</v>
      </c>
      <c r="V14" s="52">
        <f t="shared" si="0"/>
        <v>6.4279614852330608E-2</v>
      </c>
      <c r="W14" s="53">
        <f t="shared" si="12"/>
        <v>509.66999999999996</v>
      </c>
      <c r="X14" s="51">
        <f>-SUMIFS('Отчет 06-12.10'!O:O,'Отчет 06-12.10'!C:C,"Вознаграждение Ozon",'Отчет 06-12.10'!E:E,B14)</f>
        <v>1135.1600000000001</v>
      </c>
      <c r="Y14" s="54">
        <f t="shared" si="13"/>
        <v>0.26</v>
      </c>
      <c r="Z14" s="51">
        <f>-SUMIFS('Отчет 06-12.10'!O:O,'Отчет 06-12.10'!C:C,"Услуги доставки",'Отчет 06-12.10'!E:E,B14)</f>
        <v>230</v>
      </c>
      <c r="AA14" s="41">
        <v>3737.7934660000001</v>
      </c>
      <c r="AB14" s="64"/>
      <c r="AC14" s="51"/>
      <c r="AD14" s="55">
        <f t="shared" si="1"/>
        <v>261.95999999999998</v>
      </c>
      <c r="AE14" s="56">
        <f t="shared" si="14"/>
        <v>-1508.583466</v>
      </c>
      <c r="AF14" s="55"/>
      <c r="AG14" s="57">
        <f t="shared" si="2"/>
        <v>1455.3333333333333</v>
      </c>
      <c r="AH14" s="58">
        <f t="shared" si="3"/>
        <v>169.89</v>
      </c>
      <c r="AI14" s="58">
        <f t="shared" si="4"/>
        <v>378.38666666666671</v>
      </c>
      <c r="AJ14" s="58">
        <f t="shared" si="5"/>
        <v>76.666666666666671</v>
      </c>
      <c r="AK14" s="58">
        <f t="shared" si="15"/>
        <v>1245.9311553333334</v>
      </c>
      <c r="AL14" s="58">
        <f t="array" ref="AL14">_xlfn.IFS(R14=0,AE14,R14&lt;0,AE14/-R14,R14&gt;0,AE14/R14)</f>
        <v>-502.86115533333333</v>
      </c>
      <c r="AM14" s="59">
        <f t="shared" si="6"/>
        <v>-0.34552988227210263</v>
      </c>
      <c r="AN14" s="60">
        <f t="shared" si="7"/>
        <v>-2.9599220397512118</v>
      </c>
      <c r="AP14" s="62">
        <f t="shared" si="8"/>
        <v>-13074.390038666666</v>
      </c>
    </row>
    <row r="15" spans="1:42" ht="13.75" customHeight="1">
      <c r="A15" s="39">
        <v>2807226201</v>
      </c>
      <c r="B15" s="40" t="s">
        <v>229</v>
      </c>
      <c r="C15" s="41">
        <v>0</v>
      </c>
      <c r="D15" s="42"/>
      <c r="E15" s="42"/>
      <c r="F15" s="42"/>
      <c r="G15" s="43"/>
      <c r="H15" s="44">
        <v>1002.82</v>
      </c>
      <c r="I15" s="63">
        <f t="shared" si="16"/>
        <v>0</v>
      </c>
      <c r="J15" s="45"/>
      <c r="K15" s="41">
        <v>1</v>
      </c>
      <c r="L15" s="45"/>
      <c r="M15" s="45"/>
      <c r="N15" s="46">
        <f t="shared" si="9"/>
        <v>0.14285714285714285</v>
      </c>
      <c r="O15" s="47">
        <f t="shared" si="17"/>
        <v>0</v>
      </c>
      <c r="P15" s="48">
        <f>SUMIFS('Отчет 06-12.10'!H:H,'Отчет 06-12.10'!D:D,"Выручка",'Отчет 06-12.10'!E:E,B15)</f>
        <v>0</v>
      </c>
      <c r="Q15" s="48">
        <f>SUMIFS('Отчет 06-12.10'!H:H,'Отчет 06-12.10'!D:D,"Возврат выручки",'Отчет 06-12.10'!E:E,B15)</f>
        <v>0</v>
      </c>
      <c r="R15" s="49">
        <f t="shared" si="10"/>
        <v>0</v>
      </c>
      <c r="S15" s="50">
        <f>SUMIFS('Отчет 06-12.10'!O:O,'Отчет 06-12.10'!C:C,"Продажи",'Отчет 06-12.10'!E:E,B15)</f>
        <v>0</v>
      </c>
      <c r="T15" s="51">
        <f>SUMIFS('Отчет 06-12.10'!O:O,'Отчет 06-12.10'!C:C,"Возвраты",'Отчет 06-12.10'!E:E,B15)</f>
        <v>0</v>
      </c>
      <c r="U15" s="49">
        <f t="shared" si="11"/>
        <v>0</v>
      </c>
      <c r="V15" s="52">
        <f t="shared" si="0"/>
        <v>0</v>
      </c>
      <c r="W15" s="53">
        <f t="shared" si="12"/>
        <v>0</v>
      </c>
      <c r="X15" s="51">
        <f>-SUMIFS('Отчет 06-12.10'!O:O,'Отчет 06-12.10'!C:C,"Вознаграждение Ozon",'Отчет 06-12.10'!E:E,B15)</f>
        <v>0</v>
      </c>
      <c r="Y15" s="54">
        <f t="shared" si="13"/>
        <v>0</v>
      </c>
      <c r="Z15" s="51">
        <f>-SUMIFS('Отчет 06-12.10'!O:O,'Отчет 06-12.10'!C:C,"Услуги доставки",'Отчет 06-12.10'!E:E,B15)</f>
        <v>0</v>
      </c>
      <c r="AA15" s="41">
        <v>2801.3637799999997</v>
      </c>
      <c r="AB15" s="64"/>
      <c r="AC15" s="51"/>
      <c r="AD15" s="55">
        <f t="shared" si="1"/>
        <v>0</v>
      </c>
      <c r="AE15" s="56">
        <f t="shared" si="14"/>
        <v>-2801.3637799999997</v>
      </c>
      <c r="AF15" s="55"/>
      <c r="AG15" s="57">
        <f t="shared" si="2"/>
        <v>0</v>
      </c>
      <c r="AH15" s="58">
        <f t="shared" si="3"/>
        <v>1002.82</v>
      </c>
      <c r="AI15" s="58">
        <f t="shared" si="4"/>
        <v>0</v>
      </c>
      <c r="AJ15" s="58">
        <f t="shared" si="5"/>
        <v>0</v>
      </c>
      <c r="AK15" s="58">
        <f t="shared" si="15"/>
        <v>0</v>
      </c>
      <c r="AL15" s="58">
        <f t="array" ref="AL15">_xlfn.IFS(R15=0,AE15,R15&lt;0,AE15/-R15,R15&gt;0,AE15/R15)</f>
        <v>-2801.3637799999997</v>
      </c>
      <c r="AM15" s="59">
        <f t="shared" si="6"/>
        <v>0</v>
      </c>
      <c r="AN15" s="60">
        <f t="shared" si="7"/>
        <v>-2.7934861490596514</v>
      </c>
      <c r="AP15" s="62">
        <f t="shared" si="8"/>
        <v>0</v>
      </c>
    </row>
    <row r="16" spans="1:42" ht="13.75" customHeight="1">
      <c r="A16" s="39">
        <v>2807226228</v>
      </c>
      <c r="B16" s="40" t="s">
        <v>230</v>
      </c>
      <c r="C16" s="41">
        <v>1</v>
      </c>
      <c r="D16" s="42"/>
      <c r="E16" s="42"/>
      <c r="F16" s="42"/>
      <c r="G16" s="43"/>
      <c r="H16" s="44">
        <v>909.22</v>
      </c>
      <c r="I16" s="63">
        <f t="shared" si="16"/>
        <v>909.22</v>
      </c>
      <c r="J16" s="45"/>
      <c r="K16" s="41">
        <v>0</v>
      </c>
      <c r="L16" s="45"/>
      <c r="M16" s="45"/>
      <c r="N16" s="46">
        <f t="shared" si="9"/>
        <v>0</v>
      </c>
      <c r="O16" s="47">
        <f t="shared" si="17"/>
        <v>0</v>
      </c>
      <c r="P16" s="48">
        <f>SUMIFS('Отчет 06-12.10'!H:H,'Отчет 06-12.10'!D:D,"Выручка",'Отчет 06-12.10'!E:E,B16)</f>
        <v>0</v>
      </c>
      <c r="Q16" s="48">
        <f>SUMIFS('Отчет 06-12.10'!H:H,'Отчет 06-12.10'!D:D,"Возврат выручки",'Отчет 06-12.10'!E:E,B16)</f>
        <v>0</v>
      </c>
      <c r="R16" s="49">
        <f t="shared" si="10"/>
        <v>0</v>
      </c>
      <c r="S16" s="50">
        <f>SUMIFS('Отчет 06-12.10'!O:O,'Отчет 06-12.10'!C:C,"Продажи",'Отчет 06-12.10'!E:E,B16)</f>
        <v>0</v>
      </c>
      <c r="T16" s="51">
        <f>SUMIFS('Отчет 06-12.10'!O:O,'Отчет 06-12.10'!C:C,"Возвраты",'Отчет 06-12.10'!E:E,B16)</f>
        <v>0</v>
      </c>
      <c r="U16" s="49">
        <f t="shared" si="11"/>
        <v>0</v>
      </c>
      <c r="V16" s="52">
        <f t="shared" si="0"/>
        <v>0</v>
      </c>
      <c r="W16" s="53">
        <f t="shared" si="12"/>
        <v>0</v>
      </c>
      <c r="X16" s="51">
        <f>-SUMIFS('Отчет 06-12.10'!O:O,'Отчет 06-12.10'!C:C,"Вознаграждение Ozon",'Отчет 06-12.10'!E:E,B16)</f>
        <v>0</v>
      </c>
      <c r="Y16" s="54">
        <f t="shared" si="13"/>
        <v>0</v>
      </c>
      <c r="Z16" s="51">
        <f>-SUMIFS('Отчет 06-12.10'!O:O,'Отчет 06-12.10'!C:C,"Услуги доставки",'Отчет 06-12.10'!E:E,B16)</f>
        <v>0</v>
      </c>
      <c r="AA16" s="41">
        <v>0</v>
      </c>
      <c r="AB16" s="64"/>
      <c r="AC16" s="51"/>
      <c r="AD16" s="55">
        <f t="shared" si="1"/>
        <v>0</v>
      </c>
      <c r="AE16" s="56">
        <f t="shared" si="14"/>
        <v>0</v>
      </c>
      <c r="AF16" s="55"/>
      <c r="AG16" s="57">
        <f t="shared" si="2"/>
        <v>0</v>
      </c>
      <c r="AH16" s="58">
        <f t="shared" si="3"/>
        <v>909.22</v>
      </c>
      <c r="AI16" s="58">
        <f t="shared" si="4"/>
        <v>0</v>
      </c>
      <c r="AJ16" s="58">
        <f t="shared" si="5"/>
        <v>0</v>
      </c>
      <c r="AK16" s="58">
        <f t="shared" si="15"/>
        <v>0</v>
      </c>
      <c r="AL16" s="58">
        <f t="array" ref="AL16">_xlfn.IFS(R16=0,AE16,R16&lt;0,AE16/-R16,R16&gt;0,AE16/R16)</f>
        <v>0</v>
      </c>
      <c r="AM16" s="59">
        <f t="shared" si="6"/>
        <v>0</v>
      </c>
      <c r="AN16" s="60">
        <f t="shared" si="7"/>
        <v>0</v>
      </c>
      <c r="AP16" s="62">
        <f t="shared" si="8"/>
        <v>0</v>
      </c>
    </row>
    <row r="17" spans="1:52" ht="13.75" customHeight="1">
      <c r="A17" s="39">
        <v>2807226016</v>
      </c>
      <c r="B17" s="40" t="s">
        <v>231</v>
      </c>
      <c r="C17" s="41">
        <v>0</v>
      </c>
      <c r="D17" s="42"/>
      <c r="E17" s="42"/>
      <c r="F17" s="42"/>
      <c r="G17" s="43"/>
      <c r="H17" s="44">
        <v>909.22</v>
      </c>
      <c r="I17" s="63">
        <f t="shared" si="16"/>
        <v>0</v>
      </c>
      <c r="J17" s="45"/>
      <c r="K17" s="41">
        <v>0</v>
      </c>
      <c r="L17" s="45"/>
      <c r="M17" s="45"/>
      <c r="N17" s="46">
        <f t="shared" si="9"/>
        <v>0</v>
      </c>
      <c r="O17" s="47">
        <f t="shared" si="17"/>
        <v>0</v>
      </c>
      <c r="P17" s="48">
        <f>SUMIFS('Отчет 06-12.10'!H:H,'Отчет 06-12.10'!D:D,"Выручка",'Отчет 06-12.10'!E:E,B17)</f>
        <v>0</v>
      </c>
      <c r="Q17" s="48">
        <f>SUMIFS('Отчет 06-12.10'!H:H,'Отчет 06-12.10'!D:D,"Возврат выручки",'Отчет 06-12.10'!E:E,B17)</f>
        <v>0</v>
      </c>
      <c r="R17" s="49">
        <f t="shared" si="10"/>
        <v>0</v>
      </c>
      <c r="S17" s="50">
        <f>SUMIFS('Отчет 06-12.10'!O:O,'Отчет 06-12.10'!C:C,"Продажи",'Отчет 06-12.10'!E:E,B17)</f>
        <v>0</v>
      </c>
      <c r="T17" s="51">
        <f>SUMIFS('Отчет 06-12.10'!O:O,'Отчет 06-12.10'!C:C,"Возвраты",'Отчет 06-12.10'!E:E,B17)</f>
        <v>0</v>
      </c>
      <c r="U17" s="49">
        <f t="shared" si="11"/>
        <v>0</v>
      </c>
      <c r="V17" s="52">
        <f t="shared" si="0"/>
        <v>0</v>
      </c>
      <c r="W17" s="53">
        <f t="shared" si="12"/>
        <v>0</v>
      </c>
      <c r="X17" s="51">
        <f>-SUMIFS('Отчет 06-12.10'!O:O,'Отчет 06-12.10'!C:C,"Вознаграждение Ozon",'Отчет 06-12.10'!E:E,B17)</f>
        <v>0</v>
      </c>
      <c r="Y17" s="54">
        <f t="shared" si="13"/>
        <v>0</v>
      </c>
      <c r="Z17" s="51">
        <f>-SUMIFS('Отчет 06-12.10'!O:O,'Отчет 06-12.10'!C:C,"Услуги доставки",'Отчет 06-12.10'!E:E,B17)</f>
        <v>0</v>
      </c>
      <c r="AA17" s="41">
        <v>664.97304299999996</v>
      </c>
      <c r="AB17" s="64"/>
      <c r="AC17" s="51"/>
      <c r="AD17" s="55">
        <f t="shared" si="1"/>
        <v>0</v>
      </c>
      <c r="AE17" s="56">
        <f t="shared" si="14"/>
        <v>-664.97304299999996</v>
      </c>
      <c r="AF17" s="55"/>
      <c r="AG17" s="57">
        <f t="shared" si="2"/>
        <v>0</v>
      </c>
      <c r="AH17" s="58">
        <f t="shared" si="3"/>
        <v>909.22</v>
      </c>
      <c r="AI17" s="58">
        <f t="shared" si="4"/>
        <v>0</v>
      </c>
      <c r="AJ17" s="58">
        <f t="shared" si="5"/>
        <v>0</v>
      </c>
      <c r="AK17" s="58">
        <f t="shared" si="15"/>
        <v>0</v>
      </c>
      <c r="AL17" s="58">
        <f t="array" ref="AL17">_xlfn.IFS(R17=0,AE17,R17&lt;0,AE17/-R17,R17&gt;0,AE17/R17)</f>
        <v>-664.97304299999996</v>
      </c>
      <c r="AM17" s="59">
        <f t="shared" si="6"/>
        <v>0</v>
      </c>
      <c r="AN17" s="60">
        <f t="shared" si="7"/>
        <v>-0.73136649325795733</v>
      </c>
      <c r="AP17" s="62">
        <f t="shared" si="8"/>
        <v>0</v>
      </c>
    </row>
    <row r="18" spans="1:52" ht="13.75" customHeight="1">
      <c r="A18" s="39">
        <v>2807226072</v>
      </c>
      <c r="B18" s="40" t="s">
        <v>111</v>
      </c>
      <c r="C18" s="41">
        <v>1</v>
      </c>
      <c r="D18" s="42"/>
      <c r="E18" s="42"/>
      <c r="F18" s="42"/>
      <c r="G18" s="43"/>
      <c r="H18" s="44">
        <v>932.62</v>
      </c>
      <c r="I18" s="63">
        <f t="shared" si="16"/>
        <v>932.62</v>
      </c>
      <c r="J18" s="45"/>
      <c r="K18" s="41">
        <v>1</v>
      </c>
      <c r="L18" s="45"/>
      <c r="M18" s="45"/>
      <c r="N18" s="46">
        <f t="shared" si="9"/>
        <v>0.14285714285714285</v>
      </c>
      <c r="O18" s="47">
        <f t="shared" si="17"/>
        <v>0</v>
      </c>
      <c r="P18" s="48">
        <f>SUMIFS('Отчет 06-12.10'!H:H,'Отчет 06-12.10'!D:D,"Выручка",'Отчет 06-12.10'!E:E,B18)</f>
        <v>0</v>
      </c>
      <c r="Q18" s="48">
        <f>SUMIFS('Отчет 06-12.10'!H:H,'Отчет 06-12.10'!D:D,"Возврат выручки",'Отчет 06-12.10'!E:E,B18)</f>
        <v>0</v>
      </c>
      <c r="R18" s="49">
        <f t="shared" si="10"/>
        <v>0</v>
      </c>
      <c r="S18" s="50">
        <f>SUMIFS('Отчет 06-12.10'!O:O,'Отчет 06-12.10'!C:C,"Продажи",'Отчет 06-12.10'!E:E,B18)</f>
        <v>0</v>
      </c>
      <c r="T18" s="51">
        <f>SUMIFS('Отчет 06-12.10'!O:O,'Отчет 06-12.10'!C:C,"Возвраты",'Отчет 06-12.10'!E:E,B18)</f>
        <v>0</v>
      </c>
      <c r="U18" s="49">
        <f t="shared" si="11"/>
        <v>0</v>
      </c>
      <c r="V18" s="52">
        <f t="shared" si="0"/>
        <v>0</v>
      </c>
      <c r="W18" s="53">
        <f t="shared" si="12"/>
        <v>0</v>
      </c>
      <c r="X18" s="51">
        <f>-SUMIFS('Отчет 06-12.10'!O:O,'Отчет 06-12.10'!C:C,"Вознаграждение Ozon",'Отчет 06-12.10'!E:E,B18)</f>
        <v>0</v>
      </c>
      <c r="Y18" s="54">
        <f t="shared" si="13"/>
        <v>0</v>
      </c>
      <c r="Z18" s="51">
        <f>-SUMIFS('Отчет 06-12.10'!O:O,'Отчет 06-12.10'!C:C,"Услуги доставки",'Отчет 06-12.10'!E:E,B18)</f>
        <v>56</v>
      </c>
      <c r="AA18" s="41">
        <v>1960.2752</v>
      </c>
      <c r="AB18" s="64"/>
      <c r="AC18" s="51"/>
      <c r="AD18" s="55">
        <f t="shared" si="1"/>
        <v>0</v>
      </c>
      <c r="AE18" s="56">
        <f t="shared" si="14"/>
        <v>-2016.2752</v>
      </c>
      <c r="AF18" s="55"/>
      <c r="AG18" s="57">
        <f t="shared" si="2"/>
        <v>0</v>
      </c>
      <c r="AH18" s="58">
        <f t="shared" si="3"/>
        <v>932.62</v>
      </c>
      <c r="AI18" s="58">
        <f t="shared" si="4"/>
        <v>0</v>
      </c>
      <c r="AJ18" s="58">
        <f t="shared" si="5"/>
        <v>56</v>
      </c>
      <c r="AK18" s="58">
        <f t="shared" si="15"/>
        <v>0</v>
      </c>
      <c r="AL18" s="58">
        <f t="array" ref="AL18">_xlfn.IFS(R18=0,AE18,R18&lt;0,AE18/-R18,R18&gt;0,AE18/R18)</f>
        <v>-2016.2752</v>
      </c>
      <c r="AM18" s="59">
        <f t="shared" si="6"/>
        <v>0</v>
      </c>
      <c r="AN18" s="60">
        <f t="shared" si="7"/>
        <v>-2.1619472025047717</v>
      </c>
      <c r="AP18" s="62">
        <f t="shared" si="8"/>
        <v>-2016.2752</v>
      </c>
    </row>
    <row r="19" spans="1:52" ht="13.75" customHeight="1">
      <c r="A19" s="39">
        <v>2807226223</v>
      </c>
      <c r="B19" s="40" t="s">
        <v>232</v>
      </c>
      <c r="C19" s="41">
        <v>0</v>
      </c>
      <c r="D19" s="42"/>
      <c r="E19" s="42"/>
      <c r="F19" s="42"/>
      <c r="G19" s="43"/>
      <c r="H19" s="44">
        <v>1014.52</v>
      </c>
      <c r="I19" s="63">
        <f t="shared" si="16"/>
        <v>0</v>
      </c>
      <c r="J19" s="45"/>
      <c r="K19" s="41">
        <v>0</v>
      </c>
      <c r="L19" s="45"/>
      <c r="M19" s="45"/>
      <c r="N19" s="46">
        <f t="shared" si="9"/>
        <v>0</v>
      </c>
      <c r="O19" s="47">
        <f t="shared" si="17"/>
        <v>0</v>
      </c>
      <c r="P19" s="48">
        <f>SUMIFS('Отчет 06-12.10'!H:H,'Отчет 06-12.10'!D:D,"Выручка",'Отчет 06-12.10'!E:E,B19)</f>
        <v>0</v>
      </c>
      <c r="Q19" s="48">
        <f>SUMIFS('Отчет 06-12.10'!H:H,'Отчет 06-12.10'!D:D,"Возврат выручки",'Отчет 06-12.10'!E:E,B19)</f>
        <v>0</v>
      </c>
      <c r="R19" s="49">
        <f t="shared" si="10"/>
        <v>0</v>
      </c>
      <c r="S19" s="50">
        <f>SUMIFS('Отчет 06-12.10'!O:O,'Отчет 06-12.10'!C:C,"Продажи",'Отчет 06-12.10'!E:E,B19)</f>
        <v>0</v>
      </c>
      <c r="T19" s="51">
        <f>SUMIFS('Отчет 06-12.10'!O:O,'Отчет 06-12.10'!C:C,"Возвраты",'Отчет 06-12.10'!E:E,B19)</f>
        <v>0</v>
      </c>
      <c r="U19" s="49">
        <f t="shared" si="11"/>
        <v>0</v>
      </c>
      <c r="V19" s="52">
        <f t="shared" si="0"/>
        <v>0</v>
      </c>
      <c r="W19" s="53">
        <f t="shared" si="12"/>
        <v>0</v>
      </c>
      <c r="X19" s="51">
        <f>-SUMIFS('Отчет 06-12.10'!O:O,'Отчет 06-12.10'!C:C,"Вознаграждение Ozon",'Отчет 06-12.10'!E:E,B19)</f>
        <v>0</v>
      </c>
      <c r="Y19" s="54">
        <f t="shared" si="13"/>
        <v>0</v>
      </c>
      <c r="Z19" s="51">
        <f>-SUMIFS('Отчет 06-12.10'!O:O,'Отчет 06-12.10'!C:C,"Услуги доставки",'Отчет 06-12.10'!E:E,B19)</f>
        <v>0</v>
      </c>
      <c r="AA19" s="41">
        <v>684.20903499999997</v>
      </c>
      <c r="AB19" s="64"/>
      <c r="AC19" s="51"/>
      <c r="AD19" s="55">
        <f t="shared" si="1"/>
        <v>0</v>
      </c>
      <c r="AE19" s="56">
        <f t="shared" si="14"/>
        <v>-684.20903499999997</v>
      </c>
      <c r="AF19" s="55"/>
      <c r="AG19" s="57">
        <f t="shared" si="2"/>
        <v>0</v>
      </c>
      <c r="AH19" s="58">
        <f t="shared" si="3"/>
        <v>1014.52</v>
      </c>
      <c r="AI19" s="58">
        <f t="shared" si="4"/>
        <v>0</v>
      </c>
      <c r="AJ19" s="58">
        <f t="shared" si="5"/>
        <v>0</v>
      </c>
      <c r="AK19" s="58">
        <f t="shared" si="15"/>
        <v>0</v>
      </c>
      <c r="AL19" s="58">
        <f t="array" ref="AL19">_xlfn.IFS(R19=0,AE19,R19&lt;0,AE19/-R19,R19&gt;0,AE19/R19)</f>
        <v>-684.20903499999997</v>
      </c>
      <c r="AM19" s="59">
        <f t="shared" si="6"/>
        <v>0</v>
      </c>
      <c r="AN19" s="60">
        <f t="shared" si="7"/>
        <v>-0.67441650731380354</v>
      </c>
      <c r="AP19" s="62">
        <f t="shared" si="8"/>
        <v>0</v>
      </c>
    </row>
    <row r="20" spans="1:52" ht="13.75" customHeight="1">
      <c r="A20" s="39">
        <v>2807226341</v>
      </c>
      <c r="B20" s="40" t="s">
        <v>136</v>
      </c>
      <c r="C20" s="41">
        <v>0</v>
      </c>
      <c r="D20" s="42"/>
      <c r="E20" s="42"/>
      <c r="F20" s="42"/>
      <c r="G20" s="43"/>
      <c r="H20" s="44">
        <v>1014.52</v>
      </c>
      <c r="I20" s="63">
        <f t="shared" si="16"/>
        <v>0</v>
      </c>
      <c r="J20" s="45"/>
      <c r="K20" s="41">
        <v>0</v>
      </c>
      <c r="L20" s="45"/>
      <c r="M20" s="45"/>
      <c r="N20" s="46">
        <f t="shared" si="9"/>
        <v>0</v>
      </c>
      <c r="O20" s="47">
        <f t="shared" si="17"/>
        <v>0.14285714285714285</v>
      </c>
      <c r="P20" s="48">
        <f>SUMIFS('Отчет 06-12.10'!H:H,'Отчет 06-12.10'!D:D,"Выручка",'Отчет 06-12.10'!E:E,B20)</f>
        <v>1</v>
      </c>
      <c r="Q20" s="48">
        <f>SUMIFS('Отчет 06-12.10'!H:H,'Отчет 06-12.10'!D:D,"Возврат выручки",'Отчет 06-12.10'!E:E,B20)</f>
        <v>0</v>
      </c>
      <c r="R20" s="49">
        <f t="shared" si="10"/>
        <v>1</v>
      </c>
      <c r="S20" s="50">
        <f>SUMIFS('Отчет 06-12.10'!O:O,'Отчет 06-12.10'!C:C,"Продажи",'Отчет 06-12.10'!E:E,B20)</f>
        <v>3150</v>
      </c>
      <c r="T20" s="51">
        <f>SUMIFS('Отчет 06-12.10'!O:O,'Отчет 06-12.10'!C:C,"Возвраты",'Отчет 06-12.10'!E:E,B20)</f>
        <v>0</v>
      </c>
      <c r="U20" s="49">
        <f t="shared" si="11"/>
        <v>3150</v>
      </c>
      <c r="V20" s="52">
        <f t="shared" si="0"/>
        <v>4.6376726244810221E-2</v>
      </c>
      <c r="W20" s="53">
        <f t="shared" si="12"/>
        <v>1014.52</v>
      </c>
      <c r="X20" s="51">
        <f>-SUMIFS('Отчет 06-12.10'!O:O,'Отчет 06-12.10'!C:C,"Вознаграждение Ozon",'Отчет 06-12.10'!E:E,B20)</f>
        <v>929.25</v>
      </c>
      <c r="Y20" s="54">
        <f t="shared" si="13"/>
        <v>0.29499999999999998</v>
      </c>
      <c r="Z20" s="51">
        <f>-SUMIFS('Отчет 06-12.10'!O:O,'Отчет 06-12.10'!C:C,"Услуги доставки",'Отчет 06-12.10'!E:E,B20)</f>
        <v>108</v>
      </c>
      <c r="AA20" s="41">
        <v>530.24859600000002</v>
      </c>
      <c r="AB20" s="64"/>
      <c r="AC20" s="51"/>
      <c r="AD20" s="55">
        <f t="shared" si="1"/>
        <v>189</v>
      </c>
      <c r="AE20" s="56">
        <f t="shared" si="14"/>
        <v>378.981404</v>
      </c>
      <c r="AF20" s="55"/>
      <c r="AG20" s="57">
        <f t="shared" si="2"/>
        <v>3150</v>
      </c>
      <c r="AH20" s="58">
        <f t="shared" si="3"/>
        <v>1014.52</v>
      </c>
      <c r="AI20" s="58">
        <f t="shared" si="4"/>
        <v>929.25</v>
      </c>
      <c r="AJ20" s="58">
        <f t="shared" si="5"/>
        <v>108</v>
      </c>
      <c r="AK20" s="58">
        <f t="shared" si="15"/>
        <v>530.24859600000002</v>
      </c>
      <c r="AL20" s="58">
        <f t="array" ref="AL20">_xlfn.IFS(R20=0,AE20,R20&lt;0,AE20/-R20,R20&gt;0,AE20/R20)</f>
        <v>378.981404</v>
      </c>
      <c r="AM20" s="59">
        <f t="shared" si="6"/>
        <v>0.12031155682539682</v>
      </c>
      <c r="AN20" s="60">
        <f t="shared" si="7"/>
        <v>0.37355735125970901</v>
      </c>
      <c r="AP20" s="62">
        <f t="shared" si="8"/>
        <v>0</v>
      </c>
    </row>
    <row r="21" spans="1:52" ht="13.75" customHeight="1">
      <c r="A21" s="39">
        <v>2807226351</v>
      </c>
      <c r="B21" s="40" t="s">
        <v>233</v>
      </c>
      <c r="C21" s="41">
        <v>0</v>
      </c>
      <c r="D21" s="42"/>
      <c r="E21" s="42"/>
      <c r="F21" s="42"/>
      <c r="G21" s="43"/>
      <c r="H21" s="44">
        <v>1014.52</v>
      </c>
      <c r="I21" s="63">
        <f t="shared" si="16"/>
        <v>0</v>
      </c>
      <c r="J21" s="45"/>
      <c r="K21" s="41">
        <v>0</v>
      </c>
      <c r="L21" s="45"/>
      <c r="M21" s="45"/>
      <c r="N21" s="46">
        <f t="shared" si="9"/>
        <v>0</v>
      </c>
      <c r="O21" s="47">
        <f t="shared" si="17"/>
        <v>0</v>
      </c>
      <c r="P21" s="48">
        <f>SUMIFS('Отчет 06-12.10'!H:H,'Отчет 06-12.10'!D:D,"Выручка",'Отчет 06-12.10'!E:E,B21)</f>
        <v>0</v>
      </c>
      <c r="Q21" s="48">
        <f>SUMIFS('Отчет 06-12.10'!H:H,'Отчет 06-12.10'!D:D,"Возврат выручки",'Отчет 06-12.10'!E:E,B21)</f>
        <v>0</v>
      </c>
      <c r="R21" s="49">
        <f t="shared" si="10"/>
        <v>0</v>
      </c>
      <c r="S21" s="50">
        <f>SUMIFS('Отчет 06-12.10'!O:O,'Отчет 06-12.10'!C:C,"Продажи",'Отчет 06-12.10'!E:E,B21)</f>
        <v>0</v>
      </c>
      <c r="T21" s="51">
        <f>SUMIFS('Отчет 06-12.10'!O:O,'Отчет 06-12.10'!C:C,"Возвраты",'Отчет 06-12.10'!E:E,B21)</f>
        <v>0</v>
      </c>
      <c r="U21" s="49">
        <f t="shared" si="11"/>
        <v>0</v>
      </c>
      <c r="V21" s="52">
        <f t="shared" si="0"/>
        <v>0</v>
      </c>
      <c r="W21" s="53">
        <f t="shared" si="12"/>
        <v>0</v>
      </c>
      <c r="X21" s="51">
        <f>-SUMIFS('Отчет 06-12.10'!O:O,'Отчет 06-12.10'!C:C,"Вознаграждение Ozon",'Отчет 06-12.10'!E:E,B21)</f>
        <v>0</v>
      </c>
      <c r="Y21" s="54">
        <f t="shared" si="13"/>
        <v>0</v>
      </c>
      <c r="Z21" s="51">
        <f>-SUMIFS('Отчет 06-12.10'!O:O,'Отчет 06-12.10'!C:C,"Услуги доставки",'Отчет 06-12.10'!E:E,B21)</f>
        <v>0</v>
      </c>
      <c r="AA21" s="41">
        <v>439.68775900000003</v>
      </c>
      <c r="AB21" s="64"/>
      <c r="AC21" s="51"/>
      <c r="AD21" s="55">
        <f t="shared" si="1"/>
        <v>0</v>
      </c>
      <c r="AE21" s="56">
        <f t="shared" si="14"/>
        <v>-439.68775900000003</v>
      </c>
      <c r="AF21" s="55"/>
      <c r="AG21" s="57">
        <f t="shared" si="2"/>
        <v>0</v>
      </c>
      <c r="AH21" s="58">
        <f t="shared" si="3"/>
        <v>1014.52</v>
      </c>
      <c r="AI21" s="58">
        <f t="shared" si="4"/>
        <v>0</v>
      </c>
      <c r="AJ21" s="58">
        <f t="shared" si="5"/>
        <v>0</v>
      </c>
      <c r="AK21" s="58">
        <f t="shared" si="15"/>
        <v>0</v>
      </c>
      <c r="AL21" s="58">
        <f t="array" ref="AL21">_xlfn.IFS(R21=0,AE21,R21&lt;0,AE21/-R21,R21&gt;0,AE21/R21)</f>
        <v>-439.68775900000003</v>
      </c>
      <c r="AM21" s="59">
        <f t="shared" si="6"/>
        <v>0</v>
      </c>
      <c r="AN21" s="60">
        <f t="shared" si="7"/>
        <v>-0.43339486555218237</v>
      </c>
      <c r="AP21" s="62">
        <f t="shared" si="8"/>
        <v>0</v>
      </c>
    </row>
    <row r="22" spans="1:52" ht="13.75" customHeight="1">
      <c r="A22" s="39">
        <v>2807226146</v>
      </c>
      <c r="B22" s="40" t="s">
        <v>234</v>
      </c>
      <c r="C22" s="41">
        <v>0</v>
      </c>
      <c r="D22" s="42"/>
      <c r="E22" s="42"/>
      <c r="F22" s="42"/>
      <c r="G22" s="43"/>
      <c r="H22" s="44">
        <v>991.12</v>
      </c>
      <c r="I22" s="63">
        <f t="shared" si="16"/>
        <v>0</v>
      </c>
      <c r="J22" s="45"/>
      <c r="K22" s="41">
        <v>0</v>
      </c>
      <c r="L22" s="45"/>
      <c r="M22" s="45"/>
      <c r="N22" s="46">
        <f t="shared" si="9"/>
        <v>0</v>
      </c>
      <c r="O22" s="47">
        <f t="shared" si="17"/>
        <v>0</v>
      </c>
      <c r="P22" s="48">
        <f>SUMIFS('Отчет 06-12.10'!H:H,'Отчет 06-12.10'!D:D,"Выручка",'Отчет 06-12.10'!E:E,B22)</f>
        <v>0</v>
      </c>
      <c r="Q22" s="48">
        <f>SUMIFS('Отчет 06-12.10'!H:H,'Отчет 06-12.10'!D:D,"Возврат выручки",'Отчет 06-12.10'!E:E,B22)</f>
        <v>0</v>
      </c>
      <c r="R22" s="49">
        <f t="shared" si="10"/>
        <v>0</v>
      </c>
      <c r="S22" s="50">
        <f>SUMIFS('Отчет 06-12.10'!O:O,'Отчет 06-12.10'!C:C,"Продажи",'Отчет 06-12.10'!E:E,B22)</f>
        <v>0</v>
      </c>
      <c r="T22" s="51">
        <f>SUMIFS('Отчет 06-12.10'!O:O,'Отчет 06-12.10'!C:C,"Возвраты",'Отчет 06-12.10'!E:E,B22)</f>
        <v>0</v>
      </c>
      <c r="U22" s="49">
        <f t="shared" si="11"/>
        <v>0</v>
      </c>
      <c r="V22" s="52">
        <f t="shared" si="0"/>
        <v>0</v>
      </c>
      <c r="W22" s="53">
        <f t="shared" si="12"/>
        <v>0</v>
      </c>
      <c r="X22" s="51">
        <f>-SUMIFS('Отчет 06-12.10'!O:O,'Отчет 06-12.10'!C:C,"Вознаграждение Ozon",'Отчет 06-12.10'!E:E,B22)</f>
        <v>0</v>
      </c>
      <c r="Y22" s="54">
        <f>IF(U22=0,0,X22/U22)</f>
        <v>0</v>
      </c>
      <c r="Z22" s="51">
        <f>-SUMIFS('Отчет 06-12.10'!O:O,'Отчет 06-12.10'!C:C,"Услуги доставки",'Отчет 06-12.10'!E:E,B22)</f>
        <v>0</v>
      </c>
      <c r="AA22" s="41">
        <v>296.357707</v>
      </c>
      <c r="AB22" s="64"/>
      <c r="AC22" s="51"/>
      <c r="AD22" s="55">
        <f t="shared" si="1"/>
        <v>0</v>
      </c>
      <c r="AE22" s="56">
        <f t="shared" si="14"/>
        <v>-296.357707</v>
      </c>
      <c r="AF22" s="55"/>
      <c r="AG22" s="57">
        <f t="shared" si="2"/>
        <v>0</v>
      </c>
      <c r="AH22" s="58">
        <f t="shared" si="3"/>
        <v>991.12</v>
      </c>
      <c r="AI22" s="58">
        <f t="shared" si="4"/>
        <v>0</v>
      </c>
      <c r="AJ22" s="58">
        <f t="shared" si="5"/>
        <v>0</v>
      </c>
      <c r="AK22" s="58">
        <f t="shared" si="15"/>
        <v>0</v>
      </c>
      <c r="AL22" s="58">
        <f t="array" ref="AL22">_xlfn.IFS(R22=0,AE22,R22&lt;0,AE22/-R22,R22&gt;0,AE22/R22)</f>
        <v>-296.357707</v>
      </c>
      <c r="AM22" s="59">
        <f t="shared" si="6"/>
        <v>0</v>
      </c>
      <c r="AN22" s="60">
        <f t="shared" si="7"/>
        <v>-0.29901294192428768</v>
      </c>
      <c r="AP22" s="62">
        <f t="shared" si="8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1652.6666666666665</v>
      </c>
      <c r="AH23" s="247">
        <f t="shared" si="18"/>
        <v>480.36400000000003</v>
      </c>
      <c r="AI23" s="247">
        <f t="shared" si="18"/>
        <v>443.67933333333332</v>
      </c>
      <c r="AJ23" s="247">
        <f t="shared" si="18"/>
        <v>115.62770562770562</v>
      </c>
      <c r="AK23" s="247">
        <f t="shared" si="18"/>
        <v>690.93935312878784</v>
      </c>
      <c r="AL23" s="247">
        <f t="shared" si="18"/>
        <v>-590.93449098214285</v>
      </c>
      <c r="AM23" s="249">
        <f t="shared" si="18"/>
        <v>6.7791110606056387E-2</v>
      </c>
      <c r="AN23" s="249">
        <f t="shared" si="18"/>
        <v>-1.042397187887264</v>
      </c>
      <c r="AO23" s="240"/>
      <c r="AP23" s="241"/>
    </row>
    <row r="24" spans="1:52">
      <c r="A24" s="216" t="s">
        <v>305</v>
      </c>
      <c r="B24" s="209"/>
      <c r="C24" s="217">
        <f>SUM(C3:C22)</f>
        <v>3507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464109.98</v>
      </c>
      <c r="J24" s="212"/>
      <c r="K24" s="217">
        <f>SUM(K3:K22)</f>
        <v>41</v>
      </c>
      <c r="L24" s="212"/>
      <c r="M24" s="212"/>
      <c r="N24" s="213"/>
      <c r="O24" s="214"/>
      <c r="P24" s="217">
        <f>SUM(P3:P22)</f>
        <v>18</v>
      </c>
      <c r="Q24" s="217">
        <f t="shared" ref="Q24:AE24" si="19">SUM(Q3:Q22)</f>
        <v>1</v>
      </c>
      <c r="R24" s="217">
        <f t="shared" si="19"/>
        <v>19</v>
      </c>
      <c r="S24" s="237">
        <f>SUM(S3:S22)</f>
        <v>24592</v>
      </c>
      <c r="T24" s="217">
        <f t="shared" si="19"/>
        <v>-1200</v>
      </c>
      <c r="U24" s="217">
        <f t="shared" si="19"/>
        <v>23392</v>
      </c>
      <c r="V24" s="256">
        <f t="shared" si="19"/>
        <v>0.34439504137098437</v>
      </c>
      <c r="W24" s="217">
        <f t="shared" si="19"/>
        <v>3597.5199999999995</v>
      </c>
      <c r="X24" s="217">
        <f t="shared" si="19"/>
        <v>6111.53</v>
      </c>
      <c r="Y24" s="215">
        <f>IF(U24=0,0,X24/U24)</f>
        <v>0.261265817373461</v>
      </c>
      <c r="Z24" s="217">
        <f t="shared" si="19"/>
        <v>2096</v>
      </c>
      <c r="AA24" s="217">
        <f>P24*AA49/P49</f>
        <v>24488.769374999996</v>
      </c>
      <c r="AB24" s="217">
        <f t="shared" si="19"/>
        <v>0</v>
      </c>
      <c r="AC24" s="217">
        <f t="shared" si="19"/>
        <v>0</v>
      </c>
      <c r="AD24" s="238">
        <f t="shared" si="19"/>
        <v>1403.52</v>
      </c>
      <c r="AE24" s="239">
        <f t="shared" si="19"/>
        <v>-10603.713267999998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539066.63466325006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20787.143267999996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>
        <v>16</v>
      </c>
      <c r="D26" s="42"/>
      <c r="E26" s="42"/>
      <c r="F26" s="42"/>
      <c r="G26" s="43"/>
      <c r="H26" s="65">
        <v>672</v>
      </c>
      <c r="I26" s="63">
        <f t="shared" si="16"/>
        <v>10752</v>
      </c>
      <c r="J26" s="45"/>
      <c r="K26" s="41">
        <v>3</v>
      </c>
      <c r="L26" s="45"/>
      <c r="M26" s="45"/>
      <c r="N26" s="46">
        <f t="shared" si="9"/>
        <v>0.42857142857142855</v>
      </c>
      <c r="O26" s="47">
        <f t="shared" si="17"/>
        <v>0.14285714285714285</v>
      </c>
      <c r="P26" s="48">
        <f>SUMIFS('Отчет 06-12.10'!H:H,'Отчет 06-12.10'!D:D,"Выручка",'Отчет 06-12.10'!E:E,B26)</f>
        <v>1</v>
      </c>
      <c r="Q26" s="48">
        <f>SUMIFS('Отчет 06-12.10'!H:H,'Отчет 06-12.10'!D:D,"Возврат выручки",'Отчет 06-12.10'!E:E,B26)</f>
        <v>0</v>
      </c>
      <c r="R26" s="49">
        <f t="shared" si="10"/>
        <v>1</v>
      </c>
      <c r="S26" s="50">
        <f>SUMIFS('Отчет 06-12.10'!O:O,'Отчет 06-12.10'!C:C,"Продажи",'Отчет 06-12.10'!E:E,B26)</f>
        <v>3690</v>
      </c>
      <c r="T26" s="51">
        <f>SUMIFS('Отчет 06-12.10'!O:O,'Отчет 06-12.10'!C:C,"Возвраты",'Отчет 06-12.10'!E:E,B26)</f>
        <v>0</v>
      </c>
      <c r="U26" s="49">
        <f t="shared" si="11"/>
        <v>3690</v>
      </c>
      <c r="V26" s="52">
        <f t="shared" ref="V26:V45" si="20">U26/$U$49</f>
        <v>5.4327022172491975E-2</v>
      </c>
      <c r="W26" s="53">
        <f t="shared" si="12"/>
        <v>672</v>
      </c>
      <c r="X26" s="51">
        <f>-SUMIFS('Отчет 06-12.10'!O:O,'Отчет 06-12.10'!C:C,"Вознаграждение Ozon",'Отчет 06-12.10'!E:E,B26)</f>
        <v>885.6</v>
      </c>
      <c r="Y26" s="54">
        <f t="shared" si="13"/>
        <v>0.24000000000000002</v>
      </c>
      <c r="Z26" s="51">
        <f>-SUMIFS('Отчет 06-12.10'!O:O,'Отчет 06-12.10'!C:C,"Услуги доставки",'Отчет 06-12.10'!E:E,B26)</f>
        <v>56</v>
      </c>
      <c r="AA26" s="41">
        <v>2277.9216710000001</v>
      </c>
      <c r="AB26" s="64"/>
      <c r="AC26" s="51"/>
      <c r="AD26" s="55">
        <f t="shared" si="1"/>
        <v>221.4</v>
      </c>
      <c r="AE26" s="56">
        <f t="shared" si="14"/>
        <v>-422.92167099999995</v>
      </c>
      <c r="AF26" s="55"/>
      <c r="AG26" s="57">
        <f t="shared" si="2"/>
        <v>3690</v>
      </c>
      <c r="AH26" s="58">
        <f t="shared" si="3"/>
        <v>672</v>
      </c>
      <c r="AI26" s="58">
        <f t="shared" si="4"/>
        <v>885.6</v>
      </c>
      <c r="AJ26" s="58">
        <f t="shared" si="5"/>
        <v>56</v>
      </c>
      <c r="AK26" s="58">
        <f t="shared" si="15"/>
        <v>2277.9216710000001</v>
      </c>
      <c r="AL26" s="58">
        <f t="array" ref="AL26">_xlfn.IFS(R26=0,AE26,R26&lt;0,AE26/-R26,R26&gt;0,AE26/R26)</f>
        <v>-422.92167099999995</v>
      </c>
      <c r="AM26" s="59">
        <f t="shared" si="6"/>
        <v>-0.11461291897018969</v>
      </c>
      <c r="AN26" s="60">
        <f t="shared" si="7"/>
        <v>-0.62934772470238087</v>
      </c>
      <c r="AP26" s="62">
        <f t="shared" si="8"/>
        <v>-6766.7467359999991</v>
      </c>
    </row>
    <row r="27" spans="1:52">
      <c r="A27" s="39">
        <v>2774708622</v>
      </c>
      <c r="B27" s="40" t="s">
        <v>43</v>
      </c>
      <c r="C27" s="41">
        <v>16</v>
      </c>
      <c r="D27" s="42"/>
      <c r="E27" s="42"/>
      <c r="F27" s="42"/>
      <c r="G27" s="43"/>
      <c r="H27" s="65">
        <v>627</v>
      </c>
      <c r="I27" s="63">
        <f t="shared" si="16"/>
        <v>10032</v>
      </c>
      <c r="J27" s="45"/>
      <c r="K27" s="41">
        <v>3</v>
      </c>
      <c r="L27" s="45"/>
      <c r="M27" s="45"/>
      <c r="N27" s="46">
        <f t="shared" si="9"/>
        <v>0.42857142857142855</v>
      </c>
      <c r="O27" s="47">
        <f t="shared" si="17"/>
        <v>0.2857142857142857</v>
      </c>
      <c r="P27" s="48">
        <f>SUMIFS('Отчет 06-12.10'!H:H,'Отчет 06-12.10'!D:D,"Выручка",'Отчет 06-12.10'!E:E,B27)</f>
        <v>1</v>
      </c>
      <c r="Q27" s="48">
        <f>SUMIFS('Отчет 06-12.10'!H:H,'Отчет 06-12.10'!D:D,"Возврат выручки",'Отчет 06-12.10'!E:E,B27)</f>
        <v>1</v>
      </c>
      <c r="R27" s="49">
        <f t="shared" si="10"/>
        <v>2</v>
      </c>
      <c r="S27" s="50">
        <f>SUMIFS('Отчет 06-12.10'!O:O,'Отчет 06-12.10'!C:C,"Продажи",'Отчет 06-12.10'!E:E,B27)</f>
        <v>3690</v>
      </c>
      <c r="T27" s="51">
        <f>SUMIFS('Отчет 06-12.10'!O:O,'Отчет 06-12.10'!C:C,"Возвраты",'Отчет 06-12.10'!E:E,B27)</f>
        <v>-3690</v>
      </c>
      <c r="U27" s="49">
        <f t="shared" si="11"/>
        <v>0</v>
      </c>
      <c r="V27" s="52">
        <f t="shared" si="20"/>
        <v>0</v>
      </c>
      <c r="W27" s="53">
        <f t="shared" si="12"/>
        <v>1254</v>
      </c>
      <c r="X27" s="51">
        <f>-SUMIFS('Отчет 06-12.10'!O:O,'Отчет 06-12.10'!C:C,"Вознаграждение Ozon",'Отчет 06-12.10'!E:E,B27)</f>
        <v>0</v>
      </c>
      <c r="Y27" s="54">
        <f t="shared" si="13"/>
        <v>0</v>
      </c>
      <c r="Z27" s="51">
        <f>-SUMIFS('Отчет 06-12.10'!O:O,'Отчет 06-12.10'!C:C,"Услуги доставки",'Отчет 06-12.10'!E:E,B27)</f>
        <v>280</v>
      </c>
      <c r="AA27" s="41">
        <v>4790.69913</v>
      </c>
      <c r="AB27" s="64"/>
      <c r="AC27" s="51"/>
      <c r="AD27" s="55">
        <f t="shared" si="1"/>
        <v>0</v>
      </c>
      <c r="AE27" s="56">
        <f t="shared" si="14"/>
        <v>-6324.69913</v>
      </c>
      <c r="AF27" s="55"/>
      <c r="AG27" s="57">
        <f t="shared" si="2"/>
        <v>0</v>
      </c>
      <c r="AH27" s="58">
        <f t="shared" si="3"/>
        <v>627</v>
      </c>
      <c r="AI27" s="58">
        <f t="shared" si="4"/>
        <v>0</v>
      </c>
      <c r="AJ27" s="58">
        <f t="shared" si="5"/>
        <v>280</v>
      </c>
      <c r="AK27" s="58">
        <f t="shared" si="15"/>
        <v>4790.69913</v>
      </c>
      <c r="AL27" s="58">
        <f t="array" ref="AL27">_xlfn.IFS(R27=0,AE27,R27&lt;0,AE27/-R27,R27&gt;0,AE27/R27)</f>
        <v>-3162.349565</v>
      </c>
      <c r="AM27" s="59">
        <f t="shared" si="6"/>
        <v>0</v>
      </c>
      <c r="AN27" s="60">
        <f t="shared" si="7"/>
        <v>-5.0436197208931421</v>
      </c>
      <c r="AP27" s="62">
        <f t="shared" si="8"/>
        <v>-50597.59304</v>
      </c>
    </row>
    <row r="28" spans="1:52">
      <c r="A28" s="39">
        <v>2774709606</v>
      </c>
      <c r="B28" s="40" t="s">
        <v>235</v>
      </c>
      <c r="C28" s="41">
        <v>20</v>
      </c>
      <c r="D28" s="42"/>
      <c r="E28" s="42"/>
      <c r="F28" s="42"/>
      <c r="G28" s="43"/>
      <c r="H28" s="65">
        <v>627</v>
      </c>
      <c r="I28" s="63">
        <f t="shared" si="16"/>
        <v>12540</v>
      </c>
      <c r="J28" s="45"/>
      <c r="K28" s="41">
        <v>0</v>
      </c>
      <c r="L28" s="45"/>
      <c r="M28" s="45"/>
      <c r="N28" s="46">
        <f t="shared" si="9"/>
        <v>0</v>
      </c>
      <c r="O28" s="47">
        <f t="shared" si="17"/>
        <v>0</v>
      </c>
      <c r="P28" s="48">
        <f>SUMIFS('Отчет 06-12.10'!H:H,'Отчет 06-12.10'!D:D,"Выручка",'Отчет 06-12.10'!E:E,B28)</f>
        <v>0</v>
      </c>
      <c r="Q28" s="48">
        <f>SUMIFS('Отчет 06-12.10'!H:H,'Отчет 06-12.10'!D:D,"Возврат выручки",'Отчет 06-12.10'!E:E,B28)</f>
        <v>0</v>
      </c>
      <c r="R28" s="49">
        <f t="shared" si="10"/>
        <v>0</v>
      </c>
      <c r="S28" s="50">
        <f>SUMIFS('Отчет 06-12.10'!O:O,'Отчет 06-12.10'!C:C,"Продажи",'Отчет 06-12.10'!E:E,B28)</f>
        <v>0</v>
      </c>
      <c r="T28" s="51">
        <f>SUMIFS('Отчет 06-12.10'!O:O,'Отчет 06-12.10'!C:C,"Возвраты",'Отчет 06-12.10'!E:E,B28)</f>
        <v>0</v>
      </c>
      <c r="U28" s="49">
        <f t="shared" si="11"/>
        <v>0</v>
      </c>
      <c r="V28" s="52">
        <f t="shared" si="20"/>
        <v>0</v>
      </c>
      <c r="W28" s="53">
        <f t="shared" si="12"/>
        <v>0</v>
      </c>
      <c r="X28" s="51">
        <f>-SUMIFS('Отчет 06-12.10'!O:O,'Отчет 06-12.10'!C:C,"Вознаграждение Ozon",'Отчет 06-12.10'!E:E,B28)</f>
        <v>0</v>
      </c>
      <c r="Y28" s="54">
        <f t="shared" si="13"/>
        <v>0</v>
      </c>
      <c r="Z28" s="51">
        <f>-SUMIFS('Отчет 06-12.10'!O:O,'Отчет 06-12.10'!C:C,"Услуги доставки",'Отчет 06-12.10'!E:E,B28)</f>
        <v>0</v>
      </c>
      <c r="AA28" s="41">
        <v>0</v>
      </c>
      <c r="AB28" s="64"/>
      <c r="AC28" s="51"/>
      <c r="AD28" s="55">
        <f t="shared" si="1"/>
        <v>0</v>
      </c>
      <c r="AE28" s="56">
        <f t="shared" si="14"/>
        <v>0</v>
      </c>
      <c r="AF28" s="55"/>
      <c r="AG28" s="57">
        <f t="shared" si="2"/>
        <v>0</v>
      </c>
      <c r="AH28" s="58">
        <f t="shared" si="3"/>
        <v>627</v>
      </c>
      <c r="AI28" s="58">
        <f t="shared" si="4"/>
        <v>0</v>
      </c>
      <c r="AJ28" s="58">
        <f t="shared" si="5"/>
        <v>0</v>
      </c>
      <c r="AK28" s="58">
        <f t="shared" si="15"/>
        <v>0</v>
      </c>
      <c r="AL28" s="58">
        <f t="array" ref="AL28">_xlfn.IFS(R28=0,AE28,R28&lt;0,AE28/-R28,R28&gt;0,AE28/R28)</f>
        <v>0</v>
      </c>
      <c r="AM28" s="59">
        <f t="shared" si="6"/>
        <v>0</v>
      </c>
      <c r="AN28" s="60">
        <f t="shared" si="7"/>
        <v>0</v>
      </c>
      <c r="AP28" s="62">
        <f t="shared" si="8"/>
        <v>0</v>
      </c>
    </row>
    <row r="29" spans="1:52">
      <c r="A29" s="39">
        <v>2774720465</v>
      </c>
      <c r="B29" s="40" t="s">
        <v>171</v>
      </c>
      <c r="C29" s="41">
        <v>18</v>
      </c>
      <c r="D29" s="42"/>
      <c r="E29" s="42"/>
      <c r="F29" s="42"/>
      <c r="G29" s="43"/>
      <c r="H29" s="65">
        <v>567</v>
      </c>
      <c r="I29" s="63">
        <f t="shared" si="16"/>
        <v>10206</v>
      </c>
      <c r="J29" s="45"/>
      <c r="K29" s="41">
        <v>1</v>
      </c>
      <c r="L29" s="45"/>
      <c r="M29" s="45"/>
      <c r="N29" s="46">
        <f t="shared" si="9"/>
        <v>0.14285714285714285</v>
      </c>
      <c r="O29" s="47">
        <f t="shared" si="17"/>
        <v>0</v>
      </c>
      <c r="P29" s="48">
        <f>SUMIFS('Отчет 06-12.10'!H:H,'Отчет 06-12.10'!D:D,"Выручка",'Отчет 06-12.10'!E:E,B29)</f>
        <v>0</v>
      </c>
      <c r="Q29" s="48">
        <f>SUMIFS('Отчет 06-12.10'!H:H,'Отчет 06-12.10'!D:D,"Возврат выручки",'Отчет 06-12.10'!E:E,B29)</f>
        <v>0</v>
      </c>
      <c r="R29" s="49">
        <f t="shared" si="10"/>
        <v>0</v>
      </c>
      <c r="S29" s="50">
        <f>SUMIFS('Отчет 06-12.10'!O:O,'Отчет 06-12.10'!C:C,"Продажи",'Отчет 06-12.10'!E:E,B29)</f>
        <v>0</v>
      </c>
      <c r="T29" s="51">
        <f>SUMIFS('Отчет 06-12.10'!O:O,'Отчет 06-12.10'!C:C,"Возвраты",'Отчет 06-12.10'!E:E,B29)</f>
        <v>0</v>
      </c>
      <c r="U29" s="49">
        <f t="shared" si="11"/>
        <v>0</v>
      </c>
      <c r="V29" s="52">
        <f t="shared" si="20"/>
        <v>0</v>
      </c>
      <c r="W29" s="53">
        <f t="shared" si="12"/>
        <v>0</v>
      </c>
      <c r="X29" s="51">
        <f>-SUMIFS('Отчет 06-12.10'!O:O,'Отчет 06-12.10'!C:C,"Вознаграждение Ozon",'Отчет 06-12.10'!E:E,B29)</f>
        <v>0</v>
      </c>
      <c r="Y29" s="54">
        <f t="shared" si="13"/>
        <v>0</v>
      </c>
      <c r="Z29" s="51">
        <f>-SUMIFS('Отчет 06-12.10'!O:O,'Отчет 06-12.10'!C:C,"Услуги доставки",'Отчет 06-12.10'!E:E,B29)</f>
        <v>112</v>
      </c>
      <c r="AA29" s="41">
        <v>0</v>
      </c>
      <c r="AB29" s="64"/>
      <c r="AC29" s="51"/>
      <c r="AD29" s="55">
        <f t="shared" si="1"/>
        <v>0</v>
      </c>
      <c r="AE29" s="56">
        <f t="shared" si="14"/>
        <v>-112</v>
      </c>
      <c r="AF29" s="55"/>
      <c r="AG29" s="57">
        <f t="shared" si="2"/>
        <v>0</v>
      </c>
      <c r="AH29" s="58">
        <f t="shared" si="3"/>
        <v>567</v>
      </c>
      <c r="AI29" s="58">
        <f t="shared" si="4"/>
        <v>0</v>
      </c>
      <c r="AJ29" s="58">
        <f t="shared" si="5"/>
        <v>112</v>
      </c>
      <c r="AK29" s="58">
        <f t="shared" si="15"/>
        <v>0</v>
      </c>
      <c r="AL29" s="58">
        <f t="array" ref="AL29">_xlfn.IFS(R29=0,AE29,R29&lt;0,AE29/-R29,R29&gt;0,AE29/R29)</f>
        <v>-112</v>
      </c>
      <c r="AM29" s="59">
        <f t="shared" si="6"/>
        <v>0</v>
      </c>
      <c r="AN29" s="60">
        <f t="shared" si="7"/>
        <v>-0.19753086419753085</v>
      </c>
      <c r="AP29" s="62">
        <f t="shared" si="8"/>
        <v>-2016</v>
      </c>
    </row>
    <row r="30" spans="1:52">
      <c r="A30" s="39">
        <v>2774718470</v>
      </c>
      <c r="B30" s="40" t="s">
        <v>39</v>
      </c>
      <c r="C30" s="41">
        <v>19</v>
      </c>
      <c r="D30" s="42"/>
      <c r="E30" s="42"/>
      <c r="F30" s="42"/>
      <c r="G30" s="43"/>
      <c r="H30" s="65">
        <v>567</v>
      </c>
      <c r="I30" s="63">
        <f t="shared" si="16"/>
        <v>10773</v>
      </c>
      <c r="J30" s="45"/>
      <c r="K30" s="41">
        <v>0</v>
      </c>
      <c r="L30" s="45"/>
      <c r="M30" s="45"/>
      <c r="N30" s="46">
        <f t="shared" si="9"/>
        <v>0</v>
      </c>
      <c r="O30" s="47">
        <f t="shared" si="17"/>
        <v>0</v>
      </c>
      <c r="P30" s="48">
        <f>SUMIFS('Отчет 06-12.10'!H:H,'Отчет 06-12.10'!D:D,"Выручка",'Отчет 06-12.10'!E:E,B30)</f>
        <v>0</v>
      </c>
      <c r="Q30" s="48">
        <f>SUMIFS('Отчет 06-12.10'!H:H,'Отчет 06-12.10'!D:D,"Возврат выручки",'Отчет 06-12.10'!E:E,B30)</f>
        <v>0</v>
      </c>
      <c r="R30" s="49">
        <f t="shared" si="10"/>
        <v>0</v>
      </c>
      <c r="S30" s="50">
        <f>SUMIFS('Отчет 06-12.10'!O:O,'Отчет 06-12.10'!C:C,"Продажи",'Отчет 06-12.10'!E:E,B30)</f>
        <v>0</v>
      </c>
      <c r="T30" s="51">
        <f>SUMIFS('Отчет 06-12.10'!O:O,'Отчет 06-12.10'!C:C,"Возвраты",'Отчет 06-12.10'!E:E,B30)</f>
        <v>0</v>
      </c>
      <c r="U30" s="49">
        <f t="shared" si="11"/>
        <v>0</v>
      </c>
      <c r="V30" s="52">
        <f t="shared" si="20"/>
        <v>0</v>
      </c>
      <c r="W30" s="53">
        <f t="shared" si="12"/>
        <v>0</v>
      </c>
      <c r="X30" s="51">
        <f>-SUMIFS('Отчет 06-12.10'!O:O,'Отчет 06-12.10'!C:C,"Вознаграждение Ozon",'Отчет 06-12.10'!E:E,B30)</f>
        <v>0</v>
      </c>
      <c r="Y30" s="54">
        <f t="shared" si="13"/>
        <v>0</v>
      </c>
      <c r="Z30" s="51">
        <f>-SUMIFS('Отчет 06-12.10'!O:O,'Отчет 06-12.10'!C:C,"Услуги доставки",'Отчет 06-12.10'!E:E,B30)</f>
        <v>112</v>
      </c>
      <c r="AA30" s="41">
        <v>0</v>
      </c>
      <c r="AB30" s="64"/>
      <c r="AC30" s="51"/>
      <c r="AD30" s="55">
        <f t="shared" si="1"/>
        <v>0</v>
      </c>
      <c r="AE30" s="56">
        <f t="shared" si="14"/>
        <v>-112</v>
      </c>
      <c r="AF30" s="55"/>
      <c r="AG30" s="57">
        <f t="shared" si="2"/>
        <v>0</v>
      </c>
      <c r="AH30" s="58">
        <f t="shared" si="3"/>
        <v>567</v>
      </c>
      <c r="AI30" s="58">
        <f t="shared" si="4"/>
        <v>0</v>
      </c>
      <c r="AJ30" s="58">
        <f t="shared" si="5"/>
        <v>112</v>
      </c>
      <c r="AK30" s="58">
        <f t="shared" si="15"/>
        <v>0</v>
      </c>
      <c r="AL30" s="58">
        <f t="array" ref="AL30">_xlfn.IFS(R30=0,AE30,R30&lt;0,AE30/-R30,R30&gt;0,AE30/R30)</f>
        <v>-112</v>
      </c>
      <c r="AM30" s="59">
        <f t="shared" si="6"/>
        <v>0</v>
      </c>
      <c r="AN30" s="60">
        <f t="shared" si="7"/>
        <v>-0.19753086419753085</v>
      </c>
      <c r="AP30" s="62">
        <f t="shared" si="8"/>
        <v>-2128</v>
      </c>
    </row>
    <row r="31" spans="1:52">
      <c r="A31" s="39">
        <v>2774719022</v>
      </c>
      <c r="B31" s="40" t="s">
        <v>236</v>
      </c>
      <c r="C31" s="41">
        <v>19</v>
      </c>
      <c r="D31" s="42"/>
      <c r="E31" s="42"/>
      <c r="F31" s="42"/>
      <c r="G31" s="43"/>
      <c r="H31" s="65">
        <v>657</v>
      </c>
      <c r="I31" s="63">
        <f t="shared" si="16"/>
        <v>12483</v>
      </c>
      <c r="J31" s="45"/>
      <c r="K31" s="41">
        <v>0</v>
      </c>
      <c r="L31" s="45"/>
      <c r="M31" s="45"/>
      <c r="N31" s="46">
        <f t="shared" si="9"/>
        <v>0</v>
      </c>
      <c r="O31" s="47">
        <f t="shared" si="17"/>
        <v>0</v>
      </c>
      <c r="P31" s="48">
        <f>SUMIFS('Отчет 06-12.10'!H:H,'Отчет 06-12.10'!D:D,"Выручка",'Отчет 06-12.10'!E:E,B31)</f>
        <v>0</v>
      </c>
      <c r="Q31" s="48">
        <f>SUMIFS('Отчет 06-12.10'!H:H,'Отчет 06-12.10'!D:D,"Возврат выручки",'Отчет 06-12.10'!E:E,B31)</f>
        <v>0</v>
      </c>
      <c r="R31" s="49">
        <f t="shared" si="10"/>
        <v>0</v>
      </c>
      <c r="S31" s="50">
        <f>SUMIFS('Отчет 06-12.10'!O:O,'Отчет 06-12.10'!C:C,"Продажи",'Отчет 06-12.10'!E:E,B31)</f>
        <v>0</v>
      </c>
      <c r="T31" s="51">
        <f>SUMIFS('Отчет 06-12.10'!O:O,'Отчет 06-12.10'!C:C,"Возвраты",'Отчет 06-12.10'!E:E,B31)</f>
        <v>0</v>
      </c>
      <c r="U31" s="49">
        <f t="shared" si="11"/>
        <v>0</v>
      </c>
      <c r="V31" s="52">
        <f t="shared" si="20"/>
        <v>0</v>
      </c>
      <c r="W31" s="53">
        <f t="shared" si="12"/>
        <v>0</v>
      </c>
      <c r="X31" s="51">
        <f>-SUMIFS('Отчет 06-12.10'!O:O,'Отчет 06-12.10'!C:C,"Вознаграждение Ozon",'Отчет 06-12.10'!E:E,B31)</f>
        <v>0</v>
      </c>
      <c r="Y31" s="54">
        <f t="shared" si="13"/>
        <v>0</v>
      </c>
      <c r="Z31" s="51">
        <f>-SUMIFS('Отчет 06-12.10'!O:O,'Отчет 06-12.10'!C:C,"Услуги доставки",'Отчет 06-12.10'!E:E,B31)</f>
        <v>0</v>
      </c>
      <c r="AA31" s="41">
        <v>0</v>
      </c>
      <c r="AB31" s="64"/>
      <c r="AC31" s="51"/>
      <c r="AD31" s="55">
        <f t="shared" si="1"/>
        <v>0</v>
      </c>
      <c r="AE31" s="56">
        <f t="shared" si="14"/>
        <v>0</v>
      </c>
      <c r="AF31" s="55"/>
      <c r="AG31" s="57">
        <f t="shared" si="2"/>
        <v>0</v>
      </c>
      <c r="AH31" s="58">
        <f t="shared" si="3"/>
        <v>657</v>
      </c>
      <c r="AI31" s="58">
        <f t="shared" si="4"/>
        <v>0</v>
      </c>
      <c r="AJ31" s="58">
        <f t="shared" si="5"/>
        <v>0</v>
      </c>
      <c r="AK31" s="58">
        <f t="shared" si="15"/>
        <v>0</v>
      </c>
      <c r="AL31" s="58">
        <f t="array" ref="AL31">_xlfn.IFS(R31=0,AE31,R31&lt;0,AE31/-R31,R31&gt;0,AE31/R31)</f>
        <v>0</v>
      </c>
      <c r="AM31" s="59">
        <f t="shared" si="6"/>
        <v>0</v>
      </c>
      <c r="AN31" s="60">
        <f t="shared" si="7"/>
        <v>0</v>
      </c>
      <c r="AP31" s="62">
        <f t="shared" si="8"/>
        <v>0</v>
      </c>
    </row>
    <row r="32" spans="1:52">
      <c r="A32" s="39">
        <v>2774719501</v>
      </c>
      <c r="B32" s="40" t="s">
        <v>237</v>
      </c>
      <c r="C32" s="41">
        <v>19</v>
      </c>
      <c r="D32" s="42"/>
      <c r="E32" s="42"/>
      <c r="F32" s="42"/>
      <c r="G32" s="43"/>
      <c r="H32" s="65">
        <v>597</v>
      </c>
      <c r="I32" s="63">
        <f t="shared" si="16"/>
        <v>11343</v>
      </c>
      <c r="J32" s="45"/>
      <c r="K32" s="41">
        <v>1</v>
      </c>
      <c r="L32" s="45"/>
      <c r="M32" s="45"/>
      <c r="N32" s="46">
        <f t="shared" si="9"/>
        <v>0.14285714285714285</v>
      </c>
      <c r="O32" s="47">
        <f t="shared" si="17"/>
        <v>0</v>
      </c>
      <c r="P32" s="48">
        <f>SUMIFS('Отчет 06-12.10'!H:H,'Отчет 06-12.10'!D:D,"Выручка",'Отчет 06-12.10'!E:E,B32)</f>
        <v>0</v>
      </c>
      <c r="Q32" s="48">
        <f>SUMIFS('Отчет 06-12.10'!H:H,'Отчет 06-12.10'!D:D,"Возврат выручки",'Отчет 06-12.10'!E:E,B32)</f>
        <v>0</v>
      </c>
      <c r="R32" s="49">
        <f t="shared" si="10"/>
        <v>0</v>
      </c>
      <c r="S32" s="50">
        <f>SUMIFS('Отчет 06-12.10'!O:O,'Отчет 06-12.10'!C:C,"Продажи",'Отчет 06-12.10'!E:E,B32)</f>
        <v>0</v>
      </c>
      <c r="T32" s="51">
        <f>SUMIFS('Отчет 06-12.10'!O:O,'Отчет 06-12.10'!C:C,"Возвраты",'Отчет 06-12.10'!E:E,B32)</f>
        <v>0</v>
      </c>
      <c r="U32" s="49">
        <f t="shared" si="11"/>
        <v>0</v>
      </c>
      <c r="V32" s="52">
        <f t="shared" si="20"/>
        <v>0</v>
      </c>
      <c r="W32" s="53">
        <f t="shared" si="12"/>
        <v>0</v>
      </c>
      <c r="X32" s="51">
        <f>-SUMIFS('Отчет 06-12.10'!O:O,'Отчет 06-12.10'!C:C,"Вознаграждение Ozon",'Отчет 06-12.10'!E:E,B32)</f>
        <v>0</v>
      </c>
      <c r="Y32" s="54">
        <f t="shared" si="13"/>
        <v>0</v>
      </c>
      <c r="Z32" s="51">
        <f>-SUMIFS('Отчет 06-12.10'!O:O,'Отчет 06-12.10'!C:C,"Услуги доставки",'Отчет 06-12.10'!E:E,B32)</f>
        <v>0</v>
      </c>
      <c r="AA32" s="41">
        <v>0</v>
      </c>
      <c r="AB32" s="64"/>
      <c r="AC32" s="51"/>
      <c r="AD32" s="55">
        <f t="shared" si="1"/>
        <v>0</v>
      </c>
      <c r="AE32" s="56">
        <f t="shared" si="14"/>
        <v>0</v>
      </c>
      <c r="AF32" s="55"/>
      <c r="AG32" s="57">
        <f t="shared" si="2"/>
        <v>0</v>
      </c>
      <c r="AH32" s="58">
        <f t="shared" si="3"/>
        <v>597</v>
      </c>
      <c r="AI32" s="58">
        <f t="shared" si="4"/>
        <v>0</v>
      </c>
      <c r="AJ32" s="58">
        <f t="shared" si="5"/>
        <v>0</v>
      </c>
      <c r="AK32" s="58">
        <f t="shared" si="15"/>
        <v>0</v>
      </c>
      <c r="AL32" s="58">
        <f t="array" ref="AL32">_xlfn.IFS(R32=0,AE32,R32&lt;0,AE32/-R32,R32&gt;0,AE32/R32)</f>
        <v>0</v>
      </c>
      <c r="AM32" s="59">
        <f t="shared" si="6"/>
        <v>0</v>
      </c>
      <c r="AN32" s="60">
        <f t="shared" si="7"/>
        <v>0</v>
      </c>
      <c r="AP32" s="62">
        <f t="shared" si="8"/>
        <v>0</v>
      </c>
    </row>
    <row r="33" spans="1:42">
      <c r="A33" s="39">
        <v>2774714412</v>
      </c>
      <c r="B33" s="40" t="s">
        <v>142</v>
      </c>
      <c r="C33" s="41">
        <v>18</v>
      </c>
      <c r="D33" s="42"/>
      <c r="E33" s="42"/>
      <c r="F33" s="42"/>
      <c r="G33" s="43"/>
      <c r="H33" s="65">
        <v>552</v>
      </c>
      <c r="I33" s="63">
        <f t="shared" si="16"/>
        <v>9936</v>
      </c>
      <c r="J33" s="45"/>
      <c r="K33" s="41">
        <v>1</v>
      </c>
      <c r="L33" s="45"/>
      <c r="M33" s="45"/>
      <c r="N33" s="46">
        <f t="shared" si="9"/>
        <v>0.14285714285714285</v>
      </c>
      <c r="O33" s="47">
        <f t="shared" si="17"/>
        <v>0.14285714285714285</v>
      </c>
      <c r="P33" s="48">
        <f>SUMIFS('Отчет 06-12.10'!H:H,'Отчет 06-12.10'!D:D,"Выручка",'Отчет 06-12.10'!E:E,B33)</f>
        <v>1</v>
      </c>
      <c r="Q33" s="48">
        <f>SUMIFS('Отчет 06-12.10'!H:H,'Отчет 06-12.10'!D:D,"Возврат выручки",'Отчет 06-12.10'!E:E,B33)</f>
        <v>0</v>
      </c>
      <c r="R33" s="49">
        <f t="shared" si="10"/>
        <v>1</v>
      </c>
      <c r="S33" s="50">
        <f>SUMIFS('Отчет 06-12.10'!O:O,'Отчет 06-12.10'!C:C,"Продажи",'Отчет 06-12.10'!E:E,B33)</f>
        <v>3300</v>
      </c>
      <c r="T33" s="51">
        <f>SUMIFS('Отчет 06-12.10'!O:O,'Отчет 06-12.10'!C:C,"Возвраты",'Отчет 06-12.10'!E:E,B33)</f>
        <v>0</v>
      </c>
      <c r="U33" s="49">
        <f t="shared" si="11"/>
        <v>3300</v>
      </c>
      <c r="V33" s="52">
        <f t="shared" si="20"/>
        <v>4.8585141780277376E-2</v>
      </c>
      <c r="W33" s="53">
        <f t="shared" si="12"/>
        <v>552</v>
      </c>
      <c r="X33" s="51">
        <f>-SUMIFS('Отчет 06-12.10'!O:O,'Отчет 06-12.10'!C:C,"Вознаграждение Ozon",'Отчет 06-12.10'!E:E,B33)</f>
        <v>792</v>
      </c>
      <c r="Y33" s="54">
        <f t="shared" si="13"/>
        <v>0.24</v>
      </c>
      <c r="Z33" s="51">
        <f>-SUMIFS('Отчет 06-12.10'!O:O,'Отчет 06-12.10'!C:C,"Услуги доставки",'Отчет 06-12.10'!E:E,B33)</f>
        <v>56</v>
      </c>
      <c r="AA33" s="41">
        <v>0</v>
      </c>
      <c r="AB33" s="64"/>
      <c r="AC33" s="51"/>
      <c r="AD33" s="55">
        <f t="shared" si="1"/>
        <v>198</v>
      </c>
      <c r="AE33" s="56">
        <f t="shared" si="14"/>
        <v>1702</v>
      </c>
      <c r="AF33" s="55"/>
      <c r="AG33" s="57">
        <f t="shared" si="2"/>
        <v>3300</v>
      </c>
      <c r="AH33" s="58">
        <f t="shared" si="3"/>
        <v>552</v>
      </c>
      <c r="AI33" s="58">
        <f t="shared" si="4"/>
        <v>792</v>
      </c>
      <c r="AJ33" s="58">
        <f t="shared" si="5"/>
        <v>56</v>
      </c>
      <c r="AK33" s="58">
        <f t="shared" si="15"/>
        <v>0</v>
      </c>
      <c r="AL33" s="58">
        <f t="array" ref="AL33">_xlfn.IFS(R33=0,AE33,R33&lt;0,AE33/-R33,R33&gt;0,AE33/R33)</f>
        <v>1702</v>
      </c>
      <c r="AM33" s="59">
        <f t="shared" si="6"/>
        <v>0.51575757575757575</v>
      </c>
      <c r="AN33" s="60">
        <f t="shared" si="7"/>
        <v>3.0833333333333335</v>
      </c>
      <c r="AP33" s="62">
        <f t="shared" si="8"/>
        <v>30636</v>
      </c>
    </row>
    <row r="34" spans="1:42">
      <c r="A34" s="39">
        <v>2774710430</v>
      </c>
      <c r="B34" s="40" t="s">
        <v>238</v>
      </c>
      <c r="C34" s="41">
        <v>19</v>
      </c>
      <c r="D34" s="42"/>
      <c r="E34" s="42"/>
      <c r="F34" s="42"/>
      <c r="G34" s="43"/>
      <c r="H34" s="65">
        <v>552</v>
      </c>
      <c r="I34" s="63">
        <f t="shared" si="16"/>
        <v>10488</v>
      </c>
      <c r="J34" s="45"/>
      <c r="K34" s="41">
        <v>0</v>
      </c>
      <c r="L34" s="45"/>
      <c r="M34" s="45"/>
      <c r="N34" s="46">
        <f t="shared" si="9"/>
        <v>0</v>
      </c>
      <c r="O34" s="47">
        <f t="shared" si="17"/>
        <v>0</v>
      </c>
      <c r="P34" s="48">
        <f>SUMIFS('Отчет 06-12.10'!H:H,'Отчет 06-12.10'!D:D,"Выручка",'Отчет 06-12.10'!E:E,B34)</f>
        <v>0</v>
      </c>
      <c r="Q34" s="48">
        <f>SUMIFS('Отчет 06-12.10'!H:H,'Отчет 06-12.10'!D:D,"Возврат выручки",'Отчет 06-12.10'!E:E,B34)</f>
        <v>0</v>
      </c>
      <c r="R34" s="49">
        <f t="shared" si="10"/>
        <v>0</v>
      </c>
      <c r="S34" s="50">
        <f>SUMIFS('Отчет 06-12.10'!O:O,'Отчет 06-12.10'!C:C,"Продажи",'Отчет 06-12.10'!E:E,B34)</f>
        <v>0</v>
      </c>
      <c r="T34" s="51">
        <f>SUMIFS('Отчет 06-12.10'!O:O,'Отчет 06-12.10'!C:C,"Возвраты",'Отчет 06-12.10'!E:E,B34)</f>
        <v>0</v>
      </c>
      <c r="U34" s="49">
        <f t="shared" si="11"/>
        <v>0</v>
      </c>
      <c r="V34" s="52">
        <f t="shared" si="20"/>
        <v>0</v>
      </c>
      <c r="W34" s="53">
        <f t="shared" si="12"/>
        <v>0</v>
      </c>
      <c r="X34" s="51">
        <f>-SUMIFS('Отчет 06-12.10'!O:O,'Отчет 06-12.10'!C:C,"Вознаграждение Ozon",'Отчет 06-12.10'!E:E,B34)</f>
        <v>0</v>
      </c>
      <c r="Y34" s="54">
        <f t="shared" si="13"/>
        <v>0</v>
      </c>
      <c r="Z34" s="51">
        <f>-SUMIFS('Отчет 06-12.10'!O:O,'Отчет 06-12.10'!C:C,"Услуги доставки",'Отчет 06-12.10'!E:E,B34)</f>
        <v>0</v>
      </c>
      <c r="AA34" s="41">
        <v>0</v>
      </c>
      <c r="AB34" s="64"/>
      <c r="AC34" s="51"/>
      <c r="AD34" s="55">
        <f t="shared" si="1"/>
        <v>0</v>
      </c>
      <c r="AE34" s="56">
        <f t="shared" si="14"/>
        <v>0</v>
      </c>
      <c r="AF34" s="55"/>
      <c r="AG34" s="57">
        <f t="shared" si="2"/>
        <v>0</v>
      </c>
      <c r="AH34" s="58">
        <f t="shared" si="3"/>
        <v>552</v>
      </c>
      <c r="AI34" s="58">
        <f t="shared" si="4"/>
        <v>0</v>
      </c>
      <c r="AJ34" s="58">
        <f t="shared" si="5"/>
        <v>0</v>
      </c>
      <c r="AK34" s="58">
        <f t="shared" si="15"/>
        <v>0</v>
      </c>
      <c r="AL34" s="58">
        <f t="array" ref="AL34">_xlfn.IFS(R34=0,AE34,R34&lt;0,AE34/-R34,R34&gt;0,AE34/R34)</f>
        <v>0</v>
      </c>
      <c r="AM34" s="59">
        <f t="shared" si="6"/>
        <v>0</v>
      </c>
      <c r="AN34" s="60">
        <f t="shared" si="7"/>
        <v>0</v>
      </c>
      <c r="AP34" s="62">
        <f t="shared" si="8"/>
        <v>0</v>
      </c>
    </row>
    <row r="35" spans="1:42">
      <c r="A35" s="39">
        <v>2774712116</v>
      </c>
      <c r="B35" s="40" t="s">
        <v>62</v>
      </c>
      <c r="C35" s="41">
        <v>10</v>
      </c>
      <c r="D35" s="42"/>
      <c r="E35" s="42"/>
      <c r="F35" s="42"/>
      <c r="G35" s="43"/>
      <c r="H35" s="65">
        <v>687</v>
      </c>
      <c r="I35" s="63">
        <f t="shared" si="16"/>
        <v>6870</v>
      </c>
      <c r="J35" s="45"/>
      <c r="K35" s="41">
        <v>7</v>
      </c>
      <c r="L35" s="45"/>
      <c r="M35" s="45"/>
      <c r="N35" s="46">
        <f t="shared" si="9"/>
        <v>1</v>
      </c>
      <c r="O35" s="47">
        <f t="shared" si="17"/>
        <v>0.2857142857142857</v>
      </c>
      <c r="P35" s="48">
        <f>SUMIFS('Отчет 06-12.10'!H:H,'Отчет 06-12.10'!D:D,"Выручка",'Отчет 06-12.10'!E:E,B35)</f>
        <v>2</v>
      </c>
      <c r="Q35" s="48">
        <f>SUMIFS('Отчет 06-12.10'!H:H,'Отчет 06-12.10'!D:D,"Возврат выручки",'Отчет 06-12.10'!E:E,B35)</f>
        <v>0</v>
      </c>
      <c r="R35" s="49">
        <f t="shared" si="10"/>
        <v>2</v>
      </c>
      <c r="S35" s="50">
        <f>SUMIFS('Отчет 06-12.10'!O:O,'Отчет 06-12.10'!C:C,"Продажи",'Отчет 06-12.10'!E:E,B35)</f>
        <v>7380</v>
      </c>
      <c r="T35" s="51">
        <f>SUMIFS('Отчет 06-12.10'!O:O,'Отчет 06-12.10'!C:C,"Возвраты",'Отчет 06-12.10'!E:E,B35)</f>
        <v>0</v>
      </c>
      <c r="U35" s="49">
        <f t="shared" si="11"/>
        <v>7380</v>
      </c>
      <c r="V35" s="52">
        <f t="shared" si="20"/>
        <v>0.10865404434498395</v>
      </c>
      <c r="W35" s="53">
        <f t="shared" si="12"/>
        <v>1374</v>
      </c>
      <c r="X35" s="51">
        <f>-SUMIFS('Отчет 06-12.10'!O:O,'Отчет 06-12.10'!C:C,"Вознаграждение Ozon",'Отчет 06-12.10'!E:E,B35)</f>
        <v>1771.2</v>
      </c>
      <c r="Y35" s="54">
        <f t="shared" si="13"/>
        <v>0.24000000000000002</v>
      </c>
      <c r="Z35" s="51">
        <f>-SUMIFS('Отчет 06-12.10'!O:O,'Отчет 06-12.10'!C:C,"Услуги доставки",'Отчет 06-12.10'!E:E,B35)</f>
        <v>448</v>
      </c>
      <c r="AA35" s="41">
        <v>5628.2690929999999</v>
      </c>
      <c r="AB35" s="64"/>
      <c r="AC35" s="51"/>
      <c r="AD35" s="55">
        <f t="shared" si="1"/>
        <v>442.8</v>
      </c>
      <c r="AE35" s="56">
        <f t="shared" si="14"/>
        <v>-2284.2690929999999</v>
      </c>
      <c r="AF35" s="55"/>
      <c r="AG35" s="57">
        <f t="shared" si="2"/>
        <v>3690</v>
      </c>
      <c r="AH35" s="58">
        <f t="shared" si="3"/>
        <v>687</v>
      </c>
      <c r="AI35" s="58">
        <f t="shared" si="4"/>
        <v>885.6</v>
      </c>
      <c r="AJ35" s="58">
        <f t="shared" si="5"/>
        <v>224</v>
      </c>
      <c r="AK35" s="58">
        <f t="shared" si="15"/>
        <v>2814.1345464999999</v>
      </c>
      <c r="AL35" s="58">
        <f t="array" ref="AL35">_xlfn.IFS(R35=0,AE35,R35&lt;0,AE35/-R35,R35&gt;0,AE35/R35)</f>
        <v>-1142.1345464999999</v>
      </c>
      <c r="AM35" s="59">
        <f t="shared" si="6"/>
        <v>-0.30952155731707315</v>
      </c>
      <c r="AN35" s="60">
        <f t="shared" si="7"/>
        <v>-1.6624957008733623</v>
      </c>
      <c r="AP35" s="62">
        <f t="shared" si="8"/>
        <v>-11421.345464999999</v>
      </c>
    </row>
    <row r="36" spans="1:42">
      <c r="A36" s="39">
        <v>2774719012</v>
      </c>
      <c r="B36" s="40" t="s">
        <v>239</v>
      </c>
      <c r="C36" s="41">
        <v>17</v>
      </c>
      <c r="D36" s="42"/>
      <c r="E36" s="42"/>
      <c r="F36" s="42"/>
      <c r="G36" s="43"/>
      <c r="H36" s="65">
        <v>687</v>
      </c>
      <c r="I36" s="63">
        <f t="shared" si="16"/>
        <v>11679</v>
      </c>
      <c r="J36" s="45"/>
      <c r="K36" s="41">
        <v>0</v>
      </c>
      <c r="L36" s="45"/>
      <c r="M36" s="45"/>
      <c r="N36" s="46">
        <f t="shared" si="9"/>
        <v>0</v>
      </c>
      <c r="O36" s="47">
        <f t="shared" si="17"/>
        <v>0</v>
      </c>
      <c r="P36" s="48">
        <f>SUMIFS('Отчет 06-12.10'!H:H,'Отчет 06-12.10'!D:D,"Выручка",'Отчет 06-12.10'!E:E,B36)</f>
        <v>0</v>
      </c>
      <c r="Q36" s="48">
        <f>SUMIFS('Отчет 06-12.10'!H:H,'Отчет 06-12.10'!D:D,"Возврат выручки",'Отчет 06-12.10'!E:E,B36)</f>
        <v>0</v>
      </c>
      <c r="R36" s="49">
        <f t="shared" si="10"/>
        <v>0</v>
      </c>
      <c r="S36" s="50">
        <f>SUMIFS('Отчет 06-12.10'!O:O,'Отчет 06-12.10'!C:C,"Продажи",'Отчет 06-12.10'!E:E,B36)</f>
        <v>0</v>
      </c>
      <c r="T36" s="51">
        <f>SUMIFS('Отчет 06-12.10'!O:O,'Отчет 06-12.10'!C:C,"Возвраты",'Отчет 06-12.10'!E:E,B36)</f>
        <v>0</v>
      </c>
      <c r="U36" s="49">
        <f t="shared" si="11"/>
        <v>0</v>
      </c>
      <c r="V36" s="52">
        <f t="shared" si="20"/>
        <v>0</v>
      </c>
      <c r="W36" s="53">
        <f t="shared" si="12"/>
        <v>0</v>
      </c>
      <c r="X36" s="51">
        <f>-SUMIFS('Отчет 06-12.10'!O:O,'Отчет 06-12.10'!C:C,"Вознаграждение Ozon",'Отчет 06-12.10'!E:E,B36)</f>
        <v>0</v>
      </c>
      <c r="Y36" s="54">
        <f t="shared" si="13"/>
        <v>0</v>
      </c>
      <c r="Z36" s="51">
        <f>-SUMIFS('Отчет 06-12.10'!O:O,'Отчет 06-12.10'!C:C,"Услуги доставки",'Отчет 06-12.10'!E:E,B36)</f>
        <v>0</v>
      </c>
      <c r="AA36" s="41">
        <v>2113.9364890000002</v>
      </c>
      <c r="AB36" s="64"/>
      <c r="AC36" s="51"/>
      <c r="AD36" s="55">
        <f t="shared" si="1"/>
        <v>0</v>
      </c>
      <c r="AE36" s="56">
        <f t="shared" si="14"/>
        <v>-2113.9364890000002</v>
      </c>
      <c r="AF36" s="55"/>
      <c r="AG36" s="57">
        <f t="shared" si="2"/>
        <v>0</v>
      </c>
      <c r="AH36" s="58">
        <f t="shared" si="3"/>
        <v>687</v>
      </c>
      <c r="AI36" s="58">
        <f t="shared" si="4"/>
        <v>0</v>
      </c>
      <c r="AJ36" s="58">
        <f t="shared" si="5"/>
        <v>0</v>
      </c>
      <c r="AK36" s="58">
        <f t="shared" si="15"/>
        <v>0</v>
      </c>
      <c r="AL36" s="58">
        <f t="array" ref="AL36">_xlfn.IFS(R36=0,AE36,R36&lt;0,AE36/-R36,R36&gt;0,AE36/R36)</f>
        <v>-2113.9364890000002</v>
      </c>
      <c r="AM36" s="59">
        <f t="shared" si="6"/>
        <v>0</v>
      </c>
      <c r="AN36" s="60">
        <f t="shared" si="7"/>
        <v>-3.0770545691411937</v>
      </c>
      <c r="AP36" s="62">
        <f t="shared" si="8"/>
        <v>-35936.920313000002</v>
      </c>
    </row>
    <row r="37" spans="1:42">
      <c r="A37" s="39">
        <v>2774719433</v>
      </c>
      <c r="B37" s="40" t="s">
        <v>240</v>
      </c>
      <c r="C37" s="41">
        <v>18</v>
      </c>
      <c r="D37" s="42"/>
      <c r="E37" s="42"/>
      <c r="F37" s="42"/>
      <c r="G37" s="43"/>
      <c r="H37" s="65">
        <v>597</v>
      </c>
      <c r="I37" s="63">
        <f t="shared" si="16"/>
        <v>10746</v>
      </c>
      <c r="J37" s="45"/>
      <c r="K37" s="41">
        <v>1</v>
      </c>
      <c r="L37" s="45"/>
      <c r="M37" s="45"/>
      <c r="N37" s="46">
        <f t="shared" si="9"/>
        <v>0.14285714285714285</v>
      </c>
      <c r="O37" s="47">
        <f t="shared" si="17"/>
        <v>0</v>
      </c>
      <c r="P37" s="48">
        <f>SUMIFS('Отчет 06-12.10'!H:H,'Отчет 06-12.10'!D:D,"Выручка",'Отчет 06-12.10'!E:E,B37)</f>
        <v>0</v>
      </c>
      <c r="Q37" s="48">
        <f>SUMIFS('Отчет 06-12.10'!H:H,'Отчет 06-12.10'!D:D,"Возврат выручки",'Отчет 06-12.10'!E:E,B37)</f>
        <v>0</v>
      </c>
      <c r="R37" s="49">
        <f t="shared" si="10"/>
        <v>0</v>
      </c>
      <c r="S37" s="50">
        <f>SUMIFS('Отчет 06-12.10'!O:O,'Отчет 06-12.10'!C:C,"Продажи",'Отчет 06-12.10'!E:E,B37)</f>
        <v>0</v>
      </c>
      <c r="T37" s="51">
        <f>SUMIFS('Отчет 06-12.10'!O:O,'Отчет 06-12.10'!C:C,"Возвраты",'Отчет 06-12.10'!E:E,B37)</f>
        <v>0</v>
      </c>
      <c r="U37" s="49">
        <f t="shared" si="11"/>
        <v>0</v>
      </c>
      <c r="V37" s="52">
        <f t="shared" si="20"/>
        <v>0</v>
      </c>
      <c r="W37" s="53">
        <f t="shared" si="12"/>
        <v>0</v>
      </c>
      <c r="X37" s="51">
        <f>-SUMIFS('Отчет 06-12.10'!O:O,'Отчет 06-12.10'!C:C,"Вознаграждение Ozon",'Отчет 06-12.10'!E:E,B37)</f>
        <v>0</v>
      </c>
      <c r="Y37" s="54">
        <f t="shared" si="13"/>
        <v>0</v>
      </c>
      <c r="Z37" s="51">
        <f>-SUMIFS('Отчет 06-12.10'!O:O,'Отчет 06-12.10'!C:C,"Услуги доставки",'Отчет 06-12.10'!E:E,B37)</f>
        <v>0</v>
      </c>
      <c r="AA37" s="41">
        <v>0</v>
      </c>
      <c r="AB37" s="64"/>
      <c r="AC37" s="51"/>
      <c r="AD37" s="55">
        <f t="shared" si="1"/>
        <v>0</v>
      </c>
      <c r="AE37" s="56">
        <f t="shared" si="14"/>
        <v>0</v>
      </c>
      <c r="AF37" s="55"/>
      <c r="AG37" s="57">
        <f t="shared" si="2"/>
        <v>0</v>
      </c>
      <c r="AH37" s="58">
        <f t="shared" si="3"/>
        <v>597</v>
      </c>
      <c r="AI37" s="58">
        <f t="shared" si="4"/>
        <v>0</v>
      </c>
      <c r="AJ37" s="58">
        <f t="shared" si="5"/>
        <v>0</v>
      </c>
      <c r="AK37" s="58">
        <f t="shared" si="15"/>
        <v>0</v>
      </c>
      <c r="AL37" s="58">
        <f t="array" ref="AL37">_xlfn.IFS(R37=0,AE37,R37&lt;0,AE37/-R37,R37&gt;0,AE37/R37)</f>
        <v>0</v>
      </c>
      <c r="AM37" s="59">
        <f t="shared" si="6"/>
        <v>0</v>
      </c>
      <c r="AN37" s="60">
        <f t="shared" si="7"/>
        <v>0</v>
      </c>
      <c r="AP37" s="62">
        <f t="shared" si="8"/>
        <v>0</v>
      </c>
    </row>
    <row r="38" spans="1:42">
      <c r="A38" s="39">
        <v>2774719029</v>
      </c>
      <c r="B38" s="40" t="s">
        <v>241</v>
      </c>
      <c r="C38" s="41">
        <v>17</v>
      </c>
      <c r="D38" s="42"/>
      <c r="E38" s="42"/>
      <c r="F38" s="42"/>
      <c r="G38" s="43"/>
      <c r="H38" s="65">
        <v>597</v>
      </c>
      <c r="I38" s="63">
        <f t="shared" si="16"/>
        <v>10149</v>
      </c>
      <c r="J38" s="45"/>
      <c r="K38" s="41">
        <v>2</v>
      </c>
      <c r="L38" s="45"/>
      <c r="M38" s="45"/>
      <c r="N38" s="46">
        <f t="shared" si="9"/>
        <v>0.2857142857142857</v>
      </c>
      <c r="O38" s="47">
        <f t="shared" si="17"/>
        <v>0</v>
      </c>
      <c r="P38" s="48">
        <f>SUMIFS('Отчет 06-12.10'!H:H,'Отчет 06-12.10'!D:D,"Выручка",'Отчет 06-12.10'!E:E,B38)</f>
        <v>0</v>
      </c>
      <c r="Q38" s="48">
        <f>SUMIFS('Отчет 06-12.10'!H:H,'Отчет 06-12.10'!D:D,"Возврат выручки",'Отчет 06-12.10'!E:E,B38)</f>
        <v>0</v>
      </c>
      <c r="R38" s="49">
        <f t="shared" si="10"/>
        <v>0</v>
      </c>
      <c r="S38" s="50">
        <f>SUMIFS('Отчет 06-12.10'!O:O,'Отчет 06-12.10'!C:C,"Продажи",'Отчет 06-12.10'!E:E,B38)</f>
        <v>0</v>
      </c>
      <c r="T38" s="51">
        <f>SUMIFS('Отчет 06-12.10'!O:O,'Отчет 06-12.10'!C:C,"Возвраты",'Отчет 06-12.10'!E:E,B38)</f>
        <v>0</v>
      </c>
      <c r="U38" s="49">
        <f t="shared" si="11"/>
        <v>0</v>
      </c>
      <c r="V38" s="52">
        <f t="shared" si="20"/>
        <v>0</v>
      </c>
      <c r="W38" s="53">
        <f t="shared" si="12"/>
        <v>0</v>
      </c>
      <c r="X38" s="51">
        <f>-SUMIFS('Отчет 06-12.10'!O:O,'Отчет 06-12.10'!C:C,"Вознаграждение Ozon",'Отчет 06-12.10'!E:E,B38)</f>
        <v>0</v>
      </c>
      <c r="Y38" s="54">
        <f t="shared" si="13"/>
        <v>0</v>
      </c>
      <c r="Z38" s="51">
        <f>-SUMIFS('Отчет 06-12.10'!O:O,'Отчет 06-12.10'!C:C,"Услуги доставки",'Отчет 06-12.10'!E:E,B38)</f>
        <v>0</v>
      </c>
      <c r="AA38" s="41">
        <v>0</v>
      </c>
      <c r="AB38" s="64"/>
      <c r="AC38" s="51"/>
      <c r="AD38" s="55">
        <f t="shared" si="1"/>
        <v>0</v>
      </c>
      <c r="AE38" s="56">
        <f t="shared" si="14"/>
        <v>0</v>
      </c>
      <c r="AF38" s="55"/>
      <c r="AG38" s="57">
        <f t="shared" si="2"/>
        <v>0</v>
      </c>
      <c r="AH38" s="58">
        <f t="shared" si="3"/>
        <v>597</v>
      </c>
      <c r="AI38" s="58">
        <f t="shared" si="4"/>
        <v>0</v>
      </c>
      <c r="AJ38" s="58">
        <f t="shared" si="5"/>
        <v>0</v>
      </c>
      <c r="AK38" s="58">
        <f t="shared" si="15"/>
        <v>0</v>
      </c>
      <c r="AL38" s="58">
        <f t="array" ref="AL38">_xlfn.IFS(R38=0,AE38,R38&lt;0,AE38/-R38,R38&gt;0,AE38/R38)</f>
        <v>0</v>
      </c>
      <c r="AM38" s="59">
        <f t="shared" si="6"/>
        <v>0</v>
      </c>
      <c r="AN38" s="60">
        <f t="shared" si="7"/>
        <v>0</v>
      </c>
      <c r="AP38" s="62">
        <f t="shared" si="8"/>
        <v>0</v>
      </c>
    </row>
    <row r="39" spans="1:42">
      <c r="A39" s="39">
        <v>2774719553</v>
      </c>
      <c r="B39" s="40" t="s">
        <v>242</v>
      </c>
      <c r="C39" s="41">
        <v>19</v>
      </c>
      <c r="D39" s="42"/>
      <c r="E39" s="42"/>
      <c r="F39" s="42"/>
      <c r="G39" s="43"/>
      <c r="H39" s="65">
        <v>597</v>
      </c>
      <c r="I39" s="63">
        <f t="shared" si="16"/>
        <v>11343</v>
      </c>
      <c r="J39" s="45"/>
      <c r="K39" s="41">
        <v>0</v>
      </c>
      <c r="L39" s="45"/>
      <c r="M39" s="45"/>
      <c r="N39" s="46">
        <f t="shared" si="9"/>
        <v>0</v>
      </c>
      <c r="O39" s="47">
        <f t="shared" si="17"/>
        <v>0</v>
      </c>
      <c r="P39" s="48">
        <f>SUMIFS('Отчет 06-12.10'!H:H,'Отчет 06-12.10'!D:D,"Выручка",'Отчет 06-12.10'!E:E,B39)</f>
        <v>0</v>
      </c>
      <c r="Q39" s="48">
        <f>SUMIFS('Отчет 06-12.10'!H:H,'Отчет 06-12.10'!D:D,"Возврат выручки",'Отчет 06-12.10'!E:E,B39)</f>
        <v>0</v>
      </c>
      <c r="R39" s="49">
        <f t="shared" si="10"/>
        <v>0</v>
      </c>
      <c r="S39" s="50">
        <f>SUMIFS('Отчет 06-12.10'!O:O,'Отчет 06-12.10'!C:C,"Продажи",'Отчет 06-12.10'!E:E,B39)</f>
        <v>0</v>
      </c>
      <c r="T39" s="51">
        <f>SUMIFS('Отчет 06-12.10'!O:O,'Отчет 06-12.10'!C:C,"Возвраты",'Отчет 06-12.10'!E:E,B39)</f>
        <v>0</v>
      </c>
      <c r="U39" s="49">
        <f t="shared" si="11"/>
        <v>0</v>
      </c>
      <c r="V39" s="52">
        <f t="shared" si="20"/>
        <v>0</v>
      </c>
      <c r="W39" s="53">
        <f t="shared" si="12"/>
        <v>0</v>
      </c>
      <c r="X39" s="51">
        <f>-SUMIFS('Отчет 06-12.10'!O:O,'Отчет 06-12.10'!C:C,"Вознаграждение Ozon",'Отчет 06-12.10'!E:E,B39)</f>
        <v>0</v>
      </c>
      <c r="Y39" s="54">
        <f t="shared" si="13"/>
        <v>0</v>
      </c>
      <c r="Z39" s="51">
        <f>-SUMIFS('Отчет 06-12.10'!O:O,'Отчет 06-12.10'!C:C,"Услуги доставки",'Отчет 06-12.10'!E:E,B39)</f>
        <v>0</v>
      </c>
      <c r="AA39" s="41">
        <v>0</v>
      </c>
      <c r="AB39" s="64"/>
      <c r="AC39" s="51"/>
      <c r="AD39" s="55">
        <f t="shared" si="1"/>
        <v>0</v>
      </c>
      <c r="AE39" s="56">
        <f t="shared" si="14"/>
        <v>0</v>
      </c>
      <c r="AF39" s="55"/>
      <c r="AG39" s="57">
        <f t="shared" si="2"/>
        <v>0</v>
      </c>
      <c r="AH39" s="58">
        <f t="shared" si="3"/>
        <v>597</v>
      </c>
      <c r="AI39" s="58">
        <f t="shared" si="4"/>
        <v>0</v>
      </c>
      <c r="AJ39" s="58">
        <f t="shared" si="5"/>
        <v>0</v>
      </c>
      <c r="AK39" s="58">
        <f t="shared" si="15"/>
        <v>0</v>
      </c>
      <c r="AL39" s="58">
        <f t="array" ref="AL39">_xlfn.IFS(R39=0,AE39,R39&lt;0,AE39/-R39,R39&gt;0,AE39/R39)</f>
        <v>0</v>
      </c>
      <c r="AM39" s="59">
        <f t="shared" si="6"/>
        <v>0</v>
      </c>
      <c r="AN39" s="60">
        <f t="shared" si="7"/>
        <v>0</v>
      </c>
      <c r="AP39" s="62">
        <f t="shared" si="8"/>
        <v>0</v>
      </c>
    </row>
    <row r="40" spans="1:42">
      <c r="A40" s="39">
        <v>2774710913</v>
      </c>
      <c r="B40" s="40" t="s">
        <v>243</v>
      </c>
      <c r="C40" s="41">
        <v>19</v>
      </c>
      <c r="D40" s="42"/>
      <c r="E40" s="42"/>
      <c r="F40" s="42"/>
      <c r="G40" s="43"/>
      <c r="H40" s="65">
        <v>642</v>
      </c>
      <c r="I40" s="63">
        <f t="shared" si="16"/>
        <v>12198</v>
      </c>
      <c r="J40" s="45"/>
      <c r="K40" s="41">
        <v>0</v>
      </c>
      <c r="L40" s="45"/>
      <c r="M40" s="45"/>
      <c r="N40" s="46">
        <f t="shared" si="9"/>
        <v>0</v>
      </c>
      <c r="O40" s="47">
        <f t="shared" si="17"/>
        <v>0</v>
      </c>
      <c r="P40" s="48">
        <f>SUMIFS('Отчет 06-12.10'!H:H,'Отчет 06-12.10'!D:D,"Выручка",'Отчет 06-12.10'!E:E,B40)</f>
        <v>0</v>
      </c>
      <c r="Q40" s="48">
        <f>SUMIFS('Отчет 06-12.10'!H:H,'Отчет 06-12.10'!D:D,"Возврат выручки",'Отчет 06-12.10'!E:E,B40)</f>
        <v>0</v>
      </c>
      <c r="R40" s="49">
        <f t="shared" si="10"/>
        <v>0</v>
      </c>
      <c r="S40" s="50">
        <f>SUMIFS('Отчет 06-12.10'!O:O,'Отчет 06-12.10'!C:C,"Продажи",'Отчет 06-12.10'!E:E,B40)</f>
        <v>0</v>
      </c>
      <c r="T40" s="51">
        <f>SUMIFS('Отчет 06-12.10'!O:O,'Отчет 06-12.10'!C:C,"Возвраты",'Отчет 06-12.10'!E:E,B40)</f>
        <v>0</v>
      </c>
      <c r="U40" s="49">
        <f t="shared" si="11"/>
        <v>0</v>
      </c>
      <c r="V40" s="52">
        <f t="shared" si="20"/>
        <v>0</v>
      </c>
      <c r="W40" s="53">
        <f t="shared" si="12"/>
        <v>0</v>
      </c>
      <c r="X40" s="51">
        <f>-SUMIFS('Отчет 06-12.10'!O:O,'Отчет 06-12.10'!C:C,"Вознаграждение Ozon",'Отчет 06-12.10'!E:E,B40)</f>
        <v>0</v>
      </c>
      <c r="Y40" s="54">
        <f t="shared" si="13"/>
        <v>0</v>
      </c>
      <c r="Z40" s="51">
        <f>-SUMIFS('Отчет 06-12.10'!O:O,'Отчет 06-12.10'!C:C,"Услуги доставки",'Отчет 06-12.10'!E:E,B40)</f>
        <v>0</v>
      </c>
      <c r="AA40" s="41">
        <v>0</v>
      </c>
      <c r="AB40" s="64"/>
      <c r="AC40" s="51"/>
      <c r="AD40" s="55">
        <f t="shared" si="1"/>
        <v>0</v>
      </c>
      <c r="AE40" s="56">
        <f t="shared" si="14"/>
        <v>0</v>
      </c>
      <c r="AF40" s="55"/>
      <c r="AG40" s="57">
        <f t="shared" si="2"/>
        <v>0</v>
      </c>
      <c r="AH40" s="58">
        <f t="shared" si="3"/>
        <v>642</v>
      </c>
      <c r="AI40" s="58">
        <f t="shared" si="4"/>
        <v>0</v>
      </c>
      <c r="AJ40" s="58">
        <f t="shared" si="5"/>
        <v>0</v>
      </c>
      <c r="AK40" s="58">
        <f t="shared" si="15"/>
        <v>0</v>
      </c>
      <c r="AL40" s="58">
        <f t="array" ref="AL40">_xlfn.IFS(R40=0,AE40,R40&lt;0,AE40/-R40,R40&gt;0,AE40/R40)</f>
        <v>0</v>
      </c>
      <c r="AM40" s="59">
        <f t="shared" si="6"/>
        <v>0</v>
      </c>
      <c r="AN40" s="60">
        <f t="shared" si="7"/>
        <v>0</v>
      </c>
      <c r="AP40" s="62">
        <f t="shared" si="8"/>
        <v>0</v>
      </c>
    </row>
    <row r="41" spans="1:42">
      <c r="A41" s="39">
        <v>2774721668</v>
      </c>
      <c r="B41" s="40" t="s">
        <v>244</v>
      </c>
      <c r="C41" s="41">
        <v>18</v>
      </c>
      <c r="D41" s="42"/>
      <c r="E41" s="42"/>
      <c r="F41" s="42"/>
      <c r="G41" s="43"/>
      <c r="H41" s="65">
        <v>642</v>
      </c>
      <c r="I41" s="63">
        <f t="shared" si="16"/>
        <v>11556</v>
      </c>
      <c r="J41" s="45"/>
      <c r="K41" s="41">
        <v>1</v>
      </c>
      <c r="L41" s="45"/>
      <c r="M41" s="45"/>
      <c r="N41" s="46">
        <f t="shared" si="9"/>
        <v>0.14285714285714285</v>
      </c>
      <c r="O41" s="47">
        <f t="shared" si="17"/>
        <v>0</v>
      </c>
      <c r="P41" s="48">
        <f>SUMIFS('Отчет 06-12.10'!H:H,'Отчет 06-12.10'!D:D,"Выручка",'Отчет 06-12.10'!E:E,B41)</f>
        <v>0</v>
      </c>
      <c r="Q41" s="48">
        <f>SUMIFS('Отчет 06-12.10'!H:H,'Отчет 06-12.10'!D:D,"Возврат выручки",'Отчет 06-12.10'!E:E,B41)</f>
        <v>0</v>
      </c>
      <c r="R41" s="49">
        <f t="shared" si="10"/>
        <v>0</v>
      </c>
      <c r="S41" s="50">
        <f>SUMIFS('Отчет 06-12.10'!O:O,'Отчет 06-12.10'!C:C,"Продажи",'Отчет 06-12.10'!E:E,B41)</f>
        <v>0</v>
      </c>
      <c r="T41" s="51">
        <f>SUMIFS('Отчет 06-12.10'!O:O,'Отчет 06-12.10'!C:C,"Возвраты",'Отчет 06-12.10'!E:E,B41)</f>
        <v>0</v>
      </c>
      <c r="U41" s="49">
        <f t="shared" si="11"/>
        <v>0</v>
      </c>
      <c r="V41" s="52">
        <f t="shared" si="20"/>
        <v>0</v>
      </c>
      <c r="W41" s="53">
        <f t="shared" si="12"/>
        <v>0</v>
      </c>
      <c r="X41" s="51">
        <f>-SUMIFS('Отчет 06-12.10'!O:O,'Отчет 06-12.10'!C:C,"Вознаграждение Ozon",'Отчет 06-12.10'!E:E,B41)</f>
        <v>0</v>
      </c>
      <c r="Y41" s="54">
        <f t="shared" si="13"/>
        <v>0</v>
      </c>
      <c r="Z41" s="51">
        <f>-SUMIFS('Отчет 06-12.10'!O:O,'Отчет 06-12.10'!C:C,"Услуги доставки",'Отчет 06-12.10'!E:E,B41)</f>
        <v>0</v>
      </c>
      <c r="AA41" s="41">
        <v>0</v>
      </c>
      <c r="AB41" s="64"/>
      <c r="AC41" s="51"/>
      <c r="AD41" s="55">
        <f t="shared" si="1"/>
        <v>0</v>
      </c>
      <c r="AE41" s="56">
        <f t="shared" si="14"/>
        <v>0</v>
      </c>
      <c r="AF41" s="55"/>
      <c r="AG41" s="57">
        <f t="shared" si="2"/>
        <v>0</v>
      </c>
      <c r="AH41" s="58">
        <f t="shared" si="3"/>
        <v>642</v>
      </c>
      <c r="AI41" s="58">
        <f t="shared" si="4"/>
        <v>0</v>
      </c>
      <c r="AJ41" s="58">
        <f t="shared" si="5"/>
        <v>0</v>
      </c>
      <c r="AK41" s="58">
        <f t="shared" si="15"/>
        <v>0</v>
      </c>
      <c r="AL41" s="58">
        <f t="array" ref="AL41">_xlfn.IFS(R41=0,AE41,R41&lt;0,AE41/-R41,R41&gt;0,AE41/R41)</f>
        <v>0</v>
      </c>
      <c r="AM41" s="59">
        <f t="shared" si="6"/>
        <v>0</v>
      </c>
      <c r="AN41" s="60">
        <f t="shared" si="7"/>
        <v>0</v>
      </c>
      <c r="AP41" s="62">
        <f t="shared" si="8"/>
        <v>0</v>
      </c>
    </row>
    <row r="42" spans="1:42">
      <c r="A42" s="39">
        <v>2774722656</v>
      </c>
      <c r="B42" s="40" t="s">
        <v>51</v>
      </c>
      <c r="C42" s="41">
        <v>5</v>
      </c>
      <c r="D42" s="42"/>
      <c r="E42" s="42"/>
      <c r="F42" s="42"/>
      <c r="G42" s="43"/>
      <c r="H42" s="65">
        <v>687</v>
      </c>
      <c r="I42" s="63">
        <f t="shared" si="16"/>
        <v>3435</v>
      </c>
      <c r="J42" s="45"/>
      <c r="K42" s="41">
        <v>3</v>
      </c>
      <c r="L42" s="45"/>
      <c r="M42" s="45"/>
      <c r="N42" s="46">
        <f t="shared" si="9"/>
        <v>0.42857142857142855</v>
      </c>
      <c r="O42" s="47">
        <f t="shared" si="17"/>
        <v>0.42857142857142855</v>
      </c>
      <c r="P42" s="48">
        <f>SUMIFS('Отчет 06-12.10'!H:H,'Отчет 06-12.10'!D:D,"Выручка",'Отчет 06-12.10'!E:E,B42)</f>
        <v>3</v>
      </c>
      <c r="Q42" s="48">
        <f>SUMIFS('Отчет 06-12.10'!H:H,'Отчет 06-12.10'!D:D,"Возврат выручки",'Отчет 06-12.10'!E:E,B42)</f>
        <v>0</v>
      </c>
      <c r="R42" s="49">
        <f t="shared" si="10"/>
        <v>3</v>
      </c>
      <c r="S42" s="50">
        <f>SUMIFS('Отчет 06-12.10'!O:O,'Отчет 06-12.10'!C:C,"Продажи",'Отчет 06-12.10'!E:E,B42)</f>
        <v>7830</v>
      </c>
      <c r="T42" s="51">
        <f>SUMIFS('Отчет 06-12.10'!O:O,'Отчет 06-12.10'!C:C,"Возвраты",'Отчет 06-12.10'!E:E,B42)</f>
        <v>0</v>
      </c>
      <c r="U42" s="49">
        <f t="shared" si="11"/>
        <v>7830</v>
      </c>
      <c r="V42" s="52">
        <f t="shared" si="20"/>
        <v>0.11527929095138541</v>
      </c>
      <c r="W42" s="53">
        <f t="shared" si="12"/>
        <v>2061</v>
      </c>
      <c r="X42" s="51">
        <f>-SUMIFS('Отчет 06-12.10'!O:O,'Отчет 06-12.10'!C:C,"Вознаграждение Ozon",'Отчет 06-12.10'!E:E,B42)</f>
        <v>1879.1999999999998</v>
      </c>
      <c r="Y42" s="54">
        <f t="shared" si="13"/>
        <v>0.23999999999999996</v>
      </c>
      <c r="Z42" s="51">
        <f>-SUMIFS('Отчет 06-12.10'!O:O,'Отчет 06-12.10'!C:C,"Услуги доставки",'Отчет 06-12.10'!E:E,B42)</f>
        <v>672</v>
      </c>
      <c r="AA42" s="41">
        <v>801.9</v>
      </c>
      <c r="AB42" s="64"/>
      <c r="AC42" s="51"/>
      <c r="AD42" s="55">
        <f t="shared" si="1"/>
        <v>469.79999999999995</v>
      </c>
      <c r="AE42" s="56">
        <f t="shared" si="14"/>
        <v>1946.1000000000001</v>
      </c>
      <c r="AF42" s="55"/>
      <c r="AG42" s="57">
        <f t="shared" si="2"/>
        <v>2610</v>
      </c>
      <c r="AH42" s="58">
        <f t="shared" si="3"/>
        <v>687</v>
      </c>
      <c r="AI42" s="58">
        <f t="shared" si="4"/>
        <v>626.4</v>
      </c>
      <c r="AJ42" s="58">
        <f t="shared" si="5"/>
        <v>224</v>
      </c>
      <c r="AK42" s="58">
        <f t="shared" si="15"/>
        <v>267.3</v>
      </c>
      <c r="AL42" s="58">
        <f t="array" ref="AL42">_xlfn.IFS(R42=0,AE42,R42&lt;0,AE42/-R42,R42&gt;0,AE42/R42)</f>
        <v>648.70000000000005</v>
      </c>
      <c r="AM42" s="59">
        <f t="shared" si="6"/>
        <v>0.248544061302682</v>
      </c>
      <c r="AN42" s="60">
        <f t="shared" si="7"/>
        <v>0.94425036390101902</v>
      </c>
      <c r="AP42" s="62">
        <f t="shared" si="8"/>
        <v>3243.5</v>
      </c>
    </row>
    <row r="43" spans="1:42">
      <c r="A43" s="39">
        <v>2774721190</v>
      </c>
      <c r="B43" s="40" t="s">
        <v>70</v>
      </c>
      <c r="C43" s="41">
        <v>8</v>
      </c>
      <c r="D43" s="42"/>
      <c r="E43" s="42"/>
      <c r="F43" s="42"/>
      <c r="G43" s="43"/>
      <c r="H43" s="65">
        <v>687</v>
      </c>
      <c r="I43" s="63">
        <f t="shared" si="16"/>
        <v>5496</v>
      </c>
      <c r="J43" s="45"/>
      <c r="K43" s="41">
        <v>3</v>
      </c>
      <c r="L43" s="45"/>
      <c r="M43" s="45"/>
      <c r="N43" s="46">
        <f t="shared" si="9"/>
        <v>0.42857142857142855</v>
      </c>
      <c r="O43" s="47">
        <f t="shared" si="17"/>
        <v>0.2857142857142857</v>
      </c>
      <c r="P43" s="48">
        <f>SUMIFS('Отчет 06-12.10'!H:H,'Отчет 06-12.10'!D:D,"Выручка",'Отчет 06-12.10'!E:E,B43)</f>
        <v>2</v>
      </c>
      <c r="Q43" s="48">
        <f>SUMIFS('Отчет 06-12.10'!H:H,'Отчет 06-12.10'!D:D,"Возврат выручки",'Отчет 06-12.10'!E:E,B43)</f>
        <v>0</v>
      </c>
      <c r="R43" s="49">
        <f t="shared" si="10"/>
        <v>2</v>
      </c>
      <c r="S43" s="50">
        <f>SUMIFS('Отчет 06-12.10'!O:O,'Отчет 06-12.10'!C:C,"Продажи",'Отчет 06-12.10'!E:E,B43)</f>
        <v>6300</v>
      </c>
      <c r="T43" s="51">
        <f>SUMIFS('Отчет 06-12.10'!O:O,'Отчет 06-12.10'!C:C,"Возвраты",'Отчет 06-12.10'!E:E,B43)</f>
        <v>0</v>
      </c>
      <c r="U43" s="49">
        <f t="shared" si="11"/>
        <v>6300</v>
      </c>
      <c r="V43" s="52">
        <f t="shared" si="20"/>
        <v>9.2753452489620442E-2</v>
      </c>
      <c r="W43" s="53">
        <f t="shared" si="12"/>
        <v>1374</v>
      </c>
      <c r="X43" s="51">
        <f>-SUMIFS('Отчет 06-12.10'!O:O,'Отчет 06-12.10'!C:C,"Вознаграждение Ozon",'Отчет 06-12.10'!E:E,B43)</f>
        <v>1512</v>
      </c>
      <c r="Y43" s="54">
        <f t="shared" si="13"/>
        <v>0.24</v>
      </c>
      <c r="Z43" s="51">
        <f>-SUMIFS('Отчет 06-12.10'!O:O,'Отчет 06-12.10'!C:C,"Услуги доставки",'Отчет 06-12.10'!E:E,B43)</f>
        <v>1008</v>
      </c>
      <c r="AA43" s="41">
        <v>704.7</v>
      </c>
      <c r="AB43" s="64"/>
      <c r="AC43" s="51"/>
      <c r="AD43" s="55">
        <f t="shared" si="1"/>
        <v>378</v>
      </c>
      <c r="AE43" s="56">
        <f t="shared" si="14"/>
        <v>1323.3</v>
      </c>
      <c r="AF43" s="55"/>
      <c r="AG43" s="57">
        <f t="shared" si="2"/>
        <v>3150</v>
      </c>
      <c r="AH43" s="58">
        <f t="shared" si="3"/>
        <v>687</v>
      </c>
      <c r="AI43" s="58">
        <f t="shared" si="4"/>
        <v>756</v>
      </c>
      <c r="AJ43" s="58">
        <f t="shared" si="5"/>
        <v>504</v>
      </c>
      <c r="AK43" s="58">
        <f t="shared" si="15"/>
        <v>352.35</v>
      </c>
      <c r="AL43" s="58">
        <f t="array" ref="AL43">_xlfn.IFS(R43=0,AE43,R43&lt;0,AE43/-R43,R43&gt;0,AE43/R43)</f>
        <v>661.65</v>
      </c>
      <c r="AM43" s="59">
        <f t="shared" si="6"/>
        <v>0.21004761904761904</v>
      </c>
      <c r="AN43" s="60">
        <f t="shared" si="7"/>
        <v>0.96310043668122269</v>
      </c>
      <c r="AP43" s="62">
        <f t="shared" si="8"/>
        <v>5293.2</v>
      </c>
    </row>
    <row r="44" spans="1:42">
      <c r="A44" s="39">
        <v>2774718796</v>
      </c>
      <c r="B44" s="40" t="s">
        <v>66</v>
      </c>
      <c r="C44" s="41">
        <v>3</v>
      </c>
      <c r="D44" s="42"/>
      <c r="E44" s="42"/>
      <c r="F44" s="42"/>
      <c r="G44" s="43"/>
      <c r="H44" s="65">
        <v>552</v>
      </c>
      <c r="I44" s="63">
        <f t="shared" si="16"/>
        <v>1656</v>
      </c>
      <c r="J44" s="45"/>
      <c r="K44" s="41">
        <v>6</v>
      </c>
      <c r="L44" s="45"/>
      <c r="M44" s="45"/>
      <c r="N44" s="46">
        <f t="shared" si="9"/>
        <v>0.8571428571428571</v>
      </c>
      <c r="O44" s="47">
        <f t="shared" si="17"/>
        <v>0.5714285714285714</v>
      </c>
      <c r="P44" s="48">
        <f>SUMIFS('Отчет 06-12.10'!H:H,'Отчет 06-12.10'!D:D,"Выручка",'Отчет 06-12.10'!E:E,B44)</f>
        <v>4</v>
      </c>
      <c r="Q44" s="48">
        <f>SUMIFS('Отчет 06-12.10'!H:H,'Отчет 06-12.10'!D:D,"Возврат выручки",'Отчет 06-12.10'!E:E,B44)</f>
        <v>0</v>
      </c>
      <c r="R44" s="49">
        <f t="shared" si="10"/>
        <v>4</v>
      </c>
      <c r="S44" s="50">
        <f>SUMIFS('Отчет 06-12.10'!O:O,'Отчет 06-12.10'!C:C,"Продажи",'Отчет 06-12.10'!E:E,B44)</f>
        <v>16030</v>
      </c>
      <c r="T44" s="51">
        <f>SUMIFS('Отчет 06-12.10'!O:O,'Отчет 06-12.10'!C:C,"Возвраты",'Отчет 06-12.10'!E:E,B44)</f>
        <v>0</v>
      </c>
      <c r="U44" s="49">
        <f t="shared" si="11"/>
        <v>16030</v>
      </c>
      <c r="V44" s="52">
        <f t="shared" si="20"/>
        <v>0.23600600689025647</v>
      </c>
      <c r="W44" s="53">
        <f t="shared" si="12"/>
        <v>2208</v>
      </c>
      <c r="X44" s="51">
        <f>-SUMIFS('Отчет 06-12.10'!O:O,'Отчет 06-12.10'!C:C,"Вознаграждение Ozon",'Отчет 06-12.10'!E:E,B44)</f>
        <v>3847.2</v>
      </c>
      <c r="Y44" s="54">
        <f t="shared" si="13"/>
        <v>0.24</v>
      </c>
      <c r="Z44" s="51">
        <f>-SUMIFS('Отчет 06-12.10'!O:O,'Отчет 06-12.10'!C:C,"Услуги доставки",'Отчет 06-12.10'!E:E,B44)</f>
        <v>672</v>
      </c>
      <c r="AA44" s="41">
        <v>3803.1440319999997</v>
      </c>
      <c r="AB44" s="64"/>
      <c r="AC44" s="51"/>
      <c r="AD44" s="55">
        <f t="shared" si="1"/>
        <v>961.8</v>
      </c>
      <c r="AE44" s="56">
        <f t="shared" si="14"/>
        <v>4537.8559679999989</v>
      </c>
      <c r="AF44" s="55"/>
      <c r="AG44" s="57">
        <f t="shared" si="2"/>
        <v>4007.5</v>
      </c>
      <c r="AH44" s="58">
        <f t="shared" si="3"/>
        <v>552</v>
      </c>
      <c r="AI44" s="58">
        <f t="shared" si="4"/>
        <v>961.8</v>
      </c>
      <c r="AJ44" s="58">
        <f t="shared" si="5"/>
        <v>168</v>
      </c>
      <c r="AK44" s="58">
        <f t="shared" si="15"/>
        <v>950.78600799999992</v>
      </c>
      <c r="AL44" s="58">
        <f t="array" ref="AL44">_xlfn.IFS(R44=0,AE44,R44&lt;0,AE44/-R44,R44&gt;0,AE44/R44)</f>
        <v>1134.4639919999997</v>
      </c>
      <c r="AM44" s="59">
        <f t="shared" si="6"/>
        <v>0.28308521322520269</v>
      </c>
      <c r="AN44" s="60">
        <f t="shared" si="7"/>
        <v>2.0551883913043474</v>
      </c>
      <c r="AP44" s="62">
        <f t="shared" si="8"/>
        <v>3403.391975999999</v>
      </c>
    </row>
    <row r="45" spans="1:42">
      <c r="A45" s="39">
        <v>2774719500</v>
      </c>
      <c r="B45" s="40" t="s">
        <v>245</v>
      </c>
      <c r="C45" s="41">
        <v>19</v>
      </c>
      <c r="D45" s="42"/>
      <c r="E45" s="42"/>
      <c r="F45" s="42"/>
      <c r="G45" s="43"/>
      <c r="H45" s="65">
        <v>552</v>
      </c>
      <c r="I45" s="63">
        <f t="shared" si="16"/>
        <v>10488</v>
      </c>
      <c r="J45" s="45"/>
      <c r="K45" s="41">
        <v>0</v>
      </c>
      <c r="L45" s="45"/>
      <c r="M45" s="45"/>
      <c r="N45" s="46">
        <f t="shared" si="9"/>
        <v>0</v>
      </c>
      <c r="O45" s="47">
        <f t="shared" si="17"/>
        <v>0</v>
      </c>
      <c r="P45" s="48">
        <f>SUMIFS('Отчет 06-12.10'!H:H,'Отчет 06-12.10'!D:D,"Выручка",'Отчет 06-12.10'!E:E,B45)</f>
        <v>0</v>
      </c>
      <c r="Q45" s="48">
        <f>SUMIFS('Отчет 06-12.10'!H:H,'Отчет 06-12.10'!D:D,"Возврат выручки",'Отчет 06-12.10'!E:E,B45)</f>
        <v>0</v>
      </c>
      <c r="R45" s="49">
        <f t="shared" si="10"/>
        <v>0</v>
      </c>
      <c r="S45" s="50">
        <f>SUMIFS('Отчет 06-12.10'!O:O,'Отчет 06-12.10'!C:C,"Продажи",'Отчет 06-12.10'!E:E,B45)</f>
        <v>0</v>
      </c>
      <c r="T45" s="51">
        <f>SUMIFS('Отчет 06-12.10'!O:O,'Отчет 06-12.10'!C:C,"Возвраты",'Отчет 06-12.10'!E:E,B45)</f>
        <v>0</v>
      </c>
      <c r="U45" s="49">
        <f t="shared" si="11"/>
        <v>0</v>
      </c>
      <c r="V45" s="52">
        <f t="shared" si="20"/>
        <v>0</v>
      </c>
      <c r="W45" s="53">
        <f t="shared" si="12"/>
        <v>0</v>
      </c>
      <c r="X45" s="51">
        <f>-SUMIFS('Отчет 06-12.10'!O:O,'Отчет 06-12.10'!C:C,"Вознаграждение Ozon",'Отчет 06-12.10'!E:E,B45)</f>
        <v>0</v>
      </c>
      <c r="Y45" s="54">
        <f t="shared" si="13"/>
        <v>0</v>
      </c>
      <c r="Z45" s="51">
        <f>-SUMIFS('Отчет 06-12.10'!O:O,'Отчет 06-12.10'!C:C,"Услуги доставки",'Отчет 06-12.10'!E:E,B45)</f>
        <v>0</v>
      </c>
      <c r="AA45" s="41">
        <v>219.89350400000001</v>
      </c>
      <c r="AB45" s="64"/>
      <c r="AC45" s="51"/>
      <c r="AD45" s="55">
        <f t="shared" si="1"/>
        <v>0</v>
      </c>
      <c r="AE45" s="56">
        <f t="shared" si="14"/>
        <v>-219.89350400000001</v>
      </c>
      <c r="AF45" s="55"/>
      <c r="AG45" s="57">
        <f t="shared" si="2"/>
        <v>0</v>
      </c>
      <c r="AH45" s="58">
        <f t="shared" si="3"/>
        <v>552</v>
      </c>
      <c r="AI45" s="58">
        <f t="shared" si="4"/>
        <v>0</v>
      </c>
      <c r="AJ45" s="58">
        <f t="shared" si="5"/>
        <v>0</v>
      </c>
      <c r="AK45" s="58">
        <f t="shared" si="15"/>
        <v>0</v>
      </c>
      <c r="AL45" s="58">
        <f t="array" ref="AL45">_xlfn.IFS(R45=0,AE45,R45&lt;0,AE45/-R45,R45&gt;0,AE45/R45)</f>
        <v>-219.89350400000001</v>
      </c>
      <c r="AM45" s="59">
        <f t="shared" si="6"/>
        <v>0</v>
      </c>
      <c r="AN45" s="60">
        <f t="shared" si="7"/>
        <v>-0.39835779710144931</v>
      </c>
      <c r="AP45" s="62">
        <f t="shared" si="8"/>
        <v>-4177.976576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21">AVERAGEIF(AG26:AG45,"&lt;&gt;0",AG26:AG45)</f>
        <v>3407.9166666666665</v>
      </c>
      <c r="AH46" s="259">
        <f t="shared" si="21"/>
        <v>617.25</v>
      </c>
      <c r="AI46" s="259">
        <f t="shared" si="21"/>
        <v>817.9</v>
      </c>
      <c r="AJ46" s="259">
        <f t="shared" si="21"/>
        <v>192.88888888888889</v>
      </c>
      <c r="AK46" s="259">
        <f t="shared" si="21"/>
        <v>1908.8652259166665</v>
      </c>
      <c r="AL46" s="259">
        <f t="shared" si="21"/>
        <v>-285.31107122727275</v>
      </c>
      <c r="AM46" s="260">
        <f t="shared" si="21"/>
        <v>0.13888333217430279</v>
      </c>
      <c r="AN46" s="260">
        <f t="shared" si="21"/>
        <v>-0.37818770144424252</v>
      </c>
      <c r="AO46" s="240"/>
      <c r="AP46" s="241"/>
    </row>
    <row r="47" spans="1:42">
      <c r="A47" s="218" t="s">
        <v>306</v>
      </c>
      <c r="B47" s="219"/>
      <c r="C47" s="220">
        <f>SUM(C26:C45)</f>
        <v>317</v>
      </c>
      <c r="D47" s="221"/>
      <c r="E47" s="221"/>
      <c r="F47" s="221"/>
      <c r="G47" s="221"/>
      <c r="H47" s="222"/>
      <c r="I47" s="220">
        <f>SUM(I26:I45)</f>
        <v>194169</v>
      </c>
      <c r="J47" s="223"/>
      <c r="K47" s="220">
        <f>SUM(K26:K45)</f>
        <v>32</v>
      </c>
      <c r="L47" s="223"/>
      <c r="M47" s="223"/>
      <c r="N47" s="224"/>
      <c r="O47" s="225"/>
      <c r="P47" s="220">
        <f t="shared" ref="P47:X47" si="22">SUM(P26:P45)</f>
        <v>14</v>
      </c>
      <c r="Q47" s="220">
        <f t="shared" si="22"/>
        <v>1</v>
      </c>
      <c r="R47" s="250">
        <f t="shared" si="22"/>
        <v>15</v>
      </c>
      <c r="S47" s="220">
        <f t="shared" si="22"/>
        <v>48220</v>
      </c>
      <c r="T47" s="220">
        <f t="shared" si="22"/>
        <v>-3690</v>
      </c>
      <c r="U47" s="250">
        <f t="shared" si="22"/>
        <v>44530</v>
      </c>
      <c r="V47" s="253">
        <f t="shared" si="22"/>
        <v>0.65560495862901558</v>
      </c>
      <c r="W47" s="220">
        <f t="shared" si="22"/>
        <v>9495</v>
      </c>
      <c r="X47" s="220">
        <f t="shared" si="22"/>
        <v>10687.2</v>
      </c>
      <c r="Y47" s="226">
        <f>IF(U47=0,0,X47/U47)</f>
        <v>0.24000000000000002</v>
      </c>
      <c r="Z47" s="220">
        <f>SUM(Z26:Z45)</f>
        <v>3416</v>
      </c>
      <c r="AA47" s="220">
        <f>P47*AA49/P49</f>
        <v>19046.820625</v>
      </c>
      <c r="AB47" s="220">
        <f>SUM(AB26:AB45)</f>
        <v>0</v>
      </c>
      <c r="AC47" s="220">
        <f>SUM(AC26:AC45)</f>
        <v>0</v>
      </c>
      <c r="AD47" s="250">
        <f>SUM(AD26:AD45)</f>
        <v>2671.8</v>
      </c>
      <c r="AE47" s="220">
        <f>SUM(AE26:AE45)</f>
        <v>-2080.4639190000003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-70468.490154000014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20340.463918999998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3824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658278.98</v>
      </c>
      <c r="J49" s="229">
        <f>J24+J47</f>
        <v>0</v>
      </c>
      <c r="K49" s="229">
        <f>K24+K47</f>
        <v>73</v>
      </c>
      <c r="L49" s="230"/>
      <c r="M49" s="230"/>
      <c r="N49" s="230"/>
      <c r="O49" s="230"/>
      <c r="P49" s="269">
        <f t="shared" ref="P49:X49" si="23">P24+P47</f>
        <v>32</v>
      </c>
      <c r="Q49" s="229">
        <f t="shared" si="23"/>
        <v>2</v>
      </c>
      <c r="R49" s="252">
        <f t="shared" si="23"/>
        <v>34</v>
      </c>
      <c r="S49" s="229">
        <f t="shared" si="23"/>
        <v>72812</v>
      </c>
      <c r="T49" s="229">
        <f t="shared" si="23"/>
        <v>-4890</v>
      </c>
      <c r="U49" s="252">
        <f t="shared" si="23"/>
        <v>67922</v>
      </c>
      <c r="V49" s="255">
        <f t="shared" si="23"/>
        <v>1</v>
      </c>
      <c r="W49" s="229">
        <f t="shared" si="23"/>
        <v>13092.52</v>
      </c>
      <c r="X49" s="229">
        <f t="shared" si="23"/>
        <v>16798.73</v>
      </c>
      <c r="Y49" s="232">
        <f>X49/U49</f>
        <v>0.24732384205412089</v>
      </c>
      <c r="Z49" s="229">
        <f>Z24+Z47</f>
        <v>5512</v>
      </c>
      <c r="AA49" s="75">
        <v>43535.59</v>
      </c>
      <c r="AB49" s="74"/>
      <c r="AC49" s="74">
        <f>SUM(AC3:AC45)</f>
        <v>0</v>
      </c>
      <c r="AD49" s="229">
        <f>AD24+AD47</f>
        <v>4075.32</v>
      </c>
      <c r="AE49" s="233">
        <f>AE24+AE47</f>
        <v>-12684.177186999998</v>
      </c>
      <c r="AF49" s="76"/>
      <c r="AG49" s="234"/>
      <c r="AH49" s="235"/>
      <c r="AI49" s="235"/>
      <c r="AJ49" s="235"/>
      <c r="AK49" s="235">
        <f>AA50/P49</f>
        <v>1360.4871874999999</v>
      </c>
      <c r="AL49" s="235"/>
      <c r="AM49" s="235"/>
      <c r="AN49" s="236"/>
      <c r="AP49" s="233">
        <f>SUM(AP3:AP45)</f>
        <v>1007664.7791725001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43535.59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41127.607186999994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>
        <f>I56/I49</f>
        <v>0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658278.98</v>
      </c>
      <c r="J57" s="109">
        <f>I57/I49</f>
        <v>1</v>
      </c>
      <c r="K57" s="105">
        <f>AP49-K56-K58</f>
        <v>1007664.7791725001</v>
      </c>
      <c r="L57" s="106">
        <f>K57/I57</f>
        <v>1.5307564266635101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>
        <f>I58/I49</f>
        <v>0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51" priority="17" operator="greaterThan">
      <formula>120</formula>
    </cfRule>
  </conditionalFormatting>
  <conditionalFormatting sqref="N48">
    <cfRule type="cellIs" dxfId="50" priority="16" operator="between">
      <formula>0.000001</formula>
      <formula>25</formula>
    </cfRule>
  </conditionalFormatting>
  <conditionalFormatting sqref="V1 V50:V53 V55:V1048576">
    <cfRule type="cellIs" dxfId="49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{ADE440FF-A68F-4A73-A0C8-9C57154353C7}</x14:id>
        </ext>
      </extLst>
    </cfRule>
  </conditionalFormatting>
  <conditionalFormatting sqref="AP3:AP22 AP25:AP45 AP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{1E1E26EB-0E10-4DDB-BCF3-7C524E16152D}</x14:id>
        </ext>
      </extLst>
    </cfRule>
  </conditionalFormatting>
  <conditionalFormatting sqref="AE3:AE23 AE25:AE46 AE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{E7B282C9-2DF0-4F13-BC2A-20DB363B2884}</x14:id>
        </ext>
      </extLst>
    </cfRule>
  </conditionalFormatting>
  <conditionalFormatting sqref="AL3:AL22 AL25:AL45 AL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{B5B97FC3-771F-4E19-B151-83D565722FC0}</x14:id>
        </ext>
      </extLst>
    </cfRule>
  </conditionalFormatting>
  <conditionalFormatting sqref="AM3:AN22 AM25:AN45 AM48:AN48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{6A609EE8-15D1-4D77-B983-21A359599D6B}</x14:id>
        </ext>
      </extLst>
    </cfRule>
  </conditionalFormatting>
  <conditionalFormatting sqref="AP3:AP22 AP25:AP4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{D865DFAF-B444-46DD-B015-00817B7495E8}</x14:id>
        </ext>
      </extLst>
    </cfRule>
  </conditionalFormatting>
  <conditionalFormatting sqref="AE3:AE23 AE25:AE4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{AB353837-2692-4A26-8D81-B22B5A4BE8D0}</x14:id>
        </ext>
      </extLst>
    </cfRule>
  </conditionalFormatting>
  <conditionalFormatting sqref="U3:V23 U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{59247AA0-FE31-4ABA-9251-1F6B2E33245F}</x14:id>
        </ext>
      </extLst>
    </cfRule>
  </conditionalFormatting>
  <conditionalFormatting sqref="V3:V23 V25:V46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{E5E7D959-9DD5-466A-8969-8704E2E4F3E0}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{89C87111-2ADF-4776-9F73-D306C0FC6879}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{4B58A409-A403-4AC9-B4A2-FE91BB44F4FD}</x14:id>
        </ext>
      </extLst>
    </cfRule>
  </conditionalFormatting>
  <conditionalFormatting sqref="P48">
    <cfRule type="cellIs" dxfId="48" priority="12" operator="greaterThan">
      <formula>120</formula>
    </cfRule>
  </conditionalFormatting>
  <conditionalFormatting sqref="Q48">
    <cfRule type="cellIs" dxfId="47" priority="11" operator="greaterThan">
      <formula>120</formula>
    </cfRule>
  </conditionalFormatting>
  <conditionalFormatting sqref="R48">
    <cfRule type="cellIs" dxfId="46" priority="10" operator="greaterThan">
      <formula>120</formula>
    </cfRule>
  </conditionalFormatting>
  <conditionalFormatting sqref="S48">
    <cfRule type="cellIs" dxfId="45" priority="9" operator="greaterThan">
      <formula>120</formula>
    </cfRule>
  </conditionalFormatting>
  <conditionalFormatting sqref="T48">
    <cfRule type="cellIs" dxfId="44" priority="8" operator="greaterThan">
      <formula>120</formula>
    </cfRule>
  </conditionalFormatting>
  <conditionalFormatting sqref="U48">
    <cfRule type="cellIs" dxfId="43" priority="7" operator="greaterThan">
      <formula>120</formula>
    </cfRule>
  </conditionalFormatting>
  <conditionalFormatting sqref="V48">
    <cfRule type="cellIs" dxfId="42" priority="6" operator="greaterThan">
      <formula>120</formula>
    </cfRule>
  </conditionalFormatting>
  <conditionalFormatting sqref="W48">
    <cfRule type="cellIs" dxfId="41" priority="5" operator="greaterThan">
      <formula>120</formula>
    </cfRule>
  </conditionalFormatting>
  <conditionalFormatting sqref="X48">
    <cfRule type="cellIs" dxfId="40" priority="4" operator="greaterThan">
      <formula>120</formula>
    </cfRule>
  </conditionalFormatting>
  <conditionalFormatting sqref="Z48">
    <cfRule type="cellIs" dxfId="39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{826F84E1-D4DB-43BA-8E47-A653E646C176}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{46442CB7-C5D7-4AE3-ABFC-69DC5BAA1224}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E440FF-A68F-4A73-A0C8-9C5715435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1E1E26EB-0E10-4DDB-BCF3-7C524E161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E7B282C9-2DF0-4F13-BC2A-20DB363B2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B5B97FC3-771F-4E19-B151-83D565722F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6A609EE8-15D1-4D77-B983-21A359599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D865DFAF-B444-46DD-B015-00817B7495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AB353837-2692-4A26-8D81-B22B5A4BE8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59247AA0-FE31-4ABA-9251-1F6B2E332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E5E7D959-9DD5-466A-8969-8704E2E4F3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89C87111-2ADF-4776-9F73-D306C0FC68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4B58A409-A403-4AC9-B4A2-FE91BB44F4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826F84E1-D4DB-43BA-8E47-A653E646C1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46442CB7-C5D7-4AE3-ABFC-69DC5BAA12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56973-90EA-4797-8893-6AEA50F6EA09}">
  <dimension ref="A1:AZ62"/>
  <sheetViews>
    <sheetView zoomScale="70" zoomScaleNormal="70" workbookViewId="0">
      <pane xSplit="2" ySplit="2" topLeftCell="V38" activePane="bottomRight" state="frozen"/>
      <selection pane="topRight" activeCell="C1" sqref="C1"/>
      <selection pane="bottomLeft" activeCell="A3" sqref="A3"/>
      <selection pane="bottomRight" activeCell="AD49" sqref="AD49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762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761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193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211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2" si="0">C3*H3</f>
        <v>0</v>
      </c>
      <c r="J3" s="45"/>
      <c r="K3" s="41">
        <v>19</v>
      </c>
      <c r="L3" s="45"/>
      <c r="M3" s="45"/>
      <c r="N3" s="46">
        <f>K3/5</f>
        <v>3.8</v>
      </c>
      <c r="O3" s="47">
        <f>R3/5</f>
        <v>3.8</v>
      </c>
      <c r="P3" s="48">
        <f>SUMIFS('Отчет 01-05.10'!H:H,'Отчет 01-05.10'!D:D,"Выручка",'Отчет 01-05.10'!E:E,B3)</f>
        <v>18</v>
      </c>
      <c r="Q3" s="48">
        <f>SUMIFS('Отчет 01-05.10'!H:H,'Отчет 01-05.10'!D:D,"Возврат выручки",'Отчет 01-05.10'!E:E,B3)</f>
        <v>1</v>
      </c>
      <c r="R3" s="49">
        <f t="shared" ref="R3:R22" si="1">P3+Q3</f>
        <v>19</v>
      </c>
      <c r="S3" s="50">
        <f>SUMIFS('Отчет 01-05.10'!O:O,'Отчет 01-05.10'!C:C,"Продажи",'Отчет 01-05.10'!E:E,B3)</f>
        <v>19892.999999999996</v>
      </c>
      <c r="T3" s="51">
        <f>SUMIFS('Отчет 01-05.10'!O:O,'Отчет 01-05.10'!C:C,"Возвраты",'Отчет 01-05.10'!E:E,B3)</f>
        <v>-1200</v>
      </c>
      <c r="U3" s="49">
        <f t="shared" ref="U3:U22" si="2">S3+T3</f>
        <v>18692.999999999996</v>
      </c>
      <c r="V3" s="52">
        <f t="shared" ref="V3:V22" si="3">U3/$U$49</f>
        <v>0.27281483967950493</v>
      </c>
      <c r="W3" s="53">
        <f t="shared" ref="W3:W22" si="4">R3*H3</f>
        <v>2716.62</v>
      </c>
      <c r="X3" s="51">
        <f>-SUMIFS('Отчет 01-05.10'!O:O,'Отчет 01-05.10'!C:C,"Вознаграждение Ozon",'Отчет 01-05.10'!E:E,B3)</f>
        <v>4722.6000000000004</v>
      </c>
      <c r="Y3" s="54">
        <f t="shared" ref="Y3:Y22" si="5">IF(U3=0,0,X3/U3)</f>
        <v>0.25264002567806138</v>
      </c>
      <c r="Z3" s="51">
        <f>-SUMIFS('Отчет 01-05.10'!O:O,'Отчет 01-05.10'!C:C,"Услуги доставки",'Отчет 01-05.10'!E:E,B3)</f>
        <v>1460</v>
      </c>
      <c r="AA3" s="41">
        <v>6627.8674000000001</v>
      </c>
      <c r="AB3" s="51"/>
      <c r="AC3" s="51"/>
      <c r="AD3" s="55">
        <f t="shared" ref="AD3:AD22" si="6">U3*6%</f>
        <v>1121.5799999999997</v>
      </c>
      <c r="AE3" s="56">
        <f t="shared" ref="AE3:AE22" si="7">U3-W3-X3-Z3-AA3-AB3-AC3-AD3</f>
        <v>2044.3325999999972</v>
      </c>
      <c r="AF3" s="55"/>
      <c r="AG3" s="57">
        <f t="shared" ref="AG3:AG22" si="8">IF(R3=0,0,U3/R3)</f>
        <v>983.84210526315769</v>
      </c>
      <c r="AH3" s="58">
        <f t="shared" ref="AH3:AH22" si="9">H3</f>
        <v>142.97999999999999</v>
      </c>
      <c r="AI3" s="58">
        <f t="shared" ref="AI3:AI22" si="10">IF(R3=0,0,X3/R3)</f>
        <v>248.55789473684212</v>
      </c>
      <c r="AJ3" s="58">
        <f t="shared" ref="AJ3:AJ22" si="11">IF(P3=0,Z3/1,Z3/P3)</f>
        <v>81.111111111111114</v>
      </c>
      <c r="AK3" s="58">
        <f t="shared" ref="AK3:AK22" si="12">IF(P3=0,0,AA3/P3)</f>
        <v>368.21485555555557</v>
      </c>
      <c r="AL3" s="58">
        <f>_xlfn.IFS(R3=0,AE3,R3&lt;0,AE3/-R3,R3&gt;0,AE3/R3)</f>
        <v>107.5964526315788</v>
      </c>
      <c r="AM3" s="59">
        <f t="shared" ref="AM3:AM22" si="13">IF(AG3=0,0,AL3/AG3)</f>
        <v>0.10936353715294482</v>
      </c>
      <c r="AN3" s="60">
        <f t="shared" ref="AN3:AN22" si="14">IF(AH3=0,0,AL3/AH3)</f>
        <v>0.75252799434591411</v>
      </c>
      <c r="AP3" s="62">
        <f t="shared" ref="AP3:AP22" si="15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1</v>
      </c>
      <c r="L4" s="45"/>
      <c r="M4" s="45"/>
      <c r="N4" s="46">
        <f t="shared" ref="N4:N22" si="16">K4/5</f>
        <v>0.2</v>
      </c>
      <c r="O4" s="47">
        <f t="shared" ref="O4:O22" si="17">R4/5</f>
        <v>0.4</v>
      </c>
      <c r="P4" s="48">
        <f>SUMIFS('Отчет 01-05.10'!H:H,'Отчет 01-05.10'!D:D,"Выручка",'Отчет 01-05.10'!E:E,B4)</f>
        <v>2</v>
      </c>
      <c r="Q4" s="48">
        <f>SUMIFS('Отчет 01-05.10'!H:H,'Отчет 01-05.10'!D:D,"Возврат выручки",'Отчет 01-05.10'!E:E,B4)</f>
        <v>0</v>
      </c>
      <c r="R4" s="49">
        <f t="shared" si="1"/>
        <v>2</v>
      </c>
      <c r="S4" s="50">
        <f>SUMIFS('Отчет 01-05.10'!O:O,'Отчет 01-05.10'!C:C,"Продажи",'Отчет 01-05.10'!E:E,B4)</f>
        <v>2600</v>
      </c>
      <c r="T4" s="51">
        <f>SUMIFS('Отчет 01-05.10'!O:O,'Отчет 01-05.10'!C:C,"Возвраты",'Отчет 01-05.10'!E:E,B4)</f>
        <v>0</v>
      </c>
      <c r="U4" s="49">
        <f t="shared" si="2"/>
        <v>2600</v>
      </c>
      <c r="V4" s="52">
        <f t="shared" si="3"/>
        <v>3.7945679300631939E-2</v>
      </c>
      <c r="W4" s="53">
        <f t="shared" si="4"/>
        <v>246.18</v>
      </c>
      <c r="X4" s="51">
        <f>-SUMIFS('Отчет 01-05.10'!O:O,'Отчет 01-05.10'!C:C,"Вознаграждение Ozon",'Отчет 01-05.10'!E:E,B4)</f>
        <v>676</v>
      </c>
      <c r="Y4" s="54">
        <f t="shared" si="5"/>
        <v>0.26</v>
      </c>
      <c r="Z4" s="51">
        <f>-SUMIFS('Отчет 01-05.10'!O:O,'Отчет 01-05.10'!C:C,"Услуги доставки",'Отчет 01-05.10'!E:E,B4)</f>
        <v>92</v>
      </c>
      <c r="AA4" s="41">
        <v>0</v>
      </c>
      <c r="AB4" s="51"/>
      <c r="AC4" s="51"/>
      <c r="AD4" s="55">
        <f t="shared" si="6"/>
        <v>156</v>
      </c>
      <c r="AE4" s="56">
        <f t="shared" si="7"/>
        <v>1429.8200000000002</v>
      </c>
      <c r="AF4" s="55"/>
      <c r="AG4" s="57">
        <f t="shared" si="8"/>
        <v>1300</v>
      </c>
      <c r="AH4" s="58">
        <f t="shared" si="9"/>
        <v>123.09</v>
      </c>
      <c r="AI4" s="58">
        <f t="shared" si="10"/>
        <v>338</v>
      </c>
      <c r="AJ4" s="58">
        <f t="shared" si="11"/>
        <v>46</v>
      </c>
      <c r="AK4" s="58">
        <f t="shared" si="12"/>
        <v>0</v>
      </c>
      <c r="AL4" s="58">
        <f t="array" ref="AL4">_xlfn.IFS(R4=0,AE4,R4&lt;0,AE4/-R4,R4&gt;0,AE4/R4)</f>
        <v>714.91000000000008</v>
      </c>
      <c r="AM4" s="59">
        <f t="shared" si="13"/>
        <v>0.54993076923076933</v>
      </c>
      <c r="AN4" s="60">
        <f t="shared" si="14"/>
        <v>5.808026647168739</v>
      </c>
      <c r="AP4" s="62">
        <f t="shared" si="15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1</v>
      </c>
      <c r="L5" s="45"/>
      <c r="M5" s="45"/>
      <c r="N5" s="46">
        <f t="shared" si="16"/>
        <v>0.2</v>
      </c>
      <c r="O5" s="47">
        <f t="shared" si="17"/>
        <v>0.2</v>
      </c>
      <c r="P5" s="48">
        <f>SUMIFS('Отчет 01-05.10'!H:H,'Отчет 01-05.10'!D:D,"Выручка",'Отчет 01-05.10'!E:E,B5)</f>
        <v>1</v>
      </c>
      <c r="Q5" s="48">
        <f>SUMIFS('Отчет 01-05.10'!H:H,'Отчет 01-05.10'!D:D,"Возврат выручки",'Отчет 01-05.10'!E:E,B5)</f>
        <v>0</v>
      </c>
      <c r="R5" s="49">
        <f t="shared" si="1"/>
        <v>1</v>
      </c>
      <c r="S5" s="50">
        <f>SUMIFS('Отчет 01-05.10'!O:O,'Отчет 01-05.10'!C:C,"Продажи",'Отчет 01-05.10'!E:E,B5)</f>
        <v>1300</v>
      </c>
      <c r="T5" s="51">
        <f>SUMIFS('Отчет 01-05.10'!O:O,'Отчет 01-05.10'!C:C,"Возвраты",'Отчет 01-05.10'!E:E,B5)</f>
        <v>0</v>
      </c>
      <c r="U5" s="49">
        <f t="shared" si="2"/>
        <v>1300</v>
      </c>
      <c r="V5" s="52">
        <f t="shared" si="3"/>
        <v>1.897283965031597E-2</v>
      </c>
      <c r="W5" s="53">
        <f t="shared" si="4"/>
        <v>123.09</v>
      </c>
      <c r="X5" s="51">
        <f>-SUMIFS('Отчет 01-05.10'!O:O,'Отчет 01-05.10'!C:C,"Вознаграждение Ozon",'Отчет 01-05.10'!E:E,B5)</f>
        <v>338</v>
      </c>
      <c r="Y5" s="54">
        <f t="shared" si="5"/>
        <v>0.26</v>
      </c>
      <c r="Z5" s="51">
        <f>-SUMIFS('Отчет 01-05.10'!O:O,'Отчет 01-05.10'!C:C,"Услуги доставки",'Отчет 01-05.10'!E:E,B5)</f>
        <v>46</v>
      </c>
      <c r="AA5" s="41">
        <v>0</v>
      </c>
      <c r="AB5" s="64"/>
      <c r="AC5" s="51"/>
      <c r="AD5" s="55">
        <f t="shared" si="6"/>
        <v>78</v>
      </c>
      <c r="AE5" s="56">
        <f t="shared" si="7"/>
        <v>714.91000000000008</v>
      </c>
      <c r="AF5" s="55"/>
      <c r="AG5" s="57">
        <f t="shared" si="8"/>
        <v>1300</v>
      </c>
      <c r="AH5" s="58">
        <f t="shared" si="9"/>
        <v>123.09</v>
      </c>
      <c r="AI5" s="58">
        <f t="shared" si="10"/>
        <v>338</v>
      </c>
      <c r="AJ5" s="58">
        <f t="shared" si="11"/>
        <v>46</v>
      </c>
      <c r="AK5" s="58">
        <f t="shared" si="12"/>
        <v>0</v>
      </c>
      <c r="AL5" s="58">
        <f t="array" ref="AL5">_xlfn.IFS(R5=0,AE5,R5&lt;0,AE5/-R5,R5&gt;0,AE5/R5)</f>
        <v>714.91000000000008</v>
      </c>
      <c r="AM5" s="59">
        <f t="shared" si="13"/>
        <v>0.54993076923076933</v>
      </c>
      <c r="AN5" s="60">
        <f t="shared" si="14"/>
        <v>5.808026647168739</v>
      </c>
      <c r="AP5" s="62">
        <f t="shared" si="15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0</v>
      </c>
      <c r="L6" s="45"/>
      <c r="M6" s="45"/>
      <c r="N6" s="46">
        <f t="shared" si="16"/>
        <v>0</v>
      </c>
      <c r="O6" s="47">
        <f t="shared" si="17"/>
        <v>0</v>
      </c>
      <c r="P6" s="48">
        <f>SUMIFS('Отчет 01-05.10'!H:H,'Отчет 01-05.10'!D:D,"Выручка",'Отчет 01-05.10'!E:E,B6)</f>
        <v>0</v>
      </c>
      <c r="Q6" s="48">
        <f>SUMIFS('Отчет 01-05.10'!H:H,'Отчет 01-05.10'!D:D,"Возврат выручки",'Отчет 01-05.10'!E:E,B6)</f>
        <v>0</v>
      </c>
      <c r="R6" s="49">
        <f t="shared" si="1"/>
        <v>0</v>
      </c>
      <c r="S6" s="50">
        <f>SUMIFS('Отчет 01-05.10'!O:O,'Отчет 01-05.10'!C:C,"Продажи",'Отчет 01-05.10'!E:E,B6)</f>
        <v>0</v>
      </c>
      <c r="T6" s="51">
        <f>SUMIFS('Отчет 01-05.10'!O:O,'Отчет 01-05.10'!C:C,"Возвраты",'Отчет 01-05.10'!E:E,B6)</f>
        <v>0</v>
      </c>
      <c r="U6" s="49">
        <f t="shared" si="2"/>
        <v>0</v>
      </c>
      <c r="V6" s="52">
        <f t="shared" si="3"/>
        <v>0</v>
      </c>
      <c r="W6" s="53">
        <f t="shared" si="4"/>
        <v>0</v>
      </c>
      <c r="X6" s="51">
        <f>-SUMIFS('Отчет 01-05.10'!O:O,'Отчет 01-05.10'!C:C,"Вознаграждение Ozon",'Отчет 01-05.10'!E:E,B6)</f>
        <v>0</v>
      </c>
      <c r="Y6" s="54">
        <f t="shared" si="5"/>
        <v>0</v>
      </c>
      <c r="Z6" s="51">
        <f>-SUMIFS('Отчет 01-05.10'!O:O,'Отчет 01-05.10'!C:C,"Услуги доставки",'Отчет 01-05.10'!E:E,B6)</f>
        <v>92</v>
      </c>
      <c r="AA6" s="41">
        <v>0</v>
      </c>
      <c r="AB6" s="64"/>
      <c r="AC6" s="51"/>
      <c r="AD6" s="55">
        <f t="shared" si="6"/>
        <v>0</v>
      </c>
      <c r="AE6" s="56">
        <f t="shared" si="7"/>
        <v>-92</v>
      </c>
      <c r="AF6" s="55"/>
      <c r="AG6" s="57">
        <f t="shared" si="8"/>
        <v>0</v>
      </c>
      <c r="AH6" s="58">
        <f t="shared" si="9"/>
        <v>123.09</v>
      </c>
      <c r="AI6" s="58">
        <f t="shared" si="10"/>
        <v>0</v>
      </c>
      <c r="AJ6" s="58">
        <f t="shared" si="11"/>
        <v>92</v>
      </c>
      <c r="AK6" s="58">
        <f t="shared" si="12"/>
        <v>0</v>
      </c>
      <c r="AL6" s="58">
        <f t="array" ref="AL6">_xlfn.IFS(R6=0,AE6,R6&lt;0,AE6/-R6,R6&gt;0,AE6/R6)</f>
        <v>-92</v>
      </c>
      <c r="AM6" s="59">
        <f t="shared" si="13"/>
        <v>0</v>
      </c>
      <c r="AN6" s="60">
        <f t="shared" si="14"/>
        <v>-0.74742058656267774</v>
      </c>
      <c r="AP6" s="62">
        <f t="shared" si="15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1</v>
      </c>
      <c r="L7" s="45"/>
      <c r="M7" s="45"/>
      <c r="N7" s="46">
        <f t="shared" si="16"/>
        <v>0.2</v>
      </c>
      <c r="O7" s="47">
        <f t="shared" si="17"/>
        <v>0.4</v>
      </c>
      <c r="P7" s="48">
        <f>SUMIFS('Отчет 01-05.10'!H:H,'Отчет 01-05.10'!D:D,"Выручка",'Отчет 01-05.10'!E:E,B7)</f>
        <v>2</v>
      </c>
      <c r="Q7" s="48">
        <f>SUMIFS('Отчет 01-05.10'!H:H,'Отчет 01-05.10'!D:D,"Возврат выручки",'Отчет 01-05.10'!E:E,B7)</f>
        <v>0</v>
      </c>
      <c r="R7" s="49">
        <f t="shared" si="1"/>
        <v>2</v>
      </c>
      <c r="S7" s="50">
        <f>SUMIFS('Отчет 01-05.10'!O:O,'Отчет 01-05.10'!C:C,"Продажи",'Отчет 01-05.10'!E:E,B7)</f>
        <v>2786</v>
      </c>
      <c r="T7" s="51">
        <f>SUMIFS('Отчет 01-05.10'!O:O,'Отчет 01-05.10'!C:C,"Возвраты",'Отчет 01-05.10'!E:E,B7)</f>
        <v>0</v>
      </c>
      <c r="U7" s="49">
        <f t="shared" si="2"/>
        <v>2786</v>
      </c>
      <c r="V7" s="52">
        <f t="shared" si="3"/>
        <v>4.0660254819830995E-2</v>
      </c>
      <c r="W7" s="53">
        <f t="shared" si="4"/>
        <v>234.48</v>
      </c>
      <c r="X7" s="51">
        <f>-SUMIFS('Отчет 01-05.10'!O:O,'Отчет 01-05.10'!C:C,"Вознаграждение Ozon",'Отчет 01-05.10'!E:E,B7)</f>
        <v>724.36</v>
      </c>
      <c r="Y7" s="54">
        <f t="shared" si="5"/>
        <v>0.26</v>
      </c>
      <c r="Z7" s="51">
        <f>-SUMIFS('Отчет 01-05.10'!O:O,'Отчет 01-05.10'!C:C,"Услуги доставки",'Отчет 01-05.10'!E:E,B7)</f>
        <v>276</v>
      </c>
      <c r="AA7" s="41">
        <v>0</v>
      </c>
      <c r="AB7" s="64"/>
      <c r="AC7" s="51"/>
      <c r="AD7" s="55">
        <f t="shared" si="6"/>
        <v>167.16</v>
      </c>
      <c r="AE7" s="56">
        <f t="shared" si="7"/>
        <v>1383.9999999999998</v>
      </c>
      <c r="AF7" s="55"/>
      <c r="AG7" s="57">
        <f t="shared" si="8"/>
        <v>1393</v>
      </c>
      <c r="AH7" s="58">
        <f t="shared" si="9"/>
        <v>117.24</v>
      </c>
      <c r="AI7" s="58">
        <f t="shared" si="10"/>
        <v>362.18</v>
      </c>
      <c r="AJ7" s="58">
        <f t="shared" si="11"/>
        <v>138</v>
      </c>
      <c r="AK7" s="58">
        <f t="shared" si="12"/>
        <v>0</v>
      </c>
      <c r="AL7" s="58">
        <f t="array" ref="AL7">_xlfn.IFS(R7=0,AE7,R7&lt;0,AE7/-R7,R7&gt;0,AE7/R7)</f>
        <v>691.99999999999989</v>
      </c>
      <c r="AM7" s="59">
        <f t="shared" si="13"/>
        <v>0.49676956209619516</v>
      </c>
      <c r="AN7" s="60">
        <f t="shared" si="14"/>
        <v>5.9024223814397807</v>
      </c>
      <c r="AP7" s="62">
        <f t="shared" si="15"/>
        <v>0</v>
      </c>
    </row>
    <row r="8" spans="1:42">
      <c r="A8" s="39">
        <v>2638291563</v>
      </c>
      <c r="B8" s="40" t="s">
        <v>88</v>
      </c>
      <c r="C8" s="41"/>
      <c r="D8" s="42"/>
      <c r="E8" s="42"/>
      <c r="F8" s="42"/>
      <c r="G8" s="43"/>
      <c r="H8" s="44">
        <v>169.89</v>
      </c>
      <c r="I8" s="63">
        <f t="shared" si="0"/>
        <v>0</v>
      </c>
      <c r="J8" s="45"/>
      <c r="K8" s="41">
        <v>0</v>
      </c>
      <c r="L8" s="45"/>
      <c r="M8" s="45"/>
      <c r="N8" s="46">
        <f t="shared" si="16"/>
        <v>0</v>
      </c>
      <c r="O8" s="47">
        <f t="shared" si="17"/>
        <v>0</v>
      </c>
      <c r="P8" s="48">
        <f>SUMIFS('Отчет 01-05.10'!H:H,'Отчет 01-05.10'!D:D,"Выручка",'Отчет 01-05.10'!E:E,B8)</f>
        <v>0</v>
      </c>
      <c r="Q8" s="48">
        <f>SUMIFS('Отчет 01-05.10'!H:H,'Отчет 01-05.10'!D:D,"Возврат выручки",'Отчет 01-05.10'!E:E,B8)</f>
        <v>0</v>
      </c>
      <c r="R8" s="49">
        <f t="shared" si="1"/>
        <v>0</v>
      </c>
      <c r="S8" s="50">
        <f>SUMIFS('Отчет 01-05.10'!O:O,'Отчет 01-05.10'!C:C,"Продажи",'Отчет 01-05.10'!E:E,B8)</f>
        <v>0</v>
      </c>
      <c r="T8" s="51">
        <f>SUMIFS('Отчет 01-05.10'!O:O,'Отчет 01-05.10'!C:C,"Возвраты",'Отчет 01-05.10'!E:E,B8)</f>
        <v>0</v>
      </c>
      <c r="U8" s="49">
        <f t="shared" si="2"/>
        <v>0</v>
      </c>
      <c r="V8" s="52">
        <f t="shared" si="3"/>
        <v>0</v>
      </c>
      <c r="W8" s="53">
        <f t="shared" si="4"/>
        <v>0</v>
      </c>
      <c r="X8" s="51">
        <f>-SUMIFS('Отчет 01-05.10'!O:O,'Отчет 01-05.10'!C:C,"Вознаграждение Ozon",'Отчет 01-05.10'!E:E,B8)</f>
        <v>0</v>
      </c>
      <c r="Y8" s="54">
        <f t="shared" si="5"/>
        <v>0</v>
      </c>
      <c r="Z8" s="51">
        <f>-SUMIFS('Отчет 01-05.10'!O:O,'Отчет 01-05.10'!C:C,"Услуги доставки",'Отчет 01-05.10'!E:E,B8)</f>
        <v>92</v>
      </c>
      <c r="AA8" s="41">
        <v>0</v>
      </c>
      <c r="AB8" s="64"/>
      <c r="AC8" s="51"/>
      <c r="AD8" s="55">
        <f t="shared" si="6"/>
        <v>0</v>
      </c>
      <c r="AE8" s="56">
        <f t="shared" si="7"/>
        <v>-92</v>
      </c>
      <c r="AF8" s="55"/>
      <c r="AG8" s="57">
        <f t="shared" si="8"/>
        <v>0</v>
      </c>
      <c r="AH8" s="58">
        <f t="shared" si="9"/>
        <v>169.89</v>
      </c>
      <c r="AI8" s="58">
        <f t="shared" si="10"/>
        <v>0</v>
      </c>
      <c r="AJ8" s="58">
        <f t="shared" si="11"/>
        <v>92</v>
      </c>
      <c r="AK8" s="58">
        <f t="shared" si="12"/>
        <v>0</v>
      </c>
      <c r="AL8" s="58">
        <f t="array" ref="AL8">_xlfn.IFS(R8=0,AE8,R8&lt;0,AE8/-R8,R8&gt;0,AE8/R8)</f>
        <v>-92</v>
      </c>
      <c r="AM8" s="59">
        <f t="shared" si="13"/>
        <v>0</v>
      </c>
      <c r="AN8" s="60">
        <f t="shared" si="14"/>
        <v>-0.54152687032785929</v>
      </c>
      <c r="AP8" s="62">
        <f t="shared" si="15"/>
        <v>0</v>
      </c>
    </row>
    <row r="9" spans="1:42">
      <c r="A9" s="39">
        <v>2730130733</v>
      </c>
      <c r="B9" s="40" t="s">
        <v>224</v>
      </c>
      <c r="C9" s="41"/>
      <c r="D9" s="42"/>
      <c r="E9" s="42"/>
      <c r="F9" s="42"/>
      <c r="G9" s="43"/>
      <c r="H9" s="44">
        <v>169.89</v>
      </c>
      <c r="I9" s="63">
        <f t="shared" si="0"/>
        <v>0</v>
      </c>
      <c r="J9" s="45"/>
      <c r="K9" s="41">
        <v>0</v>
      </c>
      <c r="L9" s="45"/>
      <c r="M9" s="45"/>
      <c r="N9" s="46">
        <f t="shared" si="16"/>
        <v>0</v>
      </c>
      <c r="O9" s="47">
        <f t="shared" si="17"/>
        <v>0</v>
      </c>
      <c r="P9" s="48">
        <f>SUMIFS('Отчет 01-05.10'!H:H,'Отчет 01-05.10'!D:D,"Выручка",'Отчет 01-05.10'!E:E,B9)</f>
        <v>0</v>
      </c>
      <c r="Q9" s="48">
        <f>SUMIFS('Отчет 01-05.10'!H:H,'Отчет 01-05.10'!D:D,"Возврат выручки",'Отчет 01-05.10'!E:E,B9)</f>
        <v>0</v>
      </c>
      <c r="R9" s="49">
        <f t="shared" si="1"/>
        <v>0</v>
      </c>
      <c r="S9" s="50">
        <f>SUMIFS('Отчет 01-05.10'!O:O,'Отчет 01-05.10'!C:C,"Продажи",'Отчет 01-05.10'!E:E,B9)</f>
        <v>0</v>
      </c>
      <c r="T9" s="51">
        <f>SUMIFS('Отчет 01-05.10'!O:O,'Отчет 01-05.10'!C:C,"Возвраты",'Отчет 01-05.10'!E:E,B9)</f>
        <v>0</v>
      </c>
      <c r="U9" s="49">
        <f t="shared" si="2"/>
        <v>0</v>
      </c>
      <c r="V9" s="52">
        <f t="shared" si="3"/>
        <v>0</v>
      </c>
      <c r="W9" s="53">
        <f t="shared" si="4"/>
        <v>0</v>
      </c>
      <c r="X9" s="51">
        <f>-SUMIFS('Отчет 01-05.10'!O:O,'Отчет 01-05.10'!C:C,"Вознаграждение Ozon",'Отчет 01-05.10'!E:E,B9)</f>
        <v>0</v>
      </c>
      <c r="Y9" s="54">
        <f t="shared" si="5"/>
        <v>0</v>
      </c>
      <c r="Z9" s="51">
        <f>-SUMIFS('Отчет 01-05.10'!O:O,'Отчет 01-05.10'!C:C,"Услуги доставки",'Отчет 01-05.10'!E:E,B9)</f>
        <v>0</v>
      </c>
      <c r="AA9" s="41">
        <v>0</v>
      </c>
      <c r="AB9" s="64"/>
      <c r="AC9" s="51"/>
      <c r="AD9" s="55">
        <f t="shared" si="6"/>
        <v>0</v>
      </c>
      <c r="AE9" s="56">
        <f t="shared" si="7"/>
        <v>0</v>
      </c>
      <c r="AF9" s="55"/>
      <c r="AG9" s="57">
        <f t="shared" si="8"/>
        <v>0</v>
      </c>
      <c r="AH9" s="58">
        <f t="shared" si="9"/>
        <v>169.89</v>
      </c>
      <c r="AI9" s="58">
        <f t="shared" si="10"/>
        <v>0</v>
      </c>
      <c r="AJ9" s="58">
        <f t="shared" si="11"/>
        <v>0</v>
      </c>
      <c r="AK9" s="58">
        <f t="shared" si="12"/>
        <v>0</v>
      </c>
      <c r="AL9" s="58">
        <f t="array" ref="AL9">_xlfn.IFS(R9=0,AE9,R9&lt;0,AE9/-R9,R9&gt;0,AE9/R9)</f>
        <v>0</v>
      </c>
      <c r="AM9" s="59">
        <f t="shared" si="13"/>
        <v>0</v>
      </c>
      <c r="AN9" s="60">
        <f t="shared" si="14"/>
        <v>0</v>
      </c>
      <c r="AP9" s="62">
        <f t="shared" si="15"/>
        <v>0</v>
      </c>
    </row>
    <row r="10" spans="1:42">
      <c r="A10" s="39">
        <v>2730131249</v>
      </c>
      <c r="B10" s="40" t="s">
        <v>225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1</v>
      </c>
      <c r="L10" s="45"/>
      <c r="M10" s="45"/>
      <c r="N10" s="46">
        <f t="shared" si="16"/>
        <v>0.2</v>
      </c>
      <c r="O10" s="47">
        <f t="shared" si="17"/>
        <v>0.2</v>
      </c>
      <c r="P10" s="48">
        <f>SUMIFS('Отчет 01-05.10'!H:H,'Отчет 01-05.10'!D:D,"Выручка",'Отчет 01-05.10'!E:E,B10)</f>
        <v>1</v>
      </c>
      <c r="Q10" s="48">
        <f>SUMIFS('Отчет 01-05.10'!H:H,'Отчет 01-05.10'!D:D,"Возврат выручки",'Отчет 01-05.10'!E:E,B10)</f>
        <v>0</v>
      </c>
      <c r="R10" s="49">
        <f t="shared" si="1"/>
        <v>1</v>
      </c>
      <c r="S10" s="50">
        <f>SUMIFS('Отчет 01-05.10'!O:O,'Отчет 01-05.10'!C:C,"Продажи",'Отчет 01-05.10'!E:E,B10)</f>
        <v>1500</v>
      </c>
      <c r="T10" s="51">
        <f>SUMIFS('Отчет 01-05.10'!O:O,'Отчет 01-05.10'!C:C,"Возвраты",'Отчет 01-05.10'!E:E,B10)</f>
        <v>0</v>
      </c>
      <c r="U10" s="49">
        <f t="shared" si="2"/>
        <v>1500</v>
      </c>
      <c r="V10" s="52">
        <f t="shared" si="3"/>
        <v>2.189173805805689E-2</v>
      </c>
      <c r="W10" s="53">
        <f t="shared" si="4"/>
        <v>169.89</v>
      </c>
      <c r="X10" s="51">
        <f>-SUMIFS('Отчет 01-05.10'!O:O,'Отчет 01-05.10'!C:C,"Вознаграждение Ozon",'Отчет 01-05.10'!E:E,B10)</f>
        <v>390</v>
      </c>
      <c r="Y10" s="54">
        <f t="shared" si="5"/>
        <v>0.26</v>
      </c>
      <c r="Z10" s="51">
        <f>-SUMIFS('Отчет 01-05.10'!O:O,'Отчет 01-05.10'!C:C,"Услуги доставки",'Отчет 01-05.10'!E:E,B10)</f>
        <v>46</v>
      </c>
      <c r="AA10" s="41">
        <v>0</v>
      </c>
      <c r="AB10" s="64"/>
      <c r="AC10" s="51"/>
      <c r="AD10" s="55">
        <f t="shared" si="6"/>
        <v>90</v>
      </c>
      <c r="AE10" s="56">
        <f t="shared" si="7"/>
        <v>804.11000000000013</v>
      </c>
      <c r="AF10" s="55"/>
      <c r="AG10" s="57">
        <f t="shared" si="8"/>
        <v>1500</v>
      </c>
      <c r="AH10" s="58">
        <f t="shared" si="9"/>
        <v>169.89</v>
      </c>
      <c r="AI10" s="58">
        <f t="shared" si="10"/>
        <v>390</v>
      </c>
      <c r="AJ10" s="58">
        <f t="shared" si="11"/>
        <v>46</v>
      </c>
      <c r="AK10" s="58">
        <f t="shared" si="12"/>
        <v>0</v>
      </c>
      <c r="AL10" s="58">
        <f t="array" ref="AL10">_xlfn.IFS(R10=0,AE10,R10&lt;0,AE10/-R10,R10&gt;0,AE10/R10)</f>
        <v>804.11000000000013</v>
      </c>
      <c r="AM10" s="59">
        <f t="shared" si="13"/>
        <v>0.5360733333333334</v>
      </c>
      <c r="AN10" s="60">
        <f t="shared" si="14"/>
        <v>4.7331214315145109</v>
      </c>
      <c r="AP10" s="62">
        <f t="shared" si="15"/>
        <v>0</v>
      </c>
    </row>
    <row r="11" spans="1:42">
      <c r="A11" s="39">
        <v>2730130553</v>
      </c>
      <c r="B11" s="40" t="s">
        <v>226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1">
        <v>0</v>
      </c>
      <c r="L11" s="45"/>
      <c r="M11" s="45"/>
      <c r="N11" s="46">
        <f t="shared" si="16"/>
        <v>0</v>
      </c>
      <c r="O11" s="47">
        <f t="shared" si="17"/>
        <v>0</v>
      </c>
      <c r="P11" s="48">
        <f>SUMIFS('Отчет 01-05.10'!H:H,'Отчет 01-05.10'!D:D,"Выручка",'Отчет 01-05.10'!E:E,B11)</f>
        <v>0</v>
      </c>
      <c r="Q11" s="48">
        <f>SUMIFS('Отчет 01-05.10'!H:H,'Отчет 01-05.10'!D:D,"Возврат выручки",'Отчет 01-05.10'!E:E,B11)</f>
        <v>0</v>
      </c>
      <c r="R11" s="49">
        <f t="shared" si="1"/>
        <v>0</v>
      </c>
      <c r="S11" s="50">
        <f>SUMIFS('Отчет 01-05.10'!O:O,'Отчет 01-05.10'!C:C,"Продажи",'Отчет 01-05.10'!E:E,B11)</f>
        <v>0</v>
      </c>
      <c r="T11" s="51">
        <f>SUMIFS('Отчет 01-05.10'!O:O,'Отчет 01-05.10'!C:C,"Возвраты",'Отчет 01-05.10'!E:E,B11)</f>
        <v>0</v>
      </c>
      <c r="U11" s="49">
        <f t="shared" si="2"/>
        <v>0</v>
      </c>
      <c r="V11" s="52">
        <f t="shared" si="3"/>
        <v>0</v>
      </c>
      <c r="W11" s="53">
        <f t="shared" si="4"/>
        <v>0</v>
      </c>
      <c r="X11" s="51">
        <f>-SUMIFS('Отчет 01-05.10'!O:O,'Отчет 01-05.10'!C:C,"Вознаграждение Ozon",'Отчет 01-05.10'!E:E,B11)</f>
        <v>0</v>
      </c>
      <c r="Y11" s="54">
        <f t="shared" si="5"/>
        <v>0</v>
      </c>
      <c r="Z11" s="51">
        <f>-SUMIFS('Отчет 01-05.10'!O:O,'Отчет 01-05.10'!C:C,"Услуги доставки",'Отчет 01-05.10'!E:E,B11)</f>
        <v>0</v>
      </c>
      <c r="AA11" s="41">
        <v>0</v>
      </c>
      <c r="AB11" s="64"/>
      <c r="AC11" s="51"/>
      <c r="AD11" s="55">
        <f t="shared" si="6"/>
        <v>0</v>
      </c>
      <c r="AE11" s="56">
        <f t="shared" si="7"/>
        <v>0</v>
      </c>
      <c r="AF11" s="55"/>
      <c r="AG11" s="57">
        <f t="shared" si="8"/>
        <v>0</v>
      </c>
      <c r="AH11" s="58">
        <f t="shared" si="9"/>
        <v>169.89</v>
      </c>
      <c r="AI11" s="58">
        <f t="shared" si="10"/>
        <v>0</v>
      </c>
      <c r="AJ11" s="58">
        <f t="shared" si="11"/>
        <v>0</v>
      </c>
      <c r="AK11" s="58">
        <f t="shared" si="12"/>
        <v>0</v>
      </c>
      <c r="AL11" s="58">
        <f t="array" ref="AL11">_xlfn.IFS(R11=0,AE11,R11&lt;0,AE11/-R11,R11&gt;0,AE11/R11)</f>
        <v>0</v>
      </c>
      <c r="AM11" s="59">
        <f t="shared" si="13"/>
        <v>0</v>
      </c>
      <c r="AN11" s="60">
        <f t="shared" si="14"/>
        <v>0</v>
      </c>
      <c r="AP11" s="62">
        <f t="shared" si="15"/>
        <v>0</v>
      </c>
    </row>
    <row r="12" spans="1:42" ht="13.75" customHeight="1">
      <c r="A12" s="39">
        <v>2730129638</v>
      </c>
      <c r="B12" s="40" t="s">
        <v>227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1">
        <v>0</v>
      </c>
      <c r="L12" s="45"/>
      <c r="M12" s="45"/>
      <c r="N12" s="46">
        <f t="shared" si="16"/>
        <v>0</v>
      </c>
      <c r="O12" s="47">
        <f t="shared" si="17"/>
        <v>0.2</v>
      </c>
      <c r="P12" s="48">
        <f>SUMIFS('Отчет 01-05.10'!H:H,'Отчет 01-05.10'!D:D,"Выручка",'Отчет 01-05.10'!E:E,B12)</f>
        <v>1</v>
      </c>
      <c r="Q12" s="48">
        <f>SUMIFS('Отчет 01-05.10'!H:H,'Отчет 01-05.10'!D:D,"Возврат выручки",'Отчет 01-05.10'!E:E,B12)</f>
        <v>0</v>
      </c>
      <c r="R12" s="49">
        <f t="shared" si="1"/>
        <v>1</v>
      </c>
      <c r="S12" s="50">
        <f>SUMIFS('Отчет 01-05.10'!O:O,'Отчет 01-05.10'!C:C,"Продажи",'Отчет 01-05.10'!E:E,B12)</f>
        <v>1380</v>
      </c>
      <c r="T12" s="51">
        <f>SUMIFS('Отчет 01-05.10'!O:O,'Отчет 01-05.10'!C:C,"Возвраты",'Отчет 01-05.10'!E:E,B12)</f>
        <v>0</v>
      </c>
      <c r="U12" s="49">
        <f t="shared" si="2"/>
        <v>1380</v>
      </c>
      <c r="V12" s="52">
        <f t="shared" si="3"/>
        <v>2.0140399013412337E-2</v>
      </c>
      <c r="W12" s="53">
        <f t="shared" si="4"/>
        <v>169.89</v>
      </c>
      <c r="X12" s="51">
        <f>-SUMIFS('Отчет 01-05.10'!O:O,'Отчет 01-05.10'!C:C,"Вознаграждение Ozon",'Отчет 01-05.10'!E:E,B12)</f>
        <v>276</v>
      </c>
      <c r="Y12" s="54">
        <f t="shared" si="5"/>
        <v>0.2</v>
      </c>
      <c r="Z12" s="51">
        <f>-SUMIFS('Отчет 01-05.10'!O:O,'Отчет 01-05.10'!C:C,"Услуги доставки",'Отчет 01-05.10'!E:E,B12)</f>
        <v>138</v>
      </c>
      <c r="AA12" s="41">
        <v>135</v>
      </c>
      <c r="AB12" s="64"/>
      <c r="AC12" s="51"/>
      <c r="AD12" s="55">
        <f t="shared" si="6"/>
        <v>82.8</v>
      </c>
      <c r="AE12" s="56">
        <f t="shared" si="7"/>
        <v>578.31000000000017</v>
      </c>
      <c r="AF12" s="55"/>
      <c r="AG12" s="57">
        <f t="shared" si="8"/>
        <v>1380</v>
      </c>
      <c r="AH12" s="58">
        <f t="shared" si="9"/>
        <v>169.89</v>
      </c>
      <c r="AI12" s="58">
        <f t="shared" si="10"/>
        <v>276</v>
      </c>
      <c r="AJ12" s="58">
        <f t="shared" si="11"/>
        <v>138</v>
      </c>
      <c r="AK12" s="58">
        <f t="shared" si="12"/>
        <v>135</v>
      </c>
      <c r="AL12" s="58">
        <f t="array" ref="AL12">_xlfn.IFS(R12=0,AE12,R12&lt;0,AE12/-R12,R12&gt;0,AE12/R12)</f>
        <v>578.31000000000017</v>
      </c>
      <c r="AM12" s="59">
        <f t="shared" si="13"/>
        <v>0.41906521739130448</v>
      </c>
      <c r="AN12" s="60">
        <f t="shared" si="14"/>
        <v>3.4040261345576561</v>
      </c>
      <c r="AP12" s="62">
        <f t="shared" si="15"/>
        <v>0</v>
      </c>
    </row>
    <row r="13" spans="1:42" ht="13.75" customHeight="1">
      <c r="A13" s="39">
        <v>2730130141</v>
      </c>
      <c r="B13" s="40" t="s">
        <v>228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1">
        <v>0</v>
      </c>
      <c r="L13" s="45"/>
      <c r="M13" s="45"/>
      <c r="N13" s="46">
        <f t="shared" si="16"/>
        <v>0</v>
      </c>
      <c r="O13" s="47">
        <f t="shared" si="17"/>
        <v>0</v>
      </c>
      <c r="P13" s="48">
        <f>SUMIFS('Отчет 01-05.10'!H:H,'Отчет 01-05.10'!D:D,"Выручка",'Отчет 01-05.10'!E:E,B13)</f>
        <v>0</v>
      </c>
      <c r="Q13" s="48">
        <f>SUMIFS('Отчет 01-05.10'!H:H,'Отчет 01-05.10'!D:D,"Возврат выручки",'Отчет 01-05.10'!E:E,B13)</f>
        <v>0</v>
      </c>
      <c r="R13" s="49">
        <f t="shared" si="1"/>
        <v>0</v>
      </c>
      <c r="S13" s="50">
        <f>SUMIFS('Отчет 01-05.10'!O:O,'Отчет 01-05.10'!C:C,"Продажи",'Отчет 01-05.10'!E:E,B13)</f>
        <v>0</v>
      </c>
      <c r="T13" s="51">
        <f>SUMIFS('Отчет 01-05.10'!O:O,'Отчет 01-05.10'!C:C,"Возвраты",'Отчет 01-05.10'!E:E,B13)</f>
        <v>0</v>
      </c>
      <c r="U13" s="49">
        <f t="shared" si="2"/>
        <v>0</v>
      </c>
      <c r="V13" s="52">
        <f t="shared" si="3"/>
        <v>0</v>
      </c>
      <c r="W13" s="53">
        <f t="shared" si="4"/>
        <v>0</v>
      </c>
      <c r="X13" s="51">
        <f>-SUMIFS('Отчет 01-05.10'!O:O,'Отчет 01-05.10'!C:C,"Вознаграждение Ozon",'Отчет 01-05.10'!E:E,B13)</f>
        <v>0</v>
      </c>
      <c r="Y13" s="54">
        <f t="shared" si="5"/>
        <v>0</v>
      </c>
      <c r="Z13" s="51">
        <f>-SUMIFS('Отчет 01-05.10'!O:O,'Отчет 01-05.10'!C:C,"Услуги доставки",'Отчет 01-05.10'!E:E,B13)</f>
        <v>0</v>
      </c>
      <c r="AA13" s="41">
        <v>0</v>
      </c>
      <c r="AB13" s="64"/>
      <c r="AC13" s="51"/>
      <c r="AD13" s="55">
        <f t="shared" si="6"/>
        <v>0</v>
      </c>
      <c r="AE13" s="56">
        <f t="shared" si="7"/>
        <v>0</v>
      </c>
      <c r="AF13" s="55"/>
      <c r="AG13" s="57">
        <f t="shared" si="8"/>
        <v>0</v>
      </c>
      <c r="AH13" s="58">
        <f t="shared" si="9"/>
        <v>169.89</v>
      </c>
      <c r="AI13" s="58">
        <f t="shared" si="10"/>
        <v>0</v>
      </c>
      <c r="AJ13" s="58">
        <f t="shared" si="11"/>
        <v>0</v>
      </c>
      <c r="AK13" s="58">
        <f t="shared" si="12"/>
        <v>0</v>
      </c>
      <c r="AL13" s="58">
        <f t="array" ref="AL13">_xlfn.IFS(R13=0,AE13,R13&lt;0,AE13/-R13,R13&gt;0,AE13/R13)</f>
        <v>0</v>
      </c>
      <c r="AM13" s="59">
        <f t="shared" si="13"/>
        <v>0</v>
      </c>
      <c r="AN13" s="60">
        <f t="shared" si="14"/>
        <v>0</v>
      </c>
      <c r="AP13" s="62">
        <f t="shared" si="15"/>
        <v>0</v>
      </c>
    </row>
    <row r="14" spans="1:42" ht="13.75" customHeight="1">
      <c r="A14" s="39">
        <v>2730129805</v>
      </c>
      <c r="B14" s="40" t="s">
        <v>19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1">
        <v>2</v>
      </c>
      <c r="L14" s="45"/>
      <c r="M14" s="45"/>
      <c r="N14" s="46">
        <f t="shared" si="16"/>
        <v>0.4</v>
      </c>
      <c r="O14" s="47">
        <f t="shared" si="17"/>
        <v>0</v>
      </c>
      <c r="P14" s="48">
        <f>SUMIFS('Отчет 01-05.10'!H:H,'Отчет 01-05.10'!D:D,"Выручка",'Отчет 01-05.10'!E:E,B14)</f>
        <v>0</v>
      </c>
      <c r="Q14" s="48">
        <f>SUMIFS('Отчет 01-05.10'!H:H,'Отчет 01-05.10'!D:D,"Возврат выручки",'Отчет 01-05.10'!E:E,B14)</f>
        <v>0</v>
      </c>
      <c r="R14" s="49">
        <f t="shared" si="1"/>
        <v>0</v>
      </c>
      <c r="S14" s="50">
        <f>SUMIFS('Отчет 01-05.10'!O:O,'Отчет 01-05.10'!C:C,"Продажи",'Отчет 01-05.10'!E:E,B14)</f>
        <v>0</v>
      </c>
      <c r="T14" s="51">
        <f>SUMIFS('Отчет 01-05.10'!O:O,'Отчет 01-05.10'!C:C,"Возвраты",'Отчет 01-05.10'!E:E,B14)</f>
        <v>0</v>
      </c>
      <c r="U14" s="49">
        <f t="shared" si="2"/>
        <v>0</v>
      </c>
      <c r="V14" s="52">
        <f t="shared" si="3"/>
        <v>0</v>
      </c>
      <c r="W14" s="53">
        <f t="shared" si="4"/>
        <v>0</v>
      </c>
      <c r="X14" s="51">
        <f>-SUMIFS('Отчет 01-05.10'!O:O,'Отчет 01-05.10'!C:C,"Вознаграждение Ozon",'Отчет 01-05.10'!E:E,B14)</f>
        <v>0</v>
      </c>
      <c r="Y14" s="54">
        <f t="shared" si="5"/>
        <v>0</v>
      </c>
      <c r="Z14" s="51">
        <f>-SUMIFS('Отчет 01-05.10'!O:O,'Отчет 01-05.10'!C:C,"Услуги доставки",'Отчет 01-05.10'!E:E,B14)</f>
        <v>92</v>
      </c>
      <c r="AA14" s="41">
        <v>1586.763105</v>
      </c>
      <c r="AB14" s="64"/>
      <c r="AC14" s="51"/>
      <c r="AD14" s="55">
        <f t="shared" si="6"/>
        <v>0</v>
      </c>
      <c r="AE14" s="56">
        <f t="shared" si="7"/>
        <v>-1678.763105</v>
      </c>
      <c r="AF14" s="55"/>
      <c r="AG14" s="57">
        <f t="shared" si="8"/>
        <v>0</v>
      </c>
      <c r="AH14" s="58">
        <f t="shared" si="9"/>
        <v>169.89</v>
      </c>
      <c r="AI14" s="58">
        <f t="shared" si="10"/>
        <v>0</v>
      </c>
      <c r="AJ14" s="58">
        <f t="shared" si="11"/>
        <v>92</v>
      </c>
      <c r="AK14" s="58">
        <f t="shared" si="12"/>
        <v>0</v>
      </c>
      <c r="AL14" s="58">
        <f t="array" ref="AL14">_xlfn.IFS(R14=0,AE14,R14&lt;0,AE14/-R14,R14&gt;0,AE14/R14)</f>
        <v>-1678.763105</v>
      </c>
      <c r="AM14" s="59">
        <f t="shared" si="13"/>
        <v>0</v>
      </c>
      <c r="AN14" s="60">
        <f t="shared" si="14"/>
        <v>-9.8814709812231456</v>
      </c>
      <c r="AP14" s="62">
        <f t="shared" si="15"/>
        <v>0</v>
      </c>
    </row>
    <row r="15" spans="1:42" ht="13.75" customHeight="1">
      <c r="A15" s="39">
        <v>2807226201</v>
      </c>
      <c r="B15" s="40" t="s">
        <v>229</v>
      </c>
      <c r="C15" s="41"/>
      <c r="D15" s="42"/>
      <c r="E15" s="42"/>
      <c r="F15" s="42"/>
      <c r="G15" s="43"/>
      <c r="H15" s="44">
        <v>1002.82</v>
      </c>
      <c r="I15" s="63">
        <f t="shared" si="0"/>
        <v>0</v>
      </c>
      <c r="J15" s="45"/>
      <c r="K15" s="41">
        <v>0</v>
      </c>
      <c r="L15" s="45"/>
      <c r="M15" s="45"/>
      <c r="N15" s="46">
        <f t="shared" si="16"/>
        <v>0</v>
      </c>
      <c r="O15" s="47">
        <f t="shared" si="17"/>
        <v>0</v>
      </c>
      <c r="P15" s="48">
        <f>SUMIFS('Отчет 01-05.10'!H:H,'Отчет 01-05.10'!D:D,"Выручка",'Отчет 01-05.10'!E:E,B15)</f>
        <v>0</v>
      </c>
      <c r="Q15" s="48">
        <f>SUMIFS('Отчет 01-05.10'!H:H,'Отчет 01-05.10'!D:D,"Возврат выручки",'Отчет 01-05.10'!E:E,B15)</f>
        <v>0</v>
      </c>
      <c r="R15" s="49">
        <f t="shared" si="1"/>
        <v>0</v>
      </c>
      <c r="S15" s="50">
        <f>SUMIFS('Отчет 01-05.10'!O:O,'Отчет 01-05.10'!C:C,"Продажи",'Отчет 01-05.10'!E:E,B15)</f>
        <v>0</v>
      </c>
      <c r="T15" s="51">
        <f>SUMIFS('Отчет 01-05.10'!O:O,'Отчет 01-05.10'!C:C,"Возвраты",'Отчет 01-05.10'!E:E,B15)</f>
        <v>0</v>
      </c>
      <c r="U15" s="49">
        <f t="shared" si="2"/>
        <v>0</v>
      </c>
      <c r="V15" s="52">
        <f t="shared" si="3"/>
        <v>0</v>
      </c>
      <c r="W15" s="53">
        <f t="shared" si="4"/>
        <v>0</v>
      </c>
      <c r="X15" s="51">
        <f>-SUMIFS('Отчет 01-05.10'!O:O,'Отчет 01-05.10'!C:C,"Вознаграждение Ozon",'Отчет 01-05.10'!E:E,B15)</f>
        <v>0</v>
      </c>
      <c r="Y15" s="54">
        <f t="shared" si="5"/>
        <v>0</v>
      </c>
      <c r="Z15" s="51">
        <f>-SUMIFS('Отчет 01-05.10'!O:O,'Отчет 01-05.10'!C:C,"Услуги доставки",'Отчет 01-05.10'!E:E,B15)</f>
        <v>0</v>
      </c>
      <c r="AA15" s="41">
        <v>1042.435035</v>
      </c>
      <c r="AB15" s="64"/>
      <c r="AC15" s="51"/>
      <c r="AD15" s="55">
        <f t="shared" si="6"/>
        <v>0</v>
      </c>
      <c r="AE15" s="56">
        <f t="shared" si="7"/>
        <v>-1042.435035</v>
      </c>
      <c r="AF15" s="55"/>
      <c r="AG15" s="57">
        <f t="shared" si="8"/>
        <v>0</v>
      </c>
      <c r="AH15" s="58">
        <f t="shared" si="9"/>
        <v>1002.82</v>
      </c>
      <c r="AI15" s="58">
        <f t="shared" si="10"/>
        <v>0</v>
      </c>
      <c r="AJ15" s="58">
        <f t="shared" si="11"/>
        <v>0</v>
      </c>
      <c r="AK15" s="58">
        <f t="shared" si="12"/>
        <v>0</v>
      </c>
      <c r="AL15" s="58">
        <f t="array" ref="AL15">_xlfn.IFS(R15=0,AE15,R15&lt;0,AE15/-R15,R15&gt;0,AE15/R15)</f>
        <v>-1042.435035</v>
      </c>
      <c r="AM15" s="59">
        <f t="shared" si="13"/>
        <v>0</v>
      </c>
      <c r="AN15" s="60">
        <f t="shared" si="14"/>
        <v>-1.0395036347500048</v>
      </c>
      <c r="AP15" s="62">
        <f t="shared" si="15"/>
        <v>0</v>
      </c>
    </row>
    <row r="16" spans="1:42" ht="13.75" customHeight="1">
      <c r="A16" s="39">
        <v>2807226228</v>
      </c>
      <c r="B16" s="40" t="s">
        <v>230</v>
      </c>
      <c r="C16" s="41"/>
      <c r="D16" s="42"/>
      <c r="E16" s="42"/>
      <c r="F16" s="42"/>
      <c r="G16" s="43"/>
      <c r="H16" s="44">
        <v>909.22</v>
      </c>
      <c r="I16" s="63">
        <f t="shared" si="0"/>
        <v>0</v>
      </c>
      <c r="J16" s="45"/>
      <c r="K16" s="41">
        <v>0</v>
      </c>
      <c r="L16" s="45"/>
      <c r="M16" s="45"/>
      <c r="N16" s="46">
        <f t="shared" si="16"/>
        <v>0</v>
      </c>
      <c r="O16" s="47">
        <f t="shared" si="17"/>
        <v>0</v>
      </c>
      <c r="P16" s="48">
        <f>SUMIFS('Отчет 01-05.10'!H:H,'Отчет 01-05.10'!D:D,"Выручка",'Отчет 01-05.10'!E:E,B16)</f>
        <v>0</v>
      </c>
      <c r="Q16" s="48">
        <f>SUMIFS('Отчет 01-05.10'!H:H,'Отчет 01-05.10'!D:D,"Возврат выручки",'Отчет 01-05.10'!E:E,B16)</f>
        <v>0</v>
      </c>
      <c r="R16" s="49">
        <f t="shared" si="1"/>
        <v>0</v>
      </c>
      <c r="S16" s="50">
        <f>SUMIFS('Отчет 01-05.10'!O:O,'Отчет 01-05.10'!C:C,"Продажи",'Отчет 01-05.10'!E:E,B16)</f>
        <v>0</v>
      </c>
      <c r="T16" s="51">
        <f>SUMIFS('Отчет 01-05.10'!O:O,'Отчет 01-05.10'!C:C,"Возвраты",'Отчет 01-05.10'!E:E,B16)</f>
        <v>0</v>
      </c>
      <c r="U16" s="49">
        <f t="shared" si="2"/>
        <v>0</v>
      </c>
      <c r="V16" s="52">
        <f t="shared" si="3"/>
        <v>0</v>
      </c>
      <c r="W16" s="53">
        <f t="shared" si="4"/>
        <v>0</v>
      </c>
      <c r="X16" s="51">
        <f>-SUMIFS('Отчет 01-05.10'!O:O,'Отчет 01-05.10'!C:C,"Вознаграждение Ozon",'Отчет 01-05.10'!E:E,B16)</f>
        <v>0</v>
      </c>
      <c r="Y16" s="54">
        <f t="shared" si="5"/>
        <v>0</v>
      </c>
      <c r="Z16" s="51">
        <f>-SUMIFS('Отчет 01-05.10'!O:O,'Отчет 01-05.10'!C:C,"Услуги доставки",'Отчет 01-05.10'!E:E,B16)</f>
        <v>0</v>
      </c>
      <c r="AA16" s="41">
        <v>0</v>
      </c>
      <c r="AB16" s="64"/>
      <c r="AC16" s="51"/>
      <c r="AD16" s="55">
        <f t="shared" si="6"/>
        <v>0</v>
      </c>
      <c r="AE16" s="56">
        <f t="shared" si="7"/>
        <v>0</v>
      </c>
      <c r="AF16" s="55"/>
      <c r="AG16" s="57">
        <f t="shared" si="8"/>
        <v>0</v>
      </c>
      <c r="AH16" s="58">
        <f t="shared" si="9"/>
        <v>909.22</v>
      </c>
      <c r="AI16" s="58">
        <f t="shared" si="10"/>
        <v>0</v>
      </c>
      <c r="AJ16" s="58">
        <f t="shared" si="11"/>
        <v>0</v>
      </c>
      <c r="AK16" s="58">
        <f t="shared" si="12"/>
        <v>0</v>
      </c>
      <c r="AL16" s="58">
        <f t="array" ref="AL16">_xlfn.IFS(R16=0,AE16,R16&lt;0,AE16/-R16,R16&gt;0,AE16/R16)</f>
        <v>0</v>
      </c>
      <c r="AM16" s="59">
        <f t="shared" si="13"/>
        <v>0</v>
      </c>
      <c r="AN16" s="60">
        <f t="shared" si="14"/>
        <v>0</v>
      </c>
      <c r="AP16" s="62">
        <f t="shared" si="15"/>
        <v>0</v>
      </c>
    </row>
    <row r="17" spans="1:52" ht="13.75" customHeight="1">
      <c r="A17" s="39">
        <v>2807226016</v>
      </c>
      <c r="B17" s="40" t="s">
        <v>231</v>
      </c>
      <c r="C17" s="41"/>
      <c r="D17" s="42"/>
      <c r="E17" s="42"/>
      <c r="F17" s="42"/>
      <c r="G17" s="43"/>
      <c r="H17" s="44">
        <v>909.22</v>
      </c>
      <c r="I17" s="63">
        <f t="shared" si="0"/>
        <v>0</v>
      </c>
      <c r="J17" s="45"/>
      <c r="K17" s="41">
        <v>0</v>
      </c>
      <c r="L17" s="45"/>
      <c r="M17" s="45"/>
      <c r="N17" s="46">
        <f t="shared" si="16"/>
        <v>0</v>
      </c>
      <c r="O17" s="47">
        <f t="shared" si="17"/>
        <v>0</v>
      </c>
      <c r="P17" s="48">
        <f>SUMIFS('Отчет 01-05.10'!H:H,'Отчет 01-05.10'!D:D,"Выручка",'Отчет 01-05.10'!E:E,B17)</f>
        <v>0</v>
      </c>
      <c r="Q17" s="48">
        <f>SUMIFS('Отчет 01-05.10'!H:H,'Отчет 01-05.10'!D:D,"Возврат выручки",'Отчет 01-05.10'!E:E,B17)</f>
        <v>0</v>
      </c>
      <c r="R17" s="49">
        <f t="shared" si="1"/>
        <v>0</v>
      </c>
      <c r="S17" s="50">
        <f>SUMIFS('Отчет 01-05.10'!O:O,'Отчет 01-05.10'!C:C,"Продажи",'Отчет 01-05.10'!E:E,B17)</f>
        <v>0</v>
      </c>
      <c r="T17" s="51">
        <f>SUMIFS('Отчет 01-05.10'!O:O,'Отчет 01-05.10'!C:C,"Возвраты",'Отчет 01-05.10'!E:E,B17)</f>
        <v>0</v>
      </c>
      <c r="U17" s="49">
        <f t="shared" si="2"/>
        <v>0</v>
      </c>
      <c r="V17" s="52">
        <f t="shared" si="3"/>
        <v>0</v>
      </c>
      <c r="W17" s="53">
        <f t="shared" si="4"/>
        <v>0</v>
      </c>
      <c r="X17" s="51">
        <f>-SUMIFS('Отчет 01-05.10'!O:O,'Отчет 01-05.10'!C:C,"Вознаграждение Ozon",'Отчет 01-05.10'!E:E,B17)</f>
        <v>0</v>
      </c>
      <c r="Y17" s="54">
        <f t="shared" si="5"/>
        <v>0</v>
      </c>
      <c r="Z17" s="51">
        <f>-SUMIFS('Отчет 01-05.10'!O:O,'Отчет 01-05.10'!C:C,"Услуги доставки",'Отчет 01-05.10'!E:E,B17)</f>
        <v>0</v>
      </c>
      <c r="AA17" s="41">
        <v>2674.2647889999998</v>
      </c>
      <c r="AB17" s="64"/>
      <c r="AC17" s="51"/>
      <c r="AD17" s="55">
        <f t="shared" si="6"/>
        <v>0</v>
      </c>
      <c r="AE17" s="56">
        <f t="shared" si="7"/>
        <v>-2674.2647889999998</v>
      </c>
      <c r="AF17" s="55"/>
      <c r="AG17" s="57">
        <f t="shared" si="8"/>
        <v>0</v>
      </c>
      <c r="AH17" s="58">
        <f t="shared" si="9"/>
        <v>909.22</v>
      </c>
      <c r="AI17" s="58">
        <f t="shared" si="10"/>
        <v>0</v>
      </c>
      <c r="AJ17" s="58">
        <f t="shared" si="11"/>
        <v>0</v>
      </c>
      <c r="AK17" s="58">
        <f t="shared" si="12"/>
        <v>0</v>
      </c>
      <c r="AL17" s="58">
        <f t="array" ref="AL17">_xlfn.IFS(R17=0,AE17,R17&lt;0,AE17/-R17,R17&gt;0,AE17/R17)</f>
        <v>-2674.2647889999998</v>
      </c>
      <c r="AM17" s="59">
        <f t="shared" si="13"/>
        <v>0</v>
      </c>
      <c r="AN17" s="60">
        <f t="shared" si="14"/>
        <v>-2.9412736070477989</v>
      </c>
      <c r="AP17" s="62">
        <f t="shared" si="15"/>
        <v>0</v>
      </c>
    </row>
    <row r="18" spans="1:52" ht="13.75" customHeight="1">
      <c r="A18" s="39">
        <v>2807226072</v>
      </c>
      <c r="B18" s="40" t="s">
        <v>111</v>
      </c>
      <c r="C18" s="41"/>
      <c r="D18" s="42"/>
      <c r="E18" s="42"/>
      <c r="F18" s="42"/>
      <c r="G18" s="43"/>
      <c r="H18" s="44">
        <v>932.62</v>
      </c>
      <c r="I18" s="63">
        <f t="shared" si="0"/>
        <v>0</v>
      </c>
      <c r="J18" s="45"/>
      <c r="K18" s="41">
        <v>0</v>
      </c>
      <c r="L18" s="45"/>
      <c r="M18" s="45"/>
      <c r="N18" s="46">
        <f t="shared" si="16"/>
        <v>0</v>
      </c>
      <c r="O18" s="47">
        <f t="shared" si="17"/>
        <v>0.4</v>
      </c>
      <c r="P18" s="48">
        <f>SUMIFS('Отчет 01-05.10'!H:H,'Отчет 01-05.10'!D:D,"Выручка",'Отчет 01-05.10'!E:E,B18)</f>
        <v>1</v>
      </c>
      <c r="Q18" s="48">
        <f>SUMIFS('Отчет 01-05.10'!H:H,'Отчет 01-05.10'!D:D,"Возврат выручки",'Отчет 01-05.10'!E:E,B18)</f>
        <v>1</v>
      </c>
      <c r="R18" s="49">
        <f t="shared" si="1"/>
        <v>2</v>
      </c>
      <c r="S18" s="50">
        <f>SUMIFS('Отчет 01-05.10'!O:O,'Отчет 01-05.10'!C:C,"Продажи",'Отчет 01-05.10'!E:E,B18)</f>
        <v>3205</v>
      </c>
      <c r="T18" s="51">
        <f>SUMIFS('Отчет 01-05.10'!O:O,'Отчет 01-05.10'!C:C,"Возвраты",'Отчет 01-05.10'!E:E,B18)</f>
        <v>-3205</v>
      </c>
      <c r="U18" s="49">
        <f t="shared" si="2"/>
        <v>0</v>
      </c>
      <c r="V18" s="52">
        <f t="shared" si="3"/>
        <v>0</v>
      </c>
      <c r="W18" s="53">
        <f t="shared" si="4"/>
        <v>1865.24</v>
      </c>
      <c r="X18" s="51">
        <f>-SUMIFS('Отчет 01-05.10'!O:O,'Отчет 01-05.10'!C:C,"Вознаграждение Ozon",'Отчет 01-05.10'!E:E,B18)</f>
        <v>0</v>
      </c>
      <c r="Y18" s="54">
        <f t="shared" si="5"/>
        <v>0</v>
      </c>
      <c r="Z18" s="51">
        <f>-SUMIFS('Отчет 01-05.10'!O:O,'Отчет 01-05.10'!C:C,"Услуги доставки",'Отчет 01-05.10'!E:E,B18)</f>
        <v>108</v>
      </c>
      <c r="AA18" s="41">
        <v>288.45</v>
      </c>
      <c r="AB18" s="64"/>
      <c r="AC18" s="51"/>
      <c r="AD18" s="55">
        <f t="shared" si="6"/>
        <v>0</v>
      </c>
      <c r="AE18" s="56">
        <f t="shared" si="7"/>
        <v>-2261.69</v>
      </c>
      <c r="AF18" s="55"/>
      <c r="AG18" s="57">
        <f t="shared" si="8"/>
        <v>0</v>
      </c>
      <c r="AH18" s="58">
        <f t="shared" si="9"/>
        <v>932.62</v>
      </c>
      <c r="AI18" s="58">
        <f t="shared" si="10"/>
        <v>0</v>
      </c>
      <c r="AJ18" s="58">
        <f t="shared" si="11"/>
        <v>108</v>
      </c>
      <c r="AK18" s="58">
        <f t="shared" si="12"/>
        <v>288.45</v>
      </c>
      <c r="AL18" s="58">
        <f t="array" ref="AL18">_xlfn.IFS(R18=0,AE18,R18&lt;0,AE18/-R18,R18&gt;0,AE18/R18)</f>
        <v>-1130.845</v>
      </c>
      <c r="AM18" s="59">
        <f t="shared" si="13"/>
        <v>0</v>
      </c>
      <c r="AN18" s="60">
        <f t="shared" si="14"/>
        <v>-1.2125463747292573</v>
      </c>
      <c r="AP18" s="62">
        <f t="shared" si="15"/>
        <v>0</v>
      </c>
    </row>
    <row r="19" spans="1:52" ht="13.75" customHeight="1">
      <c r="A19" s="39">
        <v>2807226223</v>
      </c>
      <c r="B19" s="40" t="s">
        <v>232</v>
      </c>
      <c r="C19" s="41"/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6"/>
        <v>0</v>
      </c>
      <c r="O19" s="47">
        <f t="shared" si="17"/>
        <v>0</v>
      </c>
      <c r="P19" s="48">
        <f>SUMIFS('Отчет 01-05.10'!H:H,'Отчет 01-05.10'!D:D,"Выручка",'Отчет 01-05.10'!E:E,B19)</f>
        <v>0</v>
      </c>
      <c r="Q19" s="48">
        <f>SUMIFS('Отчет 01-05.10'!H:H,'Отчет 01-05.10'!D:D,"Возврат выручки",'Отчет 01-05.10'!E:E,B19)</f>
        <v>0</v>
      </c>
      <c r="R19" s="49">
        <f t="shared" si="1"/>
        <v>0</v>
      </c>
      <c r="S19" s="50">
        <f>SUMIFS('Отчет 01-05.10'!O:O,'Отчет 01-05.10'!C:C,"Продажи",'Отчет 01-05.10'!E:E,B19)</f>
        <v>0</v>
      </c>
      <c r="T19" s="51">
        <f>SUMIFS('Отчет 01-05.10'!O:O,'Отчет 01-05.10'!C:C,"Возвраты",'Отчет 01-05.10'!E:E,B19)</f>
        <v>0</v>
      </c>
      <c r="U19" s="49">
        <f t="shared" si="2"/>
        <v>0</v>
      </c>
      <c r="V19" s="52">
        <f t="shared" si="3"/>
        <v>0</v>
      </c>
      <c r="W19" s="53">
        <f t="shared" si="4"/>
        <v>0</v>
      </c>
      <c r="X19" s="51">
        <f>-SUMIFS('Отчет 01-05.10'!O:O,'Отчет 01-05.10'!C:C,"Вознаграждение Ozon",'Отчет 01-05.10'!E:E,B19)</f>
        <v>0</v>
      </c>
      <c r="Y19" s="54">
        <f t="shared" si="5"/>
        <v>0</v>
      </c>
      <c r="Z19" s="51">
        <f>-SUMIFS('Отчет 01-05.10'!O:O,'Отчет 01-05.10'!C:C,"Услуги доставки",'Отчет 01-05.10'!E:E,B19)</f>
        <v>0</v>
      </c>
      <c r="AA19" s="41">
        <v>0</v>
      </c>
      <c r="AB19" s="64"/>
      <c r="AC19" s="51"/>
      <c r="AD19" s="55">
        <f t="shared" si="6"/>
        <v>0</v>
      </c>
      <c r="AE19" s="56">
        <f t="shared" si="7"/>
        <v>0</v>
      </c>
      <c r="AF19" s="55"/>
      <c r="AG19" s="57">
        <f t="shared" si="8"/>
        <v>0</v>
      </c>
      <c r="AH19" s="58">
        <f t="shared" si="9"/>
        <v>1014.52</v>
      </c>
      <c r="AI19" s="58">
        <f t="shared" si="10"/>
        <v>0</v>
      </c>
      <c r="AJ19" s="58">
        <f t="shared" si="11"/>
        <v>0</v>
      </c>
      <c r="AK19" s="58">
        <f t="shared" si="12"/>
        <v>0</v>
      </c>
      <c r="AL19" s="58">
        <f t="array" ref="AL19">_xlfn.IFS(R19=0,AE19,R19&lt;0,AE19/-R19,R19&gt;0,AE19/R19)</f>
        <v>0</v>
      </c>
      <c r="AM19" s="59">
        <f t="shared" si="13"/>
        <v>0</v>
      </c>
      <c r="AN19" s="60">
        <f t="shared" si="14"/>
        <v>0</v>
      </c>
      <c r="AP19" s="62">
        <f t="shared" si="15"/>
        <v>0</v>
      </c>
    </row>
    <row r="20" spans="1:52" ht="13.75" customHeight="1">
      <c r="A20" s="39">
        <v>2807226341</v>
      </c>
      <c r="B20" s="40" t="s">
        <v>136</v>
      </c>
      <c r="C20" s="41"/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v>0</v>
      </c>
      <c r="L20" s="45"/>
      <c r="M20" s="45"/>
      <c r="N20" s="46">
        <f t="shared" si="16"/>
        <v>0</v>
      </c>
      <c r="O20" s="47">
        <f t="shared" si="17"/>
        <v>0</v>
      </c>
      <c r="P20" s="48">
        <f>SUMIFS('Отчет 01-05.10'!H:H,'Отчет 01-05.10'!D:D,"Выручка",'Отчет 01-05.10'!E:E,B20)</f>
        <v>0</v>
      </c>
      <c r="Q20" s="48">
        <f>SUMIFS('Отчет 01-05.10'!H:H,'Отчет 01-05.10'!D:D,"Возврат выручки",'Отчет 01-05.10'!E:E,B20)</f>
        <v>0</v>
      </c>
      <c r="R20" s="49">
        <f t="shared" si="1"/>
        <v>0</v>
      </c>
      <c r="S20" s="50">
        <f>SUMIFS('Отчет 01-05.10'!O:O,'Отчет 01-05.10'!C:C,"Продажи",'Отчет 01-05.10'!E:E,B20)</f>
        <v>0</v>
      </c>
      <c r="T20" s="51">
        <f>SUMIFS('Отчет 01-05.10'!O:O,'Отчет 01-05.10'!C:C,"Возвраты",'Отчет 01-05.10'!E:E,B20)</f>
        <v>0</v>
      </c>
      <c r="U20" s="49">
        <f t="shared" si="2"/>
        <v>0</v>
      </c>
      <c r="V20" s="52">
        <f t="shared" si="3"/>
        <v>0</v>
      </c>
      <c r="W20" s="53">
        <f t="shared" si="4"/>
        <v>0</v>
      </c>
      <c r="X20" s="51">
        <f>-SUMIFS('Отчет 01-05.10'!O:O,'Отчет 01-05.10'!C:C,"Вознаграждение Ozon",'Отчет 01-05.10'!E:E,B20)</f>
        <v>0</v>
      </c>
      <c r="Y20" s="54">
        <f t="shared" si="5"/>
        <v>0</v>
      </c>
      <c r="Z20" s="51">
        <f>-SUMIFS('Отчет 01-05.10'!O:O,'Отчет 01-05.10'!C:C,"Услуги доставки",'Отчет 01-05.10'!E:E,B20)</f>
        <v>0</v>
      </c>
      <c r="AA20" s="41">
        <v>152.31268600000001</v>
      </c>
      <c r="AB20" s="64"/>
      <c r="AC20" s="51"/>
      <c r="AD20" s="55">
        <f t="shared" si="6"/>
        <v>0</v>
      </c>
      <c r="AE20" s="56">
        <f t="shared" si="7"/>
        <v>-152.31268600000001</v>
      </c>
      <c r="AF20" s="55"/>
      <c r="AG20" s="57">
        <f t="shared" si="8"/>
        <v>0</v>
      </c>
      <c r="AH20" s="58">
        <f t="shared" si="9"/>
        <v>1014.52</v>
      </c>
      <c r="AI20" s="58">
        <f t="shared" si="10"/>
        <v>0</v>
      </c>
      <c r="AJ20" s="58">
        <f t="shared" si="11"/>
        <v>0</v>
      </c>
      <c r="AK20" s="58">
        <f t="shared" si="12"/>
        <v>0</v>
      </c>
      <c r="AL20" s="58">
        <f t="array" ref="AL20">_xlfn.IFS(R20=0,AE20,R20&lt;0,AE20/-R20,R20&gt;0,AE20/R20)</f>
        <v>-152.31268600000001</v>
      </c>
      <c r="AM20" s="59">
        <f t="shared" si="13"/>
        <v>0</v>
      </c>
      <c r="AN20" s="60">
        <f t="shared" si="14"/>
        <v>-0.15013275834877579</v>
      </c>
      <c r="AP20" s="62">
        <f t="shared" si="15"/>
        <v>0</v>
      </c>
    </row>
    <row r="21" spans="1:52" ht="13.75" customHeight="1">
      <c r="A21" s="39">
        <v>2807226351</v>
      </c>
      <c r="B21" s="40" t="s">
        <v>233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6"/>
        <v>0</v>
      </c>
      <c r="O21" s="47">
        <f t="shared" si="17"/>
        <v>0</v>
      </c>
      <c r="P21" s="48">
        <f>SUMIFS('Отчет 01-05.10'!H:H,'Отчет 01-05.10'!D:D,"Выручка",'Отчет 01-05.10'!E:E,B21)</f>
        <v>0</v>
      </c>
      <c r="Q21" s="48">
        <f>SUMIFS('Отчет 01-05.10'!H:H,'Отчет 01-05.10'!D:D,"Возврат выручки",'Отчет 01-05.10'!E:E,B21)</f>
        <v>0</v>
      </c>
      <c r="R21" s="49">
        <f t="shared" si="1"/>
        <v>0</v>
      </c>
      <c r="S21" s="50">
        <f>SUMIFS('Отчет 01-05.10'!O:O,'Отчет 01-05.10'!C:C,"Продажи",'Отчет 01-05.10'!E:E,B21)</f>
        <v>0</v>
      </c>
      <c r="T21" s="51">
        <f>SUMIFS('Отчет 01-05.10'!O:O,'Отчет 01-05.10'!C:C,"Возвраты",'Отчет 01-05.10'!E:E,B21)</f>
        <v>0</v>
      </c>
      <c r="U21" s="49">
        <f t="shared" si="2"/>
        <v>0</v>
      </c>
      <c r="V21" s="52">
        <f t="shared" si="3"/>
        <v>0</v>
      </c>
      <c r="W21" s="53">
        <f t="shared" si="4"/>
        <v>0</v>
      </c>
      <c r="X21" s="51">
        <f>-SUMIFS('Отчет 01-05.10'!O:O,'Отчет 01-05.10'!C:C,"Вознаграждение Ozon",'Отчет 01-05.10'!E:E,B21)</f>
        <v>0</v>
      </c>
      <c r="Y21" s="54">
        <f t="shared" si="5"/>
        <v>0</v>
      </c>
      <c r="Z21" s="51">
        <f>-SUMIFS('Отчет 01-05.10'!O:O,'Отчет 01-05.10'!C:C,"Услуги доставки",'Отчет 01-05.10'!E:E,B21)</f>
        <v>0</v>
      </c>
      <c r="AA21" s="41">
        <v>0</v>
      </c>
      <c r="AB21" s="64"/>
      <c r="AC21" s="51"/>
      <c r="AD21" s="55">
        <f t="shared" si="6"/>
        <v>0</v>
      </c>
      <c r="AE21" s="56">
        <f t="shared" si="7"/>
        <v>0</v>
      </c>
      <c r="AF21" s="55"/>
      <c r="AG21" s="57">
        <f t="shared" si="8"/>
        <v>0</v>
      </c>
      <c r="AH21" s="58">
        <f t="shared" si="9"/>
        <v>1014.52</v>
      </c>
      <c r="AI21" s="58">
        <f t="shared" si="10"/>
        <v>0</v>
      </c>
      <c r="AJ21" s="58">
        <f t="shared" si="11"/>
        <v>0</v>
      </c>
      <c r="AK21" s="58">
        <f t="shared" si="12"/>
        <v>0</v>
      </c>
      <c r="AL21" s="58">
        <f t="array" ref="AL21">_xlfn.IFS(R21=0,AE21,R21&lt;0,AE21/-R21,R21&gt;0,AE21/R21)</f>
        <v>0</v>
      </c>
      <c r="AM21" s="59">
        <f t="shared" si="13"/>
        <v>0</v>
      </c>
      <c r="AN21" s="60">
        <f t="shared" si="14"/>
        <v>0</v>
      </c>
      <c r="AP21" s="62">
        <f t="shared" si="15"/>
        <v>0</v>
      </c>
    </row>
    <row r="22" spans="1:52" ht="13.75" customHeight="1">
      <c r="A22" s="39">
        <v>2807226146</v>
      </c>
      <c r="B22" s="40" t="s">
        <v>234</v>
      </c>
      <c r="C22" s="41"/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6"/>
        <v>0</v>
      </c>
      <c r="O22" s="47">
        <f t="shared" si="17"/>
        <v>0</v>
      </c>
      <c r="P22" s="48">
        <f>SUMIFS('Отчет 01-05.10'!H:H,'Отчет 01-05.10'!D:D,"Выручка",'Отчет 01-05.10'!E:E,B22)</f>
        <v>0</v>
      </c>
      <c r="Q22" s="48">
        <f>SUMIFS('Отчет 01-05.10'!H:H,'Отчет 01-05.10'!D:D,"Возврат выручки",'Отчет 01-05.10'!E:E,B22)</f>
        <v>0</v>
      </c>
      <c r="R22" s="49">
        <f t="shared" si="1"/>
        <v>0</v>
      </c>
      <c r="S22" s="50">
        <f>SUMIFS('Отчет 01-05.10'!O:O,'Отчет 01-05.10'!C:C,"Продажи",'Отчет 01-05.10'!E:E,B22)</f>
        <v>0</v>
      </c>
      <c r="T22" s="51">
        <f>SUMIFS('Отчет 01-05.10'!O:O,'Отчет 01-05.10'!C:C,"Возвраты",'Отчет 01-05.10'!E:E,B22)</f>
        <v>0</v>
      </c>
      <c r="U22" s="49">
        <f t="shared" si="2"/>
        <v>0</v>
      </c>
      <c r="V22" s="52">
        <f t="shared" si="3"/>
        <v>0</v>
      </c>
      <c r="W22" s="53">
        <f t="shared" si="4"/>
        <v>0</v>
      </c>
      <c r="X22" s="51">
        <f>-SUMIFS('Отчет 01-05.10'!O:O,'Отчет 01-05.10'!C:C,"Вознаграждение Ozon",'Отчет 01-05.10'!E:E,B22)</f>
        <v>0</v>
      </c>
      <c r="Y22" s="54">
        <f t="shared" si="5"/>
        <v>0</v>
      </c>
      <c r="Z22" s="51">
        <f>-SUMIFS('Отчет 01-05.10'!O:O,'Отчет 01-05.10'!C:C,"Услуги доставки",'Отчет 01-05.10'!E:E,B22)</f>
        <v>0</v>
      </c>
      <c r="AA22" s="41">
        <v>139.62566899999999</v>
      </c>
      <c r="AB22" s="64"/>
      <c r="AC22" s="51"/>
      <c r="AD22" s="55">
        <f t="shared" si="6"/>
        <v>0</v>
      </c>
      <c r="AE22" s="56">
        <f t="shared" si="7"/>
        <v>-139.62566899999999</v>
      </c>
      <c r="AF22" s="55"/>
      <c r="AG22" s="57">
        <f t="shared" si="8"/>
        <v>0</v>
      </c>
      <c r="AH22" s="58">
        <f t="shared" si="9"/>
        <v>991.12</v>
      </c>
      <c r="AI22" s="58">
        <f t="shared" si="10"/>
        <v>0</v>
      </c>
      <c r="AJ22" s="58">
        <f t="shared" si="11"/>
        <v>0</v>
      </c>
      <c r="AK22" s="58">
        <f t="shared" si="12"/>
        <v>0</v>
      </c>
      <c r="AL22" s="58">
        <f t="array" ref="AL22">_xlfn.IFS(R22=0,AE22,R22&lt;0,AE22/-R22,R22&gt;0,AE22/R22)</f>
        <v>-139.62566899999999</v>
      </c>
      <c r="AM22" s="59">
        <f t="shared" si="13"/>
        <v>0</v>
      </c>
      <c r="AN22" s="60">
        <f t="shared" si="14"/>
        <v>-0.1408766536847203</v>
      </c>
      <c r="AP22" s="62">
        <f t="shared" si="15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8">AVERAGEIF(AG3:AG22,"&lt;&gt;0",AG3:AG22)</f>
        <v>1309.4736842105262</v>
      </c>
      <c r="AH23" s="247">
        <f t="shared" si="18"/>
        <v>480.36400000000003</v>
      </c>
      <c r="AI23" s="247">
        <f t="shared" si="18"/>
        <v>325.45631578947371</v>
      </c>
      <c r="AJ23" s="247">
        <f t="shared" si="18"/>
        <v>87.911111111111111</v>
      </c>
      <c r="AK23" s="247">
        <f t="shared" si="18"/>
        <v>263.88828518518517</v>
      </c>
      <c r="AL23" s="247">
        <f t="shared" si="18"/>
        <v>-242.17213081203005</v>
      </c>
      <c r="AM23" s="249">
        <f t="shared" si="18"/>
        <v>0.44352219807255272</v>
      </c>
      <c r="AN23" s="249">
        <f t="shared" si="18"/>
        <v>0.69667141210865002</v>
      </c>
      <c r="AO23" s="240"/>
      <c r="AP23" s="241"/>
    </row>
    <row r="24" spans="1:52">
      <c r="A24" s="216" t="s">
        <v>305</v>
      </c>
      <c r="B24" s="209"/>
      <c r="C24" s="217">
        <f>SUM(C3:C22)</f>
        <v>0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0</v>
      </c>
      <c r="J24" s="212"/>
      <c r="K24" s="217">
        <f>SUM(K3:K22)</f>
        <v>25</v>
      </c>
      <c r="L24" s="212"/>
      <c r="M24" s="212"/>
      <c r="N24" s="213"/>
      <c r="O24" s="214"/>
      <c r="P24" s="217">
        <f>SUM(P3:P22)</f>
        <v>26</v>
      </c>
      <c r="Q24" s="217">
        <f t="shared" ref="Q24:AE24" si="19">SUM(Q3:Q22)</f>
        <v>2</v>
      </c>
      <c r="R24" s="217">
        <f t="shared" si="19"/>
        <v>28</v>
      </c>
      <c r="S24" s="237">
        <f>SUM(S3:S22)</f>
        <v>32663.999999999996</v>
      </c>
      <c r="T24" s="217">
        <f t="shared" si="19"/>
        <v>-4405</v>
      </c>
      <c r="U24" s="217">
        <f t="shared" si="19"/>
        <v>28258.999999999996</v>
      </c>
      <c r="V24" s="256">
        <f t="shared" si="19"/>
        <v>0.41242575052175307</v>
      </c>
      <c r="W24" s="217">
        <f t="shared" si="19"/>
        <v>5525.3899999999994</v>
      </c>
      <c r="X24" s="217">
        <f t="shared" si="19"/>
        <v>7126.96</v>
      </c>
      <c r="Y24" s="215">
        <f>IF(U24=0,0,X24/U24)</f>
        <v>0.25220142255564604</v>
      </c>
      <c r="Z24" s="217">
        <f t="shared" si="19"/>
        <v>2442</v>
      </c>
      <c r="AA24" s="217">
        <f>IFERROR(P24*AA49/P49,0)</f>
        <v>18098.093333333334</v>
      </c>
      <c r="AB24" s="217">
        <f t="shared" si="19"/>
        <v>0</v>
      </c>
      <c r="AC24" s="217">
        <f t="shared" si="19"/>
        <v>0</v>
      </c>
      <c r="AD24" s="238">
        <f t="shared" si="19"/>
        <v>1695.5399999999997</v>
      </c>
      <c r="AE24" s="239">
        <f t="shared" si="19"/>
        <v>-1177.6086840000014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0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12646.718683999999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/>
      <c r="D26" s="42"/>
      <c r="E26" s="42"/>
      <c r="F26" s="42"/>
      <c r="G26" s="43"/>
      <c r="H26" s="65">
        <v>672</v>
      </c>
      <c r="I26" s="63">
        <f t="shared" ref="I26:I45" si="20">C26*H26</f>
        <v>0</v>
      </c>
      <c r="J26" s="45"/>
      <c r="K26" s="41">
        <v>1</v>
      </c>
      <c r="L26" s="45"/>
      <c r="M26" s="45"/>
      <c r="N26" s="46">
        <f t="shared" ref="N26" si="21">K26/5</f>
        <v>0.2</v>
      </c>
      <c r="O26" s="47">
        <f t="shared" ref="O26" si="22">R26/5</f>
        <v>0.2</v>
      </c>
      <c r="P26" s="48">
        <f>SUMIFS('Отчет 01-05.10'!H:H,'Отчет 01-05.10'!D:D,"Выручка",'Отчет 01-05.10'!E:E,B26)</f>
        <v>1</v>
      </c>
      <c r="Q26" s="48">
        <f>SUMIFS('Отчет 01-05.10'!H:H,'Отчет 01-05.10'!D:D,"Возврат выручки",'Отчет 01-05.10'!E:E,B26)</f>
        <v>0</v>
      </c>
      <c r="R26" s="49">
        <f t="shared" ref="R26:R45" si="23">P26+Q26</f>
        <v>1</v>
      </c>
      <c r="S26" s="50">
        <f>SUMIFS('Отчет 01-05.10'!O:O,'Отчет 01-05.10'!C:C,"Продажи",'Отчет 01-05.10'!E:E,B26)</f>
        <v>3690</v>
      </c>
      <c r="T26" s="51">
        <f>SUMIFS('Отчет 01-05.10'!O:O,'Отчет 01-05.10'!C:C,"Возвраты",'Отчет 01-05.10'!E:E,B26)</f>
        <v>0</v>
      </c>
      <c r="U26" s="49">
        <f t="shared" ref="U26:U45" si="24">S26+T26</f>
        <v>3690</v>
      </c>
      <c r="V26" s="52">
        <f t="shared" ref="V26:V45" si="25">U26/$U$49</f>
        <v>5.3853675622819945E-2</v>
      </c>
      <c r="W26" s="53">
        <f t="shared" ref="W26:W45" si="26">R26*H26</f>
        <v>672</v>
      </c>
      <c r="X26" s="51">
        <f>-SUMIFS('Отчет 01-05.10'!O:O,'Отчет 01-05.10'!C:C,"Вознаграждение Ozon",'Отчет 01-05.10'!E:E,B26)</f>
        <v>885.6</v>
      </c>
      <c r="Y26" s="54">
        <f t="shared" ref="Y26:Y45" si="27">IF(U26=0,0,X26/U26)</f>
        <v>0.24000000000000002</v>
      </c>
      <c r="Z26" s="51">
        <f>-SUMIFS('Отчет 01-05.10'!O:O,'Отчет 01-05.10'!C:C,"Услуги доставки",'Отчет 01-05.10'!E:E,B26)</f>
        <v>56</v>
      </c>
      <c r="AA26" s="41">
        <v>1109.5623949999999</v>
      </c>
      <c r="AB26" s="64"/>
      <c r="AC26" s="51"/>
      <c r="AD26" s="55">
        <f t="shared" ref="AD26:AD45" si="28">U26*6%</f>
        <v>221.4</v>
      </c>
      <c r="AE26" s="56">
        <f t="shared" ref="AE26:AE45" si="29">U26-W26-X26-Z26-AA26-AB26-AC26-AD26</f>
        <v>745.43760500000019</v>
      </c>
      <c r="AF26" s="55"/>
      <c r="AG26" s="57">
        <f t="shared" ref="AG26:AG45" si="30">IF(R26=0,0,U26/R26)</f>
        <v>3690</v>
      </c>
      <c r="AH26" s="58">
        <f t="shared" ref="AH26:AH45" si="31">H26</f>
        <v>672</v>
      </c>
      <c r="AI26" s="58">
        <f t="shared" ref="AI26:AI45" si="32">IF(R26=0,0,X26/R26)</f>
        <v>885.6</v>
      </c>
      <c r="AJ26" s="58">
        <f t="shared" ref="AJ26:AJ45" si="33">IF(P26=0,Z26/1,Z26/P26)</f>
        <v>56</v>
      </c>
      <c r="AK26" s="58">
        <f t="shared" ref="AK26:AK45" si="34">IF(P26=0,0,AA26/P26)</f>
        <v>1109.5623949999999</v>
      </c>
      <c r="AL26" s="58">
        <f t="array" ref="AL26">_xlfn.IFS(R26=0,AE26,R26&lt;0,AE26/-R26,R26&gt;0,AE26/R26)</f>
        <v>745.43760500000019</v>
      </c>
      <c r="AM26" s="59">
        <f t="shared" ref="AM26:AM45" si="35">IF(AG26=0,0,AL26/AG26)</f>
        <v>0.20201561111111116</v>
      </c>
      <c r="AN26" s="60">
        <f t="shared" ref="AN26:AN45" si="36">IF(AH26=0,0,AL26/AH26)</f>
        <v>1.1092821502976193</v>
      </c>
      <c r="AP26" s="62">
        <f t="shared" ref="AP26:AP45" si="37">AL26*C26</f>
        <v>0</v>
      </c>
    </row>
    <row r="27" spans="1:52">
      <c r="A27" s="39">
        <v>2774708622</v>
      </c>
      <c r="B27" s="40" t="s">
        <v>43</v>
      </c>
      <c r="C27" s="41"/>
      <c r="D27" s="42"/>
      <c r="E27" s="42"/>
      <c r="F27" s="42"/>
      <c r="G27" s="43"/>
      <c r="H27" s="65">
        <v>627</v>
      </c>
      <c r="I27" s="63">
        <f t="shared" si="20"/>
        <v>0</v>
      </c>
      <c r="J27" s="45"/>
      <c r="K27" s="41">
        <v>3</v>
      </c>
      <c r="L27" s="45"/>
      <c r="M27" s="45"/>
      <c r="N27" s="46">
        <f t="shared" ref="N27:N45" si="38">K27/5</f>
        <v>0.6</v>
      </c>
      <c r="O27" s="47">
        <f t="shared" ref="O27:O45" si="39">R27/5</f>
        <v>0</v>
      </c>
      <c r="P27" s="48">
        <f>SUMIFS('Отчет 01-05.10'!H:H,'Отчет 01-05.10'!D:D,"Выручка",'Отчет 01-05.10'!E:E,B27)</f>
        <v>0</v>
      </c>
      <c r="Q27" s="48">
        <f>SUMIFS('Отчет 01-05.10'!H:H,'Отчет 01-05.10'!D:D,"Возврат выручки",'Отчет 01-05.10'!E:E,B27)</f>
        <v>0</v>
      </c>
      <c r="R27" s="49">
        <f t="shared" si="23"/>
        <v>0</v>
      </c>
      <c r="S27" s="50">
        <f>SUMIFS('Отчет 01-05.10'!O:O,'Отчет 01-05.10'!C:C,"Продажи",'Отчет 01-05.10'!E:E,B27)</f>
        <v>0</v>
      </c>
      <c r="T27" s="51">
        <f>SUMIFS('Отчет 01-05.10'!O:O,'Отчет 01-05.10'!C:C,"Возвраты",'Отчет 01-05.10'!E:E,B27)</f>
        <v>0</v>
      </c>
      <c r="U27" s="49">
        <f t="shared" si="24"/>
        <v>0</v>
      </c>
      <c r="V27" s="52">
        <f t="shared" si="25"/>
        <v>0</v>
      </c>
      <c r="W27" s="53">
        <f t="shared" si="26"/>
        <v>0</v>
      </c>
      <c r="X27" s="51">
        <f>-SUMIFS('Отчет 01-05.10'!O:O,'Отчет 01-05.10'!C:C,"Вознаграждение Ozon",'Отчет 01-05.10'!E:E,B27)</f>
        <v>0</v>
      </c>
      <c r="Y27" s="54">
        <f t="shared" si="27"/>
        <v>0</v>
      </c>
      <c r="Z27" s="51">
        <f>-SUMIFS('Отчет 01-05.10'!O:O,'Отчет 01-05.10'!C:C,"Услуги доставки",'Отчет 01-05.10'!E:E,B27)</f>
        <v>112</v>
      </c>
      <c r="AA27" s="41">
        <v>1618.0998119999999</v>
      </c>
      <c r="AB27" s="64"/>
      <c r="AC27" s="51"/>
      <c r="AD27" s="55">
        <f t="shared" si="28"/>
        <v>0</v>
      </c>
      <c r="AE27" s="56">
        <f t="shared" si="29"/>
        <v>-1730.0998119999999</v>
      </c>
      <c r="AF27" s="55"/>
      <c r="AG27" s="57">
        <f t="shared" si="30"/>
        <v>0</v>
      </c>
      <c r="AH27" s="58">
        <f t="shared" si="31"/>
        <v>627</v>
      </c>
      <c r="AI27" s="58">
        <f t="shared" si="32"/>
        <v>0</v>
      </c>
      <c r="AJ27" s="58">
        <f t="shared" si="33"/>
        <v>112</v>
      </c>
      <c r="AK27" s="58">
        <f t="shared" si="34"/>
        <v>0</v>
      </c>
      <c r="AL27" s="58">
        <f t="array" ref="AL27">_xlfn.IFS(R27=0,AE27,R27&lt;0,AE27/-R27,R27&gt;0,AE27/R27)</f>
        <v>-1730.0998119999999</v>
      </c>
      <c r="AM27" s="59">
        <f t="shared" si="35"/>
        <v>0</v>
      </c>
      <c r="AN27" s="60">
        <f t="shared" si="36"/>
        <v>-2.7593298437001592</v>
      </c>
      <c r="AP27" s="62">
        <f t="shared" si="37"/>
        <v>0</v>
      </c>
    </row>
    <row r="28" spans="1:52">
      <c r="A28" s="39">
        <v>2774709606</v>
      </c>
      <c r="B28" s="40" t="s">
        <v>235</v>
      </c>
      <c r="C28" s="41"/>
      <c r="D28" s="42"/>
      <c r="E28" s="42"/>
      <c r="F28" s="42"/>
      <c r="G28" s="43"/>
      <c r="H28" s="65">
        <v>627</v>
      </c>
      <c r="I28" s="63">
        <f t="shared" si="20"/>
        <v>0</v>
      </c>
      <c r="J28" s="45"/>
      <c r="K28" s="41">
        <v>0</v>
      </c>
      <c r="L28" s="45"/>
      <c r="M28" s="45"/>
      <c r="N28" s="46">
        <f t="shared" si="38"/>
        <v>0</v>
      </c>
      <c r="O28" s="47">
        <f t="shared" si="39"/>
        <v>0</v>
      </c>
      <c r="P28" s="48">
        <f>SUMIFS('Отчет 01-05.10'!H:H,'Отчет 01-05.10'!D:D,"Выручка",'Отчет 01-05.10'!E:E,B28)</f>
        <v>0</v>
      </c>
      <c r="Q28" s="48">
        <f>SUMIFS('Отчет 01-05.10'!H:H,'Отчет 01-05.10'!D:D,"Возврат выручки",'Отчет 01-05.10'!E:E,B28)</f>
        <v>0</v>
      </c>
      <c r="R28" s="49">
        <f t="shared" si="23"/>
        <v>0</v>
      </c>
      <c r="S28" s="50">
        <f>SUMIFS('Отчет 01-05.10'!O:O,'Отчет 01-05.10'!C:C,"Продажи",'Отчет 01-05.10'!E:E,B28)</f>
        <v>0</v>
      </c>
      <c r="T28" s="51">
        <f>SUMIFS('Отчет 01-05.10'!O:O,'Отчет 01-05.10'!C:C,"Возвраты",'Отчет 01-05.10'!E:E,B28)</f>
        <v>0</v>
      </c>
      <c r="U28" s="49">
        <f t="shared" si="24"/>
        <v>0</v>
      </c>
      <c r="V28" s="52">
        <f t="shared" si="25"/>
        <v>0</v>
      </c>
      <c r="W28" s="53">
        <f t="shared" si="26"/>
        <v>0</v>
      </c>
      <c r="X28" s="51">
        <f>-SUMIFS('Отчет 01-05.10'!O:O,'Отчет 01-05.10'!C:C,"Вознаграждение Ozon",'Отчет 01-05.10'!E:E,B28)</f>
        <v>0</v>
      </c>
      <c r="Y28" s="54">
        <f t="shared" si="27"/>
        <v>0</v>
      </c>
      <c r="Z28" s="51">
        <f>-SUMIFS('Отчет 01-05.10'!O:O,'Отчет 01-05.10'!C:C,"Услуги доставки",'Отчет 01-05.10'!E:E,B28)</f>
        <v>0</v>
      </c>
      <c r="AA28" s="41">
        <v>0</v>
      </c>
      <c r="AB28" s="64"/>
      <c r="AC28" s="51"/>
      <c r="AD28" s="55">
        <f t="shared" si="28"/>
        <v>0</v>
      </c>
      <c r="AE28" s="56">
        <f t="shared" si="29"/>
        <v>0</v>
      </c>
      <c r="AF28" s="55"/>
      <c r="AG28" s="57">
        <f t="shared" si="30"/>
        <v>0</v>
      </c>
      <c r="AH28" s="58">
        <f t="shared" si="31"/>
        <v>627</v>
      </c>
      <c r="AI28" s="58">
        <f t="shared" si="32"/>
        <v>0</v>
      </c>
      <c r="AJ28" s="58">
        <f t="shared" si="33"/>
        <v>0</v>
      </c>
      <c r="AK28" s="58">
        <f t="shared" si="34"/>
        <v>0</v>
      </c>
      <c r="AL28" s="58">
        <f t="array" ref="AL28">_xlfn.IFS(R28=0,AE28,R28&lt;0,AE28/-R28,R28&gt;0,AE28/R28)</f>
        <v>0</v>
      </c>
      <c r="AM28" s="59">
        <f t="shared" si="35"/>
        <v>0</v>
      </c>
      <c r="AN28" s="60">
        <f t="shared" si="36"/>
        <v>0</v>
      </c>
      <c r="AP28" s="62">
        <f t="shared" si="37"/>
        <v>0</v>
      </c>
    </row>
    <row r="29" spans="1:52">
      <c r="A29" s="39">
        <v>2774720465</v>
      </c>
      <c r="B29" s="40" t="s">
        <v>171</v>
      </c>
      <c r="C29" s="41"/>
      <c r="D29" s="42"/>
      <c r="E29" s="42"/>
      <c r="F29" s="42"/>
      <c r="G29" s="43"/>
      <c r="H29" s="65">
        <v>567</v>
      </c>
      <c r="I29" s="63">
        <f t="shared" si="20"/>
        <v>0</v>
      </c>
      <c r="J29" s="45"/>
      <c r="K29" s="41">
        <v>0</v>
      </c>
      <c r="L29" s="45"/>
      <c r="M29" s="45"/>
      <c r="N29" s="46">
        <f t="shared" si="38"/>
        <v>0</v>
      </c>
      <c r="O29" s="47">
        <f t="shared" si="39"/>
        <v>0</v>
      </c>
      <c r="P29" s="48">
        <f>SUMIFS('Отчет 01-05.10'!H:H,'Отчет 01-05.10'!D:D,"Выручка",'Отчет 01-05.10'!E:E,B29)</f>
        <v>0</v>
      </c>
      <c r="Q29" s="48">
        <f>SUMIFS('Отчет 01-05.10'!H:H,'Отчет 01-05.10'!D:D,"Возврат выручки",'Отчет 01-05.10'!E:E,B29)</f>
        <v>0</v>
      </c>
      <c r="R29" s="49">
        <f t="shared" si="23"/>
        <v>0</v>
      </c>
      <c r="S29" s="50">
        <f>SUMIFS('Отчет 01-05.10'!O:O,'Отчет 01-05.10'!C:C,"Продажи",'Отчет 01-05.10'!E:E,B29)</f>
        <v>0</v>
      </c>
      <c r="T29" s="51">
        <f>SUMIFS('Отчет 01-05.10'!O:O,'Отчет 01-05.10'!C:C,"Возвраты",'Отчет 01-05.10'!E:E,B29)</f>
        <v>0</v>
      </c>
      <c r="U29" s="49">
        <f t="shared" si="24"/>
        <v>0</v>
      </c>
      <c r="V29" s="52">
        <f t="shared" si="25"/>
        <v>0</v>
      </c>
      <c r="W29" s="53">
        <f t="shared" si="26"/>
        <v>0</v>
      </c>
      <c r="X29" s="51">
        <f>-SUMIFS('Отчет 01-05.10'!O:O,'Отчет 01-05.10'!C:C,"Вознаграждение Ozon",'Отчет 01-05.10'!E:E,B29)</f>
        <v>0</v>
      </c>
      <c r="Y29" s="54">
        <f t="shared" si="27"/>
        <v>0</v>
      </c>
      <c r="Z29" s="51">
        <f>-SUMIFS('Отчет 01-05.10'!O:O,'Отчет 01-05.10'!C:C,"Услуги доставки",'Отчет 01-05.10'!E:E,B29)</f>
        <v>112</v>
      </c>
      <c r="AA29" s="41">
        <v>0</v>
      </c>
      <c r="AB29" s="64"/>
      <c r="AC29" s="51"/>
      <c r="AD29" s="55">
        <f t="shared" si="28"/>
        <v>0</v>
      </c>
      <c r="AE29" s="56">
        <f t="shared" si="29"/>
        <v>-112</v>
      </c>
      <c r="AF29" s="55"/>
      <c r="AG29" s="57">
        <f t="shared" si="30"/>
        <v>0</v>
      </c>
      <c r="AH29" s="58">
        <f t="shared" si="31"/>
        <v>567</v>
      </c>
      <c r="AI29" s="58">
        <f t="shared" si="32"/>
        <v>0</v>
      </c>
      <c r="AJ29" s="58">
        <f t="shared" si="33"/>
        <v>112</v>
      </c>
      <c r="AK29" s="58">
        <f t="shared" si="34"/>
        <v>0</v>
      </c>
      <c r="AL29" s="58">
        <f t="array" ref="AL29">_xlfn.IFS(R29=0,AE29,R29&lt;0,AE29/-R29,R29&gt;0,AE29/R29)</f>
        <v>-112</v>
      </c>
      <c r="AM29" s="59">
        <f t="shared" si="35"/>
        <v>0</v>
      </c>
      <c r="AN29" s="60">
        <f t="shared" si="36"/>
        <v>-0.19753086419753085</v>
      </c>
      <c r="AP29" s="62">
        <f t="shared" si="37"/>
        <v>0</v>
      </c>
    </row>
    <row r="30" spans="1:52">
      <c r="A30" s="39">
        <v>2774718470</v>
      </c>
      <c r="B30" s="40" t="s">
        <v>39</v>
      </c>
      <c r="C30" s="41"/>
      <c r="D30" s="42"/>
      <c r="E30" s="42"/>
      <c r="F30" s="42"/>
      <c r="G30" s="43"/>
      <c r="H30" s="65">
        <v>567</v>
      </c>
      <c r="I30" s="63">
        <f t="shared" si="20"/>
        <v>0</v>
      </c>
      <c r="J30" s="45"/>
      <c r="K30" s="41">
        <v>1</v>
      </c>
      <c r="L30" s="45"/>
      <c r="M30" s="45"/>
      <c r="N30" s="46">
        <f t="shared" si="38"/>
        <v>0.2</v>
      </c>
      <c r="O30" s="47">
        <f t="shared" si="39"/>
        <v>0</v>
      </c>
      <c r="P30" s="48">
        <f>SUMIFS('Отчет 01-05.10'!H:H,'Отчет 01-05.10'!D:D,"Выручка",'Отчет 01-05.10'!E:E,B30)</f>
        <v>0</v>
      </c>
      <c r="Q30" s="48">
        <f>SUMIFS('Отчет 01-05.10'!H:H,'Отчет 01-05.10'!D:D,"Возврат выручки",'Отчет 01-05.10'!E:E,B30)</f>
        <v>0</v>
      </c>
      <c r="R30" s="49">
        <f t="shared" si="23"/>
        <v>0</v>
      </c>
      <c r="S30" s="50">
        <f>SUMIFS('Отчет 01-05.10'!O:O,'Отчет 01-05.10'!C:C,"Продажи",'Отчет 01-05.10'!E:E,B30)</f>
        <v>0</v>
      </c>
      <c r="T30" s="51">
        <f>SUMIFS('Отчет 01-05.10'!O:O,'Отчет 01-05.10'!C:C,"Возвраты",'Отчет 01-05.10'!E:E,B30)</f>
        <v>0</v>
      </c>
      <c r="U30" s="49">
        <f t="shared" si="24"/>
        <v>0</v>
      </c>
      <c r="V30" s="52">
        <f t="shared" si="25"/>
        <v>0</v>
      </c>
      <c r="W30" s="53">
        <f t="shared" si="26"/>
        <v>0</v>
      </c>
      <c r="X30" s="51">
        <f>-SUMIFS('Отчет 01-05.10'!O:O,'Отчет 01-05.10'!C:C,"Вознаграждение Ozon",'Отчет 01-05.10'!E:E,B30)</f>
        <v>0</v>
      </c>
      <c r="Y30" s="54">
        <f t="shared" si="27"/>
        <v>0</v>
      </c>
      <c r="Z30" s="51">
        <f>-SUMIFS('Отчет 01-05.10'!O:O,'Отчет 01-05.10'!C:C,"Услуги доставки",'Отчет 01-05.10'!E:E,B30)</f>
        <v>0</v>
      </c>
      <c r="AA30" s="41">
        <v>0</v>
      </c>
      <c r="AB30" s="64"/>
      <c r="AC30" s="51"/>
      <c r="AD30" s="55">
        <f t="shared" si="28"/>
        <v>0</v>
      </c>
      <c r="AE30" s="56">
        <f t="shared" si="29"/>
        <v>0</v>
      </c>
      <c r="AF30" s="55"/>
      <c r="AG30" s="57">
        <f t="shared" si="30"/>
        <v>0</v>
      </c>
      <c r="AH30" s="58">
        <f t="shared" si="31"/>
        <v>567</v>
      </c>
      <c r="AI30" s="58">
        <f t="shared" si="32"/>
        <v>0</v>
      </c>
      <c r="AJ30" s="58">
        <f t="shared" si="33"/>
        <v>0</v>
      </c>
      <c r="AK30" s="58">
        <f t="shared" si="34"/>
        <v>0</v>
      </c>
      <c r="AL30" s="58">
        <f t="array" ref="AL30">_xlfn.IFS(R30=0,AE30,R30&lt;0,AE30/-R30,R30&gt;0,AE30/R30)</f>
        <v>0</v>
      </c>
      <c r="AM30" s="59">
        <f t="shared" si="35"/>
        <v>0</v>
      </c>
      <c r="AN30" s="60">
        <f t="shared" si="36"/>
        <v>0</v>
      </c>
      <c r="AP30" s="62">
        <f t="shared" si="37"/>
        <v>0</v>
      </c>
    </row>
    <row r="31" spans="1:52">
      <c r="A31" s="39">
        <v>2774719022</v>
      </c>
      <c r="B31" s="40" t="s">
        <v>236</v>
      </c>
      <c r="C31" s="41"/>
      <c r="D31" s="42"/>
      <c r="E31" s="42"/>
      <c r="F31" s="42"/>
      <c r="G31" s="43"/>
      <c r="H31" s="65">
        <v>657</v>
      </c>
      <c r="I31" s="63">
        <f t="shared" si="20"/>
        <v>0</v>
      </c>
      <c r="J31" s="45"/>
      <c r="K31" s="41">
        <v>0</v>
      </c>
      <c r="L31" s="45"/>
      <c r="M31" s="45"/>
      <c r="N31" s="46">
        <f t="shared" si="38"/>
        <v>0</v>
      </c>
      <c r="O31" s="47">
        <f t="shared" si="39"/>
        <v>0</v>
      </c>
      <c r="P31" s="48">
        <f>SUMIFS('Отчет 01-05.10'!H:H,'Отчет 01-05.10'!D:D,"Выручка",'Отчет 01-05.10'!E:E,B31)</f>
        <v>0</v>
      </c>
      <c r="Q31" s="48">
        <f>SUMIFS('Отчет 01-05.10'!H:H,'Отчет 01-05.10'!D:D,"Возврат выручки",'Отчет 01-05.10'!E:E,B31)</f>
        <v>0</v>
      </c>
      <c r="R31" s="49">
        <f t="shared" si="23"/>
        <v>0</v>
      </c>
      <c r="S31" s="50">
        <f>SUMIFS('Отчет 01-05.10'!O:O,'Отчет 01-05.10'!C:C,"Продажи",'Отчет 01-05.10'!E:E,B31)</f>
        <v>0</v>
      </c>
      <c r="T31" s="51">
        <f>SUMIFS('Отчет 01-05.10'!O:O,'Отчет 01-05.10'!C:C,"Возвраты",'Отчет 01-05.10'!E:E,B31)</f>
        <v>0</v>
      </c>
      <c r="U31" s="49">
        <f t="shared" si="24"/>
        <v>0</v>
      </c>
      <c r="V31" s="52">
        <f t="shared" si="25"/>
        <v>0</v>
      </c>
      <c r="W31" s="53">
        <f t="shared" si="26"/>
        <v>0</v>
      </c>
      <c r="X31" s="51">
        <f>-SUMIFS('Отчет 01-05.10'!O:O,'Отчет 01-05.10'!C:C,"Вознаграждение Ozon",'Отчет 01-05.10'!E:E,B31)</f>
        <v>0</v>
      </c>
      <c r="Y31" s="54">
        <f t="shared" si="27"/>
        <v>0</v>
      </c>
      <c r="Z31" s="51">
        <f>-SUMIFS('Отчет 01-05.10'!O:O,'Отчет 01-05.10'!C:C,"Услуги доставки",'Отчет 01-05.10'!E:E,B31)</f>
        <v>0</v>
      </c>
      <c r="AA31" s="41">
        <v>0</v>
      </c>
      <c r="AB31" s="64"/>
      <c r="AC31" s="51"/>
      <c r="AD31" s="55">
        <f t="shared" si="28"/>
        <v>0</v>
      </c>
      <c r="AE31" s="56">
        <f t="shared" si="29"/>
        <v>0</v>
      </c>
      <c r="AF31" s="55"/>
      <c r="AG31" s="57">
        <f t="shared" si="30"/>
        <v>0</v>
      </c>
      <c r="AH31" s="58">
        <f t="shared" si="31"/>
        <v>657</v>
      </c>
      <c r="AI31" s="58">
        <f t="shared" si="32"/>
        <v>0</v>
      </c>
      <c r="AJ31" s="58">
        <f t="shared" si="33"/>
        <v>0</v>
      </c>
      <c r="AK31" s="58">
        <f t="shared" si="34"/>
        <v>0</v>
      </c>
      <c r="AL31" s="58">
        <f t="array" ref="AL31">_xlfn.IFS(R31=0,AE31,R31&lt;0,AE31/-R31,R31&gt;0,AE31/R31)</f>
        <v>0</v>
      </c>
      <c r="AM31" s="59">
        <f t="shared" si="35"/>
        <v>0</v>
      </c>
      <c r="AN31" s="60">
        <f t="shared" si="36"/>
        <v>0</v>
      </c>
      <c r="AP31" s="62">
        <f t="shared" si="37"/>
        <v>0</v>
      </c>
    </row>
    <row r="32" spans="1:52">
      <c r="A32" s="39">
        <v>2774719501</v>
      </c>
      <c r="B32" s="40" t="s">
        <v>237</v>
      </c>
      <c r="C32" s="41"/>
      <c r="D32" s="42"/>
      <c r="E32" s="42"/>
      <c r="F32" s="42"/>
      <c r="G32" s="43"/>
      <c r="H32" s="65">
        <v>597</v>
      </c>
      <c r="I32" s="63">
        <f t="shared" si="20"/>
        <v>0</v>
      </c>
      <c r="J32" s="45"/>
      <c r="K32" s="41">
        <v>0</v>
      </c>
      <c r="L32" s="45"/>
      <c r="M32" s="45"/>
      <c r="N32" s="46">
        <f t="shared" si="38"/>
        <v>0</v>
      </c>
      <c r="O32" s="47">
        <f t="shared" si="39"/>
        <v>0</v>
      </c>
      <c r="P32" s="48">
        <f>SUMIFS('Отчет 01-05.10'!H:H,'Отчет 01-05.10'!D:D,"Выручка",'Отчет 01-05.10'!E:E,B32)</f>
        <v>0</v>
      </c>
      <c r="Q32" s="48">
        <f>SUMIFS('Отчет 01-05.10'!H:H,'Отчет 01-05.10'!D:D,"Возврат выручки",'Отчет 01-05.10'!E:E,B32)</f>
        <v>0</v>
      </c>
      <c r="R32" s="49">
        <f t="shared" si="23"/>
        <v>0</v>
      </c>
      <c r="S32" s="50">
        <f>SUMIFS('Отчет 01-05.10'!O:O,'Отчет 01-05.10'!C:C,"Продажи",'Отчет 01-05.10'!E:E,B32)</f>
        <v>0</v>
      </c>
      <c r="T32" s="51">
        <f>SUMIFS('Отчет 01-05.10'!O:O,'Отчет 01-05.10'!C:C,"Возвраты",'Отчет 01-05.10'!E:E,B32)</f>
        <v>0</v>
      </c>
      <c r="U32" s="49">
        <f t="shared" si="24"/>
        <v>0</v>
      </c>
      <c r="V32" s="52">
        <f t="shared" si="25"/>
        <v>0</v>
      </c>
      <c r="W32" s="53">
        <f t="shared" si="26"/>
        <v>0</v>
      </c>
      <c r="X32" s="51">
        <f>-SUMIFS('Отчет 01-05.10'!O:O,'Отчет 01-05.10'!C:C,"Вознаграждение Ozon",'Отчет 01-05.10'!E:E,B32)</f>
        <v>0</v>
      </c>
      <c r="Y32" s="54">
        <f t="shared" si="27"/>
        <v>0</v>
      </c>
      <c r="Z32" s="51">
        <f>-SUMIFS('Отчет 01-05.10'!O:O,'Отчет 01-05.10'!C:C,"Услуги доставки",'Отчет 01-05.10'!E:E,B32)</f>
        <v>0</v>
      </c>
      <c r="AA32" s="41">
        <v>0</v>
      </c>
      <c r="AB32" s="64"/>
      <c r="AC32" s="51"/>
      <c r="AD32" s="55">
        <f t="shared" si="28"/>
        <v>0</v>
      </c>
      <c r="AE32" s="56">
        <f t="shared" si="29"/>
        <v>0</v>
      </c>
      <c r="AF32" s="55"/>
      <c r="AG32" s="57">
        <f t="shared" si="30"/>
        <v>0</v>
      </c>
      <c r="AH32" s="58">
        <f t="shared" si="31"/>
        <v>597</v>
      </c>
      <c r="AI32" s="58">
        <f t="shared" si="32"/>
        <v>0</v>
      </c>
      <c r="AJ32" s="58">
        <f t="shared" si="33"/>
        <v>0</v>
      </c>
      <c r="AK32" s="58">
        <f t="shared" si="34"/>
        <v>0</v>
      </c>
      <c r="AL32" s="58">
        <f t="array" ref="AL32">_xlfn.IFS(R32=0,AE32,R32&lt;0,AE32/-R32,R32&gt;0,AE32/R32)</f>
        <v>0</v>
      </c>
      <c r="AM32" s="59">
        <f t="shared" si="35"/>
        <v>0</v>
      </c>
      <c r="AN32" s="60">
        <f t="shared" si="36"/>
        <v>0</v>
      </c>
      <c r="AP32" s="62">
        <f t="shared" si="37"/>
        <v>0</v>
      </c>
    </row>
    <row r="33" spans="1:42">
      <c r="A33" s="39">
        <v>2774714412</v>
      </c>
      <c r="B33" s="40" t="s">
        <v>142</v>
      </c>
      <c r="C33" s="41"/>
      <c r="D33" s="42"/>
      <c r="E33" s="42"/>
      <c r="F33" s="42"/>
      <c r="G33" s="43"/>
      <c r="H33" s="65">
        <v>552</v>
      </c>
      <c r="I33" s="63">
        <f t="shared" si="20"/>
        <v>0</v>
      </c>
      <c r="J33" s="45"/>
      <c r="K33" s="41">
        <v>0</v>
      </c>
      <c r="L33" s="45"/>
      <c r="M33" s="45"/>
      <c r="N33" s="46">
        <f t="shared" si="38"/>
        <v>0</v>
      </c>
      <c r="O33" s="47">
        <f t="shared" si="39"/>
        <v>0</v>
      </c>
      <c r="P33" s="48">
        <f>SUMIFS('Отчет 01-05.10'!H:H,'Отчет 01-05.10'!D:D,"Выручка",'Отчет 01-05.10'!E:E,B33)</f>
        <v>0</v>
      </c>
      <c r="Q33" s="48">
        <f>SUMIFS('Отчет 01-05.10'!H:H,'Отчет 01-05.10'!D:D,"Возврат выручки",'Отчет 01-05.10'!E:E,B33)</f>
        <v>0</v>
      </c>
      <c r="R33" s="49">
        <f t="shared" si="23"/>
        <v>0</v>
      </c>
      <c r="S33" s="50">
        <f>SUMIFS('Отчет 01-05.10'!O:O,'Отчет 01-05.10'!C:C,"Продажи",'Отчет 01-05.10'!E:E,B33)</f>
        <v>0</v>
      </c>
      <c r="T33" s="51">
        <f>SUMIFS('Отчет 01-05.10'!O:O,'Отчет 01-05.10'!C:C,"Возвраты",'Отчет 01-05.10'!E:E,B33)</f>
        <v>0</v>
      </c>
      <c r="U33" s="49">
        <f t="shared" si="24"/>
        <v>0</v>
      </c>
      <c r="V33" s="52">
        <f t="shared" si="25"/>
        <v>0</v>
      </c>
      <c r="W33" s="53">
        <f t="shared" si="26"/>
        <v>0</v>
      </c>
      <c r="X33" s="51">
        <f>-SUMIFS('Отчет 01-05.10'!O:O,'Отчет 01-05.10'!C:C,"Вознаграждение Ozon",'Отчет 01-05.10'!E:E,B33)</f>
        <v>0</v>
      </c>
      <c r="Y33" s="54">
        <f t="shared" si="27"/>
        <v>0</v>
      </c>
      <c r="Z33" s="51">
        <f>-SUMIFS('Отчет 01-05.10'!O:O,'Отчет 01-05.10'!C:C,"Услуги доставки",'Отчет 01-05.10'!E:E,B33)</f>
        <v>0</v>
      </c>
      <c r="AA33" s="41">
        <v>0</v>
      </c>
      <c r="AB33" s="64"/>
      <c r="AC33" s="51"/>
      <c r="AD33" s="55">
        <f t="shared" si="28"/>
        <v>0</v>
      </c>
      <c r="AE33" s="56">
        <f t="shared" si="29"/>
        <v>0</v>
      </c>
      <c r="AF33" s="55"/>
      <c r="AG33" s="57">
        <f t="shared" si="30"/>
        <v>0</v>
      </c>
      <c r="AH33" s="58">
        <f t="shared" si="31"/>
        <v>552</v>
      </c>
      <c r="AI33" s="58">
        <f t="shared" si="32"/>
        <v>0</v>
      </c>
      <c r="AJ33" s="58">
        <f t="shared" si="33"/>
        <v>0</v>
      </c>
      <c r="AK33" s="58">
        <f t="shared" si="34"/>
        <v>0</v>
      </c>
      <c r="AL33" s="58">
        <f t="array" ref="AL33">_xlfn.IFS(R33=0,AE33,R33&lt;0,AE33/-R33,R33&gt;0,AE33/R33)</f>
        <v>0</v>
      </c>
      <c r="AM33" s="59">
        <f t="shared" si="35"/>
        <v>0</v>
      </c>
      <c r="AN33" s="60">
        <f t="shared" si="36"/>
        <v>0</v>
      </c>
      <c r="AP33" s="62">
        <f t="shared" si="37"/>
        <v>0</v>
      </c>
    </row>
    <row r="34" spans="1:42">
      <c r="A34" s="39">
        <v>2774710430</v>
      </c>
      <c r="B34" s="40" t="s">
        <v>238</v>
      </c>
      <c r="C34" s="41"/>
      <c r="D34" s="42"/>
      <c r="E34" s="42"/>
      <c r="F34" s="42"/>
      <c r="G34" s="43"/>
      <c r="H34" s="65">
        <v>552</v>
      </c>
      <c r="I34" s="63">
        <f t="shared" si="20"/>
        <v>0</v>
      </c>
      <c r="J34" s="45"/>
      <c r="K34" s="41">
        <v>0</v>
      </c>
      <c r="L34" s="45"/>
      <c r="M34" s="45"/>
      <c r="N34" s="46">
        <f t="shared" si="38"/>
        <v>0</v>
      </c>
      <c r="O34" s="47">
        <f t="shared" si="39"/>
        <v>0</v>
      </c>
      <c r="P34" s="48">
        <f>SUMIFS('Отчет 01-05.10'!H:H,'Отчет 01-05.10'!D:D,"Выручка",'Отчет 01-05.10'!E:E,B34)</f>
        <v>0</v>
      </c>
      <c r="Q34" s="48">
        <f>SUMIFS('Отчет 01-05.10'!H:H,'Отчет 01-05.10'!D:D,"Возврат выручки",'Отчет 01-05.10'!E:E,B34)</f>
        <v>0</v>
      </c>
      <c r="R34" s="49">
        <f t="shared" si="23"/>
        <v>0</v>
      </c>
      <c r="S34" s="50">
        <f>SUMIFS('Отчет 01-05.10'!O:O,'Отчет 01-05.10'!C:C,"Продажи",'Отчет 01-05.10'!E:E,B34)</f>
        <v>0</v>
      </c>
      <c r="T34" s="51">
        <f>SUMIFS('Отчет 01-05.10'!O:O,'Отчет 01-05.10'!C:C,"Возвраты",'Отчет 01-05.10'!E:E,B34)</f>
        <v>0</v>
      </c>
      <c r="U34" s="49">
        <f t="shared" si="24"/>
        <v>0</v>
      </c>
      <c r="V34" s="52">
        <f t="shared" si="25"/>
        <v>0</v>
      </c>
      <c r="W34" s="53">
        <f t="shared" si="26"/>
        <v>0</v>
      </c>
      <c r="X34" s="51">
        <f>-SUMIFS('Отчет 01-05.10'!O:O,'Отчет 01-05.10'!C:C,"Вознаграждение Ozon",'Отчет 01-05.10'!E:E,B34)</f>
        <v>0</v>
      </c>
      <c r="Y34" s="54">
        <f t="shared" si="27"/>
        <v>0</v>
      </c>
      <c r="Z34" s="51">
        <f>-SUMIFS('Отчет 01-05.10'!O:O,'Отчет 01-05.10'!C:C,"Услуги доставки",'Отчет 01-05.10'!E:E,B34)</f>
        <v>0</v>
      </c>
      <c r="AA34" s="41">
        <v>0</v>
      </c>
      <c r="AB34" s="64"/>
      <c r="AC34" s="51"/>
      <c r="AD34" s="55">
        <f t="shared" si="28"/>
        <v>0</v>
      </c>
      <c r="AE34" s="56">
        <f t="shared" si="29"/>
        <v>0</v>
      </c>
      <c r="AF34" s="55"/>
      <c r="AG34" s="57">
        <f t="shared" si="30"/>
        <v>0</v>
      </c>
      <c r="AH34" s="58">
        <f t="shared" si="31"/>
        <v>552</v>
      </c>
      <c r="AI34" s="58">
        <f t="shared" si="32"/>
        <v>0</v>
      </c>
      <c r="AJ34" s="58">
        <f t="shared" si="33"/>
        <v>0</v>
      </c>
      <c r="AK34" s="58">
        <f t="shared" si="34"/>
        <v>0</v>
      </c>
      <c r="AL34" s="58">
        <f t="array" ref="AL34">_xlfn.IFS(R34=0,AE34,R34&lt;0,AE34/-R34,R34&gt;0,AE34/R34)</f>
        <v>0</v>
      </c>
      <c r="AM34" s="59">
        <f t="shared" si="35"/>
        <v>0</v>
      </c>
      <c r="AN34" s="60">
        <f t="shared" si="36"/>
        <v>0</v>
      </c>
      <c r="AP34" s="62">
        <f t="shared" si="37"/>
        <v>0</v>
      </c>
    </row>
    <row r="35" spans="1:42">
      <c r="A35" s="39">
        <v>2774712116</v>
      </c>
      <c r="B35" s="40" t="s">
        <v>62</v>
      </c>
      <c r="C35" s="41"/>
      <c r="D35" s="42"/>
      <c r="E35" s="42"/>
      <c r="F35" s="42"/>
      <c r="G35" s="43"/>
      <c r="H35" s="65">
        <v>687</v>
      </c>
      <c r="I35" s="63">
        <f t="shared" si="20"/>
        <v>0</v>
      </c>
      <c r="J35" s="45"/>
      <c r="K35" s="41">
        <v>4</v>
      </c>
      <c r="L35" s="45"/>
      <c r="M35" s="45"/>
      <c r="N35" s="46">
        <f t="shared" si="38"/>
        <v>0.8</v>
      </c>
      <c r="O35" s="47">
        <f t="shared" si="39"/>
        <v>0</v>
      </c>
      <c r="P35" s="48">
        <f>SUMIFS('Отчет 01-05.10'!H:H,'Отчет 01-05.10'!D:D,"Выручка",'Отчет 01-05.10'!E:E,B35)</f>
        <v>0</v>
      </c>
      <c r="Q35" s="48">
        <f>SUMIFS('Отчет 01-05.10'!H:H,'Отчет 01-05.10'!D:D,"Возврат выручки",'Отчет 01-05.10'!E:E,B35)</f>
        <v>0</v>
      </c>
      <c r="R35" s="49">
        <f t="shared" si="23"/>
        <v>0</v>
      </c>
      <c r="S35" s="50">
        <f>SUMIFS('Отчет 01-05.10'!O:O,'Отчет 01-05.10'!C:C,"Продажи",'Отчет 01-05.10'!E:E,B35)</f>
        <v>0</v>
      </c>
      <c r="T35" s="51">
        <f>SUMIFS('Отчет 01-05.10'!O:O,'Отчет 01-05.10'!C:C,"Возвраты",'Отчет 01-05.10'!E:E,B35)</f>
        <v>0</v>
      </c>
      <c r="U35" s="49">
        <f t="shared" si="24"/>
        <v>0</v>
      </c>
      <c r="V35" s="52">
        <f t="shared" si="25"/>
        <v>0</v>
      </c>
      <c r="W35" s="53">
        <f t="shared" si="26"/>
        <v>0</v>
      </c>
      <c r="X35" s="51">
        <f>-SUMIFS('Отчет 01-05.10'!O:O,'Отчет 01-05.10'!C:C,"Вознаграждение Ozon",'Отчет 01-05.10'!E:E,B35)</f>
        <v>0</v>
      </c>
      <c r="Y35" s="54">
        <f t="shared" si="27"/>
        <v>0</v>
      </c>
      <c r="Z35" s="51">
        <f>-SUMIFS('Отчет 01-05.10'!O:O,'Отчет 01-05.10'!C:C,"Услуги доставки",'Отчет 01-05.10'!E:E,B35)</f>
        <v>0</v>
      </c>
      <c r="AA35" s="41">
        <v>1989.608682</v>
      </c>
      <c r="AB35" s="64"/>
      <c r="AC35" s="51"/>
      <c r="AD35" s="55">
        <f t="shared" si="28"/>
        <v>0</v>
      </c>
      <c r="AE35" s="56">
        <f t="shared" si="29"/>
        <v>-1989.608682</v>
      </c>
      <c r="AF35" s="55"/>
      <c r="AG35" s="57">
        <f t="shared" si="30"/>
        <v>0</v>
      </c>
      <c r="AH35" s="58">
        <f t="shared" si="31"/>
        <v>687</v>
      </c>
      <c r="AI35" s="58">
        <f t="shared" si="32"/>
        <v>0</v>
      </c>
      <c r="AJ35" s="58">
        <f t="shared" si="33"/>
        <v>0</v>
      </c>
      <c r="AK35" s="58">
        <f t="shared" si="34"/>
        <v>0</v>
      </c>
      <c r="AL35" s="58">
        <f t="array" ref="AL35">_xlfn.IFS(R35=0,AE35,R35&lt;0,AE35/-R35,R35&gt;0,AE35/R35)</f>
        <v>-1989.608682</v>
      </c>
      <c r="AM35" s="59">
        <f t="shared" si="35"/>
        <v>0</v>
      </c>
      <c r="AN35" s="60">
        <f t="shared" si="36"/>
        <v>-2.8960825065502185</v>
      </c>
      <c r="AP35" s="62">
        <f t="shared" si="37"/>
        <v>0</v>
      </c>
    </row>
    <row r="36" spans="1:42">
      <c r="A36" s="39">
        <v>2774719012</v>
      </c>
      <c r="B36" s="40" t="s">
        <v>239</v>
      </c>
      <c r="C36" s="41"/>
      <c r="D36" s="42"/>
      <c r="E36" s="42"/>
      <c r="F36" s="42"/>
      <c r="G36" s="43"/>
      <c r="H36" s="65">
        <v>687</v>
      </c>
      <c r="I36" s="63">
        <f t="shared" si="20"/>
        <v>0</v>
      </c>
      <c r="J36" s="45"/>
      <c r="K36" s="41">
        <v>2</v>
      </c>
      <c r="L36" s="45"/>
      <c r="M36" s="45"/>
      <c r="N36" s="46">
        <f t="shared" si="38"/>
        <v>0.4</v>
      </c>
      <c r="O36" s="47">
        <f t="shared" si="39"/>
        <v>0.2</v>
      </c>
      <c r="P36" s="48">
        <f>SUMIFS('Отчет 01-05.10'!H:H,'Отчет 01-05.10'!D:D,"Выручка",'Отчет 01-05.10'!E:E,B36)</f>
        <v>1</v>
      </c>
      <c r="Q36" s="48">
        <f>SUMIFS('Отчет 01-05.10'!H:H,'Отчет 01-05.10'!D:D,"Возврат выручки",'Отчет 01-05.10'!E:E,B36)</f>
        <v>0</v>
      </c>
      <c r="R36" s="49">
        <f t="shared" si="23"/>
        <v>1</v>
      </c>
      <c r="S36" s="50">
        <f>SUMIFS('Отчет 01-05.10'!O:O,'Отчет 01-05.10'!C:C,"Продажи",'Отчет 01-05.10'!E:E,B36)</f>
        <v>3690</v>
      </c>
      <c r="T36" s="51">
        <f>SUMIFS('Отчет 01-05.10'!O:O,'Отчет 01-05.10'!C:C,"Возвраты",'Отчет 01-05.10'!E:E,B36)</f>
        <v>0</v>
      </c>
      <c r="U36" s="49">
        <f t="shared" si="24"/>
        <v>3690</v>
      </c>
      <c r="V36" s="52">
        <f t="shared" si="25"/>
        <v>5.3853675622819945E-2</v>
      </c>
      <c r="W36" s="53">
        <f t="shared" si="26"/>
        <v>687</v>
      </c>
      <c r="X36" s="51">
        <f>-SUMIFS('Отчет 01-05.10'!O:O,'Отчет 01-05.10'!C:C,"Вознаграждение Ozon",'Отчет 01-05.10'!E:E,B36)</f>
        <v>885.6</v>
      </c>
      <c r="Y36" s="54">
        <f t="shared" si="27"/>
        <v>0.24000000000000002</v>
      </c>
      <c r="Z36" s="51">
        <f>-SUMIFS('Отчет 01-05.10'!O:O,'Отчет 01-05.10'!C:C,"Услуги доставки",'Отчет 01-05.10'!E:E,B36)</f>
        <v>56</v>
      </c>
      <c r="AA36" s="41">
        <v>997.22863600000005</v>
      </c>
      <c r="AB36" s="64"/>
      <c r="AC36" s="51"/>
      <c r="AD36" s="55">
        <f t="shared" si="28"/>
        <v>221.4</v>
      </c>
      <c r="AE36" s="56">
        <f t="shared" si="29"/>
        <v>842.77136400000006</v>
      </c>
      <c r="AF36" s="55"/>
      <c r="AG36" s="57">
        <f t="shared" si="30"/>
        <v>3690</v>
      </c>
      <c r="AH36" s="58">
        <f t="shared" si="31"/>
        <v>687</v>
      </c>
      <c r="AI36" s="58">
        <f t="shared" si="32"/>
        <v>885.6</v>
      </c>
      <c r="AJ36" s="58">
        <f t="shared" si="33"/>
        <v>56</v>
      </c>
      <c r="AK36" s="58">
        <f t="shared" si="34"/>
        <v>997.22863600000005</v>
      </c>
      <c r="AL36" s="58">
        <f t="array" ref="AL36">_xlfn.IFS(R36=0,AE36,R36&lt;0,AE36/-R36,R36&gt;0,AE36/R36)</f>
        <v>842.77136400000006</v>
      </c>
      <c r="AM36" s="59">
        <f t="shared" si="35"/>
        <v>0.2283933235772358</v>
      </c>
      <c r="AN36" s="60">
        <f t="shared" si="36"/>
        <v>1.2267414323144106</v>
      </c>
      <c r="AP36" s="62">
        <f t="shared" si="37"/>
        <v>0</v>
      </c>
    </row>
    <row r="37" spans="1:42">
      <c r="A37" s="39">
        <v>2774719433</v>
      </c>
      <c r="B37" s="40" t="s">
        <v>240</v>
      </c>
      <c r="C37" s="41"/>
      <c r="D37" s="42"/>
      <c r="E37" s="42"/>
      <c r="F37" s="42"/>
      <c r="G37" s="43"/>
      <c r="H37" s="65">
        <v>597</v>
      </c>
      <c r="I37" s="63">
        <f t="shared" si="20"/>
        <v>0</v>
      </c>
      <c r="J37" s="45"/>
      <c r="K37" s="41">
        <v>0</v>
      </c>
      <c r="L37" s="45"/>
      <c r="M37" s="45"/>
      <c r="N37" s="46">
        <f t="shared" si="38"/>
        <v>0</v>
      </c>
      <c r="O37" s="47">
        <f t="shared" si="39"/>
        <v>0</v>
      </c>
      <c r="P37" s="48">
        <f>SUMIFS('Отчет 01-05.10'!H:H,'Отчет 01-05.10'!D:D,"Выручка",'Отчет 01-05.10'!E:E,B37)</f>
        <v>0</v>
      </c>
      <c r="Q37" s="48">
        <f>SUMIFS('Отчет 01-05.10'!H:H,'Отчет 01-05.10'!D:D,"Возврат выручки",'Отчет 01-05.10'!E:E,B37)</f>
        <v>0</v>
      </c>
      <c r="R37" s="49">
        <f t="shared" si="23"/>
        <v>0</v>
      </c>
      <c r="S37" s="50">
        <f>SUMIFS('Отчет 01-05.10'!O:O,'Отчет 01-05.10'!C:C,"Продажи",'Отчет 01-05.10'!E:E,B37)</f>
        <v>0</v>
      </c>
      <c r="T37" s="51">
        <f>SUMIFS('Отчет 01-05.10'!O:O,'Отчет 01-05.10'!C:C,"Возвраты",'Отчет 01-05.10'!E:E,B37)</f>
        <v>0</v>
      </c>
      <c r="U37" s="49">
        <f t="shared" si="24"/>
        <v>0</v>
      </c>
      <c r="V37" s="52">
        <f t="shared" si="25"/>
        <v>0</v>
      </c>
      <c r="W37" s="53">
        <f t="shared" si="26"/>
        <v>0</v>
      </c>
      <c r="X37" s="51">
        <f>-SUMIFS('Отчет 01-05.10'!O:O,'Отчет 01-05.10'!C:C,"Вознаграждение Ozon",'Отчет 01-05.10'!E:E,B37)</f>
        <v>0</v>
      </c>
      <c r="Y37" s="54">
        <f t="shared" si="27"/>
        <v>0</v>
      </c>
      <c r="Z37" s="51">
        <f>-SUMIFS('Отчет 01-05.10'!O:O,'Отчет 01-05.10'!C:C,"Услуги доставки",'Отчет 01-05.10'!E:E,B37)</f>
        <v>0</v>
      </c>
      <c r="AA37" s="41">
        <v>0</v>
      </c>
      <c r="AB37" s="64"/>
      <c r="AC37" s="51"/>
      <c r="AD37" s="55">
        <f t="shared" si="28"/>
        <v>0</v>
      </c>
      <c r="AE37" s="56">
        <f t="shared" si="29"/>
        <v>0</v>
      </c>
      <c r="AF37" s="55"/>
      <c r="AG37" s="57">
        <f t="shared" si="30"/>
        <v>0</v>
      </c>
      <c r="AH37" s="58">
        <f t="shared" si="31"/>
        <v>597</v>
      </c>
      <c r="AI37" s="58">
        <f t="shared" si="32"/>
        <v>0</v>
      </c>
      <c r="AJ37" s="58">
        <f t="shared" si="33"/>
        <v>0</v>
      </c>
      <c r="AK37" s="58">
        <f t="shared" si="34"/>
        <v>0</v>
      </c>
      <c r="AL37" s="58">
        <f t="array" ref="AL37">_xlfn.IFS(R37=0,AE37,R37&lt;0,AE37/-R37,R37&gt;0,AE37/R37)</f>
        <v>0</v>
      </c>
      <c r="AM37" s="59">
        <f t="shared" si="35"/>
        <v>0</v>
      </c>
      <c r="AN37" s="60">
        <f t="shared" si="36"/>
        <v>0</v>
      </c>
      <c r="AP37" s="62">
        <f t="shared" si="37"/>
        <v>0</v>
      </c>
    </row>
    <row r="38" spans="1:42">
      <c r="A38" s="39">
        <v>2774719029</v>
      </c>
      <c r="B38" s="40" t="s">
        <v>241</v>
      </c>
      <c r="C38" s="41"/>
      <c r="D38" s="42"/>
      <c r="E38" s="42"/>
      <c r="F38" s="42"/>
      <c r="G38" s="43"/>
      <c r="H38" s="65">
        <v>597</v>
      </c>
      <c r="I38" s="63">
        <f t="shared" si="20"/>
        <v>0</v>
      </c>
      <c r="J38" s="45"/>
      <c r="K38" s="41">
        <v>0</v>
      </c>
      <c r="L38" s="45"/>
      <c r="M38" s="45"/>
      <c r="N38" s="46">
        <f t="shared" si="38"/>
        <v>0</v>
      </c>
      <c r="O38" s="47">
        <f t="shared" si="39"/>
        <v>0</v>
      </c>
      <c r="P38" s="48">
        <f>SUMIFS('Отчет 01-05.10'!H:H,'Отчет 01-05.10'!D:D,"Выручка",'Отчет 01-05.10'!E:E,B38)</f>
        <v>0</v>
      </c>
      <c r="Q38" s="48">
        <f>SUMIFS('Отчет 01-05.10'!H:H,'Отчет 01-05.10'!D:D,"Возврат выручки",'Отчет 01-05.10'!E:E,B38)</f>
        <v>0</v>
      </c>
      <c r="R38" s="49">
        <f t="shared" si="23"/>
        <v>0</v>
      </c>
      <c r="S38" s="50">
        <f>SUMIFS('Отчет 01-05.10'!O:O,'Отчет 01-05.10'!C:C,"Продажи",'Отчет 01-05.10'!E:E,B38)</f>
        <v>0</v>
      </c>
      <c r="T38" s="51">
        <f>SUMIFS('Отчет 01-05.10'!O:O,'Отчет 01-05.10'!C:C,"Возвраты",'Отчет 01-05.10'!E:E,B38)</f>
        <v>0</v>
      </c>
      <c r="U38" s="49">
        <f t="shared" si="24"/>
        <v>0</v>
      </c>
      <c r="V38" s="52">
        <f t="shared" si="25"/>
        <v>0</v>
      </c>
      <c r="W38" s="53">
        <f t="shared" si="26"/>
        <v>0</v>
      </c>
      <c r="X38" s="51">
        <f>-SUMIFS('Отчет 01-05.10'!O:O,'Отчет 01-05.10'!C:C,"Вознаграждение Ozon",'Отчет 01-05.10'!E:E,B38)</f>
        <v>0</v>
      </c>
      <c r="Y38" s="54">
        <f t="shared" si="27"/>
        <v>0</v>
      </c>
      <c r="Z38" s="51">
        <f>-SUMIFS('Отчет 01-05.10'!O:O,'Отчет 01-05.10'!C:C,"Услуги доставки",'Отчет 01-05.10'!E:E,B38)</f>
        <v>0</v>
      </c>
      <c r="AA38" s="41">
        <v>0</v>
      </c>
      <c r="AB38" s="64"/>
      <c r="AC38" s="51"/>
      <c r="AD38" s="55">
        <f t="shared" si="28"/>
        <v>0</v>
      </c>
      <c r="AE38" s="56">
        <f t="shared" si="29"/>
        <v>0</v>
      </c>
      <c r="AF38" s="55"/>
      <c r="AG38" s="57">
        <f t="shared" si="30"/>
        <v>0</v>
      </c>
      <c r="AH38" s="58">
        <f t="shared" si="31"/>
        <v>597</v>
      </c>
      <c r="AI38" s="58">
        <f t="shared" si="32"/>
        <v>0</v>
      </c>
      <c r="AJ38" s="58">
        <f t="shared" si="33"/>
        <v>0</v>
      </c>
      <c r="AK38" s="58">
        <f t="shared" si="34"/>
        <v>0</v>
      </c>
      <c r="AL38" s="58">
        <f t="array" ref="AL38">_xlfn.IFS(R38=0,AE38,R38&lt;0,AE38/-R38,R38&gt;0,AE38/R38)</f>
        <v>0</v>
      </c>
      <c r="AM38" s="59">
        <f t="shared" si="35"/>
        <v>0</v>
      </c>
      <c r="AN38" s="60">
        <f t="shared" si="36"/>
        <v>0</v>
      </c>
      <c r="AP38" s="62">
        <f t="shared" si="37"/>
        <v>0</v>
      </c>
    </row>
    <row r="39" spans="1:42">
      <c r="A39" s="39">
        <v>2774719553</v>
      </c>
      <c r="B39" s="40" t="s">
        <v>242</v>
      </c>
      <c r="C39" s="41"/>
      <c r="D39" s="42"/>
      <c r="E39" s="42"/>
      <c r="F39" s="42"/>
      <c r="G39" s="43"/>
      <c r="H39" s="65">
        <v>597</v>
      </c>
      <c r="I39" s="63">
        <f t="shared" si="20"/>
        <v>0</v>
      </c>
      <c r="J39" s="45"/>
      <c r="K39" s="41">
        <v>0</v>
      </c>
      <c r="L39" s="45"/>
      <c r="M39" s="45"/>
      <c r="N39" s="46">
        <f t="shared" si="38"/>
        <v>0</v>
      </c>
      <c r="O39" s="47">
        <f t="shared" si="39"/>
        <v>0</v>
      </c>
      <c r="P39" s="48">
        <f>SUMIFS('Отчет 01-05.10'!H:H,'Отчет 01-05.10'!D:D,"Выручка",'Отчет 01-05.10'!E:E,B39)</f>
        <v>0</v>
      </c>
      <c r="Q39" s="48">
        <f>SUMIFS('Отчет 01-05.10'!H:H,'Отчет 01-05.10'!D:D,"Возврат выручки",'Отчет 01-05.10'!E:E,B39)</f>
        <v>0</v>
      </c>
      <c r="R39" s="49">
        <f t="shared" si="23"/>
        <v>0</v>
      </c>
      <c r="S39" s="50">
        <f>SUMIFS('Отчет 01-05.10'!O:O,'Отчет 01-05.10'!C:C,"Продажи",'Отчет 01-05.10'!E:E,B39)</f>
        <v>0</v>
      </c>
      <c r="T39" s="51">
        <f>SUMIFS('Отчет 01-05.10'!O:O,'Отчет 01-05.10'!C:C,"Возвраты",'Отчет 01-05.10'!E:E,B39)</f>
        <v>0</v>
      </c>
      <c r="U39" s="49">
        <f t="shared" si="24"/>
        <v>0</v>
      </c>
      <c r="V39" s="52">
        <f t="shared" si="25"/>
        <v>0</v>
      </c>
      <c r="W39" s="53">
        <f t="shared" si="26"/>
        <v>0</v>
      </c>
      <c r="X39" s="51">
        <f>-SUMIFS('Отчет 01-05.10'!O:O,'Отчет 01-05.10'!C:C,"Вознаграждение Ozon",'Отчет 01-05.10'!E:E,B39)</f>
        <v>0</v>
      </c>
      <c r="Y39" s="54">
        <f t="shared" si="27"/>
        <v>0</v>
      </c>
      <c r="Z39" s="51">
        <f>-SUMIFS('Отчет 01-05.10'!O:O,'Отчет 01-05.10'!C:C,"Услуги доставки",'Отчет 01-05.10'!E:E,B39)</f>
        <v>0</v>
      </c>
      <c r="AA39" s="41">
        <v>0</v>
      </c>
      <c r="AB39" s="64"/>
      <c r="AC39" s="51"/>
      <c r="AD39" s="55">
        <f t="shared" si="28"/>
        <v>0</v>
      </c>
      <c r="AE39" s="56">
        <f t="shared" si="29"/>
        <v>0</v>
      </c>
      <c r="AF39" s="55"/>
      <c r="AG39" s="57">
        <f t="shared" si="30"/>
        <v>0</v>
      </c>
      <c r="AH39" s="58">
        <f t="shared" si="31"/>
        <v>597</v>
      </c>
      <c r="AI39" s="58">
        <f t="shared" si="32"/>
        <v>0</v>
      </c>
      <c r="AJ39" s="58">
        <f t="shared" si="33"/>
        <v>0</v>
      </c>
      <c r="AK39" s="58">
        <f t="shared" si="34"/>
        <v>0</v>
      </c>
      <c r="AL39" s="58">
        <f t="array" ref="AL39">_xlfn.IFS(R39=0,AE39,R39&lt;0,AE39/-R39,R39&gt;0,AE39/R39)</f>
        <v>0</v>
      </c>
      <c r="AM39" s="59">
        <f t="shared" si="35"/>
        <v>0</v>
      </c>
      <c r="AN39" s="60">
        <f t="shared" si="36"/>
        <v>0</v>
      </c>
      <c r="AP39" s="62">
        <f t="shared" si="37"/>
        <v>0</v>
      </c>
    </row>
    <row r="40" spans="1:42">
      <c r="A40" s="39">
        <v>2774710913</v>
      </c>
      <c r="B40" s="40" t="s">
        <v>243</v>
      </c>
      <c r="C40" s="41"/>
      <c r="D40" s="42"/>
      <c r="E40" s="42"/>
      <c r="F40" s="42"/>
      <c r="G40" s="43"/>
      <c r="H40" s="65">
        <v>642</v>
      </c>
      <c r="I40" s="63">
        <f t="shared" si="20"/>
        <v>0</v>
      </c>
      <c r="J40" s="45"/>
      <c r="K40" s="41">
        <v>0</v>
      </c>
      <c r="L40" s="45"/>
      <c r="M40" s="45"/>
      <c r="N40" s="46">
        <f t="shared" si="38"/>
        <v>0</v>
      </c>
      <c r="O40" s="47">
        <f t="shared" si="39"/>
        <v>0</v>
      </c>
      <c r="P40" s="48">
        <f>SUMIFS('Отчет 01-05.10'!H:H,'Отчет 01-05.10'!D:D,"Выручка",'Отчет 01-05.10'!E:E,B40)</f>
        <v>0</v>
      </c>
      <c r="Q40" s="48">
        <f>SUMIFS('Отчет 01-05.10'!H:H,'Отчет 01-05.10'!D:D,"Возврат выручки",'Отчет 01-05.10'!E:E,B40)</f>
        <v>0</v>
      </c>
      <c r="R40" s="49">
        <f t="shared" si="23"/>
        <v>0</v>
      </c>
      <c r="S40" s="50">
        <f>SUMIFS('Отчет 01-05.10'!O:O,'Отчет 01-05.10'!C:C,"Продажи",'Отчет 01-05.10'!E:E,B40)</f>
        <v>0</v>
      </c>
      <c r="T40" s="51">
        <f>SUMIFS('Отчет 01-05.10'!O:O,'Отчет 01-05.10'!C:C,"Возвраты",'Отчет 01-05.10'!E:E,B40)</f>
        <v>0</v>
      </c>
      <c r="U40" s="49">
        <f t="shared" si="24"/>
        <v>0</v>
      </c>
      <c r="V40" s="52">
        <f t="shared" si="25"/>
        <v>0</v>
      </c>
      <c r="W40" s="53">
        <f t="shared" si="26"/>
        <v>0</v>
      </c>
      <c r="X40" s="51">
        <f>-SUMIFS('Отчет 01-05.10'!O:O,'Отчет 01-05.10'!C:C,"Вознаграждение Ozon",'Отчет 01-05.10'!E:E,B40)</f>
        <v>0</v>
      </c>
      <c r="Y40" s="54">
        <f t="shared" si="27"/>
        <v>0</v>
      </c>
      <c r="Z40" s="51">
        <f>-SUMIFS('Отчет 01-05.10'!O:O,'Отчет 01-05.10'!C:C,"Услуги доставки",'Отчет 01-05.10'!E:E,B40)</f>
        <v>0</v>
      </c>
      <c r="AA40" s="41">
        <v>0</v>
      </c>
      <c r="AB40" s="64"/>
      <c r="AC40" s="51"/>
      <c r="AD40" s="55">
        <f t="shared" si="28"/>
        <v>0</v>
      </c>
      <c r="AE40" s="56">
        <f t="shared" si="29"/>
        <v>0</v>
      </c>
      <c r="AF40" s="55"/>
      <c r="AG40" s="57">
        <f t="shared" si="30"/>
        <v>0</v>
      </c>
      <c r="AH40" s="58">
        <f t="shared" si="31"/>
        <v>642</v>
      </c>
      <c r="AI40" s="58">
        <f t="shared" si="32"/>
        <v>0</v>
      </c>
      <c r="AJ40" s="58">
        <f t="shared" si="33"/>
        <v>0</v>
      </c>
      <c r="AK40" s="58">
        <f t="shared" si="34"/>
        <v>0</v>
      </c>
      <c r="AL40" s="58">
        <f t="array" ref="AL40">_xlfn.IFS(R40=0,AE40,R40&lt;0,AE40/-R40,R40&gt;0,AE40/R40)</f>
        <v>0</v>
      </c>
      <c r="AM40" s="59">
        <f t="shared" si="35"/>
        <v>0</v>
      </c>
      <c r="AN40" s="60">
        <f t="shared" si="36"/>
        <v>0</v>
      </c>
      <c r="AP40" s="62">
        <f t="shared" si="37"/>
        <v>0</v>
      </c>
    </row>
    <row r="41" spans="1:42">
      <c r="A41" s="39">
        <v>2774721668</v>
      </c>
      <c r="B41" s="40" t="s">
        <v>244</v>
      </c>
      <c r="C41" s="41"/>
      <c r="D41" s="42"/>
      <c r="E41" s="42"/>
      <c r="F41" s="42"/>
      <c r="G41" s="43"/>
      <c r="H41" s="65">
        <v>642</v>
      </c>
      <c r="I41" s="63">
        <f t="shared" si="20"/>
        <v>0</v>
      </c>
      <c r="J41" s="45"/>
      <c r="K41" s="41">
        <v>0</v>
      </c>
      <c r="L41" s="45"/>
      <c r="M41" s="45"/>
      <c r="N41" s="46">
        <f t="shared" si="38"/>
        <v>0</v>
      </c>
      <c r="O41" s="47">
        <f t="shared" si="39"/>
        <v>0</v>
      </c>
      <c r="P41" s="48">
        <f>SUMIFS('Отчет 01-05.10'!H:H,'Отчет 01-05.10'!D:D,"Выручка",'Отчет 01-05.10'!E:E,B41)</f>
        <v>0</v>
      </c>
      <c r="Q41" s="48">
        <f>SUMIFS('Отчет 01-05.10'!H:H,'Отчет 01-05.10'!D:D,"Возврат выручки",'Отчет 01-05.10'!E:E,B41)</f>
        <v>0</v>
      </c>
      <c r="R41" s="49">
        <f t="shared" si="23"/>
        <v>0</v>
      </c>
      <c r="S41" s="50">
        <f>SUMIFS('Отчет 01-05.10'!O:O,'Отчет 01-05.10'!C:C,"Продажи",'Отчет 01-05.10'!E:E,B41)</f>
        <v>0</v>
      </c>
      <c r="T41" s="51">
        <f>SUMIFS('Отчет 01-05.10'!O:O,'Отчет 01-05.10'!C:C,"Возвраты",'Отчет 01-05.10'!E:E,B41)</f>
        <v>0</v>
      </c>
      <c r="U41" s="49">
        <f t="shared" si="24"/>
        <v>0</v>
      </c>
      <c r="V41" s="52">
        <f t="shared" si="25"/>
        <v>0</v>
      </c>
      <c r="W41" s="53">
        <f t="shared" si="26"/>
        <v>0</v>
      </c>
      <c r="X41" s="51">
        <f>-SUMIFS('Отчет 01-05.10'!O:O,'Отчет 01-05.10'!C:C,"Вознаграждение Ozon",'Отчет 01-05.10'!E:E,B41)</f>
        <v>0</v>
      </c>
      <c r="Y41" s="54">
        <f t="shared" si="27"/>
        <v>0</v>
      </c>
      <c r="Z41" s="51">
        <f>-SUMIFS('Отчет 01-05.10'!O:O,'Отчет 01-05.10'!C:C,"Услуги доставки",'Отчет 01-05.10'!E:E,B41)</f>
        <v>0</v>
      </c>
      <c r="AA41" s="41">
        <v>0</v>
      </c>
      <c r="AB41" s="64"/>
      <c r="AC41" s="51"/>
      <c r="AD41" s="55">
        <f t="shared" si="28"/>
        <v>0</v>
      </c>
      <c r="AE41" s="56">
        <f t="shared" si="29"/>
        <v>0</v>
      </c>
      <c r="AF41" s="55"/>
      <c r="AG41" s="57">
        <f t="shared" si="30"/>
        <v>0</v>
      </c>
      <c r="AH41" s="58">
        <f t="shared" si="31"/>
        <v>642</v>
      </c>
      <c r="AI41" s="58">
        <f t="shared" si="32"/>
        <v>0</v>
      </c>
      <c r="AJ41" s="58">
        <f t="shared" si="33"/>
        <v>0</v>
      </c>
      <c r="AK41" s="58">
        <f t="shared" si="34"/>
        <v>0</v>
      </c>
      <c r="AL41" s="58">
        <f t="array" ref="AL41">_xlfn.IFS(R41=0,AE41,R41&lt;0,AE41/-R41,R41&gt;0,AE41/R41)</f>
        <v>0</v>
      </c>
      <c r="AM41" s="59">
        <f t="shared" si="35"/>
        <v>0</v>
      </c>
      <c r="AN41" s="60">
        <f t="shared" si="36"/>
        <v>0</v>
      </c>
      <c r="AP41" s="62">
        <f t="shared" si="37"/>
        <v>0</v>
      </c>
    </row>
    <row r="42" spans="1:42">
      <c r="A42" s="39">
        <v>2774722656</v>
      </c>
      <c r="B42" s="40" t="s">
        <v>51</v>
      </c>
      <c r="C42" s="41"/>
      <c r="D42" s="42"/>
      <c r="E42" s="42"/>
      <c r="F42" s="42"/>
      <c r="G42" s="43"/>
      <c r="H42" s="65">
        <v>687</v>
      </c>
      <c r="I42" s="63">
        <f t="shared" si="20"/>
        <v>0</v>
      </c>
      <c r="J42" s="45"/>
      <c r="K42" s="41">
        <v>11</v>
      </c>
      <c r="L42" s="45"/>
      <c r="M42" s="45"/>
      <c r="N42" s="46">
        <f t="shared" si="38"/>
        <v>2.2000000000000002</v>
      </c>
      <c r="O42" s="47">
        <f t="shared" si="39"/>
        <v>1.4</v>
      </c>
      <c r="P42" s="48">
        <f>SUMIFS('Отчет 01-05.10'!H:H,'Отчет 01-05.10'!D:D,"Выручка",'Отчет 01-05.10'!E:E,B42)</f>
        <v>6</v>
      </c>
      <c r="Q42" s="48">
        <f>SUMIFS('Отчет 01-05.10'!H:H,'Отчет 01-05.10'!D:D,"Возврат выручки",'Отчет 01-05.10'!E:E,B42)</f>
        <v>1</v>
      </c>
      <c r="R42" s="49">
        <f t="shared" si="23"/>
        <v>7</v>
      </c>
      <c r="S42" s="50">
        <f>SUMIFS('Отчет 01-05.10'!O:O,'Отчет 01-05.10'!C:C,"Продажи",'Отчет 01-05.10'!E:E,B42)</f>
        <v>19980</v>
      </c>
      <c r="T42" s="51">
        <f>SUMIFS('Отчет 01-05.10'!O:O,'Отчет 01-05.10'!C:C,"Возвраты",'Отчет 01-05.10'!E:E,B42)</f>
        <v>-3690</v>
      </c>
      <c r="U42" s="49">
        <f t="shared" si="24"/>
        <v>16290</v>
      </c>
      <c r="V42" s="52">
        <f t="shared" si="25"/>
        <v>0.23774427531049783</v>
      </c>
      <c r="W42" s="53">
        <f t="shared" si="26"/>
        <v>4809</v>
      </c>
      <c r="X42" s="51">
        <f>-SUMIFS('Отчет 01-05.10'!O:O,'Отчет 01-05.10'!C:C,"Вознаграждение Ozon",'Отчет 01-05.10'!E:E,B42)</f>
        <v>3909.6</v>
      </c>
      <c r="Y42" s="54">
        <f t="shared" si="27"/>
        <v>0.24</v>
      </c>
      <c r="Z42" s="51">
        <f>-SUMIFS('Отчет 01-05.10'!O:O,'Отчет 01-05.10'!C:C,"Услуги доставки",'Отчет 01-05.10'!E:E,B42)</f>
        <v>560</v>
      </c>
      <c r="AA42" s="41">
        <v>1942.350893</v>
      </c>
      <c r="AB42" s="64"/>
      <c r="AC42" s="51"/>
      <c r="AD42" s="55">
        <f t="shared" si="28"/>
        <v>977.4</v>
      </c>
      <c r="AE42" s="56">
        <f t="shared" si="29"/>
        <v>4091.6491069999997</v>
      </c>
      <c r="AF42" s="55"/>
      <c r="AG42" s="57">
        <f t="shared" si="30"/>
        <v>2327.1428571428573</v>
      </c>
      <c r="AH42" s="58">
        <f t="shared" si="31"/>
        <v>687</v>
      </c>
      <c r="AI42" s="58">
        <f t="shared" si="32"/>
        <v>558.51428571428573</v>
      </c>
      <c r="AJ42" s="58">
        <f t="shared" si="33"/>
        <v>93.333333333333329</v>
      </c>
      <c r="AK42" s="58">
        <f t="shared" si="34"/>
        <v>323.72514883333332</v>
      </c>
      <c r="AL42" s="58">
        <f t="array" ref="AL42">_xlfn.IFS(R42=0,AE42,R42&lt;0,AE42/-R42,R42&gt;0,AE42/R42)</f>
        <v>584.52130099999999</v>
      </c>
      <c r="AM42" s="59">
        <f t="shared" si="35"/>
        <v>0.25117551301411906</v>
      </c>
      <c r="AN42" s="60">
        <f t="shared" si="36"/>
        <v>0.85083158806404657</v>
      </c>
      <c r="AP42" s="62">
        <f t="shared" si="37"/>
        <v>0</v>
      </c>
    </row>
    <row r="43" spans="1:42">
      <c r="A43" s="39">
        <v>2774721190</v>
      </c>
      <c r="B43" s="40" t="s">
        <v>70</v>
      </c>
      <c r="C43" s="41"/>
      <c r="D43" s="42"/>
      <c r="E43" s="42"/>
      <c r="F43" s="42"/>
      <c r="G43" s="43"/>
      <c r="H43" s="65">
        <v>687</v>
      </c>
      <c r="I43" s="63">
        <f t="shared" si="20"/>
        <v>0</v>
      </c>
      <c r="J43" s="45"/>
      <c r="K43" s="41">
        <v>14</v>
      </c>
      <c r="L43" s="45"/>
      <c r="M43" s="45"/>
      <c r="N43" s="46">
        <f t="shared" si="38"/>
        <v>2.8</v>
      </c>
      <c r="O43" s="47">
        <f t="shared" si="39"/>
        <v>0.6</v>
      </c>
      <c r="P43" s="48">
        <f>SUMIFS('Отчет 01-05.10'!H:H,'Отчет 01-05.10'!D:D,"Выручка",'Отчет 01-05.10'!E:E,B43)</f>
        <v>3</v>
      </c>
      <c r="Q43" s="48">
        <f>SUMIFS('Отчет 01-05.10'!H:H,'Отчет 01-05.10'!D:D,"Возврат выручки",'Отчет 01-05.10'!E:E,B43)</f>
        <v>0</v>
      </c>
      <c r="R43" s="49">
        <f t="shared" si="23"/>
        <v>3</v>
      </c>
      <c r="S43" s="50">
        <f>SUMIFS('Отчет 01-05.10'!O:O,'Отчет 01-05.10'!C:C,"Продажи",'Отчет 01-05.10'!E:E,B43)</f>
        <v>9990</v>
      </c>
      <c r="T43" s="51">
        <f>SUMIFS('Отчет 01-05.10'!O:O,'Отчет 01-05.10'!C:C,"Возвраты",'Отчет 01-05.10'!E:E,B43)</f>
        <v>0</v>
      </c>
      <c r="U43" s="49">
        <f t="shared" si="24"/>
        <v>9990</v>
      </c>
      <c r="V43" s="52">
        <f t="shared" si="25"/>
        <v>0.14579897546665888</v>
      </c>
      <c r="W43" s="53">
        <f t="shared" si="26"/>
        <v>2061</v>
      </c>
      <c r="X43" s="51">
        <f>-SUMIFS('Отчет 01-05.10'!O:O,'Отчет 01-05.10'!C:C,"Вознаграждение Ozon",'Отчет 01-05.10'!E:E,B43)</f>
        <v>2397.6</v>
      </c>
      <c r="Y43" s="54">
        <f t="shared" si="27"/>
        <v>0.24</v>
      </c>
      <c r="Z43" s="51">
        <f>-SUMIFS('Отчет 01-05.10'!O:O,'Отчет 01-05.10'!C:C,"Услуги доставки",'Отчет 01-05.10'!E:E,B43)</f>
        <v>168</v>
      </c>
      <c r="AA43" s="41">
        <v>2359.4159890000001</v>
      </c>
      <c r="AB43" s="64"/>
      <c r="AC43" s="51"/>
      <c r="AD43" s="55">
        <f t="shared" si="28"/>
        <v>599.4</v>
      </c>
      <c r="AE43" s="56">
        <f t="shared" si="29"/>
        <v>2404.5840109999995</v>
      </c>
      <c r="AF43" s="55"/>
      <c r="AG43" s="57">
        <f t="shared" si="30"/>
        <v>3330</v>
      </c>
      <c r="AH43" s="58">
        <f t="shared" si="31"/>
        <v>687</v>
      </c>
      <c r="AI43" s="58">
        <f t="shared" si="32"/>
        <v>799.19999999999993</v>
      </c>
      <c r="AJ43" s="58">
        <f t="shared" si="33"/>
        <v>56</v>
      </c>
      <c r="AK43" s="58">
        <f t="shared" si="34"/>
        <v>786.47199633333332</v>
      </c>
      <c r="AL43" s="58">
        <f t="array" ref="AL43">_xlfn.IFS(R43=0,AE43,R43&lt;0,AE43/-R43,R43&gt;0,AE43/R43)</f>
        <v>801.52800366666645</v>
      </c>
      <c r="AM43" s="59">
        <f t="shared" si="35"/>
        <v>0.24069910020020013</v>
      </c>
      <c r="AN43" s="60">
        <f t="shared" si="36"/>
        <v>1.1667074289180006</v>
      </c>
      <c r="AP43" s="62">
        <f t="shared" si="37"/>
        <v>0</v>
      </c>
    </row>
    <row r="44" spans="1:42">
      <c r="A44" s="39">
        <v>2774718796</v>
      </c>
      <c r="B44" s="40" t="s">
        <v>66</v>
      </c>
      <c r="C44" s="41"/>
      <c r="D44" s="42"/>
      <c r="E44" s="42"/>
      <c r="F44" s="42"/>
      <c r="G44" s="43"/>
      <c r="H44" s="65">
        <v>552</v>
      </c>
      <c r="I44" s="63">
        <f t="shared" si="20"/>
        <v>0</v>
      </c>
      <c r="J44" s="45"/>
      <c r="K44" s="41">
        <v>8</v>
      </c>
      <c r="L44" s="45"/>
      <c r="M44" s="45"/>
      <c r="N44" s="46">
        <f t="shared" si="38"/>
        <v>1.6</v>
      </c>
      <c r="O44" s="47">
        <f t="shared" si="39"/>
        <v>0.4</v>
      </c>
      <c r="P44" s="48">
        <f>SUMIFS('Отчет 01-05.10'!H:H,'Отчет 01-05.10'!D:D,"Выручка",'Отчет 01-05.10'!E:E,B44)</f>
        <v>2</v>
      </c>
      <c r="Q44" s="48">
        <f>SUMIFS('Отчет 01-05.10'!H:H,'Отчет 01-05.10'!D:D,"Возврат выручки",'Отчет 01-05.10'!E:E,B44)</f>
        <v>0</v>
      </c>
      <c r="R44" s="49">
        <f t="shared" si="23"/>
        <v>2</v>
      </c>
      <c r="S44" s="50">
        <f>SUMIFS('Отчет 01-05.10'!O:O,'Отчет 01-05.10'!C:C,"Продажи",'Отчет 01-05.10'!E:E,B44)</f>
        <v>6600</v>
      </c>
      <c r="T44" s="51">
        <f>SUMIFS('Отчет 01-05.10'!O:O,'Отчет 01-05.10'!C:C,"Возвраты",'Отчет 01-05.10'!E:E,B44)</f>
        <v>0</v>
      </c>
      <c r="U44" s="49">
        <f t="shared" si="24"/>
        <v>6600</v>
      </c>
      <c r="V44" s="52">
        <f t="shared" si="25"/>
        <v>9.6323647455450315E-2</v>
      </c>
      <c r="W44" s="53">
        <f t="shared" si="26"/>
        <v>1104</v>
      </c>
      <c r="X44" s="51">
        <f>-SUMIFS('Отчет 01-05.10'!O:O,'Отчет 01-05.10'!C:C,"Вознаграждение Ozon",'Отчет 01-05.10'!E:E,B44)</f>
        <v>1584</v>
      </c>
      <c r="Y44" s="54">
        <f t="shared" si="27"/>
        <v>0.24</v>
      </c>
      <c r="Z44" s="51">
        <f>-SUMIFS('Отчет 01-05.10'!O:O,'Отчет 01-05.10'!C:C,"Услуги доставки",'Отчет 01-05.10'!E:E,B44)</f>
        <v>336</v>
      </c>
      <c r="AA44" s="41">
        <v>2628.7881179999999</v>
      </c>
      <c r="AB44" s="64"/>
      <c r="AC44" s="51"/>
      <c r="AD44" s="55">
        <f t="shared" si="28"/>
        <v>396</v>
      </c>
      <c r="AE44" s="56">
        <f t="shared" si="29"/>
        <v>551.21188200000006</v>
      </c>
      <c r="AF44" s="55"/>
      <c r="AG44" s="57">
        <f t="shared" si="30"/>
        <v>3300</v>
      </c>
      <c r="AH44" s="58">
        <f t="shared" si="31"/>
        <v>552</v>
      </c>
      <c r="AI44" s="58">
        <f t="shared" si="32"/>
        <v>792</v>
      </c>
      <c r="AJ44" s="58">
        <f t="shared" si="33"/>
        <v>168</v>
      </c>
      <c r="AK44" s="58">
        <f t="shared" si="34"/>
        <v>1314.394059</v>
      </c>
      <c r="AL44" s="58">
        <f t="array" ref="AL44">_xlfn.IFS(R44=0,AE44,R44&lt;0,AE44/-R44,R44&gt;0,AE44/R44)</f>
        <v>275.60594100000003</v>
      </c>
      <c r="AM44" s="59">
        <f t="shared" si="35"/>
        <v>8.3516951818181834E-2</v>
      </c>
      <c r="AN44" s="60">
        <f t="shared" si="36"/>
        <v>0.49928612500000008</v>
      </c>
      <c r="AP44" s="62">
        <f t="shared" si="37"/>
        <v>0</v>
      </c>
    </row>
    <row r="45" spans="1:42">
      <c r="A45" s="39">
        <v>2774719500</v>
      </c>
      <c r="B45" s="40" t="s">
        <v>245</v>
      </c>
      <c r="C45" s="41"/>
      <c r="D45" s="42"/>
      <c r="E45" s="42"/>
      <c r="F45" s="42"/>
      <c r="G45" s="43"/>
      <c r="H45" s="65">
        <v>552</v>
      </c>
      <c r="I45" s="63">
        <f t="shared" si="20"/>
        <v>0</v>
      </c>
      <c r="J45" s="45"/>
      <c r="K45" s="41">
        <v>0</v>
      </c>
      <c r="L45" s="45"/>
      <c r="M45" s="45"/>
      <c r="N45" s="46">
        <f t="shared" si="38"/>
        <v>0</v>
      </c>
      <c r="O45" s="47">
        <f t="shared" si="39"/>
        <v>0</v>
      </c>
      <c r="P45" s="48">
        <f>SUMIFS('Отчет 01-05.10'!H:H,'Отчет 01-05.10'!D:D,"Выручка",'Отчет 01-05.10'!E:E,B45)</f>
        <v>0</v>
      </c>
      <c r="Q45" s="48">
        <f>SUMIFS('Отчет 01-05.10'!H:H,'Отчет 01-05.10'!D:D,"Возврат выручки",'Отчет 01-05.10'!E:E,B45)</f>
        <v>0</v>
      </c>
      <c r="R45" s="49">
        <f t="shared" si="23"/>
        <v>0</v>
      </c>
      <c r="S45" s="50">
        <f>SUMIFS('Отчет 01-05.10'!O:O,'Отчет 01-05.10'!C:C,"Продажи",'Отчет 01-05.10'!E:E,B45)</f>
        <v>0</v>
      </c>
      <c r="T45" s="51">
        <f>SUMIFS('Отчет 01-05.10'!O:O,'Отчет 01-05.10'!C:C,"Возвраты",'Отчет 01-05.10'!E:E,B45)</f>
        <v>0</v>
      </c>
      <c r="U45" s="49">
        <f t="shared" si="24"/>
        <v>0</v>
      </c>
      <c r="V45" s="52">
        <f t="shared" si="25"/>
        <v>0</v>
      </c>
      <c r="W45" s="53">
        <f t="shared" si="26"/>
        <v>0</v>
      </c>
      <c r="X45" s="51">
        <f>-SUMIFS('Отчет 01-05.10'!O:O,'Отчет 01-05.10'!C:C,"Вознаграждение Ozon",'Отчет 01-05.10'!E:E,B45)</f>
        <v>0</v>
      </c>
      <c r="Y45" s="54">
        <f t="shared" si="27"/>
        <v>0</v>
      </c>
      <c r="Z45" s="51">
        <f>-SUMIFS('Отчет 01-05.10'!O:O,'Отчет 01-05.10'!C:C,"Услуги доставки",'Отчет 01-05.10'!E:E,B45)</f>
        <v>0</v>
      </c>
      <c r="AA45" s="41">
        <v>0</v>
      </c>
      <c r="AB45" s="64"/>
      <c r="AC45" s="51"/>
      <c r="AD45" s="55">
        <f t="shared" si="28"/>
        <v>0</v>
      </c>
      <c r="AE45" s="56">
        <f t="shared" si="29"/>
        <v>0</v>
      </c>
      <c r="AF45" s="55"/>
      <c r="AG45" s="57">
        <f t="shared" si="30"/>
        <v>0</v>
      </c>
      <c r="AH45" s="58">
        <f t="shared" si="31"/>
        <v>552</v>
      </c>
      <c r="AI45" s="58">
        <f t="shared" si="32"/>
        <v>0</v>
      </c>
      <c r="AJ45" s="58">
        <f t="shared" si="33"/>
        <v>0</v>
      </c>
      <c r="AK45" s="58">
        <f t="shared" si="34"/>
        <v>0</v>
      </c>
      <c r="AL45" s="58">
        <f t="array" ref="AL45">_xlfn.IFS(R45=0,AE45,R45&lt;0,AE45/-R45,R45&gt;0,AE45/R45)</f>
        <v>0</v>
      </c>
      <c r="AM45" s="59">
        <f t="shared" si="35"/>
        <v>0</v>
      </c>
      <c r="AN45" s="60">
        <f t="shared" si="36"/>
        <v>0</v>
      </c>
      <c r="AP45" s="62">
        <f t="shared" si="37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40">AVERAGEIF(AG26:AG45,"&lt;&gt;0",AG26:AG45)</f>
        <v>3267.4285714285716</v>
      </c>
      <c r="AH46" s="259">
        <f t="shared" si="40"/>
        <v>617.25</v>
      </c>
      <c r="AI46" s="259">
        <f t="shared" si="40"/>
        <v>784.18285714285707</v>
      </c>
      <c r="AJ46" s="259">
        <f t="shared" si="40"/>
        <v>93.333333333333329</v>
      </c>
      <c r="AK46" s="259">
        <f t="shared" si="40"/>
        <v>906.27644703333317</v>
      </c>
      <c r="AL46" s="259">
        <f t="shared" si="40"/>
        <v>-72.730534916666656</v>
      </c>
      <c r="AM46" s="260">
        <f t="shared" si="40"/>
        <v>0.20116009994416956</v>
      </c>
      <c r="AN46" s="260">
        <f t="shared" si="40"/>
        <v>-0.12501181123172889</v>
      </c>
      <c r="AO46" s="240"/>
      <c r="AP46" s="241"/>
    </row>
    <row r="47" spans="1:42">
      <c r="A47" s="218" t="s">
        <v>306</v>
      </c>
      <c r="B47" s="219"/>
      <c r="C47" s="220">
        <f>SUM(C26:C45)</f>
        <v>0</v>
      </c>
      <c r="D47" s="221"/>
      <c r="E47" s="221"/>
      <c r="F47" s="221"/>
      <c r="G47" s="221"/>
      <c r="H47" s="222"/>
      <c r="I47" s="220">
        <f>SUM(I26:I45)</f>
        <v>0</v>
      </c>
      <c r="J47" s="223"/>
      <c r="K47" s="220">
        <f>SUM(K26:K45)</f>
        <v>44</v>
      </c>
      <c r="L47" s="223"/>
      <c r="M47" s="223"/>
      <c r="N47" s="224"/>
      <c r="O47" s="225"/>
      <c r="P47" s="220">
        <f t="shared" ref="P47:X47" si="41">SUM(P26:P45)</f>
        <v>13</v>
      </c>
      <c r="Q47" s="220">
        <f t="shared" si="41"/>
        <v>1</v>
      </c>
      <c r="R47" s="250">
        <f t="shared" si="41"/>
        <v>14</v>
      </c>
      <c r="S47" s="220">
        <f t="shared" si="41"/>
        <v>43950</v>
      </c>
      <c r="T47" s="220">
        <f t="shared" si="41"/>
        <v>-3690</v>
      </c>
      <c r="U47" s="250">
        <f t="shared" si="41"/>
        <v>40260</v>
      </c>
      <c r="V47" s="253">
        <f t="shared" si="41"/>
        <v>0.58757424947824688</v>
      </c>
      <c r="W47" s="220">
        <f t="shared" si="41"/>
        <v>9333</v>
      </c>
      <c r="X47" s="220">
        <f t="shared" si="41"/>
        <v>9662.4</v>
      </c>
      <c r="Y47" s="226">
        <f>IF(U47=0,0,X47/U47)</f>
        <v>0.24</v>
      </c>
      <c r="Z47" s="220">
        <f>SUM(Z26:Z45)</f>
        <v>1400</v>
      </c>
      <c r="AA47" s="220">
        <f>IFERROR(P47*AA49/P49,0)</f>
        <v>9049.0466666666671</v>
      </c>
      <c r="AB47" s="220">
        <f>SUM(AB26:AB45)</f>
        <v>0</v>
      </c>
      <c r="AC47" s="220">
        <f>SUM(AC26:AC45)</f>
        <v>0</v>
      </c>
      <c r="AD47" s="250">
        <f>SUM(AD26:AD45)</f>
        <v>2415.6</v>
      </c>
      <c r="AE47" s="220">
        <f>SUM(AE26:AE45)</f>
        <v>4803.9454749999986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0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12645.054525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0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0</v>
      </c>
      <c r="J49" s="229">
        <f>J24+J47</f>
        <v>0</v>
      </c>
      <c r="K49" s="229">
        <f>K24+K47</f>
        <v>69</v>
      </c>
      <c r="L49" s="230"/>
      <c r="M49" s="230"/>
      <c r="N49" s="230"/>
      <c r="O49" s="230"/>
      <c r="P49" s="269">
        <f t="shared" ref="P49:X49" si="42">P24+P47</f>
        <v>39</v>
      </c>
      <c r="Q49" s="229">
        <f t="shared" si="42"/>
        <v>3</v>
      </c>
      <c r="R49" s="252">
        <f t="shared" si="42"/>
        <v>42</v>
      </c>
      <c r="S49" s="229">
        <f t="shared" si="42"/>
        <v>76614</v>
      </c>
      <c r="T49" s="229">
        <f t="shared" si="42"/>
        <v>-8095</v>
      </c>
      <c r="U49" s="252">
        <f t="shared" si="42"/>
        <v>68519</v>
      </c>
      <c r="V49" s="255">
        <f t="shared" si="42"/>
        <v>1</v>
      </c>
      <c r="W49" s="229">
        <f t="shared" si="42"/>
        <v>14858.39</v>
      </c>
      <c r="X49" s="229">
        <f t="shared" si="42"/>
        <v>16789.36</v>
      </c>
      <c r="Y49" s="232">
        <f>X49/U49</f>
        <v>0.24503218085494535</v>
      </c>
      <c r="Z49" s="229">
        <f>Z24+Z47</f>
        <v>3842</v>
      </c>
      <c r="AA49" s="75">
        <v>27147.14</v>
      </c>
      <c r="AB49" s="74"/>
      <c r="AC49" s="74">
        <f>SUM(AC3:AC45)</f>
        <v>0</v>
      </c>
      <c r="AD49" s="229">
        <f>AD24+AD47</f>
        <v>4111.1399999999994</v>
      </c>
      <c r="AE49" s="233">
        <f>AE24+AE47</f>
        <v>3626.336790999997</v>
      </c>
      <c r="AF49" s="76"/>
      <c r="AG49" s="234"/>
      <c r="AH49" s="235"/>
      <c r="AI49" s="235"/>
      <c r="AJ49" s="235"/>
      <c r="AK49" s="235">
        <f>AA50/P49</f>
        <v>696.08051282051281</v>
      </c>
      <c r="AL49" s="235"/>
      <c r="AM49" s="235"/>
      <c r="AN49" s="236"/>
      <c r="AP49" s="233">
        <f>SUM(AP3:AP45)</f>
        <v>0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27147.14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25291.773208999999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 t="e">
        <f>I56/I49</f>
        <v>#DIV/0!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0</v>
      </c>
      <c r="J57" s="109" t="e">
        <f>I57/I49</f>
        <v>#DIV/0!</v>
      </c>
      <c r="K57" s="105">
        <f>AP49-K56-K58</f>
        <v>0</v>
      </c>
      <c r="L57" s="106" t="e">
        <f>K57/I57</f>
        <v>#DIV/0!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 t="e">
        <f>I58/I49</f>
        <v>#DIV/0!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38" priority="17" operator="greaterThan">
      <formula>120</formula>
    </cfRule>
  </conditionalFormatting>
  <conditionalFormatting sqref="N48">
    <cfRule type="cellIs" dxfId="37" priority="16" operator="between">
      <formula>0.000001</formula>
      <formula>25</formula>
    </cfRule>
  </conditionalFormatting>
  <conditionalFormatting sqref="V1 V50:V53 V55:V1048576">
    <cfRule type="cellIs" dxfId="36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{F1A464E6-C1C3-4B05-B2A1-804920744F27}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{404B894E-4320-4C6C-BD87-09A184D8A174}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{5E18F777-2094-4E7E-A039-79ECCCD0C834}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{A06E79BC-89E8-41AC-AE2E-99002A336DB1}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{A04A8DCA-8A1B-406E-B01D-03E0A31B7161}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{F72B9E74-7B02-48D2-9FA5-CF6A4EB41A30}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{3D429EA5-8A14-4B92-BB8D-2DBB3948A9E9}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{A3311DB0-7A30-4BD1-B6D9-8164AE456F76}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{AFD3DB0B-C540-4727-9A5D-9FD69C331AB8}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{CB41951F-F7E4-45B7-93FB-7EBB3939ADCF}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{0DDC09C2-3E35-467C-8629-9DAEDD5434D0}</x14:id>
        </ext>
      </extLst>
    </cfRule>
  </conditionalFormatting>
  <conditionalFormatting sqref="P48">
    <cfRule type="cellIs" dxfId="35" priority="12" operator="greaterThan">
      <formula>120</formula>
    </cfRule>
  </conditionalFormatting>
  <conditionalFormatting sqref="Q48">
    <cfRule type="cellIs" dxfId="34" priority="11" operator="greaterThan">
      <formula>120</formula>
    </cfRule>
  </conditionalFormatting>
  <conditionalFormatting sqref="R48">
    <cfRule type="cellIs" dxfId="33" priority="10" operator="greaterThan">
      <formula>120</formula>
    </cfRule>
  </conditionalFormatting>
  <conditionalFormatting sqref="S48">
    <cfRule type="cellIs" dxfId="32" priority="9" operator="greaterThan">
      <formula>120</formula>
    </cfRule>
  </conditionalFormatting>
  <conditionalFormatting sqref="T48">
    <cfRule type="cellIs" dxfId="31" priority="8" operator="greaterThan">
      <formula>120</formula>
    </cfRule>
  </conditionalFormatting>
  <conditionalFormatting sqref="U48">
    <cfRule type="cellIs" dxfId="30" priority="7" operator="greaterThan">
      <formula>120</formula>
    </cfRule>
  </conditionalFormatting>
  <conditionalFormatting sqref="V48">
    <cfRule type="cellIs" dxfId="29" priority="6" operator="greaterThan">
      <formula>120</formula>
    </cfRule>
  </conditionalFormatting>
  <conditionalFormatting sqref="W48">
    <cfRule type="cellIs" dxfId="28" priority="5" operator="greaterThan">
      <formula>120</formula>
    </cfRule>
  </conditionalFormatting>
  <conditionalFormatting sqref="X48">
    <cfRule type="cellIs" dxfId="27" priority="4" operator="greaterThan">
      <formula>120</formula>
    </cfRule>
  </conditionalFormatting>
  <conditionalFormatting sqref="Z48">
    <cfRule type="cellIs" dxfId="26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{0BADFF48-CF96-4222-8321-69662D35338E}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{39ABC3CE-FC3B-4DF9-9EDD-F7314602B7FA}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A464E6-C1C3-4B05-B2A1-804920744F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404B894E-4320-4C6C-BD87-09A184D8A1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5E18F777-2094-4E7E-A039-79ECCCD0C8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A06E79BC-89E8-41AC-AE2E-99002A336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A04A8DCA-8A1B-406E-B01D-03E0A31B71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F72B9E74-7B02-48D2-9FA5-CF6A4EB41A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3D429EA5-8A14-4B92-BB8D-2DBB3948A9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A3311DB0-7A30-4BD1-B6D9-8164AE456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AFD3DB0B-C540-4727-9A5D-9FD69C331A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CB41951F-F7E4-45B7-93FB-7EBB3939AD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0DDC09C2-3E35-467C-8629-9DAEDD5434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0BADFF48-CF96-4222-8321-69662D3533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39ABC3CE-FC3B-4DF9-9EDD-F7314602B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D9CF-05B0-49D2-9001-37AFAF2DF0C0}">
  <dimension ref="A1:AZ62"/>
  <sheetViews>
    <sheetView zoomScale="70" zoomScaleNormal="70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Y12" sqref="Y12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769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761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1338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1996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2" si="0">C3*H3</f>
        <v>0</v>
      </c>
      <c r="J3" s="45"/>
      <c r="K3" s="41">
        <v>111</v>
      </c>
      <c r="L3" s="45"/>
      <c r="M3" s="45"/>
      <c r="N3" s="46">
        <f>K3/30</f>
        <v>3.7</v>
      </c>
      <c r="O3" s="47">
        <f>R3/30</f>
        <v>2.2333333333333334</v>
      </c>
      <c r="P3" s="48">
        <f>SUMIFS('Отчет сентябрь'!H:H,'Отчет сентябрь'!D:D,"Выручка",'Отчет сентябрь'!E:E,B3)</f>
        <v>65</v>
      </c>
      <c r="Q3" s="48">
        <f>SUMIFS('Отчет сентябрь'!H:H,'Отчет сентябрь'!D:D,"Возврат выручки",'Отчет сентябрь'!E:E,B3)</f>
        <v>2</v>
      </c>
      <c r="R3" s="49">
        <f t="shared" ref="R3:R22" si="1">P3+Q3</f>
        <v>67</v>
      </c>
      <c r="S3" s="50">
        <f>SUMIFS('Отчет сентябрь'!O:O,'Отчет сентябрь'!C:C,"Продажи",'Отчет сентябрь'!E:E,B3)</f>
        <v>78644.999999999971</v>
      </c>
      <c r="T3" s="51">
        <f>SUMIFS('Отчет сентябрь'!O:O,'Отчет сентябрь'!C:C,"Возвраты",'Отчет сентябрь'!E:E,B3)</f>
        <v>-2376</v>
      </c>
      <c r="U3" s="49">
        <f t="shared" ref="U3:U22" si="2">S3+T3</f>
        <v>76268.999999999971</v>
      </c>
      <c r="V3" s="52">
        <f t="shared" ref="V3:V22" si="3">U3/$U$49</f>
        <v>0.46312893941050015</v>
      </c>
      <c r="W3" s="53">
        <f t="shared" ref="W3:W22" si="4">R3*H3</f>
        <v>9579.66</v>
      </c>
      <c r="X3" s="51">
        <f>-SUMIFS('Отчет сентябрь'!O:O,'Отчет сентябрь'!C:C,"Вознаграждение Ozon",'Отчет сентябрь'!E:E,B3)</f>
        <v>16053.720000000018</v>
      </c>
      <c r="Y3" s="54">
        <f t="shared" ref="Y3:Y22" si="5">IF(U3=0,0,X3/U3)</f>
        <v>0.21048814066003257</v>
      </c>
      <c r="Z3" s="51">
        <f>-SUMIFS('Отчет сентябрь'!O:O,'Отчет сентябрь'!C:C,"Услуги доставки",'Отчет сентябрь'!E:E,B3)</f>
        <v>5842</v>
      </c>
      <c r="AA3" s="41">
        <v>27803.411049000002</v>
      </c>
      <c r="AB3" s="51"/>
      <c r="AC3" s="51"/>
      <c r="AD3" s="55">
        <f>U3*1%</f>
        <v>762.68999999999971</v>
      </c>
      <c r="AE3" s="56">
        <f t="shared" ref="AE3:AE22" si="6">U3-W3-X3-Z3-AA3-AB3-AC3-AD3</f>
        <v>16227.518950999949</v>
      </c>
      <c r="AF3" s="55"/>
      <c r="AG3" s="57">
        <f t="shared" ref="AG3:AG22" si="7">IF(R3=0,0,U3/R3)</f>
        <v>1138.343283582089</v>
      </c>
      <c r="AH3" s="58">
        <f t="shared" ref="AH3:AH22" si="8">H3</f>
        <v>142.97999999999999</v>
      </c>
      <c r="AI3" s="58">
        <f t="shared" ref="AI3:AI22" si="9">IF(R3=0,0,X3/R3)</f>
        <v>239.6077611940301</v>
      </c>
      <c r="AJ3" s="58">
        <f t="shared" ref="AJ3:AJ22" si="10">IF(P3=0,Z3/1,Z3/P3)</f>
        <v>89.876923076923077</v>
      </c>
      <c r="AK3" s="58">
        <f t="shared" ref="AK3:AK22" si="11">IF(P3=0,0,AA3/P3)</f>
        <v>427.74478536923078</v>
      </c>
      <c r="AL3" s="58">
        <f>_xlfn.IFS(R3=0,AE3,R3&lt;0,AE3/-R3,R3&gt;0,AE3/R3)</f>
        <v>242.20177538805893</v>
      </c>
      <c r="AM3" s="59">
        <f t="shared" ref="AM3:AM22" si="12">IF(AG3=0,0,AL3/AG3)</f>
        <v>0.21276690334211745</v>
      </c>
      <c r="AN3" s="60">
        <f t="shared" ref="AN3:AN22" si="13">IF(AH3=0,0,AL3/AH3)</f>
        <v>1.6939556258781574</v>
      </c>
      <c r="AP3" s="62">
        <f t="shared" ref="AP3:AP22" si="14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15</v>
      </c>
      <c r="L4" s="45"/>
      <c r="M4" s="45"/>
      <c r="N4" s="46">
        <f t="shared" ref="N4:N22" si="15">K4/30</f>
        <v>0.5</v>
      </c>
      <c r="O4" s="47">
        <f t="shared" ref="O4:O22" si="16">R4/30</f>
        <v>0.23333333333333334</v>
      </c>
      <c r="P4" s="48">
        <f>SUMIFS('Отчет сентябрь'!H:H,'Отчет сентябрь'!D:D,"Выручка",'Отчет сентябрь'!E:E,B4)</f>
        <v>6</v>
      </c>
      <c r="Q4" s="48">
        <f>SUMIFS('Отчет сентябрь'!H:H,'Отчет сентябрь'!D:D,"Возврат выручки",'Отчет сентябрь'!E:E,B4)</f>
        <v>1</v>
      </c>
      <c r="R4" s="49">
        <f t="shared" si="1"/>
        <v>7</v>
      </c>
      <c r="S4" s="50">
        <f>SUMIFS('Отчет сентябрь'!O:O,'Отчет сентябрь'!C:C,"Продажи",'Отчет сентябрь'!E:E,B4)</f>
        <v>7900.0000000000018</v>
      </c>
      <c r="T4" s="51">
        <f>SUMIFS('Отчет сентябрь'!O:O,'Отчет сентябрь'!C:C,"Возвраты",'Отчет сентябрь'!E:E,B4)</f>
        <v>-1400</v>
      </c>
      <c r="U4" s="49">
        <f t="shared" si="2"/>
        <v>6500.0000000000018</v>
      </c>
      <c r="V4" s="52">
        <f t="shared" si="3"/>
        <v>3.9470008865571241E-2</v>
      </c>
      <c r="W4" s="53">
        <f t="shared" si="4"/>
        <v>861.63</v>
      </c>
      <c r="X4" s="51">
        <f>-SUMIFS('Отчет сентябрь'!O:O,'Отчет сентябрь'!C:C,"Вознаграждение Ozon",'Отчет сентябрь'!E:E,B4)</f>
        <v>1456</v>
      </c>
      <c r="Y4" s="54">
        <f t="shared" si="5"/>
        <v>0.22399999999999995</v>
      </c>
      <c r="Z4" s="51">
        <f>-SUMIFS('Отчет сентябрь'!O:O,'Отчет сентябрь'!C:C,"Услуги доставки",'Отчет сентябрь'!E:E,B4)</f>
        <v>874</v>
      </c>
      <c r="AA4" s="41">
        <v>2321.8581300000001</v>
      </c>
      <c r="AB4" s="51"/>
      <c r="AC4" s="51"/>
      <c r="AD4" s="55">
        <f>U4*1%</f>
        <v>65.000000000000014</v>
      </c>
      <c r="AE4" s="56">
        <f t="shared" si="6"/>
        <v>921.51187000000164</v>
      </c>
      <c r="AF4" s="55"/>
      <c r="AG4" s="57">
        <f t="shared" si="7"/>
        <v>928.57142857142878</v>
      </c>
      <c r="AH4" s="58">
        <f t="shared" si="8"/>
        <v>123.09</v>
      </c>
      <c r="AI4" s="58">
        <f t="shared" si="9"/>
        <v>208</v>
      </c>
      <c r="AJ4" s="58">
        <f t="shared" si="10"/>
        <v>145.66666666666666</v>
      </c>
      <c r="AK4" s="58">
        <f t="shared" si="11"/>
        <v>386.97635500000001</v>
      </c>
      <c r="AL4" s="58">
        <f t="array" ref="AL4">_xlfn.IFS(R4=0,AE4,R4&lt;0,AE4/-R4,R4&gt;0,AE4/R4)</f>
        <v>131.64455285714308</v>
      </c>
      <c r="AM4" s="59">
        <f t="shared" si="12"/>
        <v>0.14177105692307712</v>
      </c>
      <c r="AN4" s="60">
        <f t="shared" si="13"/>
        <v>1.0694983577637751</v>
      </c>
      <c r="AP4" s="62">
        <f t="shared" si="14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6</v>
      </c>
      <c r="L5" s="45"/>
      <c r="M5" s="45"/>
      <c r="N5" s="46">
        <f t="shared" si="15"/>
        <v>0.2</v>
      </c>
      <c r="O5" s="47">
        <f t="shared" si="16"/>
        <v>0.16666666666666666</v>
      </c>
      <c r="P5" s="48">
        <f>SUMIFS('Отчет сентябрь'!H:H,'Отчет сентябрь'!D:D,"Выручка",'Отчет сентябрь'!E:E,B5)</f>
        <v>5</v>
      </c>
      <c r="Q5" s="48">
        <f>SUMIFS('Отчет сентябрь'!H:H,'Отчет сентябрь'!D:D,"Возврат выручки",'Отчет сентябрь'!E:E,B5)</f>
        <v>0</v>
      </c>
      <c r="R5" s="49">
        <f t="shared" si="1"/>
        <v>5</v>
      </c>
      <c r="S5" s="50">
        <f>SUMIFS('Отчет сентябрь'!O:O,'Отчет сентябрь'!C:C,"Продажи",'Отчет сентябрь'!E:E,B5)</f>
        <v>6435</v>
      </c>
      <c r="T5" s="51">
        <f>SUMIFS('Отчет сентябрь'!O:O,'Отчет сентябрь'!C:C,"Возвраты",'Отчет сентябрь'!E:E,B5)</f>
        <v>0</v>
      </c>
      <c r="U5" s="49">
        <f t="shared" si="2"/>
        <v>6435</v>
      </c>
      <c r="V5" s="52">
        <f t="shared" si="3"/>
        <v>3.9075308776915514E-2</v>
      </c>
      <c r="W5" s="53">
        <f t="shared" si="4"/>
        <v>615.45000000000005</v>
      </c>
      <c r="X5" s="51">
        <f>-SUMIFS('Отчет сентябрь'!O:O,'Отчет сентябрь'!C:C,"Вознаграждение Ozon",'Отчет сентябрь'!E:E,B5)</f>
        <v>1361.1</v>
      </c>
      <c r="Y5" s="54">
        <f t="shared" si="5"/>
        <v>0.21151515151515149</v>
      </c>
      <c r="Z5" s="51">
        <f>-SUMIFS('Отчет сентябрь'!O:O,'Отчет сентябрь'!C:C,"Услуги доставки",'Отчет сентябрь'!E:E,B5)</f>
        <v>322</v>
      </c>
      <c r="AA5" s="41">
        <v>3456.9667130000003</v>
      </c>
      <c r="AB5" s="64"/>
      <c r="AC5" s="51"/>
      <c r="AD5" s="55">
        <f>U5*1%</f>
        <v>64.349999999999994</v>
      </c>
      <c r="AE5" s="56">
        <f t="shared" si="6"/>
        <v>615.13328700000045</v>
      </c>
      <c r="AF5" s="55"/>
      <c r="AG5" s="57">
        <f t="shared" si="7"/>
        <v>1287</v>
      </c>
      <c r="AH5" s="58">
        <f t="shared" si="8"/>
        <v>123.09</v>
      </c>
      <c r="AI5" s="58">
        <f t="shared" si="9"/>
        <v>272.21999999999997</v>
      </c>
      <c r="AJ5" s="58">
        <f t="shared" si="10"/>
        <v>64.400000000000006</v>
      </c>
      <c r="AK5" s="58">
        <f t="shared" si="11"/>
        <v>691.3933426000001</v>
      </c>
      <c r="AL5" s="58">
        <f t="array" ref="AL5">_xlfn.IFS(R5=0,AE5,R5&lt;0,AE5/-R5,R5&gt;0,AE5/R5)</f>
        <v>123.02665740000009</v>
      </c>
      <c r="AM5" s="59">
        <f t="shared" si="12"/>
        <v>9.5591808391608468E-2</v>
      </c>
      <c r="AN5" s="60">
        <f t="shared" si="13"/>
        <v>0.99948539605167019</v>
      </c>
      <c r="AP5" s="62">
        <f t="shared" si="14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5</v>
      </c>
      <c r="L6" s="45"/>
      <c r="M6" s="45"/>
      <c r="N6" s="46">
        <f t="shared" si="15"/>
        <v>0.16666666666666666</v>
      </c>
      <c r="O6" s="47">
        <f t="shared" si="16"/>
        <v>6.6666666666666666E-2</v>
      </c>
      <c r="P6" s="48">
        <f>SUMIFS('Отчет сентябрь'!H:H,'Отчет сентябрь'!D:D,"Выручка",'Отчет сентябрь'!E:E,B6)</f>
        <v>2</v>
      </c>
      <c r="Q6" s="48">
        <f>SUMIFS('Отчет сентябрь'!H:H,'Отчет сентябрь'!D:D,"Возврат выручки",'Отчет сентябрь'!E:E,B6)</f>
        <v>0</v>
      </c>
      <c r="R6" s="49">
        <f t="shared" si="1"/>
        <v>2</v>
      </c>
      <c r="S6" s="50">
        <f>SUMIFS('Отчет сентябрь'!O:O,'Отчет сентябрь'!C:C,"Продажи",'Отчет сентябрь'!E:E,B6)</f>
        <v>2784</v>
      </c>
      <c r="T6" s="51">
        <f>SUMIFS('Отчет сентябрь'!O:O,'Отчет сентябрь'!C:C,"Возвраты",'Отчет сентябрь'!E:E,B6)</f>
        <v>0</v>
      </c>
      <c r="U6" s="49">
        <f t="shared" si="2"/>
        <v>2784</v>
      </c>
      <c r="V6" s="52">
        <f t="shared" si="3"/>
        <v>1.690530841257697E-2</v>
      </c>
      <c r="W6" s="53">
        <f t="shared" si="4"/>
        <v>246.18</v>
      </c>
      <c r="X6" s="51">
        <f>-SUMIFS('Отчет сентябрь'!O:O,'Отчет сентябрь'!C:C,"Вознаграждение Ozon",'Отчет сентябрь'!E:E,B6)</f>
        <v>556.79999999999995</v>
      </c>
      <c r="Y6" s="54">
        <f t="shared" si="5"/>
        <v>0.19999999999999998</v>
      </c>
      <c r="Z6" s="51">
        <f>-SUMIFS('Отчет сентябрь'!O:O,'Отчет сентябрь'!C:C,"Услуги доставки",'Отчет сентябрь'!E:E,B6)</f>
        <v>276</v>
      </c>
      <c r="AA6" s="41">
        <v>2058.8500960000001</v>
      </c>
      <c r="AB6" s="64"/>
      <c r="AC6" s="51"/>
      <c r="AD6" s="55">
        <f>U6*1%</f>
        <v>27.84</v>
      </c>
      <c r="AE6" s="56">
        <f t="shared" si="6"/>
        <v>-381.67009599999989</v>
      </c>
      <c r="AF6" s="55"/>
      <c r="AG6" s="57">
        <f t="shared" si="7"/>
        <v>1392</v>
      </c>
      <c r="AH6" s="58">
        <f t="shared" si="8"/>
        <v>123.09</v>
      </c>
      <c r="AI6" s="58">
        <f t="shared" si="9"/>
        <v>278.39999999999998</v>
      </c>
      <c r="AJ6" s="58">
        <f t="shared" si="10"/>
        <v>138</v>
      </c>
      <c r="AK6" s="58">
        <f t="shared" si="11"/>
        <v>1029.4250480000001</v>
      </c>
      <c r="AL6" s="58">
        <f t="array" ref="AL6">_xlfn.IFS(R6=0,AE6,R6&lt;0,AE6/-R6,R6&gt;0,AE6/R6)</f>
        <v>-190.83504799999994</v>
      </c>
      <c r="AM6" s="59">
        <f t="shared" si="12"/>
        <v>-0.13709414367816089</v>
      </c>
      <c r="AN6" s="60">
        <f t="shared" si="13"/>
        <v>-1.5503700381834424</v>
      </c>
      <c r="AP6" s="62">
        <f t="shared" si="14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15</v>
      </c>
      <c r="L7" s="45"/>
      <c r="M7" s="45"/>
      <c r="N7" s="46">
        <f t="shared" si="15"/>
        <v>0.5</v>
      </c>
      <c r="O7" s="47">
        <f t="shared" si="16"/>
        <v>0.16666666666666666</v>
      </c>
      <c r="P7" s="48">
        <f>SUMIFS('Отчет сентябрь'!H:H,'Отчет сентябрь'!D:D,"Выручка",'Отчет сентябрь'!E:E,B7)</f>
        <v>5</v>
      </c>
      <c r="Q7" s="48">
        <f>SUMIFS('Отчет сентябрь'!H:H,'Отчет сентябрь'!D:D,"Возврат выручки",'Отчет сентябрь'!E:E,B7)</f>
        <v>0</v>
      </c>
      <c r="R7" s="49">
        <f t="shared" si="1"/>
        <v>5</v>
      </c>
      <c r="S7" s="50">
        <f>SUMIFS('Отчет сентябрь'!O:O,'Отчет сентябрь'!C:C,"Продажи",'Отчет сентябрь'!E:E,B7)</f>
        <v>6720</v>
      </c>
      <c r="T7" s="51">
        <f>SUMIFS('Отчет сентябрь'!O:O,'Отчет сентябрь'!C:C,"Возвраты",'Отчет сентябрь'!E:E,B7)</f>
        <v>0</v>
      </c>
      <c r="U7" s="49">
        <f t="shared" si="2"/>
        <v>6720</v>
      </c>
      <c r="V7" s="52">
        <f t="shared" si="3"/>
        <v>4.0805916857944408E-2</v>
      </c>
      <c r="W7" s="53">
        <f t="shared" si="4"/>
        <v>586.19999999999993</v>
      </c>
      <c r="X7" s="51">
        <f>-SUMIFS('Отчет сентябрь'!O:O,'Отчет сентябрь'!C:C,"Вознаграждение Ozon",'Отчет сентябрь'!E:E,B7)</f>
        <v>1344</v>
      </c>
      <c r="Y7" s="54">
        <f t="shared" si="5"/>
        <v>0.2</v>
      </c>
      <c r="Z7" s="51">
        <f>-SUMIFS('Отчет сентябрь'!O:O,'Отчет сентябрь'!C:C,"Услуги доставки",'Отчет сентябрь'!E:E,B7)</f>
        <v>874</v>
      </c>
      <c r="AA7" s="41">
        <v>1157.61583</v>
      </c>
      <c r="AB7" s="64"/>
      <c r="AC7" s="51"/>
      <c r="AD7" s="55">
        <f>U7*1%</f>
        <v>67.2</v>
      </c>
      <c r="AE7" s="56">
        <f t="shared" si="6"/>
        <v>2690.9841700000006</v>
      </c>
      <c r="AF7" s="55"/>
      <c r="AG7" s="57">
        <f t="shared" si="7"/>
        <v>1344</v>
      </c>
      <c r="AH7" s="58">
        <f t="shared" si="8"/>
        <v>117.24</v>
      </c>
      <c r="AI7" s="58">
        <f t="shared" si="9"/>
        <v>268.8</v>
      </c>
      <c r="AJ7" s="58">
        <f t="shared" si="10"/>
        <v>174.8</v>
      </c>
      <c r="AK7" s="58">
        <f t="shared" si="11"/>
        <v>231.523166</v>
      </c>
      <c r="AL7" s="58">
        <f t="array" ref="AL7">_xlfn.IFS(R7=0,AE7,R7&lt;0,AE7/-R7,R7&gt;0,AE7/R7)</f>
        <v>538.19683400000008</v>
      </c>
      <c r="AM7" s="59">
        <f t="shared" si="12"/>
        <v>0.40044407291666673</v>
      </c>
      <c r="AN7" s="60">
        <f t="shared" si="13"/>
        <v>4.5905564141931094</v>
      </c>
      <c r="AP7" s="62">
        <f t="shared" si="14"/>
        <v>0</v>
      </c>
    </row>
    <row r="8" spans="1:42">
      <c r="A8" s="39">
        <v>2638291563</v>
      </c>
      <c r="B8" s="40" t="s">
        <v>88</v>
      </c>
      <c r="C8" s="41"/>
      <c r="D8" s="42"/>
      <c r="E8" s="42"/>
      <c r="F8" s="42"/>
      <c r="G8" s="43"/>
      <c r="H8" s="44">
        <v>169.89</v>
      </c>
      <c r="I8" s="63">
        <f t="shared" si="0"/>
        <v>0</v>
      </c>
      <c r="J8" s="45"/>
      <c r="K8" s="41">
        <v>7</v>
      </c>
      <c r="L8" s="45"/>
      <c r="M8" s="45"/>
      <c r="N8" s="46">
        <f t="shared" si="15"/>
        <v>0.23333333333333334</v>
      </c>
      <c r="O8" s="47">
        <f t="shared" si="16"/>
        <v>0.16666666666666666</v>
      </c>
      <c r="P8" s="48">
        <f>SUMIFS('Отчет сентябрь'!H:H,'Отчет сентябрь'!D:D,"Выручка",'Отчет сентябрь'!E:E,B8)</f>
        <v>4</v>
      </c>
      <c r="Q8" s="48">
        <f>SUMIFS('Отчет сентябрь'!H:H,'Отчет сентябрь'!D:D,"Возврат выручки",'Отчет сентябрь'!E:E,B8)</f>
        <v>1</v>
      </c>
      <c r="R8" s="49">
        <f t="shared" si="1"/>
        <v>5</v>
      </c>
      <c r="S8" s="50">
        <f>SUMIFS('Отчет сентябрь'!O:O,'Отчет сентябрь'!C:C,"Продажи",'Отчет сентябрь'!E:E,B8)</f>
        <v>5576</v>
      </c>
      <c r="T8" s="51">
        <f>SUMIFS('Отчет сентябрь'!O:O,'Отчет сентябрь'!C:C,"Возвраты",'Отчет сентябрь'!E:E,B8)</f>
        <v>-1392</v>
      </c>
      <c r="U8" s="49">
        <f t="shared" si="2"/>
        <v>4184</v>
      </c>
      <c r="V8" s="52">
        <f t="shared" si="3"/>
        <v>2.5406541091315387E-2</v>
      </c>
      <c r="W8" s="53">
        <f t="shared" si="4"/>
        <v>849.44999999999993</v>
      </c>
      <c r="X8" s="51">
        <f>-SUMIFS('Отчет сентябрь'!O:O,'Отчет сентябрь'!C:C,"Вознаграждение Ozon",'Отчет сентябрь'!E:E,B8)</f>
        <v>920.8</v>
      </c>
      <c r="Y8" s="54">
        <f t="shared" si="5"/>
        <v>0.22007648183556405</v>
      </c>
      <c r="Z8" s="51">
        <f>-SUMIFS('Отчет сентябрь'!O:O,'Отчет сентябрь'!C:C,"Услуги доставки",'Отчет сентябрь'!E:E,B8)</f>
        <v>230</v>
      </c>
      <c r="AA8" s="41">
        <v>1151.5602249999999</v>
      </c>
      <c r="AB8" s="64"/>
      <c r="AC8" s="51"/>
      <c r="AD8" s="55">
        <f>U8*1%</f>
        <v>41.84</v>
      </c>
      <c r="AE8" s="56">
        <f t="shared" si="6"/>
        <v>990.34977500000002</v>
      </c>
      <c r="AF8" s="55"/>
      <c r="AG8" s="57">
        <f t="shared" si="7"/>
        <v>836.8</v>
      </c>
      <c r="AH8" s="58">
        <f t="shared" si="8"/>
        <v>169.89</v>
      </c>
      <c r="AI8" s="58">
        <f t="shared" si="9"/>
        <v>184.16</v>
      </c>
      <c r="AJ8" s="58">
        <f t="shared" si="10"/>
        <v>57.5</v>
      </c>
      <c r="AK8" s="58">
        <f t="shared" si="11"/>
        <v>287.89005624999999</v>
      </c>
      <c r="AL8" s="58">
        <f t="array" ref="AL8">_xlfn.IFS(R8=0,AE8,R8&lt;0,AE8/-R8,R8&gt;0,AE8/R8)</f>
        <v>198.06995499999999</v>
      </c>
      <c r="AM8" s="59">
        <f t="shared" si="12"/>
        <v>0.2366992770076482</v>
      </c>
      <c r="AN8" s="60">
        <f t="shared" si="13"/>
        <v>1.1658717699688035</v>
      </c>
      <c r="AP8" s="62">
        <f t="shared" si="14"/>
        <v>0</v>
      </c>
    </row>
    <row r="9" spans="1:42">
      <c r="A9" s="39">
        <v>2730130733</v>
      </c>
      <c r="B9" s="40" t="s">
        <v>224</v>
      </c>
      <c r="C9" s="41"/>
      <c r="D9" s="42"/>
      <c r="E9" s="42"/>
      <c r="F9" s="42"/>
      <c r="G9" s="43"/>
      <c r="H9" s="44">
        <v>169.89</v>
      </c>
      <c r="I9" s="63">
        <f t="shared" si="0"/>
        <v>0</v>
      </c>
      <c r="J9" s="45"/>
      <c r="K9" s="41">
        <v>6</v>
      </c>
      <c r="L9" s="45"/>
      <c r="M9" s="45"/>
      <c r="N9" s="46">
        <f t="shared" si="15"/>
        <v>0.2</v>
      </c>
      <c r="O9" s="47">
        <f t="shared" si="16"/>
        <v>0.1</v>
      </c>
      <c r="P9" s="48">
        <f>SUMIFS('Отчет сентябрь'!H:H,'Отчет сентябрь'!D:D,"Выручка",'Отчет сентябрь'!E:E,B9)</f>
        <v>2</v>
      </c>
      <c r="Q9" s="48">
        <f>SUMIFS('Отчет сентябрь'!H:H,'Отчет сентябрь'!D:D,"Возврат выручки",'Отчет сентябрь'!E:E,B9)</f>
        <v>1</v>
      </c>
      <c r="R9" s="49">
        <f t="shared" si="1"/>
        <v>3</v>
      </c>
      <c r="S9" s="50">
        <f>SUMIFS('Отчет сентябрь'!O:O,'Отчет сентябрь'!C:C,"Продажи",'Отчет сентябрь'!E:E,B9)</f>
        <v>2880</v>
      </c>
      <c r="T9" s="51">
        <f>SUMIFS('Отчет сентябрь'!O:O,'Отчет сентябрь'!C:C,"Возвраты",'Отчет сентябрь'!E:E,B9)</f>
        <v>-1500</v>
      </c>
      <c r="U9" s="49">
        <f t="shared" si="2"/>
        <v>1380</v>
      </c>
      <c r="V9" s="52">
        <f t="shared" si="3"/>
        <v>8.3797864976135842E-3</v>
      </c>
      <c r="W9" s="53">
        <f t="shared" si="4"/>
        <v>509.66999999999996</v>
      </c>
      <c r="X9" s="51">
        <f>-SUMIFS('Отчет сентябрь'!O:O,'Отчет сентябрь'!C:C,"Вознаграждение Ozon",'Отчет сентябрь'!E:E,B9)</f>
        <v>276</v>
      </c>
      <c r="Y9" s="54">
        <f t="shared" si="5"/>
        <v>0.2</v>
      </c>
      <c r="Z9" s="51">
        <f>-SUMIFS('Отчет сентябрь'!O:O,'Отчет сентябрь'!C:C,"Услуги доставки",'Отчет сентябрь'!E:E,B9)</f>
        <v>506</v>
      </c>
      <c r="AA9" s="41">
        <v>0</v>
      </c>
      <c r="AB9" s="64"/>
      <c r="AC9" s="51"/>
      <c r="AD9" s="55">
        <f>U9*1%</f>
        <v>13.8</v>
      </c>
      <c r="AE9" s="56">
        <f t="shared" si="6"/>
        <v>74.530000000000044</v>
      </c>
      <c r="AF9" s="55"/>
      <c r="AG9" s="57">
        <f t="shared" si="7"/>
        <v>460</v>
      </c>
      <c r="AH9" s="58">
        <f t="shared" si="8"/>
        <v>169.89</v>
      </c>
      <c r="AI9" s="58">
        <f t="shared" si="9"/>
        <v>92</v>
      </c>
      <c r="AJ9" s="58">
        <f t="shared" si="10"/>
        <v>253</v>
      </c>
      <c r="AK9" s="58">
        <f t="shared" si="11"/>
        <v>0</v>
      </c>
      <c r="AL9" s="58">
        <f t="array" ref="AL9">_xlfn.IFS(R9=0,AE9,R9&lt;0,AE9/-R9,R9&gt;0,AE9/R9)</f>
        <v>24.843333333333348</v>
      </c>
      <c r="AM9" s="59">
        <f t="shared" si="12"/>
        <v>5.4007246376811625E-2</v>
      </c>
      <c r="AN9" s="60">
        <f t="shared" si="13"/>
        <v>0.14623187552730207</v>
      </c>
      <c r="AP9" s="62">
        <f t="shared" si="14"/>
        <v>0</v>
      </c>
    </row>
    <row r="10" spans="1:42">
      <c r="A10" s="39">
        <v>2730131249</v>
      </c>
      <c r="B10" s="40" t="s">
        <v>225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3</v>
      </c>
      <c r="L10" s="45"/>
      <c r="M10" s="45"/>
      <c r="N10" s="46">
        <f t="shared" si="15"/>
        <v>0.1</v>
      </c>
      <c r="O10" s="47">
        <f t="shared" si="16"/>
        <v>6.6666666666666666E-2</v>
      </c>
      <c r="P10" s="48">
        <f>SUMIFS('Отчет сентябрь'!H:H,'Отчет сентябрь'!D:D,"Выручка",'Отчет сентябрь'!E:E,B10)</f>
        <v>2</v>
      </c>
      <c r="Q10" s="48">
        <f>SUMIFS('Отчет сентябрь'!H:H,'Отчет сентябрь'!D:D,"Возврат выручки",'Отчет сентябрь'!E:E,B10)</f>
        <v>0</v>
      </c>
      <c r="R10" s="49">
        <f t="shared" si="1"/>
        <v>2</v>
      </c>
      <c r="S10" s="50">
        <f>SUMIFS('Отчет сентябрь'!O:O,'Отчет сентябрь'!C:C,"Продажи",'Отчет сентябрь'!E:E,B10)</f>
        <v>2760</v>
      </c>
      <c r="T10" s="51">
        <f>SUMIFS('Отчет сентябрь'!O:O,'Отчет сентябрь'!C:C,"Возвраты",'Отчет сентябрь'!E:E,B10)</f>
        <v>0</v>
      </c>
      <c r="U10" s="49">
        <f t="shared" si="2"/>
        <v>2760</v>
      </c>
      <c r="V10" s="52">
        <f t="shared" si="3"/>
        <v>1.6759572995227168E-2</v>
      </c>
      <c r="W10" s="53">
        <f t="shared" si="4"/>
        <v>339.78</v>
      </c>
      <c r="X10" s="51">
        <f>-SUMIFS('Отчет сентябрь'!O:O,'Отчет сентябрь'!C:C,"Вознаграждение Ozon",'Отчет сентябрь'!E:E,B10)</f>
        <v>552</v>
      </c>
      <c r="Y10" s="54">
        <f t="shared" si="5"/>
        <v>0.2</v>
      </c>
      <c r="Z10" s="51">
        <f>-SUMIFS('Отчет сентябрь'!O:O,'Отчет сентябрь'!C:C,"Услуги доставки",'Отчет сентябрь'!E:E,B10)</f>
        <v>184</v>
      </c>
      <c r="AA10" s="41">
        <v>0</v>
      </c>
      <c r="AB10" s="64"/>
      <c r="AC10" s="51"/>
      <c r="AD10" s="55">
        <f>U10*1%</f>
        <v>27.6</v>
      </c>
      <c r="AE10" s="56">
        <f t="shared" si="6"/>
        <v>1656.6200000000003</v>
      </c>
      <c r="AF10" s="55"/>
      <c r="AG10" s="57">
        <f t="shared" si="7"/>
        <v>1380</v>
      </c>
      <c r="AH10" s="58">
        <f t="shared" si="8"/>
        <v>169.89</v>
      </c>
      <c r="AI10" s="58">
        <f t="shared" si="9"/>
        <v>276</v>
      </c>
      <c r="AJ10" s="58">
        <f t="shared" si="10"/>
        <v>92</v>
      </c>
      <c r="AK10" s="58">
        <f t="shared" si="11"/>
        <v>0</v>
      </c>
      <c r="AL10" s="58">
        <f t="array" ref="AL10">_xlfn.IFS(R10=0,AE10,R10&lt;0,AE10/-R10,R10&gt;0,AE10/R10)</f>
        <v>828.31000000000017</v>
      </c>
      <c r="AM10" s="59">
        <f t="shared" si="12"/>
        <v>0.60022463768115952</v>
      </c>
      <c r="AN10" s="60">
        <f t="shared" si="13"/>
        <v>4.8755665430572739</v>
      </c>
      <c r="AP10" s="62">
        <f t="shared" si="14"/>
        <v>0</v>
      </c>
    </row>
    <row r="11" spans="1:42">
      <c r="A11" s="39">
        <v>2730130553</v>
      </c>
      <c r="B11" s="40" t="s">
        <v>226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1">
        <v>4</v>
      </c>
      <c r="L11" s="45"/>
      <c r="M11" s="45"/>
      <c r="N11" s="46">
        <f t="shared" si="15"/>
        <v>0.13333333333333333</v>
      </c>
      <c r="O11" s="47">
        <f t="shared" si="16"/>
        <v>0.1</v>
      </c>
      <c r="P11" s="48">
        <f>SUMIFS('Отчет сентябрь'!H:H,'Отчет сентябрь'!D:D,"Выручка",'Отчет сентябрь'!E:E,B11)</f>
        <v>3</v>
      </c>
      <c r="Q11" s="48">
        <f>SUMIFS('Отчет сентябрь'!H:H,'Отчет сентябрь'!D:D,"Возврат выручки",'Отчет сентябрь'!E:E,B11)</f>
        <v>0</v>
      </c>
      <c r="R11" s="49">
        <f t="shared" si="1"/>
        <v>3</v>
      </c>
      <c r="S11" s="50">
        <f>SUMIFS('Отчет сентябрь'!O:O,'Отчет сентябрь'!C:C,"Продажи",'Отчет сентябрь'!E:E,B11)</f>
        <v>4260</v>
      </c>
      <c r="T11" s="51">
        <f>SUMIFS('Отчет сентябрь'!O:O,'Отчет сентябрь'!C:C,"Возвраты",'Отчет сентябрь'!E:E,B11)</f>
        <v>0</v>
      </c>
      <c r="U11" s="49">
        <f t="shared" si="2"/>
        <v>4260</v>
      </c>
      <c r="V11" s="52">
        <f t="shared" si="3"/>
        <v>2.5868036579589759E-2</v>
      </c>
      <c r="W11" s="53">
        <f t="shared" si="4"/>
        <v>509.66999999999996</v>
      </c>
      <c r="X11" s="51">
        <f>-SUMIFS('Отчет сентябрь'!O:O,'Отчет сентябрь'!C:C,"Вознаграждение Ozon",'Отчет сентябрь'!E:E,B11)</f>
        <v>852</v>
      </c>
      <c r="Y11" s="54">
        <f t="shared" si="5"/>
        <v>0.2</v>
      </c>
      <c r="Z11" s="51">
        <f>-SUMIFS('Отчет сентябрь'!O:O,'Отчет сентябрь'!C:C,"Услуги доставки",'Отчет сентябрь'!E:E,B11)</f>
        <v>230</v>
      </c>
      <c r="AA11" s="41">
        <v>331.2</v>
      </c>
      <c r="AB11" s="64"/>
      <c r="AC11" s="51"/>
      <c r="AD11" s="55">
        <f>U11*1%</f>
        <v>42.6</v>
      </c>
      <c r="AE11" s="56">
        <f t="shared" si="6"/>
        <v>2294.5300000000002</v>
      </c>
      <c r="AF11" s="55"/>
      <c r="AG11" s="57">
        <f t="shared" si="7"/>
        <v>1420</v>
      </c>
      <c r="AH11" s="58">
        <f t="shared" si="8"/>
        <v>169.89</v>
      </c>
      <c r="AI11" s="58">
        <f t="shared" si="9"/>
        <v>284</v>
      </c>
      <c r="AJ11" s="58">
        <f t="shared" si="10"/>
        <v>76.666666666666671</v>
      </c>
      <c r="AK11" s="58">
        <f t="shared" si="11"/>
        <v>110.39999999999999</v>
      </c>
      <c r="AL11" s="58">
        <f t="array" ref="AL11">_xlfn.IFS(R11=0,AE11,R11&lt;0,AE11/-R11,R11&gt;0,AE11/R11)</f>
        <v>764.84333333333336</v>
      </c>
      <c r="AM11" s="59">
        <f t="shared" si="12"/>
        <v>0.53862206572769955</v>
      </c>
      <c r="AN11" s="60">
        <f t="shared" si="13"/>
        <v>4.5019914846861697</v>
      </c>
      <c r="AP11" s="62">
        <f t="shared" si="14"/>
        <v>0</v>
      </c>
    </row>
    <row r="12" spans="1:42" ht="13.75" customHeight="1">
      <c r="A12" s="39">
        <v>2730129638</v>
      </c>
      <c r="B12" s="40" t="s">
        <v>227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1">
        <v>9</v>
      </c>
      <c r="L12" s="45"/>
      <c r="M12" s="45"/>
      <c r="N12" s="46">
        <f t="shared" si="15"/>
        <v>0.3</v>
      </c>
      <c r="O12" s="47">
        <f t="shared" si="16"/>
        <v>0.1</v>
      </c>
      <c r="P12" s="48">
        <f>SUMIFS('Отчет сентябрь'!H:H,'Отчет сентябрь'!D:D,"Выручка",'Отчет сентябрь'!E:E,B12)</f>
        <v>3</v>
      </c>
      <c r="Q12" s="48">
        <f>SUMIFS('Отчет сентябрь'!H:H,'Отчет сентябрь'!D:D,"Возврат выручки",'Отчет сентябрь'!E:E,B12)</f>
        <v>0</v>
      </c>
      <c r="R12" s="49">
        <f t="shared" si="1"/>
        <v>3</v>
      </c>
      <c r="S12" s="50">
        <f>SUMIFS('Отчет сентябрь'!O:O,'Отчет сентябрь'!C:C,"Продажи",'Отчет сентябрь'!E:E,B12)</f>
        <v>4380</v>
      </c>
      <c r="T12" s="51">
        <f>SUMIFS('Отчет сентябрь'!O:O,'Отчет сентябрь'!C:C,"Возвраты",'Отчет сентябрь'!E:E,B12)</f>
        <v>0</v>
      </c>
      <c r="U12" s="49">
        <f t="shared" si="2"/>
        <v>4380</v>
      </c>
      <c r="V12" s="52">
        <f t="shared" si="3"/>
        <v>2.6596713666338766E-2</v>
      </c>
      <c r="W12" s="53">
        <f t="shared" si="4"/>
        <v>509.66999999999996</v>
      </c>
      <c r="X12" s="51">
        <f>-SUMIFS('Отчет сентябрь'!O:O,'Отчет сентябрь'!C:C,"Вознаграждение Ozon",'Отчет сентябрь'!E:E,B12)</f>
        <v>876</v>
      </c>
      <c r="Y12" s="54">
        <f t="shared" si="5"/>
        <v>0.2</v>
      </c>
      <c r="Z12" s="51">
        <f>-SUMIFS('Отчет сентябрь'!O:O,'Отчет сентябрь'!C:C,"Услуги доставки",'Отчет сентябрь'!E:E,B12)</f>
        <v>414</v>
      </c>
      <c r="AA12" s="41">
        <v>15283.66145</v>
      </c>
      <c r="AB12" s="64"/>
      <c r="AC12" s="51"/>
      <c r="AD12" s="55">
        <f>U12*1%</f>
        <v>43.800000000000004</v>
      </c>
      <c r="AE12" s="56">
        <f t="shared" si="6"/>
        <v>-12747.131449999999</v>
      </c>
      <c r="AF12" s="55"/>
      <c r="AG12" s="57">
        <f t="shared" si="7"/>
        <v>1460</v>
      </c>
      <c r="AH12" s="58">
        <f t="shared" si="8"/>
        <v>169.89</v>
      </c>
      <c r="AI12" s="58">
        <f t="shared" si="9"/>
        <v>292</v>
      </c>
      <c r="AJ12" s="58">
        <f t="shared" si="10"/>
        <v>138</v>
      </c>
      <c r="AK12" s="58">
        <f t="shared" si="11"/>
        <v>5094.5538166666665</v>
      </c>
      <c r="AL12" s="58">
        <f t="array" ref="AL12">_xlfn.IFS(R12=0,AE12,R12&lt;0,AE12/-R12,R12&gt;0,AE12/R12)</f>
        <v>-4249.0438166666663</v>
      </c>
      <c r="AM12" s="59">
        <f t="shared" si="12"/>
        <v>-2.9103039840182645</v>
      </c>
      <c r="AN12" s="60">
        <f t="shared" si="13"/>
        <v>-25.010558694841759</v>
      </c>
      <c r="AP12" s="62">
        <f t="shared" si="14"/>
        <v>0</v>
      </c>
    </row>
    <row r="13" spans="1:42" ht="13.75" customHeight="1">
      <c r="A13" s="39">
        <v>2730130141</v>
      </c>
      <c r="B13" s="40" t="s">
        <v>228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1">
        <v>8</v>
      </c>
      <c r="L13" s="45"/>
      <c r="M13" s="45"/>
      <c r="N13" s="46">
        <f t="shared" si="15"/>
        <v>0.26666666666666666</v>
      </c>
      <c r="O13" s="47">
        <f t="shared" si="16"/>
        <v>0.13333333333333333</v>
      </c>
      <c r="P13" s="48">
        <f>SUMIFS('Отчет сентябрь'!H:H,'Отчет сентябрь'!D:D,"Выручка",'Отчет сентябрь'!E:E,B13)</f>
        <v>4</v>
      </c>
      <c r="Q13" s="48">
        <f>SUMIFS('Отчет сентябрь'!H:H,'Отчет сентябрь'!D:D,"Возврат выручки",'Отчет сентябрь'!E:E,B13)</f>
        <v>0</v>
      </c>
      <c r="R13" s="49">
        <f t="shared" si="1"/>
        <v>4</v>
      </c>
      <c r="S13" s="50">
        <f>SUMIFS('Отчет сентябрь'!O:O,'Отчет сентябрь'!C:C,"Продажи",'Отчет сентябрь'!E:E,B13)</f>
        <v>5760</v>
      </c>
      <c r="T13" s="51">
        <f>SUMIFS('Отчет сентябрь'!O:O,'Отчет сентябрь'!C:C,"Возвраты",'Отчет сентябрь'!E:E,B13)</f>
        <v>0</v>
      </c>
      <c r="U13" s="49">
        <f t="shared" si="2"/>
        <v>5760</v>
      </c>
      <c r="V13" s="52">
        <f t="shared" si="3"/>
        <v>3.4976500163952352E-2</v>
      </c>
      <c r="W13" s="53">
        <f t="shared" si="4"/>
        <v>679.56</v>
      </c>
      <c r="X13" s="51">
        <f>-SUMIFS('Отчет сентябрь'!O:O,'Отчет сентябрь'!C:C,"Вознаграждение Ozon",'Отчет сентябрь'!E:E,B13)</f>
        <v>1234.8</v>
      </c>
      <c r="Y13" s="54">
        <f t="shared" si="5"/>
        <v>0.21437499999999998</v>
      </c>
      <c r="Z13" s="51">
        <f>-SUMIFS('Отчет сентябрь'!O:O,'Отчет сентябрь'!C:C,"Услуги доставки",'Отчет сентябрь'!E:E,B13)</f>
        <v>460</v>
      </c>
      <c r="AA13" s="41">
        <v>1789.0653499999999</v>
      </c>
      <c r="AB13" s="64"/>
      <c r="AC13" s="51"/>
      <c r="AD13" s="55">
        <f>U13*1%</f>
        <v>57.6</v>
      </c>
      <c r="AE13" s="56">
        <f t="shared" si="6"/>
        <v>1538.9746500000006</v>
      </c>
      <c r="AF13" s="55"/>
      <c r="AG13" s="57">
        <f t="shared" si="7"/>
        <v>1440</v>
      </c>
      <c r="AH13" s="58">
        <f t="shared" si="8"/>
        <v>169.89</v>
      </c>
      <c r="AI13" s="58">
        <f t="shared" si="9"/>
        <v>308.7</v>
      </c>
      <c r="AJ13" s="58">
        <f t="shared" si="10"/>
        <v>115</v>
      </c>
      <c r="AK13" s="58">
        <f t="shared" si="11"/>
        <v>447.26633749999996</v>
      </c>
      <c r="AL13" s="58">
        <f t="array" ref="AL13">_xlfn.IFS(R13=0,AE13,R13&lt;0,AE13/-R13,R13&gt;0,AE13/R13)</f>
        <v>384.74366250000014</v>
      </c>
      <c r="AM13" s="59">
        <f t="shared" si="12"/>
        <v>0.26718309895833342</v>
      </c>
      <c r="AN13" s="60">
        <f t="shared" si="13"/>
        <v>2.2646633851315565</v>
      </c>
      <c r="AP13" s="62">
        <f t="shared" si="14"/>
        <v>0</v>
      </c>
    </row>
    <row r="14" spans="1:42" ht="13.75" customHeight="1">
      <c r="A14" s="39">
        <v>2730129805</v>
      </c>
      <c r="B14" s="40" t="s">
        <v>19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1">
        <v>8</v>
      </c>
      <c r="L14" s="45"/>
      <c r="M14" s="45"/>
      <c r="N14" s="46">
        <f t="shared" si="15"/>
        <v>0.26666666666666666</v>
      </c>
      <c r="O14" s="47">
        <f t="shared" si="16"/>
        <v>0.2</v>
      </c>
      <c r="P14" s="48">
        <f>SUMIFS('Отчет сентябрь'!H:H,'Отчет сентябрь'!D:D,"Выручка",'Отчет сентябрь'!E:E,B14)</f>
        <v>6</v>
      </c>
      <c r="Q14" s="48">
        <f>SUMIFS('Отчет сентябрь'!H:H,'Отчет сентябрь'!D:D,"Возврат выручки",'Отчет сентябрь'!E:E,B14)</f>
        <v>0</v>
      </c>
      <c r="R14" s="49">
        <f t="shared" si="1"/>
        <v>6</v>
      </c>
      <c r="S14" s="50">
        <f>SUMIFS('Отчет сентябрь'!O:O,'Отчет сентябрь'!C:C,"Продажи",'Отчет сентябрь'!E:E,B14)</f>
        <v>8400</v>
      </c>
      <c r="T14" s="51">
        <f>SUMIFS('Отчет сентябрь'!O:O,'Отчет сентябрь'!C:C,"Возвраты",'Отчет сентябрь'!E:E,B14)</f>
        <v>0</v>
      </c>
      <c r="U14" s="49">
        <f t="shared" si="2"/>
        <v>8400</v>
      </c>
      <c r="V14" s="52">
        <f t="shared" si="3"/>
        <v>5.1007396072430509E-2</v>
      </c>
      <c r="W14" s="53">
        <f t="shared" si="4"/>
        <v>1019.3399999999999</v>
      </c>
      <c r="X14" s="51">
        <f>-SUMIFS('Отчет сентябрь'!O:O,'Отчет сентябрь'!C:C,"Вознаграждение Ozon",'Отчет сентябрь'!E:E,B14)</f>
        <v>1762.8</v>
      </c>
      <c r="Y14" s="54">
        <f t="shared" si="5"/>
        <v>0.20985714285714285</v>
      </c>
      <c r="Z14" s="51">
        <f>-SUMIFS('Отчет сентябрь'!O:O,'Отчет сентябрь'!C:C,"Услуги доставки",'Отчет сентябрь'!E:E,B14)</f>
        <v>368</v>
      </c>
      <c r="AA14" s="41">
        <v>5485.8725899999999</v>
      </c>
      <c r="AB14" s="64"/>
      <c r="AC14" s="51"/>
      <c r="AD14" s="55">
        <f>U14*1%</f>
        <v>84</v>
      </c>
      <c r="AE14" s="56">
        <f t="shared" si="6"/>
        <v>-320.01259000000027</v>
      </c>
      <c r="AF14" s="55"/>
      <c r="AG14" s="57">
        <f t="shared" si="7"/>
        <v>1400</v>
      </c>
      <c r="AH14" s="58">
        <f t="shared" si="8"/>
        <v>169.89</v>
      </c>
      <c r="AI14" s="58">
        <f t="shared" si="9"/>
        <v>293.8</v>
      </c>
      <c r="AJ14" s="58">
        <f t="shared" si="10"/>
        <v>61.333333333333336</v>
      </c>
      <c r="AK14" s="58">
        <f t="shared" si="11"/>
        <v>914.31209833333332</v>
      </c>
      <c r="AL14" s="58">
        <f t="array" ref="AL14">_xlfn.IFS(R14=0,AE14,R14&lt;0,AE14/-R14,R14&gt;0,AE14/R14)</f>
        <v>-53.335431666666715</v>
      </c>
      <c r="AM14" s="59">
        <f t="shared" si="12"/>
        <v>-3.8096736904761938E-2</v>
      </c>
      <c r="AN14" s="60">
        <f t="shared" si="13"/>
        <v>-0.31394097160908069</v>
      </c>
      <c r="AP14" s="62">
        <f t="shared" si="14"/>
        <v>0</v>
      </c>
    </row>
    <row r="15" spans="1:42" ht="13.75" customHeight="1">
      <c r="A15" s="39">
        <v>2807226201</v>
      </c>
      <c r="B15" s="40" t="s">
        <v>229</v>
      </c>
      <c r="C15" s="41"/>
      <c r="D15" s="42"/>
      <c r="E15" s="42"/>
      <c r="F15" s="42"/>
      <c r="G15" s="43"/>
      <c r="H15" s="44">
        <v>1002.82</v>
      </c>
      <c r="I15" s="63">
        <f t="shared" si="0"/>
        <v>0</v>
      </c>
      <c r="J15" s="45"/>
      <c r="K15" s="41">
        <v>0</v>
      </c>
      <c r="L15" s="45"/>
      <c r="M15" s="45"/>
      <c r="N15" s="46">
        <f t="shared" si="15"/>
        <v>0</v>
      </c>
      <c r="O15" s="47">
        <f t="shared" si="16"/>
        <v>0</v>
      </c>
      <c r="P15" s="48">
        <f>SUMIFS('Отчет сентябрь'!H:H,'Отчет сентябрь'!D:D,"Выручка",'Отчет сентябрь'!E:E,B15)</f>
        <v>0</v>
      </c>
      <c r="Q15" s="48">
        <f>SUMIFS('Отчет сентябрь'!H:H,'Отчет сентябрь'!D:D,"Возврат выручки",'Отчет сентябрь'!E:E,B15)</f>
        <v>0</v>
      </c>
      <c r="R15" s="49">
        <f t="shared" si="1"/>
        <v>0</v>
      </c>
      <c r="S15" s="50">
        <f>SUMIFS('Отчет сентябрь'!O:O,'Отчет сентябрь'!C:C,"Продажи",'Отчет сентябрь'!E:E,B15)</f>
        <v>0</v>
      </c>
      <c r="T15" s="51">
        <f>SUMIFS('Отчет сентябрь'!O:O,'Отчет сентябрь'!C:C,"Возвраты",'Отчет сентябрь'!E:E,B15)</f>
        <v>0</v>
      </c>
      <c r="U15" s="49">
        <f t="shared" si="2"/>
        <v>0</v>
      </c>
      <c r="V15" s="52">
        <f t="shared" si="3"/>
        <v>0</v>
      </c>
      <c r="W15" s="53">
        <f t="shared" si="4"/>
        <v>0</v>
      </c>
      <c r="X15" s="51">
        <f>-SUMIFS('Отчет сентябрь'!O:O,'Отчет сентябрь'!C:C,"Вознаграждение Ozon",'Отчет сентябрь'!E:E,B15)</f>
        <v>0</v>
      </c>
      <c r="Y15" s="54">
        <f t="shared" si="5"/>
        <v>0</v>
      </c>
      <c r="Z15" s="51">
        <f>-SUMIFS('Отчет сентябрь'!O:O,'Отчет сентябрь'!C:C,"Услуги доставки",'Отчет сентябрь'!E:E,B15)</f>
        <v>0</v>
      </c>
      <c r="AA15" s="41">
        <v>5101.1484579999997</v>
      </c>
      <c r="AB15" s="64"/>
      <c r="AC15" s="51"/>
      <c r="AD15" s="55">
        <f>U15*1%</f>
        <v>0</v>
      </c>
      <c r="AE15" s="56">
        <f t="shared" si="6"/>
        <v>-5101.1484579999997</v>
      </c>
      <c r="AF15" s="55"/>
      <c r="AG15" s="57">
        <f t="shared" si="7"/>
        <v>0</v>
      </c>
      <c r="AH15" s="58">
        <f t="shared" si="8"/>
        <v>1002.82</v>
      </c>
      <c r="AI15" s="58">
        <f t="shared" si="9"/>
        <v>0</v>
      </c>
      <c r="AJ15" s="58">
        <f t="shared" si="10"/>
        <v>0</v>
      </c>
      <c r="AK15" s="58">
        <f t="shared" si="11"/>
        <v>0</v>
      </c>
      <c r="AL15" s="58">
        <f t="array" ref="AL15">_xlfn.IFS(R15=0,AE15,R15&lt;0,AE15/-R15,R15&gt;0,AE15/R15)</f>
        <v>-5101.1484579999997</v>
      </c>
      <c r="AM15" s="59">
        <f t="shared" si="12"/>
        <v>0</v>
      </c>
      <c r="AN15" s="60">
        <f t="shared" si="13"/>
        <v>-5.0868036716459581</v>
      </c>
      <c r="AP15" s="62">
        <f t="shared" si="14"/>
        <v>0</v>
      </c>
    </row>
    <row r="16" spans="1:42" ht="13.75" customHeight="1">
      <c r="A16" s="39">
        <v>2807226228</v>
      </c>
      <c r="B16" s="40" t="s">
        <v>230</v>
      </c>
      <c r="C16" s="41"/>
      <c r="D16" s="42"/>
      <c r="E16" s="42"/>
      <c r="F16" s="42"/>
      <c r="G16" s="43"/>
      <c r="H16" s="44">
        <v>909.22</v>
      </c>
      <c r="I16" s="63">
        <f t="shared" si="0"/>
        <v>0</v>
      </c>
      <c r="J16" s="45"/>
      <c r="K16" s="41">
        <v>0</v>
      </c>
      <c r="L16" s="45"/>
      <c r="M16" s="45"/>
      <c r="N16" s="46">
        <f t="shared" si="15"/>
        <v>0</v>
      </c>
      <c r="O16" s="47">
        <f t="shared" si="16"/>
        <v>0</v>
      </c>
      <c r="P16" s="48">
        <f>SUMIFS('Отчет сентябрь'!H:H,'Отчет сентябрь'!D:D,"Выручка",'Отчет сентябрь'!E:E,B16)</f>
        <v>0</v>
      </c>
      <c r="Q16" s="48">
        <f>SUMIFS('Отчет сентябрь'!H:H,'Отчет сентябрь'!D:D,"Возврат выручки",'Отчет сентябрь'!E:E,B16)</f>
        <v>0</v>
      </c>
      <c r="R16" s="49">
        <f t="shared" si="1"/>
        <v>0</v>
      </c>
      <c r="S16" s="50">
        <f>SUMIFS('Отчет сентябрь'!O:O,'Отчет сентябрь'!C:C,"Продажи",'Отчет сентябрь'!E:E,B16)</f>
        <v>0</v>
      </c>
      <c r="T16" s="51">
        <f>SUMIFS('Отчет сентябрь'!O:O,'Отчет сентябрь'!C:C,"Возвраты",'Отчет сентябрь'!E:E,B16)</f>
        <v>0</v>
      </c>
      <c r="U16" s="49">
        <f t="shared" si="2"/>
        <v>0</v>
      </c>
      <c r="V16" s="52">
        <f t="shared" si="3"/>
        <v>0</v>
      </c>
      <c r="W16" s="53">
        <f t="shared" si="4"/>
        <v>0</v>
      </c>
      <c r="X16" s="51">
        <f>-SUMIFS('Отчет сентябрь'!O:O,'Отчет сентябрь'!C:C,"Вознаграждение Ozon",'Отчет сентябрь'!E:E,B16)</f>
        <v>0</v>
      </c>
      <c r="Y16" s="54">
        <f t="shared" si="5"/>
        <v>0</v>
      </c>
      <c r="Z16" s="51">
        <f>-SUMIFS('Отчет сентябрь'!O:O,'Отчет сентябрь'!C:C,"Услуги доставки",'Отчет сентябрь'!E:E,B16)</f>
        <v>164</v>
      </c>
      <c r="AA16" s="41">
        <v>0</v>
      </c>
      <c r="AB16" s="64"/>
      <c r="AC16" s="51"/>
      <c r="AD16" s="55">
        <f>U16*1%</f>
        <v>0</v>
      </c>
      <c r="AE16" s="56">
        <f t="shared" si="6"/>
        <v>-164</v>
      </c>
      <c r="AF16" s="55"/>
      <c r="AG16" s="57">
        <f t="shared" si="7"/>
        <v>0</v>
      </c>
      <c r="AH16" s="58">
        <f t="shared" si="8"/>
        <v>909.22</v>
      </c>
      <c r="AI16" s="58">
        <f t="shared" si="9"/>
        <v>0</v>
      </c>
      <c r="AJ16" s="58">
        <f t="shared" si="10"/>
        <v>164</v>
      </c>
      <c r="AK16" s="58">
        <f t="shared" si="11"/>
        <v>0</v>
      </c>
      <c r="AL16" s="58">
        <f t="array" ref="AL16">_xlfn.IFS(R16=0,AE16,R16&lt;0,AE16/-R16,R16&gt;0,AE16/R16)</f>
        <v>-164</v>
      </c>
      <c r="AM16" s="59">
        <f t="shared" si="12"/>
        <v>0</v>
      </c>
      <c r="AN16" s="60">
        <f t="shared" si="13"/>
        <v>-0.18037438683706913</v>
      </c>
      <c r="AP16" s="62">
        <f t="shared" si="14"/>
        <v>0</v>
      </c>
    </row>
    <row r="17" spans="1:52" ht="13.75" customHeight="1">
      <c r="A17" s="39">
        <v>2807226016</v>
      </c>
      <c r="B17" s="40" t="s">
        <v>231</v>
      </c>
      <c r="C17" s="41"/>
      <c r="D17" s="42"/>
      <c r="E17" s="42"/>
      <c r="F17" s="42"/>
      <c r="G17" s="43"/>
      <c r="H17" s="44">
        <v>909.22</v>
      </c>
      <c r="I17" s="63">
        <f t="shared" si="0"/>
        <v>0</v>
      </c>
      <c r="J17" s="45"/>
      <c r="K17" s="41">
        <v>0</v>
      </c>
      <c r="L17" s="45"/>
      <c r="M17" s="45"/>
      <c r="N17" s="46">
        <f t="shared" si="15"/>
        <v>0</v>
      </c>
      <c r="O17" s="47">
        <f t="shared" si="16"/>
        <v>0</v>
      </c>
      <c r="P17" s="48">
        <f>SUMIFS('Отчет сентябрь'!H:H,'Отчет сентябрь'!D:D,"Выручка",'Отчет сентябрь'!E:E,B17)</f>
        <v>0</v>
      </c>
      <c r="Q17" s="48">
        <f>SUMIFS('Отчет сентябрь'!H:H,'Отчет сентябрь'!D:D,"Возврат выручки",'Отчет сентябрь'!E:E,B17)</f>
        <v>0</v>
      </c>
      <c r="R17" s="49">
        <f t="shared" si="1"/>
        <v>0</v>
      </c>
      <c r="S17" s="50">
        <f>SUMIFS('Отчет сентябрь'!O:O,'Отчет сентябрь'!C:C,"Продажи",'Отчет сентябрь'!E:E,B17)</f>
        <v>0</v>
      </c>
      <c r="T17" s="51">
        <f>SUMIFS('Отчет сентябрь'!O:O,'Отчет сентябрь'!C:C,"Возвраты",'Отчет сентябрь'!E:E,B17)</f>
        <v>0</v>
      </c>
      <c r="U17" s="49">
        <f t="shared" si="2"/>
        <v>0</v>
      </c>
      <c r="V17" s="52">
        <f t="shared" si="3"/>
        <v>0</v>
      </c>
      <c r="W17" s="53">
        <f t="shared" si="4"/>
        <v>0</v>
      </c>
      <c r="X17" s="51">
        <f>-SUMIFS('Отчет сентябрь'!O:O,'Отчет сентябрь'!C:C,"Вознаграждение Ozon",'Отчет сентябрь'!E:E,B17)</f>
        <v>0</v>
      </c>
      <c r="Y17" s="54">
        <f t="shared" si="5"/>
        <v>0</v>
      </c>
      <c r="Z17" s="51">
        <f>-SUMIFS('Отчет сентябрь'!O:O,'Отчет сентябрь'!C:C,"Услуги доставки",'Отчет сентябрь'!E:E,B17)</f>
        <v>0</v>
      </c>
      <c r="AA17" s="41">
        <v>834.17627000000005</v>
      </c>
      <c r="AB17" s="64"/>
      <c r="AC17" s="51"/>
      <c r="AD17" s="55">
        <f>U17*1%</f>
        <v>0</v>
      </c>
      <c r="AE17" s="56">
        <f t="shared" si="6"/>
        <v>-834.17627000000005</v>
      </c>
      <c r="AF17" s="55"/>
      <c r="AG17" s="57">
        <f t="shared" si="7"/>
        <v>0</v>
      </c>
      <c r="AH17" s="58">
        <f t="shared" si="8"/>
        <v>909.22</v>
      </c>
      <c r="AI17" s="58">
        <f t="shared" si="9"/>
        <v>0</v>
      </c>
      <c r="AJ17" s="58">
        <f t="shared" si="10"/>
        <v>0</v>
      </c>
      <c r="AK17" s="58">
        <f t="shared" si="11"/>
        <v>0</v>
      </c>
      <c r="AL17" s="58">
        <f t="array" ref="AL17">_xlfn.IFS(R17=0,AE17,R17&lt;0,AE17/-R17,R17&gt;0,AE17/R17)</f>
        <v>-834.17627000000005</v>
      </c>
      <c r="AM17" s="59">
        <f t="shared" si="12"/>
        <v>0</v>
      </c>
      <c r="AN17" s="60">
        <f t="shared" si="13"/>
        <v>-0.91746361716636238</v>
      </c>
      <c r="AP17" s="62">
        <f t="shared" si="14"/>
        <v>0</v>
      </c>
    </row>
    <row r="18" spans="1:52" ht="13.75" customHeight="1">
      <c r="A18" s="39">
        <v>2807226072</v>
      </c>
      <c r="B18" s="40" t="s">
        <v>111</v>
      </c>
      <c r="C18" s="41"/>
      <c r="D18" s="42"/>
      <c r="E18" s="42"/>
      <c r="F18" s="42"/>
      <c r="G18" s="43"/>
      <c r="H18" s="44">
        <v>932.62</v>
      </c>
      <c r="I18" s="63">
        <f t="shared" si="0"/>
        <v>0</v>
      </c>
      <c r="J18" s="45"/>
      <c r="K18" s="41">
        <v>0</v>
      </c>
      <c r="L18" s="45"/>
      <c r="M18" s="45"/>
      <c r="N18" s="46">
        <f t="shared" si="15"/>
        <v>0</v>
      </c>
      <c r="O18" s="47">
        <f t="shared" si="16"/>
        <v>3.3333333333333333E-2</v>
      </c>
      <c r="P18" s="48">
        <f>SUMIFS('Отчет сентябрь'!H:H,'Отчет сентябрь'!D:D,"Выручка",'Отчет сентябрь'!E:E,B18)</f>
        <v>1</v>
      </c>
      <c r="Q18" s="48">
        <f>SUMIFS('Отчет сентябрь'!H:H,'Отчет сентябрь'!D:D,"Возврат выручки",'Отчет сентябрь'!E:E,B18)</f>
        <v>0</v>
      </c>
      <c r="R18" s="49">
        <f t="shared" si="1"/>
        <v>1</v>
      </c>
      <c r="S18" s="50">
        <f>SUMIFS('Отчет сентябрь'!O:O,'Отчет сентябрь'!C:C,"Продажи",'Отчет сентябрь'!E:E,B18)</f>
        <v>3500</v>
      </c>
      <c r="T18" s="51">
        <f>SUMIFS('Отчет сентябрь'!O:O,'Отчет сентябрь'!C:C,"Возвраты",'Отчет сентябрь'!E:E,B18)</f>
        <v>0</v>
      </c>
      <c r="U18" s="49">
        <f t="shared" si="2"/>
        <v>3500</v>
      </c>
      <c r="V18" s="52">
        <f t="shared" si="3"/>
        <v>2.1253081696846046E-2</v>
      </c>
      <c r="W18" s="53">
        <f t="shared" si="4"/>
        <v>932.62</v>
      </c>
      <c r="X18" s="51">
        <f>-SUMIFS('Отчет сентябрь'!O:O,'Отчет сентябрь'!C:C,"Вознаграждение Ozon",'Отчет сентябрь'!E:E,B18)</f>
        <v>1172.5</v>
      </c>
      <c r="Y18" s="54">
        <f t="shared" si="5"/>
        <v>0.33500000000000002</v>
      </c>
      <c r="Z18" s="51">
        <f>-SUMIFS('Отчет сентябрь'!O:O,'Отчет сентябрь'!C:C,"Услуги доставки",'Отчет сентябрь'!E:E,B18)</f>
        <v>108</v>
      </c>
      <c r="AA18" s="41">
        <v>4004.818307</v>
      </c>
      <c r="AB18" s="64"/>
      <c r="AC18" s="51"/>
      <c r="AD18" s="55">
        <f>U18*1%</f>
        <v>35</v>
      </c>
      <c r="AE18" s="56">
        <f t="shared" si="6"/>
        <v>-2752.9383069999999</v>
      </c>
      <c r="AF18" s="55"/>
      <c r="AG18" s="57">
        <f t="shared" si="7"/>
        <v>3500</v>
      </c>
      <c r="AH18" s="58">
        <f t="shared" si="8"/>
        <v>932.62</v>
      </c>
      <c r="AI18" s="58">
        <f t="shared" si="9"/>
        <v>1172.5</v>
      </c>
      <c r="AJ18" s="58">
        <f t="shared" si="10"/>
        <v>108</v>
      </c>
      <c r="AK18" s="58">
        <f t="shared" si="11"/>
        <v>4004.818307</v>
      </c>
      <c r="AL18" s="58">
        <f t="array" ref="AL18">_xlfn.IFS(R18=0,AE18,R18&lt;0,AE18/-R18,R18&gt;0,AE18/R18)</f>
        <v>-2752.9383069999999</v>
      </c>
      <c r="AM18" s="59">
        <f t="shared" si="12"/>
        <v>-0.78655380200000002</v>
      </c>
      <c r="AN18" s="60">
        <f t="shared" si="13"/>
        <v>-2.9518328011408719</v>
      </c>
      <c r="AP18" s="62">
        <f t="shared" si="14"/>
        <v>0</v>
      </c>
    </row>
    <row r="19" spans="1:52" ht="13.75" customHeight="1">
      <c r="A19" s="39">
        <v>2807226223</v>
      </c>
      <c r="B19" s="40" t="s">
        <v>232</v>
      </c>
      <c r="C19" s="41"/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>
        <f t="shared" si="15"/>
        <v>0</v>
      </c>
      <c r="O19" s="47">
        <f t="shared" si="16"/>
        <v>0</v>
      </c>
      <c r="P19" s="48">
        <f>SUMIFS('Отчет сентябрь'!H:H,'Отчет сентябрь'!D:D,"Выручка",'Отчет сентябрь'!E:E,B19)</f>
        <v>0</v>
      </c>
      <c r="Q19" s="48">
        <f>SUMIFS('Отчет сентябрь'!H:H,'Отчет сентябрь'!D:D,"Возврат выручки",'Отчет сентябрь'!E:E,B19)</f>
        <v>0</v>
      </c>
      <c r="R19" s="49">
        <f t="shared" si="1"/>
        <v>0</v>
      </c>
      <c r="S19" s="50">
        <f>SUMIFS('Отчет сентябрь'!O:O,'Отчет сентябрь'!C:C,"Продажи",'Отчет сентябрь'!E:E,B19)</f>
        <v>0</v>
      </c>
      <c r="T19" s="51">
        <f>SUMIFS('Отчет сентябрь'!O:O,'Отчет сентябрь'!C:C,"Возвраты",'Отчет сентябрь'!E:E,B19)</f>
        <v>0</v>
      </c>
      <c r="U19" s="49">
        <f t="shared" si="2"/>
        <v>0</v>
      </c>
      <c r="V19" s="52">
        <f t="shared" si="3"/>
        <v>0</v>
      </c>
      <c r="W19" s="53">
        <f t="shared" si="4"/>
        <v>0</v>
      </c>
      <c r="X19" s="51">
        <f>-SUMIFS('Отчет сентябрь'!O:O,'Отчет сентябрь'!C:C,"Вознаграждение Ozon",'Отчет сентябрь'!E:E,B19)</f>
        <v>0</v>
      </c>
      <c r="Y19" s="54">
        <f t="shared" si="5"/>
        <v>0</v>
      </c>
      <c r="Z19" s="51">
        <f>-SUMIFS('Отчет сентябрь'!O:O,'Отчет сентябрь'!C:C,"Услуги доставки",'Отчет сентябрь'!E:E,B19)</f>
        <v>0</v>
      </c>
      <c r="AA19" s="41">
        <v>0</v>
      </c>
      <c r="AB19" s="64"/>
      <c r="AC19" s="51"/>
      <c r="AD19" s="55">
        <f>U19*1%</f>
        <v>0</v>
      </c>
      <c r="AE19" s="56">
        <f t="shared" si="6"/>
        <v>0</v>
      </c>
      <c r="AF19" s="55"/>
      <c r="AG19" s="57">
        <f t="shared" si="7"/>
        <v>0</v>
      </c>
      <c r="AH19" s="58">
        <f t="shared" si="8"/>
        <v>1014.52</v>
      </c>
      <c r="AI19" s="58">
        <f t="shared" si="9"/>
        <v>0</v>
      </c>
      <c r="AJ19" s="58">
        <f t="shared" si="10"/>
        <v>0</v>
      </c>
      <c r="AK19" s="58">
        <f t="shared" si="11"/>
        <v>0</v>
      </c>
      <c r="AL19" s="58">
        <f t="array" ref="AL19">_xlfn.IFS(R19=0,AE19,R19&lt;0,AE19/-R19,R19&gt;0,AE19/R19)</f>
        <v>0</v>
      </c>
      <c r="AM19" s="59">
        <f t="shared" si="12"/>
        <v>0</v>
      </c>
      <c r="AN19" s="60">
        <f t="shared" si="13"/>
        <v>0</v>
      </c>
      <c r="AP19" s="62">
        <f t="shared" si="14"/>
        <v>0</v>
      </c>
    </row>
    <row r="20" spans="1:52" ht="13.75" customHeight="1">
      <c r="A20" s="39">
        <v>2807226341</v>
      </c>
      <c r="B20" s="40" t="s">
        <v>136</v>
      </c>
      <c r="C20" s="41"/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v>0</v>
      </c>
      <c r="L20" s="45"/>
      <c r="M20" s="45"/>
      <c r="N20" s="46">
        <f t="shared" si="15"/>
        <v>0</v>
      </c>
      <c r="O20" s="47">
        <f t="shared" si="16"/>
        <v>0</v>
      </c>
      <c r="P20" s="48">
        <f>SUMIFS('Отчет сентябрь'!H:H,'Отчет сентябрь'!D:D,"Выручка",'Отчет сентябрь'!E:E,B20)</f>
        <v>0</v>
      </c>
      <c r="Q20" s="48">
        <f>SUMIFS('Отчет сентябрь'!H:H,'Отчет сентябрь'!D:D,"Возврат выручки",'Отчет сентябрь'!E:E,B20)</f>
        <v>0</v>
      </c>
      <c r="R20" s="49">
        <f t="shared" si="1"/>
        <v>0</v>
      </c>
      <c r="S20" s="50">
        <f>SUMIFS('Отчет сентябрь'!O:O,'Отчет сентябрь'!C:C,"Продажи",'Отчет сентябрь'!E:E,B20)</f>
        <v>0</v>
      </c>
      <c r="T20" s="51">
        <f>SUMIFS('Отчет сентябрь'!O:O,'Отчет сентябрь'!C:C,"Возвраты",'Отчет сентябрь'!E:E,B20)</f>
        <v>0</v>
      </c>
      <c r="U20" s="49">
        <f t="shared" si="2"/>
        <v>0</v>
      </c>
      <c r="V20" s="52">
        <f t="shared" si="3"/>
        <v>0</v>
      </c>
      <c r="W20" s="53">
        <f t="shared" si="4"/>
        <v>0</v>
      </c>
      <c r="X20" s="51">
        <f>-SUMIFS('Отчет сентябрь'!O:O,'Отчет сентябрь'!C:C,"Вознаграждение Ozon",'Отчет сентябрь'!E:E,B20)</f>
        <v>0</v>
      </c>
      <c r="Y20" s="54">
        <f t="shared" si="5"/>
        <v>0</v>
      </c>
      <c r="Z20" s="51">
        <f>-SUMIFS('Отчет сентябрь'!O:O,'Отчет сентябрь'!C:C,"Услуги доставки",'Отчет сентябрь'!E:E,B20)</f>
        <v>0</v>
      </c>
      <c r="AA20" s="41">
        <v>0</v>
      </c>
      <c r="AB20" s="64"/>
      <c r="AC20" s="51"/>
      <c r="AD20" s="55">
        <f>U20*1%</f>
        <v>0</v>
      </c>
      <c r="AE20" s="56">
        <f t="shared" si="6"/>
        <v>0</v>
      </c>
      <c r="AF20" s="55"/>
      <c r="AG20" s="57">
        <f t="shared" si="7"/>
        <v>0</v>
      </c>
      <c r="AH20" s="58">
        <f t="shared" si="8"/>
        <v>1014.52</v>
      </c>
      <c r="AI20" s="58">
        <f t="shared" si="9"/>
        <v>0</v>
      </c>
      <c r="AJ20" s="58">
        <f t="shared" si="10"/>
        <v>0</v>
      </c>
      <c r="AK20" s="58">
        <f t="shared" si="11"/>
        <v>0</v>
      </c>
      <c r="AL20" s="58">
        <f t="array" ref="AL20">_xlfn.IFS(R20=0,AE20,R20&lt;0,AE20/-R20,R20&gt;0,AE20/R20)</f>
        <v>0</v>
      </c>
      <c r="AM20" s="59">
        <f t="shared" si="12"/>
        <v>0</v>
      </c>
      <c r="AN20" s="60">
        <f t="shared" si="13"/>
        <v>0</v>
      </c>
      <c r="AP20" s="62">
        <f t="shared" si="14"/>
        <v>0</v>
      </c>
    </row>
    <row r="21" spans="1:52" ht="13.75" customHeight="1">
      <c r="A21" s="39">
        <v>2807226351</v>
      </c>
      <c r="B21" s="40" t="s">
        <v>233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>
        <f t="shared" si="15"/>
        <v>0</v>
      </c>
      <c r="O21" s="47">
        <f t="shared" si="16"/>
        <v>0</v>
      </c>
      <c r="P21" s="48">
        <f>SUMIFS('Отчет сентябрь'!H:H,'Отчет сентябрь'!D:D,"Выручка",'Отчет сентябрь'!E:E,B21)</f>
        <v>0</v>
      </c>
      <c r="Q21" s="48">
        <f>SUMIFS('Отчет сентябрь'!H:H,'Отчет сентябрь'!D:D,"Возврат выручки",'Отчет сентябрь'!E:E,B21)</f>
        <v>0</v>
      </c>
      <c r="R21" s="49">
        <f t="shared" si="1"/>
        <v>0</v>
      </c>
      <c r="S21" s="50">
        <f>SUMIFS('Отчет сентябрь'!O:O,'Отчет сентябрь'!C:C,"Продажи",'Отчет сентябрь'!E:E,B21)</f>
        <v>0</v>
      </c>
      <c r="T21" s="51">
        <f>SUMIFS('Отчет сентябрь'!O:O,'Отчет сентябрь'!C:C,"Возвраты",'Отчет сентябрь'!E:E,B21)</f>
        <v>0</v>
      </c>
      <c r="U21" s="49">
        <f t="shared" si="2"/>
        <v>0</v>
      </c>
      <c r="V21" s="52">
        <f t="shared" si="3"/>
        <v>0</v>
      </c>
      <c r="W21" s="53">
        <f t="shared" si="4"/>
        <v>0</v>
      </c>
      <c r="X21" s="51">
        <f>-SUMIFS('Отчет сентябрь'!O:O,'Отчет сентябрь'!C:C,"Вознаграждение Ozon",'Отчет сентябрь'!E:E,B21)</f>
        <v>0</v>
      </c>
      <c r="Y21" s="54">
        <f t="shared" si="5"/>
        <v>0</v>
      </c>
      <c r="Z21" s="51">
        <f>-SUMIFS('Отчет сентябрь'!O:O,'Отчет сентябрь'!C:C,"Услуги доставки",'Отчет сентябрь'!E:E,B21)</f>
        <v>0</v>
      </c>
      <c r="AA21" s="41">
        <v>0</v>
      </c>
      <c r="AB21" s="64"/>
      <c r="AC21" s="51"/>
      <c r="AD21" s="55">
        <f>U21*1%</f>
        <v>0</v>
      </c>
      <c r="AE21" s="56">
        <f t="shared" si="6"/>
        <v>0</v>
      </c>
      <c r="AF21" s="55"/>
      <c r="AG21" s="57">
        <f t="shared" si="7"/>
        <v>0</v>
      </c>
      <c r="AH21" s="58">
        <f t="shared" si="8"/>
        <v>1014.52</v>
      </c>
      <c r="AI21" s="58">
        <f t="shared" si="9"/>
        <v>0</v>
      </c>
      <c r="AJ21" s="58">
        <f t="shared" si="10"/>
        <v>0</v>
      </c>
      <c r="AK21" s="58">
        <f t="shared" si="11"/>
        <v>0</v>
      </c>
      <c r="AL21" s="58">
        <f t="array" ref="AL21">_xlfn.IFS(R21=0,AE21,R21&lt;0,AE21/-R21,R21&gt;0,AE21/R21)</f>
        <v>0</v>
      </c>
      <c r="AM21" s="59">
        <f t="shared" si="12"/>
        <v>0</v>
      </c>
      <c r="AN21" s="60">
        <f t="shared" si="13"/>
        <v>0</v>
      </c>
      <c r="AP21" s="62">
        <f t="shared" si="14"/>
        <v>0</v>
      </c>
    </row>
    <row r="22" spans="1:52" ht="13.75" customHeight="1">
      <c r="A22" s="39">
        <v>2807226146</v>
      </c>
      <c r="B22" s="40" t="s">
        <v>234</v>
      </c>
      <c r="C22" s="41"/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>
        <f t="shared" si="15"/>
        <v>0</v>
      </c>
      <c r="O22" s="47">
        <f t="shared" si="16"/>
        <v>0</v>
      </c>
      <c r="P22" s="48">
        <f>SUMIFS('Отчет сентябрь'!H:H,'Отчет сентябрь'!D:D,"Выручка",'Отчет сентябрь'!E:E,B22)</f>
        <v>0</v>
      </c>
      <c r="Q22" s="48">
        <f>SUMIFS('Отчет сентябрь'!H:H,'Отчет сентябрь'!D:D,"Возврат выручки",'Отчет сентябрь'!E:E,B22)</f>
        <v>0</v>
      </c>
      <c r="R22" s="49">
        <f t="shared" si="1"/>
        <v>0</v>
      </c>
      <c r="S22" s="50">
        <f>SUMIFS('Отчет сентябрь'!O:O,'Отчет сентябрь'!C:C,"Продажи",'Отчет сентябрь'!E:E,B22)</f>
        <v>0</v>
      </c>
      <c r="T22" s="51">
        <f>SUMIFS('Отчет сентябрь'!O:O,'Отчет сентябрь'!C:C,"Возвраты",'Отчет сентябрь'!E:E,B22)</f>
        <v>0</v>
      </c>
      <c r="U22" s="49">
        <f t="shared" si="2"/>
        <v>0</v>
      </c>
      <c r="V22" s="52">
        <f t="shared" si="3"/>
        <v>0</v>
      </c>
      <c r="W22" s="53">
        <f t="shared" si="4"/>
        <v>0</v>
      </c>
      <c r="X22" s="51">
        <f>-SUMIFS('Отчет сентябрь'!O:O,'Отчет сентябрь'!C:C,"Вознаграждение Ozon",'Отчет сентябрь'!E:E,B22)</f>
        <v>0</v>
      </c>
      <c r="Y22" s="54">
        <f t="shared" si="5"/>
        <v>0</v>
      </c>
      <c r="Z22" s="51">
        <f>-SUMIFS('Отчет сентябрь'!O:O,'Отчет сентябрь'!C:C,"Услуги доставки",'Отчет сентябрь'!E:E,B22)</f>
        <v>0</v>
      </c>
      <c r="AA22" s="41">
        <v>0</v>
      </c>
      <c r="AB22" s="64"/>
      <c r="AC22" s="51"/>
      <c r="AD22" s="55">
        <f>U22*1%</f>
        <v>0</v>
      </c>
      <c r="AE22" s="56">
        <f t="shared" si="6"/>
        <v>0</v>
      </c>
      <c r="AF22" s="55"/>
      <c r="AG22" s="57">
        <f t="shared" si="7"/>
        <v>0</v>
      </c>
      <c r="AH22" s="58">
        <f t="shared" si="8"/>
        <v>991.12</v>
      </c>
      <c r="AI22" s="58">
        <f t="shared" si="9"/>
        <v>0</v>
      </c>
      <c r="AJ22" s="58">
        <f t="shared" si="10"/>
        <v>0</v>
      </c>
      <c r="AK22" s="58">
        <f t="shared" si="11"/>
        <v>0</v>
      </c>
      <c r="AL22" s="58">
        <f t="array" ref="AL22">_xlfn.IFS(R22=0,AE22,R22&lt;0,AE22/-R22,R22&gt;0,AE22/R22)</f>
        <v>0</v>
      </c>
      <c r="AM22" s="59">
        <f t="shared" si="12"/>
        <v>0</v>
      </c>
      <c r="AN22" s="60">
        <f t="shared" si="13"/>
        <v>0</v>
      </c>
      <c r="AP22" s="62">
        <f t="shared" si="14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7">AVERAGEIF(AG3:AG22,"&lt;&gt;0",AG3:AG22)</f>
        <v>1383.5934393964244</v>
      </c>
      <c r="AH23" s="247">
        <f t="shared" si="17"/>
        <v>480.36400000000003</v>
      </c>
      <c r="AI23" s="247">
        <f t="shared" si="17"/>
        <v>320.78367393800232</v>
      </c>
      <c r="AJ23" s="247">
        <f t="shared" si="17"/>
        <v>119.87454212454213</v>
      </c>
      <c r="AK23" s="247">
        <f t="shared" si="17"/>
        <v>1238.7548466108392</v>
      </c>
      <c r="AL23" s="247">
        <f t="shared" si="17"/>
        <v>-631.84982672009141</v>
      </c>
      <c r="AM23" s="249">
        <f t="shared" si="17"/>
        <v>-0.10190296148277425</v>
      </c>
      <c r="AN23" s="249">
        <f t="shared" si="17"/>
        <v>-0.9189702080729204</v>
      </c>
      <c r="AO23" s="240"/>
      <c r="AP23" s="241"/>
    </row>
    <row r="24" spans="1:52">
      <c r="A24" s="216" t="s">
        <v>305</v>
      </c>
      <c r="B24" s="209"/>
      <c r="C24" s="217">
        <f>SUM(C3:C22)</f>
        <v>0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0</v>
      </c>
      <c r="J24" s="212"/>
      <c r="K24" s="217">
        <f>SUM(K3:K22)</f>
        <v>197</v>
      </c>
      <c r="L24" s="212"/>
      <c r="M24" s="212"/>
      <c r="N24" s="213"/>
      <c r="O24" s="214"/>
      <c r="P24" s="217">
        <f>SUM(P3:P22)</f>
        <v>108</v>
      </c>
      <c r="Q24" s="217">
        <f t="shared" ref="Q24:AE24" si="18">SUM(Q3:Q22)</f>
        <v>5</v>
      </c>
      <c r="R24" s="217">
        <f t="shared" si="18"/>
        <v>113</v>
      </c>
      <c r="S24" s="237">
        <f>SUM(S3:S22)</f>
        <v>139999.99999999997</v>
      </c>
      <c r="T24" s="217">
        <f t="shared" si="18"/>
        <v>-6668</v>
      </c>
      <c r="U24" s="217">
        <f t="shared" si="18"/>
        <v>133331.99999999997</v>
      </c>
      <c r="V24" s="256">
        <f t="shared" si="18"/>
        <v>0.80963311108682201</v>
      </c>
      <c r="W24" s="217">
        <f t="shared" si="18"/>
        <v>17238.88</v>
      </c>
      <c r="X24" s="217">
        <f t="shared" si="18"/>
        <v>28418.520000000011</v>
      </c>
      <c r="Y24" s="215">
        <f>IF(U24=0,0,X24/U24)</f>
        <v>0.21314103141031424</v>
      </c>
      <c r="Z24" s="217">
        <f t="shared" si="18"/>
        <v>10852</v>
      </c>
      <c r="AA24" s="217">
        <f>IFERROR(P24*AA49/P49,0)</f>
        <v>94178.709152542389</v>
      </c>
      <c r="AB24" s="217">
        <f t="shared" si="18"/>
        <v>0</v>
      </c>
      <c r="AC24" s="217">
        <f t="shared" si="18"/>
        <v>0</v>
      </c>
      <c r="AD24" s="238">
        <f t="shared" si="18"/>
        <v>1333.3199999999995</v>
      </c>
      <c r="AE24" s="239">
        <f t="shared" si="18"/>
        <v>4709.0755319999444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0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70780.204467999996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/>
      <c r="D26" s="42"/>
      <c r="E26" s="42"/>
      <c r="F26" s="42"/>
      <c r="G26" s="43"/>
      <c r="H26" s="65">
        <v>672</v>
      </c>
      <c r="I26" s="63">
        <f t="shared" ref="I26:I45" si="19">C26*H26</f>
        <v>0</v>
      </c>
      <c r="J26" s="45"/>
      <c r="K26" s="41">
        <v>0</v>
      </c>
      <c r="L26" s="45"/>
      <c r="M26" s="45"/>
      <c r="N26" s="46">
        <f t="shared" ref="N26" si="20">K26/30</f>
        <v>0</v>
      </c>
      <c r="O26" s="47">
        <f t="shared" ref="O26" si="21">R26/30</f>
        <v>0</v>
      </c>
      <c r="P26" s="48">
        <f>SUMIFS('Отчет сентябрь'!H:H,'Отчет сентябрь'!D:D,"Выручка",'Отчет сентябрь'!E:E,B26)</f>
        <v>0</v>
      </c>
      <c r="Q26" s="48">
        <f>SUMIFS('Отчет сентябрь'!H:H,'Отчет сентябрь'!D:D,"Возврат выручки",'Отчет сентябрь'!E:E,B26)</f>
        <v>0</v>
      </c>
      <c r="R26" s="49">
        <f t="shared" ref="R26:R45" si="22">P26+Q26</f>
        <v>0</v>
      </c>
      <c r="S26" s="50">
        <f>SUMIFS('Отчет сентябрь'!O:O,'Отчет сентябрь'!C:C,"Продажи",'Отчет сентябрь'!E:E,B26)</f>
        <v>0</v>
      </c>
      <c r="T26" s="51">
        <f>SUMIFS('Отчет сентябрь'!O:O,'Отчет сентябрь'!C:C,"Возвраты",'Отчет сентябрь'!E:E,B26)</f>
        <v>0</v>
      </c>
      <c r="U26" s="49">
        <f t="shared" ref="U26:U45" si="23">S26+T26</f>
        <v>0</v>
      </c>
      <c r="V26" s="52">
        <f t="shared" ref="V26:V45" si="24">U26/$U$49</f>
        <v>0</v>
      </c>
      <c r="W26" s="53">
        <f t="shared" ref="W26:W45" si="25">R26*H26</f>
        <v>0</v>
      </c>
      <c r="X26" s="51">
        <f>-SUMIFS('Отчет сентябрь'!O:O,'Отчет сентябрь'!C:C,"Вознаграждение Ozon",'Отчет сентябрь'!E:E,B26)</f>
        <v>0</v>
      </c>
      <c r="Y26" s="54">
        <f t="shared" ref="Y26:Y45" si="26">IF(U26=0,0,X26/U26)</f>
        <v>0</v>
      </c>
      <c r="Z26" s="51">
        <f>-SUMIFS('Отчет сентябрь'!O:O,'Отчет сентябрь'!C:C,"Услуги доставки",'Отчет сентябрь'!E:E,B26)</f>
        <v>0</v>
      </c>
      <c r="AA26" s="41">
        <v>0</v>
      </c>
      <c r="AB26" s="64"/>
      <c r="AC26" s="51"/>
      <c r="AD26" s="55">
        <f>U26*1%</f>
        <v>0</v>
      </c>
      <c r="AE26" s="56">
        <f t="shared" ref="AE26:AE45" si="27">U26-W26-X26-Z26-AA26-AB26-AC26-AD26</f>
        <v>0</v>
      </c>
      <c r="AF26" s="55"/>
      <c r="AG26" s="57">
        <f t="shared" ref="AG26:AG45" si="28">IF(R26=0,0,U26/R26)</f>
        <v>0</v>
      </c>
      <c r="AH26" s="58">
        <f t="shared" ref="AH26:AH45" si="29">H26</f>
        <v>672</v>
      </c>
      <c r="AI26" s="58">
        <f t="shared" ref="AI26:AI45" si="30">IF(R26=0,0,X26/R26)</f>
        <v>0</v>
      </c>
      <c r="AJ26" s="58">
        <f t="shared" ref="AJ26:AJ45" si="31">IF(P26=0,Z26/1,Z26/P26)</f>
        <v>0</v>
      </c>
      <c r="AK26" s="58">
        <f t="shared" ref="AK26:AK45" si="32">IF(P26=0,0,AA26/P26)</f>
        <v>0</v>
      </c>
      <c r="AL26" s="58">
        <f t="array" ref="AL26">_xlfn.IFS(R26=0,AE26,R26&lt;0,AE26/-R26,R26&gt;0,AE26/R26)</f>
        <v>0</v>
      </c>
      <c r="AM26" s="59">
        <f t="shared" ref="AM26:AM45" si="33">IF(AG26=0,0,AL26/AG26)</f>
        <v>0</v>
      </c>
      <c r="AN26" s="60">
        <f t="shared" ref="AN26:AN45" si="34">IF(AH26=0,0,AL26/AH26)</f>
        <v>0</v>
      </c>
      <c r="AP26" s="62">
        <f t="shared" ref="AP26:AP45" si="35">AL26*C26</f>
        <v>0</v>
      </c>
    </row>
    <row r="27" spans="1:52">
      <c r="A27" s="39">
        <v>2774708622</v>
      </c>
      <c r="B27" s="40" t="s">
        <v>43</v>
      </c>
      <c r="C27" s="41"/>
      <c r="D27" s="42"/>
      <c r="E27" s="42"/>
      <c r="F27" s="42"/>
      <c r="G27" s="43"/>
      <c r="H27" s="65">
        <v>627</v>
      </c>
      <c r="I27" s="63">
        <f t="shared" si="19"/>
        <v>0</v>
      </c>
      <c r="J27" s="45"/>
      <c r="K27" s="41">
        <v>3</v>
      </c>
      <c r="L27" s="45"/>
      <c r="M27" s="45"/>
      <c r="N27" s="46">
        <f t="shared" ref="N27:N45" si="36">K27/30</f>
        <v>0.1</v>
      </c>
      <c r="O27" s="47">
        <f t="shared" ref="O27:O45" si="37">R27/30</f>
        <v>3.3333333333333333E-2</v>
      </c>
      <c r="P27" s="48">
        <f>SUMIFS('Отчет сентябрь'!H:H,'Отчет сентябрь'!D:D,"Выручка",'Отчет сентябрь'!E:E,B27)</f>
        <v>1</v>
      </c>
      <c r="Q27" s="48">
        <f>SUMIFS('Отчет сентябрь'!H:H,'Отчет сентябрь'!D:D,"Возврат выручки",'Отчет сентябрь'!E:E,B27)</f>
        <v>0</v>
      </c>
      <c r="R27" s="49">
        <f t="shared" si="22"/>
        <v>1</v>
      </c>
      <c r="S27" s="50">
        <f>SUMIFS('Отчет сентябрь'!O:O,'Отчет сентябрь'!C:C,"Продажи",'Отчет сентябрь'!E:E,B27)</f>
        <v>2900</v>
      </c>
      <c r="T27" s="51">
        <f>SUMIFS('Отчет сентябрь'!O:O,'Отчет сентябрь'!C:C,"Возвраты",'Отчет сентябрь'!E:E,B27)</f>
        <v>0</v>
      </c>
      <c r="U27" s="49">
        <f t="shared" si="23"/>
        <v>2900</v>
      </c>
      <c r="V27" s="52">
        <f t="shared" si="24"/>
        <v>1.7609696263101011E-2</v>
      </c>
      <c r="W27" s="53">
        <f t="shared" si="25"/>
        <v>627</v>
      </c>
      <c r="X27" s="51">
        <f>-SUMIFS('Отчет сентябрь'!O:O,'Отчет сентябрь'!C:C,"Вознаграждение Ozon",'Отчет сентябрь'!E:E,B27)</f>
        <v>522</v>
      </c>
      <c r="Y27" s="54">
        <f t="shared" si="26"/>
        <v>0.18</v>
      </c>
      <c r="Z27" s="51">
        <f>-SUMIFS('Отчет сентябрь'!O:O,'Отчет сентябрь'!C:C,"Услуги доставки",'Отчет сентябрь'!E:E,B27)</f>
        <v>280</v>
      </c>
      <c r="AA27" s="41">
        <v>3446.1913</v>
      </c>
      <c r="AB27" s="64"/>
      <c r="AC27" s="51"/>
      <c r="AD27" s="55">
        <f>U27*1%</f>
        <v>29</v>
      </c>
      <c r="AE27" s="56">
        <f>U27-W27-X27-Z27-AA27-AB27-AC27-AD27</f>
        <v>-2004.1913</v>
      </c>
      <c r="AF27" s="55"/>
      <c r="AG27" s="57">
        <f t="shared" si="28"/>
        <v>2900</v>
      </c>
      <c r="AH27" s="58">
        <f t="shared" si="29"/>
        <v>627</v>
      </c>
      <c r="AI27" s="58">
        <f t="shared" si="30"/>
        <v>522</v>
      </c>
      <c r="AJ27" s="58">
        <f t="shared" si="31"/>
        <v>280</v>
      </c>
      <c r="AK27" s="58">
        <f t="shared" si="32"/>
        <v>3446.1913</v>
      </c>
      <c r="AL27" s="58">
        <f t="array" ref="AL27">_xlfn.IFS(R27=0,AE27,R27&lt;0,AE27/-R27,R27&gt;0,AE27/R27)</f>
        <v>-2004.1913</v>
      </c>
      <c r="AM27" s="59">
        <f t="shared" si="33"/>
        <v>-0.69110044827586203</v>
      </c>
      <c r="AN27" s="60">
        <f t="shared" si="34"/>
        <v>-3.1964773524720891</v>
      </c>
      <c r="AP27" s="62">
        <f t="shared" si="35"/>
        <v>0</v>
      </c>
    </row>
    <row r="28" spans="1:52">
      <c r="A28" s="39">
        <v>2774709606</v>
      </c>
      <c r="B28" s="40" t="s">
        <v>235</v>
      </c>
      <c r="C28" s="41"/>
      <c r="D28" s="42"/>
      <c r="E28" s="42"/>
      <c r="F28" s="42"/>
      <c r="G28" s="43"/>
      <c r="H28" s="65">
        <v>627</v>
      </c>
      <c r="I28" s="63">
        <f t="shared" si="19"/>
        <v>0</v>
      </c>
      <c r="J28" s="45"/>
      <c r="K28" s="41">
        <v>2</v>
      </c>
      <c r="L28" s="45"/>
      <c r="M28" s="45"/>
      <c r="N28" s="46">
        <f t="shared" si="36"/>
        <v>6.6666666666666666E-2</v>
      </c>
      <c r="O28" s="47">
        <f t="shared" si="37"/>
        <v>6.6666666666666666E-2</v>
      </c>
      <c r="P28" s="48">
        <f>SUMIFS('Отчет сентябрь'!H:H,'Отчет сентябрь'!D:D,"Выручка",'Отчет сентябрь'!E:E,B28)</f>
        <v>1</v>
      </c>
      <c r="Q28" s="48">
        <f>SUMIFS('Отчет сентябрь'!H:H,'Отчет сентябрь'!D:D,"Возврат выручки",'Отчет сентябрь'!E:E,B28)</f>
        <v>1</v>
      </c>
      <c r="R28" s="49">
        <f t="shared" si="22"/>
        <v>2</v>
      </c>
      <c r="S28" s="50">
        <f>SUMIFS('Отчет сентябрь'!O:O,'Отчет сентябрь'!C:C,"Продажи",'Отчет сентябрь'!E:E,B28)</f>
        <v>3690</v>
      </c>
      <c r="T28" s="51">
        <f>SUMIFS('Отчет сентябрь'!O:O,'Отчет сентябрь'!C:C,"Возвраты",'Отчет сентябрь'!E:E,B28)</f>
        <v>-3690</v>
      </c>
      <c r="U28" s="49">
        <f t="shared" si="23"/>
        <v>0</v>
      </c>
      <c r="V28" s="52">
        <f t="shared" si="24"/>
        <v>0</v>
      </c>
      <c r="W28" s="53">
        <f t="shared" si="25"/>
        <v>1254</v>
      </c>
      <c r="X28" s="51">
        <f>-SUMIFS('Отчет сентябрь'!O:O,'Отчет сентябрь'!C:C,"Вознаграждение Ozon",'Отчет сентябрь'!E:E,B28)</f>
        <v>0</v>
      </c>
      <c r="Y28" s="54">
        <f t="shared" si="26"/>
        <v>0</v>
      </c>
      <c r="Z28" s="51">
        <f>-SUMIFS('Отчет сентябрь'!O:O,'Отчет сентябрь'!C:C,"Услуги доставки",'Отчет сентябрь'!E:E,B28)</f>
        <v>224</v>
      </c>
      <c r="AA28" s="41">
        <v>0</v>
      </c>
      <c r="AB28" s="64"/>
      <c r="AC28" s="51"/>
      <c r="AD28" s="55">
        <f>U28*1%</f>
        <v>0</v>
      </c>
      <c r="AE28" s="56">
        <f t="shared" si="27"/>
        <v>-1478</v>
      </c>
      <c r="AF28" s="55"/>
      <c r="AG28" s="57">
        <f t="shared" si="28"/>
        <v>0</v>
      </c>
      <c r="AH28" s="58">
        <f t="shared" si="29"/>
        <v>627</v>
      </c>
      <c r="AI28" s="58">
        <f t="shared" si="30"/>
        <v>0</v>
      </c>
      <c r="AJ28" s="58">
        <f t="shared" si="31"/>
        <v>224</v>
      </c>
      <c r="AK28" s="58">
        <f t="shared" si="32"/>
        <v>0</v>
      </c>
      <c r="AL28" s="58">
        <f t="array" ref="AL28">_xlfn.IFS(R28=0,AE28,R28&lt;0,AE28/-R28,R28&gt;0,AE28/R28)</f>
        <v>-739</v>
      </c>
      <c r="AM28" s="59">
        <f t="shared" si="33"/>
        <v>0</v>
      </c>
      <c r="AN28" s="60">
        <f t="shared" si="34"/>
        <v>-1.1786283891547049</v>
      </c>
      <c r="AP28" s="62">
        <f t="shared" si="35"/>
        <v>0</v>
      </c>
    </row>
    <row r="29" spans="1:52">
      <c r="A29" s="39">
        <v>2774720465</v>
      </c>
      <c r="B29" s="40" t="s">
        <v>171</v>
      </c>
      <c r="C29" s="41"/>
      <c r="D29" s="42"/>
      <c r="E29" s="42"/>
      <c r="F29" s="42"/>
      <c r="G29" s="43"/>
      <c r="H29" s="65">
        <v>567</v>
      </c>
      <c r="I29" s="63">
        <f t="shared" si="19"/>
        <v>0</v>
      </c>
      <c r="J29" s="45"/>
      <c r="K29" s="41">
        <v>4</v>
      </c>
      <c r="L29" s="45"/>
      <c r="M29" s="45"/>
      <c r="N29" s="46">
        <f t="shared" si="36"/>
        <v>0.13333333333333333</v>
      </c>
      <c r="O29" s="47">
        <f t="shared" si="37"/>
        <v>3.3333333333333333E-2</v>
      </c>
      <c r="P29" s="48">
        <f>SUMIFS('Отчет сентябрь'!H:H,'Отчет сентябрь'!D:D,"Выручка",'Отчет сентябрь'!E:E,B29)</f>
        <v>1</v>
      </c>
      <c r="Q29" s="48">
        <f>SUMIFS('Отчет сентябрь'!H:H,'Отчет сентябрь'!D:D,"Возврат выручки",'Отчет сентябрь'!E:E,B29)</f>
        <v>0</v>
      </c>
      <c r="R29" s="49">
        <f t="shared" si="22"/>
        <v>1</v>
      </c>
      <c r="S29" s="50">
        <f>SUMIFS('Отчет сентябрь'!O:O,'Отчет сентябрь'!C:C,"Продажи",'Отчет сентябрь'!E:E,B29)</f>
        <v>3400</v>
      </c>
      <c r="T29" s="51">
        <f>SUMIFS('Отчет сентябрь'!O:O,'Отчет сентябрь'!C:C,"Возвраты",'Отчет сентябрь'!E:E,B29)</f>
        <v>0</v>
      </c>
      <c r="U29" s="49">
        <f t="shared" si="23"/>
        <v>3400</v>
      </c>
      <c r="V29" s="52">
        <f t="shared" si="24"/>
        <v>2.0645850791221873E-2</v>
      </c>
      <c r="W29" s="53">
        <f t="shared" si="25"/>
        <v>567</v>
      </c>
      <c r="X29" s="51">
        <f>-SUMIFS('Отчет сентябрь'!O:O,'Отчет сентябрь'!C:C,"Вознаграждение Ozon",'Отчет сентябрь'!E:E,B29)</f>
        <v>816</v>
      </c>
      <c r="Y29" s="54">
        <f t="shared" si="26"/>
        <v>0.24</v>
      </c>
      <c r="Z29" s="51">
        <f>-SUMIFS('Отчет сентябрь'!O:O,'Отчет сентябрь'!C:C,"Услуги доставки",'Отчет сентябрь'!E:E,B29)</f>
        <v>280</v>
      </c>
      <c r="AA29" s="41">
        <v>3605.3661149999998</v>
      </c>
      <c r="AB29" s="64"/>
      <c r="AC29" s="51"/>
      <c r="AD29" s="55">
        <f>U29*1%</f>
        <v>34</v>
      </c>
      <c r="AE29" s="56">
        <f t="shared" si="27"/>
        <v>-1902.3661149999998</v>
      </c>
      <c r="AF29" s="55"/>
      <c r="AG29" s="57">
        <f t="shared" si="28"/>
        <v>3400</v>
      </c>
      <c r="AH29" s="58">
        <f t="shared" si="29"/>
        <v>567</v>
      </c>
      <c r="AI29" s="58">
        <f t="shared" si="30"/>
        <v>816</v>
      </c>
      <c r="AJ29" s="58">
        <f t="shared" si="31"/>
        <v>280</v>
      </c>
      <c r="AK29" s="58">
        <f t="shared" si="32"/>
        <v>3605.3661149999998</v>
      </c>
      <c r="AL29" s="58">
        <f t="array" ref="AL29">_xlfn.IFS(R29=0,AE29,R29&lt;0,AE29/-R29,R29&gt;0,AE29/R29)</f>
        <v>-1902.3661149999998</v>
      </c>
      <c r="AM29" s="59">
        <f t="shared" si="33"/>
        <v>-0.55951944558823519</v>
      </c>
      <c r="AN29" s="60">
        <f t="shared" si="34"/>
        <v>-3.3551430599647265</v>
      </c>
      <c r="AP29" s="62">
        <f t="shared" si="35"/>
        <v>0</v>
      </c>
    </row>
    <row r="30" spans="1:52">
      <c r="A30" s="39">
        <v>2774718470</v>
      </c>
      <c r="B30" s="40" t="s">
        <v>39</v>
      </c>
      <c r="C30" s="41"/>
      <c r="D30" s="42"/>
      <c r="E30" s="42"/>
      <c r="F30" s="42"/>
      <c r="G30" s="43"/>
      <c r="H30" s="65">
        <v>567</v>
      </c>
      <c r="I30" s="63">
        <f t="shared" si="19"/>
        <v>0</v>
      </c>
      <c r="J30" s="45"/>
      <c r="K30" s="41">
        <v>1</v>
      </c>
      <c r="L30" s="45"/>
      <c r="M30" s="45"/>
      <c r="N30" s="46">
        <f t="shared" si="36"/>
        <v>3.3333333333333333E-2</v>
      </c>
      <c r="O30" s="47">
        <f t="shared" si="37"/>
        <v>0</v>
      </c>
      <c r="P30" s="48">
        <f>SUMIFS('Отчет сентябрь'!H:H,'Отчет сентябрь'!D:D,"Выручка",'Отчет сентябрь'!E:E,B30)</f>
        <v>0</v>
      </c>
      <c r="Q30" s="48">
        <f>SUMIFS('Отчет сентябрь'!H:H,'Отчет сентябрь'!D:D,"Возврат выручки",'Отчет сентябрь'!E:E,B30)</f>
        <v>0</v>
      </c>
      <c r="R30" s="49">
        <f t="shared" si="22"/>
        <v>0</v>
      </c>
      <c r="S30" s="50">
        <f>SUMIFS('Отчет сентябрь'!O:O,'Отчет сентябрь'!C:C,"Продажи",'Отчет сентябрь'!E:E,B30)</f>
        <v>0</v>
      </c>
      <c r="T30" s="51">
        <f>SUMIFS('Отчет сентябрь'!O:O,'Отчет сентябрь'!C:C,"Возвраты",'Отчет сентябрь'!E:E,B30)</f>
        <v>0</v>
      </c>
      <c r="U30" s="49">
        <f t="shared" si="23"/>
        <v>0</v>
      </c>
      <c r="V30" s="52">
        <f t="shared" si="24"/>
        <v>0</v>
      </c>
      <c r="W30" s="53">
        <f t="shared" si="25"/>
        <v>0</v>
      </c>
      <c r="X30" s="51">
        <f>-SUMIFS('Отчет сентябрь'!O:O,'Отчет сентябрь'!C:C,"Вознаграждение Ozon",'Отчет сентябрь'!E:E,B30)</f>
        <v>0</v>
      </c>
      <c r="Y30" s="54">
        <f t="shared" si="26"/>
        <v>0</v>
      </c>
      <c r="Z30" s="51">
        <f>-SUMIFS('Отчет сентябрь'!O:O,'Отчет сентябрь'!C:C,"Услуги доставки",'Отчет сентябрь'!E:E,B30)</f>
        <v>112</v>
      </c>
      <c r="AA30" s="41">
        <v>0</v>
      </c>
      <c r="AB30" s="64"/>
      <c r="AC30" s="51"/>
      <c r="AD30" s="55">
        <f>U30*1%</f>
        <v>0</v>
      </c>
      <c r="AE30" s="56">
        <f t="shared" si="27"/>
        <v>-112</v>
      </c>
      <c r="AF30" s="55"/>
      <c r="AG30" s="57">
        <f t="shared" si="28"/>
        <v>0</v>
      </c>
      <c r="AH30" s="58">
        <f t="shared" si="29"/>
        <v>567</v>
      </c>
      <c r="AI30" s="58">
        <f t="shared" si="30"/>
        <v>0</v>
      </c>
      <c r="AJ30" s="58">
        <f t="shared" si="31"/>
        <v>112</v>
      </c>
      <c r="AK30" s="58">
        <f t="shared" si="32"/>
        <v>0</v>
      </c>
      <c r="AL30" s="58">
        <f t="array" ref="AL30">_xlfn.IFS(R30=0,AE30,R30&lt;0,AE30/-R30,R30&gt;0,AE30/R30)</f>
        <v>-112</v>
      </c>
      <c r="AM30" s="59">
        <f t="shared" si="33"/>
        <v>0</v>
      </c>
      <c r="AN30" s="60">
        <f t="shared" si="34"/>
        <v>-0.19753086419753085</v>
      </c>
      <c r="AP30" s="62">
        <f t="shared" si="35"/>
        <v>0</v>
      </c>
    </row>
    <row r="31" spans="1:52">
      <c r="A31" s="39">
        <v>2774719022</v>
      </c>
      <c r="B31" s="40" t="s">
        <v>236</v>
      </c>
      <c r="C31" s="41"/>
      <c r="D31" s="42"/>
      <c r="E31" s="42"/>
      <c r="F31" s="42"/>
      <c r="G31" s="43"/>
      <c r="H31" s="65">
        <v>657</v>
      </c>
      <c r="I31" s="63">
        <f t="shared" si="19"/>
        <v>0</v>
      </c>
      <c r="J31" s="45"/>
      <c r="K31" s="41">
        <v>0</v>
      </c>
      <c r="L31" s="45"/>
      <c r="M31" s="45"/>
      <c r="N31" s="46">
        <f t="shared" si="36"/>
        <v>0</v>
      </c>
      <c r="O31" s="47">
        <f t="shared" si="37"/>
        <v>0</v>
      </c>
      <c r="P31" s="48">
        <f>SUMIFS('Отчет сентябрь'!H:H,'Отчет сентябрь'!D:D,"Выручка",'Отчет сентябрь'!E:E,B31)</f>
        <v>0</v>
      </c>
      <c r="Q31" s="48">
        <f>SUMIFS('Отчет сентябрь'!H:H,'Отчет сентябрь'!D:D,"Возврат выручки",'Отчет сентябрь'!E:E,B31)</f>
        <v>0</v>
      </c>
      <c r="R31" s="49">
        <f t="shared" si="22"/>
        <v>0</v>
      </c>
      <c r="S31" s="50">
        <f>SUMIFS('Отчет сентябрь'!O:O,'Отчет сентябрь'!C:C,"Продажи",'Отчет сентябрь'!E:E,B31)</f>
        <v>0</v>
      </c>
      <c r="T31" s="51">
        <f>SUMIFS('Отчет сентябрь'!O:O,'Отчет сентябрь'!C:C,"Возвраты",'Отчет сентябрь'!E:E,B31)</f>
        <v>0</v>
      </c>
      <c r="U31" s="49">
        <f t="shared" si="23"/>
        <v>0</v>
      </c>
      <c r="V31" s="52">
        <f t="shared" si="24"/>
        <v>0</v>
      </c>
      <c r="W31" s="53">
        <f t="shared" si="25"/>
        <v>0</v>
      </c>
      <c r="X31" s="51">
        <f>-SUMIFS('Отчет сентябрь'!O:O,'Отчет сентябрь'!C:C,"Вознаграждение Ozon",'Отчет сентябрь'!E:E,B31)</f>
        <v>0</v>
      </c>
      <c r="Y31" s="54">
        <f t="shared" si="26"/>
        <v>0</v>
      </c>
      <c r="Z31" s="51">
        <f>-SUMIFS('Отчет сентябрь'!O:O,'Отчет сентябрь'!C:C,"Услуги доставки",'Отчет сентябрь'!E:E,B31)</f>
        <v>0</v>
      </c>
      <c r="AA31" s="41">
        <v>0</v>
      </c>
      <c r="AB31" s="64"/>
      <c r="AC31" s="51"/>
      <c r="AD31" s="55">
        <f>U31*1%</f>
        <v>0</v>
      </c>
      <c r="AE31" s="56">
        <f t="shared" si="27"/>
        <v>0</v>
      </c>
      <c r="AF31" s="55"/>
      <c r="AG31" s="57">
        <f t="shared" si="28"/>
        <v>0</v>
      </c>
      <c r="AH31" s="58">
        <f t="shared" si="29"/>
        <v>657</v>
      </c>
      <c r="AI31" s="58">
        <f t="shared" si="30"/>
        <v>0</v>
      </c>
      <c r="AJ31" s="58">
        <f t="shared" si="31"/>
        <v>0</v>
      </c>
      <c r="AK31" s="58">
        <f t="shared" si="32"/>
        <v>0</v>
      </c>
      <c r="AL31" s="58">
        <f t="array" ref="AL31">_xlfn.IFS(R31=0,AE31,R31&lt;0,AE31/-R31,R31&gt;0,AE31/R31)</f>
        <v>0</v>
      </c>
      <c r="AM31" s="59">
        <f t="shared" si="33"/>
        <v>0</v>
      </c>
      <c r="AN31" s="60">
        <f t="shared" si="34"/>
        <v>0</v>
      </c>
      <c r="AP31" s="62">
        <f t="shared" si="35"/>
        <v>0</v>
      </c>
    </row>
    <row r="32" spans="1:52">
      <c r="A32" s="39">
        <v>2774719501</v>
      </c>
      <c r="B32" s="40" t="s">
        <v>237</v>
      </c>
      <c r="C32" s="41"/>
      <c r="D32" s="42"/>
      <c r="E32" s="42"/>
      <c r="F32" s="42"/>
      <c r="G32" s="43"/>
      <c r="H32" s="65">
        <v>597</v>
      </c>
      <c r="I32" s="63">
        <f t="shared" si="19"/>
        <v>0</v>
      </c>
      <c r="J32" s="45"/>
      <c r="K32" s="41">
        <v>1</v>
      </c>
      <c r="L32" s="45"/>
      <c r="M32" s="45"/>
      <c r="N32" s="46">
        <f t="shared" si="36"/>
        <v>3.3333333333333333E-2</v>
      </c>
      <c r="O32" s="47">
        <f t="shared" si="37"/>
        <v>0</v>
      </c>
      <c r="P32" s="48">
        <f>SUMIFS('Отчет сентябрь'!H:H,'Отчет сентябрь'!D:D,"Выручка",'Отчет сентябрь'!E:E,B32)</f>
        <v>0</v>
      </c>
      <c r="Q32" s="48">
        <f>SUMIFS('Отчет сентябрь'!H:H,'Отчет сентябрь'!D:D,"Возврат выручки",'Отчет сентябрь'!E:E,B32)</f>
        <v>0</v>
      </c>
      <c r="R32" s="49">
        <f t="shared" si="22"/>
        <v>0</v>
      </c>
      <c r="S32" s="50">
        <f>SUMIFS('Отчет сентябрь'!O:O,'Отчет сентябрь'!C:C,"Продажи",'Отчет сентябрь'!E:E,B32)</f>
        <v>0</v>
      </c>
      <c r="T32" s="51">
        <f>SUMIFS('Отчет сентябрь'!O:O,'Отчет сентябрь'!C:C,"Возвраты",'Отчет сентябрь'!E:E,B32)</f>
        <v>0</v>
      </c>
      <c r="U32" s="49">
        <f t="shared" si="23"/>
        <v>0</v>
      </c>
      <c r="V32" s="52">
        <f t="shared" si="24"/>
        <v>0</v>
      </c>
      <c r="W32" s="53">
        <f t="shared" si="25"/>
        <v>0</v>
      </c>
      <c r="X32" s="51">
        <f>-SUMIFS('Отчет сентябрь'!O:O,'Отчет сентябрь'!C:C,"Вознаграждение Ozon",'Отчет сентябрь'!E:E,B32)</f>
        <v>0</v>
      </c>
      <c r="Y32" s="54">
        <f t="shared" si="26"/>
        <v>0</v>
      </c>
      <c r="Z32" s="51">
        <f>-SUMIFS('Отчет сентябрь'!O:O,'Отчет сентябрь'!C:C,"Услуги доставки",'Отчет сентябрь'!E:E,B32)</f>
        <v>0</v>
      </c>
      <c r="AA32" s="41">
        <v>0</v>
      </c>
      <c r="AB32" s="64"/>
      <c r="AC32" s="51"/>
      <c r="AD32" s="55">
        <f>U32*1%</f>
        <v>0</v>
      </c>
      <c r="AE32" s="56">
        <f t="shared" si="27"/>
        <v>0</v>
      </c>
      <c r="AF32" s="55"/>
      <c r="AG32" s="57">
        <f t="shared" si="28"/>
        <v>0</v>
      </c>
      <c r="AH32" s="58">
        <f t="shared" si="29"/>
        <v>597</v>
      </c>
      <c r="AI32" s="58">
        <f t="shared" si="30"/>
        <v>0</v>
      </c>
      <c r="AJ32" s="58">
        <f t="shared" si="31"/>
        <v>0</v>
      </c>
      <c r="AK32" s="58">
        <f t="shared" si="32"/>
        <v>0</v>
      </c>
      <c r="AL32" s="58">
        <f t="array" ref="AL32">_xlfn.IFS(R32=0,AE32,R32&lt;0,AE32/-R32,R32&gt;0,AE32/R32)</f>
        <v>0</v>
      </c>
      <c r="AM32" s="59">
        <f t="shared" si="33"/>
        <v>0</v>
      </c>
      <c r="AN32" s="60">
        <f t="shared" si="34"/>
        <v>0</v>
      </c>
      <c r="AP32" s="62">
        <f t="shared" si="35"/>
        <v>0</v>
      </c>
    </row>
    <row r="33" spans="1:42">
      <c r="A33" s="39">
        <v>2774714412</v>
      </c>
      <c r="B33" s="40" t="s">
        <v>142</v>
      </c>
      <c r="C33" s="41"/>
      <c r="D33" s="42"/>
      <c r="E33" s="42"/>
      <c r="F33" s="42"/>
      <c r="G33" s="43"/>
      <c r="H33" s="65">
        <v>552</v>
      </c>
      <c r="I33" s="63">
        <f t="shared" si="19"/>
        <v>0</v>
      </c>
      <c r="J33" s="45"/>
      <c r="K33" s="41">
        <v>0</v>
      </c>
      <c r="L33" s="45"/>
      <c r="M33" s="45"/>
      <c r="N33" s="46">
        <f t="shared" si="36"/>
        <v>0</v>
      </c>
      <c r="O33" s="47">
        <f t="shared" si="37"/>
        <v>0</v>
      </c>
      <c r="P33" s="48">
        <f>SUMIFS('Отчет сентябрь'!H:H,'Отчет сентябрь'!D:D,"Выручка",'Отчет сентябрь'!E:E,B33)</f>
        <v>0</v>
      </c>
      <c r="Q33" s="48">
        <f>SUMIFS('Отчет сентябрь'!H:H,'Отчет сентябрь'!D:D,"Возврат выручки",'Отчет сентябрь'!E:E,B33)</f>
        <v>0</v>
      </c>
      <c r="R33" s="49">
        <f t="shared" si="22"/>
        <v>0</v>
      </c>
      <c r="S33" s="50">
        <f>SUMIFS('Отчет сентябрь'!O:O,'Отчет сентябрь'!C:C,"Продажи",'Отчет сентябрь'!E:E,B33)</f>
        <v>0</v>
      </c>
      <c r="T33" s="51">
        <f>SUMIFS('Отчет сентябрь'!O:O,'Отчет сентябрь'!C:C,"Возвраты",'Отчет сентябрь'!E:E,B33)</f>
        <v>0</v>
      </c>
      <c r="U33" s="49">
        <f t="shared" si="23"/>
        <v>0</v>
      </c>
      <c r="V33" s="52">
        <f t="shared" si="24"/>
        <v>0</v>
      </c>
      <c r="W33" s="53">
        <f t="shared" si="25"/>
        <v>0</v>
      </c>
      <c r="X33" s="51">
        <f>-SUMIFS('Отчет сентябрь'!O:O,'Отчет сентябрь'!C:C,"Вознаграждение Ozon",'Отчет сентябрь'!E:E,B33)</f>
        <v>0</v>
      </c>
      <c r="Y33" s="54">
        <f t="shared" si="26"/>
        <v>0</v>
      </c>
      <c r="Z33" s="51">
        <f>-SUMIFS('Отчет сентябрь'!O:O,'Отчет сентябрь'!C:C,"Услуги доставки",'Отчет сентябрь'!E:E,B33)</f>
        <v>0</v>
      </c>
      <c r="AA33" s="41">
        <v>0</v>
      </c>
      <c r="AB33" s="64"/>
      <c r="AC33" s="51"/>
      <c r="AD33" s="55">
        <f>U33*1%</f>
        <v>0</v>
      </c>
      <c r="AE33" s="56">
        <f t="shared" si="27"/>
        <v>0</v>
      </c>
      <c r="AF33" s="55"/>
      <c r="AG33" s="57">
        <f t="shared" si="28"/>
        <v>0</v>
      </c>
      <c r="AH33" s="58">
        <f t="shared" si="29"/>
        <v>552</v>
      </c>
      <c r="AI33" s="58">
        <f t="shared" si="30"/>
        <v>0</v>
      </c>
      <c r="AJ33" s="58">
        <f t="shared" si="31"/>
        <v>0</v>
      </c>
      <c r="AK33" s="58">
        <f t="shared" si="32"/>
        <v>0</v>
      </c>
      <c r="AL33" s="58">
        <f t="array" ref="AL33">_xlfn.IFS(R33=0,AE33,R33&lt;0,AE33/-R33,R33&gt;0,AE33/R33)</f>
        <v>0</v>
      </c>
      <c r="AM33" s="59">
        <f t="shared" si="33"/>
        <v>0</v>
      </c>
      <c r="AN33" s="60">
        <f t="shared" si="34"/>
        <v>0</v>
      </c>
      <c r="AP33" s="62">
        <f t="shared" si="35"/>
        <v>0</v>
      </c>
    </row>
    <row r="34" spans="1:42">
      <c r="A34" s="39">
        <v>2774710430</v>
      </c>
      <c r="B34" s="40" t="s">
        <v>238</v>
      </c>
      <c r="C34" s="41"/>
      <c r="D34" s="42"/>
      <c r="E34" s="42"/>
      <c r="F34" s="42"/>
      <c r="G34" s="43"/>
      <c r="H34" s="65">
        <v>552</v>
      </c>
      <c r="I34" s="63">
        <f t="shared" si="19"/>
        <v>0</v>
      </c>
      <c r="J34" s="45"/>
      <c r="K34" s="41">
        <v>0</v>
      </c>
      <c r="L34" s="45"/>
      <c r="M34" s="45"/>
      <c r="N34" s="46">
        <f t="shared" si="36"/>
        <v>0</v>
      </c>
      <c r="O34" s="47">
        <f t="shared" si="37"/>
        <v>0</v>
      </c>
      <c r="P34" s="48">
        <f>SUMIFS('Отчет сентябрь'!H:H,'Отчет сентябрь'!D:D,"Выручка",'Отчет сентябрь'!E:E,B34)</f>
        <v>0</v>
      </c>
      <c r="Q34" s="48">
        <f>SUMIFS('Отчет сентябрь'!H:H,'Отчет сентябрь'!D:D,"Возврат выручки",'Отчет сентябрь'!E:E,B34)</f>
        <v>0</v>
      </c>
      <c r="R34" s="49">
        <f t="shared" si="22"/>
        <v>0</v>
      </c>
      <c r="S34" s="50">
        <f>SUMIFS('Отчет сентябрь'!O:O,'Отчет сентябрь'!C:C,"Продажи",'Отчет сентябрь'!E:E,B34)</f>
        <v>0</v>
      </c>
      <c r="T34" s="51">
        <f>SUMIFS('Отчет сентябрь'!O:O,'Отчет сентябрь'!C:C,"Возвраты",'Отчет сентябрь'!E:E,B34)</f>
        <v>0</v>
      </c>
      <c r="U34" s="49">
        <f t="shared" si="23"/>
        <v>0</v>
      </c>
      <c r="V34" s="52">
        <f t="shared" si="24"/>
        <v>0</v>
      </c>
      <c r="W34" s="53">
        <f t="shared" si="25"/>
        <v>0</v>
      </c>
      <c r="X34" s="51">
        <f>-SUMIFS('Отчет сентябрь'!O:O,'Отчет сентябрь'!C:C,"Вознаграждение Ozon",'Отчет сентябрь'!E:E,B34)</f>
        <v>0</v>
      </c>
      <c r="Y34" s="54">
        <f t="shared" si="26"/>
        <v>0</v>
      </c>
      <c r="Z34" s="51">
        <f>-SUMIFS('Отчет сентябрь'!O:O,'Отчет сентябрь'!C:C,"Услуги доставки",'Отчет сентябрь'!E:E,B34)</f>
        <v>0</v>
      </c>
      <c r="AA34" s="41">
        <v>0</v>
      </c>
      <c r="AB34" s="64"/>
      <c r="AC34" s="51"/>
      <c r="AD34" s="55">
        <f>U34*1%</f>
        <v>0</v>
      </c>
      <c r="AE34" s="56">
        <f t="shared" si="27"/>
        <v>0</v>
      </c>
      <c r="AF34" s="55"/>
      <c r="AG34" s="57">
        <f t="shared" si="28"/>
        <v>0</v>
      </c>
      <c r="AH34" s="58">
        <f t="shared" si="29"/>
        <v>552</v>
      </c>
      <c r="AI34" s="58">
        <f t="shared" si="30"/>
        <v>0</v>
      </c>
      <c r="AJ34" s="58">
        <f t="shared" si="31"/>
        <v>0</v>
      </c>
      <c r="AK34" s="58">
        <f t="shared" si="32"/>
        <v>0</v>
      </c>
      <c r="AL34" s="58">
        <f t="array" ref="AL34">_xlfn.IFS(R34=0,AE34,R34&lt;0,AE34/-R34,R34&gt;0,AE34/R34)</f>
        <v>0</v>
      </c>
      <c r="AM34" s="59">
        <f t="shared" si="33"/>
        <v>0</v>
      </c>
      <c r="AN34" s="60">
        <f t="shared" si="34"/>
        <v>0</v>
      </c>
      <c r="AP34" s="62">
        <f t="shared" si="35"/>
        <v>0</v>
      </c>
    </row>
    <row r="35" spans="1:42">
      <c r="A35" s="39">
        <v>2774712116</v>
      </c>
      <c r="B35" s="40" t="s">
        <v>62</v>
      </c>
      <c r="C35" s="41"/>
      <c r="D35" s="42"/>
      <c r="E35" s="42"/>
      <c r="F35" s="42"/>
      <c r="G35" s="43"/>
      <c r="H35" s="65">
        <v>687</v>
      </c>
      <c r="I35" s="63">
        <f t="shared" si="19"/>
        <v>0</v>
      </c>
      <c r="J35" s="45"/>
      <c r="K35" s="41">
        <v>1</v>
      </c>
      <c r="L35" s="45"/>
      <c r="M35" s="45"/>
      <c r="N35" s="46">
        <f t="shared" si="36"/>
        <v>3.3333333333333333E-2</v>
      </c>
      <c r="O35" s="47">
        <f t="shared" si="37"/>
        <v>0</v>
      </c>
      <c r="P35" s="48">
        <f>SUMIFS('Отчет сентябрь'!H:H,'Отчет сентябрь'!D:D,"Выручка",'Отчет сентябрь'!E:E,B35)</f>
        <v>0</v>
      </c>
      <c r="Q35" s="48">
        <f>SUMIFS('Отчет сентябрь'!H:H,'Отчет сентябрь'!D:D,"Возврат выручки",'Отчет сентябрь'!E:E,B35)</f>
        <v>0</v>
      </c>
      <c r="R35" s="49">
        <f t="shared" si="22"/>
        <v>0</v>
      </c>
      <c r="S35" s="50">
        <f>SUMIFS('Отчет сентябрь'!O:O,'Отчет сентябрь'!C:C,"Продажи",'Отчет сентябрь'!E:E,B35)</f>
        <v>0</v>
      </c>
      <c r="T35" s="51">
        <f>SUMIFS('Отчет сентябрь'!O:O,'Отчет сентябрь'!C:C,"Возвраты",'Отчет сентябрь'!E:E,B35)</f>
        <v>0</v>
      </c>
      <c r="U35" s="49">
        <f t="shared" si="23"/>
        <v>0</v>
      </c>
      <c r="V35" s="52">
        <f t="shared" si="24"/>
        <v>0</v>
      </c>
      <c r="W35" s="53">
        <f t="shared" si="25"/>
        <v>0</v>
      </c>
      <c r="X35" s="51">
        <f>-SUMIFS('Отчет сентябрь'!O:O,'Отчет сентябрь'!C:C,"Вознаграждение Ozon",'Отчет сентябрь'!E:E,B35)</f>
        <v>0</v>
      </c>
      <c r="Y35" s="54">
        <f t="shared" si="26"/>
        <v>0</v>
      </c>
      <c r="Z35" s="51">
        <f>-SUMIFS('Отчет сентябрь'!O:O,'Отчет сентябрь'!C:C,"Услуги доставки",'Отчет сентябрь'!E:E,B35)</f>
        <v>112</v>
      </c>
      <c r="AA35" s="41">
        <v>1763.248104</v>
      </c>
      <c r="AB35" s="64"/>
      <c r="AC35" s="51"/>
      <c r="AD35" s="55">
        <f>U35*1%</f>
        <v>0</v>
      </c>
      <c r="AE35" s="56">
        <f t="shared" si="27"/>
        <v>-1875.248104</v>
      </c>
      <c r="AF35" s="55"/>
      <c r="AG35" s="57">
        <f t="shared" si="28"/>
        <v>0</v>
      </c>
      <c r="AH35" s="58">
        <f t="shared" si="29"/>
        <v>687</v>
      </c>
      <c r="AI35" s="58">
        <f t="shared" si="30"/>
        <v>0</v>
      </c>
      <c r="AJ35" s="58">
        <f t="shared" si="31"/>
        <v>112</v>
      </c>
      <c r="AK35" s="58">
        <f t="shared" si="32"/>
        <v>0</v>
      </c>
      <c r="AL35" s="58">
        <f t="array" ref="AL35">_xlfn.IFS(R35=0,AE35,R35&lt;0,AE35/-R35,R35&gt;0,AE35/R35)</f>
        <v>-1875.248104</v>
      </c>
      <c r="AM35" s="59">
        <f t="shared" si="33"/>
        <v>0</v>
      </c>
      <c r="AN35" s="60">
        <f t="shared" si="34"/>
        <v>-2.7296187831149927</v>
      </c>
      <c r="AP35" s="62">
        <f t="shared" si="35"/>
        <v>0</v>
      </c>
    </row>
    <row r="36" spans="1:42">
      <c r="A36" s="39">
        <v>2774719012</v>
      </c>
      <c r="B36" s="40" t="s">
        <v>239</v>
      </c>
      <c r="C36" s="41"/>
      <c r="D36" s="42"/>
      <c r="E36" s="42"/>
      <c r="F36" s="42"/>
      <c r="G36" s="43"/>
      <c r="H36" s="65">
        <v>687</v>
      </c>
      <c r="I36" s="63">
        <f t="shared" si="19"/>
        <v>0</v>
      </c>
      <c r="J36" s="45"/>
      <c r="K36" s="41">
        <v>0</v>
      </c>
      <c r="L36" s="45"/>
      <c r="M36" s="45"/>
      <c r="N36" s="46">
        <f t="shared" si="36"/>
        <v>0</v>
      </c>
      <c r="O36" s="47">
        <f t="shared" si="37"/>
        <v>0</v>
      </c>
      <c r="P36" s="48">
        <f>SUMIFS('Отчет сентябрь'!H:H,'Отчет сентябрь'!D:D,"Выручка",'Отчет сентябрь'!E:E,B36)</f>
        <v>0</v>
      </c>
      <c r="Q36" s="48">
        <f>SUMIFS('Отчет сентябрь'!H:H,'Отчет сентябрь'!D:D,"Возврат выручки",'Отчет сентябрь'!E:E,B36)</f>
        <v>0</v>
      </c>
      <c r="R36" s="49">
        <f t="shared" si="22"/>
        <v>0</v>
      </c>
      <c r="S36" s="50">
        <f>SUMIFS('Отчет сентябрь'!O:O,'Отчет сентябрь'!C:C,"Продажи",'Отчет сентябрь'!E:E,B36)</f>
        <v>0</v>
      </c>
      <c r="T36" s="51">
        <f>SUMIFS('Отчет сентябрь'!O:O,'Отчет сентябрь'!C:C,"Возвраты",'Отчет сентябрь'!E:E,B36)</f>
        <v>0</v>
      </c>
      <c r="U36" s="49">
        <f t="shared" si="23"/>
        <v>0</v>
      </c>
      <c r="V36" s="52">
        <f t="shared" si="24"/>
        <v>0</v>
      </c>
      <c r="W36" s="53">
        <f t="shared" si="25"/>
        <v>0</v>
      </c>
      <c r="X36" s="51">
        <f>-SUMIFS('Отчет сентябрь'!O:O,'Отчет сентябрь'!C:C,"Вознаграждение Ozon",'Отчет сентябрь'!E:E,B36)</f>
        <v>0</v>
      </c>
      <c r="Y36" s="54">
        <f t="shared" si="26"/>
        <v>0</v>
      </c>
      <c r="Z36" s="51">
        <f>-SUMIFS('Отчет сентябрь'!O:O,'Отчет сентябрь'!C:C,"Услуги доставки",'Отчет сентябрь'!E:E,B36)</f>
        <v>0</v>
      </c>
      <c r="AA36" s="41">
        <v>0</v>
      </c>
      <c r="AB36" s="64"/>
      <c r="AC36" s="51"/>
      <c r="AD36" s="55">
        <f>U36*1%</f>
        <v>0</v>
      </c>
      <c r="AE36" s="56">
        <f t="shared" si="27"/>
        <v>0</v>
      </c>
      <c r="AF36" s="55"/>
      <c r="AG36" s="57">
        <f t="shared" si="28"/>
        <v>0</v>
      </c>
      <c r="AH36" s="58">
        <f t="shared" si="29"/>
        <v>687</v>
      </c>
      <c r="AI36" s="58">
        <f t="shared" si="30"/>
        <v>0</v>
      </c>
      <c r="AJ36" s="58">
        <f t="shared" si="31"/>
        <v>0</v>
      </c>
      <c r="AK36" s="58">
        <f t="shared" si="32"/>
        <v>0</v>
      </c>
      <c r="AL36" s="58">
        <f t="array" ref="AL36">_xlfn.IFS(R36=0,AE36,R36&lt;0,AE36/-R36,R36&gt;0,AE36/R36)</f>
        <v>0</v>
      </c>
      <c r="AM36" s="59">
        <f t="shared" si="33"/>
        <v>0</v>
      </c>
      <c r="AN36" s="60">
        <f t="shared" si="34"/>
        <v>0</v>
      </c>
      <c r="AP36" s="62">
        <f t="shared" si="35"/>
        <v>0</v>
      </c>
    </row>
    <row r="37" spans="1:42">
      <c r="A37" s="39">
        <v>2774719433</v>
      </c>
      <c r="B37" s="40" t="s">
        <v>240</v>
      </c>
      <c r="C37" s="41"/>
      <c r="D37" s="42"/>
      <c r="E37" s="42"/>
      <c r="F37" s="42"/>
      <c r="G37" s="43"/>
      <c r="H37" s="65">
        <v>597</v>
      </c>
      <c r="I37" s="63">
        <f t="shared" si="19"/>
        <v>0</v>
      </c>
      <c r="J37" s="45"/>
      <c r="K37" s="41">
        <v>0</v>
      </c>
      <c r="L37" s="45"/>
      <c r="M37" s="45"/>
      <c r="N37" s="46">
        <f t="shared" si="36"/>
        <v>0</v>
      </c>
      <c r="O37" s="47">
        <f t="shared" si="37"/>
        <v>0</v>
      </c>
      <c r="P37" s="48">
        <f>SUMIFS('Отчет сентябрь'!H:H,'Отчет сентябрь'!D:D,"Выручка",'Отчет сентябрь'!E:E,B37)</f>
        <v>0</v>
      </c>
      <c r="Q37" s="48">
        <f>SUMIFS('Отчет сентябрь'!H:H,'Отчет сентябрь'!D:D,"Возврат выручки",'Отчет сентябрь'!E:E,B37)</f>
        <v>0</v>
      </c>
      <c r="R37" s="49">
        <f t="shared" si="22"/>
        <v>0</v>
      </c>
      <c r="S37" s="50">
        <f>SUMIFS('Отчет сентябрь'!O:O,'Отчет сентябрь'!C:C,"Продажи",'Отчет сентябрь'!E:E,B37)</f>
        <v>0</v>
      </c>
      <c r="T37" s="51">
        <f>SUMIFS('Отчет сентябрь'!O:O,'Отчет сентябрь'!C:C,"Возвраты",'Отчет сентябрь'!E:E,B37)</f>
        <v>0</v>
      </c>
      <c r="U37" s="49">
        <f t="shared" si="23"/>
        <v>0</v>
      </c>
      <c r="V37" s="52">
        <f t="shared" si="24"/>
        <v>0</v>
      </c>
      <c r="W37" s="53">
        <f t="shared" si="25"/>
        <v>0</v>
      </c>
      <c r="X37" s="51">
        <f>-SUMIFS('Отчет сентябрь'!O:O,'Отчет сентябрь'!C:C,"Вознаграждение Ozon",'Отчет сентябрь'!E:E,B37)</f>
        <v>0</v>
      </c>
      <c r="Y37" s="54">
        <f t="shared" si="26"/>
        <v>0</v>
      </c>
      <c r="Z37" s="51">
        <f>-SUMIFS('Отчет сентябрь'!O:O,'Отчет сентябрь'!C:C,"Услуги доставки",'Отчет сентябрь'!E:E,B37)</f>
        <v>0</v>
      </c>
      <c r="AA37" s="41">
        <v>0</v>
      </c>
      <c r="AB37" s="64"/>
      <c r="AC37" s="51"/>
      <c r="AD37" s="55">
        <f>U37*1%</f>
        <v>0</v>
      </c>
      <c r="AE37" s="56">
        <f t="shared" si="27"/>
        <v>0</v>
      </c>
      <c r="AF37" s="55"/>
      <c r="AG37" s="57">
        <f t="shared" si="28"/>
        <v>0</v>
      </c>
      <c r="AH37" s="58">
        <f t="shared" si="29"/>
        <v>597</v>
      </c>
      <c r="AI37" s="58">
        <f t="shared" si="30"/>
        <v>0</v>
      </c>
      <c r="AJ37" s="58">
        <f t="shared" si="31"/>
        <v>0</v>
      </c>
      <c r="AK37" s="58">
        <f t="shared" si="32"/>
        <v>0</v>
      </c>
      <c r="AL37" s="58">
        <f t="array" ref="AL37">_xlfn.IFS(R37=0,AE37,R37&lt;0,AE37/-R37,R37&gt;0,AE37/R37)</f>
        <v>0</v>
      </c>
      <c r="AM37" s="59">
        <f t="shared" si="33"/>
        <v>0</v>
      </c>
      <c r="AN37" s="60">
        <f t="shared" si="34"/>
        <v>0</v>
      </c>
      <c r="AP37" s="62">
        <f t="shared" si="35"/>
        <v>0</v>
      </c>
    </row>
    <row r="38" spans="1:42">
      <c r="A38" s="39">
        <v>2774719029</v>
      </c>
      <c r="B38" s="40" t="s">
        <v>241</v>
      </c>
      <c r="C38" s="41"/>
      <c r="D38" s="42"/>
      <c r="E38" s="42"/>
      <c r="F38" s="42"/>
      <c r="G38" s="43"/>
      <c r="H38" s="65">
        <v>597</v>
      </c>
      <c r="I38" s="63">
        <f t="shared" si="19"/>
        <v>0</v>
      </c>
      <c r="J38" s="45"/>
      <c r="K38" s="41">
        <v>0</v>
      </c>
      <c r="L38" s="45"/>
      <c r="M38" s="45"/>
      <c r="N38" s="46">
        <f t="shared" si="36"/>
        <v>0</v>
      </c>
      <c r="O38" s="47">
        <f t="shared" si="37"/>
        <v>0</v>
      </c>
      <c r="P38" s="48">
        <f>SUMIFS('Отчет сентябрь'!H:H,'Отчет сентябрь'!D:D,"Выручка",'Отчет сентябрь'!E:E,B38)</f>
        <v>0</v>
      </c>
      <c r="Q38" s="48">
        <f>SUMIFS('Отчет сентябрь'!H:H,'Отчет сентябрь'!D:D,"Возврат выручки",'Отчет сентябрь'!E:E,B38)</f>
        <v>0</v>
      </c>
      <c r="R38" s="49">
        <f t="shared" si="22"/>
        <v>0</v>
      </c>
      <c r="S38" s="50">
        <f>SUMIFS('Отчет сентябрь'!O:O,'Отчет сентябрь'!C:C,"Продажи",'Отчет сентябрь'!E:E,B38)</f>
        <v>0</v>
      </c>
      <c r="T38" s="51">
        <f>SUMIFS('Отчет сентябрь'!O:O,'Отчет сентябрь'!C:C,"Возвраты",'Отчет сентябрь'!E:E,B38)</f>
        <v>0</v>
      </c>
      <c r="U38" s="49">
        <f t="shared" si="23"/>
        <v>0</v>
      </c>
      <c r="V38" s="52">
        <f t="shared" si="24"/>
        <v>0</v>
      </c>
      <c r="W38" s="53">
        <f t="shared" si="25"/>
        <v>0</v>
      </c>
      <c r="X38" s="51">
        <f>-SUMIFS('Отчет сентябрь'!O:O,'Отчет сентябрь'!C:C,"Вознаграждение Ozon",'Отчет сентябрь'!E:E,B38)</f>
        <v>0</v>
      </c>
      <c r="Y38" s="54">
        <f t="shared" si="26"/>
        <v>0</v>
      </c>
      <c r="Z38" s="51">
        <f>-SUMIFS('Отчет сентябрь'!O:O,'Отчет сентябрь'!C:C,"Услуги доставки",'Отчет сентябрь'!E:E,B38)</f>
        <v>0</v>
      </c>
      <c r="AA38" s="41">
        <v>0</v>
      </c>
      <c r="AB38" s="64"/>
      <c r="AC38" s="51"/>
      <c r="AD38" s="55">
        <f>U38*1%</f>
        <v>0</v>
      </c>
      <c r="AE38" s="56">
        <f t="shared" si="27"/>
        <v>0</v>
      </c>
      <c r="AF38" s="55"/>
      <c r="AG38" s="57">
        <f t="shared" si="28"/>
        <v>0</v>
      </c>
      <c r="AH38" s="58">
        <f t="shared" si="29"/>
        <v>597</v>
      </c>
      <c r="AI38" s="58">
        <f t="shared" si="30"/>
        <v>0</v>
      </c>
      <c r="AJ38" s="58">
        <f t="shared" si="31"/>
        <v>0</v>
      </c>
      <c r="AK38" s="58">
        <f t="shared" si="32"/>
        <v>0</v>
      </c>
      <c r="AL38" s="58">
        <f t="array" ref="AL38">_xlfn.IFS(R38=0,AE38,R38&lt;0,AE38/-R38,R38&gt;0,AE38/R38)</f>
        <v>0</v>
      </c>
      <c r="AM38" s="59">
        <f t="shared" si="33"/>
        <v>0</v>
      </c>
      <c r="AN38" s="60">
        <f t="shared" si="34"/>
        <v>0</v>
      </c>
      <c r="AP38" s="62">
        <f t="shared" si="35"/>
        <v>0</v>
      </c>
    </row>
    <row r="39" spans="1:42">
      <c r="A39" s="39">
        <v>2774719553</v>
      </c>
      <c r="B39" s="40" t="s">
        <v>242</v>
      </c>
      <c r="C39" s="41"/>
      <c r="D39" s="42"/>
      <c r="E39" s="42"/>
      <c r="F39" s="42"/>
      <c r="G39" s="43"/>
      <c r="H39" s="65">
        <v>597</v>
      </c>
      <c r="I39" s="63">
        <f t="shared" si="19"/>
        <v>0</v>
      </c>
      <c r="J39" s="45"/>
      <c r="K39" s="41">
        <v>0</v>
      </c>
      <c r="L39" s="45"/>
      <c r="M39" s="45"/>
      <c r="N39" s="46">
        <f t="shared" si="36"/>
        <v>0</v>
      </c>
      <c r="O39" s="47">
        <f t="shared" si="37"/>
        <v>0</v>
      </c>
      <c r="P39" s="48">
        <f>SUMIFS('Отчет сентябрь'!H:H,'Отчет сентябрь'!D:D,"Выручка",'Отчет сентябрь'!E:E,B39)</f>
        <v>0</v>
      </c>
      <c r="Q39" s="48">
        <f>SUMIFS('Отчет сентябрь'!H:H,'Отчет сентябрь'!D:D,"Возврат выручки",'Отчет сентябрь'!E:E,B39)</f>
        <v>0</v>
      </c>
      <c r="R39" s="49">
        <f t="shared" si="22"/>
        <v>0</v>
      </c>
      <c r="S39" s="50">
        <f>SUMIFS('Отчет сентябрь'!O:O,'Отчет сентябрь'!C:C,"Продажи",'Отчет сентябрь'!E:E,B39)</f>
        <v>0</v>
      </c>
      <c r="T39" s="51">
        <f>SUMIFS('Отчет сентябрь'!O:O,'Отчет сентябрь'!C:C,"Возвраты",'Отчет сентябрь'!E:E,B39)</f>
        <v>0</v>
      </c>
      <c r="U39" s="49">
        <f t="shared" si="23"/>
        <v>0</v>
      </c>
      <c r="V39" s="52">
        <f t="shared" si="24"/>
        <v>0</v>
      </c>
      <c r="W39" s="53">
        <f t="shared" si="25"/>
        <v>0</v>
      </c>
      <c r="X39" s="51">
        <f>-SUMIFS('Отчет сентябрь'!O:O,'Отчет сентябрь'!C:C,"Вознаграждение Ozon",'Отчет сентябрь'!E:E,B39)</f>
        <v>0</v>
      </c>
      <c r="Y39" s="54">
        <f t="shared" si="26"/>
        <v>0</v>
      </c>
      <c r="Z39" s="51">
        <f>-SUMIFS('Отчет сентябрь'!O:O,'Отчет сентябрь'!C:C,"Услуги доставки",'Отчет сентябрь'!E:E,B39)</f>
        <v>0</v>
      </c>
      <c r="AA39" s="41">
        <v>0</v>
      </c>
      <c r="AB39" s="64"/>
      <c r="AC39" s="51"/>
      <c r="AD39" s="55">
        <f>U39*1%</f>
        <v>0</v>
      </c>
      <c r="AE39" s="56">
        <f t="shared" si="27"/>
        <v>0</v>
      </c>
      <c r="AF39" s="55"/>
      <c r="AG39" s="57">
        <f t="shared" si="28"/>
        <v>0</v>
      </c>
      <c r="AH39" s="58">
        <f t="shared" si="29"/>
        <v>597</v>
      </c>
      <c r="AI39" s="58">
        <f t="shared" si="30"/>
        <v>0</v>
      </c>
      <c r="AJ39" s="58">
        <f t="shared" si="31"/>
        <v>0</v>
      </c>
      <c r="AK39" s="58">
        <f t="shared" si="32"/>
        <v>0</v>
      </c>
      <c r="AL39" s="58">
        <f t="array" ref="AL39">_xlfn.IFS(R39=0,AE39,R39&lt;0,AE39/-R39,R39&gt;0,AE39/R39)</f>
        <v>0</v>
      </c>
      <c r="AM39" s="59">
        <f t="shared" si="33"/>
        <v>0</v>
      </c>
      <c r="AN39" s="60">
        <f t="shared" si="34"/>
        <v>0</v>
      </c>
      <c r="AP39" s="62">
        <f t="shared" si="35"/>
        <v>0</v>
      </c>
    </row>
    <row r="40" spans="1:42">
      <c r="A40" s="39">
        <v>2774710913</v>
      </c>
      <c r="B40" s="40" t="s">
        <v>243</v>
      </c>
      <c r="C40" s="41"/>
      <c r="D40" s="42"/>
      <c r="E40" s="42"/>
      <c r="F40" s="42"/>
      <c r="G40" s="43"/>
      <c r="H40" s="65">
        <v>642</v>
      </c>
      <c r="I40" s="63">
        <f t="shared" si="19"/>
        <v>0</v>
      </c>
      <c r="J40" s="45"/>
      <c r="K40" s="41">
        <v>1</v>
      </c>
      <c r="L40" s="45"/>
      <c r="M40" s="45"/>
      <c r="N40" s="46">
        <f t="shared" si="36"/>
        <v>3.3333333333333333E-2</v>
      </c>
      <c r="O40" s="47">
        <f t="shared" si="37"/>
        <v>0</v>
      </c>
      <c r="P40" s="48">
        <f>SUMIFS('Отчет сентябрь'!H:H,'Отчет сентябрь'!D:D,"Выручка",'Отчет сентябрь'!E:E,B40)</f>
        <v>0</v>
      </c>
      <c r="Q40" s="48">
        <f>SUMIFS('Отчет сентябрь'!H:H,'Отчет сентябрь'!D:D,"Возврат выручки",'Отчет сентябрь'!E:E,B40)</f>
        <v>0</v>
      </c>
      <c r="R40" s="49">
        <f t="shared" si="22"/>
        <v>0</v>
      </c>
      <c r="S40" s="50">
        <f>SUMIFS('Отчет сентябрь'!O:O,'Отчет сентябрь'!C:C,"Продажи",'Отчет сентябрь'!E:E,B40)</f>
        <v>0</v>
      </c>
      <c r="T40" s="51">
        <f>SUMIFS('Отчет сентябрь'!O:O,'Отчет сентябрь'!C:C,"Возвраты",'Отчет сентябрь'!E:E,B40)</f>
        <v>0</v>
      </c>
      <c r="U40" s="49">
        <f t="shared" si="23"/>
        <v>0</v>
      </c>
      <c r="V40" s="52">
        <f t="shared" si="24"/>
        <v>0</v>
      </c>
      <c r="W40" s="53">
        <f t="shared" si="25"/>
        <v>0</v>
      </c>
      <c r="X40" s="51">
        <f>-SUMIFS('Отчет сентябрь'!O:O,'Отчет сентябрь'!C:C,"Вознаграждение Ozon",'Отчет сентябрь'!E:E,B40)</f>
        <v>0</v>
      </c>
      <c r="Y40" s="54">
        <f t="shared" si="26"/>
        <v>0</v>
      </c>
      <c r="Z40" s="51">
        <f>-SUMIFS('Отчет сентябрь'!O:O,'Отчет сентябрь'!C:C,"Услуги доставки",'Отчет сентябрь'!E:E,B40)</f>
        <v>112</v>
      </c>
      <c r="AA40" s="41">
        <v>0</v>
      </c>
      <c r="AB40" s="64"/>
      <c r="AC40" s="51"/>
      <c r="AD40" s="55">
        <f>U40*1%</f>
        <v>0</v>
      </c>
      <c r="AE40" s="56">
        <f t="shared" si="27"/>
        <v>-112</v>
      </c>
      <c r="AF40" s="55"/>
      <c r="AG40" s="57">
        <f t="shared" si="28"/>
        <v>0</v>
      </c>
      <c r="AH40" s="58">
        <f t="shared" si="29"/>
        <v>642</v>
      </c>
      <c r="AI40" s="58">
        <f t="shared" si="30"/>
        <v>0</v>
      </c>
      <c r="AJ40" s="58">
        <f t="shared" si="31"/>
        <v>112</v>
      </c>
      <c r="AK40" s="58">
        <f t="shared" si="32"/>
        <v>0</v>
      </c>
      <c r="AL40" s="58">
        <f t="array" ref="AL40">_xlfn.IFS(R40=0,AE40,R40&lt;0,AE40/-R40,R40&gt;0,AE40/R40)</f>
        <v>-112</v>
      </c>
      <c r="AM40" s="59">
        <f t="shared" si="33"/>
        <v>0</v>
      </c>
      <c r="AN40" s="60">
        <f t="shared" si="34"/>
        <v>-0.17445482866043613</v>
      </c>
      <c r="AP40" s="62">
        <f t="shared" si="35"/>
        <v>0</v>
      </c>
    </row>
    <row r="41" spans="1:42">
      <c r="A41" s="39">
        <v>2774721668</v>
      </c>
      <c r="B41" s="40" t="s">
        <v>244</v>
      </c>
      <c r="C41" s="41"/>
      <c r="D41" s="42"/>
      <c r="E41" s="42"/>
      <c r="F41" s="42"/>
      <c r="G41" s="43"/>
      <c r="H41" s="65">
        <v>642</v>
      </c>
      <c r="I41" s="63">
        <f t="shared" si="19"/>
        <v>0</v>
      </c>
      <c r="J41" s="45"/>
      <c r="K41" s="41">
        <v>0</v>
      </c>
      <c r="L41" s="45"/>
      <c r="M41" s="45"/>
      <c r="N41" s="46">
        <f t="shared" si="36"/>
        <v>0</v>
      </c>
      <c r="O41" s="47">
        <f t="shared" si="37"/>
        <v>0</v>
      </c>
      <c r="P41" s="48">
        <f>SUMIFS('Отчет сентябрь'!H:H,'Отчет сентябрь'!D:D,"Выручка",'Отчет сентябрь'!E:E,B41)</f>
        <v>0</v>
      </c>
      <c r="Q41" s="48">
        <f>SUMIFS('Отчет сентябрь'!H:H,'Отчет сентябрь'!D:D,"Возврат выручки",'Отчет сентябрь'!E:E,B41)</f>
        <v>0</v>
      </c>
      <c r="R41" s="49">
        <f t="shared" si="22"/>
        <v>0</v>
      </c>
      <c r="S41" s="50">
        <f>SUMIFS('Отчет сентябрь'!O:O,'Отчет сентябрь'!C:C,"Продажи",'Отчет сентябрь'!E:E,B41)</f>
        <v>0</v>
      </c>
      <c r="T41" s="51">
        <f>SUMIFS('Отчет сентябрь'!O:O,'Отчет сентябрь'!C:C,"Возвраты",'Отчет сентябрь'!E:E,B41)</f>
        <v>0</v>
      </c>
      <c r="U41" s="49">
        <f t="shared" si="23"/>
        <v>0</v>
      </c>
      <c r="V41" s="52">
        <f t="shared" si="24"/>
        <v>0</v>
      </c>
      <c r="W41" s="53">
        <f t="shared" si="25"/>
        <v>0</v>
      </c>
      <c r="X41" s="51">
        <f>-SUMIFS('Отчет сентябрь'!O:O,'Отчет сентябрь'!C:C,"Вознаграждение Ozon",'Отчет сентябрь'!E:E,B41)</f>
        <v>0</v>
      </c>
      <c r="Y41" s="54">
        <f t="shared" si="26"/>
        <v>0</v>
      </c>
      <c r="Z41" s="51">
        <f>-SUMIFS('Отчет сентябрь'!O:O,'Отчет сентябрь'!C:C,"Услуги доставки",'Отчет сентябрь'!E:E,B41)</f>
        <v>0</v>
      </c>
      <c r="AA41" s="41">
        <v>0</v>
      </c>
      <c r="AB41" s="64"/>
      <c r="AC41" s="51"/>
      <c r="AD41" s="55">
        <f>U41*1%</f>
        <v>0</v>
      </c>
      <c r="AE41" s="56">
        <f t="shared" si="27"/>
        <v>0</v>
      </c>
      <c r="AF41" s="55"/>
      <c r="AG41" s="57">
        <f t="shared" si="28"/>
        <v>0</v>
      </c>
      <c r="AH41" s="58">
        <f t="shared" si="29"/>
        <v>642</v>
      </c>
      <c r="AI41" s="58">
        <f t="shared" si="30"/>
        <v>0</v>
      </c>
      <c r="AJ41" s="58">
        <f t="shared" si="31"/>
        <v>0</v>
      </c>
      <c r="AK41" s="58">
        <f t="shared" si="32"/>
        <v>0</v>
      </c>
      <c r="AL41" s="58">
        <f t="array" ref="AL41">_xlfn.IFS(R41=0,AE41,R41&lt;0,AE41/-R41,R41&gt;0,AE41/R41)</f>
        <v>0</v>
      </c>
      <c r="AM41" s="59">
        <f t="shared" si="33"/>
        <v>0</v>
      </c>
      <c r="AN41" s="60">
        <f t="shared" si="34"/>
        <v>0</v>
      </c>
      <c r="AP41" s="62">
        <f t="shared" si="35"/>
        <v>0</v>
      </c>
    </row>
    <row r="42" spans="1:42">
      <c r="A42" s="39">
        <v>2774722656</v>
      </c>
      <c r="B42" s="40" t="s">
        <v>51</v>
      </c>
      <c r="C42" s="41"/>
      <c r="D42" s="42"/>
      <c r="E42" s="42"/>
      <c r="F42" s="42"/>
      <c r="G42" s="43"/>
      <c r="H42" s="65">
        <v>687</v>
      </c>
      <c r="I42" s="63">
        <f t="shared" si="19"/>
        <v>0</v>
      </c>
      <c r="J42" s="45"/>
      <c r="K42" s="41">
        <v>14</v>
      </c>
      <c r="L42" s="45"/>
      <c r="M42" s="45"/>
      <c r="N42" s="46">
        <f t="shared" si="36"/>
        <v>0.46666666666666667</v>
      </c>
      <c r="O42" s="47">
        <f t="shared" si="37"/>
        <v>6.6666666666666666E-2</v>
      </c>
      <c r="P42" s="48">
        <f>SUMIFS('Отчет сентябрь'!H:H,'Отчет сентябрь'!D:D,"Выручка",'Отчет сентябрь'!E:E,B42)</f>
        <v>2</v>
      </c>
      <c r="Q42" s="48">
        <f>SUMIFS('Отчет сентябрь'!H:H,'Отчет сентябрь'!D:D,"Возврат выручки",'Отчет сентябрь'!E:E,B42)</f>
        <v>0</v>
      </c>
      <c r="R42" s="49">
        <f t="shared" si="22"/>
        <v>2</v>
      </c>
      <c r="S42" s="50">
        <f>SUMIFS('Отчет сентябрь'!O:O,'Отчет сентябрь'!C:C,"Продажи",'Отчет сентябрь'!E:E,B42)</f>
        <v>7380</v>
      </c>
      <c r="T42" s="51">
        <f>SUMIFS('Отчет сентябрь'!O:O,'Отчет сентябрь'!C:C,"Возвраты",'Отчет сентябрь'!E:E,B42)</f>
        <v>0</v>
      </c>
      <c r="U42" s="49">
        <f t="shared" si="23"/>
        <v>7380</v>
      </c>
      <c r="V42" s="52">
        <f t="shared" si="24"/>
        <v>4.481364083506395E-2</v>
      </c>
      <c r="W42" s="53">
        <f t="shared" si="25"/>
        <v>1374</v>
      </c>
      <c r="X42" s="51">
        <f>-SUMIFS('Отчет сентябрь'!O:O,'Отчет сентябрь'!C:C,"Вознаграждение Ozon",'Отчет сентябрь'!E:E,B42)</f>
        <v>1549.8000000000002</v>
      </c>
      <c r="Y42" s="54">
        <f t="shared" si="26"/>
        <v>0.21000000000000002</v>
      </c>
      <c r="Z42" s="51">
        <f>-SUMIFS('Отчет сентябрь'!O:O,'Отчет сентябрь'!C:C,"Услуги доставки",'Отчет сентябрь'!E:E,B42)</f>
        <v>560</v>
      </c>
      <c r="AA42" s="41">
        <v>5081.9405980000001</v>
      </c>
      <c r="AB42" s="64"/>
      <c r="AC42" s="51"/>
      <c r="AD42" s="55">
        <f>U42*1%</f>
        <v>73.8</v>
      </c>
      <c r="AE42" s="56">
        <f t="shared" si="27"/>
        <v>-1259.5405980000003</v>
      </c>
      <c r="AF42" s="55"/>
      <c r="AG42" s="57">
        <f t="shared" si="28"/>
        <v>3690</v>
      </c>
      <c r="AH42" s="58">
        <f t="shared" si="29"/>
        <v>687</v>
      </c>
      <c r="AI42" s="58">
        <f t="shared" si="30"/>
        <v>774.90000000000009</v>
      </c>
      <c r="AJ42" s="58">
        <f t="shared" si="31"/>
        <v>280</v>
      </c>
      <c r="AK42" s="58">
        <f t="shared" si="32"/>
        <v>2540.9702990000001</v>
      </c>
      <c r="AL42" s="58">
        <f t="array" ref="AL42">_xlfn.IFS(R42=0,AE42,R42&lt;0,AE42/-R42,R42&gt;0,AE42/R42)</f>
        <v>-629.77029900000014</v>
      </c>
      <c r="AM42" s="59">
        <f t="shared" si="33"/>
        <v>-0.17066945772357728</v>
      </c>
      <c r="AN42" s="60">
        <f t="shared" si="34"/>
        <v>-0.9166962139737993</v>
      </c>
      <c r="AP42" s="62">
        <f t="shared" si="35"/>
        <v>0</v>
      </c>
    </row>
    <row r="43" spans="1:42">
      <c r="A43" s="39">
        <v>2774721190</v>
      </c>
      <c r="B43" s="40" t="s">
        <v>70</v>
      </c>
      <c r="C43" s="41"/>
      <c r="D43" s="42"/>
      <c r="E43" s="42"/>
      <c r="F43" s="42"/>
      <c r="G43" s="43"/>
      <c r="H43" s="65">
        <v>687</v>
      </c>
      <c r="I43" s="63">
        <f t="shared" si="19"/>
        <v>0</v>
      </c>
      <c r="J43" s="45"/>
      <c r="K43" s="41">
        <v>5</v>
      </c>
      <c r="L43" s="45"/>
      <c r="M43" s="45"/>
      <c r="N43" s="46">
        <f t="shared" si="36"/>
        <v>0.16666666666666666</v>
      </c>
      <c r="O43" s="47">
        <f t="shared" si="37"/>
        <v>0.1</v>
      </c>
      <c r="P43" s="48">
        <f>SUMIFS('Отчет сентябрь'!H:H,'Отчет сентябрь'!D:D,"Выручка",'Отчет сентябрь'!E:E,B43)</f>
        <v>3</v>
      </c>
      <c r="Q43" s="48">
        <f>SUMIFS('Отчет сентябрь'!H:H,'Отчет сентябрь'!D:D,"Возврат выручки",'Отчет сентябрь'!E:E,B43)</f>
        <v>0</v>
      </c>
      <c r="R43" s="49">
        <f t="shared" si="22"/>
        <v>3</v>
      </c>
      <c r="S43" s="50">
        <f>SUMIFS('Отчет сентябрь'!O:O,'Отчет сентябрь'!C:C,"Продажи",'Отчет сентябрь'!E:E,B43)</f>
        <v>11070</v>
      </c>
      <c r="T43" s="51">
        <f>SUMIFS('Отчет сентябрь'!O:O,'Отчет сентябрь'!C:C,"Возвраты",'Отчет сентябрь'!E:E,B43)</f>
        <v>0</v>
      </c>
      <c r="U43" s="49">
        <f t="shared" si="23"/>
        <v>11070</v>
      </c>
      <c r="V43" s="52">
        <f t="shared" si="24"/>
        <v>6.7220461252595926E-2</v>
      </c>
      <c r="W43" s="53">
        <f t="shared" si="25"/>
        <v>2061</v>
      </c>
      <c r="X43" s="51">
        <f>-SUMIFS('Отчет сентябрь'!O:O,'Отчет сентябрь'!C:C,"Вознаграждение Ozon",'Отчет сентябрь'!E:E,B43)</f>
        <v>1992.6000000000001</v>
      </c>
      <c r="Y43" s="54">
        <f t="shared" si="26"/>
        <v>0.18000000000000002</v>
      </c>
      <c r="Z43" s="51">
        <f>-SUMIFS('Отчет сентябрь'!O:O,'Отчет сентябрь'!C:C,"Услуги доставки",'Отчет сентябрь'!E:E,B43)</f>
        <v>280</v>
      </c>
      <c r="AA43" s="41">
        <v>2518.5088839999999</v>
      </c>
      <c r="AB43" s="64"/>
      <c r="AC43" s="51"/>
      <c r="AD43" s="55">
        <f>U43*1%</f>
        <v>110.7</v>
      </c>
      <c r="AE43" s="56">
        <f t="shared" si="27"/>
        <v>4107.191116</v>
      </c>
      <c r="AF43" s="55"/>
      <c r="AG43" s="57">
        <f t="shared" si="28"/>
        <v>3690</v>
      </c>
      <c r="AH43" s="58">
        <f t="shared" si="29"/>
        <v>687</v>
      </c>
      <c r="AI43" s="58">
        <f t="shared" si="30"/>
        <v>664.2</v>
      </c>
      <c r="AJ43" s="58">
        <f t="shared" si="31"/>
        <v>93.333333333333329</v>
      </c>
      <c r="AK43" s="58">
        <f t="shared" si="32"/>
        <v>839.50296133333325</v>
      </c>
      <c r="AL43" s="58">
        <f t="array" ref="AL43">_xlfn.IFS(R43=0,AE43,R43&lt;0,AE43/-R43,R43&gt;0,AE43/R43)</f>
        <v>1369.0637053333332</v>
      </c>
      <c r="AM43" s="59">
        <f t="shared" si="33"/>
        <v>0.37101997434507678</v>
      </c>
      <c r="AN43" s="60">
        <f t="shared" si="34"/>
        <v>1.992814709364386</v>
      </c>
      <c r="AP43" s="62">
        <f t="shared" si="35"/>
        <v>0</v>
      </c>
    </row>
    <row r="44" spans="1:42">
      <c r="A44" s="39">
        <v>2774718796</v>
      </c>
      <c r="B44" s="40" t="s">
        <v>66</v>
      </c>
      <c r="C44" s="41"/>
      <c r="D44" s="42"/>
      <c r="E44" s="42"/>
      <c r="F44" s="42"/>
      <c r="G44" s="43"/>
      <c r="H44" s="65">
        <v>552</v>
      </c>
      <c r="I44" s="63">
        <f t="shared" si="19"/>
        <v>0</v>
      </c>
      <c r="J44" s="45"/>
      <c r="K44" s="41">
        <v>9</v>
      </c>
      <c r="L44" s="45"/>
      <c r="M44" s="45"/>
      <c r="N44" s="46">
        <f t="shared" si="36"/>
        <v>0.3</v>
      </c>
      <c r="O44" s="47">
        <f t="shared" si="37"/>
        <v>6.6666666666666666E-2</v>
      </c>
      <c r="P44" s="48">
        <f>SUMIFS('Отчет сентябрь'!H:H,'Отчет сентябрь'!D:D,"Выручка",'Отчет сентябрь'!E:E,B44)</f>
        <v>2</v>
      </c>
      <c r="Q44" s="48">
        <f>SUMIFS('Отчет сентябрь'!H:H,'Отчет сентябрь'!D:D,"Возврат выручки",'Отчет сентябрь'!E:E,B44)</f>
        <v>0</v>
      </c>
      <c r="R44" s="49">
        <f t="shared" si="22"/>
        <v>2</v>
      </c>
      <c r="S44" s="50">
        <f>SUMIFS('Отчет сентябрь'!O:O,'Отчет сентябрь'!C:C,"Продажи",'Отчет сентябрь'!E:E,B44)</f>
        <v>6600</v>
      </c>
      <c r="T44" s="51">
        <f>SUMIFS('Отчет сентябрь'!O:O,'Отчет сентябрь'!C:C,"Возвраты",'Отчет сентябрь'!E:E,B44)</f>
        <v>0</v>
      </c>
      <c r="U44" s="49">
        <f t="shared" si="23"/>
        <v>6600</v>
      </c>
      <c r="V44" s="52">
        <f t="shared" si="24"/>
        <v>4.00772397711954E-2</v>
      </c>
      <c r="W44" s="53">
        <f t="shared" si="25"/>
        <v>1104</v>
      </c>
      <c r="X44" s="51">
        <f>-SUMIFS('Отчет сентябрь'!O:O,'Отчет сентябрь'!C:C,"Вознаграждение Ozon",'Отчет сентябрь'!E:E,B44)</f>
        <v>1584</v>
      </c>
      <c r="Y44" s="54">
        <f t="shared" si="26"/>
        <v>0.24</v>
      </c>
      <c r="Z44" s="51">
        <f>-SUMIFS('Отчет сентябрь'!O:O,'Отчет сентябрь'!C:C,"Услуги доставки",'Отчет сентябрь'!E:E,B44)</f>
        <v>336</v>
      </c>
      <c r="AA44" s="41">
        <v>9180.1097449999997</v>
      </c>
      <c r="AB44" s="64"/>
      <c r="AC44" s="51"/>
      <c r="AD44" s="55">
        <f>U44*1%</f>
        <v>66</v>
      </c>
      <c r="AE44" s="56">
        <f t="shared" si="27"/>
        <v>-5670.1097449999997</v>
      </c>
      <c r="AF44" s="55"/>
      <c r="AG44" s="57">
        <f t="shared" si="28"/>
        <v>3300</v>
      </c>
      <c r="AH44" s="58">
        <f t="shared" si="29"/>
        <v>552</v>
      </c>
      <c r="AI44" s="58">
        <f t="shared" si="30"/>
        <v>792</v>
      </c>
      <c r="AJ44" s="58">
        <f t="shared" si="31"/>
        <v>168</v>
      </c>
      <c r="AK44" s="58">
        <f t="shared" si="32"/>
        <v>4590.0548724999999</v>
      </c>
      <c r="AL44" s="58">
        <f t="array" ref="AL44">_xlfn.IFS(R44=0,AE44,R44&lt;0,AE44/-R44,R44&gt;0,AE44/R44)</f>
        <v>-2835.0548724999999</v>
      </c>
      <c r="AM44" s="59">
        <f t="shared" si="33"/>
        <v>-0.85910753712121213</v>
      </c>
      <c r="AN44" s="60">
        <f t="shared" si="34"/>
        <v>-5.1359689719202892</v>
      </c>
      <c r="AP44" s="62">
        <f t="shared" si="35"/>
        <v>0</v>
      </c>
    </row>
    <row r="45" spans="1:42">
      <c r="A45" s="39">
        <v>2774719500</v>
      </c>
      <c r="B45" s="40" t="s">
        <v>245</v>
      </c>
      <c r="C45" s="41"/>
      <c r="D45" s="42"/>
      <c r="E45" s="42"/>
      <c r="F45" s="42"/>
      <c r="G45" s="43"/>
      <c r="H45" s="65">
        <v>552</v>
      </c>
      <c r="I45" s="63">
        <f t="shared" si="19"/>
        <v>0</v>
      </c>
      <c r="J45" s="45"/>
      <c r="K45" s="41">
        <v>1</v>
      </c>
      <c r="L45" s="45"/>
      <c r="M45" s="45"/>
      <c r="N45" s="46">
        <f t="shared" si="36"/>
        <v>3.3333333333333333E-2</v>
      </c>
      <c r="O45" s="47">
        <f t="shared" si="37"/>
        <v>0</v>
      </c>
      <c r="P45" s="48">
        <f>SUMIFS('Отчет сентябрь'!H:H,'Отчет сентябрь'!D:D,"Выручка",'Отчет сентябрь'!E:E,B45)</f>
        <v>0</v>
      </c>
      <c r="Q45" s="48">
        <f>SUMIFS('Отчет сентябрь'!H:H,'Отчет сентябрь'!D:D,"Возврат выручки",'Отчет сентябрь'!E:E,B45)</f>
        <v>0</v>
      </c>
      <c r="R45" s="49">
        <f t="shared" si="22"/>
        <v>0</v>
      </c>
      <c r="S45" s="50">
        <f>SUMIFS('Отчет сентябрь'!O:O,'Отчет сентябрь'!C:C,"Продажи",'Отчет сентябрь'!E:E,B45)</f>
        <v>0</v>
      </c>
      <c r="T45" s="51">
        <f>SUMIFS('Отчет сентябрь'!O:O,'Отчет сентябрь'!C:C,"Возвраты",'Отчет сентябрь'!E:E,B45)</f>
        <v>0</v>
      </c>
      <c r="U45" s="49">
        <f t="shared" si="23"/>
        <v>0</v>
      </c>
      <c r="V45" s="52">
        <f t="shared" si="24"/>
        <v>0</v>
      </c>
      <c r="W45" s="53">
        <f t="shared" si="25"/>
        <v>0</v>
      </c>
      <c r="X45" s="51">
        <f>-SUMIFS('Отчет сентябрь'!O:O,'Отчет сентябрь'!C:C,"Вознаграждение Ozon",'Отчет сентябрь'!E:E,B45)</f>
        <v>0</v>
      </c>
      <c r="Y45" s="54">
        <f t="shared" si="26"/>
        <v>0</v>
      </c>
      <c r="Z45" s="51">
        <f>-SUMIFS('Отчет сентябрь'!O:O,'Отчет сентябрь'!C:C,"Услуги доставки",'Отчет сентябрь'!E:E,B45)</f>
        <v>112</v>
      </c>
      <c r="AA45" s="41">
        <v>0</v>
      </c>
      <c r="AB45" s="64"/>
      <c r="AC45" s="51"/>
      <c r="AD45" s="55">
        <f>U45*1%</f>
        <v>0</v>
      </c>
      <c r="AE45" s="56">
        <f t="shared" si="27"/>
        <v>-112</v>
      </c>
      <c r="AF45" s="55"/>
      <c r="AG45" s="57">
        <f t="shared" si="28"/>
        <v>0</v>
      </c>
      <c r="AH45" s="58">
        <f t="shared" si="29"/>
        <v>552</v>
      </c>
      <c r="AI45" s="58">
        <f t="shared" si="30"/>
        <v>0</v>
      </c>
      <c r="AJ45" s="58">
        <f t="shared" si="31"/>
        <v>112</v>
      </c>
      <c r="AK45" s="58">
        <f t="shared" si="32"/>
        <v>0</v>
      </c>
      <c r="AL45" s="58">
        <f t="array" ref="AL45">_xlfn.IFS(R45=0,AE45,R45&lt;0,AE45/-R45,R45&gt;0,AE45/R45)</f>
        <v>-112</v>
      </c>
      <c r="AM45" s="59">
        <f t="shared" si="33"/>
        <v>0</v>
      </c>
      <c r="AN45" s="60">
        <f t="shared" si="34"/>
        <v>-0.20289855072463769</v>
      </c>
      <c r="AP45" s="62">
        <f t="shared" si="35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>
        <f t="shared" ref="AG46:AN46" si="38">AVERAGEIF(AG26:AG45,"&lt;&gt;0",AG26:AG45)</f>
        <v>3396</v>
      </c>
      <c r="AH46" s="259">
        <f t="shared" si="38"/>
        <v>617.25</v>
      </c>
      <c r="AI46" s="259">
        <f t="shared" si="38"/>
        <v>713.82</v>
      </c>
      <c r="AJ46" s="259">
        <f t="shared" si="38"/>
        <v>177.33333333333331</v>
      </c>
      <c r="AK46" s="259">
        <f t="shared" si="38"/>
        <v>3004.4171095666666</v>
      </c>
      <c r="AL46" s="259">
        <f t="shared" si="38"/>
        <v>-895.25669851666657</v>
      </c>
      <c r="AM46" s="260">
        <f t="shared" si="38"/>
        <v>-0.38187538287276201</v>
      </c>
      <c r="AN46" s="260">
        <f t="shared" si="38"/>
        <v>-1.5094602304818818</v>
      </c>
      <c r="AO46" s="240"/>
      <c r="AP46" s="241"/>
    </row>
    <row r="47" spans="1:42">
      <c r="A47" s="218" t="s">
        <v>306</v>
      </c>
      <c r="B47" s="219"/>
      <c r="C47" s="220">
        <f>SUM(C26:C45)</f>
        <v>0</v>
      </c>
      <c r="D47" s="221"/>
      <c r="E47" s="221"/>
      <c r="F47" s="221"/>
      <c r="G47" s="221"/>
      <c r="H47" s="222"/>
      <c r="I47" s="220">
        <f>SUM(I26:I45)</f>
        <v>0</v>
      </c>
      <c r="J47" s="223"/>
      <c r="K47" s="220">
        <f>SUM(K26:K45)</f>
        <v>42</v>
      </c>
      <c r="L47" s="223"/>
      <c r="M47" s="223"/>
      <c r="N47" s="224"/>
      <c r="O47" s="225"/>
      <c r="P47" s="220">
        <f t="shared" ref="P47:X47" si="39">SUM(P26:P45)</f>
        <v>10</v>
      </c>
      <c r="Q47" s="220">
        <f t="shared" si="39"/>
        <v>1</v>
      </c>
      <c r="R47" s="250">
        <f t="shared" si="39"/>
        <v>11</v>
      </c>
      <c r="S47" s="220">
        <f t="shared" si="39"/>
        <v>35040</v>
      </c>
      <c r="T47" s="220">
        <f t="shared" si="39"/>
        <v>-3690</v>
      </c>
      <c r="U47" s="250">
        <f t="shared" si="39"/>
        <v>31350</v>
      </c>
      <c r="V47" s="253">
        <f t="shared" si="39"/>
        <v>0.19036688891317816</v>
      </c>
      <c r="W47" s="220">
        <f t="shared" si="39"/>
        <v>6987</v>
      </c>
      <c r="X47" s="220">
        <f t="shared" si="39"/>
        <v>6464.4000000000005</v>
      </c>
      <c r="Y47" s="226">
        <f>IF(U47=0,0,X47/U47)</f>
        <v>0.20620095693779905</v>
      </c>
      <c r="Z47" s="220">
        <f>SUM(Z26:Z45)</f>
        <v>2408</v>
      </c>
      <c r="AA47" s="220">
        <f>IFERROR(P47*AA49/P49,0)</f>
        <v>8720.250847457628</v>
      </c>
      <c r="AB47" s="220">
        <f>SUM(AB26:AB45)</f>
        <v>0</v>
      </c>
      <c r="AC47" s="220">
        <f>SUM(AC26:AC45)</f>
        <v>0</v>
      </c>
      <c r="AD47" s="250">
        <f>SUM(AD26:AD45)</f>
        <v>313.5</v>
      </c>
      <c r="AE47" s="220">
        <f>SUM(AE26:AE45)</f>
        <v>-10418.264745999999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0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25595.364745999999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0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0</v>
      </c>
      <c r="J49" s="229">
        <f>J24+J47</f>
        <v>0</v>
      </c>
      <c r="K49" s="229">
        <f>K24+K47</f>
        <v>239</v>
      </c>
      <c r="L49" s="230"/>
      <c r="M49" s="230"/>
      <c r="N49" s="230"/>
      <c r="O49" s="230"/>
      <c r="P49" s="269">
        <f t="shared" ref="P49:X49" si="40">P24+P47</f>
        <v>118</v>
      </c>
      <c r="Q49" s="229">
        <f t="shared" si="40"/>
        <v>6</v>
      </c>
      <c r="R49" s="252">
        <f t="shared" si="40"/>
        <v>124</v>
      </c>
      <c r="S49" s="229">
        <f t="shared" si="40"/>
        <v>175039.99999999997</v>
      </c>
      <c r="T49" s="229">
        <f t="shared" si="40"/>
        <v>-10358</v>
      </c>
      <c r="U49" s="252">
        <f t="shared" si="40"/>
        <v>164681.99999999997</v>
      </c>
      <c r="V49" s="255">
        <f t="shared" si="40"/>
        <v>1.0000000000000002</v>
      </c>
      <c r="W49" s="229">
        <f t="shared" si="40"/>
        <v>24225.88</v>
      </c>
      <c r="X49" s="229">
        <f t="shared" si="40"/>
        <v>34882.920000000013</v>
      </c>
      <c r="Y49" s="232">
        <f>X49/U49</f>
        <v>0.21181987102415575</v>
      </c>
      <c r="Z49" s="229">
        <f>Z24+Z47</f>
        <v>13260</v>
      </c>
      <c r="AA49" s="75">
        <v>102898.96</v>
      </c>
      <c r="AB49" s="74"/>
      <c r="AC49" s="74">
        <f>SUM(AC3:AC45)</f>
        <v>0</v>
      </c>
      <c r="AD49" s="229">
        <f>AD24+AD47</f>
        <v>1646.8199999999995</v>
      </c>
      <c r="AE49" s="233">
        <f>AE24+AE47</f>
        <v>-5709.1892140000546</v>
      </c>
      <c r="AF49" s="76"/>
      <c r="AG49" s="234"/>
      <c r="AH49" s="235"/>
      <c r="AI49" s="235"/>
      <c r="AJ49" s="235"/>
      <c r="AK49" s="235">
        <f>AA50/P49</f>
        <v>872.02508474576291</v>
      </c>
      <c r="AL49" s="235"/>
      <c r="AM49" s="235"/>
      <c r="AN49" s="236"/>
      <c r="AP49" s="233">
        <f>SUM(AP3:AP45)</f>
        <v>0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102898.96000000002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96375.569213999988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 t="e">
        <f>I56/I49</f>
        <v>#DIV/0!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0</v>
      </c>
      <c r="J57" s="109" t="e">
        <f>I57/I49</f>
        <v>#DIV/0!</v>
      </c>
      <c r="K57" s="105">
        <f>AP49-K56-K58</f>
        <v>0</v>
      </c>
      <c r="L57" s="106" t="e">
        <f>K57/I57</f>
        <v>#DIV/0!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 t="e">
        <f>I58/I49</f>
        <v>#DIV/0!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25" priority="17" operator="greaterThan">
      <formula>120</formula>
    </cfRule>
  </conditionalFormatting>
  <conditionalFormatting sqref="N48">
    <cfRule type="cellIs" dxfId="24" priority="16" operator="between">
      <formula>0.000001</formula>
      <formula>25</formula>
    </cfRule>
  </conditionalFormatting>
  <conditionalFormatting sqref="V1 V50:V53 V55:V1048576">
    <cfRule type="cellIs" dxfId="23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{8E934E6D-6387-468E-A594-AEAA32255814}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{BD9CCADB-5353-4830-9877-C0CDA4AE73E3}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{0A547527-8B72-4683-8964-4B47127B581D}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{45FBCCD5-2C11-4769-84E3-A7EB436E6651}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{AEA2EA9B-1ED5-474F-A231-BEFF5834020C}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{B8898360-1836-4396-A4E9-179D729E8961}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{4FD00B02-CEA7-491E-8953-94E605963874}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{C809FB27-B31D-4174-A775-152F70183FEB}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{297D6D86-72E3-4CDE-ACF0-36469C338CDA}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{8135C96A-FFD5-452A-BD0F-9157FD7F214F}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{7E4CE911-0B01-44D2-BB49-EFFF4DF0BFC4}</x14:id>
        </ext>
      </extLst>
    </cfRule>
  </conditionalFormatting>
  <conditionalFormatting sqref="P48">
    <cfRule type="cellIs" dxfId="22" priority="12" operator="greaterThan">
      <formula>120</formula>
    </cfRule>
  </conditionalFormatting>
  <conditionalFormatting sqref="Q48">
    <cfRule type="cellIs" dxfId="21" priority="11" operator="greaterThan">
      <formula>120</formula>
    </cfRule>
  </conditionalFormatting>
  <conditionalFormatting sqref="R48">
    <cfRule type="cellIs" dxfId="20" priority="10" operator="greaterThan">
      <formula>120</formula>
    </cfRule>
  </conditionalFormatting>
  <conditionalFormatting sqref="S48">
    <cfRule type="cellIs" dxfId="19" priority="9" operator="greaterThan">
      <formula>120</formula>
    </cfRule>
  </conditionalFormatting>
  <conditionalFormatting sqref="T48">
    <cfRule type="cellIs" dxfId="18" priority="8" operator="greaterThan">
      <formula>120</formula>
    </cfRule>
  </conditionalFormatting>
  <conditionalFormatting sqref="U48">
    <cfRule type="cellIs" dxfId="17" priority="7" operator="greaterThan">
      <formula>120</formula>
    </cfRule>
  </conditionalFormatting>
  <conditionalFormatting sqref="V48">
    <cfRule type="cellIs" dxfId="16" priority="6" operator="greaterThan">
      <formula>120</formula>
    </cfRule>
  </conditionalFormatting>
  <conditionalFormatting sqref="W48">
    <cfRule type="cellIs" dxfId="15" priority="5" operator="greaterThan">
      <formula>120</formula>
    </cfRule>
  </conditionalFormatting>
  <conditionalFormatting sqref="X48">
    <cfRule type="cellIs" dxfId="14" priority="4" operator="greaterThan">
      <formula>120</formula>
    </cfRule>
  </conditionalFormatting>
  <conditionalFormatting sqref="Z48">
    <cfRule type="cellIs" dxfId="13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{DF32114D-D878-492E-94D7-C4DADFF9E22A}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{B627B57A-29F1-4497-977D-23BE0360F603}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934E6D-6387-468E-A594-AEAA322558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BD9CCADB-5353-4830-9877-C0CDA4AE73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0A547527-8B72-4683-8964-4B47127B58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45FBCCD5-2C11-4769-84E3-A7EB436E66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AEA2EA9B-1ED5-474F-A231-BEFF58340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B8898360-1836-4396-A4E9-179D729E89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4FD00B02-CEA7-491E-8953-94E605963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C809FB27-B31D-4174-A775-152F70183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297D6D86-72E3-4CDE-ACF0-36469C338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8135C96A-FFD5-452A-BD0F-9157FD7F21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7E4CE911-0B01-44D2-BB49-EFFF4DF0B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DF32114D-D878-492E-94D7-C4DADFF9E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B627B57A-29F1-4497-977D-23BE0360F6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9E2F-E8FE-4793-8019-F5ADE00E11B3}">
  <dimension ref="A1:AZ62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Col="2"/>
  <cols>
    <col min="1" max="1" width="15.54296875" style="61" customWidth="1"/>
    <col min="2" max="2" width="19.90625" style="115" customWidth="1"/>
    <col min="3" max="3" width="15.36328125" style="94" customWidth="1"/>
    <col min="4" max="4" width="10.90625" style="61" hidden="1" customWidth="1" outlineLevel="1"/>
    <col min="5" max="6" width="12.453125" style="61" hidden="1" customWidth="1" outlineLevel="1"/>
    <col min="7" max="7" width="11.1796875" style="61" hidden="1" customWidth="1" outlineLevel="1"/>
    <col min="8" max="8" width="11.7265625" style="61" customWidth="1" collapsed="1"/>
    <col min="9" max="9" width="17.90625" style="61" customWidth="1"/>
    <col min="10" max="10" width="22.26953125" style="61" hidden="1" customWidth="1" outlineLevel="1"/>
    <col min="11" max="11" width="15.81640625" style="61" customWidth="1" collapsed="1"/>
    <col min="12" max="12" width="23.453125" style="61" hidden="1" customWidth="1" outlineLevel="1"/>
    <col min="13" max="13" width="17.54296875" style="61" hidden="1" customWidth="1" outlineLevel="1"/>
    <col min="14" max="14" width="15.36328125" style="61" customWidth="1" collapsed="1"/>
    <col min="15" max="15" width="13.453125" style="61" customWidth="1"/>
    <col min="16" max="16" width="11.1796875" style="61" customWidth="1"/>
    <col min="17" max="17" width="8.81640625" style="61" customWidth="1"/>
    <col min="18" max="18" width="10.1796875" style="98" customWidth="1"/>
    <col min="19" max="19" width="13.1796875" style="98" customWidth="1"/>
    <col min="20" max="20" width="10.7265625" style="98" customWidth="1"/>
    <col min="21" max="21" width="17.7265625" style="98" customWidth="1"/>
    <col min="22" max="22" width="9.7265625" style="99" customWidth="1"/>
    <col min="23" max="23" width="11.81640625" style="61" customWidth="1"/>
    <col min="24" max="24" width="12.90625" style="61" customWidth="1"/>
    <col min="25" max="25" width="14.26953125" style="61" customWidth="1"/>
    <col min="26" max="27" width="11.7265625" style="61" customWidth="1"/>
    <col min="28" max="29" width="10.36328125" style="53" hidden="1" customWidth="1" outlineLevel="2"/>
    <col min="30" max="30" width="12.54296875" style="61" collapsed="1"/>
    <col min="31" max="31" width="19" style="61" customWidth="1"/>
    <col min="32" max="32" width="6.54296875" style="61" customWidth="1"/>
    <col min="33" max="33" width="12.54296875" style="61"/>
    <col min="34" max="34" width="18.26953125" style="61" bestFit="1" customWidth="1"/>
    <col min="35" max="35" width="17.6328125" style="61" bestFit="1" customWidth="1"/>
    <col min="36" max="36" width="18" style="61" bestFit="1" customWidth="1"/>
    <col min="37" max="37" width="17" style="61" bestFit="1" customWidth="1"/>
    <col min="38" max="38" width="12.54296875" style="61"/>
    <col min="39" max="39" width="11.7265625" style="61" customWidth="1"/>
    <col min="40" max="40" width="12.54296875" style="61"/>
    <col min="41" max="41" width="6.453125" style="61" customWidth="1"/>
    <col min="42" max="16384" width="12.54296875" style="61"/>
  </cols>
  <sheetData>
    <row r="1" spans="1:42" s="10" customFormat="1" ht="15.5">
      <c r="B1" s="11" t="s">
        <v>768</v>
      </c>
      <c r="C1" s="12"/>
      <c r="D1" s="13"/>
      <c r="E1" s="13"/>
      <c r="F1" s="13"/>
      <c r="G1" s="13"/>
      <c r="O1" s="14"/>
      <c r="P1" s="14"/>
      <c r="Q1" s="14"/>
      <c r="R1" s="14"/>
      <c r="S1" s="14"/>
      <c r="T1" s="14"/>
      <c r="U1" s="14"/>
      <c r="V1" s="14"/>
      <c r="W1" s="14"/>
      <c r="X1" s="15"/>
      <c r="Y1" s="16"/>
      <c r="Z1" s="15"/>
      <c r="AA1" s="15"/>
      <c r="AB1" s="17"/>
      <c r="AC1" s="17"/>
      <c r="AE1" s="18"/>
      <c r="AG1" s="18" t="s">
        <v>183</v>
      </c>
      <c r="AH1" s="18"/>
      <c r="AI1" s="18"/>
      <c r="AJ1" s="18"/>
      <c r="AK1" s="18"/>
      <c r="AM1" s="14"/>
    </row>
    <row r="2" spans="1:42" s="19" customFormat="1" ht="50.5" customHeight="1">
      <c r="B2" s="20" t="s">
        <v>184</v>
      </c>
      <c r="C2" s="21" t="s">
        <v>761</v>
      </c>
      <c r="D2" s="22" t="s">
        <v>186</v>
      </c>
      <c r="E2" s="22" t="s">
        <v>187</v>
      </c>
      <c r="F2" s="22" t="s">
        <v>188</v>
      </c>
      <c r="G2" s="22" t="s">
        <v>189</v>
      </c>
      <c r="H2" s="22" t="s">
        <v>190</v>
      </c>
      <c r="I2" s="22" t="s">
        <v>191</v>
      </c>
      <c r="J2" s="23" t="s">
        <v>192</v>
      </c>
      <c r="K2" s="24" t="s">
        <v>1994</v>
      </c>
      <c r="L2" s="24" t="s">
        <v>194</v>
      </c>
      <c r="M2" s="24" t="s">
        <v>195</v>
      </c>
      <c r="N2" s="23" t="s">
        <v>196</v>
      </c>
      <c r="O2" s="25" t="s">
        <v>197</v>
      </c>
      <c r="P2" s="22" t="s">
        <v>198</v>
      </c>
      <c r="Q2" s="22" t="s">
        <v>199</v>
      </c>
      <c r="R2" s="26" t="s">
        <v>200</v>
      </c>
      <c r="S2" s="27" t="s">
        <v>201</v>
      </c>
      <c r="T2" s="22" t="s">
        <v>202</v>
      </c>
      <c r="U2" s="28" t="s">
        <v>203</v>
      </c>
      <c r="V2" s="29" t="s">
        <v>204</v>
      </c>
      <c r="W2" s="30" t="s">
        <v>205</v>
      </c>
      <c r="X2" s="30" t="s">
        <v>206</v>
      </c>
      <c r="Y2" s="31" t="s">
        <v>207</v>
      </c>
      <c r="Z2" s="22" t="s">
        <v>29</v>
      </c>
      <c r="AA2" s="22" t="s">
        <v>208</v>
      </c>
      <c r="AB2" s="22" t="s">
        <v>209</v>
      </c>
      <c r="AC2" s="22" t="s">
        <v>210</v>
      </c>
      <c r="AD2" s="32" t="s">
        <v>1996</v>
      </c>
      <c r="AE2" s="33" t="s">
        <v>212</v>
      </c>
      <c r="AF2" s="34"/>
      <c r="AG2" s="35" t="s">
        <v>213</v>
      </c>
      <c r="AH2" s="31" t="s">
        <v>214</v>
      </c>
      <c r="AI2" s="31" t="s">
        <v>215</v>
      </c>
      <c r="AJ2" s="31" t="s">
        <v>216</v>
      </c>
      <c r="AK2" s="31" t="s">
        <v>217</v>
      </c>
      <c r="AL2" s="36" t="s">
        <v>218</v>
      </c>
      <c r="AM2" s="36" t="s">
        <v>219</v>
      </c>
      <c r="AN2" s="37" t="s">
        <v>220</v>
      </c>
      <c r="AP2" s="38" t="s">
        <v>221</v>
      </c>
    </row>
    <row r="3" spans="1:42">
      <c r="A3" s="39">
        <v>2638219896</v>
      </c>
      <c r="B3" s="40" t="s">
        <v>25</v>
      </c>
      <c r="C3" s="41"/>
      <c r="D3" s="42"/>
      <c r="E3" s="42"/>
      <c r="F3" s="42"/>
      <c r="G3" s="43"/>
      <c r="H3" s="44">
        <v>142.97999999999999</v>
      </c>
      <c r="I3" s="42">
        <f t="shared" ref="I3:I22" si="0">C3*H3</f>
        <v>0</v>
      </c>
      <c r="J3" s="45"/>
      <c r="K3" s="41">
        <v>11</v>
      </c>
      <c r="L3" s="45"/>
      <c r="M3" s="45"/>
      <c r="N3" s="46"/>
      <c r="O3" s="47"/>
      <c r="P3" s="48">
        <f>SUMIFS('Отчет август'!H:H,'Отчет август'!D:D,"Выручка",'Отчет август'!E:E,B3)</f>
        <v>2</v>
      </c>
      <c r="Q3" s="48">
        <f>SUMIFS('Отчет август'!H:H,'Отчет август'!D:D,"Возврат выручки",'Отчет август'!E:E,B3)</f>
        <v>0</v>
      </c>
      <c r="R3" s="49">
        <f t="shared" ref="R3:R22" si="1">P3+Q3</f>
        <v>2</v>
      </c>
      <c r="S3" s="50">
        <f>SUMIFS('Отчет август'!O:O,'Отчет август'!C:C,"Продажи",'Отчет август'!E:E,B3)</f>
        <v>3413</v>
      </c>
      <c r="T3" s="51">
        <f>SUMIFS('Отчет август'!O:O,'Отчет август'!C:C,"Возвраты",'Отчет август'!E:E,B3)</f>
        <v>0</v>
      </c>
      <c r="U3" s="49">
        <f t="shared" ref="U3:U22" si="2">S3+T3</f>
        <v>3413</v>
      </c>
      <c r="V3" s="52">
        <f t="shared" ref="V3:V22" si="3">U3/$U$49</f>
        <v>0.40091624574180668</v>
      </c>
      <c r="W3" s="53">
        <f t="shared" ref="W3:W22" si="4">R3*H3</f>
        <v>285.95999999999998</v>
      </c>
      <c r="X3" s="51">
        <f>-SUMIFS('Отчет август'!O:O,'Отчет август'!C:C,"Вознаграждение Ozon",'Отчет август'!E:E,B3)</f>
        <v>682.6</v>
      </c>
      <c r="Y3" s="54">
        <f t="shared" ref="Y3:Y22" si="5">IF(U3=0,0,X3/U3)</f>
        <v>0.2</v>
      </c>
      <c r="Z3" s="51">
        <f>-SUMIFS('Отчет август'!O:O,'Отчет август'!C:C,"Услуги доставки",'Отчет август'!E:E,B3)</f>
        <v>276</v>
      </c>
      <c r="AA3" s="41">
        <v>3571.8252980000002</v>
      </c>
      <c r="AB3" s="51"/>
      <c r="AC3" s="51"/>
      <c r="AD3" s="55">
        <f>U3*1%</f>
        <v>34.130000000000003</v>
      </c>
      <c r="AE3" s="56">
        <f t="shared" ref="AE3:AE22" si="6">U3-W3-X3-Z3-AA3-AB3-AC3-AD3</f>
        <v>-1437.5152980000003</v>
      </c>
      <c r="AF3" s="55"/>
      <c r="AG3" s="57">
        <f t="shared" ref="AG3:AG22" si="7">IF(R3=0,0,U3/R3)</f>
        <v>1706.5</v>
      </c>
      <c r="AH3" s="58">
        <f t="shared" ref="AH3:AH22" si="8">H3</f>
        <v>142.97999999999999</v>
      </c>
      <c r="AI3" s="58">
        <f t="shared" ref="AI3:AI22" si="9">IF(R3=0,0,X3/R3)</f>
        <v>341.3</v>
      </c>
      <c r="AJ3" s="58">
        <f t="shared" ref="AJ3:AJ22" si="10">IF(P3=0,Z3/1,Z3/P3)</f>
        <v>138</v>
      </c>
      <c r="AK3" s="58">
        <f t="shared" ref="AK3:AK22" si="11">IF(P3=0,0,AA3/P3)</f>
        <v>1785.9126490000001</v>
      </c>
      <c r="AL3" s="58">
        <f>_xlfn.IFS(R3=0,AE3,R3&lt;0,AE3/-R3,R3&gt;0,AE3/R3)</f>
        <v>-718.75764900000013</v>
      </c>
      <c r="AM3" s="59">
        <f t="shared" ref="AM3:AM22" si="12">IF(AG3=0,0,AL3/AG3)</f>
        <v>-0.42118819162027549</v>
      </c>
      <c r="AN3" s="60">
        <f t="shared" ref="AN3:AN22" si="13">IF(AH3=0,0,AL3/AH3)</f>
        <v>-5.0269803399076807</v>
      </c>
      <c r="AP3" s="62">
        <f t="shared" ref="AP3:AP22" si="14">AL3*C3</f>
        <v>0</v>
      </c>
    </row>
    <row r="4" spans="1:42">
      <c r="A4" s="39">
        <v>2638638550</v>
      </c>
      <c r="B4" s="40" t="s">
        <v>92</v>
      </c>
      <c r="C4" s="41"/>
      <c r="D4" s="42"/>
      <c r="E4" s="42"/>
      <c r="F4" s="42"/>
      <c r="G4" s="43"/>
      <c r="H4" s="44">
        <v>123.09</v>
      </c>
      <c r="I4" s="42">
        <f t="shared" si="0"/>
        <v>0</v>
      </c>
      <c r="J4" s="45"/>
      <c r="K4" s="41">
        <v>4</v>
      </c>
      <c r="L4" s="45"/>
      <c r="M4" s="45"/>
      <c r="N4" s="46"/>
      <c r="O4" s="47"/>
      <c r="P4" s="48">
        <f>SUMIFS('Отчет август'!H:H,'Отчет август'!D:D,"Выручка",'Отчет август'!E:E,B4)</f>
        <v>2</v>
      </c>
      <c r="Q4" s="48">
        <f>SUMIFS('Отчет август'!H:H,'Отчет август'!D:D,"Возврат выручки",'Отчет август'!E:E,B4)</f>
        <v>0</v>
      </c>
      <c r="R4" s="49">
        <f t="shared" si="1"/>
        <v>2</v>
      </c>
      <c r="S4" s="50">
        <f>SUMIFS('Отчет август'!O:O,'Отчет август'!C:C,"Продажи",'Отчет август'!E:E,B4)</f>
        <v>3400</v>
      </c>
      <c r="T4" s="51">
        <f>SUMIFS('Отчет август'!O:O,'Отчет август'!C:C,"Возвраты",'Отчет август'!E:E,B4)</f>
        <v>0</v>
      </c>
      <c r="U4" s="49">
        <f t="shared" si="2"/>
        <v>3400</v>
      </c>
      <c r="V4" s="52">
        <f t="shared" si="3"/>
        <v>0.39938916950546222</v>
      </c>
      <c r="W4" s="53">
        <f t="shared" si="4"/>
        <v>246.18</v>
      </c>
      <c r="X4" s="51">
        <f>-SUMIFS('Отчет август'!O:O,'Отчет август'!C:C,"Вознаграждение Ozon",'Отчет август'!E:E,B4)</f>
        <v>680</v>
      </c>
      <c r="Y4" s="54">
        <f t="shared" si="5"/>
        <v>0.2</v>
      </c>
      <c r="Z4" s="51">
        <f>-SUMIFS('Отчет август'!O:O,'Отчет август'!C:C,"Услуги доставки",'Отчет август'!E:E,B4)</f>
        <v>184</v>
      </c>
      <c r="AA4" s="41">
        <v>3722.5911580000002</v>
      </c>
      <c r="AB4" s="51"/>
      <c r="AC4" s="51"/>
      <c r="AD4" s="55">
        <f>U4*1%</f>
        <v>34</v>
      </c>
      <c r="AE4" s="56">
        <f t="shared" si="6"/>
        <v>-1466.771158</v>
      </c>
      <c r="AF4" s="55"/>
      <c r="AG4" s="57">
        <f t="shared" si="7"/>
        <v>1700</v>
      </c>
      <c r="AH4" s="58">
        <f t="shared" si="8"/>
        <v>123.09</v>
      </c>
      <c r="AI4" s="58">
        <f t="shared" si="9"/>
        <v>340</v>
      </c>
      <c r="AJ4" s="58">
        <f t="shared" si="10"/>
        <v>92</v>
      </c>
      <c r="AK4" s="58">
        <f t="shared" si="11"/>
        <v>1861.2955790000001</v>
      </c>
      <c r="AL4" s="58">
        <f t="array" ref="AL4">_xlfn.IFS(R4=0,AE4,R4&lt;0,AE4/-R4,R4&gt;0,AE4/R4)</f>
        <v>-733.38557900000001</v>
      </c>
      <c r="AM4" s="59">
        <f t="shared" si="12"/>
        <v>-0.43140328176470588</v>
      </c>
      <c r="AN4" s="60">
        <f t="shared" si="13"/>
        <v>-5.9581247786172717</v>
      </c>
      <c r="AP4" s="62">
        <f t="shared" si="14"/>
        <v>0</v>
      </c>
    </row>
    <row r="5" spans="1:42">
      <c r="A5" s="39">
        <v>2638691131</v>
      </c>
      <c r="B5" s="40" t="s">
        <v>222</v>
      </c>
      <c r="C5" s="41"/>
      <c r="D5" s="42"/>
      <c r="E5" s="42"/>
      <c r="F5" s="42"/>
      <c r="G5" s="43"/>
      <c r="H5" s="44">
        <v>123.09</v>
      </c>
      <c r="I5" s="63">
        <f t="shared" si="0"/>
        <v>0</v>
      </c>
      <c r="J5" s="45"/>
      <c r="K5" s="41">
        <v>0</v>
      </c>
      <c r="L5" s="45"/>
      <c r="M5" s="45"/>
      <c r="N5" s="46"/>
      <c r="O5" s="47"/>
      <c r="P5" s="48">
        <f>SUMIFS('Отчет август'!H:H,'Отчет август'!D:D,"Выручка",'Отчет август'!E:E,B5)</f>
        <v>0</v>
      </c>
      <c r="Q5" s="48">
        <f>SUMIFS('Отчет август'!H:H,'Отчет август'!D:D,"Возврат выручки",'Отчет август'!E:E,B5)</f>
        <v>0</v>
      </c>
      <c r="R5" s="49">
        <f t="shared" si="1"/>
        <v>0</v>
      </c>
      <c r="S5" s="50">
        <f>SUMIFS('Отчет август'!O:O,'Отчет август'!C:C,"Продажи",'Отчет август'!E:E,B5)</f>
        <v>0</v>
      </c>
      <c r="T5" s="51">
        <f>SUMIFS('Отчет август'!O:O,'Отчет август'!C:C,"Возвраты",'Отчет август'!E:E,B5)</f>
        <v>0</v>
      </c>
      <c r="U5" s="49">
        <f t="shared" si="2"/>
        <v>0</v>
      </c>
      <c r="V5" s="52">
        <f t="shared" si="3"/>
        <v>0</v>
      </c>
      <c r="W5" s="53">
        <f t="shared" si="4"/>
        <v>0</v>
      </c>
      <c r="X5" s="51">
        <f>-SUMIFS('Отчет август'!O:O,'Отчет август'!C:C,"Вознаграждение Ozon",'Отчет август'!E:E,B5)</f>
        <v>0</v>
      </c>
      <c r="Y5" s="54">
        <f t="shared" si="5"/>
        <v>0</v>
      </c>
      <c r="Z5" s="51">
        <f>-SUMIFS('Отчет август'!O:O,'Отчет август'!C:C,"Услуги доставки",'Отчет август'!E:E,B5)</f>
        <v>0</v>
      </c>
      <c r="AA5" s="41">
        <v>2570.2273489999998</v>
      </c>
      <c r="AB5" s="64"/>
      <c r="AC5" s="51"/>
      <c r="AD5" s="55">
        <f>U5*1%</f>
        <v>0</v>
      </c>
      <c r="AE5" s="56">
        <f t="shared" si="6"/>
        <v>-2570.2273489999998</v>
      </c>
      <c r="AF5" s="55"/>
      <c r="AG5" s="57">
        <f t="shared" si="7"/>
        <v>0</v>
      </c>
      <c r="AH5" s="58">
        <f t="shared" si="8"/>
        <v>123.09</v>
      </c>
      <c r="AI5" s="58">
        <f t="shared" si="9"/>
        <v>0</v>
      </c>
      <c r="AJ5" s="58">
        <f t="shared" si="10"/>
        <v>0</v>
      </c>
      <c r="AK5" s="58">
        <f t="shared" si="11"/>
        <v>0</v>
      </c>
      <c r="AL5" s="58">
        <f t="array" ref="AL5">_xlfn.IFS(R5=0,AE5,R5&lt;0,AE5/-R5,R5&gt;0,AE5/R5)</f>
        <v>-2570.2273489999998</v>
      </c>
      <c r="AM5" s="59">
        <f t="shared" si="12"/>
        <v>0</v>
      </c>
      <c r="AN5" s="60">
        <f t="shared" si="13"/>
        <v>-20.880878617271911</v>
      </c>
      <c r="AP5" s="62">
        <f t="shared" si="14"/>
        <v>0</v>
      </c>
    </row>
    <row r="6" spans="1:42">
      <c r="A6" s="39">
        <v>2638382749</v>
      </c>
      <c r="B6" s="40" t="s">
        <v>223</v>
      </c>
      <c r="C6" s="41"/>
      <c r="D6" s="42"/>
      <c r="E6" s="42"/>
      <c r="F6" s="42"/>
      <c r="G6" s="43"/>
      <c r="H6" s="44">
        <v>123.09</v>
      </c>
      <c r="I6" s="63">
        <f t="shared" si="0"/>
        <v>0</v>
      </c>
      <c r="J6" s="45"/>
      <c r="K6" s="41">
        <v>1</v>
      </c>
      <c r="L6" s="45"/>
      <c r="M6" s="45"/>
      <c r="N6" s="46"/>
      <c r="O6" s="47"/>
      <c r="P6" s="48">
        <f>SUMIFS('Отчет август'!H:H,'Отчет август'!D:D,"Выручка",'Отчет август'!E:E,B6)</f>
        <v>0</v>
      </c>
      <c r="Q6" s="48">
        <f>SUMIFS('Отчет август'!H:H,'Отчет август'!D:D,"Возврат выручки",'Отчет август'!E:E,B6)</f>
        <v>0</v>
      </c>
      <c r="R6" s="49">
        <f t="shared" si="1"/>
        <v>0</v>
      </c>
      <c r="S6" s="50">
        <f>SUMIFS('Отчет август'!O:O,'Отчет август'!C:C,"Продажи",'Отчет август'!E:E,B6)</f>
        <v>0</v>
      </c>
      <c r="T6" s="51">
        <f>SUMIFS('Отчет август'!O:O,'Отчет август'!C:C,"Возвраты",'Отчет август'!E:E,B6)</f>
        <v>0</v>
      </c>
      <c r="U6" s="49">
        <f t="shared" si="2"/>
        <v>0</v>
      </c>
      <c r="V6" s="52">
        <f t="shared" si="3"/>
        <v>0</v>
      </c>
      <c r="W6" s="53">
        <f t="shared" si="4"/>
        <v>0</v>
      </c>
      <c r="X6" s="51">
        <f>-SUMIFS('Отчет август'!O:O,'Отчет август'!C:C,"Вознаграждение Ozon",'Отчет август'!E:E,B6)</f>
        <v>0</v>
      </c>
      <c r="Y6" s="54">
        <f t="shared" si="5"/>
        <v>0</v>
      </c>
      <c r="Z6" s="51">
        <f>-SUMIFS('Отчет август'!O:O,'Отчет август'!C:C,"Услуги доставки",'Отчет август'!E:E,B6)</f>
        <v>0</v>
      </c>
      <c r="AA6" s="41">
        <v>4443.7470910000002</v>
      </c>
      <c r="AB6" s="64"/>
      <c r="AC6" s="51"/>
      <c r="AD6" s="55">
        <f>U6*1%</f>
        <v>0</v>
      </c>
      <c r="AE6" s="56">
        <f t="shared" si="6"/>
        <v>-4443.7470910000002</v>
      </c>
      <c r="AF6" s="55"/>
      <c r="AG6" s="57">
        <f t="shared" si="7"/>
        <v>0</v>
      </c>
      <c r="AH6" s="58">
        <f t="shared" si="8"/>
        <v>123.09</v>
      </c>
      <c r="AI6" s="58">
        <f t="shared" si="9"/>
        <v>0</v>
      </c>
      <c r="AJ6" s="58">
        <f t="shared" si="10"/>
        <v>0</v>
      </c>
      <c r="AK6" s="58">
        <f t="shared" si="11"/>
        <v>0</v>
      </c>
      <c r="AL6" s="58">
        <f t="array" ref="AL6">_xlfn.IFS(R6=0,AE6,R6&lt;0,AE6/-R6,R6&gt;0,AE6/R6)</f>
        <v>-4443.7470910000002</v>
      </c>
      <c r="AM6" s="59">
        <f t="shared" si="12"/>
        <v>0</v>
      </c>
      <c r="AN6" s="60">
        <f t="shared" si="13"/>
        <v>-36.101609318384924</v>
      </c>
      <c r="AP6" s="62">
        <f t="shared" si="14"/>
        <v>0</v>
      </c>
    </row>
    <row r="7" spans="1:42">
      <c r="A7" s="39">
        <v>2638569317</v>
      </c>
      <c r="B7" s="40" t="s">
        <v>54</v>
      </c>
      <c r="C7" s="41"/>
      <c r="D7" s="42"/>
      <c r="E7" s="42"/>
      <c r="F7" s="42"/>
      <c r="G7" s="43"/>
      <c r="H7" s="44">
        <v>117.24</v>
      </c>
      <c r="I7" s="63">
        <f t="shared" si="0"/>
        <v>0</v>
      </c>
      <c r="J7" s="45"/>
      <c r="K7" s="41">
        <v>2</v>
      </c>
      <c r="L7" s="45"/>
      <c r="M7" s="45"/>
      <c r="N7" s="46"/>
      <c r="O7" s="47"/>
      <c r="P7" s="48">
        <f>SUMIFS('Отчет август'!H:H,'Отчет август'!D:D,"Выручка",'Отчет август'!E:E,B7)</f>
        <v>1</v>
      </c>
      <c r="Q7" s="48">
        <f>SUMIFS('Отчет август'!H:H,'Отчет август'!D:D,"Возврат выручки",'Отчет август'!E:E,B7)</f>
        <v>0</v>
      </c>
      <c r="R7" s="49">
        <f t="shared" si="1"/>
        <v>1</v>
      </c>
      <c r="S7" s="50">
        <f>SUMIFS('Отчет август'!O:O,'Отчет август'!C:C,"Продажи",'Отчет август'!E:E,B7)</f>
        <v>1700</v>
      </c>
      <c r="T7" s="51">
        <f>SUMIFS('Отчет август'!O:O,'Отчет август'!C:C,"Возвраты",'Отчет август'!E:E,B7)</f>
        <v>0</v>
      </c>
      <c r="U7" s="49">
        <f t="shared" si="2"/>
        <v>1700</v>
      </c>
      <c r="V7" s="52">
        <f t="shared" si="3"/>
        <v>0.19969458475273111</v>
      </c>
      <c r="W7" s="53">
        <f t="shared" si="4"/>
        <v>117.24</v>
      </c>
      <c r="X7" s="51">
        <f>-SUMIFS('Отчет август'!O:O,'Отчет август'!C:C,"Вознаграждение Ozon",'Отчет август'!E:E,B7)</f>
        <v>340</v>
      </c>
      <c r="Y7" s="54">
        <f t="shared" si="5"/>
        <v>0.2</v>
      </c>
      <c r="Z7" s="51">
        <f>-SUMIFS('Отчет август'!O:O,'Отчет август'!C:C,"Услуги доставки",'Отчет август'!E:E,B7)</f>
        <v>46</v>
      </c>
      <c r="AA7" s="41">
        <v>939.39955299999997</v>
      </c>
      <c r="AB7" s="64"/>
      <c r="AC7" s="51"/>
      <c r="AD7" s="55">
        <f>U7*1%</f>
        <v>17</v>
      </c>
      <c r="AE7" s="56">
        <f t="shared" si="6"/>
        <v>240.36044700000002</v>
      </c>
      <c r="AF7" s="55"/>
      <c r="AG7" s="57">
        <f t="shared" si="7"/>
        <v>1700</v>
      </c>
      <c r="AH7" s="58">
        <f t="shared" si="8"/>
        <v>117.24</v>
      </c>
      <c r="AI7" s="58">
        <f t="shared" si="9"/>
        <v>340</v>
      </c>
      <c r="AJ7" s="58">
        <f t="shared" si="10"/>
        <v>46</v>
      </c>
      <c r="AK7" s="58">
        <f t="shared" si="11"/>
        <v>939.39955299999997</v>
      </c>
      <c r="AL7" s="58">
        <f t="array" ref="AL7">_xlfn.IFS(R7=0,AE7,R7&lt;0,AE7/-R7,R7&gt;0,AE7/R7)</f>
        <v>240.36044700000002</v>
      </c>
      <c r="AM7" s="59">
        <f t="shared" si="12"/>
        <v>0.14138849823529412</v>
      </c>
      <c r="AN7" s="60">
        <f t="shared" si="13"/>
        <v>2.0501573439099285</v>
      </c>
      <c r="AP7" s="62">
        <f t="shared" si="14"/>
        <v>0</v>
      </c>
    </row>
    <row r="8" spans="1:42">
      <c r="A8" s="39">
        <v>2638291563</v>
      </c>
      <c r="B8" s="40" t="s">
        <v>88</v>
      </c>
      <c r="C8" s="41"/>
      <c r="D8" s="42"/>
      <c r="E8" s="42"/>
      <c r="F8" s="42"/>
      <c r="G8" s="43"/>
      <c r="H8" s="44">
        <v>169.89</v>
      </c>
      <c r="I8" s="63">
        <f t="shared" si="0"/>
        <v>0</v>
      </c>
      <c r="J8" s="45"/>
      <c r="K8" s="41">
        <v>1</v>
      </c>
      <c r="L8" s="45"/>
      <c r="M8" s="45"/>
      <c r="N8" s="46"/>
      <c r="O8" s="47"/>
      <c r="P8" s="48">
        <f>SUMIFS('Отчет август'!H:H,'Отчет август'!D:D,"Выручка",'Отчет август'!E:E,B8)</f>
        <v>0</v>
      </c>
      <c r="Q8" s="48">
        <f>SUMIFS('Отчет август'!H:H,'Отчет август'!D:D,"Возврат выручки",'Отчет август'!E:E,B8)</f>
        <v>0</v>
      </c>
      <c r="R8" s="49">
        <f t="shared" si="1"/>
        <v>0</v>
      </c>
      <c r="S8" s="50">
        <f>SUMIFS('Отчет август'!O:O,'Отчет август'!C:C,"Продажи",'Отчет август'!E:E,B8)</f>
        <v>0</v>
      </c>
      <c r="T8" s="51">
        <f>SUMIFS('Отчет август'!O:O,'Отчет август'!C:C,"Возвраты",'Отчет август'!E:E,B8)</f>
        <v>0</v>
      </c>
      <c r="U8" s="49">
        <f t="shared" si="2"/>
        <v>0</v>
      </c>
      <c r="V8" s="52">
        <f t="shared" si="3"/>
        <v>0</v>
      </c>
      <c r="W8" s="53">
        <f t="shared" si="4"/>
        <v>0</v>
      </c>
      <c r="X8" s="51">
        <f>-SUMIFS('Отчет август'!O:O,'Отчет август'!C:C,"Вознаграждение Ozon",'Отчет август'!E:E,B8)</f>
        <v>0</v>
      </c>
      <c r="Y8" s="54">
        <f t="shared" si="5"/>
        <v>0</v>
      </c>
      <c r="Z8" s="51">
        <f>-SUMIFS('Отчет август'!O:O,'Отчет август'!C:C,"Услуги доставки",'Отчет август'!E:E,B8)</f>
        <v>0</v>
      </c>
      <c r="AA8" s="41">
        <v>420.93839700000001</v>
      </c>
      <c r="AB8" s="64"/>
      <c r="AC8" s="51"/>
      <c r="AD8" s="55">
        <f>U8*1%</f>
        <v>0</v>
      </c>
      <c r="AE8" s="56">
        <f t="shared" si="6"/>
        <v>-420.93839700000001</v>
      </c>
      <c r="AF8" s="55"/>
      <c r="AG8" s="57">
        <f t="shared" si="7"/>
        <v>0</v>
      </c>
      <c r="AH8" s="58">
        <f t="shared" si="8"/>
        <v>169.89</v>
      </c>
      <c r="AI8" s="58">
        <f t="shared" si="9"/>
        <v>0</v>
      </c>
      <c r="AJ8" s="58">
        <f t="shared" si="10"/>
        <v>0</v>
      </c>
      <c r="AK8" s="58">
        <f t="shared" si="11"/>
        <v>0</v>
      </c>
      <c r="AL8" s="58">
        <f t="array" ref="AL8">_xlfn.IFS(R8=0,AE8,R8&lt;0,AE8/-R8,R8&gt;0,AE8/R8)</f>
        <v>-420.93839700000001</v>
      </c>
      <c r="AM8" s="59">
        <f t="shared" si="12"/>
        <v>0</v>
      </c>
      <c r="AN8" s="60">
        <f t="shared" si="13"/>
        <v>-2.4777114426982165</v>
      </c>
      <c r="AP8" s="62">
        <f t="shared" si="14"/>
        <v>0</v>
      </c>
    </row>
    <row r="9" spans="1:42">
      <c r="A9" s="39">
        <v>2730130733</v>
      </c>
      <c r="B9" s="40" t="s">
        <v>224</v>
      </c>
      <c r="C9" s="41"/>
      <c r="D9" s="42"/>
      <c r="E9" s="42"/>
      <c r="F9" s="42"/>
      <c r="G9" s="43"/>
      <c r="H9" s="44">
        <v>169.89</v>
      </c>
      <c r="I9" s="63">
        <f t="shared" si="0"/>
        <v>0</v>
      </c>
      <c r="J9" s="45"/>
      <c r="K9" s="41">
        <v>0</v>
      </c>
      <c r="L9" s="45"/>
      <c r="M9" s="45"/>
      <c r="N9" s="46"/>
      <c r="O9" s="47"/>
      <c r="P9" s="48">
        <f>SUMIFS('Отчет август'!H:H,'Отчет август'!D:D,"Выручка",'Отчет август'!E:E,B9)</f>
        <v>0</v>
      </c>
      <c r="Q9" s="48">
        <f>SUMIFS('Отчет август'!H:H,'Отчет август'!D:D,"Возврат выручки",'Отчет август'!E:E,B9)</f>
        <v>0</v>
      </c>
      <c r="R9" s="49">
        <f t="shared" si="1"/>
        <v>0</v>
      </c>
      <c r="S9" s="50">
        <f>SUMIFS('Отчет август'!O:O,'Отчет август'!C:C,"Продажи",'Отчет август'!E:E,B9)</f>
        <v>0</v>
      </c>
      <c r="T9" s="51">
        <f>SUMIFS('Отчет август'!O:O,'Отчет август'!C:C,"Возвраты",'Отчет август'!E:E,B9)</f>
        <v>0</v>
      </c>
      <c r="U9" s="49">
        <f t="shared" si="2"/>
        <v>0</v>
      </c>
      <c r="V9" s="52">
        <f t="shared" si="3"/>
        <v>0</v>
      </c>
      <c r="W9" s="53">
        <f t="shared" si="4"/>
        <v>0</v>
      </c>
      <c r="X9" s="51">
        <f>-SUMIFS('Отчет август'!O:O,'Отчет август'!C:C,"Вознаграждение Ozon",'Отчет август'!E:E,B9)</f>
        <v>0</v>
      </c>
      <c r="Y9" s="54">
        <f t="shared" si="5"/>
        <v>0</v>
      </c>
      <c r="Z9" s="51">
        <f>-SUMIFS('Отчет август'!O:O,'Отчет август'!C:C,"Услуги доставки",'Отчет август'!E:E,B9)</f>
        <v>0</v>
      </c>
      <c r="AA9" s="41">
        <v>0</v>
      </c>
      <c r="AB9" s="64"/>
      <c r="AC9" s="51"/>
      <c r="AD9" s="55">
        <f>U9*1%</f>
        <v>0</v>
      </c>
      <c r="AE9" s="56">
        <f t="shared" si="6"/>
        <v>0</v>
      </c>
      <c r="AF9" s="55"/>
      <c r="AG9" s="57">
        <f t="shared" si="7"/>
        <v>0</v>
      </c>
      <c r="AH9" s="58">
        <f t="shared" si="8"/>
        <v>169.89</v>
      </c>
      <c r="AI9" s="58">
        <f t="shared" si="9"/>
        <v>0</v>
      </c>
      <c r="AJ9" s="58">
        <f t="shared" si="10"/>
        <v>0</v>
      </c>
      <c r="AK9" s="58">
        <f t="shared" si="11"/>
        <v>0</v>
      </c>
      <c r="AL9" s="58">
        <f t="array" ref="AL9">_xlfn.IFS(R9=0,AE9,R9&lt;0,AE9/-R9,R9&gt;0,AE9/R9)</f>
        <v>0</v>
      </c>
      <c r="AM9" s="59">
        <f t="shared" si="12"/>
        <v>0</v>
      </c>
      <c r="AN9" s="60">
        <f t="shared" si="13"/>
        <v>0</v>
      </c>
      <c r="AP9" s="62">
        <f t="shared" si="14"/>
        <v>0</v>
      </c>
    </row>
    <row r="10" spans="1:42">
      <c r="A10" s="39">
        <v>2730131249</v>
      </c>
      <c r="B10" s="40" t="s">
        <v>225</v>
      </c>
      <c r="C10" s="41"/>
      <c r="D10" s="42"/>
      <c r="E10" s="42"/>
      <c r="F10" s="42"/>
      <c r="G10" s="43"/>
      <c r="H10" s="44">
        <v>169.89</v>
      </c>
      <c r="I10" s="63">
        <f t="shared" si="0"/>
        <v>0</v>
      </c>
      <c r="J10" s="45"/>
      <c r="K10" s="41">
        <v>0</v>
      </c>
      <c r="L10" s="45"/>
      <c r="M10" s="45"/>
      <c r="N10" s="46"/>
      <c r="O10" s="47"/>
      <c r="P10" s="48">
        <f>SUMIFS('Отчет август'!H:H,'Отчет август'!D:D,"Выручка",'Отчет август'!E:E,B10)</f>
        <v>0</v>
      </c>
      <c r="Q10" s="48">
        <f>SUMIFS('Отчет август'!H:H,'Отчет август'!D:D,"Возврат выручки",'Отчет август'!E:E,B10)</f>
        <v>0</v>
      </c>
      <c r="R10" s="49">
        <f t="shared" si="1"/>
        <v>0</v>
      </c>
      <c r="S10" s="50">
        <f>SUMIFS('Отчет август'!O:O,'Отчет август'!C:C,"Продажи",'Отчет август'!E:E,B10)</f>
        <v>0</v>
      </c>
      <c r="T10" s="51">
        <f>SUMIFS('Отчет август'!O:O,'Отчет август'!C:C,"Возвраты",'Отчет август'!E:E,B10)</f>
        <v>0</v>
      </c>
      <c r="U10" s="49">
        <f t="shared" si="2"/>
        <v>0</v>
      </c>
      <c r="V10" s="52">
        <f t="shared" si="3"/>
        <v>0</v>
      </c>
      <c r="W10" s="53">
        <f t="shared" si="4"/>
        <v>0</v>
      </c>
      <c r="X10" s="51">
        <f>-SUMIFS('Отчет август'!O:O,'Отчет август'!C:C,"Вознаграждение Ozon",'Отчет август'!E:E,B10)</f>
        <v>0</v>
      </c>
      <c r="Y10" s="54">
        <f t="shared" si="5"/>
        <v>0</v>
      </c>
      <c r="Z10" s="51">
        <f>-SUMIFS('Отчет август'!O:O,'Отчет август'!C:C,"Услуги доставки",'Отчет август'!E:E,B10)</f>
        <v>0</v>
      </c>
      <c r="AA10" s="41">
        <v>0</v>
      </c>
      <c r="AB10" s="64"/>
      <c r="AC10" s="51"/>
      <c r="AD10" s="55">
        <f>U10*1%</f>
        <v>0</v>
      </c>
      <c r="AE10" s="56">
        <f t="shared" si="6"/>
        <v>0</v>
      </c>
      <c r="AF10" s="55"/>
      <c r="AG10" s="57">
        <f t="shared" si="7"/>
        <v>0</v>
      </c>
      <c r="AH10" s="58">
        <f t="shared" si="8"/>
        <v>169.89</v>
      </c>
      <c r="AI10" s="58">
        <f t="shared" si="9"/>
        <v>0</v>
      </c>
      <c r="AJ10" s="58">
        <f t="shared" si="10"/>
        <v>0</v>
      </c>
      <c r="AK10" s="58">
        <f t="shared" si="11"/>
        <v>0</v>
      </c>
      <c r="AL10" s="58">
        <f t="array" ref="AL10">_xlfn.IFS(R10=0,AE10,R10&lt;0,AE10/-R10,R10&gt;0,AE10/R10)</f>
        <v>0</v>
      </c>
      <c r="AM10" s="59">
        <f t="shared" si="12"/>
        <v>0</v>
      </c>
      <c r="AN10" s="60">
        <f t="shared" si="13"/>
        <v>0</v>
      </c>
      <c r="AP10" s="62">
        <f t="shared" si="14"/>
        <v>0</v>
      </c>
    </row>
    <row r="11" spans="1:42">
      <c r="A11" s="39">
        <v>2730130553</v>
      </c>
      <c r="B11" s="40" t="s">
        <v>226</v>
      </c>
      <c r="C11" s="41"/>
      <c r="D11" s="42"/>
      <c r="E11" s="42"/>
      <c r="F11" s="42"/>
      <c r="G11" s="43"/>
      <c r="H11" s="44">
        <v>169.89</v>
      </c>
      <c r="I11" s="63">
        <f t="shared" si="0"/>
        <v>0</v>
      </c>
      <c r="J11" s="45"/>
      <c r="K11" s="41">
        <v>0</v>
      </c>
      <c r="L11" s="45"/>
      <c r="M11" s="45"/>
      <c r="N11" s="46"/>
      <c r="O11" s="47"/>
      <c r="P11" s="48">
        <f>SUMIFS('Отчет август'!H:H,'Отчет август'!D:D,"Выручка",'Отчет август'!E:E,B11)</f>
        <v>0</v>
      </c>
      <c r="Q11" s="48">
        <f>SUMIFS('Отчет август'!H:H,'Отчет август'!D:D,"Возврат выручки",'Отчет август'!E:E,B11)</f>
        <v>0</v>
      </c>
      <c r="R11" s="49">
        <f t="shared" si="1"/>
        <v>0</v>
      </c>
      <c r="S11" s="50">
        <f>SUMIFS('Отчет август'!O:O,'Отчет август'!C:C,"Продажи",'Отчет август'!E:E,B11)</f>
        <v>0</v>
      </c>
      <c r="T11" s="51">
        <f>SUMIFS('Отчет август'!O:O,'Отчет август'!C:C,"Возвраты",'Отчет август'!E:E,B11)</f>
        <v>0</v>
      </c>
      <c r="U11" s="49">
        <f t="shared" si="2"/>
        <v>0</v>
      </c>
      <c r="V11" s="52">
        <f t="shared" si="3"/>
        <v>0</v>
      </c>
      <c r="W11" s="53">
        <f t="shared" si="4"/>
        <v>0</v>
      </c>
      <c r="X11" s="51">
        <f>-SUMIFS('Отчет август'!O:O,'Отчет август'!C:C,"Вознаграждение Ozon",'Отчет август'!E:E,B11)</f>
        <v>0</v>
      </c>
      <c r="Y11" s="54">
        <f t="shared" si="5"/>
        <v>0</v>
      </c>
      <c r="Z11" s="51">
        <f>-SUMIFS('Отчет август'!O:O,'Отчет август'!C:C,"Услуги доставки",'Отчет август'!E:E,B11)</f>
        <v>0</v>
      </c>
      <c r="AA11" s="41">
        <v>0</v>
      </c>
      <c r="AB11" s="64"/>
      <c r="AC11" s="51"/>
      <c r="AD11" s="55">
        <f>U11*1%</f>
        <v>0</v>
      </c>
      <c r="AE11" s="56">
        <f t="shared" si="6"/>
        <v>0</v>
      </c>
      <c r="AF11" s="55"/>
      <c r="AG11" s="57">
        <f t="shared" si="7"/>
        <v>0</v>
      </c>
      <c r="AH11" s="58">
        <f t="shared" si="8"/>
        <v>169.89</v>
      </c>
      <c r="AI11" s="58">
        <f t="shared" si="9"/>
        <v>0</v>
      </c>
      <c r="AJ11" s="58">
        <f t="shared" si="10"/>
        <v>0</v>
      </c>
      <c r="AK11" s="58">
        <f t="shared" si="11"/>
        <v>0</v>
      </c>
      <c r="AL11" s="58">
        <f t="array" ref="AL11">_xlfn.IFS(R11=0,AE11,R11&lt;0,AE11/-R11,R11&gt;0,AE11/R11)</f>
        <v>0</v>
      </c>
      <c r="AM11" s="59">
        <f t="shared" si="12"/>
        <v>0</v>
      </c>
      <c r="AN11" s="60">
        <f t="shared" si="13"/>
        <v>0</v>
      </c>
      <c r="AP11" s="62">
        <f t="shared" si="14"/>
        <v>0</v>
      </c>
    </row>
    <row r="12" spans="1:42" ht="13.75" customHeight="1">
      <c r="A12" s="39">
        <v>2730129638</v>
      </c>
      <c r="B12" s="40" t="s">
        <v>227</v>
      </c>
      <c r="C12" s="41"/>
      <c r="D12" s="42"/>
      <c r="E12" s="42"/>
      <c r="F12" s="42"/>
      <c r="G12" s="43"/>
      <c r="H12" s="44">
        <v>169.89</v>
      </c>
      <c r="I12" s="63">
        <f t="shared" si="0"/>
        <v>0</v>
      </c>
      <c r="J12" s="45"/>
      <c r="K12" s="41">
        <v>0</v>
      </c>
      <c r="L12" s="45"/>
      <c r="M12" s="45"/>
      <c r="N12" s="46"/>
      <c r="O12" s="47"/>
      <c r="P12" s="48">
        <f>SUMIFS('Отчет август'!H:H,'Отчет август'!D:D,"Выручка",'Отчет август'!E:E,B12)</f>
        <v>0</v>
      </c>
      <c r="Q12" s="48">
        <f>SUMIFS('Отчет август'!H:H,'Отчет август'!D:D,"Возврат выручки",'Отчет август'!E:E,B12)</f>
        <v>0</v>
      </c>
      <c r="R12" s="49">
        <f t="shared" si="1"/>
        <v>0</v>
      </c>
      <c r="S12" s="50">
        <f>SUMIFS('Отчет август'!O:O,'Отчет август'!C:C,"Продажи",'Отчет август'!E:E,B12)</f>
        <v>0</v>
      </c>
      <c r="T12" s="51">
        <f>SUMIFS('Отчет август'!O:O,'Отчет август'!C:C,"Возвраты",'Отчет август'!E:E,B12)</f>
        <v>0</v>
      </c>
      <c r="U12" s="49">
        <f t="shared" si="2"/>
        <v>0</v>
      </c>
      <c r="V12" s="52">
        <f t="shared" si="3"/>
        <v>0</v>
      </c>
      <c r="W12" s="53">
        <f t="shared" si="4"/>
        <v>0</v>
      </c>
      <c r="X12" s="51">
        <f>-SUMIFS('Отчет август'!O:O,'Отчет август'!C:C,"Вознаграждение Ozon",'Отчет август'!E:E,B12)</f>
        <v>0</v>
      </c>
      <c r="Y12" s="54">
        <f t="shared" si="5"/>
        <v>0</v>
      </c>
      <c r="Z12" s="51">
        <f>-SUMIFS('Отчет август'!O:O,'Отчет август'!C:C,"Услуги доставки",'Отчет август'!E:E,B12)</f>
        <v>0</v>
      </c>
      <c r="AA12" s="41">
        <v>0</v>
      </c>
      <c r="AB12" s="64"/>
      <c r="AC12" s="51"/>
      <c r="AD12" s="55">
        <f>U12*1%</f>
        <v>0</v>
      </c>
      <c r="AE12" s="56">
        <f t="shared" si="6"/>
        <v>0</v>
      </c>
      <c r="AF12" s="55"/>
      <c r="AG12" s="57">
        <f t="shared" si="7"/>
        <v>0</v>
      </c>
      <c r="AH12" s="58">
        <f t="shared" si="8"/>
        <v>169.89</v>
      </c>
      <c r="AI12" s="58">
        <f t="shared" si="9"/>
        <v>0</v>
      </c>
      <c r="AJ12" s="58">
        <f t="shared" si="10"/>
        <v>0</v>
      </c>
      <c r="AK12" s="58">
        <f t="shared" si="11"/>
        <v>0</v>
      </c>
      <c r="AL12" s="58">
        <f t="array" ref="AL12">_xlfn.IFS(R12=0,AE12,R12&lt;0,AE12/-R12,R12&gt;0,AE12/R12)</f>
        <v>0</v>
      </c>
      <c r="AM12" s="59">
        <f t="shared" si="12"/>
        <v>0</v>
      </c>
      <c r="AN12" s="60">
        <f t="shared" si="13"/>
        <v>0</v>
      </c>
      <c r="AP12" s="62">
        <f t="shared" si="14"/>
        <v>0</v>
      </c>
    </row>
    <row r="13" spans="1:42" ht="13.75" customHeight="1">
      <c r="A13" s="39">
        <v>2730130141</v>
      </c>
      <c r="B13" s="40" t="s">
        <v>228</v>
      </c>
      <c r="C13" s="41"/>
      <c r="D13" s="42"/>
      <c r="E13" s="42"/>
      <c r="F13" s="42"/>
      <c r="G13" s="43"/>
      <c r="H13" s="44">
        <v>169.89</v>
      </c>
      <c r="I13" s="63">
        <f t="shared" si="0"/>
        <v>0</v>
      </c>
      <c r="J13" s="45"/>
      <c r="K13" s="41">
        <v>0</v>
      </c>
      <c r="L13" s="45"/>
      <c r="M13" s="45"/>
      <c r="N13" s="46"/>
      <c r="O13" s="47"/>
      <c r="P13" s="48">
        <f>SUMIFS('Отчет август'!H:H,'Отчет август'!D:D,"Выручка",'Отчет август'!E:E,B13)</f>
        <v>0</v>
      </c>
      <c r="Q13" s="48">
        <f>SUMIFS('Отчет август'!H:H,'Отчет август'!D:D,"Возврат выручки",'Отчет август'!E:E,B13)</f>
        <v>0</v>
      </c>
      <c r="R13" s="49">
        <f t="shared" si="1"/>
        <v>0</v>
      </c>
      <c r="S13" s="50">
        <f>SUMIFS('Отчет август'!O:O,'Отчет август'!C:C,"Продажи",'Отчет август'!E:E,B13)</f>
        <v>0</v>
      </c>
      <c r="T13" s="51">
        <f>SUMIFS('Отчет август'!O:O,'Отчет август'!C:C,"Возвраты",'Отчет август'!E:E,B13)</f>
        <v>0</v>
      </c>
      <c r="U13" s="49">
        <f t="shared" si="2"/>
        <v>0</v>
      </c>
      <c r="V13" s="52">
        <f t="shared" si="3"/>
        <v>0</v>
      </c>
      <c r="W13" s="53">
        <f t="shared" si="4"/>
        <v>0</v>
      </c>
      <c r="X13" s="51">
        <f>-SUMIFS('Отчет август'!O:O,'Отчет август'!C:C,"Вознаграждение Ozon",'Отчет август'!E:E,B13)</f>
        <v>0</v>
      </c>
      <c r="Y13" s="54">
        <f t="shared" si="5"/>
        <v>0</v>
      </c>
      <c r="Z13" s="51">
        <f>-SUMIFS('Отчет август'!O:O,'Отчет август'!C:C,"Услуги доставки",'Отчет август'!E:E,B13)</f>
        <v>0</v>
      </c>
      <c r="AA13" s="41">
        <v>0</v>
      </c>
      <c r="AB13" s="64"/>
      <c r="AC13" s="51"/>
      <c r="AD13" s="55">
        <f>U13*1%</f>
        <v>0</v>
      </c>
      <c r="AE13" s="56">
        <f t="shared" si="6"/>
        <v>0</v>
      </c>
      <c r="AF13" s="55"/>
      <c r="AG13" s="57">
        <f t="shared" si="7"/>
        <v>0</v>
      </c>
      <c r="AH13" s="58">
        <f t="shared" si="8"/>
        <v>169.89</v>
      </c>
      <c r="AI13" s="58">
        <f t="shared" si="9"/>
        <v>0</v>
      </c>
      <c r="AJ13" s="58">
        <f t="shared" si="10"/>
        <v>0</v>
      </c>
      <c r="AK13" s="58">
        <f t="shared" si="11"/>
        <v>0</v>
      </c>
      <c r="AL13" s="58">
        <f t="array" ref="AL13">_xlfn.IFS(R13=0,AE13,R13&lt;0,AE13/-R13,R13&gt;0,AE13/R13)</f>
        <v>0</v>
      </c>
      <c r="AM13" s="59">
        <f t="shared" si="12"/>
        <v>0</v>
      </c>
      <c r="AN13" s="60">
        <f t="shared" si="13"/>
        <v>0</v>
      </c>
      <c r="AP13" s="62">
        <f t="shared" si="14"/>
        <v>0</v>
      </c>
    </row>
    <row r="14" spans="1:42" ht="13.75" customHeight="1">
      <c r="A14" s="39">
        <v>2730129805</v>
      </c>
      <c r="B14" s="40" t="s">
        <v>19</v>
      </c>
      <c r="C14" s="41"/>
      <c r="D14" s="42"/>
      <c r="E14" s="42"/>
      <c r="F14" s="42"/>
      <c r="G14" s="43"/>
      <c r="H14" s="44">
        <v>169.89</v>
      </c>
      <c r="I14" s="63">
        <f t="shared" si="0"/>
        <v>0</v>
      </c>
      <c r="J14" s="45"/>
      <c r="K14" s="41">
        <v>0</v>
      </c>
      <c r="L14" s="45"/>
      <c r="M14" s="45"/>
      <c r="N14" s="46"/>
      <c r="O14" s="47"/>
      <c r="P14" s="48">
        <f>SUMIFS('Отчет август'!H:H,'Отчет август'!D:D,"Выручка",'Отчет август'!E:E,B14)</f>
        <v>0</v>
      </c>
      <c r="Q14" s="48">
        <f>SUMIFS('Отчет август'!H:H,'Отчет август'!D:D,"Возврат выручки",'Отчет август'!E:E,B14)</f>
        <v>0</v>
      </c>
      <c r="R14" s="49">
        <f t="shared" si="1"/>
        <v>0</v>
      </c>
      <c r="S14" s="50">
        <f>SUMIFS('Отчет август'!O:O,'Отчет август'!C:C,"Продажи",'Отчет август'!E:E,B14)</f>
        <v>0</v>
      </c>
      <c r="T14" s="51">
        <f>SUMIFS('Отчет август'!O:O,'Отчет август'!C:C,"Возвраты",'Отчет август'!E:E,B14)</f>
        <v>0</v>
      </c>
      <c r="U14" s="49">
        <f t="shared" si="2"/>
        <v>0</v>
      </c>
      <c r="V14" s="52">
        <f t="shared" si="3"/>
        <v>0</v>
      </c>
      <c r="W14" s="53">
        <f t="shared" si="4"/>
        <v>0</v>
      </c>
      <c r="X14" s="51">
        <f>-SUMIFS('Отчет август'!O:O,'Отчет август'!C:C,"Вознаграждение Ozon",'Отчет август'!E:E,B14)</f>
        <v>0</v>
      </c>
      <c r="Y14" s="54">
        <f t="shared" si="5"/>
        <v>0</v>
      </c>
      <c r="Z14" s="51">
        <f>-SUMIFS('Отчет август'!O:O,'Отчет август'!C:C,"Услуги доставки",'Отчет август'!E:E,B14)</f>
        <v>0</v>
      </c>
      <c r="AA14" s="41">
        <v>0</v>
      </c>
      <c r="AB14" s="64"/>
      <c r="AC14" s="51"/>
      <c r="AD14" s="55">
        <f>U14*1%</f>
        <v>0</v>
      </c>
      <c r="AE14" s="56">
        <f t="shared" si="6"/>
        <v>0</v>
      </c>
      <c r="AF14" s="55"/>
      <c r="AG14" s="57">
        <f t="shared" si="7"/>
        <v>0</v>
      </c>
      <c r="AH14" s="58">
        <f t="shared" si="8"/>
        <v>169.89</v>
      </c>
      <c r="AI14" s="58">
        <f t="shared" si="9"/>
        <v>0</v>
      </c>
      <c r="AJ14" s="58">
        <f t="shared" si="10"/>
        <v>0</v>
      </c>
      <c r="AK14" s="58">
        <f t="shared" si="11"/>
        <v>0</v>
      </c>
      <c r="AL14" s="58">
        <f t="array" ref="AL14">_xlfn.IFS(R14=0,AE14,R14&lt;0,AE14/-R14,R14&gt;0,AE14/R14)</f>
        <v>0</v>
      </c>
      <c r="AM14" s="59">
        <f t="shared" si="12"/>
        <v>0</v>
      </c>
      <c r="AN14" s="60">
        <f t="shared" si="13"/>
        <v>0</v>
      </c>
      <c r="AP14" s="62">
        <f t="shared" si="14"/>
        <v>0</v>
      </c>
    </row>
    <row r="15" spans="1:42" ht="13.75" customHeight="1">
      <c r="A15" s="39">
        <v>2807226201</v>
      </c>
      <c r="B15" s="40" t="s">
        <v>229</v>
      </c>
      <c r="C15" s="41"/>
      <c r="D15" s="42"/>
      <c r="E15" s="42"/>
      <c r="F15" s="42"/>
      <c r="G15" s="43"/>
      <c r="H15" s="44">
        <v>1002.82</v>
      </c>
      <c r="I15" s="63">
        <f t="shared" si="0"/>
        <v>0</v>
      </c>
      <c r="J15" s="45"/>
      <c r="K15" s="41">
        <v>0</v>
      </c>
      <c r="L15" s="45"/>
      <c r="M15" s="45"/>
      <c r="N15" s="46"/>
      <c r="O15" s="47"/>
      <c r="P15" s="48">
        <f>SUMIFS('Отчет август'!H:H,'Отчет август'!D:D,"Выручка",'Отчет август'!E:E,B15)</f>
        <v>0</v>
      </c>
      <c r="Q15" s="48">
        <f>SUMIFS('Отчет август'!H:H,'Отчет август'!D:D,"Возврат выручки",'Отчет август'!E:E,B15)</f>
        <v>0</v>
      </c>
      <c r="R15" s="49">
        <f t="shared" si="1"/>
        <v>0</v>
      </c>
      <c r="S15" s="50">
        <f>SUMIFS('Отчет август'!O:O,'Отчет август'!C:C,"Продажи",'Отчет август'!E:E,B15)</f>
        <v>0</v>
      </c>
      <c r="T15" s="51">
        <f>SUMIFS('Отчет август'!O:O,'Отчет август'!C:C,"Возвраты",'Отчет август'!E:E,B15)</f>
        <v>0</v>
      </c>
      <c r="U15" s="49">
        <f t="shared" si="2"/>
        <v>0</v>
      </c>
      <c r="V15" s="52">
        <f t="shared" si="3"/>
        <v>0</v>
      </c>
      <c r="W15" s="53">
        <f t="shared" si="4"/>
        <v>0</v>
      </c>
      <c r="X15" s="51">
        <f>-SUMIFS('Отчет август'!O:O,'Отчет август'!C:C,"Вознаграждение Ozon",'Отчет август'!E:E,B15)</f>
        <v>0</v>
      </c>
      <c r="Y15" s="54">
        <f t="shared" si="5"/>
        <v>0</v>
      </c>
      <c r="Z15" s="51">
        <f>-SUMIFS('Отчет август'!O:O,'Отчет август'!C:C,"Услуги доставки",'Отчет август'!E:E,B15)</f>
        <v>0</v>
      </c>
      <c r="AA15" s="41">
        <v>0</v>
      </c>
      <c r="AB15" s="64"/>
      <c r="AC15" s="51"/>
      <c r="AD15" s="55">
        <f>U15*1%</f>
        <v>0</v>
      </c>
      <c r="AE15" s="56">
        <f t="shared" si="6"/>
        <v>0</v>
      </c>
      <c r="AF15" s="55"/>
      <c r="AG15" s="57">
        <f t="shared" si="7"/>
        <v>0</v>
      </c>
      <c r="AH15" s="58">
        <f t="shared" si="8"/>
        <v>1002.82</v>
      </c>
      <c r="AI15" s="58">
        <f t="shared" si="9"/>
        <v>0</v>
      </c>
      <c r="AJ15" s="58">
        <f t="shared" si="10"/>
        <v>0</v>
      </c>
      <c r="AK15" s="58">
        <f t="shared" si="11"/>
        <v>0</v>
      </c>
      <c r="AL15" s="58">
        <f t="array" ref="AL15">_xlfn.IFS(R15=0,AE15,R15&lt;0,AE15/-R15,R15&gt;0,AE15/R15)</f>
        <v>0</v>
      </c>
      <c r="AM15" s="59">
        <f t="shared" si="12"/>
        <v>0</v>
      </c>
      <c r="AN15" s="60">
        <f t="shared" si="13"/>
        <v>0</v>
      </c>
      <c r="AP15" s="62">
        <f t="shared" si="14"/>
        <v>0</v>
      </c>
    </row>
    <row r="16" spans="1:42" ht="13.75" customHeight="1">
      <c r="A16" s="39">
        <v>2807226228</v>
      </c>
      <c r="B16" s="40" t="s">
        <v>230</v>
      </c>
      <c r="C16" s="41"/>
      <c r="D16" s="42"/>
      <c r="E16" s="42"/>
      <c r="F16" s="42"/>
      <c r="G16" s="43"/>
      <c r="H16" s="44">
        <v>909.22</v>
      </c>
      <c r="I16" s="63">
        <f t="shared" si="0"/>
        <v>0</v>
      </c>
      <c r="J16" s="45"/>
      <c r="K16" s="41">
        <v>0</v>
      </c>
      <c r="L16" s="45"/>
      <c r="M16" s="45"/>
      <c r="N16" s="46"/>
      <c r="O16" s="47"/>
      <c r="P16" s="48">
        <f>SUMIFS('Отчет август'!H:H,'Отчет август'!D:D,"Выручка",'Отчет август'!E:E,B16)</f>
        <v>0</v>
      </c>
      <c r="Q16" s="48">
        <f>SUMIFS('Отчет август'!H:H,'Отчет август'!D:D,"Возврат выручки",'Отчет август'!E:E,B16)</f>
        <v>0</v>
      </c>
      <c r="R16" s="49">
        <f t="shared" si="1"/>
        <v>0</v>
      </c>
      <c r="S16" s="50">
        <f>SUMIFS('Отчет август'!O:O,'Отчет август'!C:C,"Продажи",'Отчет август'!E:E,B16)</f>
        <v>0</v>
      </c>
      <c r="T16" s="51">
        <f>SUMIFS('Отчет август'!O:O,'Отчет август'!C:C,"Возвраты",'Отчет август'!E:E,B16)</f>
        <v>0</v>
      </c>
      <c r="U16" s="49">
        <f t="shared" si="2"/>
        <v>0</v>
      </c>
      <c r="V16" s="52">
        <f t="shared" si="3"/>
        <v>0</v>
      </c>
      <c r="W16" s="53">
        <f t="shared" si="4"/>
        <v>0</v>
      </c>
      <c r="X16" s="51">
        <f>-SUMIFS('Отчет август'!O:O,'Отчет август'!C:C,"Вознаграждение Ozon",'Отчет август'!E:E,B16)</f>
        <v>0</v>
      </c>
      <c r="Y16" s="54">
        <f t="shared" si="5"/>
        <v>0</v>
      </c>
      <c r="Z16" s="51">
        <f>-SUMIFS('Отчет август'!O:O,'Отчет август'!C:C,"Услуги доставки",'Отчет август'!E:E,B16)</f>
        <v>0</v>
      </c>
      <c r="AA16" s="41">
        <v>0</v>
      </c>
      <c r="AB16" s="64"/>
      <c r="AC16" s="51"/>
      <c r="AD16" s="55">
        <f>U16*1%</f>
        <v>0</v>
      </c>
      <c r="AE16" s="56">
        <f t="shared" si="6"/>
        <v>0</v>
      </c>
      <c r="AF16" s="55"/>
      <c r="AG16" s="57">
        <f t="shared" si="7"/>
        <v>0</v>
      </c>
      <c r="AH16" s="58">
        <f t="shared" si="8"/>
        <v>909.22</v>
      </c>
      <c r="AI16" s="58">
        <f t="shared" si="9"/>
        <v>0</v>
      </c>
      <c r="AJ16" s="58">
        <f t="shared" si="10"/>
        <v>0</v>
      </c>
      <c r="AK16" s="58">
        <f t="shared" si="11"/>
        <v>0</v>
      </c>
      <c r="AL16" s="58">
        <f t="array" ref="AL16">_xlfn.IFS(R16=0,AE16,R16&lt;0,AE16/-R16,R16&gt;0,AE16/R16)</f>
        <v>0</v>
      </c>
      <c r="AM16" s="59">
        <f t="shared" si="12"/>
        <v>0</v>
      </c>
      <c r="AN16" s="60">
        <f t="shared" si="13"/>
        <v>0</v>
      </c>
      <c r="AP16" s="62">
        <f t="shared" si="14"/>
        <v>0</v>
      </c>
    </row>
    <row r="17" spans="1:52" ht="13.75" customHeight="1">
      <c r="A17" s="39">
        <v>2807226016</v>
      </c>
      <c r="B17" s="40" t="s">
        <v>231</v>
      </c>
      <c r="C17" s="41"/>
      <c r="D17" s="42"/>
      <c r="E17" s="42"/>
      <c r="F17" s="42"/>
      <c r="G17" s="43"/>
      <c r="H17" s="44">
        <v>909.22</v>
      </c>
      <c r="I17" s="63">
        <f t="shared" si="0"/>
        <v>0</v>
      </c>
      <c r="J17" s="45"/>
      <c r="K17" s="41">
        <v>0</v>
      </c>
      <c r="L17" s="45"/>
      <c r="M17" s="45"/>
      <c r="N17" s="46"/>
      <c r="O17" s="47"/>
      <c r="P17" s="48">
        <f>SUMIFS('Отчет август'!H:H,'Отчет август'!D:D,"Выручка",'Отчет август'!E:E,B17)</f>
        <v>0</v>
      </c>
      <c r="Q17" s="48">
        <f>SUMIFS('Отчет август'!H:H,'Отчет август'!D:D,"Возврат выручки",'Отчет август'!E:E,B17)</f>
        <v>0</v>
      </c>
      <c r="R17" s="49">
        <f t="shared" si="1"/>
        <v>0</v>
      </c>
      <c r="S17" s="50">
        <f>SUMIFS('Отчет август'!O:O,'Отчет август'!C:C,"Продажи",'Отчет август'!E:E,B17)</f>
        <v>0</v>
      </c>
      <c r="T17" s="51">
        <f>SUMIFS('Отчет август'!O:O,'Отчет август'!C:C,"Возвраты",'Отчет август'!E:E,B17)</f>
        <v>0</v>
      </c>
      <c r="U17" s="49">
        <f t="shared" si="2"/>
        <v>0</v>
      </c>
      <c r="V17" s="52">
        <f t="shared" si="3"/>
        <v>0</v>
      </c>
      <c r="W17" s="53">
        <f t="shared" si="4"/>
        <v>0</v>
      </c>
      <c r="X17" s="51">
        <f>-SUMIFS('Отчет август'!O:O,'Отчет август'!C:C,"Вознаграждение Ozon",'Отчет август'!E:E,B17)</f>
        <v>0</v>
      </c>
      <c r="Y17" s="54">
        <f t="shared" si="5"/>
        <v>0</v>
      </c>
      <c r="Z17" s="51">
        <f>-SUMIFS('Отчет август'!O:O,'Отчет август'!C:C,"Услуги доставки",'Отчет август'!E:E,B17)</f>
        <v>0</v>
      </c>
      <c r="AA17" s="41">
        <v>0</v>
      </c>
      <c r="AB17" s="64"/>
      <c r="AC17" s="51"/>
      <c r="AD17" s="55">
        <f>U17*1%</f>
        <v>0</v>
      </c>
      <c r="AE17" s="56">
        <f t="shared" si="6"/>
        <v>0</v>
      </c>
      <c r="AF17" s="55"/>
      <c r="AG17" s="57">
        <f t="shared" si="7"/>
        <v>0</v>
      </c>
      <c r="AH17" s="58">
        <f t="shared" si="8"/>
        <v>909.22</v>
      </c>
      <c r="AI17" s="58">
        <f t="shared" si="9"/>
        <v>0</v>
      </c>
      <c r="AJ17" s="58">
        <f t="shared" si="10"/>
        <v>0</v>
      </c>
      <c r="AK17" s="58">
        <f t="shared" si="11"/>
        <v>0</v>
      </c>
      <c r="AL17" s="58">
        <f t="array" ref="AL17">_xlfn.IFS(R17=0,AE17,R17&lt;0,AE17/-R17,R17&gt;0,AE17/R17)</f>
        <v>0</v>
      </c>
      <c r="AM17" s="59">
        <f t="shared" si="12"/>
        <v>0</v>
      </c>
      <c r="AN17" s="60">
        <f t="shared" si="13"/>
        <v>0</v>
      </c>
      <c r="AP17" s="62">
        <f t="shared" si="14"/>
        <v>0</v>
      </c>
    </row>
    <row r="18" spans="1:52" ht="13.75" customHeight="1">
      <c r="A18" s="39">
        <v>2807226072</v>
      </c>
      <c r="B18" s="40" t="s">
        <v>111</v>
      </c>
      <c r="C18" s="41"/>
      <c r="D18" s="42"/>
      <c r="E18" s="42"/>
      <c r="F18" s="42"/>
      <c r="G18" s="43"/>
      <c r="H18" s="44">
        <v>932.62</v>
      </c>
      <c r="I18" s="63">
        <f t="shared" si="0"/>
        <v>0</v>
      </c>
      <c r="J18" s="45"/>
      <c r="K18" s="41">
        <v>0</v>
      </c>
      <c r="L18" s="45"/>
      <c r="M18" s="45"/>
      <c r="N18" s="46"/>
      <c r="O18" s="47"/>
      <c r="P18" s="48">
        <f>SUMIFS('Отчет август'!H:H,'Отчет август'!D:D,"Выручка",'Отчет август'!E:E,B18)</f>
        <v>0</v>
      </c>
      <c r="Q18" s="48">
        <f>SUMIFS('Отчет август'!H:H,'Отчет август'!D:D,"Возврат выручки",'Отчет август'!E:E,B18)</f>
        <v>0</v>
      </c>
      <c r="R18" s="49">
        <f t="shared" si="1"/>
        <v>0</v>
      </c>
      <c r="S18" s="50">
        <f>SUMIFS('Отчет август'!O:O,'Отчет август'!C:C,"Продажи",'Отчет август'!E:E,B18)</f>
        <v>0</v>
      </c>
      <c r="T18" s="51">
        <f>SUMIFS('Отчет август'!O:O,'Отчет август'!C:C,"Возвраты",'Отчет август'!E:E,B18)</f>
        <v>0</v>
      </c>
      <c r="U18" s="49">
        <f t="shared" si="2"/>
        <v>0</v>
      </c>
      <c r="V18" s="52">
        <f t="shared" si="3"/>
        <v>0</v>
      </c>
      <c r="W18" s="53">
        <f t="shared" si="4"/>
        <v>0</v>
      </c>
      <c r="X18" s="51">
        <f>-SUMIFS('Отчет август'!O:O,'Отчет август'!C:C,"Вознаграждение Ozon",'Отчет август'!E:E,B18)</f>
        <v>0</v>
      </c>
      <c r="Y18" s="54">
        <f t="shared" si="5"/>
        <v>0</v>
      </c>
      <c r="Z18" s="51">
        <f>-SUMIFS('Отчет август'!O:O,'Отчет август'!C:C,"Услуги доставки",'Отчет август'!E:E,B18)</f>
        <v>0</v>
      </c>
      <c r="AA18" s="41">
        <v>0</v>
      </c>
      <c r="AB18" s="64"/>
      <c r="AC18" s="51"/>
      <c r="AD18" s="55">
        <f>U18*1%</f>
        <v>0</v>
      </c>
      <c r="AE18" s="56">
        <f t="shared" si="6"/>
        <v>0</v>
      </c>
      <c r="AF18" s="55"/>
      <c r="AG18" s="57">
        <f t="shared" si="7"/>
        <v>0</v>
      </c>
      <c r="AH18" s="58">
        <f t="shared" si="8"/>
        <v>932.62</v>
      </c>
      <c r="AI18" s="58">
        <f t="shared" si="9"/>
        <v>0</v>
      </c>
      <c r="AJ18" s="58">
        <f t="shared" si="10"/>
        <v>0</v>
      </c>
      <c r="AK18" s="58">
        <f t="shared" si="11"/>
        <v>0</v>
      </c>
      <c r="AL18" s="58">
        <f t="array" ref="AL18">_xlfn.IFS(R18=0,AE18,R18&lt;0,AE18/-R18,R18&gt;0,AE18/R18)</f>
        <v>0</v>
      </c>
      <c r="AM18" s="59">
        <f t="shared" si="12"/>
        <v>0</v>
      </c>
      <c r="AN18" s="60">
        <f t="shared" si="13"/>
        <v>0</v>
      </c>
      <c r="AP18" s="62">
        <f t="shared" si="14"/>
        <v>0</v>
      </c>
    </row>
    <row r="19" spans="1:52" ht="13.75" customHeight="1">
      <c r="A19" s="39">
        <v>2807226223</v>
      </c>
      <c r="B19" s="40" t="s">
        <v>232</v>
      </c>
      <c r="C19" s="41"/>
      <c r="D19" s="42"/>
      <c r="E19" s="42"/>
      <c r="F19" s="42"/>
      <c r="G19" s="43"/>
      <c r="H19" s="44">
        <v>1014.52</v>
      </c>
      <c r="I19" s="63">
        <f t="shared" si="0"/>
        <v>0</v>
      </c>
      <c r="J19" s="45"/>
      <c r="K19" s="41">
        <v>0</v>
      </c>
      <c r="L19" s="45"/>
      <c r="M19" s="45"/>
      <c r="N19" s="46"/>
      <c r="O19" s="47"/>
      <c r="P19" s="48">
        <f>SUMIFS('Отчет август'!H:H,'Отчет август'!D:D,"Выручка",'Отчет август'!E:E,B19)</f>
        <v>0</v>
      </c>
      <c r="Q19" s="48">
        <f>SUMIFS('Отчет август'!H:H,'Отчет август'!D:D,"Возврат выручки",'Отчет август'!E:E,B19)</f>
        <v>0</v>
      </c>
      <c r="R19" s="49">
        <f t="shared" si="1"/>
        <v>0</v>
      </c>
      <c r="S19" s="50">
        <f>SUMIFS('Отчет август'!O:O,'Отчет август'!C:C,"Продажи",'Отчет август'!E:E,B19)</f>
        <v>0</v>
      </c>
      <c r="T19" s="51">
        <f>SUMIFS('Отчет август'!O:O,'Отчет август'!C:C,"Возвраты",'Отчет август'!E:E,B19)</f>
        <v>0</v>
      </c>
      <c r="U19" s="49">
        <f t="shared" si="2"/>
        <v>0</v>
      </c>
      <c r="V19" s="52">
        <f t="shared" si="3"/>
        <v>0</v>
      </c>
      <c r="W19" s="53">
        <f t="shared" si="4"/>
        <v>0</v>
      </c>
      <c r="X19" s="51">
        <f>-SUMIFS('Отчет август'!O:O,'Отчет август'!C:C,"Вознаграждение Ozon",'Отчет август'!E:E,B19)</f>
        <v>0</v>
      </c>
      <c r="Y19" s="54">
        <f t="shared" si="5"/>
        <v>0</v>
      </c>
      <c r="Z19" s="51">
        <f>-SUMIFS('Отчет август'!O:O,'Отчет август'!C:C,"Услуги доставки",'Отчет август'!E:E,B19)</f>
        <v>0</v>
      </c>
      <c r="AA19" s="41">
        <v>0</v>
      </c>
      <c r="AB19" s="64"/>
      <c r="AC19" s="51"/>
      <c r="AD19" s="55">
        <f>U19*1%</f>
        <v>0</v>
      </c>
      <c r="AE19" s="56">
        <f t="shared" si="6"/>
        <v>0</v>
      </c>
      <c r="AF19" s="55"/>
      <c r="AG19" s="57">
        <f t="shared" si="7"/>
        <v>0</v>
      </c>
      <c r="AH19" s="58">
        <f t="shared" si="8"/>
        <v>1014.52</v>
      </c>
      <c r="AI19" s="58">
        <f t="shared" si="9"/>
        <v>0</v>
      </c>
      <c r="AJ19" s="58">
        <f t="shared" si="10"/>
        <v>0</v>
      </c>
      <c r="AK19" s="58">
        <f t="shared" si="11"/>
        <v>0</v>
      </c>
      <c r="AL19" s="58">
        <f t="array" ref="AL19">_xlfn.IFS(R19=0,AE19,R19&lt;0,AE19/-R19,R19&gt;0,AE19/R19)</f>
        <v>0</v>
      </c>
      <c r="AM19" s="59">
        <f t="shared" si="12"/>
        <v>0</v>
      </c>
      <c r="AN19" s="60">
        <f t="shared" si="13"/>
        <v>0</v>
      </c>
      <c r="AP19" s="62">
        <f t="shared" si="14"/>
        <v>0</v>
      </c>
    </row>
    <row r="20" spans="1:52" ht="13.75" customHeight="1">
      <c r="A20" s="39">
        <v>2807226341</v>
      </c>
      <c r="B20" s="40" t="s">
        <v>136</v>
      </c>
      <c r="C20" s="41"/>
      <c r="D20" s="42"/>
      <c r="E20" s="42"/>
      <c r="F20" s="42"/>
      <c r="G20" s="43"/>
      <c r="H20" s="44">
        <v>1014.52</v>
      </c>
      <c r="I20" s="63">
        <f t="shared" si="0"/>
        <v>0</v>
      </c>
      <c r="J20" s="45"/>
      <c r="K20" s="41">
        <v>0</v>
      </c>
      <c r="L20" s="45"/>
      <c r="M20" s="45"/>
      <c r="N20" s="46"/>
      <c r="O20" s="47"/>
      <c r="P20" s="48">
        <f>SUMIFS('Отчет август'!H:H,'Отчет август'!D:D,"Выручка",'Отчет август'!E:E,B20)</f>
        <v>0</v>
      </c>
      <c r="Q20" s="48">
        <f>SUMIFS('Отчет август'!H:H,'Отчет август'!D:D,"Возврат выручки",'Отчет август'!E:E,B20)</f>
        <v>0</v>
      </c>
      <c r="R20" s="49">
        <f t="shared" si="1"/>
        <v>0</v>
      </c>
      <c r="S20" s="50">
        <f>SUMIFS('Отчет август'!O:O,'Отчет август'!C:C,"Продажи",'Отчет август'!E:E,B20)</f>
        <v>0</v>
      </c>
      <c r="T20" s="51">
        <f>SUMIFS('Отчет август'!O:O,'Отчет август'!C:C,"Возвраты",'Отчет август'!E:E,B20)</f>
        <v>0</v>
      </c>
      <c r="U20" s="49">
        <f t="shared" si="2"/>
        <v>0</v>
      </c>
      <c r="V20" s="52">
        <f t="shared" si="3"/>
        <v>0</v>
      </c>
      <c r="W20" s="53">
        <f t="shared" si="4"/>
        <v>0</v>
      </c>
      <c r="X20" s="51">
        <f>-SUMIFS('Отчет август'!O:O,'Отчет август'!C:C,"Вознаграждение Ozon",'Отчет август'!E:E,B20)</f>
        <v>0</v>
      </c>
      <c r="Y20" s="54">
        <f t="shared" si="5"/>
        <v>0</v>
      </c>
      <c r="Z20" s="51">
        <f>-SUMIFS('Отчет август'!O:O,'Отчет август'!C:C,"Услуги доставки",'Отчет август'!E:E,B20)</f>
        <v>0</v>
      </c>
      <c r="AA20" s="41">
        <v>0</v>
      </c>
      <c r="AB20" s="64"/>
      <c r="AC20" s="51"/>
      <c r="AD20" s="55">
        <f>U20*1%</f>
        <v>0</v>
      </c>
      <c r="AE20" s="56">
        <f t="shared" si="6"/>
        <v>0</v>
      </c>
      <c r="AF20" s="55"/>
      <c r="AG20" s="57">
        <f t="shared" si="7"/>
        <v>0</v>
      </c>
      <c r="AH20" s="58">
        <f t="shared" si="8"/>
        <v>1014.52</v>
      </c>
      <c r="AI20" s="58">
        <f t="shared" si="9"/>
        <v>0</v>
      </c>
      <c r="AJ20" s="58">
        <f t="shared" si="10"/>
        <v>0</v>
      </c>
      <c r="AK20" s="58">
        <f t="shared" si="11"/>
        <v>0</v>
      </c>
      <c r="AL20" s="58">
        <f t="array" ref="AL20">_xlfn.IFS(R20=0,AE20,R20&lt;0,AE20/-R20,R20&gt;0,AE20/R20)</f>
        <v>0</v>
      </c>
      <c r="AM20" s="59">
        <f t="shared" si="12"/>
        <v>0</v>
      </c>
      <c r="AN20" s="60">
        <f t="shared" si="13"/>
        <v>0</v>
      </c>
      <c r="AP20" s="62">
        <f t="shared" si="14"/>
        <v>0</v>
      </c>
    </row>
    <row r="21" spans="1:52" ht="13.75" customHeight="1">
      <c r="A21" s="39">
        <v>2807226351</v>
      </c>
      <c r="B21" s="40" t="s">
        <v>233</v>
      </c>
      <c r="C21" s="41"/>
      <c r="D21" s="42"/>
      <c r="E21" s="42"/>
      <c r="F21" s="42"/>
      <c r="G21" s="43"/>
      <c r="H21" s="44">
        <v>1014.52</v>
      </c>
      <c r="I21" s="63">
        <f t="shared" si="0"/>
        <v>0</v>
      </c>
      <c r="J21" s="45"/>
      <c r="K21" s="41">
        <v>0</v>
      </c>
      <c r="L21" s="45"/>
      <c r="M21" s="45"/>
      <c r="N21" s="46"/>
      <c r="O21" s="47"/>
      <c r="P21" s="48">
        <f>SUMIFS('Отчет август'!H:H,'Отчет август'!D:D,"Выручка",'Отчет август'!E:E,B21)</f>
        <v>0</v>
      </c>
      <c r="Q21" s="48">
        <f>SUMIFS('Отчет август'!H:H,'Отчет август'!D:D,"Возврат выручки",'Отчет август'!E:E,B21)</f>
        <v>0</v>
      </c>
      <c r="R21" s="49">
        <f t="shared" si="1"/>
        <v>0</v>
      </c>
      <c r="S21" s="50">
        <f>SUMIFS('Отчет август'!O:O,'Отчет август'!C:C,"Продажи",'Отчет август'!E:E,B21)</f>
        <v>0</v>
      </c>
      <c r="T21" s="51">
        <f>SUMIFS('Отчет август'!O:O,'Отчет август'!C:C,"Возвраты",'Отчет август'!E:E,B21)</f>
        <v>0</v>
      </c>
      <c r="U21" s="49">
        <f t="shared" si="2"/>
        <v>0</v>
      </c>
      <c r="V21" s="52">
        <f t="shared" si="3"/>
        <v>0</v>
      </c>
      <c r="W21" s="53">
        <f t="shared" si="4"/>
        <v>0</v>
      </c>
      <c r="X21" s="51">
        <f>-SUMIFS('Отчет август'!O:O,'Отчет август'!C:C,"Вознаграждение Ozon",'Отчет август'!E:E,B21)</f>
        <v>0</v>
      </c>
      <c r="Y21" s="54">
        <f t="shared" si="5"/>
        <v>0</v>
      </c>
      <c r="Z21" s="51">
        <f>-SUMIFS('Отчет август'!O:O,'Отчет август'!C:C,"Услуги доставки",'Отчет август'!E:E,B21)</f>
        <v>0</v>
      </c>
      <c r="AA21" s="41">
        <v>0</v>
      </c>
      <c r="AB21" s="64"/>
      <c r="AC21" s="51"/>
      <c r="AD21" s="55">
        <f>U21*1%</f>
        <v>0</v>
      </c>
      <c r="AE21" s="56">
        <f t="shared" si="6"/>
        <v>0</v>
      </c>
      <c r="AF21" s="55"/>
      <c r="AG21" s="57">
        <f t="shared" si="7"/>
        <v>0</v>
      </c>
      <c r="AH21" s="58">
        <f t="shared" si="8"/>
        <v>1014.52</v>
      </c>
      <c r="AI21" s="58">
        <f t="shared" si="9"/>
        <v>0</v>
      </c>
      <c r="AJ21" s="58">
        <f t="shared" si="10"/>
        <v>0</v>
      </c>
      <c r="AK21" s="58">
        <f t="shared" si="11"/>
        <v>0</v>
      </c>
      <c r="AL21" s="58">
        <f t="array" ref="AL21">_xlfn.IFS(R21=0,AE21,R21&lt;0,AE21/-R21,R21&gt;0,AE21/R21)</f>
        <v>0</v>
      </c>
      <c r="AM21" s="59">
        <f t="shared" si="12"/>
        <v>0</v>
      </c>
      <c r="AN21" s="60">
        <f t="shared" si="13"/>
        <v>0</v>
      </c>
      <c r="AP21" s="62">
        <f t="shared" si="14"/>
        <v>0</v>
      </c>
    </row>
    <row r="22" spans="1:52" ht="13.75" customHeight="1">
      <c r="A22" s="39">
        <v>2807226146</v>
      </c>
      <c r="B22" s="40" t="s">
        <v>234</v>
      </c>
      <c r="C22" s="41"/>
      <c r="D22" s="42"/>
      <c r="E22" s="42"/>
      <c r="F22" s="42"/>
      <c r="G22" s="43"/>
      <c r="H22" s="44">
        <v>991.12</v>
      </c>
      <c r="I22" s="63">
        <f t="shared" si="0"/>
        <v>0</v>
      </c>
      <c r="J22" s="45"/>
      <c r="K22" s="41">
        <v>0</v>
      </c>
      <c r="L22" s="45"/>
      <c r="M22" s="45"/>
      <c r="N22" s="46"/>
      <c r="O22" s="47"/>
      <c r="P22" s="48">
        <f>SUMIFS('Отчет август'!H:H,'Отчет август'!D:D,"Выручка",'Отчет август'!E:E,B22)</f>
        <v>0</v>
      </c>
      <c r="Q22" s="48">
        <f>SUMIFS('Отчет август'!H:H,'Отчет август'!D:D,"Возврат выручки",'Отчет август'!E:E,B22)</f>
        <v>0</v>
      </c>
      <c r="R22" s="49">
        <f t="shared" si="1"/>
        <v>0</v>
      </c>
      <c r="S22" s="50">
        <f>SUMIFS('Отчет август'!O:O,'Отчет август'!C:C,"Продажи",'Отчет август'!E:E,B22)</f>
        <v>0</v>
      </c>
      <c r="T22" s="51">
        <f>SUMIFS('Отчет август'!O:O,'Отчет август'!C:C,"Возвраты",'Отчет август'!E:E,B22)</f>
        <v>0</v>
      </c>
      <c r="U22" s="49">
        <f t="shared" si="2"/>
        <v>0</v>
      </c>
      <c r="V22" s="52">
        <f t="shared" si="3"/>
        <v>0</v>
      </c>
      <c r="W22" s="53">
        <f t="shared" si="4"/>
        <v>0</v>
      </c>
      <c r="X22" s="51">
        <f>-SUMIFS('Отчет август'!O:O,'Отчет август'!C:C,"Вознаграждение Ozon",'Отчет август'!E:E,B22)</f>
        <v>0</v>
      </c>
      <c r="Y22" s="54">
        <f t="shared" si="5"/>
        <v>0</v>
      </c>
      <c r="Z22" s="51">
        <f>-SUMIFS('Отчет август'!O:O,'Отчет август'!C:C,"Услуги доставки",'Отчет август'!E:E,B22)</f>
        <v>0</v>
      </c>
      <c r="AA22" s="41">
        <v>0</v>
      </c>
      <c r="AB22" s="64"/>
      <c r="AC22" s="51"/>
      <c r="AD22" s="55">
        <f>U22*1%</f>
        <v>0</v>
      </c>
      <c r="AE22" s="56">
        <f t="shared" si="6"/>
        <v>0</v>
      </c>
      <c r="AF22" s="55"/>
      <c r="AG22" s="57">
        <f t="shared" si="7"/>
        <v>0</v>
      </c>
      <c r="AH22" s="58">
        <f t="shared" si="8"/>
        <v>991.12</v>
      </c>
      <c r="AI22" s="58">
        <f t="shared" si="9"/>
        <v>0</v>
      </c>
      <c r="AJ22" s="58">
        <f t="shared" si="10"/>
        <v>0</v>
      </c>
      <c r="AK22" s="58">
        <f t="shared" si="11"/>
        <v>0</v>
      </c>
      <c r="AL22" s="58">
        <f t="array" ref="AL22">_xlfn.IFS(R22=0,AE22,R22&lt;0,AE22/-R22,R22&gt;0,AE22/R22)</f>
        <v>0</v>
      </c>
      <c r="AM22" s="59">
        <f t="shared" si="12"/>
        <v>0</v>
      </c>
      <c r="AN22" s="60">
        <f t="shared" si="13"/>
        <v>0</v>
      </c>
      <c r="AP22" s="62">
        <f t="shared" si="14"/>
        <v>0</v>
      </c>
    </row>
    <row r="23" spans="1:52" ht="13.75" customHeight="1">
      <c r="A23" s="39"/>
      <c r="B23" s="40"/>
      <c r="C23" s="41"/>
      <c r="D23" s="42"/>
      <c r="E23" s="42"/>
      <c r="F23" s="42"/>
      <c r="G23" s="43"/>
      <c r="H23" s="207"/>
      <c r="I23" s="63"/>
      <c r="J23" s="45"/>
      <c r="K23" s="41"/>
      <c r="L23" s="45"/>
      <c r="M23" s="45"/>
      <c r="N23" s="46"/>
      <c r="O23" s="47"/>
      <c r="P23" s="48"/>
      <c r="Q23" s="48"/>
      <c r="R23" s="49"/>
      <c r="S23" s="50"/>
      <c r="T23" s="51"/>
      <c r="U23" s="49"/>
      <c r="V23" s="52"/>
      <c r="W23" s="53"/>
      <c r="X23" s="51"/>
      <c r="Y23" s="54"/>
      <c r="Z23" s="51"/>
      <c r="AA23" s="41"/>
      <c r="AB23" s="64"/>
      <c r="AC23" s="51"/>
      <c r="AD23" s="55"/>
      <c r="AE23" s="56"/>
      <c r="AF23" s="55"/>
      <c r="AG23" s="248">
        <f t="shared" ref="AG23:AN23" si="15">AVERAGEIF(AG3:AG22,"&lt;&gt;0",AG3:AG22)</f>
        <v>1702.1666666666667</v>
      </c>
      <c r="AH23" s="247">
        <f t="shared" si="15"/>
        <v>480.36400000000003</v>
      </c>
      <c r="AI23" s="247">
        <f t="shared" si="15"/>
        <v>340.43333333333334</v>
      </c>
      <c r="AJ23" s="247">
        <f t="shared" si="15"/>
        <v>92</v>
      </c>
      <c r="AK23" s="247">
        <f t="shared" si="15"/>
        <v>1528.8692603333336</v>
      </c>
      <c r="AL23" s="247">
        <f t="shared" si="15"/>
        <v>-1441.1159363333334</v>
      </c>
      <c r="AM23" s="249">
        <f t="shared" si="15"/>
        <v>-0.23706765838322907</v>
      </c>
      <c r="AN23" s="249">
        <f t="shared" si="15"/>
        <v>-11.39919119216168</v>
      </c>
      <c r="AO23" s="240"/>
      <c r="AP23" s="241"/>
    </row>
    <row r="24" spans="1:52">
      <c r="A24" s="216" t="s">
        <v>305</v>
      </c>
      <c r="B24" s="209"/>
      <c r="C24" s="217">
        <f>SUM(C3:C22)</f>
        <v>0</v>
      </c>
      <c r="D24" s="210"/>
      <c r="E24" s="210">
        <v>108496</v>
      </c>
      <c r="F24" s="210">
        <v>597</v>
      </c>
      <c r="G24" s="210">
        <v>295</v>
      </c>
      <c r="H24" s="211"/>
      <c r="I24" s="217">
        <f>SUM(I3:I22)</f>
        <v>0</v>
      </c>
      <c r="J24" s="212"/>
      <c r="K24" s="217">
        <f>SUM(K3:K22)</f>
        <v>19</v>
      </c>
      <c r="L24" s="212"/>
      <c r="M24" s="212"/>
      <c r="N24" s="213"/>
      <c r="O24" s="214"/>
      <c r="P24" s="217">
        <f>SUM(P3:P22)</f>
        <v>5</v>
      </c>
      <c r="Q24" s="217">
        <f t="shared" ref="Q24:AE24" si="16">SUM(Q3:Q22)</f>
        <v>0</v>
      </c>
      <c r="R24" s="217">
        <f t="shared" si="16"/>
        <v>5</v>
      </c>
      <c r="S24" s="237">
        <f>SUM(S3:S22)</f>
        <v>8513</v>
      </c>
      <c r="T24" s="217">
        <f t="shared" si="16"/>
        <v>0</v>
      </c>
      <c r="U24" s="217">
        <f t="shared" si="16"/>
        <v>8513</v>
      </c>
      <c r="V24" s="256">
        <f t="shared" si="16"/>
        <v>1</v>
      </c>
      <c r="W24" s="217">
        <f t="shared" si="16"/>
        <v>649.38</v>
      </c>
      <c r="X24" s="217">
        <f t="shared" si="16"/>
        <v>1702.6</v>
      </c>
      <c r="Y24" s="215">
        <f>IF(U24=0,0,X24/U24)</f>
        <v>0.19999999999999998</v>
      </c>
      <c r="Z24" s="217">
        <f t="shared" si="16"/>
        <v>506</v>
      </c>
      <c r="AA24" s="217">
        <f>IFERROR(P24*AA49/P49,0)</f>
        <v>15668.719999999998</v>
      </c>
      <c r="AB24" s="217">
        <f t="shared" si="16"/>
        <v>0</v>
      </c>
      <c r="AC24" s="217">
        <f t="shared" si="16"/>
        <v>0</v>
      </c>
      <c r="AD24" s="238">
        <f t="shared" si="16"/>
        <v>85.13</v>
      </c>
      <c r="AE24" s="239">
        <f t="shared" si="16"/>
        <v>-10098.838846000001</v>
      </c>
      <c r="AF24" s="257"/>
      <c r="AG24" s="244"/>
      <c r="AH24" s="245"/>
      <c r="AI24" s="245"/>
      <c r="AJ24" s="245"/>
      <c r="AK24" s="246"/>
      <c r="AL24" s="245"/>
      <c r="AM24" s="208"/>
      <c r="AN24" s="242"/>
      <c r="AO24" s="267"/>
      <c r="AP24" s="243">
        <f>SUM(AP3:AP22)</f>
        <v>0</v>
      </c>
      <c r="AZ24" s="61">
        <v>18592777.379413977</v>
      </c>
    </row>
    <row r="25" spans="1:52" ht="13.75" customHeight="1">
      <c r="A25" s="39"/>
      <c r="B25" s="40"/>
      <c r="C25" s="41"/>
      <c r="D25" s="42"/>
      <c r="E25" s="42"/>
      <c r="F25" s="42"/>
      <c r="G25" s="43"/>
      <c r="H25" s="207"/>
      <c r="I25" s="63"/>
      <c r="J25" s="45"/>
      <c r="K25" s="41"/>
      <c r="L25" s="45"/>
      <c r="M25" s="45"/>
      <c r="N25" s="46"/>
      <c r="O25" s="47"/>
      <c r="P25" s="48"/>
      <c r="Q25" s="48"/>
      <c r="R25" s="49"/>
      <c r="S25" s="50"/>
      <c r="T25" s="51"/>
      <c r="U25" s="49"/>
      <c r="V25" s="52"/>
      <c r="W25" s="53"/>
      <c r="X25" s="51"/>
      <c r="Y25" s="54"/>
      <c r="Z25" s="51"/>
      <c r="AA25" s="283">
        <f>SUM(AA3:AA22)</f>
        <v>15668.728846</v>
      </c>
      <c r="AB25" s="64"/>
      <c r="AC25" s="51"/>
      <c r="AD25" s="55"/>
      <c r="AE25" s="56"/>
      <c r="AF25" s="55"/>
      <c r="AG25" s="57"/>
      <c r="AH25" s="58"/>
      <c r="AI25" s="58"/>
      <c r="AJ25" s="58"/>
      <c r="AK25" s="58"/>
      <c r="AL25" s="58"/>
      <c r="AM25" s="59"/>
      <c r="AN25" s="60"/>
      <c r="AP25" s="62"/>
    </row>
    <row r="26" spans="1:52">
      <c r="A26" s="39">
        <v>2774708536</v>
      </c>
      <c r="B26" s="40" t="s">
        <v>98</v>
      </c>
      <c r="C26" s="41"/>
      <c r="D26" s="42"/>
      <c r="E26" s="42"/>
      <c r="F26" s="42"/>
      <c r="G26" s="43"/>
      <c r="H26" s="65">
        <v>672</v>
      </c>
      <c r="I26" s="63">
        <f t="shared" ref="I26:I45" si="17">C26*H26</f>
        <v>0</v>
      </c>
      <c r="J26" s="45"/>
      <c r="K26" s="41">
        <v>0</v>
      </c>
      <c r="L26" s="45"/>
      <c r="M26" s="45"/>
      <c r="N26" s="46"/>
      <c r="O26" s="47"/>
      <c r="P26" s="48">
        <f>SUMIFS('Отчет август'!H:H,'Отчет август'!D:D,"Выручка",'Отчет август'!E:E,B26)</f>
        <v>0</v>
      </c>
      <c r="Q26" s="48">
        <f>SUMIFS('Отчет август'!H:H,'Отчет август'!D:D,"Возврат выручки",'Отчет август'!E:E,B26)</f>
        <v>0</v>
      </c>
      <c r="R26" s="49">
        <f t="shared" ref="R26:R45" si="18">P26+Q26</f>
        <v>0</v>
      </c>
      <c r="S26" s="50">
        <f>SUMIFS('Отчет август'!O:O,'Отчет август'!C:C,"Продажи",'Отчет август'!E:E,B26)</f>
        <v>0</v>
      </c>
      <c r="T26" s="51">
        <f>SUMIFS('Отчет август'!O:O,'Отчет август'!C:C,"Возвраты",'Отчет август'!E:E,B26)</f>
        <v>0</v>
      </c>
      <c r="U26" s="49">
        <f t="shared" ref="U26:U45" si="19">S26+T26</f>
        <v>0</v>
      </c>
      <c r="V26" s="52">
        <f t="shared" ref="V26:V45" si="20">U26/$U$49</f>
        <v>0</v>
      </c>
      <c r="W26" s="53">
        <f t="shared" ref="W26:W45" si="21">R26*H26</f>
        <v>0</v>
      </c>
      <c r="X26" s="51">
        <f>-SUMIFS('Отчет август'!O:O,'Отчет август'!C:C,"Вознаграждение Ozon",'Отчет август'!E:E,B26)</f>
        <v>0</v>
      </c>
      <c r="Y26" s="54">
        <f t="shared" ref="Y26:Y45" si="22">IF(U26=0,0,X26/U26)</f>
        <v>0</v>
      </c>
      <c r="Z26" s="51">
        <f>-SUMIFS('Отчет август'!O:O,'Отчет август'!C:C,"Услуги доставки",'Отчет август'!E:E,B26)</f>
        <v>0</v>
      </c>
      <c r="AA26" s="41">
        <v>0</v>
      </c>
      <c r="AB26" s="64"/>
      <c r="AC26" s="51"/>
      <c r="AD26" s="55">
        <f>U26*1%</f>
        <v>0</v>
      </c>
      <c r="AE26" s="56">
        <f t="shared" ref="AE26:AE45" si="23">U26-W26-X26-Z26-AA26-AB26-AC26-AD26</f>
        <v>0</v>
      </c>
      <c r="AF26" s="55"/>
      <c r="AG26" s="57">
        <f t="shared" ref="AG26:AG45" si="24">IF(R26=0,0,U26/R26)</f>
        <v>0</v>
      </c>
      <c r="AH26" s="58">
        <f t="shared" ref="AH26:AH45" si="25">H26</f>
        <v>672</v>
      </c>
      <c r="AI26" s="58">
        <f t="shared" ref="AI26:AI45" si="26">IF(R26=0,0,X26/R26)</f>
        <v>0</v>
      </c>
      <c r="AJ26" s="58">
        <f t="shared" ref="AJ26:AJ45" si="27">IF(P26=0,Z26/1,Z26/P26)</f>
        <v>0</v>
      </c>
      <c r="AK26" s="58">
        <f t="shared" ref="AK26:AK45" si="28">IF(P26=0,0,AA26/P26)</f>
        <v>0</v>
      </c>
      <c r="AL26" s="58">
        <f t="array" ref="AL26">_xlfn.IFS(R26=0,AE26,R26&lt;0,AE26/-R26,R26&gt;0,AE26/R26)</f>
        <v>0</v>
      </c>
      <c r="AM26" s="59">
        <f t="shared" ref="AM26:AM45" si="29">IF(AG26=0,0,AL26/AG26)</f>
        <v>0</v>
      </c>
      <c r="AN26" s="60">
        <f t="shared" ref="AN26:AN45" si="30">IF(AH26=0,0,AL26/AH26)</f>
        <v>0</v>
      </c>
      <c r="AP26" s="62">
        <f t="shared" ref="AP26:AP45" si="31">AL26*C26</f>
        <v>0</v>
      </c>
    </row>
    <row r="27" spans="1:52">
      <c r="A27" s="39">
        <v>2774708622</v>
      </c>
      <c r="B27" s="40" t="s">
        <v>43</v>
      </c>
      <c r="C27" s="41"/>
      <c r="D27" s="42"/>
      <c r="E27" s="42"/>
      <c r="F27" s="42"/>
      <c r="G27" s="43"/>
      <c r="H27" s="65">
        <v>627</v>
      </c>
      <c r="I27" s="63">
        <f t="shared" si="17"/>
        <v>0</v>
      </c>
      <c r="J27" s="45"/>
      <c r="K27" s="41">
        <v>0</v>
      </c>
      <c r="L27" s="45"/>
      <c r="M27" s="45"/>
      <c r="N27" s="46"/>
      <c r="O27" s="47"/>
      <c r="P27" s="48">
        <f>SUMIFS('Отчет август'!H:H,'Отчет август'!D:D,"Выручка",'Отчет август'!E:E,B27)</f>
        <v>0</v>
      </c>
      <c r="Q27" s="48">
        <f>SUMIFS('Отчет август'!H:H,'Отчет август'!D:D,"Возврат выручки",'Отчет август'!E:E,B27)</f>
        <v>0</v>
      </c>
      <c r="R27" s="49">
        <f t="shared" si="18"/>
        <v>0</v>
      </c>
      <c r="S27" s="50">
        <f>SUMIFS('Отчет август'!O:O,'Отчет август'!C:C,"Продажи",'Отчет август'!E:E,B27)</f>
        <v>0</v>
      </c>
      <c r="T27" s="51">
        <f>SUMIFS('Отчет август'!O:O,'Отчет август'!C:C,"Возвраты",'Отчет август'!E:E,B27)</f>
        <v>0</v>
      </c>
      <c r="U27" s="49">
        <f t="shared" si="19"/>
        <v>0</v>
      </c>
      <c r="V27" s="52">
        <f t="shared" si="20"/>
        <v>0</v>
      </c>
      <c r="W27" s="53">
        <f t="shared" si="21"/>
        <v>0</v>
      </c>
      <c r="X27" s="51">
        <f>-SUMIFS('Отчет август'!O:O,'Отчет август'!C:C,"Вознаграждение Ozon",'Отчет август'!E:E,B27)</f>
        <v>0</v>
      </c>
      <c r="Y27" s="54">
        <f t="shared" si="22"/>
        <v>0</v>
      </c>
      <c r="Z27" s="51">
        <f>-SUMIFS('Отчет август'!O:O,'Отчет август'!C:C,"Услуги доставки",'Отчет август'!E:E,B27)</f>
        <v>0</v>
      </c>
      <c r="AA27" s="41">
        <v>0</v>
      </c>
      <c r="AB27" s="64"/>
      <c r="AC27" s="51"/>
      <c r="AD27" s="55">
        <f>U27*1%</f>
        <v>0</v>
      </c>
      <c r="AE27" s="56">
        <f t="shared" si="23"/>
        <v>0</v>
      </c>
      <c r="AF27" s="55"/>
      <c r="AG27" s="57">
        <f t="shared" si="24"/>
        <v>0</v>
      </c>
      <c r="AH27" s="58">
        <f t="shared" si="25"/>
        <v>627</v>
      </c>
      <c r="AI27" s="58">
        <f t="shared" si="26"/>
        <v>0</v>
      </c>
      <c r="AJ27" s="58">
        <f t="shared" si="27"/>
        <v>0</v>
      </c>
      <c r="AK27" s="58">
        <f t="shared" si="28"/>
        <v>0</v>
      </c>
      <c r="AL27" s="58">
        <f t="array" ref="AL27">_xlfn.IFS(R27=0,AE27,R27&lt;0,AE27/-R27,R27&gt;0,AE27/R27)</f>
        <v>0</v>
      </c>
      <c r="AM27" s="59">
        <f t="shared" si="29"/>
        <v>0</v>
      </c>
      <c r="AN27" s="60">
        <f t="shared" si="30"/>
        <v>0</v>
      </c>
      <c r="AP27" s="62">
        <f t="shared" si="31"/>
        <v>0</v>
      </c>
    </row>
    <row r="28" spans="1:52">
      <c r="A28" s="39">
        <v>2774709606</v>
      </c>
      <c r="B28" s="40" t="s">
        <v>235</v>
      </c>
      <c r="C28" s="41"/>
      <c r="D28" s="42"/>
      <c r="E28" s="42"/>
      <c r="F28" s="42"/>
      <c r="G28" s="43"/>
      <c r="H28" s="65">
        <v>627</v>
      </c>
      <c r="I28" s="63">
        <f t="shared" si="17"/>
        <v>0</v>
      </c>
      <c r="J28" s="45"/>
      <c r="K28" s="41">
        <v>0</v>
      </c>
      <c r="L28" s="45"/>
      <c r="M28" s="45"/>
      <c r="N28" s="46"/>
      <c r="O28" s="47"/>
      <c r="P28" s="48">
        <f>SUMIFS('Отчет август'!H:H,'Отчет август'!D:D,"Выручка",'Отчет август'!E:E,B28)</f>
        <v>0</v>
      </c>
      <c r="Q28" s="48">
        <f>SUMIFS('Отчет август'!H:H,'Отчет август'!D:D,"Возврат выручки",'Отчет август'!E:E,B28)</f>
        <v>0</v>
      </c>
      <c r="R28" s="49">
        <f t="shared" si="18"/>
        <v>0</v>
      </c>
      <c r="S28" s="50">
        <f>SUMIFS('Отчет август'!O:O,'Отчет август'!C:C,"Продажи",'Отчет август'!E:E,B28)</f>
        <v>0</v>
      </c>
      <c r="T28" s="51">
        <f>SUMIFS('Отчет август'!O:O,'Отчет август'!C:C,"Возвраты",'Отчет август'!E:E,B28)</f>
        <v>0</v>
      </c>
      <c r="U28" s="49">
        <f t="shared" si="19"/>
        <v>0</v>
      </c>
      <c r="V28" s="52">
        <f t="shared" si="20"/>
        <v>0</v>
      </c>
      <c r="W28" s="53">
        <f t="shared" si="21"/>
        <v>0</v>
      </c>
      <c r="X28" s="51">
        <f>-SUMIFS('Отчет август'!O:O,'Отчет август'!C:C,"Вознаграждение Ozon",'Отчет август'!E:E,B28)</f>
        <v>0</v>
      </c>
      <c r="Y28" s="54">
        <f t="shared" si="22"/>
        <v>0</v>
      </c>
      <c r="Z28" s="51">
        <f>-SUMIFS('Отчет август'!O:O,'Отчет август'!C:C,"Услуги доставки",'Отчет август'!E:E,B28)</f>
        <v>0</v>
      </c>
      <c r="AA28" s="41">
        <v>0</v>
      </c>
      <c r="AB28" s="64"/>
      <c r="AC28" s="51"/>
      <c r="AD28" s="55">
        <f>U28*1%</f>
        <v>0</v>
      </c>
      <c r="AE28" s="56">
        <f t="shared" si="23"/>
        <v>0</v>
      </c>
      <c r="AF28" s="55"/>
      <c r="AG28" s="57">
        <f t="shared" si="24"/>
        <v>0</v>
      </c>
      <c r="AH28" s="58">
        <f t="shared" si="25"/>
        <v>627</v>
      </c>
      <c r="AI28" s="58">
        <f t="shared" si="26"/>
        <v>0</v>
      </c>
      <c r="AJ28" s="58">
        <f t="shared" si="27"/>
        <v>0</v>
      </c>
      <c r="AK28" s="58">
        <f t="shared" si="28"/>
        <v>0</v>
      </c>
      <c r="AL28" s="58">
        <f t="array" ref="AL28">_xlfn.IFS(R28=0,AE28,R28&lt;0,AE28/-R28,R28&gt;0,AE28/R28)</f>
        <v>0</v>
      </c>
      <c r="AM28" s="59">
        <f t="shared" si="29"/>
        <v>0</v>
      </c>
      <c r="AN28" s="60">
        <f t="shared" si="30"/>
        <v>0</v>
      </c>
      <c r="AP28" s="62">
        <f t="shared" si="31"/>
        <v>0</v>
      </c>
    </row>
    <row r="29" spans="1:52">
      <c r="A29" s="39">
        <v>2774720465</v>
      </c>
      <c r="B29" s="40" t="s">
        <v>171</v>
      </c>
      <c r="C29" s="41"/>
      <c r="D29" s="42"/>
      <c r="E29" s="42"/>
      <c r="F29" s="42"/>
      <c r="G29" s="43"/>
      <c r="H29" s="65">
        <v>567</v>
      </c>
      <c r="I29" s="63">
        <f t="shared" si="17"/>
        <v>0</v>
      </c>
      <c r="J29" s="45"/>
      <c r="K29" s="41">
        <v>0</v>
      </c>
      <c r="L29" s="45"/>
      <c r="M29" s="45"/>
      <c r="N29" s="46"/>
      <c r="O29" s="47"/>
      <c r="P29" s="48">
        <f>SUMIFS('Отчет август'!H:H,'Отчет август'!D:D,"Выручка",'Отчет август'!E:E,B29)</f>
        <v>0</v>
      </c>
      <c r="Q29" s="48">
        <f>SUMIFS('Отчет август'!H:H,'Отчет август'!D:D,"Возврат выручки",'Отчет август'!E:E,B29)</f>
        <v>0</v>
      </c>
      <c r="R29" s="49">
        <f t="shared" si="18"/>
        <v>0</v>
      </c>
      <c r="S29" s="50">
        <f>SUMIFS('Отчет август'!O:O,'Отчет август'!C:C,"Продажи",'Отчет август'!E:E,B29)</f>
        <v>0</v>
      </c>
      <c r="T29" s="51">
        <f>SUMIFS('Отчет август'!O:O,'Отчет август'!C:C,"Возвраты",'Отчет август'!E:E,B29)</f>
        <v>0</v>
      </c>
      <c r="U29" s="49">
        <f t="shared" si="19"/>
        <v>0</v>
      </c>
      <c r="V29" s="52">
        <f t="shared" si="20"/>
        <v>0</v>
      </c>
      <c r="W29" s="53">
        <f t="shared" si="21"/>
        <v>0</v>
      </c>
      <c r="X29" s="51">
        <f>-SUMIFS('Отчет август'!O:O,'Отчет август'!C:C,"Вознаграждение Ozon",'Отчет август'!E:E,B29)</f>
        <v>0</v>
      </c>
      <c r="Y29" s="54">
        <f t="shared" si="22"/>
        <v>0</v>
      </c>
      <c r="Z29" s="51">
        <f>-SUMIFS('Отчет август'!O:O,'Отчет август'!C:C,"Услуги доставки",'Отчет август'!E:E,B29)</f>
        <v>0</v>
      </c>
      <c r="AA29" s="41">
        <v>0</v>
      </c>
      <c r="AB29" s="64"/>
      <c r="AC29" s="51"/>
      <c r="AD29" s="55">
        <f>U29*1%</f>
        <v>0</v>
      </c>
      <c r="AE29" s="56">
        <f t="shared" si="23"/>
        <v>0</v>
      </c>
      <c r="AF29" s="55"/>
      <c r="AG29" s="57">
        <f t="shared" si="24"/>
        <v>0</v>
      </c>
      <c r="AH29" s="58">
        <f t="shared" si="25"/>
        <v>567</v>
      </c>
      <c r="AI29" s="58">
        <f t="shared" si="26"/>
        <v>0</v>
      </c>
      <c r="AJ29" s="58">
        <f t="shared" si="27"/>
        <v>0</v>
      </c>
      <c r="AK29" s="58">
        <f t="shared" si="28"/>
        <v>0</v>
      </c>
      <c r="AL29" s="58">
        <f t="array" ref="AL29">_xlfn.IFS(R29=0,AE29,R29&lt;0,AE29/-R29,R29&gt;0,AE29/R29)</f>
        <v>0</v>
      </c>
      <c r="AM29" s="59">
        <f t="shared" si="29"/>
        <v>0</v>
      </c>
      <c r="AN29" s="60">
        <f t="shared" si="30"/>
        <v>0</v>
      </c>
      <c r="AP29" s="62">
        <f t="shared" si="31"/>
        <v>0</v>
      </c>
    </row>
    <row r="30" spans="1:52">
      <c r="A30" s="39">
        <v>2774718470</v>
      </c>
      <c r="B30" s="40" t="s">
        <v>39</v>
      </c>
      <c r="C30" s="41"/>
      <c r="D30" s="42"/>
      <c r="E30" s="42"/>
      <c r="F30" s="42"/>
      <c r="G30" s="43"/>
      <c r="H30" s="65">
        <v>567</v>
      </c>
      <c r="I30" s="63">
        <f t="shared" si="17"/>
        <v>0</v>
      </c>
      <c r="J30" s="45"/>
      <c r="K30" s="41">
        <v>0</v>
      </c>
      <c r="L30" s="45"/>
      <c r="M30" s="45"/>
      <c r="N30" s="46"/>
      <c r="O30" s="47"/>
      <c r="P30" s="48">
        <f>SUMIFS('Отчет август'!H:H,'Отчет август'!D:D,"Выручка",'Отчет август'!E:E,B30)</f>
        <v>0</v>
      </c>
      <c r="Q30" s="48">
        <f>SUMIFS('Отчет август'!H:H,'Отчет август'!D:D,"Возврат выручки",'Отчет август'!E:E,B30)</f>
        <v>0</v>
      </c>
      <c r="R30" s="49">
        <f t="shared" si="18"/>
        <v>0</v>
      </c>
      <c r="S30" s="50">
        <f>SUMIFS('Отчет август'!O:O,'Отчет август'!C:C,"Продажи",'Отчет август'!E:E,B30)</f>
        <v>0</v>
      </c>
      <c r="T30" s="51">
        <f>SUMIFS('Отчет август'!O:O,'Отчет август'!C:C,"Возвраты",'Отчет август'!E:E,B30)</f>
        <v>0</v>
      </c>
      <c r="U30" s="49">
        <f t="shared" si="19"/>
        <v>0</v>
      </c>
      <c r="V30" s="52">
        <f t="shared" si="20"/>
        <v>0</v>
      </c>
      <c r="W30" s="53">
        <f t="shared" si="21"/>
        <v>0</v>
      </c>
      <c r="X30" s="51">
        <f>-SUMIFS('Отчет август'!O:O,'Отчет август'!C:C,"Вознаграждение Ozon",'Отчет август'!E:E,B30)</f>
        <v>0</v>
      </c>
      <c r="Y30" s="54">
        <f t="shared" si="22"/>
        <v>0</v>
      </c>
      <c r="Z30" s="51">
        <f>-SUMIFS('Отчет август'!O:O,'Отчет август'!C:C,"Услуги доставки",'Отчет август'!E:E,B30)</f>
        <v>0</v>
      </c>
      <c r="AA30" s="41">
        <v>0</v>
      </c>
      <c r="AB30" s="64"/>
      <c r="AC30" s="51"/>
      <c r="AD30" s="55">
        <f>U30*1%</f>
        <v>0</v>
      </c>
      <c r="AE30" s="56">
        <f t="shared" si="23"/>
        <v>0</v>
      </c>
      <c r="AF30" s="55"/>
      <c r="AG30" s="57">
        <f t="shared" si="24"/>
        <v>0</v>
      </c>
      <c r="AH30" s="58">
        <f t="shared" si="25"/>
        <v>567</v>
      </c>
      <c r="AI30" s="58">
        <f t="shared" si="26"/>
        <v>0</v>
      </c>
      <c r="AJ30" s="58">
        <f t="shared" si="27"/>
        <v>0</v>
      </c>
      <c r="AK30" s="58">
        <f t="shared" si="28"/>
        <v>0</v>
      </c>
      <c r="AL30" s="58">
        <f t="array" ref="AL30">_xlfn.IFS(R30=0,AE30,R30&lt;0,AE30/-R30,R30&gt;0,AE30/R30)</f>
        <v>0</v>
      </c>
      <c r="AM30" s="59">
        <f t="shared" si="29"/>
        <v>0</v>
      </c>
      <c r="AN30" s="60">
        <f t="shared" si="30"/>
        <v>0</v>
      </c>
      <c r="AP30" s="62">
        <f t="shared" si="31"/>
        <v>0</v>
      </c>
    </row>
    <row r="31" spans="1:52">
      <c r="A31" s="39">
        <v>2774719022</v>
      </c>
      <c r="B31" s="40" t="s">
        <v>236</v>
      </c>
      <c r="C31" s="41"/>
      <c r="D31" s="42"/>
      <c r="E31" s="42"/>
      <c r="F31" s="42"/>
      <c r="G31" s="43"/>
      <c r="H31" s="65">
        <v>657</v>
      </c>
      <c r="I31" s="63">
        <f t="shared" si="17"/>
        <v>0</v>
      </c>
      <c r="J31" s="45"/>
      <c r="K31" s="41">
        <v>0</v>
      </c>
      <c r="L31" s="45"/>
      <c r="M31" s="45"/>
      <c r="N31" s="46"/>
      <c r="O31" s="47"/>
      <c r="P31" s="48">
        <f>SUMIFS('Отчет август'!H:H,'Отчет август'!D:D,"Выручка",'Отчет август'!E:E,B31)</f>
        <v>0</v>
      </c>
      <c r="Q31" s="48">
        <f>SUMIFS('Отчет август'!H:H,'Отчет август'!D:D,"Возврат выручки",'Отчет август'!E:E,B31)</f>
        <v>0</v>
      </c>
      <c r="R31" s="49">
        <f t="shared" si="18"/>
        <v>0</v>
      </c>
      <c r="S31" s="50">
        <f>SUMIFS('Отчет август'!O:O,'Отчет август'!C:C,"Продажи",'Отчет август'!E:E,B31)</f>
        <v>0</v>
      </c>
      <c r="T31" s="51">
        <f>SUMIFS('Отчет август'!O:O,'Отчет август'!C:C,"Возвраты",'Отчет август'!E:E,B31)</f>
        <v>0</v>
      </c>
      <c r="U31" s="49">
        <f t="shared" si="19"/>
        <v>0</v>
      </c>
      <c r="V31" s="52">
        <f t="shared" si="20"/>
        <v>0</v>
      </c>
      <c r="W31" s="53">
        <f t="shared" si="21"/>
        <v>0</v>
      </c>
      <c r="X31" s="51">
        <f>-SUMIFS('Отчет август'!O:O,'Отчет август'!C:C,"Вознаграждение Ozon",'Отчет август'!E:E,B31)</f>
        <v>0</v>
      </c>
      <c r="Y31" s="54">
        <f t="shared" si="22"/>
        <v>0</v>
      </c>
      <c r="Z31" s="51">
        <f>-SUMIFS('Отчет август'!O:O,'Отчет август'!C:C,"Услуги доставки",'Отчет август'!E:E,B31)</f>
        <v>0</v>
      </c>
      <c r="AA31" s="41">
        <v>0</v>
      </c>
      <c r="AB31" s="64"/>
      <c r="AC31" s="51"/>
      <c r="AD31" s="55">
        <f>U31*1%</f>
        <v>0</v>
      </c>
      <c r="AE31" s="56">
        <f t="shared" si="23"/>
        <v>0</v>
      </c>
      <c r="AF31" s="55"/>
      <c r="AG31" s="57">
        <f t="shared" si="24"/>
        <v>0</v>
      </c>
      <c r="AH31" s="58">
        <f t="shared" si="25"/>
        <v>657</v>
      </c>
      <c r="AI31" s="58">
        <f t="shared" si="26"/>
        <v>0</v>
      </c>
      <c r="AJ31" s="58">
        <f t="shared" si="27"/>
        <v>0</v>
      </c>
      <c r="AK31" s="58">
        <f t="shared" si="28"/>
        <v>0</v>
      </c>
      <c r="AL31" s="58">
        <f t="array" ref="AL31">_xlfn.IFS(R31=0,AE31,R31&lt;0,AE31/-R31,R31&gt;0,AE31/R31)</f>
        <v>0</v>
      </c>
      <c r="AM31" s="59">
        <f t="shared" si="29"/>
        <v>0</v>
      </c>
      <c r="AN31" s="60">
        <f t="shared" si="30"/>
        <v>0</v>
      </c>
      <c r="AP31" s="62">
        <f t="shared" si="31"/>
        <v>0</v>
      </c>
    </row>
    <row r="32" spans="1:52">
      <c r="A32" s="39">
        <v>2774719501</v>
      </c>
      <c r="B32" s="40" t="s">
        <v>237</v>
      </c>
      <c r="C32" s="41"/>
      <c r="D32" s="42"/>
      <c r="E32" s="42"/>
      <c r="F32" s="42"/>
      <c r="G32" s="43"/>
      <c r="H32" s="65">
        <v>597</v>
      </c>
      <c r="I32" s="63">
        <f t="shared" si="17"/>
        <v>0</v>
      </c>
      <c r="J32" s="45"/>
      <c r="K32" s="41">
        <v>0</v>
      </c>
      <c r="L32" s="45"/>
      <c r="M32" s="45"/>
      <c r="N32" s="46"/>
      <c r="O32" s="47"/>
      <c r="P32" s="48">
        <f>SUMIFS('Отчет август'!H:H,'Отчет август'!D:D,"Выручка",'Отчет август'!E:E,B32)</f>
        <v>0</v>
      </c>
      <c r="Q32" s="48">
        <f>SUMIFS('Отчет август'!H:H,'Отчет август'!D:D,"Возврат выручки",'Отчет август'!E:E,B32)</f>
        <v>0</v>
      </c>
      <c r="R32" s="49">
        <f t="shared" si="18"/>
        <v>0</v>
      </c>
      <c r="S32" s="50">
        <f>SUMIFS('Отчет август'!O:O,'Отчет август'!C:C,"Продажи",'Отчет август'!E:E,B32)</f>
        <v>0</v>
      </c>
      <c r="T32" s="51">
        <f>SUMIFS('Отчет август'!O:O,'Отчет август'!C:C,"Возвраты",'Отчет август'!E:E,B32)</f>
        <v>0</v>
      </c>
      <c r="U32" s="49">
        <f t="shared" si="19"/>
        <v>0</v>
      </c>
      <c r="V32" s="52">
        <f t="shared" si="20"/>
        <v>0</v>
      </c>
      <c r="W32" s="53">
        <f t="shared" si="21"/>
        <v>0</v>
      </c>
      <c r="X32" s="51">
        <f>-SUMIFS('Отчет август'!O:O,'Отчет август'!C:C,"Вознаграждение Ozon",'Отчет август'!E:E,B32)</f>
        <v>0</v>
      </c>
      <c r="Y32" s="54">
        <f t="shared" si="22"/>
        <v>0</v>
      </c>
      <c r="Z32" s="51">
        <f>-SUMIFS('Отчет август'!O:O,'Отчет август'!C:C,"Услуги доставки",'Отчет август'!E:E,B32)</f>
        <v>0</v>
      </c>
      <c r="AA32" s="41">
        <v>0</v>
      </c>
      <c r="AB32" s="64"/>
      <c r="AC32" s="51"/>
      <c r="AD32" s="55">
        <f>U32*1%</f>
        <v>0</v>
      </c>
      <c r="AE32" s="56">
        <f t="shared" si="23"/>
        <v>0</v>
      </c>
      <c r="AF32" s="55"/>
      <c r="AG32" s="57">
        <f t="shared" si="24"/>
        <v>0</v>
      </c>
      <c r="AH32" s="58">
        <f t="shared" si="25"/>
        <v>597</v>
      </c>
      <c r="AI32" s="58">
        <f t="shared" si="26"/>
        <v>0</v>
      </c>
      <c r="AJ32" s="58">
        <f t="shared" si="27"/>
        <v>0</v>
      </c>
      <c r="AK32" s="58">
        <f t="shared" si="28"/>
        <v>0</v>
      </c>
      <c r="AL32" s="58">
        <f t="array" ref="AL32">_xlfn.IFS(R32=0,AE32,R32&lt;0,AE32/-R32,R32&gt;0,AE32/R32)</f>
        <v>0</v>
      </c>
      <c r="AM32" s="59">
        <f t="shared" si="29"/>
        <v>0</v>
      </c>
      <c r="AN32" s="60">
        <f t="shared" si="30"/>
        <v>0</v>
      </c>
      <c r="AP32" s="62">
        <f t="shared" si="31"/>
        <v>0</v>
      </c>
    </row>
    <row r="33" spans="1:42">
      <c r="A33" s="39">
        <v>2774714412</v>
      </c>
      <c r="B33" s="40" t="s">
        <v>142</v>
      </c>
      <c r="C33" s="41"/>
      <c r="D33" s="42"/>
      <c r="E33" s="42"/>
      <c r="F33" s="42"/>
      <c r="G33" s="43"/>
      <c r="H33" s="65">
        <v>552</v>
      </c>
      <c r="I33" s="63">
        <f t="shared" si="17"/>
        <v>0</v>
      </c>
      <c r="J33" s="45"/>
      <c r="K33" s="41">
        <v>0</v>
      </c>
      <c r="L33" s="45"/>
      <c r="M33" s="45"/>
      <c r="N33" s="46"/>
      <c r="O33" s="47"/>
      <c r="P33" s="48">
        <f>SUMIFS('Отчет август'!H:H,'Отчет август'!D:D,"Выручка",'Отчет август'!E:E,B33)</f>
        <v>0</v>
      </c>
      <c r="Q33" s="48">
        <f>SUMIFS('Отчет август'!H:H,'Отчет август'!D:D,"Возврат выручки",'Отчет август'!E:E,B33)</f>
        <v>0</v>
      </c>
      <c r="R33" s="49">
        <f t="shared" si="18"/>
        <v>0</v>
      </c>
      <c r="S33" s="50">
        <f>SUMIFS('Отчет август'!O:O,'Отчет август'!C:C,"Продажи",'Отчет август'!E:E,B33)</f>
        <v>0</v>
      </c>
      <c r="T33" s="51">
        <f>SUMIFS('Отчет август'!O:O,'Отчет август'!C:C,"Возвраты",'Отчет август'!E:E,B33)</f>
        <v>0</v>
      </c>
      <c r="U33" s="49">
        <f t="shared" si="19"/>
        <v>0</v>
      </c>
      <c r="V33" s="52">
        <f t="shared" si="20"/>
        <v>0</v>
      </c>
      <c r="W33" s="53">
        <f t="shared" si="21"/>
        <v>0</v>
      </c>
      <c r="X33" s="51">
        <f>-SUMIFS('Отчет август'!O:O,'Отчет август'!C:C,"Вознаграждение Ozon",'Отчет август'!E:E,B33)</f>
        <v>0</v>
      </c>
      <c r="Y33" s="54">
        <f t="shared" si="22"/>
        <v>0</v>
      </c>
      <c r="Z33" s="51">
        <f>-SUMIFS('Отчет август'!O:O,'Отчет август'!C:C,"Услуги доставки",'Отчет август'!E:E,B33)</f>
        <v>0</v>
      </c>
      <c r="AA33" s="41">
        <v>0</v>
      </c>
      <c r="AB33" s="64"/>
      <c r="AC33" s="51"/>
      <c r="AD33" s="55">
        <f>U33*1%</f>
        <v>0</v>
      </c>
      <c r="AE33" s="56">
        <f t="shared" si="23"/>
        <v>0</v>
      </c>
      <c r="AF33" s="55"/>
      <c r="AG33" s="57">
        <f t="shared" si="24"/>
        <v>0</v>
      </c>
      <c r="AH33" s="58">
        <f t="shared" si="25"/>
        <v>552</v>
      </c>
      <c r="AI33" s="58">
        <f t="shared" si="26"/>
        <v>0</v>
      </c>
      <c r="AJ33" s="58">
        <f t="shared" si="27"/>
        <v>0</v>
      </c>
      <c r="AK33" s="58">
        <f t="shared" si="28"/>
        <v>0</v>
      </c>
      <c r="AL33" s="58">
        <f t="array" ref="AL33">_xlfn.IFS(R33=0,AE33,R33&lt;0,AE33/-R33,R33&gt;0,AE33/R33)</f>
        <v>0</v>
      </c>
      <c r="AM33" s="59">
        <f t="shared" si="29"/>
        <v>0</v>
      </c>
      <c r="AN33" s="60">
        <f t="shared" si="30"/>
        <v>0</v>
      </c>
      <c r="AP33" s="62">
        <f t="shared" si="31"/>
        <v>0</v>
      </c>
    </row>
    <row r="34" spans="1:42">
      <c r="A34" s="39">
        <v>2774710430</v>
      </c>
      <c r="B34" s="40" t="s">
        <v>238</v>
      </c>
      <c r="C34" s="41"/>
      <c r="D34" s="42"/>
      <c r="E34" s="42"/>
      <c r="F34" s="42"/>
      <c r="G34" s="43"/>
      <c r="H34" s="65">
        <v>552</v>
      </c>
      <c r="I34" s="63">
        <f t="shared" si="17"/>
        <v>0</v>
      </c>
      <c r="J34" s="45"/>
      <c r="K34" s="41">
        <v>0</v>
      </c>
      <c r="L34" s="45"/>
      <c r="M34" s="45"/>
      <c r="N34" s="46"/>
      <c r="O34" s="47"/>
      <c r="P34" s="48">
        <f>SUMIFS('Отчет август'!H:H,'Отчет август'!D:D,"Выручка",'Отчет август'!E:E,B34)</f>
        <v>0</v>
      </c>
      <c r="Q34" s="48">
        <f>SUMIFS('Отчет август'!H:H,'Отчет август'!D:D,"Возврат выручки",'Отчет август'!E:E,B34)</f>
        <v>0</v>
      </c>
      <c r="R34" s="49">
        <f t="shared" si="18"/>
        <v>0</v>
      </c>
      <c r="S34" s="50">
        <f>SUMIFS('Отчет август'!O:O,'Отчет август'!C:C,"Продажи",'Отчет август'!E:E,B34)</f>
        <v>0</v>
      </c>
      <c r="T34" s="51">
        <f>SUMIFS('Отчет август'!O:O,'Отчет август'!C:C,"Возвраты",'Отчет август'!E:E,B34)</f>
        <v>0</v>
      </c>
      <c r="U34" s="49">
        <f t="shared" si="19"/>
        <v>0</v>
      </c>
      <c r="V34" s="52">
        <f t="shared" si="20"/>
        <v>0</v>
      </c>
      <c r="W34" s="53">
        <f t="shared" si="21"/>
        <v>0</v>
      </c>
      <c r="X34" s="51">
        <f>-SUMIFS('Отчет август'!O:O,'Отчет август'!C:C,"Вознаграждение Ozon",'Отчет август'!E:E,B34)</f>
        <v>0</v>
      </c>
      <c r="Y34" s="54">
        <f t="shared" si="22"/>
        <v>0</v>
      </c>
      <c r="Z34" s="51">
        <f>-SUMIFS('Отчет август'!O:O,'Отчет август'!C:C,"Услуги доставки",'Отчет август'!E:E,B34)</f>
        <v>0</v>
      </c>
      <c r="AA34" s="41">
        <v>0</v>
      </c>
      <c r="AB34" s="64"/>
      <c r="AC34" s="51"/>
      <c r="AD34" s="55">
        <f>U34*1%</f>
        <v>0</v>
      </c>
      <c r="AE34" s="56">
        <f t="shared" si="23"/>
        <v>0</v>
      </c>
      <c r="AF34" s="55"/>
      <c r="AG34" s="57">
        <f t="shared" si="24"/>
        <v>0</v>
      </c>
      <c r="AH34" s="58">
        <f t="shared" si="25"/>
        <v>552</v>
      </c>
      <c r="AI34" s="58">
        <f t="shared" si="26"/>
        <v>0</v>
      </c>
      <c r="AJ34" s="58">
        <f t="shared" si="27"/>
        <v>0</v>
      </c>
      <c r="AK34" s="58">
        <f t="shared" si="28"/>
        <v>0</v>
      </c>
      <c r="AL34" s="58">
        <f t="array" ref="AL34">_xlfn.IFS(R34=0,AE34,R34&lt;0,AE34/-R34,R34&gt;0,AE34/R34)</f>
        <v>0</v>
      </c>
      <c r="AM34" s="59">
        <f t="shared" si="29"/>
        <v>0</v>
      </c>
      <c r="AN34" s="60">
        <f t="shared" si="30"/>
        <v>0</v>
      </c>
      <c r="AP34" s="62">
        <f t="shared" si="31"/>
        <v>0</v>
      </c>
    </row>
    <row r="35" spans="1:42">
      <c r="A35" s="39">
        <v>2774712116</v>
      </c>
      <c r="B35" s="40" t="s">
        <v>62</v>
      </c>
      <c r="C35" s="41"/>
      <c r="D35" s="42"/>
      <c r="E35" s="42"/>
      <c r="F35" s="42"/>
      <c r="G35" s="43"/>
      <c r="H35" s="65">
        <v>687</v>
      </c>
      <c r="I35" s="63">
        <f t="shared" si="17"/>
        <v>0</v>
      </c>
      <c r="J35" s="45"/>
      <c r="K35" s="41">
        <v>0</v>
      </c>
      <c r="L35" s="45"/>
      <c r="M35" s="45"/>
      <c r="N35" s="46"/>
      <c r="O35" s="47"/>
      <c r="P35" s="48">
        <f>SUMIFS('Отчет август'!H:H,'Отчет август'!D:D,"Выручка",'Отчет август'!E:E,B35)</f>
        <v>0</v>
      </c>
      <c r="Q35" s="48">
        <f>SUMIFS('Отчет август'!H:H,'Отчет август'!D:D,"Возврат выручки",'Отчет август'!E:E,B35)</f>
        <v>0</v>
      </c>
      <c r="R35" s="49">
        <f t="shared" si="18"/>
        <v>0</v>
      </c>
      <c r="S35" s="50">
        <f>SUMIFS('Отчет август'!O:O,'Отчет август'!C:C,"Продажи",'Отчет август'!E:E,B35)</f>
        <v>0</v>
      </c>
      <c r="T35" s="51">
        <f>SUMIFS('Отчет август'!O:O,'Отчет август'!C:C,"Возвраты",'Отчет август'!E:E,B35)</f>
        <v>0</v>
      </c>
      <c r="U35" s="49">
        <f t="shared" si="19"/>
        <v>0</v>
      </c>
      <c r="V35" s="52">
        <f t="shared" si="20"/>
        <v>0</v>
      </c>
      <c r="W35" s="53">
        <f t="shared" si="21"/>
        <v>0</v>
      </c>
      <c r="X35" s="51">
        <f>-SUMIFS('Отчет август'!O:O,'Отчет август'!C:C,"Вознаграждение Ozon",'Отчет август'!E:E,B35)</f>
        <v>0</v>
      </c>
      <c r="Y35" s="54">
        <f t="shared" si="22"/>
        <v>0</v>
      </c>
      <c r="Z35" s="51">
        <f>-SUMIFS('Отчет август'!O:O,'Отчет август'!C:C,"Услуги доставки",'Отчет август'!E:E,B35)</f>
        <v>0</v>
      </c>
      <c r="AA35" s="41">
        <v>0</v>
      </c>
      <c r="AB35" s="64"/>
      <c r="AC35" s="51"/>
      <c r="AD35" s="55">
        <f>U35*1%</f>
        <v>0</v>
      </c>
      <c r="AE35" s="56">
        <f t="shared" si="23"/>
        <v>0</v>
      </c>
      <c r="AF35" s="55"/>
      <c r="AG35" s="57">
        <f t="shared" si="24"/>
        <v>0</v>
      </c>
      <c r="AH35" s="58">
        <f t="shared" si="25"/>
        <v>687</v>
      </c>
      <c r="AI35" s="58">
        <f t="shared" si="26"/>
        <v>0</v>
      </c>
      <c r="AJ35" s="58">
        <f t="shared" si="27"/>
        <v>0</v>
      </c>
      <c r="AK35" s="58">
        <f t="shared" si="28"/>
        <v>0</v>
      </c>
      <c r="AL35" s="58">
        <f t="array" ref="AL35">_xlfn.IFS(R35=0,AE35,R35&lt;0,AE35/-R35,R35&gt;0,AE35/R35)</f>
        <v>0</v>
      </c>
      <c r="AM35" s="59">
        <f t="shared" si="29"/>
        <v>0</v>
      </c>
      <c r="AN35" s="60">
        <f t="shared" si="30"/>
        <v>0</v>
      </c>
      <c r="AP35" s="62">
        <f t="shared" si="31"/>
        <v>0</v>
      </c>
    </row>
    <row r="36" spans="1:42">
      <c r="A36" s="39">
        <v>2774719012</v>
      </c>
      <c r="B36" s="40" t="s">
        <v>239</v>
      </c>
      <c r="C36" s="41"/>
      <c r="D36" s="42"/>
      <c r="E36" s="42"/>
      <c r="F36" s="42"/>
      <c r="G36" s="43"/>
      <c r="H36" s="65">
        <v>687</v>
      </c>
      <c r="I36" s="63">
        <f t="shared" si="17"/>
        <v>0</v>
      </c>
      <c r="J36" s="45"/>
      <c r="K36" s="41">
        <v>0</v>
      </c>
      <c r="L36" s="45"/>
      <c r="M36" s="45"/>
      <c r="N36" s="46"/>
      <c r="O36" s="47"/>
      <c r="P36" s="48">
        <f>SUMIFS('Отчет август'!H:H,'Отчет август'!D:D,"Выручка",'Отчет август'!E:E,B36)</f>
        <v>0</v>
      </c>
      <c r="Q36" s="48">
        <f>SUMIFS('Отчет август'!H:H,'Отчет август'!D:D,"Возврат выручки",'Отчет август'!E:E,B36)</f>
        <v>0</v>
      </c>
      <c r="R36" s="49">
        <f t="shared" si="18"/>
        <v>0</v>
      </c>
      <c r="S36" s="50">
        <f>SUMIFS('Отчет август'!O:O,'Отчет август'!C:C,"Продажи",'Отчет август'!E:E,B36)</f>
        <v>0</v>
      </c>
      <c r="T36" s="51">
        <f>SUMIFS('Отчет август'!O:O,'Отчет август'!C:C,"Возвраты",'Отчет август'!E:E,B36)</f>
        <v>0</v>
      </c>
      <c r="U36" s="49">
        <f t="shared" si="19"/>
        <v>0</v>
      </c>
      <c r="V36" s="52">
        <f t="shared" si="20"/>
        <v>0</v>
      </c>
      <c r="W36" s="53">
        <f t="shared" si="21"/>
        <v>0</v>
      </c>
      <c r="X36" s="51">
        <f>-SUMIFS('Отчет август'!O:O,'Отчет август'!C:C,"Вознаграждение Ozon",'Отчет август'!E:E,B36)</f>
        <v>0</v>
      </c>
      <c r="Y36" s="54">
        <f t="shared" si="22"/>
        <v>0</v>
      </c>
      <c r="Z36" s="51">
        <f>-SUMIFS('Отчет август'!O:O,'Отчет август'!C:C,"Услуги доставки",'Отчет август'!E:E,B36)</f>
        <v>0</v>
      </c>
      <c r="AA36" s="41">
        <v>0</v>
      </c>
      <c r="AB36" s="64"/>
      <c r="AC36" s="51"/>
      <c r="AD36" s="55">
        <f>U36*1%</f>
        <v>0</v>
      </c>
      <c r="AE36" s="56">
        <f t="shared" si="23"/>
        <v>0</v>
      </c>
      <c r="AF36" s="55"/>
      <c r="AG36" s="57">
        <f t="shared" si="24"/>
        <v>0</v>
      </c>
      <c r="AH36" s="58">
        <f t="shared" si="25"/>
        <v>687</v>
      </c>
      <c r="AI36" s="58">
        <f t="shared" si="26"/>
        <v>0</v>
      </c>
      <c r="AJ36" s="58">
        <f t="shared" si="27"/>
        <v>0</v>
      </c>
      <c r="AK36" s="58">
        <f t="shared" si="28"/>
        <v>0</v>
      </c>
      <c r="AL36" s="58">
        <f t="array" ref="AL36">_xlfn.IFS(R36=0,AE36,R36&lt;0,AE36/-R36,R36&gt;0,AE36/R36)</f>
        <v>0</v>
      </c>
      <c r="AM36" s="59">
        <f t="shared" si="29"/>
        <v>0</v>
      </c>
      <c r="AN36" s="60">
        <f t="shared" si="30"/>
        <v>0</v>
      </c>
      <c r="AP36" s="62">
        <f t="shared" si="31"/>
        <v>0</v>
      </c>
    </row>
    <row r="37" spans="1:42">
      <c r="A37" s="39">
        <v>2774719433</v>
      </c>
      <c r="B37" s="40" t="s">
        <v>240</v>
      </c>
      <c r="C37" s="41"/>
      <c r="D37" s="42"/>
      <c r="E37" s="42"/>
      <c r="F37" s="42"/>
      <c r="G37" s="43"/>
      <c r="H37" s="65">
        <v>597</v>
      </c>
      <c r="I37" s="63">
        <f t="shared" si="17"/>
        <v>0</v>
      </c>
      <c r="J37" s="45"/>
      <c r="K37" s="41">
        <v>0</v>
      </c>
      <c r="L37" s="45"/>
      <c r="M37" s="45"/>
      <c r="N37" s="46"/>
      <c r="O37" s="47"/>
      <c r="P37" s="48">
        <f>SUMIFS('Отчет август'!H:H,'Отчет август'!D:D,"Выручка",'Отчет август'!E:E,B37)</f>
        <v>0</v>
      </c>
      <c r="Q37" s="48">
        <f>SUMIFS('Отчет август'!H:H,'Отчет август'!D:D,"Возврат выручки",'Отчет август'!E:E,B37)</f>
        <v>0</v>
      </c>
      <c r="R37" s="49">
        <f t="shared" si="18"/>
        <v>0</v>
      </c>
      <c r="S37" s="50">
        <f>SUMIFS('Отчет август'!O:O,'Отчет август'!C:C,"Продажи",'Отчет август'!E:E,B37)</f>
        <v>0</v>
      </c>
      <c r="T37" s="51">
        <f>SUMIFS('Отчет август'!O:O,'Отчет август'!C:C,"Возвраты",'Отчет август'!E:E,B37)</f>
        <v>0</v>
      </c>
      <c r="U37" s="49">
        <f t="shared" si="19"/>
        <v>0</v>
      </c>
      <c r="V37" s="52">
        <f t="shared" si="20"/>
        <v>0</v>
      </c>
      <c r="W37" s="53">
        <f t="shared" si="21"/>
        <v>0</v>
      </c>
      <c r="X37" s="51">
        <f>-SUMIFS('Отчет август'!O:O,'Отчет август'!C:C,"Вознаграждение Ozon",'Отчет август'!E:E,B37)</f>
        <v>0</v>
      </c>
      <c r="Y37" s="54">
        <f t="shared" si="22"/>
        <v>0</v>
      </c>
      <c r="Z37" s="51">
        <f>-SUMIFS('Отчет август'!O:O,'Отчет август'!C:C,"Услуги доставки",'Отчет август'!E:E,B37)</f>
        <v>0</v>
      </c>
      <c r="AA37" s="41">
        <v>0</v>
      </c>
      <c r="AB37" s="64"/>
      <c r="AC37" s="51"/>
      <c r="AD37" s="55">
        <f>U37*1%</f>
        <v>0</v>
      </c>
      <c r="AE37" s="56">
        <f t="shared" si="23"/>
        <v>0</v>
      </c>
      <c r="AF37" s="55"/>
      <c r="AG37" s="57">
        <f t="shared" si="24"/>
        <v>0</v>
      </c>
      <c r="AH37" s="58">
        <f t="shared" si="25"/>
        <v>597</v>
      </c>
      <c r="AI37" s="58">
        <f t="shared" si="26"/>
        <v>0</v>
      </c>
      <c r="AJ37" s="58">
        <f t="shared" si="27"/>
        <v>0</v>
      </c>
      <c r="AK37" s="58">
        <f t="shared" si="28"/>
        <v>0</v>
      </c>
      <c r="AL37" s="58">
        <f t="array" ref="AL37">_xlfn.IFS(R37=0,AE37,R37&lt;0,AE37/-R37,R37&gt;0,AE37/R37)</f>
        <v>0</v>
      </c>
      <c r="AM37" s="59">
        <f t="shared" si="29"/>
        <v>0</v>
      </c>
      <c r="AN37" s="60">
        <f t="shared" si="30"/>
        <v>0</v>
      </c>
      <c r="AP37" s="62">
        <f t="shared" si="31"/>
        <v>0</v>
      </c>
    </row>
    <row r="38" spans="1:42">
      <c r="A38" s="39">
        <v>2774719029</v>
      </c>
      <c r="B38" s="40" t="s">
        <v>241</v>
      </c>
      <c r="C38" s="41"/>
      <c r="D38" s="42"/>
      <c r="E38" s="42"/>
      <c r="F38" s="42"/>
      <c r="G38" s="43"/>
      <c r="H38" s="65">
        <v>597</v>
      </c>
      <c r="I38" s="63">
        <f t="shared" si="17"/>
        <v>0</v>
      </c>
      <c r="J38" s="45"/>
      <c r="K38" s="41">
        <v>0</v>
      </c>
      <c r="L38" s="45"/>
      <c r="M38" s="45"/>
      <c r="N38" s="46"/>
      <c r="O38" s="47"/>
      <c r="P38" s="48">
        <f>SUMIFS('Отчет август'!H:H,'Отчет август'!D:D,"Выручка",'Отчет август'!E:E,B38)</f>
        <v>0</v>
      </c>
      <c r="Q38" s="48">
        <f>SUMIFS('Отчет август'!H:H,'Отчет август'!D:D,"Возврат выручки",'Отчет август'!E:E,B38)</f>
        <v>0</v>
      </c>
      <c r="R38" s="49">
        <f t="shared" si="18"/>
        <v>0</v>
      </c>
      <c r="S38" s="50">
        <f>SUMIFS('Отчет август'!O:O,'Отчет август'!C:C,"Продажи",'Отчет август'!E:E,B38)</f>
        <v>0</v>
      </c>
      <c r="T38" s="51">
        <f>SUMIFS('Отчет август'!O:O,'Отчет август'!C:C,"Возвраты",'Отчет август'!E:E,B38)</f>
        <v>0</v>
      </c>
      <c r="U38" s="49">
        <f t="shared" si="19"/>
        <v>0</v>
      </c>
      <c r="V38" s="52">
        <f t="shared" si="20"/>
        <v>0</v>
      </c>
      <c r="W38" s="53">
        <f t="shared" si="21"/>
        <v>0</v>
      </c>
      <c r="X38" s="51">
        <f>-SUMIFS('Отчет август'!O:O,'Отчет август'!C:C,"Вознаграждение Ozon",'Отчет август'!E:E,B38)</f>
        <v>0</v>
      </c>
      <c r="Y38" s="54">
        <f t="shared" si="22"/>
        <v>0</v>
      </c>
      <c r="Z38" s="51">
        <f>-SUMIFS('Отчет август'!O:O,'Отчет август'!C:C,"Услуги доставки",'Отчет август'!E:E,B38)</f>
        <v>0</v>
      </c>
      <c r="AA38" s="41">
        <v>0</v>
      </c>
      <c r="AB38" s="64"/>
      <c r="AC38" s="51"/>
      <c r="AD38" s="55">
        <f>U38*1%</f>
        <v>0</v>
      </c>
      <c r="AE38" s="56">
        <f t="shared" si="23"/>
        <v>0</v>
      </c>
      <c r="AF38" s="55"/>
      <c r="AG38" s="57">
        <f t="shared" si="24"/>
        <v>0</v>
      </c>
      <c r="AH38" s="58">
        <f t="shared" si="25"/>
        <v>597</v>
      </c>
      <c r="AI38" s="58">
        <f t="shared" si="26"/>
        <v>0</v>
      </c>
      <c r="AJ38" s="58">
        <f t="shared" si="27"/>
        <v>0</v>
      </c>
      <c r="AK38" s="58">
        <f t="shared" si="28"/>
        <v>0</v>
      </c>
      <c r="AL38" s="58">
        <f t="array" ref="AL38">_xlfn.IFS(R38=0,AE38,R38&lt;0,AE38/-R38,R38&gt;0,AE38/R38)</f>
        <v>0</v>
      </c>
      <c r="AM38" s="59">
        <f t="shared" si="29"/>
        <v>0</v>
      </c>
      <c r="AN38" s="60">
        <f t="shared" si="30"/>
        <v>0</v>
      </c>
      <c r="AP38" s="62">
        <f t="shared" si="31"/>
        <v>0</v>
      </c>
    </row>
    <row r="39" spans="1:42">
      <c r="A39" s="39">
        <v>2774719553</v>
      </c>
      <c r="B39" s="40" t="s">
        <v>242</v>
      </c>
      <c r="C39" s="41"/>
      <c r="D39" s="42"/>
      <c r="E39" s="42"/>
      <c r="F39" s="42"/>
      <c r="G39" s="43"/>
      <c r="H39" s="65">
        <v>597</v>
      </c>
      <c r="I39" s="63">
        <f t="shared" si="17"/>
        <v>0</v>
      </c>
      <c r="J39" s="45"/>
      <c r="K39" s="41">
        <v>0</v>
      </c>
      <c r="L39" s="45"/>
      <c r="M39" s="45"/>
      <c r="N39" s="46"/>
      <c r="O39" s="47"/>
      <c r="P39" s="48">
        <f>SUMIFS('Отчет август'!H:H,'Отчет август'!D:D,"Выручка",'Отчет август'!E:E,B39)</f>
        <v>0</v>
      </c>
      <c r="Q39" s="48">
        <f>SUMIFS('Отчет август'!H:H,'Отчет август'!D:D,"Возврат выручки",'Отчет август'!E:E,B39)</f>
        <v>0</v>
      </c>
      <c r="R39" s="49">
        <f t="shared" si="18"/>
        <v>0</v>
      </c>
      <c r="S39" s="50">
        <f>SUMIFS('Отчет август'!O:O,'Отчет август'!C:C,"Продажи",'Отчет август'!E:E,B39)</f>
        <v>0</v>
      </c>
      <c r="T39" s="51">
        <f>SUMIFS('Отчет август'!O:O,'Отчет август'!C:C,"Возвраты",'Отчет август'!E:E,B39)</f>
        <v>0</v>
      </c>
      <c r="U39" s="49">
        <f t="shared" si="19"/>
        <v>0</v>
      </c>
      <c r="V39" s="52">
        <f t="shared" si="20"/>
        <v>0</v>
      </c>
      <c r="W39" s="53">
        <f t="shared" si="21"/>
        <v>0</v>
      </c>
      <c r="X39" s="51">
        <f>-SUMIFS('Отчет август'!O:O,'Отчет август'!C:C,"Вознаграждение Ozon",'Отчет август'!E:E,B39)</f>
        <v>0</v>
      </c>
      <c r="Y39" s="54">
        <f t="shared" si="22"/>
        <v>0</v>
      </c>
      <c r="Z39" s="51">
        <f>-SUMIFS('Отчет август'!O:O,'Отчет август'!C:C,"Услуги доставки",'Отчет август'!E:E,B39)</f>
        <v>0</v>
      </c>
      <c r="AA39" s="41">
        <v>0</v>
      </c>
      <c r="AB39" s="64"/>
      <c r="AC39" s="51"/>
      <c r="AD39" s="55">
        <f>U39*1%</f>
        <v>0</v>
      </c>
      <c r="AE39" s="56">
        <f t="shared" si="23"/>
        <v>0</v>
      </c>
      <c r="AF39" s="55"/>
      <c r="AG39" s="57">
        <f t="shared" si="24"/>
        <v>0</v>
      </c>
      <c r="AH39" s="58">
        <f t="shared" si="25"/>
        <v>597</v>
      </c>
      <c r="AI39" s="58">
        <f t="shared" si="26"/>
        <v>0</v>
      </c>
      <c r="AJ39" s="58">
        <f t="shared" si="27"/>
        <v>0</v>
      </c>
      <c r="AK39" s="58">
        <f t="shared" si="28"/>
        <v>0</v>
      </c>
      <c r="AL39" s="58">
        <f t="array" ref="AL39">_xlfn.IFS(R39=0,AE39,R39&lt;0,AE39/-R39,R39&gt;0,AE39/R39)</f>
        <v>0</v>
      </c>
      <c r="AM39" s="59">
        <f t="shared" si="29"/>
        <v>0</v>
      </c>
      <c r="AN39" s="60">
        <f t="shared" si="30"/>
        <v>0</v>
      </c>
      <c r="AP39" s="62">
        <f t="shared" si="31"/>
        <v>0</v>
      </c>
    </row>
    <row r="40" spans="1:42">
      <c r="A40" s="39">
        <v>2774710913</v>
      </c>
      <c r="B40" s="40" t="s">
        <v>243</v>
      </c>
      <c r="C40" s="41"/>
      <c r="D40" s="42"/>
      <c r="E40" s="42"/>
      <c r="F40" s="42"/>
      <c r="G40" s="43"/>
      <c r="H40" s="65">
        <v>642</v>
      </c>
      <c r="I40" s="63">
        <f t="shared" si="17"/>
        <v>0</v>
      </c>
      <c r="J40" s="45"/>
      <c r="K40" s="41">
        <v>0</v>
      </c>
      <c r="L40" s="45"/>
      <c r="M40" s="45"/>
      <c r="N40" s="46"/>
      <c r="O40" s="47"/>
      <c r="P40" s="48">
        <f>SUMIFS('Отчет август'!H:H,'Отчет август'!D:D,"Выручка",'Отчет август'!E:E,B40)</f>
        <v>0</v>
      </c>
      <c r="Q40" s="48">
        <f>SUMIFS('Отчет август'!H:H,'Отчет август'!D:D,"Возврат выручки",'Отчет август'!E:E,B40)</f>
        <v>0</v>
      </c>
      <c r="R40" s="49">
        <f t="shared" si="18"/>
        <v>0</v>
      </c>
      <c r="S40" s="50">
        <f>SUMIFS('Отчет август'!O:O,'Отчет август'!C:C,"Продажи",'Отчет август'!E:E,B40)</f>
        <v>0</v>
      </c>
      <c r="T40" s="51">
        <f>SUMIFS('Отчет август'!O:O,'Отчет август'!C:C,"Возвраты",'Отчет август'!E:E,B40)</f>
        <v>0</v>
      </c>
      <c r="U40" s="49">
        <f t="shared" si="19"/>
        <v>0</v>
      </c>
      <c r="V40" s="52">
        <f t="shared" si="20"/>
        <v>0</v>
      </c>
      <c r="W40" s="53">
        <f t="shared" si="21"/>
        <v>0</v>
      </c>
      <c r="X40" s="51">
        <f>-SUMIFS('Отчет август'!O:O,'Отчет август'!C:C,"Вознаграждение Ozon",'Отчет август'!E:E,B40)</f>
        <v>0</v>
      </c>
      <c r="Y40" s="54">
        <f t="shared" si="22"/>
        <v>0</v>
      </c>
      <c r="Z40" s="51">
        <f>-SUMIFS('Отчет август'!O:O,'Отчет август'!C:C,"Услуги доставки",'Отчет август'!E:E,B40)</f>
        <v>0</v>
      </c>
      <c r="AA40" s="41">
        <v>0</v>
      </c>
      <c r="AB40" s="64"/>
      <c r="AC40" s="51"/>
      <c r="AD40" s="55">
        <f>U40*1%</f>
        <v>0</v>
      </c>
      <c r="AE40" s="56">
        <f t="shared" si="23"/>
        <v>0</v>
      </c>
      <c r="AF40" s="55"/>
      <c r="AG40" s="57">
        <f t="shared" si="24"/>
        <v>0</v>
      </c>
      <c r="AH40" s="58">
        <f t="shared" si="25"/>
        <v>642</v>
      </c>
      <c r="AI40" s="58">
        <f t="shared" si="26"/>
        <v>0</v>
      </c>
      <c r="AJ40" s="58">
        <f t="shared" si="27"/>
        <v>0</v>
      </c>
      <c r="AK40" s="58">
        <f t="shared" si="28"/>
        <v>0</v>
      </c>
      <c r="AL40" s="58">
        <f t="array" ref="AL40">_xlfn.IFS(R40=0,AE40,R40&lt;0,AE40/-R40,R40&gt;0,AE40/R40)</f>
        <v>0</v>
      </c>
      <c r="AM40" s="59">
        <f t="shared" si="29"/>
        <v>0</v>
      </c>
      <c r="AN40" s="60">
        <f t="shared" si="30"/>
        <v>0</v>
      </c>
      <c r="AP40" s="62">
        <f t="shared" si="31"/>
        <v>0</v>
      </c>
    </row>
    <row r="41" spans="1:42">
      <c r="A41" s="39">
        <v>2774721668</v>
      </c>
      <c r="B41" s="40" t="s">
        <v>244</v>
      </c>
      <c r="C41" s="41"/>
      <c r="D41" s="42"/>
      <c r="E41" s="42"/>
      <c r="F41" s="42"/>
      <c r="G41" s="43"/>
      <c r="H41" s="65">
        <v>642</v>
      </c>
      <c r="I41" s="63">
        <f t="shared" si="17"/>
        <v>0</v>
      </c>
      <c r="J41" s="45"/>
      <c r="K41" s="41">
        <v>0</v>
      </c>
      <c r="L41" s="45"/>
      <c r="M41" s="45"/>
      <c r="N41" s="46"/>
      <c r="O41" s="47"/>
      <c r="P41" s="48">
        <f>SUMIFS('Отчет август'!H:H,'Отчет август'!D:D,"Выручка",'Отчет август'!E:E,B41)</f>
        <v>0</v>
      </c>
      <c r="Q41" s="48">
        <f>SUMIFS('Отчет август'!H:H,'Отчет август'!D:D,"Возврат выручки",'Отчет август'!E:E,B41)</f>
        <v>0</v>
      </c>
      <c r="R41" s="49">
        <f t="shared" si="18"/>
        <v>0</v>
      </c>
      <c r="S41" s="50">
        <f>SUMIFS('Отчет август'!O:O,'Отчет август'!C:C,"Продажи",'Отчет август'!E:E,B41)</f>
        <v>0</v>
      </c>
      <c r="T41" s="51">
        <f>SUMIFS('Отчет август'!O:O,'Отчет август'!C:C,"Возвраты",'Отчет август'!E:E,B41)</f>
        <v>0</v>
      </c>
      <c r="U41" s="49">
        <f t="shared" si="19"/>
        <v>0</v>
      </c>
      <c r="V41" s="52">
        <f t="shared" si="20"/>
        <v>0</v>
      </c>
      <c r="W41" s="53">
        <f t="shared" si="21"/>
        <v>0</v>
      </c>
      <c r="X41" s="51">
        <f>-SUMIFS('Отчет август'!O:O,'Отчет август'!C:C,"Вознаграждение Ozon",'Отчет август'!E:E,B41)</f>
        <v>0</v>
      </c>
      <c r="Y41" s="54">
        <f t="shared" si="22"/>
        <v>0</v>
      </c>
      <c r="Z41" s="51">
        <f>-SUMIFS('Отчет август'!O:O,'Отчет август'!C:C,"Услуги доставки",'Отчет август'!E:E,B41)</f>
        <v>0</v>
      </c>
      <c r="AA41" s="41">
        <v>0</v>
      </c>
      <c r="AB41" s="64"/>
      <c r="AC41" s="51"/>
      <c r="AD41" s="55">
        <f>U41*1%</f>
        <v>0</v>
      </c>
      <c r="AE41" s="56">
        <f t="shared" si="23"/>
        <v>0</v>
      </c>
      <c r="AF41" s="55"/>
      <c r="AG41" s="57">
        <f t="shared" si="24"/>
        <v>0</v>
      </c>
      <c r="AH41" s="58">
        <f t="shared" si="25"/>
        <v>642</v>
      </c>
      <c r="AI41" s="58">
        <f t="shared" si="26"/>
        <v>0</v>
      </c>
      <c r="AJ41" s="58">
        <f t="shared" si="27"/>
        <v>0</v>
      </c>
      <c r="AK41" s="58">
        <f t="shared" si="28"/>
        <v>0</v>
      </c>
      <c r="AL41" s="58">
        <f t="array" ref="AL41">_xlfn.IFS(R41=0,AE41,R41&lt;0,AE41/-R41,R41&gt;0,AE41/R41)</f>
        <v>0</v>
      </c>
      <c r="AM41" s="59">
        <f t="shared" si="29"/>
        <v>0</v>
      </c>
      <c r="AN41" s="60">
        <f t="shared" si="30"/>
        <v>0</v>
      </c>
      <c r="AP41" s="62">
        <f t="shared" si="31"/>
        <v>0</v>
      </c>
    </row>
    <row r="42" spans="1:42">
      <c r="A42" s="39">
        <v>2774722656</v>
      </c>
      <c r="B42" s="40" t="s">
        <v>51</v>
      </c>
      <c r="C42" s="41"/>
      <c r="D42" s="42"/>
      <c r="E42" s="42"/>
      <c r="F42" s="42"/>
      <c r="G42" s="43"/>
      <c r="H42" s="65">
        <v>687</v>
      </c>
      <c r="I42" s="63">
        <f t="shared" si="17"/>
        <v>0</v>
      </c>
      <c r="J42" s="45"/>
      <c r="K42" s="41">
        <v>0</v>
      </c>
      <c r="L42" s="45"/>
      <c r="M42" s="45"/>
      <c r="N42" s="46"/>
      <c r="O42" s="47"/>
      <c r="P42" s="48">
        <f>SUMIFS('Отчет август'!H:H,'Отчет август'!D:D,"Выручка",'Отчет август'!E:E,B42)</f>
        <v>0</v>
      </c>
      <c r="Q42" s="48">
        <f>SUMIFS('Отчет август'!H:H,'Отчет август'!D:D,"Возврат выручки",'Отчет август'!E:E,B42)</f>
        <v>0</v>
      </c>
      <c r="R42" s="49">
        <f t="shared" si="18"/>
        <v>0</v>
      </c>
      <c r="S42" s="50">
        <f>SUMIFS('Отчет август'!O:O,'Отчет август'!C:C,"Продажи",'Отчет август'!E:E,B42)</f>
        <v>0</v>
      </c>
      <c r="T42" s="51">
        <f>SUMIFS('Отчет август'!O:O,'Отчет август'!C:C,"Возвраты",'Отчет август'!E:E,B42)</f>
        <v>0</v>
      </c>
      <c r="U42" s="49">
        <f t="shared" si="19"/>
        <v>0</v>
      </c>
      <c r="V42" s="52">
        <f t="shared" si="20"/>
        <v>0</v>
      </c>
      <c r="W42" s="53">
        <f t="shared" si="21"/>
        <v>0</v>
      </c>
      <c r="X42" s="51">
        <f>-SUMIFS('Отчет август'!O:O,'Отчет август'!C:C,"Вознаграждение Ozon",'Отчет август'!E:E,B42)</f>
        <v>0</v>
      </c>
      <c r="Y42" s="54">
        <f t="shared" si="22"/>
        <v>0</v>
      </c>
      <c r="Z42" s="51">
        <f>-SUMIFS('Отчет август'!O:O,'Отчет август'!C:C,"Услуги доставки",'Отчет август'!E:E,B42)</f>
        <v>0</v>
      </c>
      <c r="AA42" s="41">
        <v>0</v>
      </c>
      <c r="AB42" s="64"/>
      <c r="AC42" s="51"/>
      <c r="AD42" s="55">
        <f>U42*1%</f>
        <v>0</v>
      </c>
      <c r="AE42" s="56">
        <f t="shared" si="23"/>
        <v>0</v>
      </c>
      <c r="AF42" s="55"/>
      <c r="AG42" s="57">
        <f t="shared" si="24"/>
        <v>0</v>
      </c>
      <c r="AH42" s="58">
        <f t="shared" si="25"/>
        <v>687</v>
      </c>
      <c r="AI42" s="58">
        <f t="shared" si="26"/>
        <v>0</v>
      </c>
      <c r="AJ42" s="58">
        <f t="shared" si="27"/>
        <v>0</v>
      </c>
      <c r="AK42" s="58">
        <f t="shared" si="28"/>
        <v>0</v>
      </c>
      <c r="AL42" s="58">
        <f t="array" ref="AL42">_xlfn.IFS(R42=0,AE42,R42&lt;0,AE42/-R42,R42&gt;0,AE42/R42)</f>
        <v>0</v>
      </c>
      <c r="AM42" s="59">
        <f t="shared" si="29"/>
        <v>0</v>
      </c>
      <c r="AN42" s="60">
        <f t="shared" si="30"/>
        <v>0</v>
      </c>
      <c r="AP42" s="62">
        <f t="shared" si="31"/>
        <v>0</v>
      </c>
    </row>
    <row r="43" spans="1:42">
      <c r="A43" s="39">
        <v>2774721190</v>
      </c>
      <c r="B43" s="40" t="s">
        <v>70</v>
      </c>
      <c r="C43" s="41"/>
      <c r="D43" s="42"/>
      <c r="E43" s="42"/>
      <c r="F43" s="42"/>
      <c r="G43" s="43"/>
      <c r="H43" s="65">
        <v>687</v>
      </c>
      <c r="I43" s="63">
        <f t="shared" si="17"/>
        <v>0</v>
      </c>
      <c r="J43" s="45"/>
      <c r="K43" s="41">
        <v>0</v>
      </c>
      <c r="L43" s="45"/>
      <c r="M43" s="45"/>
      <c r="N43" s="46"/>
      <c r="O43" s="47"/>
      <c r="P43" s="48">
        <f>SUMIFS('Отчет август'!H:H,'Отчет август'!D:D,"Выручка",'Отчет август'!E:E,B43)</f>
        <v>0</v>
      </c>
      <c r="Q43" s="48">
        <f>SUMIFS('Отчет август'!H:H,'Отчет август'!D:D,"Возврат выручки",'Отчет август'!E:E,B43)</f>
        <v>0</v>
      </c>
      <c r="R43" s="49">
        <f t="shared" si="18"/>
        <v>0</v>
      </c>
      <c r="S43" s="50">
        <f>SUMIFS('Отчет август'!O:O,'Отчет август'!C:C,"Продажи",'Отчет август'!E:E,B43)</f>
        <v>0</v>
      </c>
      <c r="T43" s="51">
        <f>SUMIFS('Отчет август'!O:O,'Отчет август'!C:C,"Возвраты",'Отчет август'!E:E,B43)</f>
        <v>0</v>
      </c>
      <c r="U43" s="49">
        <f t="shared" si="19"/>
        <v>0</v>
      </c>
      <c r="V43" s="52">
        <f t="shared" si="20"/>
        <v>0</v>
      </c>
      <c r="W43" s="53">
        <f t="shared" si="21"/>
        <v>0</v>
      </c>
      <c r="X43" s="51">
        <f>-SUMIFS('Отчет август'!O:O,'Отчет август'!C:C,"Вознаграждение Ozon",'Отчет август'!E:E,B43)</f>
        <v>0</v>
      </c>
      <c r="Y43" s="54">
        <f t="shared" si="22"/>
        <v>0</v>
      </c>
      <c r="Z43" s="51">
        <f>-SUMIFS('Отчет август'!O:O,'Отчет август'!C:C,"Услуги доставки",'Отчет август'!E:E,B43)</f>
        <v>0</v>
      </c>
      <c r="AA43" s="41">
        <v>0</v>
      </c>
      <c r="AB43" s="64"/>
      <c r="AC43" s="51"/>
      <c r="AD43" s="55">
        <f>U43*1%</f>
        <v>0</v>
      </c>
      <c r="AE43" s="56">
        <f t="shared" si="23"/>
        <v>0</v>
      </c>
      <c r="AF43" s="55"/>
      <c r="AG43" s="57">
        <f t="shared" si="24"/>
        <v>0</v>
      </c>
      <c r="AH43" s="58">
        <f t="shared" si="25"/>
        <v>687</v>
      </c>
      <c r="AI43" s="58">
        <f t="shared" si="26"/>
        <v>0</v>
      </c>
      <c r="AJ43" s="58">
        <f t="shared" si="27"/>
        <v>0</v>
      </c>
      <c r="AK43" s="58">
        <f t="shared" si="28"/>
        <v>0</v>
      </c>
      <c r="AL43" s="58">
        <f t="array" ref="AL43">_xlfn.IFS(R43=0,AE43,R43&lt;0,AE43/-R43,R43&gt;0,AE43/R43)</f>
        <v>0</v>
      </c>
      <c r="AM43" s="59">
        <f t="shared" si="29"/>
        <v>0</v>
      </c>
      <c r="AN43" s="60">
        <f t="shared" si="30"/>
        <v>0</v>
      </c>
      <c r="AP43" s="62">
        <f t="shared" si="31"/>
        <v>0</v>
      </c>
    </row>
    <row r="44" spans="1:42">
      <c r="A44" s="39">
        <v>2774718796</v>
      </c>
      <c r="B44" s="40" t="s">
        <v>66</v>
      </c>
      <c r="C44" s="41"/>
      <c r="D44" s="42"/>
      <c r="E44" s="42"/>
      <c r="F44" s="42"/>
      <c r="G44" s="43"/>
      <c r="H44" s="65">
        <v>552</v>
      </c>
      <c r="I44" s="63">
        <f t="shared" si="17"/>
        <v>0</v>
      </c>
      <c r="J44" s="45"/>
      <c r="K44" s="41">
        <v>0</v>
      </c>
      <c r="L44" s="45"/>
      <c r="M44" s="45"/>
      <c r="N44" s="46"/>
      <c r="O44" s="47"/>
      <c r="P44" s="48">
        <f>SUMIFS('Отчет август'!H:H,'Отчет август'!D:D,"Выручка",'Отчет август'!E:E,B44)</f>
        <v>0</v>
      </c>
      <c r="Q44" s="48">
        <f>SUMIFS('Отчет август'!H:H,'Отчет август'!D:D,"Возврат выручки",'Отчет август'!E:E,B44)</f>
        <v>0</v>
      </c>
      <c r="R44" s="49">
        <f t="shared" si="18"/>
        <v>0</v>
      </c>
      <c r="S44" s="50">
        <f>SUMIFS('Отчет август'!O:O,'Отчет август'!C:C,"Продажи",'Отчет август'!E:E,B44)</f>
        <v>0</v>
      </c>
      <c r="T44" s="51">
        <f>SUMIFS('Отчет август'!O:O,'Отчет август'!C:C,"Возвраты",'Отчет август'!E:E,B44)</f>
        <v>0</v>
      </c>
      <c r="U44" s="49">
        <f t="shared" si="19"/>
        <v>0</v>
      </c>
      <c r="V44" s="52">
        <f t="shared" si="20"/>
        <v>0</v>
      </c>
      <c r="W44" s="53">
        <f t="shared" si="21"/>
        <v>0</v>
      </c>
      <c r="X44" s="51">
        <f>-SUMIFS('Отчет август'!O:O,'Отчет август'!C:C,"Вознаграждение Ozon",'Отчет август'!E:E,B44)</f>
        <v>0</v>
      </c>
      <c r="Y44" s="54">
        <f t="shared" si="22"/>
        <v>0</v>
      </c>
      <c r="Z44" s="51">
        <f>-SUMIFS('Отчет август'!O:O,'Отчет август'!C:C,"Услуги доставки",'Отчет август'!E:E,B44)</f>
        <v>0</v>
      </c>
      <c r="AA44" s="41">
        <v>0</v>
      </c>
      <c r="AB44" s="64"/>
      <c r="AC44" s="51"/>
      <c r="AD44" s="55">
        <f>U44*1%</f>
        <v>0</v>
      </c>
      <c r="AE44" s="56">
        <f t="shared" si="23"/>
        <v>0</v>
      </c>
      <c r="AF44" s="55"/>
      <c r="AG44" s="57">
        <f t="shared" si="24"/>
        <v>0</v>
      </c>
      <c r="AH44" s="58">
        <f t="shared" si="25"/>
        <v>552</v>
      </c>
      <c r="AI44" s="58">
        <f t="shared" si="26"/>
        <v>0</v>
      </c>
      <c r="AJ44" s="58">
        <f t="shared" si="27"/>
        <v>0</v>
      </c>
      <c r="AK44" s="58">
        <f t="shared" si="28"/>
        <v>0</v>
      </c>
      <c r="AL44" s="58">
        <f t="array" ref="AL44">_xlfn.IFS(R44=0,AE44,R44&lt;0,AE44/-R44,R44&gt;0,AE44/R44)</f>
        <v>0</v>
      </c>
      <c r="AM44" s="59">
        <f t="shared" si="29"/>
        <v>0</v>
      </c>
      <c r="AN44" s="60">
        <f t="shared" si="30"/>
        <v>0</v>
      </c>
      <c r="AP44" s="62">
        <f t="shared" si="31"/>
        <v>0</v>
      </c>
    </row>
    <row r="45" spans="1:42">
      <c r="A45" s="39">
        <v>2774719500</v>
      </c>
      <c r="B45" s="40" t="s">
        <v>245</v>
      </c>
      <c r="C45" s="41"/>
      <c r="D45" s="42"/>
      <c r="E45" s="42"/>
      <c r="F45" s="42"/>
      <c r="G45" s="43"/>
      <c r="H45" s="65">
        <v>552</v>
      </c>
      <c r="I45" s="63">
        <f t="shared" si="17"/>
        <v>0</v>
      </c>
      <c r="J45" s="45"/>
      <c r="K45" s="41">
        <v>0</v>
      </c>
      <c r="L45" s="45"/>
      <c r="M45" s="45"/>
      <c r="N45" s="46"/>
      <c r="O45" s="47"/>
      <c r="P45" s="48">
        <f>SUMIFS('Отчет август'!H:H,'Отчет август'!D:D,"Выручка",'Отчет август'!E:E,B45)</f>
        <v>0</v>
      </c>
      <c r="Q45" s="48">
        <f>SUMIFS('Отчет август'!H:H,'Отчет август'!D:D,"Возврат выручки",'Отчет август'!E:E,B45)</f>
        <v>0</v>
      </c>
      <c r="R45" s="49">
        <f t="shared" si="18"/>
        <v>0</v>
      </c>
      <c r="S45" s="50">
        <f>SUMIFS('Отчет август'!O:O,'Отчет август'!C:C,"Продажи",'Отчет август'!E:E,B45)</f>
        <v>0</v>
      </c>
      <c r="T45" s="51">
        <f>SUMIFS('Отчет август'!O:O,'Отчет август'!C:C,"Возвраты",'Отчет август'!E:E,B45)</f>
        <v>0</v>
      </c>
      <c r="U45" s="49">
        <f t="shared" si="19"/>
        <v>0</v>
      </c>
      <c r="V45" s="52">
        <f t="shared" si="20"/>
        <v>0</v>
      </c>
      <c r="W45" s="53">
        <f t="shared" si="21"/>
        <v>0</v>
      </c>
      <c r="X45" s="51">
        <f>-SUMIFS('Отчет август'!O:O,'Отчет август'!C:C,"Вознаграждение Ozon",'Отчет август'!E:E,B45)</f>
        <v>0</v>
      </c>
      <c r="Y45" s="54">
        <f t="shared" si="22"/>
        <v>0</v>
      </c>
      <c r="Z45" s="51">
        <f>-SUMIFS('Отчет август'!O:O,'Отчет август'!C:C,"Услуги доставки",'Отчет август'!E:E,B45)</f>
        <v>0</v>
      </c>
      <c r="AA45" s="41">
        <v>0</v>
      </c>
      <c r="AB45" s="64"/>
      <c r="AC45" s="51"/>
      <c r="AD45" s="55">
        <f>U45*1%</f>
        <v>0</v>
      </c>
      <c r="AE45" s="56">
        <f t="shared" si="23"/>
        <v>0</v>
      </c>
      <c r="AF45" s="55"/>
      <c r="AG45" s="57">
        <f t="shared" si="24"/>
        <v>0</v>
      </c>
      <c r="AH45" s="58">
        <f t="shared" si="25"/>
        <v>552</v>
      </c>
      <c r="AI45" s="58">
        <f t="shared" si="26"/>
        <v>0</v>
      </c>
      <c r="AJ45" s="58">
        <f t="shared" si="27"/>
        <v>0</v>
      </c>
      <c r="AK45" s="58">
        <f t="shared" si="28"/>
        <v>0</v>
      </c>
      <c r="AL45" s="58">
        <f t="array" ref="AL45">_xlfn.IFS(R45=0,AE45,R45&lt;0,AE45/-R45,R45&gt;0,AE45/R45)</f>
        <v>0</v>
      </c>
      <c r="AM45" s="59">
        <f t="shared" si="29"/>
        <v>0</v>
      </c>
      <c r="AN45" s="60">
        <f t="shared" si="30"/>
        <v>0</v>
      </c>
      <c r="AP45" s="62">
        <f t="shared" si="31"/>
        <v>0</v>
      </c>
    </row>
    <row r="46" spans="1:42">
      <c r="A46" s="39"/>
      <c r="B46" s="40"/>
      <c r="C46" s="41"/>
      <c r="D46" s="42"/>
      <c r="E46" s="42"/>
      <c r="F46" s="42"/>
      <c r="G46" s="43"/>
      <c r="H46" s="65"/>
      <c r="I46" s="63"/>
      <c r="J46" s="45"/>
      <c r="K46" s="41"/>
      <c r="L46" s="45"/>
      <c r="M46" s="45"/>
      <c r="N46" s="46"/>
      <c r="O46" s="47"/>
      <c r="P46" s="48"/>
      <c r="Q46" s="48"/>
      <c r="R46" s="49"/>
      <c r="S46" s="50"/>
      <c r="T46" s="51"/>
      <c r="U46" s="49"/>
      <c r="V46" s="52"/>
      <c r="W46" s="53"/>
      <c r="X46" s="51"/>
      <c r="Y46" s="54"/>
      <c r="Z46" s="51"/>
      <c r="AA46" s="41"/>
      <c r="AB46" s="64"/>
      <c r="AC46" s="51"/>
      <c r="AD46" s="55"/>
      <c r="AE46" s="56"/>
      <c r="AF46" s="55"/>
      <c r="AG46" s="258" t="e">
        <f t="shared" ref="AG46:AN46" si="32">AVERAGEIF(AG26:AG45,"&lt;&gt;0",AG26:AG45)</f>
        <v>#DIV/0!</v>
      </c>
      <c r="AH46" s="259">
        <f t="shared" si="32"/>
        <v>617.25</v>
      </c>
      <c r="AI46" s="259" t="e">
        <f t="shared" si="32"/>
        <v>#DIV/0!</v>
      </c>
      <c r="AJ46" s="259" t="e">
        <f t="shared" si="32"/>
        <v>#DIV/0!</v>
      </c>
      <c r="AK46" s="259" t="e">
        <f t="shared" si="32"/>
        <v>#DIV/0!</v>
      </c>
      <c r="AL46" s="259" t="e">
        <f t="shared" si="32"/>
        <v>#DIV/0!</v>
      </c>
      <c r="AM46" s="260" t="e">
        <f t="shared" si="32"/>
        <v>#DIV/0!</v>
      </c>
      <c r="AN46" s="260" t="e">
        <f t="shared" si="32"/>
        <v>#DIV/0!</v>
      </c>
      <c r="AO46" s="240"/>
      <c r="AP46" s="241"/>
    </row>
    <row r="47" spans="1:42">
      <c r="A47" s="218" t="s">
        <v>306</v>
      </c>
      <c r="B47" s="219"/>
      <c r="C47" s="220">
        <f>SUM(C26:C45)</f>
        <v>0</v>
      </c>
      <c r="D47" s="221"/>
      <c r="E47" s="221"/>
      <c r="F47" s="221"/>
      <c r="G47" s="221"/>
      <c r="H47" s="222"/>
      <c r="I47" s="220">
        <f>SUM(I26:I45)</f>
        <v>0</v>
      </c>
      <c r="J47" s="223"/>
      <c r="K47" s="220">
        <f>SUM(K26:K45)</f>
        <v>0</v>
      </c>
      <c r="L47" s="223"/>
      <c r="M47" s="223"/>
      <c r="N47" s="224"/>
      <c r="O47" s="225"/>
      <c r="P47" s="220">
        <f t="shared" ref="P47:X47" si="33">SUM(P26:P45)</f>
        <v>0</v>
      </c>
      <c r="Q47" s="220">
        <f t="shared" si="33"/>
        <v>0</v>
      </c>
      <c r="R47" s="250">
        <f t="shared" si="33"/>
        <v>0</v>
      </c>
      <c r="S47" s="220">
        <f t="shared" si="33"/>
        <v>0</v>
      </c>
      <c r="T47" s="220">
        <f t="shared" si="33"/>
        <v>0</v>
      </c>
      <c r="U47" s="250">
        <f t="shared" si="33"/>
        <v>0</v>
      </c>
      <c r="V47" s="253">
        <f t="shared" si="33"/>
        <v>0</v>
      </c>
      <c r="W47" s="220">
        <f t="shared" si="33"/>
        <v>0</v>
      </c>
      <c r="X47" s="220">
        <f t="shared" si="33"/>
        <v>0</v>
      </c>
      <c r="Y47" s="226">
        <f>IF(U47=0,0,X47/U47)</f>
        <v>0</v>
      </c>
      <c r="Z47" s="220">
        <f>SUM(Z26:Z45)</f>
        <v>0</v>
      </c>
      <c r="AA47" s="220">
        <f>IFERROR(P47*AA49/P49,0)</f>
        <v>0</v>
      </c>
      <c r="AB47" s="220">
        <f>SUM(AB26:AB45)</f>
        <v>0</v>
      </c>
      <c r="AC47" s="220">
        <f>SUM(AC26:AC45)</f>
        <v>0</v>
      </c>
      <c r="AD47" s="250">
        <f>SUM(AD26:AD45)</f>
        <v>0</v>
      </c>
      <c r="AE47" s="220">
        <f>SUM(AE26:AE45)</f>
        <v>0</v>
      </c>
      <c r="AF47" s="257"/>
      <c r="AG47" s="261"/>
      <c r="AH47" s="262"/>
      <c r="AI47" s="262"/>
      <c r="AJ47" s="262"/>
      <c r="AK47" s="263"/>
      <c r="AL47" s="262"/>
      <c r="AM47" s="264"/>
      <c r="AN47" s="268"/>
      <c r="AO47" s="267"/>
      <c r="AP47" s="265">
        <f>SUM(AP26:AP45)</f>
        <v>0</v>
      </c>
    </row>
    <row r="48" spans="1:42">
      <c r="A48" s="66"/>
      <c r="B48" s="67"/>
      <c r="C48" s="68"/>
      <c r="D48" s="53"/>
      <c r="E48" s="53"/>
      <c r="F48" s="53"/>
      <c r="G48" s="43"/>
      <c r="H48" s="53"/>
      <c r="I48" s="53"/>
      <c r="J48" s="69"/>
      <c r="K48" s="70"/>
      <c r="L48" s="70"/>
      <c r="M48" s="70"/>
      <c r="N48" s="69"/>
      <c r="O48" s="71"/>
      <c r="P48" s="70"/>
      <c r="Q48" s="70"/>
      <c r="R48" s="251"/>
      <c r="S48" s="70"/>
      <c r="T48" s="70"/>
      <c r="U48" s="251"/>
      <c r="V48" s="254"/>
      <c r="W48" s="70"/>
      <c r="X48" s="70"/>
      <c r="Y48" s="54"/>
      <c r="Z48" s="70"/>
      <c r="AA48" s="284">
        <f>SUM(AA26:AA45)</f>
        <v>0</v>
      </c>
      <c r="AB48" s="51"/>
      <c r="AC48" s="51"/>
      <c r="AD48" s="55"/>
      <c r="AE48" s="56"/>
      <c r="AF48" s="55"/>
      <c r="AG48" s="72"/>
      <c r="AH48" s="73"/>
      <c r="AI48" s="73"/>
      <c r="AJ48" s="73"/>
      <c r="AK48" s="73"/>
      <c r="AL48" s="73"/>
      <c r="AM48" s="59"/>
      <c r="AN48" s="60"/>
      <c r="AO48" s="266"/>
      <c r="AP48" s="62"/>
    </row>
    <row r="49" spans="1:42" s="77" customFormat="1" ht="15" customHeight="1">
      <c r="A49" s="227" t="s">
        <v>307</v>
      </c>
      <c r="B49" s="228"/>
      <c r="C49" s="229">
        <f>C24+C47</f>
        <v>0</v>
      </c>
      <c r="D49" s="230">
        <f>SUM(D3:D45)</f>
        <v>0</v>
      </c>
      <c r="E49" s="230">
        <f>SUM(E3:E45)</f>
        <v>108496</v>
      </c>
      <c r="F49" s="230">
        <f>SUM(F3:F45)</f>
        <v>597</v>
      </c>
      <c r="G49" s="230">
        <f>SUM(G3:G45)</f>
        <v>295</v>
      </c>
      <c r="H49" s="230"/>
      <c r="I49" s="229">
        <f>I24+I47</f>
        <v>0</v>
      </c>
      <c r="J49" s="229">
        <f>J24+J47</f>
        <v>0</v>
      </c>
      <c r="K49" s="229">
        <f>K24+K47</f>
        <v>19</v>
      </c>
      <c r="L49" s="230"/>
      <c r="M49" s="230"/>
      <c r="N49" s="230"/>
      <c r="O49" s="230"/>
      <c r="P49" s="269">
        <f t="shared" ref="P49:X49" si="34">P24+P47</f>
        <v>5</v>
      </c>
      <c r="Q49" s="229">
        <f t="shared" si="34"/>
        <v>0</v>
      </c>
      <c r="R49" s="252">
        <f t="shared" si="34"/>
        <v>5</v>
      </c>
      <c r="S49" s="229">
        <f t="shared" si="34"/>
        <v>8513</v>
      </c>
      <c r="T49" s="229">
        <f t="shared" si="34"/>
        <v>0</v>
      </c>
      <c r="U49" s="252">
        <f t="shared" si="34"/>
        <v>8513</v>
      </c>
      <c r="V49" s="255">
        <f t="shared" si="34"/>
        <v>1</v>
      </c>
      <c r="W49" s="229">
        <f t="shared" si="34"/>
        <v>649.38</v>
      </c>
      <c r="X49" s="229">
        <f t="shared" si="34"/>
        <v>1702.6</v>
      </c>
      <c r="Y49" s="232">
        <f>X49/U49</f>
        <v>0.19999999999999998</v>
      </c>
      <c r="Z49" s="229">
        <f>Z24+Z47</f>
        <v>506</v>
      </c>
      <c r="AA49" s="75">
        <v>15668.72</v>
      </c>
      <c r="AB49" s="74"/>
      <c r="AC49" s="74">
        <f>SUM(AC3:AC45)</f>
        <v>0</v>
      </c>
      <c r="AD49" s="229">
        <f>AD24+AD47</f>
        <v>85.13</v>
      </c>
      <c r="AE49" s="233">
        <f>AE24+AE47</f>
        <v>-10098.838846000001</v>
      </c>
      <c r="AF49" s="76"/>
      <c r="AG49" s="234"/>
      <c r="AH49" s="235"/>
      <c r="AI49" s="235"/>
      <c r="AJ49" s="235"/>
      <c r="AK49" s="235">
        <f>AA50/P49</f>
        <v>3133.7439999999997</v>
      </c>
      <c r="AL49" s="235"/>
      <c r="AM49" s="235"/>
      <c r="AN49" s="236"/>
      <c r="AP49" s="233">
        <f>SUM(AP3:AP45)</f>
        <v>0</v>
      </c>
    </row>
    <row r="50" spans="1:42" s="78" customFormat="1">
      <c r="B50" s="79"/>
      <c r="C50" s="80"/>
      <c r="K50" s="81"/>
      <c r="L50" s="81"/>
      <c r="M50" s="81"/>
      <c r="O50" s="82"/>
      <c r="P50" s="83"/>
      <c r="Q50" s="83"/>
      <c r="R50" s="84"/>
      <c r="S50" s="83"/>
      <c r="T50" s="84"/>
      <c r="U50" s="84"/>
      <c r="X50" s="85"/>
      <c r="Z50" s="83"/>
      <c r="AA50" s="86">
        <f>AA24+AA47</f>
        <v>15668.719999999998</v>
      </c>
      <c r="AB50" s="87"/>
      <c r="AC50" s="88"/>
    </row>
    <row r="51" spans="1:42" s="78" customFormat="1">
      <c r="B51" s="79"/>
      <c r="C51" s="80"/>
      <c r="I51" s="89"/>
      <c r="J51" s="89"/>
      <c r="K51" s="81"/>
      <c r="L51" s="81"/>
      <c r="M51" s="81"/>
      <c r="P51" s="90"/>
      <c r="Q51" s="81"/>
      <c r="X51" s="90"/>
      <c r="Y51" s="81"/>
      <c r="Z51" s="91"/>
      <c r="AA51" s="285">
        <f>AA25+AA48</f>
        <v>15668.728846</v>
      </c>
      <c r="AB51" s="87"/>
      <c r="AC51" s="15"/>
    </row>
    <row r="52" spans="1:42" s="78" customFormat="1">
      <c r="B52" s="79"/>
      <c r="C52" s="80"/>
      <c r="J52" s="89"/>
      <c r="K52" s="81"/>
      <c r="L52" s="81"/>
      <c r="M52" s="81"/>
      <c r="P52" s="90"/>
      <c r="Q52" s="81"/>
      <c r="X52" s="90"/>
      <c r="Y52" s="81"/>
      <c r="Z52" s="92"/>
      <c r="AA52" s="92"/>
      <c r="AB52" s="87"/>
      <c r="AC52" s="15"/>
    </row>
    <row r="53" spans="1:42" s="78" customFormat="1">
      <c r="B53" s="79"/>
      <c r="C53" s="80"/>
      <c r="K53" s="81"/>
      <c r="L53" s="81"/>
      <c r="M53" s="81"/>
      <c r="P53" s="90"/>
      <c r="Q53" s="81"/>
      <c r="X53" s="90"/>
      <c r="Y53" s="81"/>
      <c r="Z53" s="91"/>
      <c r="AA53" s="91"/>
      <c r="AB53" s="87"/>
      <c r="AC53" s="15"/>
    </row>
    <row r="54" spans="1:42" ht="29">
      <c r="B54" s="93"/>
      <c r="H54" s="95"/>
      <c r="I54" s="96" t="s">
        <v>191</v>
      </c>
      <c r="J54" s="96"/>
      <c r="K54" s="97" t="s">
        <v>221</v>
      </c>
      <c r="L54" s="97" t="s">
        <v>246</v>
      </c>
      <c r="W54" s="100"/>
      <c r="X54" s="100"/>
      <c r="Z54" s="101"/>
      <c r="AA54" s="101"/>
      <c r="AM54" s="98"/>
    </row>
    <row r="55" spans="1:42" ht="15.5">
      <c r="B55" s="93"/>
      <c r="H55" s="95"/>
      <c r="I55" s="96"/>
      <c r="J55" s="96"/>
      <c r="K55" s="97"/>
      <c r="L55" s="97"/>
      <c r="Y55" s="100"/>
    </row>
    <row r="56" spans="1:42" ht="15.5">
      <c r="B56" s="93"/>
      <c r="H56" s="102" t="s">
        <v>247</v>
      </c>
      <c r="I56" s="103">
        <f>SUMIF(J3:J45,"&lt;60",I3:I45)</f>
        <v>0</v>
      </c>
      <c r="J56" s="104" t="e">
        <f>I56/I49</f>
        <v>#DIV/0!</v>
      </c>
      <c r="K56" s="105">
        <f>SUMIF(J3:J45,"&lt;60",AP3:AP45)</f>
        <v>0</v>
      </c>
      <c r="L56" s="106" t="e">
        <f>K56/I56</f>
        <v>#DIV/0!</v>
      </c>
    </row>
    <row r="57" spans="1:42" ht="15.5">
      <c r="B57" s="93"/>
      <c r="H57" s="107" t="s">
        <v>248</v>
      </c>
      <c r="I57" s="108">
        <f>I49-I58-I56</f>
        <v>0</v>
      </c>
      <c r="J57" s="109" t="e">
        <f>I57/I49</f>
        <v>#DIV/0!</v>
      </c>
      <c r="K57" s="105">
        <f>AP49-K56-K58</f>
        <v>0</v>
      </c>
      <c r="L57" s="106" t="e">
        <f>K57/I57</f>
        <v>#DIV/0!</v>
      </c>
    </row>
    <row r="58" spans="1:42" ht="15.5">
      <c r="B58" s="93"/>
      <c r="C58" s="110"/>
      <c r="D58" s="111"/>
      <c r="E58" s="111"/>
      <c r="F58" s="111"/>
      <c r="G58" s="111"/>
      <c r="H58" s="112" t="s">
        <v>249</v>
      </c>
      <c r="I58" s="113">
        <f>SUMIF(J3:J45,"&gt;120",I3:I45)</f>
        <v>0</v>
      </c>
      <c r="J58" s="114" t="e">
        <f>I58/I49</f>
        <v>#DIV/0!</v>
      </c>
      <c r="K58" s="105">
        <f>SUMIF(J3:J45,"&gt;120",AP3:AP45)</f>
        <v>0</v>
      </c>
      <c r="L58" s="106" t="e">
        <f>K58/I58</f>
        <v>#DIV/0!</v>
      </c>
    </row>
    <row r="59" spans="1:42" ht="15.5">
      <c r="B59" s="93"/>
      <c r="C59" s="110"/>
      <c r="D59" s="111"/>
      <c r="E59" s="111"/>
      <c r="F59" s="111"/>
      <c r="G59" s="111"/>
    </row>
    <row r="60" spans="1:42" ht="15.5">
      <c r="B60" s="93"/>
      <c r="H60" s="61" t="s">
        <v>250</v>
      </c>
    </row>
    <row r="61" spans="1:42" ht="15.5">
      <c r="B61" s="93"/>
    </row>
    <row r="62" spans="1:42" ht="15.5">
      <c r="B62" s="93"/>
    </row>
  </sheetData>
  <conditionalFormatting sqref="J48:L48 J3:J47">
    <cfRule type="cellIs" dxfId="12" priority="17" operator="greaterThan">
      <formula>120</formula>
    </cfRule>
  </conditionalFormatting>
  <conditionalFormatting sqref="N48">
    <cfRule type="cellIs" dxfId="11" priority="16" operator="between">
      <formula>0.000001</formula>
      <formula>25</formula>
    </cfRule>
  </conditionalFormatting>
  <conditionalFormatting sqref="V1 V50:V53 V55:V1048576">
    <cfRule type="cellIs" dxfId="10" priority="18" operator="greaterThan">
      <formula>0.23</formula>
    </cfRule>
  </conditionalFormatting>
  <conditionalFormatting sqref="AM5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{66B39677-4875-47C6-83C2-CA28F5A998A3}</x14:id>
        </ext>
      </extLst>
    </cfRule>
  </conditionalFormatting>
  <conditionalFormatting sqref="AP3:AP22 AP25:AP45 AP4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{7E8AB18B-065B-4E8F-955F-B7DE4807675F}</x14:id>
        </ext>
      </extLst>
    </cfRule>
  </conditionalFormatting>
  <conditionalFormatting sqref="AE3:AE23 AE25:AE46 AE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{9DF11A04-3179-42BA-90E6-FF6F87754212}</x14:id>
        </ext>
      </extLst>
    </cfRule>
  </conditionalFormatting>
  <conditionalFormatting sqref="AL3:AL22 AL25:AL45 AL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{ABF95653-A680-4A25-9473-6C805A1FF6A7}</x14:id>
        </ext>
      </extLst>
    </cfRule>
  </conditionalFormatting>
  <conditionalFormatting sqref="AM3:AN22 AM25:AN45 AM48:AN4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{127B55C6-99B1-44BE-B3DD-C99C1FB2FE60}</x14:id>
        </ext>
      </extLst>
    </cfRule>
  </conditionalFormatting>
  <conditionalFormatting sqref="AP3:AP22 AP25:AP4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{1AD60FF2-E520-455D-A9EB-CCC26180F5C0}</x14:id>
        </ext>
      </extLst>
    </cfRule>
  </conditionalFormatting>
  <conditionalFormatting sqref="AE3:AE23 AE25:AE4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{0EC5715E-59BA-4818-9C1B-91743E93AF44}</x14:id>
        </ext>
      </extLst>
    </cfRule>
  </conditionalFormatting>
  <conditionalFormatting sqref="U3:V23 U25:V4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{485C18D0-5EE3-4199-9CEB-FC216E9F97F2}</x14:id>
        </ext>
      </extLst>
    </cfRule>
  </conditionalFormatting>
  <conditionalFormatting sqref="V3:V23 V25:V4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{F4172243-2356-46A9-96E3-68855F4575E3}</x14:id>
        </ext>
      </extLst>
    </cfRule>
  </conditionalFormatting>
  <conditionalFormatting sqref="AP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{767A79B9-93C9-4ECF-A49A-6696B50D8F88}</x14:id>
        </ext>
      </extLst>
    </cfRule>
  </conditionalFormatting>
  <conditionalFormatting sqref="AP2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{6930D6E2-FD12-40D9-BEF4-8BCB00476DCF}</x14:id>
        </ext>
      </extLst>
    </cfRule>
  </conditionalFormatting>
  <conditionalFormatting sqref="P48">
    <cfRule type="cellIs" dxfId="9" priority="12" operator="greaterThan">
      <formula>120</formula>
    </cfRule>
  </conditionalFormatting>
  <conditionalFormatting sqref="Q48">
    <cfRule type="cellIs" dxfId="8" priority="11" operator="greaterThan">
      <formula>120</formula>
    </cfRule>
  </conditionalFormatting>
  <conditionalFormatting sqref="R48">
    <cfRule type="cellIs" dxfId="7" priority="10" operator="greaterThan">
      <formula>120</formula>
    </cfRule>
  </conditionalFormatting>
  <conditionalFormatting sqref="S48">
    <cfRule type="cellIs" dxfId="6" priority="9" operator="greaterThan">
      <formula>120</formula>
    </cfRule>
  </conditionalFormatting>
  <conditionalFormatting sqref="T48">
    <cfRule type="cellIs" dxfId="5" priority="8" operator="greaterThan">
      <formula>120</formula>
    </cfRule>
  </conditionalFormatting>
  <conditionalFormatting sqref="U48">
    <cfRule type="cellIs" dxfId="4" priority="7" operator="greaterThan">
      <formula>120</formula>
    </cfRule>
  </conditionalFormatting>
  <conditionalFormatting sqref="V48">
    <cfRule type="cellIs" dxfId="3" priority="6" operator="greaterThan">
      <formula>120</formula>
    </cfRule>
  </conditionalFormatting>
  <conditionalFormatting sqref="W48">
    <cfRule type="cellIs" dxfId="2" priority="5" operator="greaterThan">
      <formula>120</formula>
    </cfRule>
  </conditionalFormatting>
  <conditionalFormatting sqref="X48">
    <cfRule type="cellIs" dxfId="1" priority="4" operator="greaterThan">
      <formula>120</formula>
    </cfRule>
  </conditionalFormatting>
  <conditionalFormatting sqref="Z48">
    <cfRule type="cellIs" dxfId="0" priority="3" operator="greaterThan">
      <formula>120</formula>
    </cfRule>
  </conditionalFormatting>
  <conditionalFormatting sqref="AP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{BFCC2058-FB91-4D3C-9C14-DD9A2C3BE403}</x14:id>
        </ext>
      </extLst>
    </cfRule>
  </conditionalFormatting>
  <conditionalFormatting sqref="AP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{CC2AF93D-E2F7-4790-B10C-9ED572B63801}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B39677-4875-47C6-83C2-CA28F5A998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7E8AB18B-065B-4E8F-955F-B7DE480767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 AP48</xm:sqref>
        </x14:conditionalFormatting>
        <x14:conditionalFormatting xmlns:xm="http://schemas.microsoft.com/office/excel/2006/main">
          <x14:cfRule type="dataBar" id="{9DF11A04-3179-42BA-90E6-FF6F877542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 AE48</xm:sqref>
        </x14:conditionalFormatting>
        <x14:conditionalFormatting xmlns:xm="http://schemas.microsoft.com/office/excel/2006/main">
          <x14:cfRule type="dataBar" id="{ABF95653-A680-4A25-9473-6C805A1FF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AL3:AL22 AL25:AL45 AL48</xm:sqref>
        </x14:conditionalFormatting>
        <x14:conditionalFormatting xmlns:xm="http://schemas.microsoft.com/office/excel/2006/main">
          <x14:cfRule type="dataBar" id="{127B55C6-99B1-44BE-B3DD-C99C1FB2FE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AM3:AN22 AM25:AN45 AM48:AN48</xm:sqref>
        </x14:conditionalFormatting>
        <x14:conditionalFormatting xmlns:xm="http://schemas.microsoft.com/office/excel/2006/main">
          <x14:cfRule type="dataBar" id="{1AD60FF2-E520-455D-A9EB-CCC26180F5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AP3:AP22 AP25:AP45</xm:sqref>
        </x14:conditionalFormatting>
        <x14:conditionalFormatting xmlns:xm="http://schemas.microsoft.com/office/excel/2006/main">
          <x14:cfRule type="dataBar" id="{0EC5715E-59BA-4818-9C1B-91743E93AF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AE3:AE23 AE25:AE46</xm:sqref>
        </x14:conditionalFormatting>
        <x14:conditionalFormatting xmlns:xm="http://schemas.microsoft.com/office/excel/2006/main">
          <x14:cfRule type="dataBar" id="{485C18D0-5EE3-4199-9CEB-FC216E9F9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U3:V23 U25:V46</xm:sqref>
        </x14:conditionalFormatting>
        <x14:conditionalFormatting xmlns:xm="http://schemas.microsoft.com/office/excel/2006/main">
          <x14:cfRule type="dataBar" id="{F4172243-2356-46A9-96E3-68855F4575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V3:V23 V25:V46</xm:sqref>
        </x14:conditionalFormatting>
        <x14:conditionalFormatting xmlns:xm="http://schemas.microsoft.com/office/excel/2006/main">
          <x14:cfRule type="dataBar" id="{767A79B9-93C9-4ECF-A49A-6696B50D8F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6930D6E2-FD12-40D9-BEF4-8BCB00476D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AP23</xm:sqref>
        </x14:conditionalFormatting>
        <x14:conditionalFormatting xmlns:xm="http://schemas.microsoft.com/office/excel/2006/main">
          <x14:cfRule type="dataBar" id="{BFCC2058-FB91-4D3C-9C14-DD9A2C3BE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  <x14:conditionalFormatting xmlns:xm="http://schemas.microsoft.com/office/excel/2006/main">
          <x14:cfRule type="dataBar" id="{CC2AF93D-E2F7-4790-B10C-9ED572B638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70</vt:i4>
      </vt:variant>
    </vt:vector>
  </HeadingPairs>
  <TitlesOfParts>
    <vt:vector size="70" baseType="lpstr">
      <vt:lpstr>Динамика показатели</vt:lpstr>
      <vt:lpstr>Динамика финансы</vt:lpstr>
      <vt:lpstr>Дашборд 22-31.12</vt:lpstr>
      <vt:lpstr>Дашборд 15-21.12</vt:lpstr>
      <vt:lpstr>Дашборд 08-14.12</vt:lpstr>
      <vt:lpstr>Дашборд 01-07.12</vt:lpstr>
      <vt:lpstr>Дашборд 24-30.11</vt:lpstr>
      <vt:lpstr>Дашборд 17-23.11</vt:lpstr>
      <vt:lpstr>Дашборд 10-16.11</vt:lpstr>
      <vt:lpstr>Дашборд 03-09.11</vt:lpstr>
      <vt:lpstr>Дашборд 27.10-02.11</vt:lpstr>
      <vt:lpstr>Дашборд 20-26.10</vt:lpstr>
      <vt:lpstr>Дашборд 13-19.10</vt:lpstr>
      <vt:lpstr>Дашборд 06-12.10</vt:lpstr>
      <vt:lpstr>Дашборд 01-05.10</vt:lpstr>
      <vt:lpstr>АВС 2025</vt:lpstr>
      <vt:lpstr>АВС ДЕКАБРЬ</vt:lpstr>
      <vt:lpstr>АВС 22-31.12</vt:lpstr>
      <vt:lpstr>АВС 15-21.12</vt:lpstr>
      <vt:lpstr>АВС 08-14.12</vt:lpstr>
      <vt:lpstr>АВС 01-07.12</vt:lpstr>
      <vt:lpstr>АВС НОЯБРЬ</vt:lpstr>
      <vt:lpstr>АВС 24-30.11</vt:lpstr>
      <vt:lpstr>АВС 17-23.11</vt:lpstr>
      <vt:lpstr>АВС 10-16.11</vt:lpstr>
      <vt:lpstr>АВС 03-09.11</vt:lpstr>
      <vt:lpstr>АВС 27.10-02.11</vt:lpstr>
      <vt:lpstr>АВС 20-26.10</vt:lpstr>
      <vt:lpstr>АВС 13-19.10</vt:lpstr>
      <vt:lpstr>АВС 06-12.10</vt:lpstr>
      <vt:lpstr>АВС 01-05.10</vt:lpstr>
      <vt:lpstr>АВС СЕНТЯБРЬ</vt:lpstr>
      <vt:lpstr>АВС АВГУСТ</vt:lpstr>
      <vt:lpstr>Отчет 22-31.12</vt:lpstr>
      <vt:lpstr>Отчет 15-21.12</vt:lpstr>
      <vt:lpstr>Отчет 08-14.12</vt:lpstr>
      <vt:lpstr>Отчет 01-07.12</vt:lpstr>
      <vt:lpstr>Отчет 24-30.11</vt:lpstr>
      <vt:lpstr>Отчет 17-23.11</vt:lpstr>
      <vt:lpstr>Отчет 10-16.11</vt:lpstr>
      <vt:lpstr>Отчет 03-09.11</vt:lpstr>
      <vt:lpstr>Отчет 01-02.11</vt:lpstr>
      <vt:lpstr>Отчет 27-31.10</vt:lpstr>
      <vt:lpstr>Отчет 20-26.10</vt:lpstr>
      <vt:lpstr>Отчет 13-19.10</vt:lpstr>
      <vt:lpstr>Отчет 06-12.10</vt:lpstr>
      <vt:lpstr>Отчет 01-05.10</vt:lpstr>
      <vt:lpstr>Отчет сентябрь</vt:lpstr>
      <vt:lpstr>Отчет август</vt:lpstr>
      <vt:lpstr>2025</vt:lpstr>
      <vt:lpstr>ДЕКАБРЬ</vt:lpstr>
      <vt:lpstr>Юнит 22-31.12</vt:lpstr>
      <vt:lpstr>Юнит 15-21.12</vt:lpstr>
      <vt:lpstr>Юнит 08-14.12</vt:lpstr>
      <vt:lpstr>Юнит 01-07.12</vt:lpstr>
      <vt:lpstr>НОЯБРЬ</vt:lpstr>
      <vt:lpstr>Юнит 24-30.11</vt:lpstr>
      <vt:lpstr>Юнит 17-23.11</vt:lpstr>
      <vt:lpstr>Юнит 10-16.11</vt:lpstr>
      <vt:lpstr>Юнит 03-09.11</vt:lpstr>
      <vt:lpstr>Юнит 27.10-02.11</vt:lpstr>
      <vt:lpstr>Юнит 01-02.11</vt:lpstr>
      <vt:lpstr>ОКТЯБРЬ</vt:lpstr>
      <vt:lpstr>Юнит 27-31.10</vt:lpstr>
      <vt:lpstr>Юнит 20-26.10</vt:lpstr>
      <vt:lpstr>Юнит 13-19.10</vt:lpstr>
      <vt:lpstr>Юнит 06-12.10</vt:lpstr>
      <vt:lpstr>Юнит 01-05.10</vt:lpstr>
      <vt:lpstr>СЕНТЯБРЬ</vt:lpstr>
      <vt:lpstr>АВГУСТ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2026-01-28T10:20:53Z</dcterms:modified>
</cp:coreProperties>
</file>